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C:\Users\james\Downloads\"/>
    </mc:Choice>
  </mc:AlternateContent>
  <xr:revisionPtr revIDLastSave="0" documentId="8_{D3E0AB7E-843F-4AB3-B25F-6804A9B10A5B}" xr6:coauthVersionLast="45" xr6:coauthVersionMax="45" xr10:uidLastSave="{00000000-0000-0000-0000-000000000000}"/>
  <bookViews>
    <workbookView xWindow="-120" yWindow="-120" windowWidth="29040" windowHeight="15840" xr2:uid="{00000000-000D-0000-FFFF-FFFF00000000}"/>
  </bookViews>
  <sheets>
    <sheet name="Contents" sheetId="1" r:id="rId1"/>
    <sheet name="Summary of County Progress re H" sheetId="2" r:id="rId2"/>
    <sheet name="Prorated Housing Progress by Co" sheetId="3" r:id="rId3"/>
    <sheet name="Prorated Housing Progress by Ci" sheetId="4" r:id="rId4"/>
    <sheet name="5th Cycle Permits thru 2019 by " sheetId="5" r:id="rId5"/>
    <sheet name="HCD permit data thru 2019 - cle" sheetId="6" r:id="rId6"/>
    <sheet name="HCD 5th Cycle Raw Permit Data t" sheetId="7" r:id="rId7"/>
    <sheet name="HCD Assigned 5th Cycle RHNA" sheetId="8" r:id="rId8"/>
    <sheet name="Department of Finance Projected" sheetId="9" r:id="rId9"/>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6" i="9" l="1"/>
  <c r="L46" i="8"/>
  <c r="P44" i="8"/>
  <c r="O44" i="8"/>
  <c r="M44" i="8"/>
  <c r="P43" i="8"/>
  <c r="O43" i="8"/>
  <c r="M43" i="8"/>
  <c r="O42" i="8"/>
  <c r="P42" i="8" s="1"/>
  <c r="M42" i="8"/>
  <c r="O41" i="8"/>
  <c r="P41" i="8" s="1"/>
  <c r="M41" i="8"/>
  <c r="O40" i="8"/>
  <c r="P40" i="8" s="1"/>
  <c r="M40" i="8"/>
  <c r="P39" i="8"/>
  <c r="O39" i="8"/>
  <c r="M39" i="8"/>
  <c r="O38" i="8"/>
  <c r="P38" i="8" s="1"/>
  <c r="M38" i="8"/>
  <c r="O37" i="8"/>
  <c r="P37" i="8" s="1"/>
  <c r="M37" i="8"/>
  <c r="P36" i="8"/>
  <c r="O36" i="8"/>
  <c r="M36" i="8"/>
  <c r="O35" i="8"/>
  <c r="P35" i="8" s="1"/>
  <c r="M35" i="8"/>
  <c r="O34" i="8"/>
  <c r="P34" i="8" s="1"/>
  <c r="M34" i="8"/>
  <c r="O33" i="8"/>
  <c r="P33" i="8" s="1"/>
  <c r="M33" i="8"/>
  <c r="P32" i="8"/>
  <c r="O32" i="8"/>
  <c r="M32" i="8"/>
  <c r="O31" i="8"/>
  <c r="P31" i="8" s="1"/>
  <c r="M31" i="8"/>
  <c r="P30" i="8"/>
  <c r="O30" i="8"/>
  <c r="M30" i="8"/>
  <c r="O29" i="8"/>
  <c r="P29" i="8" s="1"/>
  <c r="M29" i="8"/>
  <c r="P28" i="8"/>
  <c r="O28" i="8"/>
  <c r="M28" i="8"/>
  <c r="P27" i="8"/>
  <c r="O27" i="8"/>
  <c r="M27" i="8"/>
  <c r="P26" i="8"/>
  <c r="O26" i="8"/>
  <c r="M26" i="8"/>
  <c r="P25" i="8"/>
  <c r="O25" i="8"/>
  <c r="M25" i="8"/>
  <c r="O24" i="8"/>
  <c r="P24" i="8" s="1"/>
  <c r="M24" i="8"/>
  <c r="P23" i="8"/>
  <c r="O23" i="8"/>
  <c r="M23" i="8"/>
  <c r="O22" i="8"/>
  <c r="P22" i="8" s="1"/>
  <c r="M22" i="8"/>
  <c r="O21" i="8"/>
  <c r="P21" i="8" s="1"/>
  <c r="M21" i="8"/>
  <c r="P20" i="8"/>
  <c r="O20" i="8"/>
  <c r="M20" i="8"/>
  <c r="O19" i="8"/>
  <c r="P19" i="8" s="1"/>
  <c r="M19" i="8"/>
  <c r="O18" i="8"/>
  <c r="P18" i="8" s="1"/>
  <c r="M18" i="8"/>
  <c r="O17" i="8"/>
  <c r="P17" i="8" s="1"/>
  <c r="M17" i="8"/>
  <c r="P16" i="8"/>
  <c r="O16" i="8"/>
  <c r="M16" i="8"/>
  <c r="O15" i="8"/>
  <c r="P15" i="8" s="1"/>
  <c r="M15" i="8"/>
  <c r="P14" i="8"/>
  <c r="O14" i="8"/>
  <c r="M14" i="8"/>
  <c r="O13" i="8"/>
  <c r="P13" i="8" s="1"/>
  <c r="M13" i="8"/>
  <c r="P12" i="8"/>
  <c r="O12" i="8"/>
  <c r="M12" i="8"/>
  <c r="P11" i="8"/>
  <c r="O11" i="8"/>
  <c r="M11" i="8"/>
  <c r="P10" i="8"/>
  <c r="O10" i="8"/>
  <c r="M10" i="8"/>
  <c r="P9" i="8"/>
  <c r="O9" i="8"/>
  <c r="M9" i="8"/>
  <c r="O8" i="8"/>
  <c r="P8" i="8" s="1"/>
  <c r="M8" i="8"/>
  <c r="P7" i="8"/>
  <c r="O7" i="8"/>
  <c r="M7" i="8"/>
  <c r="O6" i="8"/>
  <c r="M6" i="8"/>
  <c r="Z2561" i="6"/>
  <c r="Y2561" i="6"/>
  <c r="X2561" i="6"/>
  <c r="W2561" i="6"/>
  <c r="V2561" i="6"/>
  <c r="U2561" i="6"/>
  <c r="T2561" i="6"/>
  <c r="S2561" i="6"/>
  <c r="Z2559" i="6"/>
  <c r="Z2562" i="6" s="1"/>
  <c r="X2559" i="6"/>
  <c r="W2559" i="6"/>
  <c r="U2559" i="6"/>
  <c r="Y2559" i="6" s="1"/>
  <c r="T2559" i="6"/>
  <c r="S2559" i="6"/>
  <c r="Z2557" i="6"/>
  <c r="X2557" i="6"/>
  <c r="W2557" i="6"/>
  <c r="W2562" i="6" s="1"/>
  <c r="V2557" i="6"/>
  <c r="V2562" i="6" s="1"/>
  <c r="U2557" i="6"/>
  <c r="T2557" i="6"/>
  <c r="T2562" i="6" s="1"/>
  <c r="S2557" i="6"/>
  <c r="Z2553" i="6"/>
  <c r="Y2553" i="6"/>
  <c r="X2553" i="6"/>
  <c r="W2553" i="6"/>
  <c r="V2553" i="6"/>
  <c r="U2553" i="6"/>
  <c r="T2553" i="6"/>
  <c r="S2553" i="6"/>
  <c r="Z2547" i="6"/>
  <c r="X2547" i="6"/>
  <c r="W2547" i="6"/>
  <c r="V2547" i="6"/>
  <c r="U2547" i="6"/>
  <c r="Y2547" i="6" s="1"/>
  <c r="T2547" i="6"/>
  <c r="S2547" i="6"/>
  <c r="Z2540" i="6"/>
  <c r="Y2540" i="6"/>
  <c r="X2540" i="6"/>
  <c r="W2540" i="6"/>
  <c r="V2540" i="6"/>
  <c r="U2540" i="6"/>
  <c r="T2540" i="6"/>
  <c r="S2540" i="6"/>
  <c r="Z2533" i="6"/>
  <c r="Z2554" i="6" s="1"/>
  <c r="X2533" i="6"/>
  <c r="W2533" i="6"/>
  <c r="V2533" i="6"/>
  <c r="U2533" i="6"/>
  <c r="Y2533" i="6" s="1"/>
  <c r="T2533" i="6"/>
  <c r="T2554" i="6" s="1"/>
  <c r="S2533" i="6"/>
  <c r="Z2526" i="6"/>
  <c r="Y2526" i="6"/>
  <c r="X2526" i="6"/>
  <c r="W2526" i="6"/>
  <c r="W2554" i="6" s="1"/>
  <c r="V2526" i="6"/>
  <c r="V2554" i="6" s="1"/>
  <c r="U2526" i="6"/>
  <c r="U2554" i="6" s="1"/>
  <c r="T2526" i="6"/>
  <c r="S2526" i="6"/>
  <c r="S2554" i="6" s="1"/>
  <c r="Z2518" i="6"/>
  <c r="X2518" i="6"/>
  <c r="W2518" i="6"/>
  <c r="V2518" i="6"/>
  <c r="U2518" i="6"/>
  <c r="T2518" i="6"/>
  <c r="S2518" i="6"/>
  <c r="Y2518" i="6" s="1"/>
  <c r="Z2512" i="6"/>
  <c r="X2512" i="6"/>
  <c r="W2512" i="6"/>
  <c r="V2512" i="6"/>
  <c r="U2512" i="6"/>
  <c r="Y2512" i="6" s="1"/>
  <c r="T2512" i="6"/>
  <c r="S2512" i="6"/>
  <c r="Z2506" i="6"/>
  <c r="X2506" i="6"/>
  <c r="W2506" i="6"/>
  <c r="V2506" i="6"/>
  <c r="U2506" i="6"/>
  <c r="T2506" i="6"/>
  <c r="S2506" i="6"/>
  <c r="Y2506" i="6" s="1"/>
  <c r="Z2500" i="6"/>
  <c r="X2500" i="6"/>
  <c r="W2500" i="6"/>
  <c r="V2500" i="6"/>
  <c r="U2500" i="6"/>
  <c r="Y2500" i="6" s="1"/>
  <c r="T2500" i="6"/>
  <c r="S2500" i="6"/>
  <c r="Z2497" i="6"/>
  <c r="Y2497" i="6"/>
  <c r="X2497" i="6"/>
  <c r="W2497" i="6"/>
  <c r="V2497" i="6"/>
  <c r="U2497" i="6"/>
  <c r="T2497" i="6"/>
  <c r="S2497" i="6"/>
  <c r="Z2491" i="6"/>
  <c r="X2491" i="6"/>
  <c r="W2491" i="6"/>
  <c r="V2491" i="6"/>
  <c r="U2491" i="6"/>
  <c r="T2491" i="6"/>
  <c r="S2491" i="6"/>
  <c r="Y2491" i="6" s="1"/>
  <c r="Z2488" i="6"/>
  <c r="Y2488" i="6"/>
  <c r="X2488" i="6"/>
  <c r="W2488" i="6"/>
  <c r="V2488" i="6"/>
  <c r="U2488" i="6"/>
  <c r="T2488" i="6"/>
  <c r="S2488" i="6"/>
  <c r="Z2482" i="6"/>
  <c r="X2482" i="6"/>
  <c r="W2482" i="6"/>
  <c r="V2482" i="6"/>
  <c r="U2482" i="6"/>
  <c r="T2482" i="6"/>
  <c r="S2482" i="6"/>
  <c r="Y2482" i="6" s="1"/>
  <c r="Z2478" i="6"/>
  <c r="X2478" i="6"/>
  <c r="W2478" i="6"/>
  <c r="V2478" i="6"/>
  <c r="U2478" i="6"/>
  <c r="T2478" i="6"/>
  <c r="S2478" i="6"/>
  <c r="Y2478" i="6" s="1"/>
  <c r="Z2472" i="6"/>
  <c r="Z2519" i="6" s="1"/>
  <c r="X2472" i="6"/>
  <c r="W2472" i="6"/>
  <c r="V2472" i="6"/>
  <c r="V2519" i="6" s="1"/>
  <c r="U2472" i="6"/>
  <c r="U2519" i="6" s="1"/>
  <c r="T2472" i="6"/>
  <c r="T2519" i="6" s="1"/>
  <c r="S2472" i="6"/>
  <c r="Y2466" i="6"/>
  <c r="X2466" i="6"/>
  <c r="S2466" i="6"/>
  <c r="Z2465" i="6"/>
  <c r="X2465" i="6"/>
  <c r="W2465" i="6"/>
  <c r="V2465" i="6"/>
  <c r="U2465" i="6"/>
  <c r="T2465" i="6"/>
  <c r="S2465" i="6"/>
  <c r="Y2465" i="6" s="1"/>
  <c r="Z2459" i="6"/>
  <c r="Z2466" i="6" s="1"/>
  <c r="Y2459" i="6"/>
  <c r="X2459" i="6"/>
  <c r="W2459" i="6"/>
  <c r="W2466" i="6" s="1"/>
  <c r="V2459" i="6"/>
  <c r="V2466" i="6" s="1"/>
  <c r="U2459" i="6"/>
  <c r="U2466" i="6" s="1"/>
  <c r="T2459" i="6"/>
  <c r="T2466" i="6" s="1"/>
  <c r="S2459" i="6"/>
  <c r="Z2452" i="6"/>
  <c r="X2452" i="6"/>
  <c r="W2452" i="6"/>
  <c r="V2452" i="6"/>
  <c r="U2452" i="6"/>
  <c r="T2452" i="6"/>
  <c r="S2452" i="6"/>
  <c r="Y2452" i="6" s="1"/>
  <c r="Z2447" i="6"/>
  <c r="X2447" i="6"/>
  <c r="W2447" i="6"/>
  <c r="V2447" i="6"/>
  <c r="U2447" i="6"/>
  <c r="T2447" i="6"/>
  <c r="S2447" i="6"/>
  <c r="Y2447" i="6" s="1"/>
  <c r="Z2442" i="6"/>
  <c r="Y2442" i="6"/>
  <c r="X2442" i="6"/>
  <c r="W2442" i="6"/>
  <c r="V2442" i="6"/>
  <c r="U2442" i="6"/>
  <c r="T2442" i="6"/>
  <c r="S2442" i="6"/>
  <c r="Z2437" i="6"/>
  <c r="X2437" i="6"/>
  <c r="W2437" i="6"/>
  <c r="V2437" i="6"/>
  <c r="U2437" i="6"/>
  <c r="T2437" i="6"/>
  <c r="S2437" i="6"/>
  <c r="Y2437" i="6" s="1"/>
  <c r="Z2432" i="6"/>
  <c r="X2432" i="6"/>
  <c r="W2432" i="6"/>
  <c r="V2432" i="6"/>
  <c r="U2432" i="6"/>
  <c r="T2432" i="6"/>
  <c r="S2432" i="6"/>
  <c r="Y2432" i="6" s="1"/>
  <c r="Z2428" i="6"/>
  <c r="X2428" i="6"/>
  <c r="W2428" i="6"/>
  <c r="V2428" i="6"/>
  <c r="U2428" i="6"/>
  <c r="T2428" i="6"/>
  <c r="S2428" i="6"/>
  <c r="Y2428" i="6" s="1"/>
  <c r="Z2423" i="6"/>
  <c r="Y2423" i="6"/>
  <c r="X2423" i="6"/>
  <c r="W2423" i="6"/>
  <c r="V2423" i="6"/>
  <c r="U2423" i="6"/>
  <c r="T2423" i="6"/>
  <c r="S2423" i="6"/>
  <c r="Z2420" i="6"/>
  <c r="Z2453" i="6" s="1"/>
  <c r="X2420" i="6"/>
  <c r="W2420" i="6"/>
  <c r="V2420" i="6"/>
  <c r="U2420" i="6"/>
  <c r="U2453" i="6" s="1"/>
  <c r="T2420" i="6"/>
  <c r="T2453" i="6" s="1"/>
  <c r="S2420" i="6"/>
  <c r="Y2420" i="6" s="1"/>
  <c r="Z2417" i="6"/>
  <c r="Y2417" i="6"/>
  <c r="X2417" i="6"/>
  <c r="X2453" i="6" s="1"/>
  <c r="W2417" i="6"/>
  <c r="V2417" i="6"/>
  <c r="V2453" i="6" s="1"/>
  <c r="U2417" i="6"/>
  <c r="T2417" i="6"/>
  <c r="S2417" i="6"/>
  <c r="Z2411" i="6"/>
  <c r="Y2411" i="6"/>
  <c r="X2411" i="6"/>
  <c r="W2411" i="6"/>
  <c r="V2411" i="6"/>
  <c r="U2411" i="6"/>
  <c r="T2411" i="6"/>
  <c r="S2411" i="6"/>
  <c r="X2409" i="6"/>
  <c r="W2409" i="6"/>
  <c r="Z2408" i="6"/>
  <c r="X2408" i="6"/>
  <c r="W2408" i="6"/>
  <c r="V2408" i="6"/>
  <c r="U2408" i="6"/>
  <c r="T2408" i="6"/>
  <c r="S2408" i="6"/>
  <c r="Y2408" i="6" s="1"/>
  <c r="Z2403" i="6"/>
  <c r="X2403" i="6"/>
  <c r="W2403" i="6"/>
  <c r="V2403" i="6"/>
  <c r="U2403" i="6"/>
  <c r="T2403" i="6"/>
  <c r="S2403" i="6"/>
  <c r="Y2403" i="6" s="1"/>
  <c r="Z2400" i="6"/>
  <c r="X2400" i="6"/>
  <c r="W2400" i="6"/>
  <c r="V2400" i="6"/>
  <c r="U2400" i="6"/>
  <c r="T2400" i="6"/>
  <c r="S2400" i="6"/>
  <c r="Y2400" i="6" s="1"/>
  <c r="Z2394" i="6"/>
  <c r="Z2409" i="6" s="1"/>
  <c r="X2394" i="6"/>
  <c r="W2394" i="6"/>
  <c r="V2394" i="6"/>
  <c r="V2409" i="6" s="1"/>
  <c r="U2394" i="6"/>
  <c r="U2409" i="6" s="1"/>
  <c r="T2394" i="6"/>
  <c r="T2409" i="6" s="1"/>
  <c r="S2394" i="6"/>
  <c r="Z2391" i="6"/>
  <c r="X2391" i="6"/>
  <c r="W2391" i="6"/>
  <c r="V2391" i="6"/>
  <c r="U2391" i="6"/>
  <c r="T2391" i="6"/>
  <c r="S2391" i="6"/>
  <c r="Y2391" i="6" s="1"/>
  <c r="Z2385" i="6"/>
  <c r="Z2392" i="6" s="1"/>
  <c r="X2385" i="6"/>
  <c r="W2385" i="6"/>
  <c r="V2385" i="6"/>
  <c r="U2385" i="6"/>
  <c r="U2392" i="6" s="1"/>
  <c r="T2385" i="6"/>
  <c r="T2392" i="6" s="1"/>
  <c r="S2385" i="6"/>
  <c r="Y2385" i="6" s="1"/>
  <c r="Z2378" i="6"/>
  <c r="Y2378" i="6"/>
  <c r="Y2392" i="6" s="1"/>
  <c r="X2378" i="6"/>
  <c r="W2378" i="6"/>
  <c r="V2378" i="6"/>
  <c r="V2392" i="6" s="1"/>
  <c r="U2378" i="6"/>
  <c r="T2378" i="6"/>
  <c r="S2378" i="6"/>
  <c r="Z2370" i="6"/>
  <c r="X2370" i="6"/>
  <c r="W2370" i="6"/>
  <c r="V2370" i="6"/>
  <c r="U2370" i="6"/>
  <c r="T2370" i="6"/>
  <c r="S2370" i="6"/>
  <c r="Y2370" i="6" s="1"/>
  <c r="Z2368" i="6"/>
  <c r="X2368" i="6"/>
  <c r="W2368" i="6"/>
  <c r="V2368" i="6"/>
  <c r="U2368" i="6"/>
  <c r="T2368" i="6"/>
  <c r="S2368" i="6"/>
  <c r="Y2368" i="6" s="1"/>
  <c r="Z2364" i="6"/>
  <c r="X2364" i="6"/>
  <c r="W2364" i="6"/>
  <c r="V2364" i="6"/>
  <c r="U2364" i="6"/>
  <c r="T2364" i="6"/>
  <c r="S2364" i="6"/>
  <c r="Y2364" i="6" s="1"/>
  <c r="Z2359" i="6"/>
  <c r="X2359" i="6"/>
  <c r="W2359" i="6"/>
  <c r="V2359" i="6"/>
  <c r="U2359" i="6"/>
  <c r="T2359" i="6"/>
  <c r="S2359" i="6"/>
  <c r="Y2359" i="6" s="1"/>
  <c r="Z2353" i="6"/>
  <c r="X2353" i="6"/>
  <c r="W2353" i="6"/>
  <c r="V2353" i="6"/>
  <c r="U2353" i="6"/>
  <c r="T2353" i="6"/>
  <c r="S2353" i="6"/>
  <c r="Y2353" i="6" s="1"/>
  <c r="Z2349" i="6"/>
  <c r="Y2349" i="6"/>
  <c r="X2349" i="6"/>
  <c r="W2349" i="6"/>
  <c r="V2349" i="6"/>
  <c r="U2349" i="6"/>
  <c r="T2349" i="6"/>
  <c r="S2349" i="6"/>
  <c r="Z2348" i="6"/>
  <c r="X2348" i="6"/>
  <c r="W2348" i="6"/>
  <c r="V2348" i="6"/>
  <c r="U2348" i="6"/>
  <c r="T2348" i="6"/>
  <c r="S2348" i="6"/>
  <c r="Y2348" i="6" s="1"/>
  <c r="Z2343" i="6"/>
  <c r="Z2371" i="6" s="1"/>
  <c r="X2343" i="6"/>
  <c r="W2343" i="6"/>
  <c r="V2343" i="6"/>
  <c r="U2343" i="6"/>
  <c r="U2371" i="6" s="1"/>
  <c r="T2343" i="6"/>
  <c r="T2371" i="6" s="1"/>
  <c r="S2343" i="6"/>
  <c r="Y2343" i="6" s="1"/>
  <c r="Z2338" i="6"/>
  <c r="X2338" i="6"/>
  <c r="W2338" i="6"/>
  <c r="V2338" i="6"/>
  <c r="V2371" i="6" s="1"/>
  <c r="U2338" i="6"/>
  <c r="T2338" i="6"/>
  <c r="S2338" i="6"/>
  <c r="Z2333" i="6"/>
  <c r="Y2333" i="6"/>
  <c r="X2333" i="6"/>
  <c r="W2333" i="6"/>
  <c r="V2333" i="6"/>
  <c r="U2333" i="6"/>
  <c r="T2333" i="6"/>
  <c r="S2333" i="6"/>
  <c r="Z2327" i="6"/>
  <c r="X2327" i="6"/>
  <c r="W2327" i="6"/>
  <c r="V2327" i="6"/>
  <c r="U2327" i="6"/>
  <c r="T2327" i="6"/>
  <c r="S2327" i="6"/>
  <c r="Y2327" i="6" s="1"/>
  <c r="Z2321" i="6"/>
  <c r="Y2321" i="6"/>
  <c r="X2321" i="6"/>
  <c r="W2321" i="6"/>
  <c r="V2321" i="6"/>
  <c r="U2321" i="6"/>
  <c r="T2321" i="6"/>
  <c r="S2321" i="6"/>
  <c r="Z2317" i="6"/>
  <c r="X2317" i="6"/>
  <c r="W2317" i="6"/>
  <c r="V2317" i="6"/>
  <c r="U2317" i="6"/>
  <c r="T2317" i="6"/>
  <c r="S2317" i="6"/>
  <c r="Y2317" i="6" s="1"/>
  <c r="Z2311" i="6"/>
  <c r="Y2311" i="6"/>
  <c r="X2311" i="6"/>
  <c r="W2311" i="6"/>
  <c r="V2311" i="6"/>
  <c r="U2311" i="6"/>
  <c r="T2311" i="6"/>
  <c r="S2311" i="6"/>
  <c r="Z2306" i="6"/>
  <c r="X2306" i="6"/>
  <c r="W2306" i="6"/>
  <c r="V2306" i="6"/>
  <c r="U2306" i="6"/>
  <c r="T2306" i="6"/>
  <c r="S2306" i="6"/>
  <c r="Y2306" i="6" s="1"/>
  <c r="Z2300" i="6"/>
  <c r="X2300" i="6"/>
  <c r="W2300" i="6"/>
  <c r="V2300" i="6"/>
  <c r="U2300" i="6"/>
  <c r="T2300" i="6"/>
  <c r="S2300" i="6"/>
  <c r="Y2300" i="6" s="1"/>
  <c r="Z2295" i="6"/>
  <c r="X2295" i="6"/>
  <c r="W2295" i="6"/>
  <c r="V2295" i="6"/>
  <c r="U2295" i="6"/>
  <c r="T2295" i="6"/>
  <c r="S2295" i="6"/>
  <c r="Y2295" i="6" s="1"/>
  <c r="Z2289" i="6"/>
  <c r="X2289" i="6"/>
  <c r="W2289" i="6"/>
  <c r="V2289" i="6"/>
  <c r="U2289" i="6"/>
  <c r="T2289" i="6"/>
  <c r="S2289" i="6"/>
  <c r="Y2289" i="6" s="1"/>
  <c r="Z2285" i="6"/>
  <c r="Z2334" i="6" s="1"/>
  <c r="X2285" i="6"/>
  <c r="W2285" i="6"/>
  <c r="V2285" i="6"/>
  <c r="V2334" i="6" s="1"/>
  <c r="U2285" i="6"/>
  <c r="U2334" i="6" s="1"/>
  <c r="T2285" i="6"/>
  <c r="T2334" i="6" s="1"/>
  <c r="S2285" i="6"/>
  <c r="Z2278" i="6"/>
  <c r="X2278" i="6"/>
  <c r="W2278" i="6"/>
  <c r="V2278" i="6"/>
  <c r="U2278" i="6"/>
  <c r="T2278" i="6"/>
  <c r="S2278" i="6"/>
  <c r="Y2278" i="6" s="1"/>
  <c r="Z2274" i="6"/>
  <c r="X2274" i="6"/>
  <c r="W2274" i="6"/>
  <c r="V2274" i="6"/>
  <c r="U2274" i="6"/>
  <c r="T2274" i="6"/>
  <c r="S2274" i="6"/>
  <c r="Y2274" i="6" s="1"/>
  <c r="Z2269" i="6"/>
  <c r="X2269" i="6"/>
  <c r="W2269" i="6"/>
  <c r="V2269" i="6"/>
  <c r="U2269" i="6"/>
  <c r="T2269" i="6"/>
  <c r="S2269" i="6"/>
  <c r="Y2269" i="6" s="1"/>
  <c r="Z2263" i="6"/>
  <c r="Y2263" i="6"/>
  <c r="X2263" i="6"/>
  <c r="W2263" i="6"/>
  <c r="V2263" i="6"/>
  <c r="U2263" i="6"/>
  <c r="T2263" i="6"/>
  <c r="S2263" i="6"/>
  <c r="Z2257" i="6"/>
  <c r="X2257" i="6"/>
  <c r="W2257" i="6"/>
  <c r="V2257" i="6"/>
  <c r="U2257" i="6"/>
  <c r="T2257" i="6"/>
  <c r="S2257" i="6"/>
  <c r="Y2257" i="6" s="1"/>
  <c r="Z2252" i="6"/>
  <c r="X2252" i="6"/>
  <c r="X2279" i="6" s="1"/>
  <c r="W2252" i="6"/>
  <c r="V2252" i="6"/>
  <c r="U2252" i="6"/>
  <c r="T2252" i="6"/>
  <c r="S2252" i="6"/>
  <c r="Y2252" i="6" s="1"/>
  <c r="Z2246" i="6"/>
  <c r="X2246" i="6"/>
  <c r="W2246" i="6"/>
  <c r="V2246" i="6"/>
  <c r="U2246" i="6"/>
  <c r="T2246" i="6"/>
  <c r="S2246" i="6"/>
  <c r="Y2246" i="6" s="1"/>
  <c r="Z2241" i="6"/>
  <c r="Z2279" i="6" s="1"/>
  <c r="Y2241" i="6"/>
  <c r="X2241" i="6"/>
  <c r="W2241" i="6"/>
  <c r="W2279" i="6" s="1"/>
  <c r="V2241" i="6"/>
  <c r="V2279" i="6" s="1"/>
  <c r="U2241" i="6"/>
  <c r="U2279" i="6" s="1"/>
  <c r="T2241" i="6"/>
  <c r="T2279" i="6" s="1"/>
  <c r="S2241" i="6"/>
  <c r="Z2234" i="6"/>
  <c r="X2234" i="6"/>
  <c r="W2234" i="6"/>
  <c r="V2234" i="6"/>
  <c r="U2234" i="6"/>
  <c r="T2234" i="6"/>
  <c r="S2234" i="6"/>
  <c r="Y2234" i="6" s="1"/>
  <c r="Z2229" i="6"/>
  <c r="X2229" i="6"/>
  <c r="W2229" i="6"/>
  <c r="V2229" i="6"/>
  <c r="U2229" i="6"/>
  <c r="T2229" i="6"/>
  <c r="S2229" i="6"/>
  <c r="Y2229" i="6" s="1"/>
  <c r="Z2227" i="6"/>
  <c r="X2227" i="6"/>
  <c r="W2227" i="6"/>
  <c r="V2227" i="6"/>
  <c r="U2227" i="6"/>
  <c r="T2227" i="6"/>
  <c r="S2227" i="6"/>
  <c r="Y2227" i="6" s="1"/>
  <c r="Z2225" i="6"/>
  <c r="Y2225" i="6"/>
  <c r="X2225" i="6"/>
  <c r="W2225" i="6"/>
  <c r="V2225" i="6"/>
  <c r="U2225" i="6"/>
  <c r="T2225" i="6"/>
  <c r="S2225" i="6"/>
  <c r="Z2224" i="6"/>
  <c r="X2224" i="6"/>
  <c r="W2224" i="6"/>
  <c r="V2224" i="6"/>
  <c r="U2224" i="6"/>
  <c r="T2224" i="6"/>
  <c r="S2224" i="6"/>
  <c r="Y2224" i="6" s="1"/>
  <c r="Z2222" i="6"/>
  <c r="X2222" i="6"/>
  <c r="W2222" i="6"/>
  <c r="V2222" i="6"/>
  <c r="U2222" i="6"/>
  <c r="T2222" i="6"/>
  <c r="S2222" i="6"/>
  <c r="Y2222" i="6" s="1"/>
  <c r="Z2219" i="6"/>
  <c r="Y2219" i="6"/>
  <c r="X2219" i="6"/>
  <c r="W2219" i="6"/>
  <c r="V2219" i="6"/>
  <c r="U2219" i="6"/>
  <c r="T2219" i="6"/>
  <c r="S2219" i="6"/>
  <c r="Z2218" i="6"/>
  <c r="X2218" i="6"/>
  <c r="W2218" i="6"/>
  <c r="V2218" i="6"/>
  <c r="U2218" i="6"/>
  <c r="T2218" i="6"/>
  <c r="S2218" i="6"/>
  <c r="Y2218" i="6" s="1"/>
  <c r="Z2215" i="6"/>
  <c r="X2215" i="6"/>
  <c r="W2215" i="6"/>
  <c r="V2215" i="6"/>
  <c r="U2215" i="6"/>
  <c r="T2215" i="6"/>
  <c r="S2215" i="6"/>
  <c r="Y2215" i="6" s="1"/>
  <c r="Z2209" i="6"/>
  <c r="Z2235" i="6" s="1"/>
  <c r="X2209" i="6"/>
  <c r="X2235" i="6" s="1"/>
  <c r="W2209" i="6"/>
  <c r="V2209" i="6"/>
  <c r="V2235" i="6" s="1"/>
  <c r="U2209" i="6"/>
  <c r="U2235" i="6" s="1"/>
  <c r="T2209" i="6"/>
  <c r="T2235" i="6" s="1"/>
  <c r="S2209" i="6"/>
  <c r="Z2203" i="6"/>
  <c r="X2203" i="6"/>
  <c r="W2203" i="6"/>
  <c r="V2203" i="6"/>
  <c r="U2203" i="6"/>
  <c r="T2203" i="6"/>
  <c r="S2203" i="6"/>
  <c r="Y2203" i="6" s="1"/>
  <c r="Z2198" i="6"/>
  <c r="Y2198" i="6"/>
  <c r="X2198" i="6"/>
  <c r="W2198" i="6"/>
  <c r="V2198" i="6"/>
  <c r="U2198" i="6"/>
  <c r="T2198" i="6"/>
  <c r="S2198" i="6"/>
  <c r="Z2195" i="6"/>
  <c r="X2195" i="6"/>
  <c r="W2195" i="6"/>
  <c r="V2195" i="6"/>
  <c r="U2195" i="6"/>
  <c r="T2195" i="6"/>
  <c r="S2195" i="6"/>
  <c r="Y2195" i="6" s="1"/>
  <c r="Z2189" i="6"/>
  <c r="Z2204" i="6" s="1"/>
  <c r="Y2189" i="6"/>
  <c r="X2189" i="6"/>
  <c r="X2204" i="6" s="1"/>
  <c r="W2189" i="6"/>
  <c r="W2204" i="6" s="1"/>
  <c r="V2189" i="6"/>
  <c r="V2204" i="6" s="1"/>
  <c r="U2189" i="6"/>
  <c r="U2204" i="6" s="1"/>
  <c r="T2189" i="6"/>
  <c r="T2204" i="6" s="1"/>
  <c r="S2189" i="6"/>
  <c r="S2204" i="6" s="1"/>
  <c r="Z2183" i="6"/>
  <c r="X2183" i="6"/>
  <c r="W2183" i="6"/>
  <c r="V2183" i="6"/>
  <c r="U2183" i="6"/>
  <c r="T2183" i="6"/>
  <c r="S2183" i="6"/>
  <c r="Y2183" i="6" s="1"/>
  <c r="Z2179" i="6"/>
  <c r="X2179" i="6"/>
  <c r="W2179" i="6"/>
  <c r="V2179" i="6"/>
  <c r="U2179" i="6"/>
  <c r="T2179" i="6"/>
  <c r="S2179" i="6"/>
  <c r="Y2179" i="6" s="1"/>
  <c r="Z2174" i="6"/>
  <c r="X2174" i="6"/>
  <c r="W2174" i="6"/>
  <c r="V2174" i="6"/>
  <c r="U2174" i="6"/>
  <c r="T2174" i="6"/>
  <c r="S2174" i="6"/>
  <c r="Y2174" i="6" s="1"/>
  <c r="Z2169" i="6"/>
  <c r="X2169" i="6"/>
  <c r="W2169" i="6"/>
  <c r="V2169" i="6"/>
  <c r="U2169" i="6"/>
  <c r="U2184" i="6" s="1"/>
  <c r="T2169" i="6"/>
  <c r="T2184" i="6" s="1"/>
  <c r="S2169" i="6"/>
  <c r="Y2169" i="6" s="1"/>
  <c r="Z2164" i="6"/>
  <c r="X2164" i="6"/>
  <c r="W2164" i="6"/>
  <c r="V2164" i="6"/>
  <c r="V2184" i="6" s="1"/>
  <c r="U2164" i="6"/>
  <c r="T2164" i="6"/>
  <c r="S2164" i="6"/>
  <c r="Z2158" i="6"/>
  <c r="Y2158" i="6"/>
  <c r="X2158" i="6"/>
  <c r="W2158" i="6"/>
  <c r="V2158" i="6"/>
  <c r="U2158" i="6"/>
  <c r="T2158" i="6"/>
  <c r="S2158" i="6"/>
  <c r="Z2153" i="6"/>
  <c r="X2153" i="6"/>
  <c r="W2153" i="6"/>
  <c r="V2153" i="6"/>
  <c r="U2153" i="6"/>
  <c r="T2153" i="6"/>
  <c r="S2153" i="6"/>
  <c r="Y2153" i="6" s="1"/>
  <c r="Z2148" i="6"/>
  <c r="Y2148" i="6"/>
  <c r="X2148" i="6"/>
  <c r="W2148" i="6"/>
  <c r="V2148" i="6"/>
  <c r="U2148" i="6"/>
  <c r="T2148" i="6"/>
  <c r="S2148" i="6"/>
  <c r="Z2142" i="6"/>
  <c r="X2142" i="6"/>
  <c r="W2142" i="6"/>
  <c r="V2142" i="6"/>
  <c r="U2142" i="6"/>
  <c r="T2142" i="6"/>
  <c r="S2142" i="6"/>
  <c r="Y2142" i="6" s="1"/>
  <c r="Z2137" i="6"/>
  <c r="Y2137" i="6"/>
  <c r="X2137" i="6"/>
  <c r="W2137" i="6"/>
  <c r="V2137" i="6"/>
  <c r="U2137" i="6"/>
  <c r="T2137" i="6"/>
  <c r="S2137" i="6"/>
  <c r="Z2131" i="6"/>
  <c r="X2131" i="6"/>
  <c r="W2131" i="6"/>
  <c r="V2131" i="6"/>
  <c r="U2131" i="6"/>
  <c r="T2131" i="6"/>
  <c r="S2131" i="6"/>
  <c r="Y2131" i="6" s="1"/>
  <c r="Z2126" i="6"/>
  <c r="X2126" i="6"/>
  <c r="W2126" i="6"/>
  <c r="V2126" i="6"/>
  <c r="U2126" i="6"/>
  <c r="T2126" i="6"/>
  <c r="S2126" i="6"/>
  <c r="Y2126" i="6" s="1"/>
  <c r="Z2120" i="6"/>
  <c r="X2120" i="6"/>
  <c r="W2120" i="6"/>
  <c r="V2120" i="6"/>
  <c r="U2120" i="6"/>
  <c r="T2120" i="6"/>
  <c r="S2120" i="6"/>
  <c r="Y2120" i="6" s="1"/>
  <c r="Z2115" i="6"/>
  <c r="X2115" i="6"/>
  <c r="W2115" i="6"/>
  <c r="V2115" i="6"/>
  <c r="U2115" i="6"/>
  <c r="T2115" i="6"/>
  <c r="S2115" i="6"/>
  <c r="Y2115" i="6" s="1"/>
  <c r="Z2109" i="6"/>
  <c r="X2109" i="6"/>
  <c r="W2109" i="6"/>
  <c r="V2109" i="6"/>
  <c r="U2109" i="6"/>
  <c r="T2109" i="6"/>
  <c r="S2109" i="6"/>
  <c r="Y2109" i="6" s="1"/>
  <c r="Z2103" i="6"/>
  <c r="X2103" i="6"/>
  <c r="W2103" i="6"/>
  <c r="V2103" i="6"/>
  <c r="U2103" i="6"/>
  <c r="T2103" i="6"/>
  <c r="S2103" i="6"/>
  <c r="Y2103" i="6" s="1"/>
  <c r="Z2097" i="6"/>
  <c r="X2097" i="6"/>
  <c r="W2097" i="6"/>
  <c r="V2097" i="6"/>
  <c r="U2097" i="6"/>
  <c r="T2097" i="6"/>
  <c r="S2097" i="6"/>
  <c r="Y2097" i="6" s="1"/>
  <c r="Z2094" i="6"/>
  <c r="X2094" i="6"/>
  <c r="W2094" i="6"/>
  <c r="V2094" i="6"/>
  <c r="U2094" i="6"/>
  <c r="T2094" i="6"/>
  <c r="S2094" i="6"/>
  <c r="Y2094" i="6" s="1"/>
  <c r="Z2089" i="6"/>
  <c r="X2089" i="6"/>
  <c r="W2089" i="6"/>
  <c r="V2089" i="6"/>
  <c r="U2089" i="6"/>
  <c r="T2089" i="6"/>
  <c r="S2089" i="6"/>
  <c r="Z2084" i="6"/>
  <c r="X2084" i="6"/>
  <c r="W2084" i="6"/>
  <c r="V2084" i="6"/>
  <c r="U2084" i="6"/>
  <c r="T2084" i="6"/>
  <c r="S2084" i="6"/>
  <c r="Y2084" i="6" s="1"/>
  <c r="Z2079" i="6"/>
  <c r="Z2159" i="6" s="1"/>
  <c r="X2079" i="6"/>
  <c r="W2079" i="6"/>
  <c r="V2079" i="6"/>
  <c r="V2159" i="6" s="1"/>
  <c r="U2079" i="6"/>
  <c r="T2079" i="6"/>
  <c r="T2159" i="6" s="1"/>
  <c r="S2079" i="6"/>
  <c r="Z2073" i="6"/>
  <c r="X2073" i="6"/>
  <c r="W2073" i="6"/>
  <c r="V2073" i="6"/>
  <c r="U2073" i="6"/>
  <c r="T2073" i="6"/>
  <c r="S2073" i="6"/>
  <c r="Z2068" i="6"/>
  <c r="Y2068" i="6"/>
  <c r="X2068" i="6"/>
  <c r="W2068" i="6"/>
  <c r="V2068" i="6"/>
  <c r="U2068" i="6"/>
  <c r="T2068" i="6"/>
  <c r="S2068" i="6"/>
  <c r="Z2063" i="6"/>
  <c r="X2063" i="6"/>
  <c r="W2063" i="6"/>
  <c r="V2063" i="6"/>
  <c r="U2063" i="6"/>
  <c r="T2063" i="6"/>
  <c r="S2063" i="6"/>
  <c r="Y2063" i="6" s="1"/>
  <c r="Z2057" i="6"/>
  <c r="Y2057" i="6"/>
  <c r="X2057" i="6"/>
  <c r="W2057" i="6"/>
  <c r="V2057" i="6"/>
  <c r="U2057" i="6"/>
  <c r="T2057" i="6"/>
  <c r="S2057" i="6"/>
  <c r="Z2052" i="6"/>
  <c r="X2052" i="6"/>
  <c r="W2052" i="6"/>
  <c r="V2052" i="6"/>
  <c r="U2052" i="6"/>
  <c r="T2052" i="6"/>
  <c r="S2052" i="6"/>
  <c r="Y2052" i="6" s="1"/>
  <c r="Z2047" i="6"/>
  <c r="Y2047" i="6"/>
  <c r="X2047" i="6"/>
  <c r="W2047" i="6"/>
  <c r="V2047" i="6"/>
  <c r="U2047" i="6"/>
  <c r="T2047" i="6"/>
  <c r="S2047" i="6"/>
  <c r="Z2045" i="6"/>
  <c r="X2045" i="6"/>
  <c r="W2045" i="6"/>
  <c r="V2045" i="6"/>
  <c r="U2045" i="6"/>
  <c r="T2045" i="6"/>
  <c r="S2045" i="6"/>
  <c r="Z2039" i="6"/>
  <c r="Y2039" i="6"/>
  <c r="X2039" i="6"/>
  <c r="X2074" i="6" s="1"/>
  <c r="W2039" i="6"/>
  <c r="V2039" i="6"/>
  <c r="U2039" i="6"/>
  <c r="T2039" i="6"/>
  <c r="S2039" i="6"/>
  <c r="S2074" i="6" s="1"/>
  <c r="Z2033" i="6"/>
  <c r="X2033" i="6"/>
  <c r="W2033" i="6"/>
  <c r="V2033" i="6"/>
  <c r="V2074" i="6" s="1"/>
  <c r="U2033" i="6"/>
  <c r="T2033" i="6"/>
  <c r="T2074" i="6" s="1"/>
  <c r="S2033" i="6"/>
  <c r="Y2033" i="6" s="1"/>
  <c r="Z2026" i="6"/>
  <c r="X2026" i="6"/>
  <c r="W2026" i="6"/>
  <c r="V2026" i="6"/>
  <c r="U2026" i="6"/>
  <c r="T2026" i="6"/>
  <c r="S2026" i="6"/>
  <c r="Z2021" i="6"/>
  <c r="X2021" i="6"/>
  <c r="W2021" i="6"/>
  <c r="V2021" i="6"/>
  <c r="U2021" i="6"/>
  <c r="T2021" i="6"/>
  <c r="S2021" i="6"/>
  <c r="Y2021" i="6" s="1"/>
  <c r="Z2016" i="6"/>
  <c r="X2016" i="6"/>
  <c r="W2016" i="6"/>
  <c r="V2016" i="6"/>
  <c r="U2016" i="6"/>
  <c r="T2016" i="6"/>
  <c r="S2016" i="6"/>
  <c r="Z2011" i="6"/>
  <c r="X2011" i="6"/>
  <c r="W2011" i="6"/>
  <c r="V2011" i="6"/>
  <c r="U2011" i="6"/>
  <c r="T2011" i="6"/>
  <c r="S2011" i="6"/>
  <c r="Y2011" i="6" s="1"/>
  <c r="Z2006" i="6"/>
  <c r="X2006" i="6"/>
  <c r="W2006" i="6"/>
  <c r="V2006" i="6"/>
  <c r="U2006" i="6"/>
  <c r="T2006" i="6"/>
  <c r="S2006" i="6"/>
  <c r="Y2006" i="6" s="1"/>
  <c r="Z2002" i="6"/>
  <c r="X2002" i="6"/>
  <c r="W2002" i="6"/>
  <c r="V2002" i="6"/>
  <c r="U2002" i="6"/>
  <c r="T2002" i="6"/>
  <c r="S2002" i="6"/>
  <c r="Y2002" i="6" s="1"/>
  <c r="Z1996" i="6"/>
  <c r="X1996" i="6"/>
  <c r="W1996" i="6"/>
  <c r="V1996" i="6"/>
  <c r="U1996" i="6"/>
  <c r="T1996" i="6"/>
  <c r="S1996" i="6"/>
  <c r="Z1991" i="6"/>
  <c r="X1991" i="6"/>
  <c r="W1991" i="6"/>
  <c r="V1991" i="6"/>
  <c r="U1991" i="6"/>
  <c r="T1991" i="6"/>
  <c r="S1991" i="6"/>
  <c r="Y1991" i="6" s="1"/>
  <c r="Z1986" i="6"/>
  <c r="X1986" i="6"/>
  <c r="W1986" i="6"/>
  <c r="V1986" i="6"/>
  <c r="U1986" i="6"/>
  <c r="T1986" i="6"/>
  <c r="S1986" i="6"/>
  <c r="Z1981" i="6"/>
  <c r="X1981" i="6"/>
  <c r="W1981" i="6"/>
  <c r="V1981" i="6"/>
  <c r="U1981" i="6"/>
  <c r="T1981" i="6"/>
  <c r="S1981" i="6"/>
  <c r="Y1981" i="6" s="1"/>
  <c r="Z1977" i="6"/>
  <c r="X1977" i="6"/>
  <c r="W1977" i="6"/>
  <c r="V1977" i="6"/>
  <c r="U1977" i="6"/>
  <c r="T1977" i="6"/>
  <c r="S1977" i="6"/>
  <c r="Y1977" i="6" s="1"/>
  <c r="Z1972" i="6"/>
  <c r="Y1972" i="6"/>
  <c r="X1972" i="6"/>
  <c r="W1972" i="6"/>
  <c r="V1972" i="6"/>
  <c r="U1972" i="6"/>
  <c r="T1972" i="6"/>
  <c r="S1972" i="6"/>
  <c r="Z1968" i="6"/>
  <c r="X1968" i="6"/>
  <c r="W1968" i="6"/>
  <c r="V1968" i="6"/>
  <c r="U1968" i="6"/>
  <c r="T1968" i="6"/>
  <c r="S1968" i="6"/>
  <c r="Y1968" i="6" s="1"/>
  <c r="Z1962" i="6"/>
  <c r="X1962" i="6"/>
  <c r="W1962" i="6"/>
  <c r="V1962" i="6"/>
  <c r="U1962" i="6"/>
  <c r="T1962" i="6"/>
  <c r="S1962" i="6"/>
  <c r="Y1962" i="6" s="1"/>
  <c r="Z1957" i="6"/>
  <c r="X1957" i="6"/>
  <c r="W1957" i="6"/>
  <c r="V1957" i="6"/>
  <c r="U1957" i="6"/>
  <c r="T1957" i="6"/>
  <c r="S1957" i="6"/>
  <c r="Z1952" i="6"/>
  <c r="Y1952" i="6"/>
  <c r="X1952" i="6"/>
  <c r="W1952" i="6"/>
  <c r="V1952" i="6"/>
  <c r="U1952" i="6"/>
  <c r="T1952" i="6"/>
  <c r="S1952" i="6"/>
  <c r="Z1946" i="6"/>
  <c r="X1946" i="6"/>
  <c r="W1946" i="6"/>
  <c r="V1946" i="6"/>
  <c r="U1946" i="6"/>
  <c r="T1946" i="6"/>
  <c r="S1946" i="6"/>
  <c r="Y1946" i="6" s="1"/>
  <c r="Z1940" i="6"/>
  <c r="Y1940" i="6"/>
  <c r="X1940" i="6"/>
  <c r="W1940" i="6"/>
  <c r="V1940" i="6"/>
  <c r="U1940" i="6"/>
  <c r="T1940" i="6"/>
  <c r="S1940" i="6"/>
  <c r="Z1934" i="6"/>
  <c r="X1934" i="6"/>
  <c r="W1934" i="6"/>
  <c r="V1934" i="6"/>
  <c r="U1934" i="6"/>
  <c r="T1934" i="6"/>
  <c r="S1934" i="6"/>
  <c r="Y1934" i="6" s="1"/>
  <c r="Z1928" i="6"/>
  <c r="Y1928" i="6"/>
  <c r="X1928" i="6"/>
  <c r="X2027" i="6" s="1"/>
  <c r="W1928" i="6"/>
  <c r="W2027" i="6" s="1"/>
  <c r="V1928" i="6"/>
  <c r="U1928" i="6"/>
  <c r="T1928" i="6"/>
  <c r="S1928" i="6"/>
  <c r="Z1922" i="6"/>
  <c r="X1922" i="6"/>
  <c r="W1922" i="6"/>
  <c r="V1922" i="6"/>
  <c r="V2027" i="6" s="1"/>
  <c r="U1922" i="6"/>
  <c r="T1922" i="6"/>
  <c r="S1922" i="6"/>
  <c r="S2027" i="6" s="1"/>
  <c r="X1916" i="6"/>
  <c r="Z1915" i="6"/>
  <c r="X1915" i="6"/>
  <c r="W1915" i="6"/>
  <c r="V1915" i="6"/>
  <c r="U1915" i="6"/>
  <c r="T1915" i="6"/>
  <c r="S1915" i="6"/>
  <c r="Y1915" i="6" s="1"/>
  <c r="Z1909" i="6"/>
  <c r="Y1909" i="6"/>
  <c r="X1909" i="6"/>
  <c r="W1909" i="6"/>
  <c r="V1909" i="6"/>
  <c r="U1909" i="6"/>
  <c r="T1909" i="6"/>
  <c r="S1909" i="6"/>
  <c r="Z1903" i="6"/>
  <c r="X1903" i="6"/>
  <c r="W1903" i="6"/>
  <c r="V1903" i="6"/>
  <c r="U1903" i="6"/>
  <c r="T1903" i="6"/>
  <c r="S1903" i="6"/>
  <c r="Z1897" i="6"/>
  <c r="X1897" i="6"/>
  <c r="W1897" i="6"/>
  <c r="V1897" i="6"/>
  <c r="U1897" i="6"/>
  <c r="T1897" i="6"/>
  <c r="S1897" i="6"/>
  <c r="Z1891" i="6"/>
  <c r="X1891" i="6"/>
  <c r="W1891" i="6"/>
  <c r="V1891" i="6"/>
  <c r="U1891" i="6"/>
  <c r="T1891" i="6"/>
  <c r="S1891" i="6"/>
  <c r="Z1889" i="6"/>
  <c r="X1889" i="6"/>
  <c r="W1889" i="6"/>
  <c r="V1889" i="6"/>
  <c r="U1889" i="6"/>
  <c r="T1889" i="6"/>
  <c r="S1889" i="6"/>
  <c r="Y1889" i="6" s="1"/>
  <c r="Z1883" i="6"/>
  <c r="X1883" i="6"/>
  <c r="W1883" i="6"/>
  <c r="V1883" i="6"/>
  <c r="U1883" i="6"/>
  <c r="T1883" i="6"/>
  <c r="S1883" i="6"/>
  <c r="Y1883" i="6" s="1"/>
  <c r="Z1877" i="6"/>
  <c r="Y1877" i="6"/>
  <c r="X1877" i="6"/>
  <c r="W1877" i="6"/>
  <c r="W1916" i="6" s="1"/>
  <c r="V1877" i="6"/>
  <c r="V1916" i="6" s="1"/>
  <c r="U1877" i="6"/>
  <c r="U1916" i="6" s="1"/>
  <c r="T1877" i="6"/>
  <c r="T1916" i="6" s="1"/>
  <c r="S1877" i="6"/>
  <c r="U1874" i="6"/>
  <c r="S1874" i="6"/>
  <c r="Z1873" i="6"/>
  <c r="X1873" i="6"/>
  <c r="W1873" i="6"/>
  <c r="V1873" i="6"/>
  <c r="U1873" i="6"/>
  <c r="T1873" i="6"/>
  <c r="S1873" i="6"/>
  <c r="Y1873" i="6" s="1"/>
  <c r="Z1868" i="6"/>
  <c r="X1868" i="6"/>
  <c r="W1868" i="6"/>
  <c r="V1868" i="6"/>
  <c r="U1868" i="6"/>
  <c r="T1868" i="6"/>
  <c r="S1868" i="6"/>
  <c r="Z1865" i="6"/>
  <c r="Y1865" i="6"/>
  <c r="X1865" i="6"/>
  <c r="W1865" i="6"/>
  <c r="V1865" i="6"/>
  <c r="U1865" i="6"/>
  <c r="T1865" i="6"/>
  <c r="S1865" i="6"/>
  <c r="Z1861" i="6"/>
  <c r="Z1874" i="6" s="1"/>
  <c r="X1861" i="6"/>
  <c r="W1861" i="6"/>
  <c r="V1861" i="6"/>
  <c r="U1861" i="6"/>
  <c r="T1861" i="6"/>
  <c r="S1861" i="6"/>
  <c r="Y1861" i="6" s="1"/>
  <c r="Z1860" i="6"/>
  <c r="Y1860" i="6"/>
  <c r="X1860" i="6"/>
  <c r="W1860" i="6"/>
  <c r="V1860" i="6"/>
  <c r="U1860" i="6"/>
  <c r="T1860" i="6"/>
  <c r="S1860" i="6"/>
  <c r="Z1858" i="6"/>
  <c r="X1858" i="6"/>
  <c r="W1858" i="6"/>
  <c r="V1858" i="6"/>
  <c r="U1858" i="6"/>
  <c r="T1858" i="6"/>
  <c r="S1858" i="6"/>
  <c r="Y1858" i="6" s="1"/>
  <c r="Z1856" i="6"/>
  <c r="Y1856" i="6"/>
  <c r="X1856" i="6"/>
  <c r="W1856" i="6"/>
  <c r="V1856" i="6"/>
  <c r="U1856" i="6"/>
  <c r="T1856" i="6"/>
  <c r="S1856" i="6"/>
  <c r="Z1852" i="6"/>
  <c r="X1852" i="6"/>
  <c r="W1852" i="6"/>
  <c r="V1852" i="6"/>
  <c r="V1874" i="6" s="1"/>
  <c r="U1852" i="6"/>
  <c r="T1852" i="6"/>
  <c r="T1874" i="6" s="1"/>
  <c r="S1852" i="6"/>
  <c r="Z1849" i="6"/>
  <c r="Y1849" i="6"/>
  <c r="X1849" i="6"/>
  <c r="W1849" i="6"/>
  <c r="V1849" i="6"/>
  <c r="U1849" i="6"/>
  <c r="T1849" i="6"/>
  <c r="S1849" i="6"/>
  <c r="Z1842" i="6"/>
  <c r="X1842" i="6"/>
  <c r="W1842" i="6"/>
  <c r="V1842" i="6"/>
  <c r="U1842" i="6"/>
  <c r="T1842" i="6"/>
  <c r="S1842" i="6"/>
  <c r="Y1842" i="6" s="1"/>
  <c r="Z1835" i="6"/>
  <c r="X1835" i="6"/>
  <c r="W1835" i="6"/>
  <c r="V1835" i="6"/>
  <c r="U1835" i="6"/>
  <c r="T1835" i="6"/>
  <c r="S1835" i="6"/>
  <c r="Y1835" i="6" s="1"/>
  <c r="Z1828" i="6"/>
  <c r="X1828" i="6"/>
  <c r="W1828" i="6"/>
  <c r="V1828" i="6"/>
  <c r="U1828" i="6"/>
  <c r="Y1828" i="6" s="1"/>
  <c r="T1828" i="6"/>
  <c r="S1828" i="6"/>
  <c r="Z1821" i="6"/>
  <c r="X1821" i="6"/>
  <c r="W1821" i="6"/>
  <c r="V1821" i="6"/>
  <c r="U1821" i="6"/>
  <c r="T1821" i="6"/>
  <c r="S1821" i="6"/>
  <c r="Z1814" i="6"/>
  <c r="X1814" i="6"/>
  <c r="W1814" i="6"/>
  <c r="V1814" i="6"/>
  <c r="U1814" i="6"/>
  <c r="T1814" i="6"/>
  <c r="S1814" i="6"/>
  <c r="Y1814" i="6" s="1"/>
  <c r="Z1807" i="6"/>
  <c r="X1807" i="6"/>
  <c r="W1807" i="6"/>
  <c r="V1807" i="6"/>
  <c r="U1807" i="6"/>
  <c r="T1807" i="6"/>
  <c r="S1807" i="6"/>
  <c r="Z1800" i="6"/>
  <c r="X1800" i="6"/>
  <c r="W1800" i="6"/>
  <c r="V1800" i="6"/>
  <c r="U1800" i="6"/>
  <c r="T1800" i="6"/>
  <c r="S1800" i="6"/>
  <c r="Y1800" i="6" s="1"/>
  <c r="Z1793" i="6"/>
  <c r="X1793" i="6"/>
  <c r="W1793" i="6"/>
  <c r="V1793" i="6"/>
  <c r="U1793" i="6"/>
  <c r="T1793" i="6"/>
  <c r="S1793" i="6"/>
  <c r="Y1793" i="6" s="1"/>
  <c r="Z1786" i="6"/>
  <c r="X1786" i="6"/>
  <c r="W1786" i="6"/>
  <c r="V1786" i="6"/>
  <c r="U1786" i="6"/>
  <c r="Y1786" i="6" s="1"/>
  <c r="T1786" i="6"/>
  <c r="S1786" i="6"/>
  <c r="Z1779" i="6"/>
  <c r="Y1779" i="6"/>
  <c r="X1779" i="6"/>
  <c r="W1779" i="6"/>
  <c r="V1779" i="6"/>
  <c r="U1779" i="6"/>
  <c r="T1779" i="6"/>
  <c r="S1779" i="6"/>
  <c r="Z1772" i="6"/>
  <c r="X1772" i="6"/>
  <c r="W1772" i="6"/>
  <c r="V1772" i="6"/>
  <c r="U1772" i="6"/>
  <c r="T1772" i="6"/>
  <c r="S1772" i="6"/>
  <c r="Y1772" i="6" s="1"/>
  <c r="Z1765" i="6"/>
  <c r="Y1765" i="6"/>
  <c r="X1765" i="6"/>
  <c r="W1765" i="6"/>
  <c r="V1765" i="6"/>
  <c r="U1765" i="6"/>
  <c r="T1765" i="6"/>
  <c r="S1765" i="6"/>
  <c r="Z1758" i="6"/>
  <c r="X1758" i="6"/>
  <c r="W1758" i="6"/>
  <c r="V1758" i="6"/>
  <c r="U1758" i="6"/>
  <c r="T1758" i="6"/>
  <c r="S1758" i="6"/>
  <c r="Y1758" i="6" s="1"/>
  <c r="Z1751" i="6"/>
  <c r="Y1751" i="6"/>
  <c r="X1751" i="6"/>
  <c r="W1751" i="6"/>
  <c r="V1751" i="6"/>
  <c r="U1751" i="6"/>
  <c r="T1751" i="6"/>
  <c r="S1751" i="6"/>
  <c r="Z1744" i="6"/>
  <c r="X1744" i="6"/>
  <c r="W1744" i="6"/>
  <c r="V1744" i="6"/>
  <c r="U1744" i="6"/>
  <c r="T1744" i="6"/>
  <c r="S1744" i="6"/>
  <c r="Y1744" i="6" s="1"/>
  <c r="Z1737" i="6"/>
  <c r="Y1737" i="6"/>
  <c r="X1737" i="6"/>
  <c r="W1737" i="6"/>
  <c r="V1737" i="6"/>
  <c r="U1737" i="6"/>
  <c r="T1737" i="6"/>
  <c r="S1737" i="6"/>
  <c r="Z1730" i="6"/>
  <c r="X1730" i="6"/>
  <c r="W1730" i="6"/>
  <c r="V1730" i="6"/>
  <c r="U1730" i="6"/>
  <c r="T1730" i="6"/>
  <c r="S1730" i="6"/>
  <c r="Y1730" i="6" s="1"/>
  <c r="Z1723" i="6"/>
  <c r="Z1843" i="6" s="1"/>
  <c r="Y1723" i="6"/>
  <c r="X1723" i="6"/>
  <c r="W1723" i="6"/>
  <c r="V1723" i="6"/>
  <c r="U1723" i="6"/>
  <c r="T1723" i="6"/>
  <c r="T1843" i="6" s="1"/>
  <c r="S1723" i="6"/>
  <c r="Z1716" i="6"/>
  <c r="X1716" i="6"/>
  <c r="W1716" i="6"/>
  <c r="V1716" i="6"/>
  <c r="U1716" i="6"/>
  <c r="U1843" i="6" s="1"/>
  <c r="T1716" i="6"/>
  <c r="S1716" i="6"/>
  <c r="Y1716" i="6" s="1"/>
  <c r="Z1708" i="6"/>
  <c r="X1708" i="6"/>
  <c r="W1708" i="6"/>
  <c r="V1708" i="6"/>
  <c r="U1708" i="6"/>
  <c r="T1708" i="6"/>
  <c r="S1708" i="6"/>
  <c r="Y1708" i="6" s="1"/>
  <c r="Z1702" i="6"/>
  <c r="X1702" i="6"/>
  <c r="W1702" i="6"/>
  <c r="V1702" i="6"/>
  <c r="U1702" i="6"/>
  <c r="T1702" i="6"/>
  <c r="S1702" i="6"/>
  <c r="Y1702" i="6" s="1"/>
  <c r="Z1696" i="6"/>
  <c r="X1696" i="6"/>
  <c r="W1696" i="6"/>
  <c r="V1696" i="6"/>
  <c r="U1696" i="6"/>
  <c r="T1696" i="6"/>
  <c r="S1696" i="6"/>
  <c r="Y1696" i="6" s="1"/>
  <c r="Z1693" i="6"/>
  <c r="X1693" i="6"/>
  <c r="W1693" i="6"/>
  <c r="V1693" i="6"/>
  <c r="U1693" i="6"/>
  <c r="T1693" i="6"/>
  <c r="S1693" i="6"/>
  <c r="Z1688" i="6"/>
  <c r="X1688" i="6"/>
  <c r="W1688" i="6"/>
  <c r="V1688" i="6"/>
  <c r="U1688" i="6"/>
  <c r="T1688" i="6"/>
  <c r="S1688" i="6"/>
  <c r="Y1688" i="6" s="1"/>
  <c r="Z1682" i="6"/>
  <c r="X1682" i="6"/>
  <c r="W1682" i="6"/>
  <c r="V1682" i="6"/>
  <c r="U1682" i="6"/>
  <c r="T1682" i="6"/>
  <c r="S1682" i="6"/>
  <c r="Y1682" i="6" s="1"/>
  <c r="Z1676" i="6"/>
  <c r="X1676" i="6"/>
  <c r="W1676" i="6"/>
  <c r="V1676" i="6"/>
  <c r="U1676" i="6"/>
  <c r="T1676" i="6"/>
  <c r="S1676" i="6"/>
  <c r="Y1676" i="6" s="1"/>
  <c r="Z1674" i="6"/>
  <c r="X1674" i="6"/>
  <c r="W1674" i="6"/>
  <c r="V1674" i="6"/>
  <c r="U1674" i="6"/>
  <c r="T1674" i="6"/>
  <c r="S1674" i="6"/>
  <c r="Z1669" i="6"/>
  <c r="X1669" i="6"/>
  <c r="W1669" i="6"/>
  <c r="V1669" i="6"/>
  <c r="U1669" i="6"/>
  <c r="T1669" i="6"/>
  <c r="S1669" i="6"/>
  <c r="Y1669" i="6" s="1"/>
  <c r="Z1664" i="6"/>
  <c r="X1664" i="6"/>
  <c r="W1664" i="6"/>
  <c r="V1664" i="6"/>
  <c r="U1664" i="6"/>
  <c r="T1664" i="6"/>
  <c r="S1664" i="6"/>
  <c r="Y1664" i="6" s="1"/>
  <c r="Z1658" i="6"/>
  <c r="X1658" i="6"/>
  <c r="W1658" i="6"/>
  <c r="V1658" i="6"/>
  <c r="U1658" i="6"/>
  <c r="T1658" i="6"/>
  <c r="S1658" i="6"/>
  <c r="Y1658" i="6" s="1"/>
  <c r="Z1652" i="6"/>
  <c r="X1652" i="6"/>
  <c r="W1652" i="6"/>
  <c r="V1652" i="6"/>
  <c r="U1652" i="6"/>
  <c r="T1652" i="6"/>
  <c r="S1652" i="6"/>
  <c r="Z1647" i="6"/>
  <c r="X1647" i="6"/>
  <c r="W1647" i="6"/>
  <c r="V1647" i="6"/>
  <c r="U1647" i="6"/>
  <c r="T1647" i="6"/>
  <c r="S1647" i="6"/>
  <c r="Y1647" i="6" s="1"/>
  <c r="Z1641" i="6"/>
  <c r="X1641" i="6"/>
  <c r="W1641" i="6"/>
  <c r="V1641" i="6"/>
  <c r="U1641" i="6"/>
  <c r="T1641" i="6"/>
  <c r="S1641" i="6"/>
  <c r="Y1641" i="6" s="1"/>
  <c r="Z1639" i="6"/>
  <c r="X1639" i="6"/>
  <c r="W1639" i="6"/>
  <c r="V1639" i="6"/>
  <c r="U1639" i="6"/>
  <c r="T1639" i="6"/>
  <c r="S1639" i="6"/>
  <c r="Y1639" i="6" s="1"/>
  <c r="Z1633" i="6"/>
  <c r="X1633" i="6"/>
  <c r="W1633" i="6"/>
  <c r="V1633" i="6"/>
  <c r="U1633" i="6"/>
  <c r="T1633" i="6"/>
  <c r="S1633" i="6"/>
  <c r="Z1629" i="6"/>
  <c r="X1629" i="6"/>
  <c r="W1629" i="6"/>
  <c r="V1629" i="6"/>
  <c r="U1629" i="6"/>
  <c r="T1629" i="6"/>
  <c r="S1629" i="6"/>
  <c r="Y1629" i="6" s="1"/>
  <c r="Z1624" i="6"/>
  <c r="X1624" i="6"/>
  <c r="W1624" i="6"/>
  <c r="V1624" i="6"/>
  <c r="U1624" i="6"/>
  <c r="T1624" i="6"/>
  <c r="S1624" i="6"/>
  <c r="Y1624" i="6" s="1"/>
  <c r="Z1618" i="6"/>
  <c r="X1618" i="6"/>
  <c r="W1618" i="6"/>
  <c r="V1618" i="6"/>
  <c r="U1618" i="6"/>
  <c r="T1618" i="6"/>
  <c r="S1618" i="6"/>
  <c r="Y1618" i="6" s="1"/>
  <c r="Z1612" i="6"/>
  <c r="X1612" i="6"/>
  <c r="W1612" i="6"/>
  <c r="V1612" i="6"/>
  <c r="U1612" i="6"/>
  <c r="T1612" i="6"/>
  <c r="S1612" i="6"/>
  <c r="Z1606" i="6"/>
  <c r="X1606" i="6"/>
  <c r="W1606" i="6"/>
  <c r="V1606" i="6"/>
  <c r="U1606" i="6"/>
  <c r="T1606" i="6"/>
  <c r="S1606" i="6"/>
  <c r="Y1606" i="6" s="1"/>
  <c r="Z1600" i="6"/>
  <c r="X1600" i="6"/>
  <c r="W1600" i="6"/>
  <c r="V1600" i="6"/>
  <c r="U1600" i="6"/>
  <c r="T1600" i="6"/>
  <c r="S1600" i="6"/>
  <c r="Y1600" i="6" s="1"/>
  <c r="Z1597" i="6"/>
  <c r="X1597" i="6"/>
  <c r="W1597" i="6"/>
  <c r="V1597" i="6"/>
  <c r="U1597" i="6"/>
  <c r="T1597" i="6"/>
  <c r="S1597" i="6"/>
  <c r="Y1597" i="6" s="1"/>
  <c r="Z1593" i="6"/>
  <c r="X1593" i="6"/>
  <c r="W1593" i="6"/>
  <c r="V1593" i="6"/>
  <c r="U1593" i="6"/>
  <c r="T1593" i="6"/>
  <c r="S1593" i="6"/>
  <c r="X1589" i="6"/>
  <c r="W1589" i="6"/>
  <c r="W1709" i="6" s="1"/>
  <c r="V1589" i="6"/>
  <c r="U1589" i="6"/>
  <c r="T1589" i="6"/>
  <c r="T1709" i="6" s="1"/>
  <c r="S1589" i="6"/>
  <c r="S1709" i="6" s="1"/>
  <c r="V1587" i="6"/>
  <c r="U1587" i="6"/>
  <c r="Z1586" i="6"/>
  <c r="X1586" i="6"/>
  <c r="W1586" i="6"/>
  <c r="V1586" i="6"/>
  <c r="U1586" i="6"/>
  <c r="T1586" i="6"/>
  <c r="S1586" i="6"/>
  <c r="Y1586" i="6" s="1"/>
  <c r="Z1584" i="6"/>
  <c r="X1584" i="6"/>
  <c r="X1587" i="6" s="1"/>
  <c r="W1584" i="6"/>
  <c r="V1584" i="6"/>
  <c r="U1584" i="6"/>
  <c r="T1584" i="6"/>
  <c r="S1584" i="6"/>
  <c r="S1587" i="6" s="1"/>
  <c r="Z1579" i="6"/>
  <c r="Z1587" i="6" s="1"/>
  <c r="X1579" i="6"/>
  <c r="W1579" i="6"/>
  <c r="W1587" i="6" s="1"/>
  <c r="V1579" i="6"/>
  <c r="U1579" i="6"/>
  <c r="T1579" i="6"/>
  <c r="T1587" i="6" s="1"/>
  <c r="S1579" i="6"/>
  <c r="Y1579" i="6" s="1"/>
  <c r="Z1573" i="6"/>
  <c r="X1573" i="6"/>
  <c r="W1573" i="6"/>
  <c r="V1573" i="6"/>
  <c r="U1573" i="6"/>
  <c r="T1573" i="6"/>
  <c r="S1573" i="6"/>
  <c r="Y1573" i="6" s="1"/>
  <c r="Z1566" i="6"/>
  <c r="X1566" i="6"/>
  <c r="W1566" i="6"/>
  <c r="V1566" i="6"/>
  <c r="U1566" i="6"/>
  <c r="T1566" i="6"/>
  <c r="S1566" i="6"/>
  <c r="Y1566" i="6" s="1"/>
  <c r="Z1559" i="6"/>
  <c r="X1559" i="6"/>
  <c r="W1559" i="6"/>
  <c r="V1559" i="6"/>
  <c r="U1559" i="6"/>
  <c r="T1559" i="6"/>
  <c r="S1559" i="6"/>
  <c r="Y1559" i="6" s="1"/>
  <c r="Z1552" i="6"/>
  <c r="X1552" i="6"/>
  <c r="W1552" i="6"/>
  <c r="V1552" i="6"/>
  <c r="U1552" i="6"/>
  <c r="T1552" i="6"/>
  <c r="S1552" i="6"/>
  <c r="Y1552" i="6" s="1"/>
  <c r="Z1550" i="6"/>
  <c r="X1550" i="6"/>
  <c r="W1550" i="6"/>
  <c r="V1550" i="6"/>
  <c r="U1550" i="6"/>
  <c r="T1550" i="6"/>
  <c r="S1550" i="6"/>
  <c r="Y1550" i="6" s="1"/>
  <c r="Z1543" i="6"/>
  <c r="X1543" i="6"/>
  <c r="W1543" i="6"/>
  <c r="V1543" i="6"/>
  <c r="U1543" i="6"/>
  <c r="T1543" i="6"/>
  <c r="S1543" i="6"/>
  <c r="Z1536" i="6"/>
  <c r="X1536" i="6"/>
  <c r="W1536" i="6"/>
  <c r="V1536" i="6"/>
  <c r="U1536" i="6"/>
  <c r="T1536" i="6"/>
  <c r="S1536" i="6"/>
  <c r="Y1536" i="6" s="1"/>
  <c r="Z1529" i="6"/>
  <c r="Z1574" i="6" s="1"/>
  <c r="X1529" i="6"/>
  <c r="W1529" i="6"/>
  <c r="W1574" i="6" s="1"/>
  <c r="V1529" i="6"/>
  <c r="U1529" i="6"/>
  <c r="T1529" i="6"/>
  <c r="T1574" i="6" s="1"/>
  <c r="S1529" i="6"/>
  <c r="S1574" i="6" s="1"/>
  <c r="Z1520" i="6"/>
  <c r="X1520" i="6"/>
  <c r="W1520" i="6"/>
  <c r="V1520" i="6"/>
  <c r="U1520" i="6"/>
  <c r="T1520" i="6"/>
  <c r="S1520" i="6"/>
  <c r="Z1514" i="6"/>
  <c r="X1514" i="6"/>
  <c r="W1514" i="6"/>
  <c r="V1514" i="6"/>
  <c r="U1514" i="6"/>
  <c r="T1514" i="6"/>
  <c r="S1514" i="6"/>
  <c r="Y1514" i="6" s="1"/>
  <c r="Z1508" i="6"/>
  <c r="X1508" i="6"/>
  <c r="W1508" i="6"/>
  <c r="V1508" i="6"/>
  <c r="U1508" i="6"/>
  <c r="T1508" i="6"/>
  <c r="S1508" i="6"/>
  <c r="Y1508" i="6" s="1"/>
  <c r="Z1503" i="6"/>
  <c r="X1503" i="6"/>
  <c r="W1503" i="6"/>
  <c r="V1503" i="6"/>
  <c r="U1503" i="6"/>
  <c r="T1503" i="6"/>
  <c r="S1503" i="6"/>
  <c r="Y1503" i="6" s="1"/>
  <c r="Z1497" i="6"/>
  <c r="X1497" i="6"/>
  <c r="W1497" i="6"/>
  <c r="V1497" i="6"/>
  <c r="U1497" i="6"/>
  <c r="T1497" i="6"/>
  <c r="S1497" i="6"/>
  <c r="Z1494" i="6"/>
  <c r="X1494" i="6"/>
  <c r="W1494" i="6"/>
  <c r="V1494" i="6"/>
  <c r="U1494" i="6"/>
  <c r="T1494" i="6"/>
  <c r="S1494" i="6"/>
  <c r="Y1494" i="6" s="1"/>
  <c r="Z1491" i="6"/>
  <c r="X1491" i="6"/>
  <c r="W1491" i="6"/>
  <c r="V1491" i="6"/>
  <c r="U1491" i="6"/>
  <c r="T1491" i="6"/>
  <c r="S1491" i="6"/>
  <c r="Y1491" i="6" s="1"/>
  <c r="Z1485" i="6"/>
  <c r="X1485" i="6"/>
  <c r="W1485" i="6"/>
  <c r="V1485" i="6"/>
  <c r="U1485" i="6"/>
  <c r="T1485" i="6"/>
  <c r="S1485" i="6"/>
  <c r="Y1485" i="6" s="1"/>
  <c r="Z1480" i="6"/>
  <c r="X1480" i="6"/>
  <c r="W1480" i="6"/>
  <c r="V1480" i="6"/>
  <c r="U1480" i="6"/>
  <c r="T1480" i="6"/>
  <c r="S1480" i="6"/>
  <c r="Z1474" i="6"/>
  <c r="X1474" i="6"/>
  <c r="W1474" i="6"/>
  <c r="V1474" i="6"/>
  <c r="U1474" i="6"/>
  <c r="T1474" i="6"/>
  <c r="S1474" i="6"/>
  <c r="Y1474" i="6" s="1"/>
  <c r="Z1472" i="6"/>
  <c r="X1472" i="6"/>
  <c r="W1472" i="6"/>
  <c r="V1472" i="6"/>
  <c r="U1472" i="6"/>
  <c r="T1472" i="6"/>
  <c r="S1472" i="6"/>
  <c r="Y1472" i="6" s="1"/>
  <c r="Z1466" i="6"/>
  <c r="X1466" i="6"/>
  <c r="W1466" i="6"/>
  <c r="V1466" i="6"/>
  <c r="U1466" i="6"/>
  <c r="T1466" i="6"/>
  <c r="S1466" i="6"/>
  <c r="Y1466" i="6" s="1"/>
  <c r="Z1460" i="6"/>
  <c r="X1460" i="6"/>
  <c r="W1460" i="6"/>
  <c r="V1460" i="6"/>
  <c r="U1460" i="6"/>
  <c r="T1460" i="6"/>
  <c r="S1460" i="6"/>
  <c r="Z1454" i="6"/>
  <c r="X1454" i="6"/>
  <c r="W1454" i="6"/>
  <c r="V1454" i="6"/>
  <c r="U1454" i="6"/>
  <c r="T1454" i="6"/>
  <c r="S1454" i="6"/>
  <c r="Y1454" i="6" s="1"/>
  <c r="Z1448" i="6"/>
  <c r="X1448" i="6"/>
  <c r="W1448" i="6"/>
  <c r="V1448" i="6"/>
  <c r="U1448" i="6"/>
  <c r="T1448" i="6"/>
  <c r="S1448" i="6"/>
  <c r="Y1448" i="6" s="1"/>
  <c r="Z1445" i="6"/>
  <c r="X1445" i="6"/>
  <c r="W1445" i="6"/>
  <c r="V1445" i="6"/>
  <c r="U1445" i="6"/>
  <c r="T1445" i="6"/>
  <c r="S1445" i="6"/>
  <c r="Y1445" i="6" s="1"/>
  <c r="Z1443" i="6"/>
  <c r="X1443" i="6"/>
  <c r="W1443" i="6"/>
  <c r="V1443" i="6"/>
  <c r="U1443" i="6"/>
  <c r="T1443" i="6"/>
  <c r="S1443" i="6"/>
  <c r="Z1437" i="6"/>
  <c r="X1437" i="6"/>
  <c r="W1437" i="6"/>
  <c r="V1437" i="6"/>
  <c r="U1437" i="6"/>
  <c r="T1437" i="6"/>
  <c r="S1437" i="6"/>
  <c r="Y1437" i="6" s="1"/>
  <c r="Z1431" i="6"/>
  <c r="X1431" i="6"/>
  <c r="W1431" i="6"/>
  <c r="V1431" i="6"/>
  <c r="U1431" i="6"/>
  <c r="T1431" i="6"/>
  <c r="S1431" i="6"/>
  <c r="Y1431" i="6" s="1"/>
  <c r="Z1425" i="6"/>
  <c r="X1425" i="6"/>
  <c r="W1425" i="6"/>
  <c r="V1425" i="6"/>
  <c r="U1425" i="6"/>
  <c r="T1425" i="6"/>
  <c r="S1425" i="6"/>
  <c r="Y1425" i="6" s="1"/>
  <c r="Z1420" i="6"/>
  <c r="X1420" i="6"/>
  <c r="W1420" i="6"/>
  <c r="V1420" i="6"/>
  <c r="U1420" i="6"/>
  <c r="T1420" i="6"/>
  <c r="S1420" i="6"/>
  <c r="Z1417" i="6"/>
  <c r="X1417" i="6"/>
  <c r="W1417" i="6"/>
  <c r="V1417" i="6"/>
  <c r="U1417" i="6"/>
  <c r="T1417" i="6"/>
  <c r="S1417" i="6"/>
  <c r="Y1417" i="6" s="1"/>
  <c r="Z1411" i="6"/>
  <c r="X1411" i="6"/>
  <c r="W1411" i="6"/>
  <c r="V1411" i="6"/>
  <c r="U1411" i="6"/>
  <c r="T1411" i="6"/>
  <c r="S1411" i="6"/>
  <c r="Y1411" i="6" s="1"/>
  <c r="Z1406" i="6"/>
  <c r="X1406" i="6"/>
  <c r="W1406" i="6"/>
  <c r="V1406" i="6"/>
  <c r="U1406" i="6"/>
  <c r="T1406" i="6"/>
  <c r="S1406" i="6"/>
  <c r="Y1406" i="6" s="1"/>
  <c r="Z1400" i="6"/>
  <c r="X1400" i="6"/>
  <c r="W1400" i="6"/>
  <c r="V1400" i="6"/>
  <c r="U1400" i="6"/>
  <c r="T1400" i="6"/>
  <c r="S1400" i="6"/>
  <c r="Z1394" i="6"/>
  <c r="X1394" i="6"/>
  <c r="W1394" i="6"/>
  <c r="V1394" i="6"/>
  <c r="U1394" i="6"/>
  <c r="T1394" i="6"/>
  <c r="S1394" i="6"/>
  <c r="Y1394" i="6" s="1"/>
  <c r="Z1388" i="6"/>
  <c r="X1388" i="6"/>
  <c r="W1388" i="6"/>
  <c r="V1388" i="6"/>
  <c r="U1388" i="6"/>
  <c r="T1388" i="6"/>
  <c r="S1388" i="6"/>
  <c r="Y1388" i="6" s="1"/>
  <c r="Z1385" i="6"/>
  <c r="Z1521" i="6" s="1"/>
  <c r="X1385" i="6"/>
  <c r="W1385" i="6"/>
  <c r="V1385" i="6"/>
  <c r="U1385" i="6"/>
  <c r="T1385" i="6"/>
  <c r="T1521" i="6" s="1"/>
  <c r="S1385" i="6"/>
  <c r="Y1385" i="6" s="1"/>
  <c r="Z1383" i="6"/>
  <c r="X1383" i="6"/>
  <c r="W1383" i="6"/>
  <c r="W1521" i="6" s="1"/>
  <c r="V1383" i="6"/>
  <c r="U1383" i="6"/>
  <c r="T1383" i="6"/>
  <c r="S1383" i="6"/>
  <c r="Z1376" i="6"/>
  <c r="Y1376" i="6"/>
  <c r="X1376" i="6"/>
  <c r="W1376" i="6"/>
  <c r="V1376" i="6"/>
  <c r="U1376" i="6"/>
  <c r="T1376" i="6"/>
  <c r="S1376" i="6"/>
  <c r="Z1375" i="6"/>
  <c r="Z1377" i="6" s="1"/>
  <c r="X1375" i="6"/>
  <c r="W1375" i="6"/>
  <c r="W1377" i="6" s="1"/>
  <c r="V1375" i="6"/>
  <c r="U1375" i="6"/>
  <c r="U1377" i="6" s="1"/>
  <c r="T1375" i="6"/>
  <c r="T1377" i="6" s="1"/>
  <c r="S1375" i="6"/>
  <c r="Y1375" i="6" s="1"/>
  <c r="Y1377" i="6" s="1"/>
  <c r="V1370" i="6"/>
  <c r="Z1369" i="6"/>
  <c r="X1369" i="6"/>
  <c r="W1369" i="6"/>
  <c r="V1369" i="6"/>
  <c r="U1369" i="6"/>
  <c r="T1369" i="6"/>
  <c r="S1369" i="6"/>
  <c r="Y1369" i="6" s="1"/>
  <c r="Z1362" i="6"/>
  <c r="X1362" i="6"/>
  <c r="W1362" i="6"/>
  <c r="V1362" i="6"/>
  <c r="U1362" i="6"/>
  <c r="T1362" i="6"/>
  <c r="S1362" i="6"/>
  <c r="Y1362" i="6" s="1"/>
  <c r="Z1355" i="6"/>
  <c r="X1355" i="6"/>
  <c r="W1355" i="6"/>
  <c r="V1355" i="6"/>
  <c r="U1355" i="6"/>
  <c r="T1355" i="6"/>
  <c r="S1355" i="6"/>
  <c r="Y1355" i="6" s="1"/>
  <c r="Z1348" i="6"/>
  <c r="X1348" i="6"/>
  <c r="X1370" i="6" s="1"/>
  <c r="W1348" i="6"/>
  <c r="V1348" i="6"/>
  <c r="U1348" i="6"/>
  <c r="U1370" i="6" s="1"/>
  <c r="T1348" i="6"/>
  <c r="S1348" i="6"/>
  <c r="Z1345" i="6"/>
  <c r="X1345" i="6"/>
  <c r="W1345" i="6"/>
  <c r="V1345" i="6"/>
  <c r="U1345" i="6"/>
  <c r="T1345" i="6"/>
  <c r="S1345" i="6"/>
  <c r="Y1345" i="6" s="1"/>
  <c r="Z1339" i="6"/>
  <c r="X1339" i="6"/>
  <c r="W1339" i="6"/>
  <c r="V1339" i="6"/>
  <c r="U1339" i="6"/>
  <c r="T1339" i="6"/>
  <c r="S1339" i="6"/>
  <c r="Y1339" i="6" s="1"/>
  <c r="Z1335" i="6"/>
  <c r="Z1370" i="6" s="1"/>
  <c r="X1335" i="6"/>
  <c r="W1335" i="6"/>
  <c r="W1370" i="6" s="1"/>
  <c r="V1335" i="6"/>
  <c r="U1335" i="6"/>
  <c r="T1335" i="6"/>
  <c r="T1370" i="6" s="1"/>
  <c r="S1335" i="6"/>
  <c r="Z1326" i="6"/>
  <c r="X1326" i="6"/>
  <c r="W1326" i="6"/>
  <c r="V1326" i="6"/>
  <c r="U1326" i="6"/>
  <c r="T1326" i="6"/>
  <c r="S1326" i="6"/>
  <c r="Y1326" i="6" s="1"/>
  <c r="Z1320" i="6"/>
  <c r="X1320" i="6"/>
  <c r="W1320" i="6"/>
  <c r="V1320" i="6"/>
  <c r="U1320" i="6"/>
  <c r="T1320" i="6"/>
  <c r="S1320" i="6"/>
  <c r="Z1314" i="6"/>
  <c r="X1314" i="6"/>
  <c r="W1314" i="6"/>
  <c r="V1314" i="6"/>
  <c r="U1314" i="6"/>
  <c r="T1314" i="6"/>
  <c r="S1314" i="6"/>
  <c r="Y1314" i="6" s="1"/>
  <c r="Z1311" i="6"/>
  <c r="X1311" i="6"/>
  <c r="W1311" i="6"/>
  <c r="V1311" i="6"/>
  <c r="U1311" i="6"/>
  <c r="T1311" i="6"/>
  <c r="S1311" i="6"/>
  <c r="Y1311" i="6" s="1"/>
  <c r="Z1306" i="6"/>
  <c r="X1306" i="6"/>
  <c r="W1306" i="6"/>
  <c r="V1306" i="6"/>
  <c r="U1306" i="6"/>
  <c r="T1306" i="6"/>
  <c r="S1306" i="6"/>
  <c r="Y1306" i="6" s="1"/>
  <c r="Z1300" i="6"/>
  <c r="X1300" i="6"/>
  <c r="W1300" i="6"/>
  <c r="V1300" i="6"/>
  <c r="U1300" i="6"/>
  <c r="T1300" i="6"/>
  <c r="S1300" i="6"/>
  <c r="Y1300" i="6" s="1"/>
  <c r="Z1298" i="6"/>
  <c r="X1298" i="6"/>
  <c r="W1298" i="6"/>
  <c r="V1298" i="6"/>
  <c r="U1298" i="6"/>
  <c r="T1298" i="6"/>
  <c r="S1298" i="6"/>
  <c r="Y1298" i="6" s="1"/>
  <c r="Z1292" i="6"/>
  <c r="X1292" i="6"/>
  <c r="W1292" i="6"/>
  <c r="V1292" i="6"/>
  <c r="U1292" i="6"/>
  <c r="T1292" i="6"/>
  <c r="S1292" i="6"/>
  <c r="Z1286" i="6"/>
  <c r="X1286" i="6"/>
  <c r="W1286" i="6"/>
  <c r="V1286" i="6"/>
  <c r="U1286" i="6"/>
  <c r="T1286" i="6"/>
  <c r="S1286" i="6"/>
  <c r="Y1286" i="6" s="1"/>
  <c r="Z1280" i="6"/>
  <c r="X1280" i="6"/>
  <c r="W1280" i="6"/>
  <c r="V1280" i="6"/>
  <c r="U1280" i="6"/>
  <c r="T1280" i="6"/>
  <c r="S1280" i="6"/>
  <c r="Y1280" i="6" s="1"/>
  <c r="Z1274" i="6"/>
  <c r="X1274" i="6"/>
  <c r="W1274" i="6"/>
  <c r="V1274" i="6"/>
  <c r="U1274" i="6"/>
  <c r="T1274" i="6"/>
  <c r="S1274" i="6"/>
  <c r="Y1274" i="6" s="1"/>
  <c r="Z1268" i="6"/>
  <c r="X1268" i="6"/>
  <c r="W1268" i="6"/>
  <c r="V1268" i="6"/>
  <c r="U1268" i="6"/>
  <c r="T1268" i="6"/>
  <c r="S1268" i="6"/>
  <c r="Z1262" i="6"/>
  <c r="X1262" i="6"/>
  <c r="W1262" i="6"/>
  <c r="V1262" i="6"/>
  <c r="U1262" i="6"/>
  <c r="T1262" i="6"/>
  <c r="S1262" i="6"/>
  <c r="Y1262" i="6" s="1"/>
  <c r="Z1256" i="6"/>
  <c r="X1256" i="6"/>
  <c r="W1256" i="6"/>
  <c r="V1256" i="6"/>
  <c r="U1256" i="6"/>
  <c r="T1256" i="6"/>
  <c r="S1256" i="6"/>
  <c r="Y1256" i="6" s="1"/>
  <c r="Z1250" i="6"/>
  <c r="X1250" i="6"/>
  <c r="W1250" i="6"/>
  <c r="V1250" i="6"/>
  <c r="U1250" i="6"/>
  <c r="T1250" i="6"/>
  <c r="S1250" i="6"/>
  <c r="Y1250" i="6" s="1"/>
  <c r="Z1244" i="6"/>
  <c r="X1244" i="6"/>
  <c r="W1244" i="6"/>
  <c r="V1244" i="6"/>
  <c r="U1244" i="6"/>
  <c r="T1244" i="6"/>
  <c r="S1244" i="6"/>
  <c r="Y1244" i="6" s="1"/>
  <c r="Z1243" i="6"/>
  <c r="X1243" i="6"/>
  <c r="W1243" i="6"/>
  <c r="V1243" i="6"/>
  <c r="U1243" i="6"/>
  <c r="T1243" i="6"/>
  <c r="S1243" i="6"/>
  <c r="Y1243" i="6" s="1"/>
  <c r="Z1237" i="6"/>
  <c r="X1237" i="6"/>
  <c r="W1237" i="6"/>
  <c r="V1237" i="6"/>
  <c r="U1237" i="6"/>
  <c r="T1237" i="6"/>
  <c r="S1237" i="6"/>
  <c r="Z1231" i="6"/>
  <c r="X1231" i="6"/>
  <c r="W1231" i="6"/>
  <c r="V1231" i="6"/>
  <c r="U1231" i="6"/>
  <c r="T1231" i="6"/>
  <c r="S1231" i="6"/>
  <c r="Y1231" i="6" s="1"/>
  <c r="Z1225" i="6"/>
  <c r="X1225" i="6"/>
  <c r="W1225" i="6"/>
  <c r="V1225" i="6"/>
  <c r="U1225" i="6"/>
  <c r="T1225" i="6"/>
  <c r="S1225" i="6"/>
  <c r="Y1225" i="6" s="1"/>
  <c r="Z1220" i="6"/>
  <c r="X1220" i="6"/>
  <c r="W1220" i="6"/>
  <c r="V1220" i="6"/>
  <c r="U1220" i="6"/>
  <c r="T1220" i="6"/>
  <c r="S1220" i="6"/>
  <c r="Y1220" i="6" s="1"/>
  <c r="Z1214" i="6"/>
  <c r="X1214" i="6"/>
  <c r="W1214" i="6"/>
  <c r="V1214" i="6"/>
  <c r="U1214" i="6"/>
  <c r="T1214" i="6"/>
  <c r="S1214" i="6"/>
  <c r="Y1214" i="6" s="1"/>
  <c r="Z1208" i="6"/>
  <c r="X1208" i="6"/>
  <c r="W1208" i="6"/>
  <c r="V1208" i="6"/>
  <c r="U1208" i="6"/>
  <c r="T1208" i="6"/>
  <c r="S1208" i="6"/>
  <c r="Y1208" i="6" s="1"/>
  <c r="Z1202" i="6"/>
  <c r="X1202" i="6"/>
  <c r="W1202" i="6"/>
  <c r="V1202" i="6"/>
  <c r="U1202" i="6"/>
  <c r="T1202" i="6"/>
  <c r="S1202" i="6"/>
  <c r="Z1196" i="6"/>
  <c r="X1196" i="6"/>
  <c r="W1196" i="6"/>
  <c r="V1196" i="6"/>
  <c r="U1196" i="6"/>
  <c r="T1196" i="6"/>
  <c r="S1196" i="6"/>
  <c r="Y1196" i="6" s="1"/>
  <c r="Z1195" i="6"/>
  <c r="X1195" i="6"/>
  <c r="W1195" i="6"/>
  <c r="V1195" i="6"/>
  <c r="U1195" i="6"/>
  <c r="T1195" i="6"/>
  <c r="S1195" i="6"/>
  <c r="Y1195" i="6" s="1"/>
  <c r="Z1190" i="6"/>
  <c r="X1190" i="6"/>
  <c r="W1190" i="6"/>
  <c r="V1190" i="6"/>
  <c r="U1190" i="6"/>
  <c r="T1190" i="6"/>
  <c r="S1190" i="6"/>
  <c r="Y1190" i="6" s="1"/>
  <c r="Z1184" i="6"/>
  <c r="X1184" i="6"/>
  <c r="W1184" i="6"/>
  <c r="V1184" i="6"/>
  <c r="U1184" i="6"/>
  <c r="T1184" i="6"/>
  <c r="S1184" i="6"/>
  <c r="Z1178" i="6"/>
  <c r="X1178" i="6"/>
  <c r="W1178" i="6"/>
  <c r="V1178" i="6"/>
  <c r="U1178" i="6"/>
  <c r="T1178" i="6"/>
  <c r="S1178" i="6"/>
  <c r="Y1178" i="6" s="1"/>
  <c r="Z1172" i="6"/>
  <c r="X1172" i="6"/>
  <c r="W1172" i="6"/>
  <c r="V1172" i="6"/>
  <c r="U1172" i="6"/>
  <c r="T1172" i="6"/>
  <c r="S1172" i="6"/>
  <c r="Y1172" i="6" s="1"/>
  <c r="Z1167" i="6"/>
  <c r="X1167" i="6"/>
  <c r="W1167" i="6"/>
  <c r="V1167" i="6"/>
  <c r="U1167" i="6"/>
  <c r="T1167" i="6"/>
  <c r="S1167" i="6"/>
  <c r="Y1167" i="6" s="1"/>
  <c r="Z1161" i="6"/>
  <c r="X1161" i="6"/>
  <c r="W1161" i="6"/>
  <c r="V1161" i="6"/>
  <c r="U1161" i="6"/>
  <c r="T1161" i="6"/>
  <c r="S1161" i="6"/>
  <c r="Y1161" i="6" s="1"/>
  <c r="Z1155" i="6"/>
  <c r="X1155" i="6"/>
  <c r="W1155" i="6"/>
  <c r="V1155" i="6"/>
  <c r="U1155" i="6"/>
  <c r="T1155" i="6"/>
  <c r="S1155" i="6"/>
  <c r="Y1155" i="6" s="1"/>
  <c r="Z1149" i="6"/>
  <c r="X1149" i="6"/>
  <c r="X1327" i="6" s="1"/>
  <c r="W1149" i="6"/>
  <c r="V1149" i="6"/>
  <c r="U1149" i="6"/>
  <c r="U1327" i="6" s="1"/>
  <c r="T1149" i="6"/>
  <c r="S1149" i="6"/>
  <c r="Z1143" i="6"/>
  <c r="X1143" i="6"/>
  <c r="W1143" i="6"/>
  <c r="W1327" i="6" s="1"/>
  <c r="V1143" i="6"/>
  <c r="U1143" i="6"/>
  <c r="T1143" i="6"/>
  <c r="S1143" i="6"/>
  <c r="Y1143" i="6" s="1"/>
  <c r="X1137" i="6"/>
  <c r="S1137" i="6"/>
  <c r="Z1136" i="6"/>
  <c r="X1136" i="6"/>
  <c r="W1136" i="6"/>
  <c r="V1136" i="6"/>
  <c r="U1136" i="6"/>
  <c r="T1136" i="6"/>
  <c r="S1136" i="6"/>
  <c r="Y1136" i="6" s="1"/>
  <c r="Z1130" i="6"/>
  <c r="X1130" i="6"/>
  <c r="W1130" i="6"/>
  <c r="V1130" i="6"/>
  <c r="U1130" i="6"/>
  <c r="U1137" i="6" s="1"/>
  <c r="T1130" i="6"/>
  <c r="S1130" i="6"/>
  <c r="Z1124" i="6"/>
  <c r="X1124" i="6"/>
  <c r="W1124" i="6"/>
  <c r="V1124" i="6"/>
  <c r="U1124" i="6"/>
  <c r="T1124" i="6"/>
  <c r="S1124" i="6"/>
  <c r="Y1124" i="6" s="1"/>
  <c r="Z1122" i="6"/>
  <c r="X1122" i="6"/>
  <c r="W1122" i="6"/>
  <c r="W1137" i="6" s="1"/>
  <c r="V1122" i="6"/>
  <c r="U1122" i="6"/>
  <c r="T1122" i="6"/>
  <c r="S1122" i="6"/>
  <c r="Y1122" i="6" s="1"/>
  <c r="S1116" i="6"/>
  <c r="Z1115" i="6"/>
  <c r="X1115" i="6"/>
  <c r="W1115" i="6"/>
  <c r="V1115" i="6"/>
  <c r="U1115" i="6"/>
  <c r="T1115" i="6"/>
  <c r="S1115" i="6"/>
  <c r="Y1115" i="6" s="1"/>
  <c r="Z1110" i="6"/>
  <c r="X1110" i="6"/>
  <c r="W1110" i="6"/>
  <c r="V1110" i="6"/>
  <c r="U1110" i="6"/>
  <c r="T1110" i="6"/>
  <c r="S1110" i="6"/>
  <c r="Y1110" i="6" s="1"/>
  <c r="Z1105" i="6"/>
  <c r="X1105" i="6"/>
  <c r="W1105" i="6"/>
  <c r="V1105" i="6"/>
  <c r="U1105" i="6"/>
  <c r="T1105" i="6"/>
  <c r="S1105" i="6"/>
  <c r="Z1099" i="6"/>
  <c r="X1099" i="6"/>
  <c r="W1099" i="6"/>
  <c r="V1099" i="6"/>
  <c r="U1099" i="6"/>
  <c r="T1099" i="6"/>
  <c r="S1099" i="6"/>
  <c r="Y1099" i="6" s="1"/>
  <c r="Z1094" i="6"/>
  <c r="X1094" i="6"/>
  <c r="W1094" i="6"/>
  <c r="V1094" i="6"/>
  <c r="V1116" i="6" s="1"/>
  <c r="U1094" i="6"/>
  <c r="T1094" i="6"/>
  <c r="S1094" i="6"/>
  <c r="Y1094" i="6" s="1"/>
  <c r="Z1089" i="6"/>
  <c r="Z1116" i="6" s="1"/>
  <c r="X1089" i="6"/>
  <c r="W1089" i="6"/>
  <c r="W1116" i="6" s="1"/>
  <c r="V1089" i="6"/>
  <c r="U1089" i="6"/>
  <c r="T1089" i="6"/>
  <c r="T1116" i="6" s="1"/>
  <c r="S1089" i="6"/>
  <c r="Z1082" i="6"/>
  <c r="X1082" i="6"/>
  <c r="W1082" i="6"/>
  <c r="V1082" i="6"/>
  <c r="U1082" i="6"/>
  <c r="T1082" i="6"/>
  <c r="S1082" i="6"/>
  <c r="Z1078" i="6"/>
  <c r="X1078" i="6"/>
  <c r="W1078" i="6"/>
  <c r="V1078" i="6"/>
  <c r="U1078" i="6"/>
  <c r="T1078" i="6"/>
  <c r="S1078" i="6"/>
  <c r="Y1078" i="6" s="1"/>
  <c r="Z1073" i="6"/>
  <c r="X1073" i="6"/>
  <c r="W1073" i="6"/>
  <c r="V1073" i="6"/>
  <c r="U1073" i="6"/>
  <c r="T1073" i="6"/>
  <c r="S1073" i="6"/>
  <c r="Y1073" i="6" s="1"/>
  <c r="Z1071" i="6"/>
  <c r="X1071" i="6"/>
  <c r="W1071" i="6"/>
  <c r="V1071" i="6"/>
  <c r="U1071" i="6"/>
  <c r="T1071" i="6"/>
  <c r="S1071" i="6"/>
  <c r="Y1071" i="6" s="1"/>
  <c r="Z1066" i="6"/>
  <c r="X1066" i="6"/>
  <c r="W1066" i="6"/>
  <c r="V1066" i="6"/>
  <c r="U1066" i="6"/>
  <c r="T1066" i="6"/>
  <c r="S1066" i="6"/>
  <c r="Z1062" i="6"/>
  <c r="X1062" i="6"/>
  <c r="W1062" i="6"/>
  <c r="V1062" i="6"/>
  <c r="U1062" i="6"/>
  <c r="T1062" i="6"/>
  <c r="S1062" i="6"/>
  <c r="Y1062" i="6" s="1"/>
  <c r="Z1057" i="6"/>
  <c r="X1057" i="6"/>
  <c r="W1057" i="6"/>
  <c r="V1057" i="6"/>
  <c r="U1057" i="6"/>
  <c r="T1057" i="6"/>
  <c r="S1057" i="6"/>
  <c r="Y1057" i="6" s="1"/>
  <c r="Z1052" i="6"/>
  <c r="X1052" i="6"/>
  <c r="W1052" i="6"/>
  <c r="V1052" i="6"/>
  <c r="U1052" i="6"/>
  <c r="T1052" i="6"/>
  <c r="S1052" i="6"/>
  <c r="Y1052" i="6" s="1"/>
  <c r="Z1047" i="6"/>
  <c r="X1047" i="6"/>
  <c r="W1047" i="6"/>
  <c r="V1047" i="6"/>
  <c r="U1047" i="6"/>
  <c r="T1047" i="6"/>
  <c r="S1047" i="6"/>
  <c r="Z1042" i="6"/>
  <c r="X1042" i="6"/>
  <c r="W1042" i="6"/>
  <c r="V1042" i="6"/>
  <c r="U1042" i="6"/>
  <c r="Y1042" i="6" s="1"/>
  <c r="T1042" i="6"/>
  <c r="S1042" i="6"/>
  <c r="Z1040" i="6"/>
  <c r="X1040" i="6"/>
  <c r="W1040" i="6"/>
  <c r="V1040" i="6"/>
  <c r="U1040" i="6"/>
  <c r="T1040" i="6"/>
  <c r="S1040" i="6"/>
  <c r="Y1040" i="6" s="1"/>
  <c r="Z1037" i="6"/>
  <c r="X1037" i="6"/>
  <c r="W1037" i="6"/>
  <c r="V1037" i="6"/>
  <c r="U1037" i="6"/>
  <c r="T1037" i="6"/>
  <c r="S1037" i="6"/>
  <c r="X1035" i="6"/>
  <c r="W1035" i="6"/>
  <c r="V1035" i="6"/>
  <c r="U1035" i="6"/>
  <c r="T1035" i="6"/>
  <c r="S1035" i="6"/>
  <c r="Y1035" i="6" s="1"/>
  <c r="W1033" i="6"/>
  <c r="V1033" i="6"/>
  <c r="S1033" i="6"/>
  <c r="Z1032" i="6"/>
  <c r="Z1033" i="6" s="1"/>
  <c r="X1032" i="6"/>
  <c r="W1032" i="6"/>
  <c r="V1032" i="6"/>
  <c r="U1032" i="6"/>
  <c r="T1032" i="6"/>
  <c r="S1032" i="6"/>
  <c r="Z1026" i="6"/>
  <c r="X1026" i="6"/>
  <c r="X1033" i="6" s="1"/>
  <c r="W1026" i="6"/>
  <c r="V1026" i="6"/>
  <c r="U1026" i="6"/>
  <c r="T1026" i="6"/>
  <c r="T1033" i="6" s="1"/>
  <c r="S1026" i="6"/>
  <c r="Z1020" i="6"/>
  <c r="W1020" i="6"/>
  <c r="Y1019" i="6"/>
  <c r="W1019" i="6"/>
  <c r="V1019" i="6"/>
  <c r="U1019" i="6"/>
  <c r="U1020" i="6" s="1"/>
  <c r="T1019" i="6"/>
  <c r="S1019" i="6"/>
  <c r="S1020" i="6" s="1"/>
  <c r="P1019" i="6"/>
  <c r="Z1019" i="6" s="1"/>
  <c r="Z1018" i="6"/>
  <c r="Y1018" i="6"/>
  <c r="Y1020" i="6" s="1"/>
  <c r="X1018" i="6"/>
  <c r="W1018" i="6"/>
  <c r="V1018" i="6"/>
  <c r="V1020" i="6" s="1"/>
  <c r="U1018" i="6"/>
  <c r="T1018" i="6"/>
  <c r="T1020" i="6" s="1"/>
  <c r="S1018" i="6"/>
  <c r="T1016" i="6"/>
  <c r="Z1015" i="6"/>
  <c r="Y1015" i="6"/>
  <c r="X1015" i="6"/>
  <c r="W1015" i="6"/>
  <c r="V1015" i="6"/>
  <c r="U1015" i="6"/>
  <c r="T1015" i="6"/>
  <c r="S1015" i="6"/>
  <c r="Z1011" i="6"/>
  <c r="X1011" i="6"/>
  <c r="W1011" i="6"/>
  <c r="V1011" i="6"/>
  <c r="U1011" i="6"/>
  <c r="T1011" i="6"/>
  <c r="S1011" i="6"/>
  <c r="Y1011" i="6" s="1"/>
  <c r="Z1008" i="6"/>
  <c r="Y1008" i="6"/>
  <c r="X1008" i="6"/>
  <c r="W1008" i="6"/>
  <c r="V1008" i="6"/>
  <c r="U1008" i="6"/>
  <c r="T1008" i="6"/>
  <c r="S1008" i="6"/>
  <c r="Z1004" i="6"/>
  <c r="X1004" i="6"/>
  <c r="W1004" i="6"/>
  <c r="V1004" i="6"/>
  <c r="U1004" i="6"/>
  <c r="T1004" i="6"/>
  <c r="S1004" i="6"/>
  <c r="Y1004" i="6" s="1"/>
  <c r="Z1001" i="6"/>
  <c r="Y1001" i="6"/>
  <c r="X1001" i="6"/>
  <c r="W1001" i="6"/>
  <c r="V1001" i="6"/>
  <c r="U1001" i="6"/>
  <c r="T1001" i="6"/>
  <c r="S1001" i="6"/>
  <c r="Z1000" i="6"/>
  <c r="X1000" i="6"/>
  <c r="W1000" i="6"/>
  <c r="W1016" i="6" s="1"/>
  <c r="V1000" i="6"/>
  <c r="V1016" i="6" s="1"/>
  <c r="U1000" i="6"/>
  <c r="U1016" i="6" s="1"/>
  <c r="T1000" i="6"/>
  <c r="S1000" i="6"/>
  <c r="Y1000" i="6" s="1"/>
  <c r="Z999" i="6"/>
  <c r="Z1016" i="6" s="1"/>
  <c r="Y999" i="6"/>
  <c r="Y1016" i="6" s="1"/>
  <c r="X999" i="6"/>
  <c r="X1016" i="6" s="1"/>
  <c r="W999" i="6"/>
  <c r="V999" i="6"/>
  <c r="U999" i="6"/>
  <c r="T999" i="6"/>
  <c r="S999" i="6"/>
  <c r="Z995" i="6"/>
  <c r="Y995" i="6"/>
  <c r="X995" i="6"/>
  <c r="W995" i="6"/>
  <c r="V995" i="6"/>
  <c r="U995" i="6"/>
  <c r="T995" i="6"/>
  <c r="S995" i="6"/>
  <c r="Z993" i="6"/>
  <c r="X993" i="6"/>
  <c r="W993" i="6"/>
  <c r="V993" i="6"/>
  <c r="U993" i="6"/>
  <c r="T993" i="6"/>
  <c r="S993" i="6"/>
  <c r="Y993" i="6" s="1"/>
  <c r="Z987" i="6"/>
  <c r="Y987" i="6"/>
  <c r="X987" i="6"/>
  <c r="W987" i="6"/>
  <c r="V987" i="6"/>
  <c r="U987" i="6"/>
  <c r="T987" i="6"/>
  <c r="S987" i="6"/>
  <c r="Z981" i="6"/>
  <c r="X981" i="6"/>
  <c r="W981" i="6"/>
  <c r="W996" i="6" s="1"/>
  <c r="V981" i="6"/>
  <c r="V996" i="6" s="1"/>
  <c r="U981" i="6"/>
  <c r="U996" i="6" s="1"/>
  <c r="T981" i="6"/>
  <c r="T996" i="6" s="1"/>
  <c r="S981" i="6"/>
  <c r="Y981" i="6" s="1"/>
  <c r="Z979" i="6"/>
  <c r="Z996" i="6" s="1"/>
  <c r="Y979" i="6"/>
  <c r="X979" i="6"/>
  <c r="W979" i="6"/>
  <c r="V979" i="6"/>
  <c r="U979" i="6"/>
  <c r="T979" i="6"/>
  <c r="S979" i="6"/>
  <c r="Z975" i="6"/>
  <c r="X975" i="6"/>
  <c r="W975" i="6"/>
  <c r="V975" i="6"/>
  <c r="U975" i="6"/>
  <c r="T975" i="6"/>
  <c r="S975" i="6"/>
  <c r="Y975" i="6" s="1"/>
  <c r="Z968" i="6"/>
  <c r="X968" i="6"/>
  <c r="W968" i="6"/>
  <c r="V968" i="6"/>
  <c r="U968" i="6"/>
  <c r="T968" i="6"/>
  <c r="S968" i="6"/>
  <c r="Y968" i="6" s="1"/>
  <c r="Z963" i="6"/>
  <c r="Y963" i="6"/>
  <c r="X963" i="6"/>
  <c r="W963" i="6"/>
  <c r="V963" i="6"/>
  <c r="U963" i="6"/>
  <c r="T963" i="6"/>
  <c r="S963" i="6"/>
  <c r="Z957" i="6"/>
  <c r="X957" i="6"/>
  <c r="W957" i="6"/>
  <c r="V957" i="6"/>
  <c r="U957" i="6"/>
  <c r="T957" i="6"/>
  <c r="S957" i="6"/>
  <c r="Y957" i="6" s="1"/>
  <c r="Z950" i="6"/>
  <c r="Y950" i="6"/>
  <c r="X950" i="6"/>
  <c r="W950" i="6"/>
  <c r="V950" i="6"/>
  <c r="U950" i="6"/>
  <c r="T950" i="6"/>
  <c r="S950" i="6"/>
  <c r="Z944" i="6"/>
  <c r="X944" i="6"/>
  <c r="W944" i="6"/>
  <c r="V944" i="6"/>
  <c r="U944" i="6"/>
  <c r="T944" i="6"/>
  <c r="S944" i="6"/>
  <c r="Y944" i="6" s="1"/>
  <c r="Z939" i="6"/>
  <c r="Y939" i="6"/>
  <c r="X939" i="6"/>
  <c r="W939" i="6"/>
  <c r="V939" i="6"/>
  <c r="U939" i="6"/>
  <c r="T939" i="6"/>
  <c r="S939" i="6"/>
  <c r="Z933" i="6"/>
  <c r="X933" i="6"/>
  <c r="W933" i="6"/>
  <c r="V933" i="6"/>
  <c r="U933" i="6"/>
  <c r="T933" i="6"/>
  <c r="S933" i="6"/>
  <c r="Y933" i="6" s="1"/>
  <c r="Z928" i="6"/>
  <c r="Y928" i="6"/>
  <c r="X928" i="6"/>
  <c r="W928" i="6"/>
  <c r="V928" i="6"/>
  <c r="U928" i="6"/>
  <c r="T928" i="6"/>
  <c r="S928" i="6"/>
  <c r="R928" i="6"/>
  <c r="R927" i="6"/>
  <c r="R926" i="6"/>
  <c r="R925" i="6"/>
  <c r="R924" i="6"/>
  <c r="R923" i="6"/>
  <c r="Z922" i="6"/>
  <c r="Y922" i="6"/>
  <c r="X922" i="6"/>
  <c r="W922" i="6"/>
  <c r="V922" i="6"/>
  <c r="U922" i="6"/>
  <c r="T922" i="6"/>
  <c r="S922" i="6"/>
  <c r="R922" i="6"/>
  <c r="R921" i="6"/>
  <c r="R920" i="6"/>
  <c r="R919" i="6"/>
  <c r="R918" i="6"/>
  <c r="R917" i="6"/>
  <c r="Z916" i="6"/>
  <c r="X916" i="6"/>
  <c r="X969" i="6" s="1"/>
  <c r="W916" i="6"/>
  <c r="V916" i="6"/>
  <c r="U916" i="6"/>
  <c r="Y916" i="6" s="1"/>
  <c r="T916" i="6"/>
  <c r="S916" i="6"/>
  <c r="R916" i="6"/>
  <c r="R915" i="6"/>
  <c r="R914" i="6"/>
  <c r="R913" i="6"/>
  <c r="R912" i="6"/>
  <c r="Z911" i="6"/>
  <c r="X911" i="6"/>
  <c r="W911" i="6"/>
  <c r="V911" i="6"/>
  <c r="U911" i="6"/>
  <c r="Y911" i="6" s="1"/>
  <c r="T911" i="6"/>
  <c r="S911" i="6"/>
  <c r="R911" i="6"/>
  <c r="R910" i="6"/>
  <c r="R909" i="6"/>
  <c r="R908" i="6"/>
  <c r="R907" i="6"/>
  <c r="Z906" i="6"/>
  <c r="X906" i="6"/>
  <c r="W906" i="6"/>
  <c r="W969" i="6" s="1"/>
  <c r="V906" i="6"/>
  <c r="U906" i="6"/>
  <c r="U969" i="6" s="1"/>
  <c r="T906" i="6"/>
  <c r="S906" i="6"/>
  <c r="S969" i="6" s="1"/>
  <c r="R906" i="6"/>
  <c r="R905" i="6"/>
  <c r="R904" i="6"/>
  <c r="R903" i="6"/>
  <c r="R902" i="6"/>
  <c r="Z900" i="6"/>
  <c r="X900" i="6"/>
  <c r="W900" i="6"/>
  <c r="V900" i="6"/>
  <c r="U900" i="6"/>
  <c r="T900" i="6"/>
  <c r="S900" i="6"/>
  <c r="R900" i="6"/>
  <c r="R899" i="6"/>
  <c r="R898" i="6"/>
  <c r="R897" i="6"/>
  <c r="R896" i="6"/>
  <c r="Z895" i="6"/>
  <c r="Y895" i="6"/>
  <c r="X895" i="6"/>
  <c r="W895" i="6"/>
  <c r="V895" i="6"/>
  <c r="U895" i="6"/>
  <c r="T895" i="6"/>
  <c r="S895" i="6"/>
  <c r="R895" i="6"/>
  <c r="R894" i="6"/>
  <c r="R893" i="6"/>
  <c r="R892" i="6"/>
  <c r="R891" i="6"/>
  <c r="R890" i="6"/>
  <c r="X889" i="6"/>
  <c r="X901" i="6" s="1"/>
  <c r="W889" i="6"/>
  <c r="V889" i="6"/>
  <c r="V901" i="6" s="1"/>
  <c r="U889" i="6"/>
  <c r="Y889" i="6" s="1"/>
  <c r="T889" i="6"/>
  <c r="Z889" i="6" s="1"/>
  <c r="Z901" i="6" s="1"/>
  <c r="S889" i="6"/>
  <c r="R889" i="6"/>
  <c r="R888" i="6"/>
  <c r="Z885" i="6"/>
  <c r="Y885" i="6"/>
  <c r="X885" i="6"/>
  <c r="W885" i="6"/>
  <c r="V885" i="6"/>
  <c r="U885" i="6"/>
  <c r="T885" i="6"/>
  <c r="S885" i="6"/>
  <c r="R885" i="6"/>
  <c r="R884" i="6"/>
  <c r="R883" i="6"/>
  <c r="R882" i="6"/>
  <c r="Z881" i="6"/>
  <c r="X881" i="6"/>
  <c r="W881" i="6"/>
  <c r="V881" i="6"/>
  <c r="U881" i="6"/>
  <c r="T881" i="6"/>
  <c r="S881" i="6"/>
  <c r="Y881" i="6" s="1"/>
  <c r="R881" i="6"/>
  <c r="R880" i="6"/>
  <c r="R879" i="6"/>
  <c r="Z878" i="6"/>
  <c r="Y878" i="6"/>
  <c r="X878" i="6"/>
  <c r="W878" i="6"/>
  <c r="V878" i="6"/>
  <c r="U878" i="6"/>
  <c r="T878" i="6"/>
  <c r="S878" i="6"/>
  <c r="R878" i="6"/>
  <c r="R877" i="6"/>
  <c r="R876" i="6"/>
  <c r="R875" i="6"/>
  <c r="R874" i="6"/>
  <c r="Z873" i="6"/>
  <c r="X873" i="6"/>
  <c r="W873" i="6"/>
  <c r="V873" i="6"/>
  <c r="U873" i="6"/>
  <c r="T873" i="6"/>
  <c r="S873" i="6"/>
  <c r="Y873" i="6" s="1"/>
  <c r="R873" i="6"/>
  <c r="R872" i="6"/>
  <c r="R871" i="6"/>
  <c r="R870" i="6"/>
  <c r="R869" i="6"/>
  <c r="R868" i="6"/>
  <c r="Z867" i="6"/>
  <c r="X867" i="6"/>
  <c r="W867" i="6"/>
  <c r="V867" i="6"/>
  <c r="U867" i="6"/>
  <c r="T867" i="6"/>
  <c r="S867" i="6"/>
  <c r="Y867" i="6" s="1"/>
  <c r="R867" i="6"/>
  <c r="R866" i="6"/>
  <c r="R865" i="6"/>
  <c r="R864" i="6"/>
  <c r="R863" i="6"/>
  <c r="Z862" i="6"/>
  <c r="X862" i="6"/>
  <c r="W862" i="6"/>
  <c r="V862" i="6"/>
  <c r="U862" i="6"/>
  <c r="T862" i="6"/>
  <c r="S862" i="6"/>
  <c r="Y862" i="6" s="1"/>
  <c r="R862" i="6"/>
  <c r="Z861" i="6"/>
  <c r="Y861" i="6"/>
  <c r="X861" i="6"/>
  <c r="W861" i="6"/>
  <c r="V861" i="6"/>
  <c r="U861" i="6"/>
  <c r="T861" i="6"/>
  <c r="S861" i="6"/>
  <c r="R861" i="6"/>
  <c r="R860" i="6"/>
  <c r="R859" i="6"/>
  <c r="R858" i="6"/>
  <c r="R857" i="6"/>
  <c r="R856" i="6"/>
  <c r="Z855" i="6"/>
  <c r="Y855" i="6"/>
  <c r="X855" i="6"/>
  <c r="W855" i="6"/>
  <c r="V855" i="6"/>
  <c r="U855" i="6"/>
  <c r="T855" i="6"/>
  <c r="S855" i="6"/>
  <c r="R855" i="6"/>
  <c r="R854" i="6"/>
  <c r="R853" i="6"/>
  <c r="Z852" i="6"/>
  <c r="X852" i="6"/>
  <c r="W852" i="6"/>
  <c r="V852" i="6"/>
  <c r="U852" i="6"/>
  <c r="Y852" i="6" s="1"/>
  <c r="T852" i="6"/>
  <c r="S852" i="6"/>
  <c r="R852" i="6"/>
  <c r="R851" i="6"/>
  <c r="R850" i="6"/>
  <c r="R849" i="6"/>
  <c r="R848" i="6"/>
  <c r="R847" i="6"/>
  <c r="Z846" i="6"/>
  <c r="X846" i="6"/>
  <c r="W846" i="6"/>
  <c r="V846" i="6"/>
  <c r="U846" i="6"/>
  <c r="T846" i="6"/>
  <c r="S846" i="6"/>
  <c r="Y846" i="6" s="1"/>
  <c r="R846" i="6"/>
  <c r="R845" i="6"/>
  <c r="R844" i="6"/>
  <c r="R843" i="6"/>
  <c r="R842" i="6"/>
  <c r="R841" i="6"/>
  <c r="Z840" i="6"/>
  <c r="X840" i="6"/>
  <c r="W840" i="6"/>
  <c r="V840" i="6"/>
  <c r="U840" i="6"/>
  <c r="T840" i="6"/>
  <c r="S840" i="6"/>
  <c r="Y840" i="6" s="1"/>
  <c r="R840" i="6"/>
  <c r="R839" i="6"/>
  <c r="R838" i="6"/>
  <c r="R837" i="6"/>
  <c r="R836" i="6"/>
  <c r="R835" i="6"/>
  <c r="Z834" i="6"/>
  <c r="X834" i="6"/>
  <c r="W834" i="6"/>
  <c r="V834" i="6"/>
  <c r="U834" i="6"/>
  <c r="T834" i="6"/>
  <c r="S834" i="6"/>
  <c r="Y834" i="6" s="1"/>
  <c r="R834" i="6"/>
  <c r="R833" i="6"/>
  <c r="R832" i="6"/>
  <c r="R831" i="6"/>
  <c r="R830" i="6"/>
  <c r="Z829" i="6"/>
  <c r="Y829" i="6"/>
  <c r="X829" i="6"/>
  <c r="W829" i="6"/>
  <c r="V829" i="6"/>
  <c r="U829" i="6"/>
  <c r="T829" i="6"/>
  <c r="S829" i="6"/>
  <c r="R829" i="6"/>
  <c r="R828" i="6"/>
  <c r="R827" i="6"/>
  <c r="R826" i="6"/>
  <c r="R825" i="6"/>
  <c r="R824" i="6"/>
  <c r="Z823" i="6"/>
  <c r="Y823" i="6"/>
  <c r="X823" i="6"/>
  <c r="W823" i="6"/>
  <c r="V823" i="6"/>
  <c r="U823" i="6"/>
  <c r="T823" i="6"/>
  <c r="S823" i="6"/>
  <c r="R823" i="6"/>
  <c r="R822" i="6"/>
  <c r="R821" i="6"/>
  <c r="R820" i="6"/>
  <c r="R819" i="6"/>
  <c r="R818" i="6"/>
  <c r="Z817" i="6"/>
  <c r="X817" i="6"/>
  <c r="W817" i="6"/>
  <c r="V817" i="6"/>
  <c r="U817" i="6"/>
  <c r="T817" i="6"/>
  <c r="S817" i="6"/>
  <c r="Y817" i="6" s="1"/>
  <c r="R817" i="6"/>
  <c r="R816" i="6"/>
  <c r="R815" i="6"/>
  <c r="R814" i="6"/>
  <c r="R813" i="6"/>
  <c r="R812" i="6"/>
  <c r="Z811" i="6"/>
  <c r="X811" i="6"/>
  <c r="W811" i="6"/>
  <c r="V811" i="6"/>
  <c r="U811" i="6"/>
  <c r="T811" i="6"/>
  <c r="S811" i="6"/>
  <c r="Y811" i="6" s="1"/>
  <c r="R811" i="6"/>
  <c r="R810" i="6"/>
  <c r="R809" i="6"/>
  <c r="R808" i="6"/>
  <c r="R807" i="6"/>
  <c r="R806" i="6"/>
  <c r="Z805" i="6"/>
  <c r="Y805" i="6"/>
  <c r="X805" i="6"/>
  <c r="W805" i="6"/>
  <c r="V805" i="6"/>
  <c r="U805" i="6"/>
  <c r="T805" i="6"/>
  <c r="S805" i="6"/>
  <c r="R805" i="6"/>
  <c r="R804" i="6"/>
  <c r="R803" i="6"/>
  <c r="R802" i="6"/>
  <c r="R801" i="6"/>
  <c r="Z800" i="6"/>
  <c r="X800" i="6"/>
  <c r="W800" i="6"/>
  <c r="V800" i="6"/>
  <c r="U800" i="6"/>
  <c r="T800" i="6"/>
  <c r="S800" i="6"/>
  <c r="Y800" i="6" s="1"/>
  <c r="R800" i="6"/>
  <c r="R799" i="6"/>
  <c r="R798" i="6"/>
  <c r="R797" i="6"/>
  <c r="R796" i="6"/>
  <c r="R795" i="6"/>
  <c r="Z794" i="6"/>
  <c r="X794" i="6"/>
  <c r="W794" i="6"/>
  <c r="V794" i="6"/>
  <c r="U794" i="6"/>
  <c r="T794" i="6"/>
  <c r="S794" i="6"/>
  <c r="Y794" i="6" s="1"/>
  <c r="R794" i="6"/>
  <c r="R793" i="6"/>
  <c r="R792" i="6"/>
  <c r="R791" i="6"/>
  <c r="R790" i="6"/>
  <c r="R789" i="6"/>
  <c r="Z788" i="6"/>
  <c r="Y788" i="6"/>
  <c r="X788" i="6"/>
  <c r="W788" i="6"/>
  <c r="V788" i="6"/>
  <c r="U788" i="6"/>
  <c r="T788" i="6"/>
  <c r="S788" i="6"/>
  <c r="R788" i="6"/>
  <c r="R787" i="6"/>
  <c r="R786" i="6"/>
  <c r="R785" i="6"/>
  <c r="R784" i="6"/>
  <c r="R783" i="6"/>
  <c r="Z782" i="6"/>
  <c r="Y782" i="6"/>
  <c r="X782" i="6"/>
  <c r="W782" i="6"/>
  <c r="V782" i="6"/>
  <c r="U782" i="6"/>
  <c r="T782" i="6"/>
  <c r="S782" i="6"/>
  <c r="R782" i="6"/>
  <c r="R781" i="6"/>
  <c r="R780" i="6"/>
  <c r="R779" i="6"/>
  <c r="R778" i="6"/>
  <c r="R777" i="6"/>
  <c r="Z776" i="6"/>
  <c r="Y776" i="6"/>
  <c r="X776" i="6"/>
  <c r="W776" i="6"/>
  <c r="V776" i="6"/>
  <c r="U776" i="6"/>
  <c r="T776" i="6"/>
  <c r="S776" i="6"/>
  <c r="R776" i="6"/>
  <c r="R775" i="6"/>
  <c r="R774" i="6"/>
  <c r="Z773" i="6"/>
  <c r="X773" i="6"/>
  <c r="W773" i="6"/>
  <c r="Y773" i="6" s="1"/>
  <c r="V773" i="6"/>
  <c r="U773" i="6"/>
  <c r="T773" i="6"/>
  <c r="S773" i="6"/>
  <c r="Z772" i="6"/>
  <c r="Y772" i="6"/>
  <c r="X772" i="6"/>
  <c r="W772" i="6"/>
  <c r="V772" i="6"/>
  <c r="U772" i="6"/>
  <c r="T772" i="6"/>
  <c r="S772" i="6"/>
  <c r="R772" i="6"/>
  <c r="R771" i="6"/>
  <c r="R770" i="6"/>
  <c r="R769" i="6"/>
  <c r="R768" i="6"/>
  <c r="R767" i="6"/>
  <c r="Z766" i="6"/>
  <c r="Y766" i="6"/>
  <c r="X766" i="6"/>
  <c r="W766" i="6"/>
  <c r="V766" i="6"/>
  <c r="U766" i="6"/>
  <c r="T766" i="6"/>
  <c r="S766" i="6"/>
  <c r="R766" i="6"/>
  <c r="R765" i="6"/>
  <c r="R764" i="6"/>
  <c r="R763" i="6"/>
  <c r="R762" i="6"/>
  <c r="R761" i="6"/>
  <c r="Z760" i="6"/>
  <c r="X760" i="6"/>
  <c r="W760" i="6"/>
  <c r="V760" i="6"/>
  <c r="U760" i="6"/>
  <c r="Y760" i="6" s="1"/>
  <c r="T760" i="6"/>
  <c r="S760" i="6"/>
  <c r="R760" i="6"/>
  <c r="Z759" i="6"/>
  <c r="X759" i="6"/>
  <c r="W759" i="6"/>
  <c r="V759" i="6"/>
  <c r="U759" i="6"/>
  <c r="T759" i="6"/>
  <c r="S759" i="6"/>
  <c r="Y759" i="6" s="1"/>
  <c r="R759" i="6"/>
  <c r="Z758" i="6"/>
  <c r="Y758" i="6"/>
  <c r="X758" i="6"/>
  <c r="W758" i="6"/>
  <c r="V758" i="6"/>
  <c r="U758" i="6"/>
  <c r="T758" i="6"/>
  <c r="S758" i="6"/>
  <c r="R758" i="6"/>
  <c r="R757" i="6"/>
  <c r="R756" i="6"/>
  <c r="R755" i="6"/>
  <c r="R754" i="6"/>
  <c r="R753" i="6"/>
  <c r="Z752" i="6"/>
  <c r="X752" i="6"/>
  <c r="W752" i="6"/>
  <c r="V752" i="6"/>
  <c r="U752" i="6"/>
  <c r="Y752" i="6" s="1"/>
  <c r="T752" i="6"/>
  <c r="S752" i="6"/>
  <c r="R752" i="6"/>
  <c r="R751" i="6"/>
  <c r="R750" i="6"/>
  <c r="R749" i="6"/>
  <c r="R748" i="6"/>
  <c r="R747" i="6"/>
  <c r="Z746" i="6"/>
  <c r="X746" i="6"/>
  <c r="W746" i="6"/>
  <c r="V746" i="6"/>
  <c r="U746" i="6"/>
  <c r="T746" i="6"/>
  <c r="S746" i="6"/>
  <c r="Y746" i="6" s="1"/>
  <c r="R746" i="6"/>
  <c r="Z745" i="6"/>
  <c r="X745" i="6"/>
  <c r="W745" i="6"/>
  <c r="V745" i="6"/>
  <c r="U745" i="6"/>
  <c r="T745" i="6"/>
  <c r="S745" i="6"/>
  <c r="Y745" i="6" s="1"/>
  <c r="R745" i="6"/>
  <c r="R744" i="6"/>
  <c r="R743" i="6"/>
  <c r="R742" i="6"/>
  <c r="Z741" i="6"/>
  <c r="Y741" i="6"/>
  <c r="X741" i="6"/>
  <c r="W741" i="6"/>
  <c r="V741" i="6"/>
  <c r="U741" i="6"/>
  <c r="T741" i="6"/>
  <c r="S741" i="6"/>
  <c r="R741" i="6"/>
  <c r="R740" i="6"/>
  <c r="R739" i="6"/>
  <c r="R738" i="6"/>
  <c r="R737" i="6"/>
  <c r="R736" i="6"/>
  <c r="Z735" i="6"/>
  <c r="Y735" i="6"/>
  <c r="X735" i="6"/>
  <c r="W735" i="6"/>
  <c r="V735" i="6"/>
  <c r="U735" i="6"/>
  <c r="T735" i="6"/>
  <c r="S735" i="6"/>
  <c r="R735" i="6"/>
  <c r="R734" i="6"/>
  <c r="Z733" i="6"/>
  <c r="X733" i="6"/>
  <c r="W733" i="6"/>
  <c r="V733" i="6"/>
  <c r="U733" i="6"/>
  <c r="T733" i="6"/>
  <c r="S733" i="6"/>
  <c r="Y733" i="6" s="1"/>
  <c r="R733" i="6"/>
  <c r="Z732" i="6"/>
  <c r="Y732" i="6"/>
  <c r="X732" i="6"/>
  <c r="W732" i="6"/>
  <c r="V732" i="6"/>
  <c r="U732" i="6"/>
  <c r="T732" i="6"/>
  <c r="S732" i="6"/>
  <c r="R732" i="6"/>
  <c r="R731" i="6"/>
  <c r="R730" i="6"/>
  <c r="R729" i="6"/>
  <c r="R728" i="6"/>
  <c r="R727" i="6"/>
  <c r="Z726" i="6"/>
  <c r="X726" i="6"/>
  <c r="W726" i="6"/>
  <c r="Y726" i="6" s="1"/>
  <c r="V726" i="6"/>
  <c r="U726" i="6"/>
  <c r="T726" i="6"/>
  <c r="S726" i="6"/>
  <c r="R726" i="6"/>
  <c r="Z725" i="6"/>
  <c r="X725" i="6"/>
  <c r="W725" i="6"/>
  <c r="V725" i="6"/>
  <c r="U725" i="6"/>
  <c r="T725" i="6"/>
  <c r="S725" i="6"/>
  <c r="Y725" i="6" s="1"/>
  <c r="R725" i="6"/>
  <c r="R724" i="6"/>
  <c r="R723" i="6"/>
  <c r="R722" i="6"/>
  <c r="R721" i="6"/>
  <c r="R720" i="6"/>
  <c r="Z719" i="6"/>
  <c r="X719" i="6"/>
  <c r="W719" i="6"/>
  <c r="V719" i="6"/>
  <c r="U719" i="6"/>
  <c r="T719" i="6"/>
  <c r="S719" i="6"/>
  <c r="Y719" i="6" s="1"/>
  <c r="R719" i="6"/>
  <c r="R718" i="6"/>
  <c r="R717" i="6"/>
  <c r="R716" i="6"/>
  <c r="R715" i="6"/>
  <c r="R714" i="6"/>
  <c r="Z713" i="6"/>
  <c r="X713" i="6"/>
  <c r="W713" i="6"/>
  <c r="V713" i="6"/>
  <c r="U713" i="6"/>
  <c r="T713" i="6"/>
  <c r="S713" i="6"/>
  <c r="Y713" i="6" s="1"/>
  <c r="R713" i="6"/>
  <c r="R712" i="6"/>
  <c r="Z711" i="6"/>
  <c r="Y711" i="6"/>
  <c r="X711" i="6"/>
  <c r="W711" i="6"/>
  <c r="V711" i="6"/>
  <c r="U711" i="6"/>
  <c r="T711" i="6"/>
  <c r="S711" i="6"/>
  <c r="R711" i="6"/>
  <c r="R710" i="6"/>
  <c r="R709" i="6"/>
  <c r="R708" i="6"/>
  <c r="R707" i="6"/>
  <c r="R706" i="6"/>
  <c r="Z705" i="6"/>
  <c r="X705" i="6"/>
  <c r="W705" i="6"/>
  <c r="V705" i="6"/>
  <c r="U705" i="6"/>
  <c r="T705" i="6"/>
  <c r="S705" i="6"/>
  <c r="Y705" i="6" s="1"/>
  <c r="R705" i="6"/>
  <c r="R704" i="6"/>
  <c r="R703" i="6"/>
  <c r="R702" i="6"/>
  <c r="R701" i="6"/>
  <c r="R700" i="6"/>
  <c r="Z699" i="6"/>
  <c r="X699" i="6"/>
  <c r="W699" i="6"/>
  <c r="V699" i="6"/>
  <c r="U699" i="6"/>
  <c r="Y699" i="6" s="1"/>
  <c r="T699" i="6"/>
  <c r="S699" i="6"/>
  <c r="R699" i="6"/>
  <c r="R698" i="6"/>
  <c r="R697" i="6"/>
  <c r="R696" i="6"/>
  <c r="R695" i="6"/>
  <c r="R694" i="6"/>
  <c r="Z693" i="6"/>
  <c r="X693" i="6"/>
  <c r="W693" i="6"/>
  <c r="V693" i="6"/>
  <c r="U693" i="6"/>
  <c r="T693" i="6"/>
  <c r="S693" i="6"/>
  <c r="Y693" i="6" s="1"/>
  <c r="R693" i="6"/>
  <c r="R692" i="6"/>
  <c r="R691" i="6"/>
  <c r="R690" i="6"/>
  <c r="R689" i="6"/>
  <c r="R688" i="6"/>
  <c r="Z687" i="6"/>
  <c r="X687" i="6"/>
  <c r="W687" i="6"/>
  <c r="V687" i="6"/>
  <c r="U687" i="6"/>
  <c r="T687" i="6"/>
  <c r="S687" i="6"/>
  <c r="Y687" i="6" s="1"/>
  <c r="R687" i="6"/>
  <c r="R686" i="6"/>
  <c r="R685" i="6"/>
  <c r="R684" i="6"/>
  <c r="R683" i="6"/>
  <c r="Z682" i="6"/>
  <c r="X682" i="6"/>
  <c r="W682" i="6"/>
  <c r="V682" i="6"/>
  <c r="U682" i="6"/>
  <c r="T682" i="6"/>
  <c r="S682" i="6"/>
  <c r="Y682" i="6" s="1"/>
  <c r="R682" i="6"/>
  <c r="R681" i="6"/>
  <c r="Z680" i="6"/>
  <c r="X680" i="6"/>
  <c r="W680" i="6"/>
  <c r="V680" i="6"/>
  <c r="U680" i="6"/>
  <c r="T680" i="6"/>
  <c r="S680" i="6"/>
  <c r="R680" i="6"/>
  <c r="R679" i="6"/>
  <c r="R678" i="6"/>
  <c r="R677" i="6"/>
  <c r="R676" i="6"/>
  <c r="R675" i="6"/>
  <c r="Z674" i="6"/>
  <c r="X674" i="6"/>
  <c r="W674" i="6"/>
  <c r="V674" i="6"/>
  <c r="U674" i="6"/>
  <c r="T674" i="6"/>
  <c r="S674" i="6"/>
  <c r="Y674" i="6" s="1"/>
  <c r="R674" i="6"/>
  <c r="R673" i="6"/>
  <c r="R672" i="6"/>
  <c r="R671" i="6"/>
  <c r="R670" i="6"/>
  <c r="Z669" i="6"/>
  <c r="X669" i="6"/>
  <c r="W669" i="6"/>
  <c r="V669" i="6"/>
  <c r="U669" i="6"/>
  <c r="T669" i="6"/>
  <c r="S669" i="6"/>
  <c r="Y669" i="6" s="1"/>
  <c r="R669" i="6"/>
  <c r="Z668" i="6"/>
  <c r="Y668" i="6"/>
  <c r="X668" i="6"/>
  <c r="W668" i="6"/>
  <c r="V668" i="6"/>
  <c r="U668" i="6"/>
  <c r="T668" i="6"/>
  <c r="S668" i="6"/>
  <c r="R668" i="6"/>
  <c r="Z667" i="6"/>
  <c r="X667" i="6"/>
  <c r="W667" i="6"/>
  <c r="V667" i="6"/>
  <c r="U667" i="6"/>
  <c r="Y667" i="6" s="1"/>
  <c r="T667" i="6"/>
  <c r="S667" i="6"/>
  <c r="R667" i="6"/>
  <c r="R666" i="6"/>
  <c r="Z665" i="6"/>
  <c r="X665" i="6"/>
  <c r="W665" i="6"/>
  <c r="V665" i="6"/>
  <c r="U665" i="6"/>
  <c r="T665" i="6"/>
  <c r="S665" i="6"/>
  <c r="Y665" i="6" s="1"/>
  <c r="R665" i="6"/>
  <c r="R664" i="6"/>
  <c r="R663" i="6"/>
  <c r="R662" i="6"/>
  <c r="R661" i="6"/>
  <c r="R660" i="6"/>
  <c r="Z659" i="6"/>
  <c r="Y659" i="6"/>
  <c r="X659" i="6"/>
  <c r="W659" i="6"/>
  <c r="V659" i="6"/>
  <c r="U659" i="6"/>
  <c r="T659" i="6"/>
  <c r="S659" i="6"/>
  <c r="R659" i="6"/>
  <c r="R658" i="6"/>
  <c r="R657" i="6"/>
  <c r="Z656" i="6"/>
  <c r="X656" i="6"/>
  <c r="W656" i="6"/>
  <c r="V656" i="6"/>
  <c r="U656" i="6"/>
  <c r="T656" i="6"/>
  <c r="S656" i="6"/>
  <c r="Y656" i="6" s="1"/>
  <c r="R656" i="6"/>
  <c r="R655" i="6"/>
  <c r="R654" i="6"/>
  <c r="R653" i="6"/>
  <c r="Z652" i="6"/>
  <c r="Y652" i="6"/>
  <c r="X652" i="6"/>
  <c r="W652" i="6"/>
  <c r="V652" i="6"/>
  <c r="U652" i="6"/>
  <c r="T652" i="6"/>
  <c r="S652" i="6"/>
  <c r="R652" i="6"/>
  <c r="R651" i="6"/>
  <c r="R650" i="6"/>
  <c r="Z649" i="6"/>
  <c r="X649" i="6"/>
  <c r="V649" i="6"/>
  <c r="T649" i="6"/>
  <c r="Z648" i="6"/>
  <c r="X648" i="6"/>
  <c r="W648" i="6"/>
  <c r="V648" i="6"/>
  <c r="U648" i="6"/>
  <c r="T648" i="6"/>
  <c r="S648" i="6"/>
  <c r="Y648" i="6" s="1"/>
  <c r="R648" i="6"/>
  <c r="Z647" i="6"/>
  <c r="Y647" i="6"/>
  <c r="X647" i="6"/>
  <c r="W647" i="6"/>
  <c r="V647" i="6"/>
  <c r="U647" i="6"/>
  <c r="T647" i="6"/>
  <c r="S647" i="6"/>
  <c r="R647" i="6"/>
  <c r="Z646" i="6"/>
  <c r="X646" i="6"/>
  <c r="W646" i="6"/>
  <c r="V646" i="6"/>
  <c r="U646" i="6"/>
  <c r="Y646" i="6" s="1"/>
  <c r="T646" i="6"/>
  <c r="S646" i="6"/>
  <c r="R646" i="6"/>
  <c r="R645" i="6"/>
  <c r="R644" i="6"/>
  <c r="R643" i="6"/>
  <c r="R642" i="6"/>
  <c r="R641" i="6"/>
  <c r="Z640" i="6"/>
  <c r="X640" i="6"/>
  <c r="W640" i="6"/>
  <c r="V640" i="6"/>
  <c r="U640" i="6"/>
  <c r="T640" i="6"/>
  <c r="S640" i="6"/>
  <c r="Y640" i="6" s="1"/>
  <c r="R640" i="6"/>
  <c r="R639" i="6"/>
  <c r="Z638" i="6"/>
  <c r="Y638" i="6"/>
  <c r="X638" i="6"/>
  <c r="W638" i="6"/>
  <c r="V638" i="6"/>
  <c r="U638" i="6"/>
  <c r="T638" i="6"/>
  <c r="S638" i="6"/>
  <c r="R638" i="6"/>
  <c r="R637" i="6"/>
  <c r="R636" i="6"/>
  <c r="R635" i="6"/>
  <c r="R634" i="6"/>
  <c r="R633" i="6"/>
  <c r="Z632" i="6"/>
  <c r="Y632" i="6"/>
  <c r="X632" i="6"/>
  <c r="W632" i="6"/>
  <c r="V632" i="6"/>
  <c r="U632" i="6"/>
  <c r="T632" i="6"/>
  <c r="S632" i="6"/>
  <c r="R632" i="6"/>
  <c r="R631" i="6"/>
  <c r="R630" i="6"/>
  <c r="R629" i="6"/>
  <c r="R628" i="6"/>
  <c r="Z627" i="6"/>
  <c r="X627" i="6"/>
  <c r="W627" i="6"/>
  <c r="V627" i="6"/>
  <c r="U627" i="6"/>
  <c r="T627" i="6"/>
  <c r="S627" i="6"/>
  <c r="Y627" i="6" s="1"/>
  <c r="R627" i="6"/>
  <c r="R626" i="6"/>
  <c r="R625" i="6"/>
  <c r="R624" i="6"/>
  <c r="R623" i="6"/>
  <c r="R622" i="6"/>
  <c r="Z621" i="6"/>
  <c r="X621" i="6"/>
  <c r="W621" i="6"/>
  <c r="V621" i="6"/>
  <c r="U621" i="6"/>
  <c r="T621" i="6"/>
  <c r="S621" i="6"/>
  <c r="Y621" i="6" s="1"/>
  <c r="R621" i="6"/>
  <c r="R620" i="6"/>
  <c r="Z619" i="6"/>
  <c r="X619" i="6"/>
  <c r="W619" i="6"/>
  <c r="V619" i="6"/>
  <c r="U619" i="6"/>
  <c r="T619" i="6"/>
  <c r="S619" i="6"/>
  <c r="Y619" i="6" s="1"/>
  <c r="R619" i="6"/>
  <c r="R618" i="6"/>
  <c r="R617" i="6"/>
  <c r="R616" i="6"/>
  <c r="R615" i="6"/>
  <c r="R614" i="6"/>
  <c r="Z613" i="6"/>
  <c r="X613" i="6"/>
  <c r="W613" i="6"/>
  <c r="V613" i="6"/>
  <c r="U613" i="6"/>
  <c r="T613" i="6"/>
  <c r="S613" i="6"/>
  <c r="Y613" i="6" s="1"/>
  <c r="R613" i="6"/>
  <c r="R612" i="6"/>
  <c r="R611" i="6"/>
  <c r="R610" i="6"/>
  <c r="R609" i="6"/>
  <c r="R608" i="6"/>
  <c r="Z607" i="6"/>
  <c r="Y607" i="6"/>
  <c r="X607" i="6"/>
  <c r="W607" i="6"/>
  <c r="V607" i="6"/>
  <c r="U607" i="6"/>
  <c r="T607" i="6"/>
  <c r="S607" i="6"/>
  <c r="R607" i="6"/>
  <c r="R606" i="6"/>
  <c r="R605" i="6"/>
  <c r="R604" i="6"/>
  <c r="R603" i="6"/>
  <c r="R602" i="6"/>
  <c r="Z601" i="6"/>
  <c r="Y601" i="6"/>
  <c r="X601" i="6"/>
  <c r="W601" i="6"/>
  <c r="V601" i="6"/>
  <c r="U601" i="6"/>
  <c r="T601" i="6"/>
  <c r="S601" i="6"/>
  <c r="R601" i="6"/>
  <c r="R600" i="6"/>
  <c r="R599" i="6"/>
  <c r="R598" i="6"/>
  <c r="R597" i="6"/>
  <c r="R596" i="6"/>
  <c r="Z595" i="6"/>
  <c r="X595" i="6"/>
  <c r="W595" i="6"/>
  <c r="V595" i="6"/>
  <c r="U595" i="6"/>
  <c r="T595" i="6"/>
  <c r="S595" i="6"/>
  <c r="Y595" i="6" s="1"/>
  <c r="R595" i="6"/>
  <c r="R594" i="6"/>
  <c r="R593" i="6"/>
  <c r="Z592" i="6"/>
  <c r="X592" i="6"/>
  <c r="W592" i="6"/>
  <c r="V592" i="6"/>
  <c r="U592" i="6"/>
  <c r="T592" i="6"/>
  <c r="S592" i="6"/>
  <c r="Y592" i="6" s="1"/>
  <c r="R592" i="6"/>
  <c r="R591" i="6"/>
  <c r="R590" i="6"/>
  <c r="Z589" i="6"/>
  <c r="X589" i="6"/>
  <c r="W589" i="6"/>
  <c r="V589" i="6"/>
  <c r="U589" i="6"/>
  <c r="T589" i="6"/>
  <c r="S589" i="6"/>
  <c r="Y589" i="6" s="1"/>
  <c r="Z588" i="6"/>
  <c r="X588" i="6"/>
  <c r="W588" i="6"/>
  <c r="V588" i="6"/>
  <c r="U588" i="6"/>
  <c r="T588" i="6"/>
  <c r="S588" i="6"/>
  <c r="Y588" i="6" s="1"/>
  <c r="Z587" i="6"/>
  <c r="X587" i="6"/>
  <c r="W587" i="6"/>
  <c r="V587" i="6"/>
  <c r="U587" i="6"/>
  <c r="T587" i="6"/>
  <c r="S587" i="6"/>
  <c r="Y587" i="6" s="1"/>
  <c r="R587" i="6"/>
  <c r="Z586" i="6"/>
  <c r="X586" i="6"/>
  <c r="W586" i="6"/>
  <c r="V586" i="6"/>
  <c r="U586" i="6"/>
  <c r="T586" i="6"/>
  <c r="S586" i="6"/>
  <c r="Y586" i="6" s="1"/>
  <c r="R586" i="6"/>
  <c r="R585" i="6"/>
  <c r="R584" i="6"/>
  <c r="Z583" i="6"/>
  <c r="X583" i="6"/>
  <c r="W583" i="6"/>
  <c r="V583" i="6"/>
  <c r="U583" i="6"/>
  <c r="Y583" i="6" s="1"/>
  <c r="T583" i="6"/>
  <c r="S583" i="6"/>
  <c r="R583" i="6"/>
  <c r="R582" i="6"/>
  <c r="R581" i="6"/>
  <c r="R580" i="6"/>
  <c r="R579" i="6"/>
  <c r="R578" i="6"/>
  <c r="Z577" i="6"/>
  <c r="X577" i="6"/>
  <c r="W577" i="6"/>
  <c r="V577" i="6"/>
  <c r="U577" i="6"/>
  <c r="T577" i="6"/>
  <c r="S577" i="6"/>
  <c r="Y577" i="6" s="1"/>
  <c r="R577" i="6"/>
  <c r="R576" i="6"/>
  <c r="R575" i="6"/>
  <c r="R574" i="6"/>
  <c r="Z573" i="6"/>
  <c r="Y573" i="6"/>
  <c r="X573" i="6"/>
  <c r="W573" i="6"/>
  <c r="V573" i="6"/>
  <c r="U573" i="6"/>
  <c r="T573" i="6"/>
  <c r="S573" i="6"/>
  <c r="R573" i="6"/>
  <c r="R572" i="6"/>
  <c r="R571" i="6"/>
  <c r="R570" i="6"/>
  <c r="R569" i="6"/>
  <c r="R568" i="6"/>
  <c r="Z567" i="6"/>
  <c r="Y567" i="6"/>
  <c r="X567" i="6"/>
  <c r="W567" i="6"/>
  <c r="V567" i="6"/>
  <c r="U567" i="6"/>
  <c r="T567" i="6"/>
  <c r="S567" i="6"/>
  <c r="R567" i="6"/>
  <c r="R566" i="6"/>
  <c r="R565" i="6"/>
  <c r="R564" i="6"/>
  <c r="R563" i="6"/>
  <c r="R562" i="6"/>
  <c r="Z561" i="6"/>
  <c r="X561" i="6"/>
  <c r="W561" i="6"/>
  <c r="V561" i="6"/>
  <c r="U561" i="6"/>
  <c r="T561" i="6"/>
  <c r="S561" i="6"/>
  <c r="Y561" i="6" s="1"/>
  <c r="Z560" i="6"/>
  <c r="X560" i="6"/>
  <c r="W560" i="6"/>
  <c r="V560" i="6"/>
  <c r="U560" i="6"/>
  <c r="T560" i="6"/>
  <c r="S560" i="6"/>
  <c r="Y560" i="6" s="1"/>
  <c r="R560" i="6"/>
  <c r="R559" i="6"/>
  <c r="R558" i="6"/>
  <c r="R557" i="6"/>
  <c r="R556" i="6"/>
  <c r="R555" i="6"/>
  <c r="Z554" i="6"/>
  <c r="X554" i="6"/>
  <c r="W554" i="6"/>
  <c r="V554" i="6"/>
  <c r="U554" i="6"/>
  <c r="T554" i="6"/>
  <c r="S554" i="6"/>
  <c r="Y554" i="6" s="1"/>
  <c r="R554" i="6"/>
  <c r="R553" i="6"/>
  <c r="R552" i="6"/>
  <c r="R551" i="6"/>
  <c r="R550" i="6"/>
  <c r="R549" i="6"/>
  <c r="Z548" i="6"/>
  <c r="Y548" i="6"/>
  <c r="X548" i="6"/>
  <c r="W548" i="6"/>
  <c r="V548" i="6"/>
  <c r="U548" i="6"/>
  <c r="T548" i="6"/>
  <c r="S548" i="6"/>
  <c r="R548" i="6"/>
  <c r="R547" i="6"/>
  <c r="R546" i="6"/>
  <c r="R545" i="6"/>
  <c r="Z544" i="6"/>
  <c r="X544" i="6"/>
  <c r="X886" i="6" s="1"/>
  <c r="W544" i="6"/>
  <c r="V544" i="6"/>
  <c r="U544" i="6"/>
  <c r="T544" i="6"/>
  <c r="S544" i="6"/>
  <c r="R544" i="6"/>
  <c r="R543" i="6"/>
  <c r="R542" i="6"/>
  <c r="R541" i="6"/>
  <c r="R540" i="6"/>
  <c r="Z539" i="6"/>
  <c r="X539" i="6"/>
  <c r="W539" i="6"/>
  <c r="V539" i="6"/>
  <c r="U539" i="6"/>
  <c r="Y539" i="6" s="1"/>
  <c r="T539" i="6"/>
  <c r="S539" i="6"/>
  <c r="R539" i="6"/>
  <c r="R538" i="6"/>
  <c r="R537" i="6"/>
  <c r="R536" i="6"/>
  <c r="R535" i="6"/>
  <c r="R534" i="6"/>
  <c r="Z533" i="6"/>
  <c r="X533" i="6"/>
  <c r="W533" i="6"/>
  <c r="V533" i="6"/>
  <c r="U533" i="6"/>
  <c r="T533" i="6"/>
  <c r="S533" i="6"/>
  <c r="Y533" i="6" s="1"/>
  <c r="R533" i="6"/>
  <c r="R532" i="6"/>
  <c r="R531" i="6"/>
  <c r="R530" i="6"/>
  <c r="R529" i="6"/>
  <c r="R528" i="6"/>
  <c r="Z527" i="6"/>
  <c r="X527" i="6"/>
  <c r="W527" i="6"/>
  <c r="V527" i="6"/>
  <c r="U527" i="6"/>
  <c r="T527" i="6"/>
  <c r="S527" i="6"/>
  <c r="Y527" i="6" s="1"/>
  <c r="R527" i="6"/>
  <c r="R526" i="6"/>
  <c r="R525" i="6"/>
  <c r="R524" i="6"/>
  <c r="R523" i="6"/>
  <c r="R522" i="6"/>
  <c r="Z521" i="6"/>
  <c r="X521" i="6"/>
  <c r="W521" i="6"/>
  <c r="V521" i="6"/>
  <c r="U521" i="6"/>
  <c r="T521" i="6"/>
  <c r="S521" i="6"/>
  <c r="Y521" i="6" s="1"/>
  <c r="R521" i="6"/>
  <c r="R520" i="6"/>
  <c r="R519" i="6"/>
  <c r="R518" i="6"/>
  <c r="R517" i="6"/>
  <c r="R516" i="6"/>
  <c r="Z515" i="6"/>
  <c r="Y515" i="6"/>
  <c r="X515" i="6"/>
  <c r="W515" i="6"/>
  <c r="V515" i="6"/>
  <c r="U515" i="6"/>
  <c r="T515" i="6"/>
  <c r="S515" i="6"/>
  <c r="R515" i="6"/>
  <c r="R514" i="6"/>
  <c r="R513" i="6"/>
  <c r="Z512" i="6"/>
  <c r="X512" i="6"/>
  <c r="W512" i="6"/>
  <c r="V512" i="6"/>
  <c r="U512" i="6"/>
  <c r="T512" i="6"/>
  <c r="S512" i="6"/>
  <c r="Y512" i="6" s="1"/>
  <c r="R512" i="6"/>
  <c r="R511" i="6"/>
  <c r="R510" i="6"/>
  <c r="R509" i="6"/>
  <c r="R508" i="6"/>
  <c r="R507" i="6"/>
  <c r="Z506" i="6"/>
  <c r="X506" i="6"/>
  <c r="W506" i="6"/>
  <c r="V506" i="6"/>
  <c r="U506" i="6"/>
  <c r="T506" i="6"/>
  <c r="S506" i="6"/>
  <c r="R506" i="6"/>
  <c r="R505" i="6"/>
  <c r="R504" i="6"/>
  <c r="R503" i="6"/>
  <c r="R502" i="6"/>
  <c r="R501" i="6"/>
  <c r="T499" i="6"/>
  <c r="Z498" i="6"/>
  <c r="Y498" i="6"/>
  <c r="X498" i="6"/>
  <c r="W498" i="6"/>
  <c r="V498" i="6"/>
  <c r="U498" i="6"/>
  <c r="T498" i="6"/>
  <c r="S498" i="6"/>
  <c r="Z497" i="6"/>
  <c r="Z499" i="6" s="1"/>
  <c r="X497" i="6"/>
  <c r="X499" i="6" s="1"/>
  <c r="W497" i="6"/>
  <c r="Y497" i="6" s="1"/>
  <c r="Y499" i="6" s="1"/>
  <c r="V497" i="6"/>
  <c r="V499" i="6" s="1"/>
  <c r="U497" i="6"/>
  <c r="U499" i="6" s="1"/>
  <c r="T497" i="6"/>
  <c r="S497" i="6"/>
  <c r="S499" i="6" s="1"/>
  <c r="R497" i="6"/>
  <c r="Z495" i="6"/>
  <c r="Z494" i="6"/>
  <c r="X494" i="6"/>
  <c r="W494" i="6"/>
  <c r="V494" i="6"/>
  <c r="U494" i="6"/>
  <c r="Y494" i="6" s="1"/>
  <c r="T494" i="6"/>
  <c r="S494" i="6"/>
  <c r="R494" i="6"/>
  <c r="R493" i="6"/>
  <c r="Z492" i="6"/>
  <c r="X492" i="6"/>
  <c r="W492" i="6"/>
  <c r="V492" i="6"/>
  <c r="U492" i="6"/>
  <c r="T492" i="6"/>
  <c r="S492" i="6"/>
  <c r="Y492" i="6" s="1"/>
  <c r="R492" i="6"/>
  <c r="Z491" i="6"/>
  <c r="X491" i="6"/>
  <c r="X495" i="6" s="1"/>
  <c r="W491" i="6"/>
  <c r="W495" i="6" s="1"/>
  <c r="V491" i="6"/>
  <c r="V495" i="6" s="1"/>
  <c r="U491" i="6"/>
  <c r="T491" i="6"/>
  <c r="T495" i="6" s="1"/>
  <c r="S491" i="6"/>
  <c r="S495" i="6" s="1"/>
  <c r="R491" i="6"/>
  <c r="R490" i="6"/>
  <c r="R489" i="6"/>
  <c r="R488" i="6"/>
  <c r="R487" i="6"/>
  <c r="U486" i="6"/>
  <c r="Z485" i="6"/>
  <c r="Y485" i="6"/>
  <c r="X485" i="6"/>
  <c r="W485" i="6"/>
  <c r="V485" i="6"/>
  <c r="U485" i="6"/>
  <c r="T485" i="6"/>
  <c r="S485" i="6"/>
  <c r="R485" i="6"/>
  <c r="Z484" i="6"/>
  <c r="Z486" i="6" s="1"/>
  <c r="X484" i="6"/>
  <c r="W484" i="6"/>
  <c r="V484" i="6"/>
  <c r="U484" i="6"/>
  <c r="T484" i="6"/>
  <c r="S484" i="6"/>
  <c r="R484" i="6"/>
  <c r="R483" i="6"/>
  <c r="R482" i="6"/>
  <c r="Z481" i="6"/>
  <c r="X481" i="6"/>
  <c r="W481" i="6"/>
  <c r="V481" i="6"/>
  <c r="U481" i="6"/>
  <c r="T481" i="6"/>
  <c r="S481" i="6"/>
  <c r="Y481" i="6" s="1"/>
  <c r="R481" i="6"/>
  <c r="R480" i="6"/>
  <c r="Z479" i="6"/>
  <c r="X479" i="6"/>
  <c r="X486" i="6" s="1"/>
  <c r="W479" i="6"/>
  <c r="Y479" i="6" s="1"/>
  <c r="V479" i="6"/>
  <c r="U479" i="6"/>
  <c r="T479" i="6"/>
  <c r="S479" i="6"/>
  <c r="R479" i="6"/>
  <c r="Z478" i="6"/>
  <c r="Y478" i="6"/>
  <c r="X478" i="6"/>
  <c r="W478" i="6"/>
  <c r="V478" i="6"/>
  <c r="U478" i="6"/>
  <c r="T478" i="6"/>
  <c r="T486" i="6" s="1"/>
  <c r="S478" i="6"/>
  <c r="R478" i="6"/>
  <c r="R477" i="6"/>
  <c r="R476" i="6"/>
  <c r="Z473" i="6"/>
  <c r="X473" i="6"/>
  <c r="W473" i="6"/>
  <c r="V473" i="6"/>
  <c r="U473" i="6"/>
  <c r="T473" i="6"/>
  <c r="S473" i="6"/>
  <c r="Y473" i="6" s="1"/>
  <c r="R473" i="6"/>
  <c r="R472" i="6"/>
  <c r="R471" i="6"/>
  <c r="R470" i="6"/>
  <c r="R469" i="6"/>
  <c r="Z468" i="6"/>
  <c r="Y468" i="6"/>
  <c r="X468" i="6"/>
  <c r="W468" i="6"/>
  <c r="V468" i="6"/>
  <c r="U468" i="6"/>
  <c r="T468" i="6"/>
  <c r="S468" i="6"/>
  <c r="R468" i="6"/>
  <c r="R467" i="6"/>
  <c r="Z466" i="6"/>
  <c r="X466" i="6"/>
  <c r="W466" i="6"/>
  <c r="V466" i="6"/>
  <c r="U466" i="6"/>
  <c r="T466" i="6"/>
  <c r="S466" i="6"/>
  <c r="Y466" i="6" s="1"/>
  <c r="R466" i="6"/>
  <c r="R465" i="6"/>
  <c r="R464" i="6"/>
  <c r="R463" i="6"/>
  <c r="R462" i="6"/>
  <c r="Z461" i="6"/>
  <c r="X461" i="6"/>
  <c r="W461" i="6"/>
  <c r="Y461" i="6" s="1"/>
  <c r="V461" i="6"/>
  <c r="U461" i="6"/>
  <c r="T461" i="6"/>
  <c r="S461" i="6"/>
  <c r="Z460" i="6"/>
  <c r="X460" i="6"/>
  <c r="W460" i="6"/>
  <c r="V460" i="6"/>
  <c r="U460" i="6"/>
  <c r="T460" i="6"/>
  <c r="S460" i="6"/>
  <c r="Y460" i="6" s="1"/>
  <c r="Z459" i="6"/>
  <c r="Y459" i="6"/>
  <c r="X459" i="6"/>
  <c r="W459" i="6"/>
  <c r="V459" i="6"/>
  <c r="U459" i="6"/>
  <c r="T459" i="6"/>
  <c r="S459" i="6"/>
  <c r="R459" i="6"/>
  <c r="R458" i="6"/>
  <c r="R457" i="6"/>
  <c r="Z456" i="6"/>
  <c r="X456" i="6"/>
  <c r="W456" i="6"/>
  <c r="V456" i="6"/>
  <c r="U456" i="6"/>
  <c r="T456" i="6"/>
  <c r="S456" i="6"/>
  <c r="Y456" i="6" s="1"/>
  <c r="R456" i="6"/>
  <c r="Z455" i="6"/>
  <c r="X455" i="6"/>
  <c r="W455" i="6"/>
  <c r="V455" i="6"/>
  <c r="U455" i="6"/>
  <c r="T455" i="6"/>
  <c r="S455" i="6"/>
  <c r="Y455" i="6" s="1"/>
  <c r="R455" i="6"/>
  <c r="R454" i="6"/>
  <c r="R453" i="6"/>
  <c r="R452" i="6"/>
  <c r="R451" i="6"/>
  <c r="Z450" i="6"/>
  <c r="Y450" i="6"/>
  <c r="X450" i="6"/>
  <c r="W450" i="6"/>
  <c r="V450" i="6"/>
  <c r="U450" i="6"/>
  <c r="T450" i="6"/>
  <c r="S450" i="6"/>
  <c r="R450" i="6"/>
  <c r="R449" i="6"/>
  <c r="R448" i="6"/>
  <c r="R447" i="6"/>
  <c r="R446" i="6"/>
  <c r="Z445" i="6"/>
  <c r="Y445" i="6"/>
  <c r="X445" i="6"/>
  <c r="W445" i="6"/>
  <c r="V445" i="6"/>
  <c r="U445" i="6"/>
  <c r="T445" i="6"/>
  <c r="S445" i="6"/>
  <c r="Z444" i="6"/>
  <c r="X444" i="6"/>
  <c r="W444" i="6"/>
  <c r="V444" i="6"/>
  <c r="V474" i="6" s="1"/>
  <c r="U444" i="6"/>
  <c r="T444" i="6"/>
  <c r="S444" i="6"/>
  <c r="Y444" i="6" s="1"/>
  <c r="R444" i="6"/>
  <c r="R443" i="6"/>
  <c r="R442" i="6"/>
  <c r="Z441" i="6"/>
  <c r="Y441" i="6"/>
  <c r="X441" i="6"/>
  <c r="X474" i="6" s="1"/>
  <c r="W441" i="6"/>
  <c r="V441" i="6"/>
  <c r="U441" i="6"/>
  <c r="T441" i="6"/>
  <c r="S441" i="6"/>
  <c r="R441" i="6"/>
  <c r="R440" i="6"/>
  <c r="R439" i="6"/>
  <c r="R438" i="6"/>
  <c r="R437" i="6"/>
  <c r="Y435" i="6"/>
  <c r="X435" i="6"/>
  <c r="W435" i="6"/>
  <c r="V435" i="6"/>
  <c r="U435" i="6"/>
  <c r="Z434" i="6"/>
  <c r="X434" i="6"/>
  <c r="W434" i="6"/>
  <c r="V434" i="6"/>
  <c r="U434" i="6"/>
  <c r="T434" i="6"/>
  <c r="S434" i="6"/>
  <c r="Y434" i="6" s="1"/>
  <c r="R434" i="6"/>
  <c r="R433" i="6"/>
  <c r="R432" i="6"/>
  <c r="R431" i="6"/>
  <c r="R430" i="6"/>
  <c r="Z429" i="6"/>
  <c r="Z435" i="6" s="1"/>
  <c r="X429" i="6"/>
  <c r="W429" i="6"/>
  <c r="V429" i="6"/>
  <c r="U429" i="6"/>
  <c r="T429" i="6"/>
  <c r="T435" i="6" s="1"/>
  <c r="S429" i="6"/>
  <c r="Y429" i="6" s="1"/>
  <c r="R429" i="6"/>
  <c r="R428" i="6"/>
  <c r="R427" i="6"/>
  <c r="R426" i="6"/>
  <c r="R425" i="6"/>
  <c r="R424" i="6"/>
  <c r="R423" i="6"/>
  <c r="Z422" i="6"/>
  <c r="Z421" i="6"/>
  <c r="X421" i="6"/>
  <c r="W421" i="6"/>
  <c r="V421" i="6"/>
  <c r="U421" i="6"/>
  <c r="Y421" i="6" s="1"/>
  <c r="T421" i="6"/>
  <c r="S421" i="6"/>
  <c r="R421" i="6"/>
  <c r="R420" i="6"/>
  <c r="R419" i="6"/>
  <c r="R418" i="6"/>
  <c r="R417" i="6"/>
  <c r="Z416" i="6"/>
  <c r="X416" i="6"/>
  <c r="W416" i="6"/>
  <c r="V416" i="6"/>
  <c r="U416" i="6"/>
  <c r="Y416" i="6" s="1"/>
  <c r="T416" i="6"/>
  <c r="S416" i="6"/>
  <c r="R416" i="6"/>
  <c r="R415" i="6"/>
  <c r="R414" i="6"/>
  <c r="Z413" i="6"/>
  <c r="Y413" i="6"/>
  <c r="X413" i="6"/>
  <c r="W413" i="6"/>
  <c r="V413" i="6"/>
  <c r="U413" i="6"/>
  <c r="T413" i="6"/>
  <c r="S413" i="6"/>
  <c r="R413" i="6"/>
  <c r="R412" i="6"/>
  <c r="R411" i="6"/>
  <c r="R410" i="6"/>
  <c r="R409" i="6"/>
  <c r="R408" i="6"/>
  <c r="Z407" i="6"/>
  <c r="X407" i="6"/>
  <c r="W407" i="6"/>
  <c r="Y407" i="6" s="1"/>
  <c r="V407" i="6"/>
  <c r="U407" i="6"/>
  <c r="T407" i="6"/>
  <c r="S407" i="6"/>
  <c r="R407" i="6"/>
  <c r="Z406" i="6"/>
  <c r="Y406" i="6"/>
  <c r="X406" i="6"/>
  <c r="W406" i="6"/>
  <c r="V406" i="6"/>
  <c r="U406" i="6"/>
  <c r="T406" i="6"/>
  <c r="S406" i="6"/>
  <c r="S422" i="6" s="1"/>
  <c r="R406" i="6"/>
  <c r="R405" i="6"/>
  <c r="R404" i="6"/>
  <c r="R403" i="6"/>
  <c r="R402" i="6"/>
  <c r="R401" i="6"/>
  <c r="Z400" i="6"/>
  <c r="X400" i="6"/>
  <c r="W400" i="6"/>
  <c r="V400" i="6"/>
  <c r="U400" i="6"/>
  <c r="Y400" i="6" s="1"/>
  <c r="T400" i="6"/>
  <c r="S400" i="6"/>
  <c r="R400" i="6"/>
  <c r="Z399" i="6"/>
  <c r="Y399" i="6"/>
  <c r="X399" i="6"/>
  <c r="W399" i="6"/>
  <c r="V399" i="6"/>
  <c r="U399" i="6"/>
  <c r="T399" i="6"/>
  <c r="S399" i="6"/>
  <c r="R399" i="6"/>
  <c r="R398" i="6"/>
  <c r="R397" i="6"/>
  <c r="R396" i="6"/>
  <c r="R395" i="6"/>
  <c r="R394" i="6"/>
  <c r="Z393" i="6"/>
  <c r="Y393" i="6"/>
  <c r="Y422" i="6" s="1"/>
  <c r="X393" i="6"/>
  <c r="W393" i="6"/>
  <c r="W422" i="6" s="1"/>
  <c r="V393" i="6"/>
  <c r="V422" i="6" s="1"/>
  <c r="U393" i="6"/>
  <c r="T393" i="6"/>
  <c r="T422" i="6" s="1"/>
  <c r="S393" i="6"/>
  <c r="R393" i="6"/>
  <c r="R392" i="6"/>
  <c r="R391" i="6"/>
  <c r="R390" i="6"/>
  <c r="R389" i="6"/>
  <c r="R388" i="6"/>
  <c r="W387" i="6"/>
  <c r="T387" i="6"/>
  <c r="S387" i="6"/>
  <c r="Z386" i="6"/>
  <c r="X386" i="6"/>
  <c r="W386" i="6"/>
  <c r="V386" i="6"/>
  <c r="U386" i="6"/>
  <c r="T386" i="6"/>
  <c r="S386" i="6"/>
  <c r="Y386" i="6" s="1"/>
  <c r="R386" i="6"/>
  <c r="R385" i="6"/>
  <c r="Z384" i="6"/>
  <c r="Y384" i="6"/>
  <c r="X384" i="6"/>
  <c r="W384" i="6"/>
  <c r="V384" i="6"/>
  <c r="U384" i="6"/>
  <c r="T384" i="6"/>
  <c r="S384" i="6"/>
  <c r="R384" i="6"/>
  <c r="Z383" i="6"/>
  <c r="X383" i="6"/>
  <c r="W383" i="6"/>
  <c r="V383" i="6"/>
  <c r="U383" i="6"/>
  <c r="Y383" i="6" s="1"/>
  <c r="T383" i="6"/>
  <c r="S383" i="6"/>
  <c r="R383" i="6"/>
  <c r="R382" i="6"/>
  <c r="R381" i="6"/>
  <c r="R380" i="6"/>
  <c r="R379" i="6"/>
  <c r="Z378" i="6"/>
  <c r="X378" i="6"/>
  <c r="W378" i="6"/>
  <c r="V378" i="6"/>
  <c r="U378" i="6"/>
  <c r="T378" i="6"/>
  <c r="S378" i="6"/>
  <c r="Y378" i="6" s="1"/>
  <c r="R378" i="6"/>
  <c r="R377" i="6"/>
  <c r="R376" i="6"/>
  <c r="Z375" i="6"/>
  <c r="Z387" i="6" s="1"/>
  <c r="X375" i="6"/>
  <c r="W375" i="6"/>
  <c r="Y375" i="6" s="1"/>
  <c r="V375" i="6"/>
  <c r="U375" i="6"/>
  <c r="T375" i="6"/>
  <c r="S375" i="6"/>
  <c r="R375" i="6"/>
  <c r="Z374" i="6"/>
  <c r="X374" i="6"/>
  <c r="W374" i="6"/>
  <c r="V374" i="6"/>
  <c r="U374" i="6"/>
  <c r="T374" i="6"/>
  <c r="S374" i="6"/>
  <c r="Y374" i="6" s="1"/>
  <c r="R374" i="6"/>
  <c r="R373" i="6"/>
  <c r="R372" i="6"/>
  <c r="R371" i="6"/>
  <c r="R370" i="6"/>
  <c r="Z369" i="6"/>
  <c r="X369" i="6"/>
  <c r="X387" i="6" s="1"/>
  <c r="W369" i="6"/>
  <c r="V369" i="6"/>
  <c r="U369" i="6"/>
  <c r="T369" i="6"/>
  <c r="S369" i="6"/>
  <c r="Y369" i="6" s="1"/>
  <c r="Y387" i="6" s="1"/>
  <c r="R369" i="6"/>
  <c r="R368" i="6"/>
  <c r="R367" i="6"/>
  <c r="R366" i="6"/>
  <c r="R365" i="6"/>
  <c r="R364" i="6"/>
  <c r="Z363" i="6"/>
  <c r="Z362" i="6"/>
  <c r="X362" i="6"/>
  <c r="W362" i="6"/>
  <c r="V362" i="6"/>
  <c r="U362" i="6"/>
  <c r="T362" i="6"/>
  <c r="S362" i="6"/>
  <c r="Y362" i="6" s="1"/>
  <c r="R362" i="6"/>
  <c r="R361" i="6"/>
  <c r="R360" i="6"/>
  <c r="R359" i="6"/>
  <c r="R358" i="6"/>
  <c r="Z357" i="6"/>
  <c r="X357" i="6"/>
  <c r="W357" i="6"/>
  <c r="V357" i="6"/>
  <c r="U357" i="6"/>
  <c r="T357" i="6"/>
  <c r="S357" i="6"/>
  <c r="Y357" i="6" s="1"/>
  <c r="R357" i="6"/>
  <c r="R356" i="6"/>
  <c r="R355" i="6"/>
  <c r="R354" i="6"/>
  <c r="R353" i="6"/>
  <c r="R352" i="6"/>
  <c r="Z351" i="6"/>
  <c r="X351" i="6"/>
  <c r="X363" i="6" s="1"/>
  <c r="W351" i="6"/>
  <c r="W363" i="6" s="1"/>
  <c r="V351" i="6"/>
  <c r="U351" i="6"/>
  <c r="U363" i="6" s="1"/>
  <c r="T351" i="6"/>
  <c r="T363" i="6" s="1"/>
  <c r="S351" i="6"/>
  <c r="Y351" i="6" s="1"/>
  <c r="R351" i="6"/>
  <c r="R350" i="6"/>
  <c r="R349" i="6"/>
  <c r="R348" i="6"/>
  <c r="R347" i="6"/>
  <c r="Z346" i="6"/>
  <c r="Z345" i="6"/>
  <c r="X345" i="6"/>
  <c r="W345" i="6"/>
  <c r="V345" i="6"/>
  <c r="U345" i="6"/>
  <c r="T345" i="6"/>
  <c r="S345" i="6"/>
  <c r="Y345" i="6" s="1"/>
  <c r="R345" i="6"/>
  <c r="R344" i="6"/>
  <c r="R343" i="6"/>
  <c r="R342" i="6"/>
  <c r="Z341" i="6"/>
  <c r="X341" i="6"/>
  <c r="W341" i="6"/>
  <c r="V341" i="6"/>
  <c r="U341" i="6"/>
  <c r="Y341" i="6" s="1"/>
  <c r="T341" i="6"/>
  <c r="S341" i="6"/>
  <c r="R341" i="6"/>
  <c r="R340" i="6"/>
  <c r="Z339" i="6"/>
  <c r="Y339" i="6"/>
  <c r="X339" i="6"/>
  <c r="W339" i="6"/>
  <c r="V339" i="6"/>
  <c r="U339" i="6"/>
  <c r="T339" i="6"/>
  <c r="S339" i="6"/>
  <c r="R339" i="6"/>
  <c r="R338" i="6"/>
  <c r="Z337" i="6"/>
  <c r="X337" i="6"/>
  <c r="W337" i="6"/>
  <c r="V337" i="6"/>
  <c r="U337" i="6"/>
  <c r="T337" i="6"/>
  <c r="S337" i="6"/>
  <c r="Y337" i="6" s="1"/>
  <c r="R337" i="6"/>
  <c r="R336" i="6"/>
  <c r="R335" i="6"/>
  <c r="R334" i="6"/>
  <c r="R333" i="6"/>
  <c r="Z332" i="6"/>
  <c r="X332" i="6"/>
  <c r="W332" i="6"/>
  <c r="V332" i="6"/>
  <c r="U332" i="6"/>
  <c r="T332" i="6"/>
  <c r="S332" i="6"/>
  <c r="Y332" i="6" s="1"/>
  <c r="R332" i="6"/>
  <c r="R331" i="6"/>
  <c r="R330" i="6"/>
  <c r="Z329" i="6"/>
  <c r="X329" i="6"/>
  <c r="W329" i="6"/>
  <c r="V329" i="6"/>
  <c r="U329" i="6"/>
  <c r="T329" i="6"/>
  <c r="S329" i="6"/>
  <c r="Y329" i="6" s="1"/>
  <c r="R329" i="6"/>
  <c r="R328" i="6"/>
  <c r="Z327" i="6"/>
  <c r="X327" i="6"/>
  <c r="W327" i="6"/>
  <c r="V327" i="6"/>
  <c r="U327" i="6"/>
  <c r="T327" i="6"/>
  <c r="S327" i="6"/>
  <c r="Y327" i="6" s="1"/>
  <c r="Z326" i="6"/>
  <c r="X326" i="6"/>
  <c r="W326" i="6"/>
  <c r="V326" i="6"/>
  <c r="U326" i="6"/>
  <c r="T326" i="6"/>
  <c r="S326" i="6"/>
  <c r="Y326" i="6" s="1"/>
  <c r="R326" i="6"/>
  <c r="R325" i="6"/>
  <c r="Z324" i="6"/>
  <c r="Y324" i="6"/>
  <c r="X324" i="6"/>
  <c r="W324" i="6"/>
  <c r="V324" i="6"/>
  <c r="U324" i="6"/>
  <c r="T324" i="6"/>
  <c r="S324" i="6"/>
  <c r="R324" i="6"/>
  <c r="R323" i="6"/>
  <c r="R322" i="6"/>
  <c r="Z321" i="6"/>
  <c r="X321" i="6"/>
  <c r="W321" i="6"/>
  <c r="V321" i="6"/>
  <c r="U321" i="6"/>
  <c r="T321" i="6"/>
  <c r="S321" i="6"/>
  <c r="Y321" i="6" s="1"/>
  <c r="R321" i="6"/>
  <c r="R320" i="6"/>
  <c r="R319" i="6"/>
  <c r="Z318" i="6"/>
  <c r="X318" i="6"/>
  <c r="W318" i="6"/>
  <c r="V318" i="6"/>
  <c r="U318" i="6"/>
  <c r="T318" i="6"/>
  <c r="S318" i="6"/>
  <c r="Y318" i="6" s="1"/>
  <c r="R318" i="6"/>
  <c r="R317" i="6"/>
  <c r="R316" i="6"/>
  <c r="R315" i="6"/>
  <c r="R314" i="6"/>
  <c r="Z313" i="6"/>
  <c r="Y313" i="6"/>
  <c r="X313" i="6"/>
  <c r="W313" i="6"/>
  <c r="V313" i="6"/>
  <c r="U313" i="6"/>
  <c r="T313" i="6"/>
  <c r="S313" i="6"/>
  <c r="R313" i="6"/>
  <c r="R312" i="6"/>
  <c r="R311" i="6"/>
  <c r="R310" i="6"/>
  <c r="R309" i="6"/>
  <c r="Z308" i="6"/>
  <c r="X308" i="6"/>
  <c r="W308" i="6"/>
  <c r="Y308" i="6" s="1"/>
  <c r="V308" i="6"/>
  <c r="U308" i="6"/>
  <c r="T308" i="6"/>
  <c r="S308" i="6"/>
  <c r="R308" i="6"/>
  <c r="Z307" i="6"/>
  <c r="X307" i="6"/>
  <c r="W307" i="6"/>
  <c r="V307" i="6"/>
  <c r="U307" i="6"/>
  <c r="T307" i="6"/>
  <c r="S307" i="6"/>
  <c r="Y307" i="6" s="1"/>
  <c r="R307" i="6"/>
  <c r="R306" i="6"/>
  <c r="R305" i="6"/>
  <c r="Z304" i="6"/>
  <c r="X304" i="6"/>
  <c r="W304" i="6"/>
  <c r="V304" i="6"/>
  <c r="U304" i="6"/>
  <c r="T304" i="6"/>
  <c r="S304" i="6"/>
  <c r="Y304" i="6" s="1"/>
  <c r="R304" i="6"/>
  <c r="R303" i="6"/>
  <c r="R302" i="6"/>
  <c r="R301" i="6"/>
  <c r="R300" i="6"/>
  <c r="Z299" i="6"/>
  <c r="Y299" i="6"/>
  <c r="X299" i="6"/>
  <c r="W299" i="6"/>
  <c r="V299" i="6"/>
  <c r="V346" i="6" s="1"/>
  <c r="U299" i="6"/>
  <c r="U346" i="6" s="1"/>
  <c r="T299" i="6"/>
  <c r="T346" i="6" s="1"/>
  <c r="S299" i="6"/>
  <c r="R299" i="6"/>
  <c r="R298" i="6"/>
  <c r="R297" i="6"/>
  <c r="R296" i="6"/>
  <c r="R295" i="6"/>
  <c r="U294" i="6"/>
  <c r="T294" i="6"/>
  <c r="Z293" i="6"/>
  <c r="X293" i="6"/>
  <c r="W293" i="6"/>
  <c r="V293" i="6"/>
  <c r="U293" i="6"/>
  <c r="T293" i="6"/>
  <c r="S293" i="6"/>
  <c r="S294" i="6" s="1"/>
  <c r="R293" i="6"/>
  <c r="R292" i="6"/>
  <c r="R291" i="6"/>
  <c r="Z290" i="6"/>
  <c r="Y290" i="6"/>
  <c r="X290" i="6"/>
  <c r="X294" i="6" s="1"/>
  <c r="W290" i="6"/>
  <c r="V290" i="6"/>
  <c r="U290" i="6"/>
  <c r="T290" i="6"/>
  <c r="S290" i="6"/>
  <c r="R290" i="6"/>
  <c r="R289" i="6"/>
  <c r="R288" i="6"/>
  <c r="R287" i="6"/>
  <c r="R286" i="6"/>
  <c r="R285" i="6"/>
  <c r="R284" i="6"/>
  <c r="Z283" i="6"/>
  <c r="Z294" i="6" s="1"/>
  <c r="Y283" i="6"/>
  <c r="X283" i="6"/>
  <c r="W283" i="6"/>
  <c r="W294" i="6" s="1"/>
  <c r="V283" i="6"/>
  <c r="V294" i="6" s="1"/>
  <c r="U283" i="6"/>
  <c r="T283" i="6"/>
  <c r="S283" i="6"/>
  <c r="R283" i="6"/>
  <c r="R282" i="6"/>
  <c r="R281" i="6"/>
  <c r="R280" i="6"/>
  <c r="R279" i="6"/>
  <c r="R278" i="6"/>
  <c r="R277" i="6"/>
  <c r="X276" i="6"/>
  <c r="W276" i="6"/>
  <c r="V276" i="6"/>
  <c r="U276" i="6"/>
  <c r="Z275" i="6"/>
  <c r="X275" i="6"/>
  <c r="W275" i="6"/>
  <c r="V275" i="6"/>
  <c r="U275" i="6"/>
  <c r="T275" i="6"/>
  <c r="S275" i="6"/>
  <c r="Y275" i="6" s="1"/>
  <c r="R275" i="6"/>
  <c r="R274" i="6"/>
  <c r="R273" i="6"/>
  <c r="R272" i="6"/>
  <c r="R271" i="6"/>
  <c r="R270" i="6"/>
  <c r="Z269" i="6"/>
  <c r="Z276" i="6" s="1"/>
  <c r="X269" i="6"/>
  <c r="W269" i="6"/>
  <c r="V269" i="6"/>
  <c r="U269" i="6"/>
  <c r="T269" i="6"/>
  <c r="T276" i="6" s="1"/>
  <c r="S269" i="6"/>
  <c r="S276" i="6" s="1"/>
  <c r="Z266" i="6"/>
  <c r="X266" i="6"/>
  <c r="W266" i="6"/>
  <c r="V266" i="6"/>
  <c r="U266" i="6"/>
  <c r="T266" i="6"/>
  <c r="S266" i="6"/>
  <c r="Y266" i="6" s="1"/>
  <c r="R266" i="6"/>
  <c r="R265" i="6"/>
  <c r="R264" i="6"/>
  <c r="Z263" i="6"/>
  <c r="Y263" i="6"/>
  <c r="X263" i="6"/>
  <c r="W263" i="6"/>
  <c r="V263" i="6"/>
  <c r="U263" i="6"/>
  <c r="T263" i="6"/>
  <c r="S263" i="6"/>
  <c r="R263" i="6"/>
  <c r="R262" i="6"/>
  <c r="R261" i="6"/>
  <c r="R260" i="6"/>
  <c r="R259" i="6"/>
  <c r="R258" i="6"/>
  <c r="Z257" i="6"/>
  <c r="X257" i="6"/>
  <c r="W257" i="6"/>
  <c r="V257" i="6"/>
  <c r="U257" i="6"/>
  <c r="T257" i="6"/>
  <c r="S257" i="6"/>
  <c r="R257" i="6"/>
  <c r="R256" i="6"/>
  <c r="R255" i="6"/>
  <c r="R254" i="6"/>
  <c r="R253" i="6"/>
  <c r="Z252" i="6"/>
  <c r="X252" i="6"/>
  <c r="W252" i="6"/>
  <c r="V252" i="6"/>
  <c r="U252" i="6"/>
  <c r="T252" i="6"/>
  <c r="S252" i="6"/>
  <c r="Y252" i="6" s="1"/>
  <c r="R252" i="6"/>
  <c r="R251" i="6"/>
  <c r="R250" i="6"/>
  <c r="R249" i="6"/>
  <c r="Z248" i="6"/>
  <c r="X248" i="6"/>
  <c r="W248" i="6"/>
  <c r="V248" i="6"/>
  <c r="U248" i="6"/>
  <c r="T248" i="6"/>
  <c r="S248" i="6"/>
  <c r="Y248" i="6" s="1"/>
  <c r="R248" i="6"/>
  <c r="R247" i="6"/>
  <c r="R246" i="6"/>
  <c r="R245" i="6"/>
  <c r="R244" i="6"/>
  <c r="R243" i="6"/>
  <c r="Z242" i="6"/>
  <c r="X242" i="6"/>
  <c r="W242" i="6"/>
  <c r="V242" i="6"/>
  <c r="U242" i="6"/>
  <c r="T242" i="6"/>
  <c r="S242" i="6"/>
  <c r="Y242" i="6" s="1"/>
  <c r="R242" i="6"/>
  <c r="R241" i="6"/>
  <c r="R240" i="6"/>
  <c r="R239" i="6"/>
  <c r="R238" i="6"/>
  <c r="R237" i="6"/>
  <c r="Z236" i="6"/>
  <c r="Y236" i="6"/>
  <c r="X236" i="6"/>
  <c r="W236" i="6"/>
  <c r="V236" i="6"/>
  <c r="U236" i="6"/>
  <c r="T236" i="6"/>
  <c r="S236" i="6"/>
  <c r="R236" i="6"/>
  <c r="R235" i="6"/>
  <c r="R234" i="6"/>
  <c r="R233" i="6"/>
  <c r="Z232" i="6"/>
  <c r="X232" i="6"/>
  <c r="W232" i="6"/>
  <c r="V232" i="6"/>
  <c r="U232" i="6"/>
  <c r="Y232" i="6" s="1"/>
  <c r="T232" i="6"/>
  <c r="S232" i="6"/>
  <c r="R232" i="6"/>
  <c r="R231" i="6"/>
  <c r="R230" i="6"/>
  <c r="R229" i="6"/>
  <c r="R228" i="6"/>
  <c r="R227" i="6"/>
  <c r="Z226" i="6"/>
  <c r="X226" i="6"/>
  <c r="W226" i="6"/>
  <c r="V226" i="6"/>
  <c r="U226" i="6"/>
  <c r="T226" i="6"/>
  <c r="S226" i="6"/>
  <c r="Y226" i="6" s="1"/>
  <c r="R226" i="6"/>
  <c r="R225" i="6"/>
  <c r="R224" i="6"/>
  <c r="R223" i="6"/>
  <c r="R222" i="6"/>
  <c r="Z221" i="6"/>
  <c r="X221" i="6"/>
  <c r="W221" i="6"/>
  <c r="V221" i="6"/>
  <c r="U221" i="6"/>
  <c r="T221" i="6"/>
  <c r="S221" i="6"/>
  <c r="Y221" i="6" s="1"/>
  <c r="R221" i="6"/>
  <c r="R220" i="6"/>
  <c r="R219" i="6"/>
  <c r="R218" i="6"/>
  <c r="R217" i="6"/>
  <c r="R216" i="6"/>
  <c r="Z215" i="6"/>
  <c r="X215" i="6"/>
  <c r="W215" i="6"/>
  <c r="V215" i="6"/>
  <c r="U215" i="6"/>
  <c r="Y215" i="6" s="1"/>
  <c r="T215" i="6"/>
  <c r="S215" i="6"/>
  <c r="R215" i="6"/>
  <c r="R214" i="6"/>
  <c r="R213" i="6"/>
  <c r="R212" i="6"/>
  <c r="Z211" i="6"/>
  <c r="X211" i="6"/>
  <c r="W211" i="6"/>
  <c r="V211" i="6"/>
  <c r="U211" i="6"/>
  <c r="T211" i="6"/>
  <c r="S211" i="6"/>
  <c r="Y211" i="6" s="1"/>
  <c r="R211" i="6"/>
  <c r="R210" i="6"/>
  <c r="R209" i="6"/>
  <c r="R208" i="6"/>
  <c r="R207" i="6"/>
  <c r="R206" i="6"/>
  <c r="Z205" i="6"/>
  <c r="Y205" i="6"/>
  <c r="X205" i="6"/>
  <c r="W205" i="6"/>
  <c r="V205" i="6"/>
  <c r="U205" i="6"/>
  <c r="T205" i="6"/>
  <c r="S205" i="6"/>
  <c r="R205" i="6"/>
  <c r="R204" i="6"/>
  <c r="R203" i="6"/>
  <c r="R202" i="6"/>
  <c r="R201" i="6"/>
  <c r="Z200" i="6"/>
  <c r="Y200" i="6"/>
  <c r="X200" i="6"/>
  <c r="W200" i="6"/>
  <c r="V200" i="6"/>
  <c r="U200" i="6"/>
  <c r="T200" i="6"/>
  <c r="S200" i="6"/>
  <c r="R200" i="6"/>
  <c r="R199" i="6"/>
  <c r="R198" i="6"/>
  <c r="R197" i="6"/>
  <c r="R196" i="6"/>
  <c r="R195" i="6"/>
  <c r="Z194" i="6"/>
  <c r="Z267" i="6" s="1"/>
  <c r="X194" i="6"/>
  <c r="W194" i="6"/>
  <c r="W267" i="6" s="1"/>
  <c r="V194" i="6"/>
  <c r="U194" i="6"/>
  <c r="T194" i="6"/>
  <c r="S194" i="6"/>
  <c r="Y194" i="6" s="1"/>
  <c r="R194" i="6"/>
  <c r="R193" i="6"/>
  <c r="R192" i="6"/>
  <c r="R191" i="6"/>
  <c r="R190" i="6"/>
  <c r="Z189" i="6"/>
  <c r="X189" i="6"/>
  <c r="W189" i="6"/>
  <c r="V189" i="6"/>
  <c r="U189" i="6"/>
  <c r="T189" i="6"/>
  <c r="T267" i="6" s="1"/>
  <c r="S189" i="6"/>
  <c r="Y189" i="6" s="1"/>
  <c r="R189" i="6"/>
  <c r="R188" i="6"/>
  <c r="R187" i="6"/>
  <c r="R186" i="6"/>
  <c r="R185" i="6"/>
  <c r="Z184" i="6"/>
  <c r="X184" i="6"/>
  <c r="W184" i="6"/>
  <c r="V184" i="6"/>
  <c r="U184" i="6"/>
  <c r="T184" i="6"/>
  <c r="S184" i="6"/>
  <c r="Y184" i="6" s="1"/>
  <c r="R184" i="6"/>
  <c r="R183" i="6"/>
  <c r="R182" i="6"/>
  <c r="R181" i="6"/>
  <c r="R180" i="6"/>
  <c r="R179" i="6"/>
  <c r="Z178" i="6"/>
  <c r="X178" i="6"/>
  <c r="W178" i="6"/>
  <c r="V178" i="6"/>
  <c r="U178" i="6"/>
  <c r="T178" i="6"/>
  <c r="S178" i="6"/>
  <c r="Y178" i="6" s="1"/>
  <c r="R178" i="6"/>
  <c r="R177" i="6"/>
  <c r="R176" i="6"/>
  <c r="R175" i="6"/>
  <c r="R174" i="6"/>
  <c r="Z173" i="6"/>
  <c r="Y173" i="6"/>
  <c r="X173" i="6"/>
  <c r="W173" i="6"/>
  <c r="V173" i="6"/>
  <c r="U173" i="6"/>
  <c r="T173" i="6"/>
  <c r="S173" i="6"/>
  <c r="R173" i="6"/>
  <c r="R172" i="6"/>
  <c r="R171" i="6"/>
  <c r="R170" i="6"/>
  <c r="R169" i="6"/>
  <c r="Z168" i="6"/>
  <c r="X168" i="6"/>
  <c r="W168" i="6"/>
  <c r="V168" i="6"/>
  <c r="V267" i="6" s="1"/>
  <c r="U168" i="6"/>
  <c r="U267" i="6" s="1"/>
  <c r="T168" i="6"/>
  <c r="S168" i="6"/>
  <c r="R168" i="6"/>
  <c r="R167" i="6"/>
  <c r="R166" i="6"/>
  <c r="R165" i="6"/>
  <c r="R164" i="6"/>
  <c r="R163" i="6"/>
  <c r="Z162" i="6"/>
  <c r="W162" i="6"/>
  <c r="S162" i="6"/>
  <c r="Z161" i="6"/>
  <c r="X161" i="6"/>
  <c r="W161" i="6"/>
  <c r="V161" i="6"/>
  <c r="U161" i="6"/>
  <c r="T161" i="6"/>
  <c r="S161" i="6"/>
  <c r="Y161" i="6" s="1"/>
  <c r="R161" i="6"/>
  <c r="Z160" i="6"/>
  <c r="X160" i="6"/>
  <c r="X162" i="6" s="1"/>
  <c r="W160" i="6"/>
  <c r="V160" i="6"/>
  <c r="V162" i="6" s="1"/>
  <c r="U160" i="6"/>
  <c r="U162" i="6" s="1"/>
  <c r="T160" i="6"/>
  <c r="T162" i="6" s="1"/>
  <c r="S160" i="6"/>
  <c r="Y160" i="6" s="1"/>
  <c r="R160" i="6"/>
  <c r="R159" i="6"/>
  <c r="R158" i="6"/>
  <c r="R157" i="6"/>
  <c r="R156" i="6"/>
  <c r="R155" i="6"/>
  <c r="V154" i="6"/>
  <c r="U154" i="6"/>
  <c r="T154" i="6"/>
  <c r="S154" i="6"/>
  <c r="Z153" i="6"/>
  <c r="X153" i="6"/>
  <c r="W153" i="6"/>
  <c r="V153" i="6"/>
  <c r="U153" i="6"/>
  <c r="T153" i="6"/>
  <c r="S153" i="6"/>
  <c r="Y153" i="6" s="1"/>
  <c r="R153" i="6"/>
  <c r="R152" i="6"/>
  <c r="R151" i="6"/>
  <c r="R150" i="6"/>
  <c r="R149" i="6"/>
  <c r="R148" i="6"/>
  <c r="Z147" i="6"/>
  <c r="Z154" i="6" s="1"/>
  <c r="Y147" i="6"/>
  <c r="Y154" i="6" s="1"/>
  <c r="X147" i="6"/>
  <c r="X154" i="6" s="1"/>
  <c r="W147" i="6"/>
  <c r="W154" i="6" s="1"/>
  <c r="V147" i="6"/>
  <c r="U147" i="6"/>
  <c r="T147" i="6"/>
  <c r="S147" i="6"/>
  <c r="R147" i="6"/>
  <c r="R146" i="6"/>
  <c r="S145" i="6"/>
  <c r="R145" i="6"/>
  <c r="Z144" i="6"/>
  <c r="X144" i="6"/>
  <c r="W144" i="6"/>
  <c r="V144" i="6"/>
  <c r="U144" i="6"/>
  <c r="T144" i="6"/>
  <c r="S144" i="6"/>
  <c r="Y144" i="6" s="1"/>
  <c r="R144" i="6"/>
  <c r="R143" i="6"/>
  <c r="R142" i="6"/>
  <c r="Z141" i="6"/>
  <c r="Y141" i="6"/>
  <c r="X141" i="6"/>
  <c r="W141" i="6"/>
  <c r="V141" i="6"/>
  <c r="U141" i="6"/>
  <c r="T141" i="6"/>
  <c r="S141" i="6"/>
  <c r="R141" i="6"/>
  <c r="R140" i="6"/>
  <c r="R139" i="6"/>
  <c r="R138" i="6"/>
  <c r="R137" i="6"/>
  <c r="R136" i="6"/>
  <c r="Z135" i="6"/>
  <c r="X135" i="6"/>
  <c r="W135" i="6"/>
  <c r="V135" i="6"/>
  <c r="U135" i="6"/>
  <c r="T135" i="6"/>
  <c r="S135" i="6"/>
  <c r="Y135" i="6" s="1"/>
  <c r="R135" i="6"/>
  <c r="R134" i="6"/>
  <c r="R133" i="6"/>
  <c r="R132" i="6"/>
  <c r="R131" i="6"/>
  <c r="R130" i="6"/>
  <c r="Z129" i="6"/>
  <c r="X129" i="6"/>
  <c r="W129" i="6"/>
  <c r="V129" i="6"/>
  <c r="V145" i="6" s="1"/>
  <c r="U129" i="6"/>
  <c r="T129" i="6"/>
  <c r="T145" i="6" s="1"/>
  <c r="S129" i="6"/>
  <c r="Y129" i="6" s="1"/>
  <c r="R129" i="6"/>
  <c r="R128" i="6"/>
  <c r="R127" i="6"/>
  <c r="R126" i="6"/>
  <c r="R125" i="6"/>
  <c r="Z124" i="6"/>
  <c r="X124" i="6"/>
  <c r="W124" i="6"/>
  <c r="V124" i="6"/>
  <c r="U124" i="6"/>
  <c r="U145" i="6" s="1"/>
  <c r="T124" i="6"/>
  <c r="S124" i="6"/>
  <c r="Y124" i="6" s="1"/>
  <c r="R124" i="6"/>
  <c r="R123" i="6"/>
  <c r="R122" i="6"/>
  <c r="R121" i="6"/>
  <c r="Z120" i="6"/>
  <c r="X120" i="6"/>
  <c r="W120" i="6"/>
  <c r="W145" i="6" s="1"/>
  <c r="V120" i="6"/>
  <c r="U120" i="6"/>
  <c r="T120" i="6"/>
  <c r="S120" i="6"/>
  <c r="Y120" i="6" s="1"/>
  <c r="R120" i="6"/>
  <c r="R119" i="6"/>
  <c r="R118" i="6"/>
  <c r="R117" i="6"/>
  <c r="R116" i="6"/>
  <c r="Z114" i="6"/>
  <c r="X114" i="6"/>
  <c r="W114" i="6"/>
  <c r="V114" i="6"/>
  <c r="U114" i="6"/>
  <c r="T114" i="6"/>
  <c r="S114" i="6"/>
  <c r="Y114" i="6" s="1"/>
  <c r="R114" i="6"/>
  <c r="R113" i="6"/>
  <c r="R112" i="6"/>
  <c r="R111" i="6"/>
  <c r="R110" i="6"/>
  <c r="R109" i="6"/>
  <c r="Z108" i="6"/>
  <c r="X108" i="6"/>
  <c r="W108" i="6"/>
  <c r="V108" i="6"/>
  <c r="U108" i="6"/>
  <c r="Y108" i="6" s="1"/>
  <c r="T108" i="6"/>
  <c r="S108" i="6"/>
  <c r="R108" i="6"/>
  <c r="R107" i="6"/>
  <c r="R106" i="6"/>
  <c r="Z105" i="6"/>
  <c r="Y105" i="6"/>
  <c r="X105" i="6"/>
  <c r="W105" i="6"/>
  <c r="V105" i="6"/>
  <c r="U105" i="6"/>
  <c r="T105" i="6"/>
  <c r="S105" i="6"/>
  <c r="R105" i="6"/>
  <c r="R104" i="6"/>
  <c r="R103" i="6"/>
  <c r="R102" i="6"/>
  <c r="R101" i="6"/>
  <c r="R100" i="6"/>
  <c r="Z99" i="6"/>
  <c r="Y99" i="6"/>
  <c r="X99" i="6"/>
  <c r="X115" i="6" s="1"/>
  <c r="W99" i="6"/>
  <c r="V99" i="6"/>
  <c r="U99" i="6"/>
  <c r="T99" i="6"/>
  <c r="S99" i="6"/>
  <c r="R99" i="6"/>
  <c r="R98" i="6"/>
  <c r="R97" i="6"/>
  <c r="R96" i="6"/>
  <c r="Z95" i="6"/>
  <c r="X95" i="6"/>
  <c r="W95" i="6"/>
  <c r="W115" i="6" s="1"/>
  <c r="V95" i="6"/>
  <c r="V115" i="6" s="1"/>
  <c r="U95" i="6"/>
  <c r="U115" i="6" s="1"/>
  <c r="T95" i="6"/>
  <c r="T115" i="6" s="1"/>
  <c r="S95" i="6"/>
  <c r="R95" i="6"/>
  <c r="R94" i="6"/>
  <c r="R93" i="6"/>
  <c r="Z91" i="6"/>
  <c r="X91" i="6"/>
  <c r="W91" i="6"/>
  <c r="V91" i="6"/>
  <c r="U91" i="6"/>
  <c r="T91" i="6"/>
  <c r="S91" i="6"/>
  <c r="Y91" i="6" s="1"/>
  <c r="R91" i="6"/>
  <c r="R90" i="6"/>
  <c r="R89" i="6"/>
  <c r="R88" i="6"/>
  <c r="R87" i="6"/>
  <c r="R86" i="6"/>
  <c r="R85" i="6"/>
  <c r="Z84" i="6"/>
  <c r="X84" i="6"/>
  <c r="W84" i="6"/>
  <c r="V84" i="6"/>
  <c r="U84" i="6"/>
  <c r="Y84" i="6" s="1"/>
  <c r="T84" i="6"/>
  <c r="S84" i="6"/>
  <c r="R84" i="6"/>
  <c r="R83" i="6"/>
  <c r="R82" i="6"/>
  <c r="R81" i="6"/>
  <c r="R80" i="6"/>
  <c r="R79" i="6"/>
  <c r="Z78" i="6"/>
  <c r="X78" i="6"/>
  <c r="W78" i="6"/>
  <c r="V78" i="6"/>
  <c r="U78" i="6"/>
  <c r="T78" i="6"/>
  <c r="S78" i="6"/>
  <c r="Y78" i="6" s="1"/>
  <c r="R78" i="6"/>
  <c r="R77" i="6"/>
  <c r="R76" i="6"/>
  <c r="R75" i="6"/>
  <c r="R74" i="6"/>
  <c r="R73" i="6"/>
  <c r="Z72" i="6"/>
  <c r="X72" i="6"/>
  <c r="W72" i="6"/>
  <c r="V72" i="6"/>
  <c r="U72" i="6"/>
  <c r="T72" i="6"/>
  <c r="S72" i="6"/>
  <c r="Y72" i="6" s="1"/>
  <c r="R72" i="6"/>
  <c r="R71" i="6"/>
  <c r="R70" i="6"/>
  <c r="R69" i="6"/>
  <c r="R68" i="6"/>
  <c r="R67" i="6"/>
  <c r="Z66" i="6"/>
  <c r="X66" i="6"/>
  <c r="W66" i="6"/>
  <c r="V66" i="6"/>
  <c r="U66" i="6"/>
  <c r="T66" i="6"/>
  <c r="S66" i="6"/>
  <c r="Y66" i="6" s="1"/>
  <c r="R66" i="6"/>
  <c r="R65" i="6"/>
  <c r="R64" i="6"/>
  <c r="R63" i="6"/>
  <c r="Z62" i="6"/>
  <c r="X62" i="6"/>
  <c r="W62" i="6"/>
  <c r="V62" i="6"/>
  <c r="U62" i="6"/>
  <c r="T62" i="6"/>
  <c r="S62" i="6"/>
  <c r="Y62" i="6" s="1"/>
  <c r="R62" i="6"/>
  <c r="R61" i="6"/>
  <c r="R60" i="6"/>
  <c r="R59" i="6"/>
  <c r="R58" i="6"/>
  <c r="Z57" i="6"/>
  <c r="Y57" i="6"/>
  <c r="X57" i="6"/>
  <c r="W57" i="6"/>
  <c r="V57" i="6"/>
  <c r="U57" i="6"/>
  <c r="T57" i="6"/>
  <c r="S57" i="6"/>
  <c r="R57" i="6"/>
  <c r="R56" i="6"/>
  <c r="R55" i="6"/>
  <c r="R54" i="6"/>
  <c r="R53" i="6"/>
  <c r="R52" i="6"/>
  <c r="Z51" i="6"/>
  <c r="Y51" i="6"/>
  <c r="X51" i="6"/>
  <c r="W51" i="6"/>
  <c r="V51" i="6"/>
  <c r="U51" i="6"/>
  <c r="T51" i="6"/>
  <c r="S51" i="6"/>
  <c r="R51" i="6"/>
  <c r="R50" i="6"/>
  <c r="R49" i="6"/>
  <c r="R48" i="6"/>
  <c r="R47" i="6"/>
  <c r="R46" i="6"/>
  <c r="Z45" i="6"/>
  <c r="X45" i="6"/>
  <c r="W45" i="6"/>
  <c r="V45" i="6"/>
  <c r="U45" i="6"/>
  <c r="T45" i="6"/>
  <c r="S45" i="6"/>
  <c r="Y45" i="6" s="1"/>
  <c r="R45" i="6"/>
  <c r="R44" i="6"/>
  <c r="R43" i="6"/>
  <c r="R42" i="6"/>
  <c r="R41" i="6"/>
  <c r="Z40" i="6"/>
  <c r="X40" i="6"/>
  <c r="W40" i="6"/>
  <c r="V40" i="6"/>
  <c r="U40" i="6"/>
  <c r="T40" i="6"/>
  <c r="S40" i="6"/>
  <c r="Y40" i="6" s="1"/>
  <c r="R40" i="6"/>
  <c r="R39" i="6"/>
  <c r="R38" i="6"/>
  <c r="R37" i="6"/>
  <c r="R36" i="6"/>
  <c r="R35" i="6"/>
  <c r="Z34" i="6"/>
  <c r="X34" i="6"/>
  <c r="W34" i="6"/>
  <c r="V34" i="6"/>
  <c r="U34" i="6"/>
  <c r="T34" i="6"/>
  <c r="S34" i="6"/>
  <c r="Y34" i="6" s="1"/>
  <c r="R34" i="6"/>
  <c r="R33" i="6"/>
  <c r="R32" i="6"/>
  <c r="R31" i="6"/>
  <c r="R30" i="6"/>
  <c r="Z29" i="6"/>
  <c r="X29" i="6"/>
  <c r="W29" i="6"/>
  <c r="V29" i="6"/>
  <c r="U29" i="6"/>
  <c r="T29" i="6"/>
  <c r="S29" i="6"/>
  <c r="Y29" i="6" s="1"/>
  <c r="R29" i="6"/>
  <c r="R28" i="6"/>
  <c r="R27" i="6"/>
  <c r="R26" i="6"/>
  <c r="R25" i="6"/>
  <c r="Z24" i="6"/>
  <c r="Y24" i="6"/>
  <c r="X24" i="6"/>
  <c r="W24" i="6"/>
  <c r="V24" i="6"/>
  <c r="U24" i="6"/>
  <c r="T24" i="6"/>
  <c r="S24" i="6"/>
  <c r="R24" i="6"/>
  <c r="R23" i="6"/>
  <c r="R22" i="6"/>
  <c r="R21" i="6"/>
  <c r="R20" i="6"/>
  <c r="Z19" i="6"/>
  <c r="Y19" i="6"/>
  <c r="X19" i="6"/>
  <c r="W19" i="6"/>
  <c r="V19" i="6"/>
  <c r="U19" i="6"/>
  <c r="T19" i="6"/>
  <c r="S19" i="6"/>
  <c r="R19" i="6"/>
  <c r="R18" i="6"/>
  <c r="R17" i="6"/>
  <c r="R16" i="6"/>
  <c r="Z15" i="6"/>
  <c r="X15" i="6"/>
  <c r="W15" i="6"/>
  <c r="V15" i="6"/>
  <c r="U15" i="6"/>
  <c r="T15" i="6"/>
  <c r="S15" i="6"/>
  <c r="R15" i="6"/>
  <c r="R14" i="6"/>
  <c r="R13" i="6"/>
  <c r="R12" i="6"/>
  <c r="R11" i="6"/>
  <c r="R10" i="6"/>
  <c r="Z9" i="6"/>
  <c r="Y9" i="6"/>
  <c r="X9" i="6"/>
  <c r="W9" i="6"/>
  <c r="V9" i="6"/>
  <c r="U9" i="6"/>
  <c r="T9" i="6"/>
  <c r="S9" i="6"/>
  <c r="R9" i="6"/>
  <c r="R8" i="6"/>
  <c r="R7" i="6"/>
  <c r="R6" i="6"/>
  <c r="R5" i="6"/>
  <c r="W2597" i="5"/>
  <c r="V2597" i="5"/>
  <c r="U2597" i="5"/>
  <c r="T2597" i="5"/>
  <c r="S2597" i="5"/>
  <c r="R2597" i="5"/>
  <c r="S2596" i="5"/>
  <c r="R2596" i="5"/>
  <c r="S2595" i="5"/>
  <c r="R2595" i="5"/>
  <c r="W2594" i="5"/>
  <c r="V2594" i="5"/>
  <c r="U2594" i="5"/>
  <c r="T2594" i="5"/>
  <c r="X2594" i="5" s="1"/>
  <c r="S2594" i="5"/>
  <c r="R2594" i="5"/>
  <c r="X2593" i="5"/>
  <c r="W2593" i="5"/>
  <c r="V2593" i="5"/>
  <c r="U2593" i="5"/>
  <c r="T2593" i="5"/>
  <c r="S2593" i="5"/>
  <c r="R2593" i="5"/>
  <c r="S2592" i="5"/>
  <c r="R2592" i="5"/>
  <c r="W2591" i="5"/>
  <c r="V2591" i="5"/>
  <c r="V2598" i="5" s="1"/>
  <c r="U2591" i="5"/>
  <c r="U2598" i="5" s="1"/>
  <c r="T2591" i="5"/>
  <c r="X2591" i="5" s="1"/>
  <c r="S2591" i="5"/>
  <c r="R2591" i="5"/>
  <c r="W2589" i="5"/>
  <c r="W2588" i="5"/>
  <c r="V2588" i="5"/>
  <c r="U2588" i="5"/>
  <c r="T2588" i="5"/>
  <c r="X2588" i="5" s="1"/>
  <c r="S2588" i="5"/>
  <c r="R2588" i="5"/>
  <c r="S2587" i="5"/>
  <c r="R2587" i="5"/>
  <c r="S2586" i="5"/>
  <c r="R2586" i="5"/>
  <c r="S2585" i="5"/>
  <c r="R2585" i="5"/>
  <c r="S2584" i="5"/>
  <c r="R2584" i="5"/>
  <c r="W2583" i="5"/>
  <c r="V2583" i="5"/>
  <c r="U2583" i="5"/>
  <c r="T2583" i="5"/>
  <c r="X2583" i="5" s="1"/>
  <c r="S2583" i="5"/>
  <c r="R2583" i="5"/>
  <c r="S2582" i="5"/>
  <c r="R2582" i="5"/>
  <c r="S2581" i="5"/>
  <c r="R2581" i="5"/>
  <c r="S2580" i="5"/>
  <c r="R2580" i="5"/>
  <c r="S2579" i="5"/>
  <c r="R2579" i="5"/>
  <c r="W2578" i="5"/>
  <c r="V2578" i="5"/>
  <c r="U2578" i="5"/>
  <c r="T2578" i="5"/>
  <c r="X2578" i="5" s="1"/>
  <c r="S2578" i="5"/>
  <c r="R2578" i="5"/>
  <c r="S2577" i="5"/>
  <c r="R2577" i="5"/>
  <c r="S2576" i="5"/>
  <c r="R2576" i="5"/>
  <c r="S2575" i="5"/>
  <c r="R2575" i="5"/>
  <c r="S2574" i="5"/>
  <c r="R2574" i="5"/>
  <c r="W2573" i="5"/>
  <c r="V2573" i="5"/>
  <c r="U2573" i="5"/>
  <c r="T2573" i="5"/>
  <c r="X2573" i="5" s="1"/>
  <c r="S2573" i="5"/>
  <c r="R2573" i="5"/>
  <c r="S2572" i="5"/>
  <c r="R2572" i="5"/>
  <c r="S2571" i="5"/>
  <c r="R2571" i="5"/>
  <c r="S2570" i="5"/>
  <c r="R2570" i="5"/>
  <c r="S2569" i="5"/>
  <c r="R2569" i="5"/>
  <c r="X2568" i="5"/>
  <c r="W2568" i="5"/>
  <c r="V2568" i="5"/>
  <c r="U2568" i="5"/>
  <c r="T2568" i="5"/>
  <c r="S2568" i="5"/>
  <c r="R2568" i="5"/>
  <c r="S2567" i="5"/>
  <c r="R2567" i="5"/>
  <c r="S2566" i="5"/>
  <c r="R2566" i="5"/>
  <c r="S2565" i="5"/>
  <c r="R2565" i="5"/>
  <c r="S2564" i="5"/>
  <c r="R2564" i="5"/>
  <c r="X2563" i="5"/>
  <c r="W2563" i="5"/>
  <c r="V2563" i="5"/>
  <c r="U2563" i="5"/>
  <c r="T2563" i="5"/>
  <c r="S2563" i="5"/>
  <c r="R2563" i="5"/>
  <c r="S2562" i="5"/>
  <c r="R2562" i="5"/>
  <c r="S2561" i="5"/>
  <c r="R2561" i="5"/>
  <c r="S2560" i="5"/>
  <c r="R2560" i="5"/>
  <c r="S2559" i="5"/>
  <c r="R2559" i="5"/>
  <c r="W2558" i="5"/>
  <c r="V2558" i="5"/>
  <c r="U2558" i="5"/>
  <c r="U2589" i="5" s="1"/>
  <c r="T2558" i="5"/>
  <c r="T2589" i="5" s="1"/>
  <c r="S2558" i="5"/>
  <c r="R2558" i="5"/>
  <c r="S2557" i="5"/>
  <c r="R2557" i="5"/>
  <c r="S2556" i="5"/>
  <c r="R2556" i="5"/>
  <c r="S2555" i="5"/>
  <c r="R2555" i="5"/>
  <c r="T2553" i="5"/>
  <c r="X2552" i="5"/>
  <c r="W2552" i="5"/>
  <c r="V2552" i="5"/>
  <c r="U2552" i="5"/>
  <c r="T2552" i="5"/>
  <c r="S2552" i="5"/>
  <c r="R2552" i="5"/>
  <c r="S2551" i="5"/>
  <c r="R2551" i="5"/>
  <c r="S2550" i="5"/>
  <c r="R2550" i="5"/>
  <c r="S2549" i="5"/>
  <c r="R2549" i="5"/>
  <c r="S2548" i="5"/>
  <c r="R2548" i="5"/>
  <c r="S2547" i="5"/>
  <c r="R2547" i="5"/>
  <c r="S2546" i="5"/>
  <c r="R2546" i="5"/>
  <c r="S2545" i="5"/>
  <c r="R2545" i="5"/>
  <c r="S2544" i="5"/>
  <c r="R2544" i="5"/>
  <c r="S2543" i="5"/>
  <c r="R2543" i="5"/>
  <c r="W2542" i="5"/>
  <c r="V2542" i="5"/>
  <c r="U2542" i="5"/>
  <c r="X2542" i="5" s="1"/>
  <c r="T2542" i="5"/>
  <c r="S2542" i="5"/>
  <c r="R2542" i="5"/>
  <c r="S2541" i="5"/>
  <c r="R2541" i="5"/>
  <c r="S2540" i="5"/>
  <c r="R2540" i="5"/>
  <c r="S2539" i="5"/>
  <c r="R2539" i="5"/>
  <c r="S2538" i="5"/>
  <c r="R2538" i="5"/>
  <c r="S2537" i="5"/>
  <c r="R2537" i="5"/>
  <c r="S2536" i="5"/>
  <c r="R2536" i="5"/>
  <c r="S2535" i="5"/>
  <c r="R2535" i="5"/>
  <c r="S2534" i="5"/>
  <c r="R2534" i="5"/>
  <c r="X2533" i="5"/>
  <c r="W2533" i="5"/>
  <c r="V2533" i="5"/>
  <c r="U2533" i="5"/>
  <c r="T2533" i="5"/>
  <c r="S2533" i="5"/>
  <c r="R2533" i="5"/>
  <c r="S2532" i="5"/>
  <c r="R2532" i="5"/>
  <c r="S2531" i="5"/>
  <c r="R2531" i="5"/>
  <c r="S2530" i="5"/>
  <c r="R2530" i="5"/>
  <c r="S2529" i="5"/>
  <c r="R2529" i="5"/>
  <c r="S2528" i="5"/>
  <c r="R2528" i="5"/>
  <c r="S2527" i="5"/>
  <c r="R2527" i="5"/>
  <c r="S2526" i="5"/>
  <c r="R2526" i="5"/>
  <c r="S2525" i="5"/>
  <c r="R2525" i="5"/>
  <c r="S2524" i="5"/>
  <c r="R2524" i="5"/>
  <c r="W2523" i="5"/>
  <c r="V2523" i="5"/>
  <c r="U2523" i="5"/>
  <c r="T2523" i="5"/>
  <c r="S2523" i="5"/>
  <c r="R2523" i="5"/>
  <c r="S2522" i="5"/>
  <c r="R2522" i="5"/>
  <c r="S2521" i="5"/>
  <c r="R2521" i="5"/>
  <c r="S2520" i="5"/>
  <c r="R2520" i="5"/>
  <c r="S2519" i="5"/>
  <c r="R2519" i="5"/>
  <c r="S2518" i="5"/>
  <c r="R2518" i="5"/>
  <c r="S2517" i="5"/>
  <c r="R2517" i="5"/>
  <c r="S2516" i="5"/>
  <c r="R2516" i="5"/>
  <c r="W2515" i="5"/>
  <c r="W2553" i="5" s="1"/>
  <c r="V2515" i="5"/>
  <c r="U2515" i="5"/>
  <c r="T2515" i="5"/>
  <c r="S2515" i="5"/>
  <c r="R2515" i="5"/>
  <c r="S2514" i="5"/>
  <c r="R2514" i="5"/>
  <c r="S2513" i="5"/>
  <c r="R2513" i="5"/>
  <c r="S2512" i="5"/>
  <c r="R2512" i="5"/>
  <c r="S2511" i="5"/>
  <c r="R2511" i="5"/>
  <c r="S2510" i="5"/>
  <c r="R2510" i="5"/>
  <c r="S2509" i="5"/>
  <c r="R2509" i="5"/>
  <c r="S2508" i="5"/>
  <c r="R2508" i="5"/>
  <c r="W2507" i="5"/>
  <c r="V2507" i="5"/>
  <c r="U2507" i="5"/>
  <c r="T2507" i="5"/>
  <c r="X2507" i="5" s="1"/>
  <c r="S2507" i="5"/>
  <c r="R2507" i="5"/>
  <c r="S2506" i="5"/>
  <c r="R2506" i="5"/>
  <c r="S2505" i="5"/>
  <c r="R2505" i="5"/>
  <c r="S2504" i="5"/>
  <c r="R2504" i="5"/>
  <c r="S2503" i="5"/>
  <c r="R2503" i="5"/>
  <c r="S2502" i="5"/>
  <c r="R2502" i="5"/>
  <c r="S2501" i="5"/>
  <c r="R2501" i="5"/>
  <c r="W2498" i="5"/>
  <c r="V2498" i="5"/>
  <c r="U2498" i="5"/>
  <c r="T2498" i="5"/>
  <c r="S2498" i="5"/>
  <c r="R2498" i="5"/>
  <c r="S2497" i="5"/>
  <c r="R2497" i="5"/>
  <c r="W2496" i="5"/>
  <c r="V2496" i="5"/>
  <c r="U2496" i="5"/>
  <c r="T2496" i="5"/>
  <c r="X2496" i="5" s="1"/>
  <c r="S2496" i="5"/>
  <c r="R2496" i="5"/>
  <c r="S2495" i="5"/>
  <c r="R2495" i="5"/>
  <c r="W2494" i="5"/>
  <c r="V2494" i="5"/>
  <c r="U2494" i="5"/>
  <c r="T2494" i="5"/>
  <c r="S2494" i="5"/>
  <c r="R2494" i="5"/>
  <c r="S2493" i="5"/>
  <c r="R2493" i="5"/>
  <c r="W2492" i="5"/>
  <c r="V2492" i="5"/>
  <c r="V2499" i="5" s="1"/>
  <c r="U2492" i="5"/>
  <c r="U2499" i="5" s="1"/>
  <c r="T2492" i="5"/>
  <c r="X2492" i="5" s="1"/>
  <c r="S2492" i="5"/>
  <c r="R2492" i="5"/>
  <c r="S2491" i="5"/>
  <c r="R2491" i="5"/>
  <c r="W2490" i="5"/>
  <c r="X2490" i="5" s="1"/>
  <c r="V2490" i="5"/>
  <c r="U2490" i="5"/>
  <c r="T2490" i="5"/>
  <c r="S2490" i="5"/>
  <c r="R2490" i="5"/>
  <c r="S2489" i="5"/>
  <c r="R2489" i="5"/>
  <c r="W2488" i="5"/>
  <c r="W2499" i="5" s="1"/>
  <c r="V2488" i="5"/>
  <c r="U2488" i="5"/>
  <c r="T2488" i="5"/>
  <c r="S2488" i="5"/>
  <c r="R2488" i="5"/>
  <c r="S2487" i="5"/>
  <c r="R2487" i="5"/>
  <c r="W2484" i="5"/>
  <c r="V2484" i="5"/>
  <c r="U2484" i="5"/>
  <c r="T2484" i="5"/>
  <c r="X2484" i="5" s="1"/>
  <c r="S2484" i="5"/>
  <c r="R2484" i="5"/>
  <c r="S2483" i="5"/>
  <c r="R2483" i="5"/>
  <c r="S2482" i="5"/>
  <c r="R2482" i="5"/>
  <c r="S2481" i="5"/>
  <c r="R2481" i="5"/>
  <c r="S2480" i="5"/>
  <c r="R2480" i="5"/>
  <c r="S2479" i="5"/>
  <c r="R2479" i="5"/>
  <c r="S2478" i="5"/>
  <c r="R2478" i="5"/>
  <c r="S2477" i="5"/>
  <c r="R2477" i="5"/>
  <c r="W2476" i="5"/>
  <c r="V2476" i="5"/>
  <c r="U2476" i="5"/>
  <c r="T2476" i="5"/>
  <c r="S2476" i="5"/>
  <c r="R2476" i="5"/>
  <c r="S2475" i="5"/>
  <c r="R2475" i="5"/>
  <c r="S2474" i="5"/>
  <c r="R2474" i="5"/>
  <c r="S2473" i="5"/>
  <c r="R2473" i="5"/>
  <c r="S2472" i="5"/>
  <c r="R2472" i="5"/>
  <c r="S2471" i="5"/>
  <c r="R2471" i="5"/>
  <c r="S2470" i="5"/>
  <c r="R2470" i="5"/>
  <c r="S2469" i="5"/>
  <c r="R2469" i="5"/>
  <c r="X2468" i="5"/>
  <c r="W2468" i="5"/>
  <c r="V2468" i="5"/>
  <c r="U2468" i="5"/>
  <c r="T2468" i="5"/>
  <c r="S2468" i="5"/>
  <c r="R2468" i="5"/>
  <c r="S2467" i="5"/>
  <c r="R2467" i="5"/>
  <c r="S2466" i="5"/>
  <c r="R2466" i="5"/>
  <c r="S2465" i="5"/>
  <c r="R2465" i="5"/>
  <c r="S2464" i="5"/>
  <c r="R2464" i="5"/>
  <c r="S2463" i="5"/>
  <c r="R2463" i="5"/>
  <c r="S2462" i="5"/>
  <c r="R2462" i="5"/>
  <c r="S2461" i="5"/>
  <c r="R2461" i="5"/>
  <c r="S2460" i="5"/>
  <c r="R2460" i="5"/>
  <c r="W2459" i="5"/>
  <c r="V2459" i="5"/>
  <c r="U2459" i="5"/>
  <c r="X2459" i="5" s="1"/>
  <c r="T2459" i="5"/>
  <c r="S2459" i="5"/>
  <c r="R2459" i="5"/>
  <c r="S2458" i="5"/>
  <c r="R2458" i="5"/>
  <c r="S2457" i="5"/>
  <c r="R2457" i="5"/>
  <c r="S2456" i="5"/>
  <c r="R2456" i="5"/>
  <c r="S2455" i="5"/>
  <c r="R2455" i="5"/>
  <c r="S2454" i="5"/>
  <c r="R2454" i="5"/>
  <c r="S2453" i="5"/>
  <c r="R2453" i="5"/>
  <c r="S2452" i="5"/>
  <c r="R2452" i="5"/>
  <c r="W2451" i="5"/>
  <c r="W2485" i="5" s="1"/>
  <c r="V2451" i="5"/>
  <c r="V2485" i="5" s="1"/>
  <c r="U2451" i="5"/>
  <c r="U2485" i="5" s="1"/>
  <c r="T2451" i="5"/>
  <c r="T2485" i="5" s="1"/>
  <c r="S2451" i="5"/>
  <c r="R2451" i="5"/>
  <c r="S2450" i="5"/>
  <c r="R2450" i="5"/>
  <c r="S2449" i="5"/>
  <c r="R2449" i="5"/>
  <c r="S2448" i="5"/>
  <c r="R2448" i="5"/>
  <c r="S2447" i="5"/>
  <c r="R2447" i="5"/>
  <c r="S2446" i="5"/>
  <c r="R2446" i="5"/>
  <c r="S2445" i="5"/>
  <c r="R2445" i="5"/>
  <c r="X2443" i="5"/>
  <c r="S2443" i="5"/>
  <c r="R2443" i="5"/>
  <c r="W2440" i="5"/>
  <c r="V2440" i="5"/>
  <c r="U2440" i="5"/>
  <c r="X2440" i="5" s="1"/>
  <c r="T2440" i="5"/>
  <c r="S2440" i="5"/>
  <c r="R2440" i="5"/>
  <c r="S2439" i="5"/>
  <c r="R2439" i="5"/>
  <c r="S2438" i="5"/>
  <c r="R2438" i="5"/>
  <c r="S2437" i="5"/>
  <c r="R2437" i="5"/>
  <c r="W2436" i="5"/>
  <c r="V2436" i="5"/>
  <c r="U2436" i="5"/>
  <c r="T2436" i="5"/>
  <c r="X2436" i="5" s="1"/>
  <c r="S2436" i="5"/>
  <c r="R2436" i="5"/>
  <c r="S2435" i="5"/>
  <c r="R2435" i="5"/>
  <c r="S2434" i="5"/>
  <c r="R2434" i="5"/>
  <c r="S2433" i="5"/>
  <c r="R2433" i="5"/>
  <c r="W2432" i="5"/>
  <c r="V2432" i="5"/>
  <c r="U2432" i="5"/>
  <c r="T2432" i="5"/>
  <c r="X2432" i="5" s="1"/>
  <c r="S2432" i="5"/>
  <c r="R2432" i="5"/>
  <c r="S2431" i="5"/>
  <c r="R2431" i="5"/>
  <c r="S2430" i="5"/>
  <c r="R2430" i="5"/>
  <c r="W2429" i="5"/>
  <c r="V2429" i="5"/>
  <c r="U2429" i="5"/>
  <c r="T2429" i="5"/>
  <c r="X2429" i="5" s="1"/>
  <c r="S2429" i="5"/>
  <c r="R2429" i="5"/>
  <c r="S2428" i="5"/>
  <c r="R2428" i="5"/>
  <c r="W2427" i="5"/>
  <c r="V2427" i="5"/>
  <c r="U2427" i="5"/>
  <c r="T2427" i="5"/>
  <c r="X2427" i="5" s="1"/>
  <c r="S2427" i="5"/>
  <c r="R2427" i="5"/>
  <c r="W2426" i="5"/>
  <c r="W2441" i="5" s="1"/>
  <c r="V2426" i="5"/>
  <c r="V2441" i="5" s="1"/>
  <c r="U2426" i="5"/>
  <c r="U2441" i="5" s="1"/>
  <c r="T2426" i="5"/>
  <c r="T2441" i="5" s="1"/>
  <c r="S2426" i="5"/>
  <c r="R2426" i="5"/>
  <c r="S2425" i="5"/>
  <c r="R2425" i="5"/>
  <c r="W2422" i="5"/>
  <c r="V2422" i="5"/>
  <c r="U2422" i="5"/>
  <c r="T2422" i="5"/>
  <c r="X2422" i="5" s="1"/>
  <c r="S2422" i="5"/>
  <c r="R2422" i="5"/>
  <c r="S2421" i="5"/>
  <c r="R2421" i="5"/>
  <c r="S2420" i="5"/>
  <c r="R2420" i="5"/>
  <c r="S2419" i="5"/>
  <c r="R2419" i="5"/>
  <c r="W2418" i="5"/>
  <c r="V2418" i="5"/>
  <c r="U2418" i="5"/>
  <c r="X2418" i="5" s="1"/>
  <c r="T2418" i="5"/>
  <c r="S2418" i="5"/>
  <c r="R2418" i="5"/>
  <c r="S2417" i="5"/>
  <c r="R2417" i="5"/>
  <c r="X2416" i="5"/>
  <c r="W2416" i="5"/>
  <c r="V2416" i="5"/>
  <c r="U2416" i="5"/>
  <c r="T2416" i="5"/>
  <c r="S2416" i="5"/>
  <c r="R2416" i="5"/>
  <c r="S2415" i="5"/>
  <c r="R2415" i="5"/>
  <c r="S2414" i="5"/>
  <c r="R2414" i="5"/>
  <c r="W2413" i="5"/>
  <c r="V2413" i="5"/>
  <c r="U2413" i="5"/>
  <c r="T2413" i="5"/>
  <c r="X2413" i="5" s="1"/>
  <c r="S2413" i="5"/>
  <c r="R2413" i="5"/>
  <c r="S2412" i="5"/>
  <c r="R2412" i="5"/>
  <c r="S2411" i="5"/>
  <c r="R2411" i="5"/>
  <c r="W2410" i="5"/>
  <c r="V2410" i="5"/>
  <c r="U2410" i="5"/>
  <c r="T2410" i="5"/>
  <c r="X2410" i="5" s="1"/>
  <c r="S2410" i="5"/>
  <c r="R2410" i="5"/>
  <c r="S2409" i="5"/>
  <c r="R2409" i="5"/>
  <c r="S2408" i="5"/>
  <c r="R2408" i="5"/>
  <c r="X2407" i="5"/>
  <c r="W2407" i="5"/>
  <c r="V2407" i="5"/>
  <c r="U2407" i="5"/>
  <c r="T2407" i="5"/>
  <c r="S2407" i="5"/>
  <c r="R2407" i="5"/>
  <c r="S2406" i="5"/>
  <c r="R2406" i="5"/>
  <c r="S2405" i="5"/>
  <c r="R2405" i="5"/>
  <c r="W2404" i="5"/>
  <c r="W2423" i="5" s="1"/>
  <c r="V2404" i="5"/>
  <c r="V2423" i="5" s="1"/>
  <c r="U2404" i="5"/>
  <c r="U2423" i="5" s="1"/>
  <c r="T2404" i="5"/>
  <c r="T2423" i="5" s="1"/>
  <c r="S2404" i="5"/>
  <c r="R2404" i="5"/>
  <c r="S2403" i="5"/>
  <c r="R2403" i="5"/>
  <c r="S2402" i="5"/>
  <c r="R2402" i="5"/>
  <c r="W2400" i="5"/>
  <c r="V2400" i="5"/>
  <c r="X2399" i="5"/>
  <c r="W2399" i="5"/>
  <c r="V2399" i="5"/>
  <c r="U2399" i="5"/>
  <c r="T2399" i="5"/>
  <c r="S2399" i="5"/>
  <c r="R2399" i="5"/>
  <c r="S2398" i="5"/>
  <c r="R2398" i="5"/>
  <c r="S2397" i="5"/>
  <c r="R2397" i="5"/>
  <c r="S2396" i="5"/>
  <c r="R2396" i="5"/>
  <c r="S2395" i="5"/>
  <c r="R2395" i="5"/>
  <c r="S2394" i="5"/>
  <c r="R2394" i="5"/>
  <c r="S2393" i="5"/>
  <c r="R2393" i="5"/>
  <c r="S2392" i="5"/>
  <c r="R2392" i="5"/>
  <c r="S2391" i="5"/>
  <c r="R2391" i="5"/>
  <c r="W2390" i="5"/>
  <c r="V2390" i="5"/>
  <c r="U2390" i="5"/>
  <c r="T2390" i="5"/>
  <c r="X2390" i="5" s="1"/>
  <c r="S2390" i="5"/>
  <c r="R2390" i="5"/>
  <c r="S2389" i="5"/>
  <c r="R2389" i="5"/>
  <c r="S2388" i="5"/>
  <c r="R2388" i="5"/>
  <c r="S2387" i="5"/>
  <c r="R2387" i="5"/>
  <c r="S2386" i="5"/>
  <c r="R2386" i="5"/>
  <c r="S2385" i="5"/>
  <c r="R2385" i="5"/>
  <c r="S2384" i="5"/>
  <c r="R2384" i="5"/>
  <c r="W2383" i="5"/>
  <c r="V2383" i="5"/>
  <c r="U2383" i="5"/>
  <c r="T2383" i="5"/>
  <c r="X2383" i="5" s="1"/>
  <c r="S2383" i="5"/>
  <c r="R2383" i="5"/>
  <c r="S2382" i="5"/>
  <c r="R2382" i="5"/>
  <c r="S2381" i="5"/>
  <c r="R2381" i="5"/>
  <c r="S2380" i="5"/>
  <c r="R2380" i="5"/>
  <c r="S2379" i="5"/>
  <c r="R2379" i="5"/>
  <c r="S2378" i="5"/>
  <c r="R2378" i="5"/>
  <c r="S2377" i="5"/>
  <c r="R2377" i="5"/>
  <c r="W2376" i="5"/>
  <c r="V2376" i="5"/>
  <c r="U2376" i="5"/>
  <c r="X2376" i="5" s="1"/>
  <c r="T2376" i="5"/>
  <c r="S2376" i="5"/>
  <c r="R2376" i="5"/>
  <c r="S2375" i="5"/>
  <c r="R2375" i="5"/>
  <c r="S2374" i="5"/>
  <c r="R2374" i="5"/>
  <c r="S2373" i="5"/>
  <c r="R2373" i="5"/>
  <c r="S2372" i="5"/>
  <c r="R2372" i="5"/>
  <c r="S2371" i="5"/>
  <c r="R2371" i="5"/>
  <c r="S2370" i="5"/>
  <c r="R2370" i="5"/>
  <c r="W2369" i="5"/>
  <c r="V2369" i="5"/>
  <c r="U2369" i="5"/>
  <c r="U2400" i="5" s="1"/>
  <c r="T2369" i="5"/>
  <c r="T2400" i="5" s="1"/>
  <c r="S2369" i="5"/>
  <c r="R2369" i="5"/>
  <c r="S2368" i="5"/>
  <c r="R2368" i="5"/>
  <c r="S2367" i="5"/>
  <c r="R2367" i="5"/>
  <c r="S2366" i="5"/>
  <c r="R2366" i="5"/>
  <c r="S2365" i="5"/>
  <c r="R2365" i="5"/>
  <c r="W2363" i="5"/>
  <c r="T2363" i="5"/>
  <c r="X2362" i="5"/>
  <c r="W2362" i="5"/>
  <c r="V2362" i="5"/>
  <c r="U2362" i="5"/>
  <c r="T2362" i="5"/>
  <c r="S2362" i="5"/>
  <c r="R2362" i="5"/>
  <c r="S2361" i="5"/>
  <c r="R2361" i="5"/>
  <c r="S2360" i="5"/>
  <c r="R2360" i="5"/>
  <c r="S2359" i="5"/>
  <c r="R2359" i="5"/>
  <c r="S2358" i="5"/>
  <c r="R2358" i="5"/>
  <c r="S2357" i="5"/>
  <c r="R2357" i="5"/>
  <c r="S2356" i="5"/>
  <c r="R2356" i="5"/>
  <c r="S2355" i="5"/>
  <c r="R2355" i="5"/>
  <c r="S2354" i="5"/>
  <c r="R2354" i="5"/>
  <c r="S2353" i="5"/>
  <c r="R2353" i="5"/>
  <c r="W2352" i="5"/>
  <c r="V2352" i="5"/>
  <c r="U2352" i="5"/>
  <c r="X2352" i="5" s="1"/>
  <c r="T2352" i="5"/>
  <c r="S2352" i="5"/>
  <c r="R2352" i="5"/>
  <c r="S2351" i="5"/>
  <c r="R2351" i="5"/>
  <c r="S2350" i="5"/>
  <c r="R2350" i="5"/>
  <c r="S2349" i="5"/>
  <c r="R2349" i="5"/>
  <c r="S2348" i="5"/>
  <c r="R2348" i="5"/>
  <c r="S2347" i="5"/>
  <c r="R2347" i="5"/>
  <c r="S2346" i="5"/>
  <c r="R2346" i="5"/>
  <c r="S2345" i="5"/>
  <c r="R2345" i="5"/>
  <c r="S2344" i="5"/>
  <c r="R2344" i="5"/>
  <c r="X2343" i="5"/>
  <c r="W2343" i="5"/>
  <c r="V2343" i="5"/>
  <c r="U2343" i="5"/>
  <c r="T2343" i="5"/>
  <c r="S2343" i="5"/>
  <c r="R2343" i="5"/>
  <c r="S2342" i="5"/>
  <c r="R2342" i="5"/>
  <c r="S2341" i="5"/>
  <c r="R2341" i="5"/>
  <c r="S2340" i="5"/>
  <c r="R2340" i="5"/>
  <c r="S2339" i="5"/>
  <c r="R2339" i="5"/>
  <c r="S2338" i="5"/>
  <c r="R2338" i="5"/>
  <c r="S2337" i="5"/>
  <c r="R2337" i="5"/>
  <c r="S2336" i="5"/>
  <c r="R2336" i="5"/>
  <c r="S2335" i="5"/>
  <c r="R2335" i="5"/>
  <c r="S2334" i="5"/>
  <c r="R2334" i="5"/>
  <c r="W2333" i="5"/>
  <c r="V2333" i="5"/>
  <c r="U2333" i="5"/>
  <c r="T2333" i="5"/>
  <c r="S2333" i="5"/>
  <c r="R2333" i="5"/>
  <c r="S2332" i="5"/>
  <c r="R2332" i="5"/>
  <c r="S2331" i="5"/>
  <c r="R2331" i="5"/>
  <c r="S2330" i="5"/>
  <c r="R2330" i="5"/>
  <c r="S2329" i="5"/>
  <c r="R2329" i="5"/>
  <c r="S2328" i="5"/>
  <c r="R2328" i="5"/>
  <c r="S2327" i="5"/>
  <c r="R2327" i="5"/>
  <c r="S2326" i="5"/>
  <c r="R2326" i="5"/>
  <c r="S2325" i="5"/>
  <c r="R2325" i="5"/>
  <c r="S2324" i="5"/>
  <c r="R2324" i="5"/>
  <c r="W2323" i="5"/>
  <c r="V2323" i="5"/>
  <c r="U2323" i="5"/>
  <c r="T2323" i="5"/>
  <c r="X2323" i="5" s="1"/>
  <c r="S2323" i="5"/>
  <c r="R2323" i="5"/>
  <c r="S2322" i="5"/>
  <c r="R2322" i="5"/>
  <c r="S2321" i="5"/>
  <c r="R2321" i="5"/>
  <c r="S2320" i="5"/>
  <c r="R2320" i="5"/>
  <c r="S2319" i="5"/>
  <c r="R2319" i="5"/>
  <c r="S2318" i="5"/>
  <c r="R2318" i="5"/>
  <c r="S2317" i="5"/>
  <c r="R2317" i="5"/>
  <c r="S2316" i="5"/>
  <c r="R2316" i="5"/>
  <c r="W2315" i="5"/>
  <c r="V2315" i="5"/>
  <c r="V2363" i="5" s="1"/>
  <c r="U2315" i="5"/>
  <c r="X2315" i="5" s="1"/>
  <c r="T2315" i="5"/>
  <c r="S2315" i="5"/>
  <c r="R2315" i="5"/>
  <c r="S2314" i="5"/>
  <c r="R2314" i="5"/>
  <c r="S2313" i="5"/>
  <c r="R2313" i="5"/>
  <c r="S2312" i="5"/>
  <c r="R2312" i="5"/>
  <c r="S2311" i="5"/>
  <c r="R2311" i="5"/>
  <c r="S2310" i="5"/>
  <c r="R2310" i="5"/>
  <c r="S2309" i="5"/>
  <c r="R2309" i="5"/>
  <c r="T2307" i="5"/>
  <c r="W2306" i="5"/>
  <c r="X2306" i="5" s="1"/>
  <c r="V2306" i="5"/>
  <c r="U2306" i="5"/>
  <c r="T2306" i="5"/>
  <c r="S2306" i="5"/>
  <c r="R2306" i="5"/>
  <c r="S2305" i="5"/>
  <c r="R2305" i="5"/>
  <c r="S2304" i="5"/>
  <c r="R2304" i="5"/>
  <c r="S2303" i="5"/>
  <c r="R2303" i="5"/>
  <c r="S2302" i="5"/>
  <c r="R2302" i="5"/>
  <c r="S2301" i="5"/>
  <c r="R2301" i="5"/>
  <c r="S2300" i="5"/>
  <c r="R2300" i="5"/>
  <c r="S2299" i="5"/>
  <c r="R2299" i="5"/>
  <c r="W2298" i="5"/>
  <c r="V2298" i="5"/>
  <c r="U2298" i="5"/>
  <c r="T2298" i="5"/>
  <c r="X2298" i="5" s="1"/>
  <c r="S2298" i="5"/>
  <c r="R2298" i="5"/>
  <c r="S2297" i="5"/>
  <c r="R2297" i="5"/>
  <c r="S2296" i="5"/>
  <c r="R2296" i="5"/>
  <c r="S2295" i="5"/>
  <c r="R2295" i="5"/>
  <c r="S2294" i="5"/>
  <c r="R2294" i="5"/>
  <c r="S2293" i="5"/>
  <c r="R2293" i="5"/>
  <c r="S2292" i="5"/>
  <c r="R2292" i="5"/>
  <c r="S2291" i="5"/>
  <c r="R2291" i="5"/>
  <c r="W2290" i="5"/>
  <c r="V2290" i="5"/>
  <c r="U2290" i="5"/>
  <c r="X2290" i="5" s="1"/>
  <c r="T2290" i="5"/>
  <c r="S2290" i="5"/>
  <c r="R2290" i="5"/>
  <c r="S2289" i="5"/>
  <c r="R2289" i="5"/>
  <c r="S2288" i="5"/>
  <c r="R2288" i="5"/>
  <c r="S2287" i="5"/>
  <c r="R2287" i="5"/>
  <c r="S2286" i="5"/>
  <c r="R2286" i="5"/>
  <c r="S2285" i="5"/>
  <c r="R2285" i="5"/>
  <c r="S2284" i="5"/>
  <c r="R2284" i="5"/>
  <c r="S2283" i="5"/>
  <c r="R2283" i="5"/>
  <c r="W2282" i="5"/>
  <c r="V2282" i="5"/>
  <c r="X2282" i="5" s="1"/>
  <c r="U2282" i="5"/>
  <c r="T2282" i="5"/>
  <c r="S2282" i="5"/>
  <c r="R2282" i="5"/>
  <c r="S2281" i="5"/>
  <c r="R2281" i="5"/>
  <c r="S2280" i="5"/>
  <c r="R2280" i="5"/>
  <c r="S2279" i="5"/>
  <c r="R2279" i="5"/>
  <c r="S2278" i="5"/>
  <c r="R2278" i="5"/>
  <c r="S2277" i="5"/>
  <c r="R2277" i="5"/>
  <c r="S2276" i="5"/>
  <c r="R2276" i="5"/>
  <c r="S2275" i="5"/>
  <c r="R2275" i="5"/>
  <c r="W2274" i="5"/>
  <c r="V2274" i="5"/>
  <c r="U2274" i="5"/>
  <c r="T2274" i="5"/>
  <c r="X2274" i="5" s="1"/>
  <c r="S2274" i="5"/>
  <c r="R2274" i="5"/>
  <c r="S2273" i="5"/>
  <c r="R2273" i="5"/>
  <c r="S2272" i="5"/>
  <c r="R2272" i="5"/>
  <c r="S2271" i="5"/>
  <c r="R2271" i="5"/>
  <c r="S2270" i="5"/>
  <c r="R2270" i="5"/>
  <c r="S2269" i="5"/>
  <c r="R2269" i="5"/>
  <c r="S2268" i="5"/>
  <c r="R2268" i="5"/>
  <c r="W2267" i="5"/>
  <c r="V2267" i="5"/>
  <c r="U2267" i="5"/>
  <c r="T2267" i="5"/>
  <c r="X2267" i="5" s="1"/>
  <c r="S2267" i="5"/>
  <c r="R2267" i="5"/>
  <c r="S2266" i="5"/>
  <c r="R2266" i="5"/>
  <c r="S2265" i="5"/>
  <c r="R2265" i="5"/>
  <c r="S2264" i="5"/>
  <c r="R2264" i="5"/>
  <c r="W2261" i="5"/>
  <c r="V2261" i="5"/>
  <c r="U2261" i="5"/>
  <c r="T2261" i="5"/>
  <c r="X2261" i="5" s="1"/>
  <c r="S2261" i="5"/>
  <c r="R2261" i="5"/>
  <c r="S2260" i="5"/>
  <c r="R2260" i="5"/>
  <c r="S2259" i="5"/>
  <c r="R2259" i="5"/>
  <c r="S2258" i="5"/>
  <c r="R2258" i="5"/>
  <c r="S2257" i="5"/>
  <c r="R2257" i="5"/>
  <c r="S2256" i="5"/>
  <c r="R2256" i="5"/>
  <c r="S2255" i="5"/>
  <c r="R2255" i="5"/>
  <c r="S2254" i="5"/>
  <c r="R2254" i="5"/>
  <c r="S2253" i="5"/>
  <c r="R2253" i="5"/>
  <c r="S2252" i="5"/>
  <c r="R2252" i="5"/>
  <c r="W2251" i="5"/>
  <c r="V2251" i="5"/>
  <c r="U2251" i="5"/>
  <c r="T2251" i="5"/>
  <c r="X2251" i="5" s="1"/>
  <c r="S2251" i="5"/>
  <c r="R2251" i="5"/>
  <c r="S2250" i="5"/>
  <c r="R2250" i="5"/>
  <c r="S2249" i="5"/>
  <c r="R2249" i="5"/>
  <c r="S2248" i="5"/>
  <c r="R2248" i="5"/>
  <c r="S2247" i="5"/>
  <c r="R2247" i="5"/>
  <c r="S2246" i="5"/>
  <c r="R2246" i="5"/>
  <c r="S2245" i="5"/>
  <c r="R2245" i="5"/>
  <c r="W2244" i="5"/>
  <c r="V2244" i="5"/>
  <c r="U2244" i="5"/>
  <c r="T2244" i="5"/>
  <c r="X2244" i="5" s="1"/>
  <c r="S2244" i="5"/>
  <c r="R2244" i="5"/>
  <c r="S2243" i="5"/>
  <c r="R2243" i="5"/>
  <c r="S2242" i="5"/>
  <c r="R2242" i="5"/>
  <c r="S2241" i="5"/>
  <c r="R2241" i="5"/>
  <c r="S2240" i="5"/>
  <c r="R2240" i="5"/>
  <c r="W2239" i="5"/>
  <c r="V2239" i="5"/>
  <c r="U2239" i="5"/>
  <c r="T2239" i="5"/>
  <c r="X2239" i="5" s="1"/>
  <c r="S2239" i="5"/>
  <c r="R2239" i="5"/>
  <c r="S2238" i="5"/>
  <c r="R2238" i="5"/>
  <c r="W2237" i="5"/>
  <c r="V2237" i="5"/>
  <c r="U2237" i="5"/>
  <c r="X2237" i="5" s="1"/>
  <c r="T2237" i="5"/>
  <c r="S2237" i="5"/>
  <c r="R2237" i="5"/>
  <c r="S2236" i="5"/>
  <c r="R2236" i="5"/>
  <c r="S2235" i="5"/>
  <c r="R2235" i="5"/>
  <c r="W2234" i="5"/>
  <c r="W2262" i="5" s="1"/>
  <c r="V2234" i="5"/>
  <c r="V2262" i="5" s="1"/>
  <c r="U2234" i="5"/>
  <c r="T2234" i="5"/>
  <c r="S2234" i="5"/>
  <c r="R2234" i="5"/>
  <c r="S2233" i="5"/>
  <c r="R2233" i="5"/>
  <c r="S2232" i="5"/>
  <c r="R2232" i="5"/>
  <c r="W2229" i="5"/>
  <c r="V2229" i="5"/>
  <c r="U2229" i="5"/>
  <c r="X2229" i="5" s="1"/>
  <c r="T2229" i="5"/>
  <c r="S2229" i="5"/>
  <c r="R2229" i="5"/>
  <c r="S2228" i="5"/>
  <c r="R2228" i="5"/>
  <c r="S2227" i="5"/>
  <c r="R2227" i="5"/>
  <c r="S2226" i="5"/>
  <c r="R2226" i="5"/>
  <c r="W2225" i="5"/>
  <c r="V2225" i="5"/>
  <c r="U2225" i="5"/>
  <c r="T2225" i="5"/>
  <c r="X2225" i="5" s="1"/>
  <c r="S2225" i="5"/>
  <c r="R2225" i="5"/>
  <c r="S2224" i="5"/>
  <c r="R2224" i="5"/>
  <c r="S2223" i="5"/>
  <c r="R2223" i="5"/>
  <c r="S2222" i="5"/>
  <c r="R2222" i="5"/>
  <c r="W2221" i="5"/>
  <c r="V2221" i="5"/>
  <c r="U2221" i="5"/>
  <c r="T2221" i="5"/>
  <c r="X2221" i="5" s="1"/>
  <c r="S2221" i="5"/>
  <c r="R2221" i="5"/>
  <c r="S2220" i="5"/>
  <c r="R2220" i="5"/>
  <c r="S2219" i="5"/>
  <c r="R2219" i="5"/>
  <c r="S2218" i="5"/>
  <c r="R2218" i="5"/>
  <c r="W2217" i="5"/>
  <c r="V2217" i="5"/>
  <c r="X2217" i="5" s="1"/>
  <c r="U2217" i="5"/>
  <c r="T2217" i="5"/>
  <c r="S2217" i="5"/>
  <c r="R2217" i="5"/>
  <c r="S2216" i="5"/>
  <c r="R2216" i="5"/>
  <c r="S2215" i="5"/>
  <c r="R2215" i="5"/>
  <c r="W2214" i="5"/>
  <c r="V2214" i="5"/>
  <c r="U2214" i="5"/>
  <c r="X2214" i="5" s="1"/>
  <c r="T2214" i="5"/>
  <c r="S2214" i="5"/>
  <c r="R2214" i="5"/>
  <c r="S2213" i="5"/>
  <c r="R2213" i="5"/>
  <c r="S2212" i="5"/>
  <c r="R2212" i="5"/>
  <c r="W2211" i="5"/>
  <c r="W2230" i="5" s="1"/>
  <c r="V2211" i="5"/>
  <c r="U2211" i="5"/>
  <c r="T2211" i="5"/>
  <c r="X2211" i="5" s="1"/>
  <c r="X2230" i="5" s="1"/>
  <c r="S2211" i="5"/>
  <c r="R2211" i="5"/>
  <c r="X2208" i="5"/>
  <c r="W2208" i="5"/>
  <c r="V2208" i="5"/>
  <c r="U2208" i="5"/>
  <c r="T2208" i="5"/>
  <c r="S2208" i="5"/>
  <c r="R2208" i="5"/>
  <c r="S2207" i="5"/>
  <c r="R2207" i="5"/>
  <c r="S2206" i="5"/>
  <c r="R2206" i="5"/>
  <c r="S2205" i="5"/>
  <c r="R2205" i="5"/>
  <c r="S2204" i="5"/>
  <c r="R2204" i="5"/>
  <c r="W2203" i="5"/>
  <c r="X2203" i="5" s="1"/>
  <c r="V2203" i="5"/>
  <c r="U2203" i="5"/>
  <c r="T2203" i="5"/>
  <c r="S2203" i="5"/>
  <c r="R2203" i="5"/>
  <c r="S2202" i="5"/>
  <c r="R2202" i="5"/>
  <c r="S2201" i="5"/>
  <c r="R2201" i="5"/>
  <c r="S2200" i="5"/>
  <c r="R2200" i="5"/>
  <c r="S2199" i="5"/>
  <c r="R2199" i="5"/>
  <c r="W2198" i="5"/>
  <c r="W2209" i="5" s="1"/>
  <c r="V2198" i="5"/>
  <c r="U2198" i="5"/>
  <c r="T2198" i="5"/>
  <c r="S2198" i="5"/>
  <c r="R2198" i="5"/>
  <c r="S2197" i="5"/>
  <c r="R2197" i="5"/>
  <c r="S2196" i="5"/>
  <c r="R2196" i="5"/>
  <c r="S2195" i="5"/>
  <c r="R2195" i="5"/>
  <c r="S2194" i="5"/>
  <c r="R2194" i="5"/>
  <c r="W2193" i="5"/>
  <c r="V2193" i="5"/>
  <c r="U2193" i="5"/>
  <c r="T2193" i="5"/>
  <c r="S2193" i="5"/>
  <c r="R2193" i="5"/>
  <c r="S2192" i="5"/>
  <c r="R2192" i="5"/>
  <c r="S2191" i="5"/>
  <c r="R2191" i="5"/>
  <c r="S2190" i="5"/>
  <c r="R2190" i="5"/>
  <c r="S2189" i="5"/>
  <c r="R2189" i="5"/>
  <c r="W2188" i="5"/>
  <c r="V2188" i="5"/>
  <c r="U2188" i="5"/>
  <c r="U2209" i="5" s="1"/>
  <c r="T2188" i="5"/>
  <c r="T2209" i="5" s="1"/>
  <c r="S2188" i="5"/>
  <c r="R2188" i="5"/>
  <c r="S2187" i="5"/>
  <c r="R2187" i="5"/>
  <c r="S2186" i="5"/>
  <c r="R2186" i="5"/>
  <c r="S2185" i="5"/>
  <c r="R2185" i="5"/>
  <c r="U2183" i="5"/>
  <c r="W2182" i="5"/>
  <c r="V2182" i="5"/>
  <c r="U2182" i="5"/>
  <c r="T2182" i="5"/>
  <c r="S2182" i="5"/>
  <c r="R2182" i="5"/>
  <c r="S2181" i="5"/>
  <c r="R2181" i="5"/>
  <c r="S2180" i="5"/>
  <c r="R2180" i="5"/>
  <c r="S2179" i="5"/>
  <c r="R2179" i="5"/>
  <c r="S2178" i="5"/>
  <c r="R2178" i="5"/>
  <c r="S2177" i="5"/>
  <c r="R2177" i="5"/>
  <c r="S2176" i="5"/>
  <c r="R2176" i="5"/>
  <c r="S2175" i="5"/>
  <c r="R2175" i="5"/>
  <c r="S2174" i="5"/>
  <c r="R2174" i="5"/>
  <c r="S2173" i="5"/>
  <c r="R2173" i="5"/>
  <c r="S2172" i="5"/>
  <c r="R2172" i="5"/>
  <c r="S2171" i="5"/>
  <c r="R2171" i="5"/>
  <c r="S2170" i="5"/>
  <c r="R2170" i="5"/>
  <c r="S2169" i="5"/>
  <c r="R2169" i="5"/>
  <c r="S2168" i="5"/>
  <c r="R2168" i="5"/>
  <c r="S2167" i="5"/>
  <c r="R2167" i="5"/>
  <c r="W2166" i="5"/>
  <c r="V2166" i="5"/>
  <c r="U2166" i="5"/>
  <c r="T2166" i="5"/>
  <c r="X2166" i="5" s="1"/>
  <c r="S2166" i="5"/>
  <c r="R2166" i="5"/>
  <c r="S2165" i="5"/>
  <c r="R2165" i="5"/>
  <c r="S2164" i="5"/>
  <c r="R2164" i="5"/>
  <c r="S2163" i="5"/>
  <c r="R2163" i="5"/>
  <c r="S2162" i="5"/>
  <c r="R2162" i="5"/>
  <c r="S2161" i="5"/>
  <c r="R2161" i="5"/>
  <c r="S2160" i="5"/>
  <c r="R2160" i="5"/>
  <c r="S2159" i="5"/>
  <c r="R2159" i="5"/>
  <c r="S2158" i="5"/>
  <c r="R2158" i="5"/>
  <c r="S2157" i="5"/>
  <c r="R2157" i="5"/>
  <c r="S2156" i="5"/>
  <c r="R2156" i="5"/>
  <c r="S2155" i="5"/>
  <c r="R2155" i="5"/>
  <c r="S2154" i="5"/>
  <c r="R2154" i="5"/>
  <c r="S2153" i="5"/>
  <c r="R2153" i="5"/>
  <c r="S2152" i="5"/>
  <c r="R2152" i="5"/>
  <c r="S2151" i="5"/>
  <c r="R2151" i="5"/>
  <c r="W2150" i="5"/>
  <c r="V2150" i="5"/>
  <c r="U2150" i="5"/>
  <c r="T2150" i="5"/>
  <c r="X2150" i="5" s="1"/>
  <c r="S2150" i="5"/>
  <c r="R2150" i="5"/>
  <c r="S2149" i="5"/>
  <c r="R2149" i="5"/>
  <c r="S2148" i="5"/>
  <c r="R2148" i="5"/>
  <c r="S2147" i="5"/>
  <c r="R2147" i="5"/>
  <c r="S2146" i="5"/>
  <c r="R2146" i="5"/>
  <c r="S2145" i="5"/>
  <c r="R2145" i="5"/>
  <c r="S2144" i="5"/>
  <c r="R2144" i="5"/>
  <c r="S2143" i="5"/>
  <c r="R2143" i="5"/>
  <c r="S2142" i="5"/>
  <c r="R2142" i="5"/>
  <c r="S2141" i="5"/>
  <c r="R2141" i="5"/>
  <c r="S2140" i="5"/>
  <c r="R2140" i="5"/>
  <c r="S2139" i="5"/>
  <c r="R2139" i="5"/>
  <c r="S2138" i="5"/>
  <c r="R2138" i="5"/>
  <c r="S2137" i="5"/>
  <c r="R2137" i="5"/>
  <c r="S2136" i="5"/>
  <c r="R2136" i="5"/>
  <c r="S2135" i="5"/>
  <c r="R2135" i="5"/>
  <c r="W2134" i="5"/>
  <c r="V2134" i="5"/>
  <c r="U2134" i="5"/>
  <c r="X2134" i="5" s="1"/>
  <c r="T2134" i="5"/>
  <c r="S2134" i="5"/>
  <c r="R2134" i="5"/>
  <c r="S2133" i="5"/>
  <c r="R2133" i="5"/>
  <c r="S2132" i="5"/>
  <c r="R2132" i="5"/>
  <c r="S2131" i="5"/>
  <c r="R2131" i="5"/>
  <c r="S2130" i="5"/>
  <c r="R2130" i="5"/>
  <c r="S2129" i="5"/>
  <c r="R2129" i="5"/>
  <c r="S2128" i="5"/>
  <c r="R2128" i="5"/>
  <c r="S2127" i="5"/>
  <c r="R2127" i="5"/>
  <c r="S2126" i="5"/>
  <c r="R2126" i="5"/>
  <c r="S2125" i="5"/>
  <c r="R2125" i="5"/>
  <c r="S2124" i="5"/>
  <c r="R2124" i="5"/>
  <c r="S2123" i="5"/>
  <c r="R2123" i="5"/>
  <c r="S2122" i="5"/>
  <c r="R2122" i="5"/>
  <c r="S2121" i="5"/>
  <c r="R2121" i="5"/>
  <c r="S2120" i="5"/>
  <c r="R2120" i="5"/>
  <c r="X2119" i="5"/>
  <c r="W2119" i="5"/>
  <c r="V2119" i="5"/>
  <c r="U2119" i="5"/>
  <c r="T2119" i="5"/>
  <c r="S2119" i="5"/>
  <c r="R2119" i="5"/>
  <c r="S2118" i="5"/>
  <c r="R2118" i="5"/>
  <c r="S2117" i="5"/>
  <c r="R2117" i="5"/>
  <c r="S2116" i="5"/>
  <c r="R2116" i="5"/>
  <c r="S2115" i="5"/>
  <c r="R2115" i="5"/>
  <c r="S2114" i="5"/>
  <c r="R2114" i="5"/>
  <c r="S2113" i="5"/>
  <c r="R2113" i="5"/>
  <c r="S2112" i="5"/>
  <c r="R2112" i="5"/>
  <c r="S2111" i="5"/>
  <c r="R2111" i="5"/>
  <c r="S2110" i="5"/>
  <c r="R2110" i="5"/>
  <c r="S2109" i="5"/>
  <c r="R2109" i="5"/>
  <c r="S2108" i="5"/>
  <c r="R2108" i="5"/>
  <c r="S2107" i="5"/>
  <c r="R2107" i="5"/>
  <c r="S2106" i="5"/>
  <c r="R2106" i="5"/>
  <c r="S2105" i="5"/>
  <c r="R2105" i="5"/>
  <c r="W2104" i="5"/>
  <c r="V2104" i="5"/>
  <c r="U2104" i="5"/>
  <c r="T2104" i="5"/>
  <c r="X2104" i="5" s="1"/>
  <c r="S2104" i="5"/>
  <c r="R2104" i="5"/>
  <c r="S2103" i="5"/>
  <c r="R2103" i="5"/>
  <c r="S2102" i="5"/>
  <c r="R2102" i="5"/>
  <c r="S2101" i="5"/>
  <c r="R2101" i="5"/>
  <c r="S2100" i="5"/>
  <c r="R2100" i="5"/>
  <c r="S2099" i="5"/>
  <c r="R2099" i="5"/>
  <c r="W2096" i="5"/>
  <c r="V2096" i="5"/>
  <c r="U2096" i="5"/>
  <c r="X2096" i="5" s="1"/>
  <c r="T2096" i="5"/>
  <c r="S2096" i="5"/>
  <c r="R2096" i="5"/>
  <c r="S2095" i="5"/>
  <c r="R2095" i="5"/>
  <c r="S2094" i="5"/>
  <c r="R2094" i="5"/>
  <c r="S2093" i="5"/>
  <c r="R2093" i="5"/>
  <c r="S2092" i="5"/>
  <c r="R2092" i="5"/>
  <c r="S2091" i="5"/>
  <c r="R2091" i="5"/>
  <c r="S2090" i="5"/>
  <c r="R2090" i="5"/>
  <c r="S2089" i="5"/>
  <c r="R2089" i="5"/>
  <c r="S2088" i="5"/>
  <c r="R2088" i="5"/>
  <c r="X2087" i="5"/>
  <c r="W2087" i="5"/>
  <c r="V2087" i="5"/>
  <c r="U2087" i="5"/>
  <c r="T2087" i="5"/>
  <c r="S2087" i="5"/>
  <c r="R2087" i="5"/>
  <c r="S2086" i="5"/>
  <c r="R2086" i="5"/>
  <c r="S2085" i="5"/>
  <c r="R2085" i="5"/>
  <c r="S2084" i="5"/>
  <c r="R2084" i="5"/>
  <c r="S2083" i="5"/>
  <c r="R2083" i="5"/>
  <c r="S2082" i="5"/>
  <c r="R2082" i="5"/>
  <c r="S2081" i="5"/>
  <c r="R2081" i="5"/>
  <c r="S2080" i="5"/>
  <c r="R2080" i="5"/>
  <c r="S2079" i="5"/>
  <c r="R2079" i="5"/>
  <c r="W2078" i="5"/>
  <c r="V2078" i="5"/>
  <c r="U2078" i="5"/>
  <c r="X2078" i="5" s="1"/>
  <c r="T2078" i="5"/>
  <c r="S2078" i="5"/>
  <c r="R2078" i="5"/>
  <c r="S2077" i="5"/>
  <c r="R2077" i="5"/>
  <c r="S2076" i="5"/>
  <c r="R2076" i="5"/>
  <c r="S2075" i="5"/>
  <c r="R2075" i="5"/>
  <c r="S2074" i="5"/>
  <c r="R2074" i="5"/>
  <c r="S2073" i="5"/>
  <c r="R2073" i="5"/>
  <c r="S2072" i="5"/>
  <c r="R2072" i="5"/>
  <c r="S2071" i="5"/>
  <c r="R2071" i="5"/>
  <c r="W2070" i="5"/>
  <c r="V2070" i="5"/>
  <c r="U2070" i="5"/>
  <c r="T2070" i="5"/>
  <c r="X2070" i="5" s="1"/>
  <c r="S2070" i="5"/>
  <c r="R2070" i="5"/>
  <c r="S2069" i="5"/>
  <c r="R2069" i="5"/>
  <c r="S2068" i="5"/>
  <c r="R2068" i="5"/>
  <c r="S2067" i="5"/>
  <c r="R2067" i="5"/>
  <c r="S2066" i="5"/>
  <c r="R2066" i="5"/>
  <c r="S2065" i="5"/>
  <c r="R2065" i="5"/>
  <c r="S2064" i="5"/>
  <c r="R2064" i="5"/>
  <c r="S2063" i="5"/>
  <c r="R2063" i="5"/>
  <c r="W2062" i="5"/>
  <c r="V2062" i="5"/>
  <c r="U2062" i="5"/>
  <c r="T2062" i="5"/>
  <c r="X2062" i="5" s="1"/>
  <c r="S2062" i="5"/>
  <c r="R2062" i="5"/>
  <c r="S2061" i="5"/>
  <c r="R2061" i="5"/>
  <c r="S2060" i="5"/>
  <c r="R2060" i="5"/>
  <c r="S2059" i="5"/>
  <c r="R2059" i="5"/>
  <c r="S2058" i="5"/>
  <c r="R2058" i="5"/>
  <c r="S2057" i="5"/>
  <c r="R2057" i="5"/>
  <c r="S2056" i="5"/>
  <c r="R2056" i="5"/>
  <c r="S2055" i="5"/>
  <c r="R2055" i="5"/>
  <c r="W2054" i="5"/>
  <c r="W2097" i="5" s="1"/>
  <c r="V2054" i="5"/>
  <c r="V2097" i="5" s="1"/>
  <c r="U2054" i="5"/>
  <c r="T2054" i="5"/>
  <c r="X2054" i="5" s="1"/>
  <c r="S2054" i="5"/>
  <c r="R2054" i="5"/>
  <c r="S2053" i="5"/>
  <c r="R2053" i="5"/>
  <c r="S2052" i="5"/>
  <c r="R2052" i="5"/>
  <c r="S2051" i="5"/>
  <c r="R2051" i="5"/>
  <c r="W2048" i="5"/>
  <c r="V2048" i="5"/>
  <c r="U2048" i="5"/>
  <c r="T2048" i="5"/>
  <c r="X2048" i="5" s="1"/>
  <c r="S2048" i="5"/>
  <c r="R2048" i="5"/>
  <c r="S2047" i="5"/>
  <c r="R2047" i="5"/>
  <c r="S2046" i="5"/>
  <c r="R2046" i="5"/>
  <c r="S2045" i="5"/>
  <c r="R2045" i="5"/>
  <c r="S2044" i="5"/>
  <c r="R2044" i="5"/>
  <c r="S2043" i="5"/>
  <c r="R2043" i="5"/>
  <c r="S2042" i="5"/>
  <c r="R2042" i="5"/>
  <c r="S2041" i="5"/>
  <c r="R2041" i="5"/>
  <c r="S2040" i="5"/>
  <c r="R2040" i="5"/>
  <c r="S2039" i="5"/>
  <c r="R2039" i="5"/>
  <c r="S2038" i="5"/>
  <c r="R2038" i="5"/>
  <c r="S2037" i="5"/>
  <c r="R2037" i="5"/>
  <c r="S2036" i="5"/>
  <c r="R2036" i="5"/>
  <c r="S2035" i="5"/>
  <c r="R2035" i="5"/>
  <c r="S2034" i="5"/>
  <c r="R2034" i="5"/>
  <c r="S2033" i="5"/>
  <c r="R2033" i="5"/>
  <c r="S2032" i="5"/>
  <c r="R2032" i="5"/>
  <c r="S2031" i="5"/>
  <c r="R2031" i="5"/>
  <c r="S2030" i="5"/>
  <c r="R2030" i="5"/>
  <c r="S2029" i="5"/>
  <c r="R2029" i="5"/>
  <c r="W2028" i="5"/>
  <c r="V2028" i="5"/>
  <c r="U2028" i="5"/>
  <c r="T2028" i="5"/>
  <c r="X2028" i="5" s="1"/>
  <c r="S2028" i="5"/>
  <c r="R2028" i="5"/>
  <c r="S2027" i="5"/>
  <c r="R2027" i="5"/>
  <c r="S2026" i="5"/>
  <c r="R2026" i="5"/>
  <c r="S2025" i="5"/>
  <c r="R2025" i="5"/>
  <c r="S2024" i="5"/>
  <c r="R2024" i="5"/>
  <c r="S2023" i="5"/>
  <c r="R2023" i="5"/>
  <c r="S2022" i="5"/>
  <c r="R2022" i="5"/>
  <c r="S2021" i="5"/>
  <c r="R2021" i="5"/>
  <c r="S2020" i="5"/>
  <c r="R2020" i="5"/>
  <c r="S2019" i="5"/>
  <c r="R2019" i="5"/>
  <c r="S2018" i="5"/>
  <c r="R2018" i="5"/>
  <c r="S2017" i="5"/>
  <c r="R2017" i="5"/>
  <c r="S2016" i="5"/>
  <c r="R2016" i="5"/>
  <c r="S2015" i="5"/>
  <c r="R2015" i="5"/>
  <c r="S2014" i="5"/>
  <c r="R2014" i="5"/>
  <c r="S2013" i="5"/>
  <c r="R2013" i="5"/>
  <c r="S2012" i="5"/>
  <c r="R2012" i="5"/>
  <c r="S2011" i="5"/>
  <c r="R2011" i="5"/>
  <c r="S2010" i="5"/>
  <c r="R2010" i="5"/>
  <c r="S2009" i="5"/>
  <c r="R2009" i="5"/>
  <c r="S2008" i="5"/>
  <c r="R2008" i="5"/>
  <c r="W2007" i="5"/>
  <c r="V2007" i="5"/>
  <c r="U2007" i="5"/>
  <c r="T2007" i="5"/>
  <c r="X2007" i="5" s="1"/>
  <c r="S2007" i="5"/>
  <c r="R2007" i="5"/>
  <c r="S2006" i="5"/>
  <c r="R2006" i="5"/>
  <c r="S2005" i="5"/>
  <c r="R2005" i="5"/>
  <c r="S2004" i="5"/>
  <c r="R2004" i="5"/>
  <c r="S2003" i="5"/>
  <c r="R2003" i="5"/>
  <c r="S2002" i="5"/>
  <c r="R2002" i="5"/>
  <c r="S2001" i="5"/>
  <c r="R2001" i="5"/>
  <c r="S2000" i="5"/>
  <c r="R2000" i="5"/>
  <c r="S1999" i="5"/>
  <c r="R1999" i="5"/>
  <c r="S1998" i="5"/>
  <c r="R1998" i="5"/>
  <c r="S1997" i="5"/>
  <c r="R1997" i="5"/>
  <c r="S1996" i="5"/>
  <c r="R1996" i="5"/>
  <c r="S1995" i="5"/>
  <c r="R1995" i="5"/>
  <c r="S1994" i="5"/>
  <c r="R1994" i="5"/>
  <c r="S1993" i="5"/>
  <c r="R1993" i="5"/>
  <c r="S1992" i="5"/>
  <c r="R1992" i="5"/>
  <c r="S1991" i="5"/>
  <c r="R1991" i="5"/>
  <c r="S1990" i="5"/>
  <c r="R1990" i="5"/>
  <c r="S1989" i="5"/>
  <c r="R1989" i="5"/>
  <c r="S1988" i="5"/>
  <c r="R1988" i="5"/>
  <c r="S1987" i="5"/>
  <c r="R1987" i="5"/>
  <c r="W1986" i="5"/>
  <c r="V1986" i="5"/>
  <c r="U1986" i="5"/>
  <c r="T1986" i="5"/>
  <c r="X1986" i="5" s="1"/>
  <c r="S1986" i="5"/>
  <c r="R1986" i="5"/>
  <c r="S1985" i="5"/>
  <c r="R1985" i="5"/>
  <c r="S1984" i="5"/>
  <c r="R1984" i="5"/>
  <c r="S1983" i="5"/>
  <c r="R1983" i="5"/>
  <c r="S1982" i="5"/>
  <c r="R1982" i="5"/>
  <c r="S1981" i="5"/>
  <c r="R1981" i="5"/>
  <c r="S1980" i="5"/>
  <c r="R1980" i="5"/>
  <c r="S1979" i="5"/>
  <c r="R1979" i="5"/>
  <c r="S1978" i="5"/>
  <c r="R1978" i="5"/>
  <c r="S1977" i="5"/>
  <c r="R1977" i="5"/>
  <c r="S1976" i="5"/>
  <c r="R1976" i="5"/>
  <c r="S1975" i="5"/>
  <c r="R1975" i="5"/>
  <c r="S1974" i="5"/>
  <c r="R1974" i="5"/>
  <c r="S1973" i="5"/>
  <c r="R1973" i="5"/>
  <c r="S1972" i="5"/>
  <c r="R1972" i="5"/>
  <c r="S1971" i="5"/>
  <c r="R1971" i="5"/>
  <c r="S1970" i="5"/>
  <c r="R1970" i="5"/>
  <c r="S1969" i="5"/>
  <c r="R1969" i="5"/>
  <c r="S1968" i="5"/>
  <c r="R1968" i="5"/>
  <c r="S1967" i="5"/>
  <c r="R1967" i="5"/>
  <c r="S1966" i="5"/>
  <c r="R1966" i="5"/>
  <c r="W1965" i="5"/>
  <c r="V1965" i="5"/>
  <c r="U1965" i="5"/>
  <c r="T1965" i="5"/>
  <c r="X1965" i="5" s="1"/>
  <c r="S1965" i="5"/>
  <c r="R1965" i="5"/>
  <c r="S1964" i="5"/>
  <c r="R1964" i="5"/>
  <c r="S1963" i="5"/>
  <c r="R1963" i="5"/>
  <c r="S1962" i="5"/>
  <c r="R1962" i="5"/>
  <c r="S1961" i="5"/>
  <c r="R1961" i="5"/>
  <c r="S1960" i="5"/>
  <c r="R1960" i="5"/>
  <c r="S1959" i="5"/>
  <c r="R1959" i="5"/>
  <c r="S1958" i="5"/>
  <c r="R1958" i="5"/>
  <c r="S1957" i="5"/>
  <c r="R1957" i="5"/>
  <c r="S1956" i="5"/>
  <c r="R1956" i="5"/>
  <c r="S1955" i="5"/>
  <c r="R1955" i="5"/>
  <c r="S1954" i="5"/>
  <c r="R1954" i="5"/>
  <c r="S1953" i="5"/>
  <c r="R1953" i="5"/>
  <c r="S1952" i="5"/>
  <c r="R1952" i="5"/>
  <c r="S1951" i="5"/>
  <c r="R1951" i="5"/>
  <c r="S1950" i="5"/>
  <c r="R1950" i="5"/>
  <c r="S1949" i="5"/>
  <c r="R1949" i="5"/>
  <c r="S1948" i="5"/>
  <c r="R1948" i="5"/>
  <c r="S1947" i="5"/>
  <c r="R1947" i="5"/>
  <c r="W1946" i="5"/>
  <c r="W2049" i="5" s="1"/>
  <c r="V1946" i="5"/>
  <c r="V2049" i="5" s="1"/>
  <c r="U1946" i="5"/>
  <c r="T1946" i="5"/>
  <c r="S1946" i="5"/>
  <c r="R1946" i="5"/>
  <c r="S1945" i="5"/>
  <c r="R1945" i="5"/>
  <c r="S1944" i="5"/>
  <c r="R1944" i="5"/>
  <c r="S1943" i="5"/>
  <c r="R1943" i="5"/>
  <c r="S1942" i="5"/>
  <c r="R1942" i="5"/>
  <c r="S1941" i="5"/>
  <c r="R1941" i="5"/>
  <c r="S1940" i="5"/>
  <c r="R1940" i="5"/>
  <c r="S1939" i="5"/>
  <c r="R1939" i="5"/>
  <c r="W1936" i="5"/>
  <c r="V1936" i="5"/>
  <c r="X1936" i="5" s="1"/>
  <c r="U1936" i="5"/>
  <c r="T1936" i="5"/>
  <c r="S1936" i="5"/>
  <c r="R1936" i="5"/>
  <c r="S1935" i="5"/>
  <c r="R1935" i="5"/>
  <c r="S1934" i="5"/>
  <c r="R1934" i="5"/>
  <c r="S1933" i="5"/>
  <c r="R1933" i="5"/>
  <c r="S1932" i="5"/>
  <c r="R1932" i="5"/>
  <c r="S1931" i="5"/>
  <c r="R1931" i="5"/>
  <c r="S1930" i="5"/>
  <c r="R1930" i="5"/>
  <c r="S1929" i="5"/>
  <c r="R1929" i="5"/>
  <c r="W1928" i="5"/>
  <c r="V1928" i="5"/>
  <c r="U1928" i="5"/>
  <c r="T1928" i="5"/>
  <c r="X1928" i="5" s="1"/>
  <c r="S1928" i="5"/>
  <c r="R1928" i="5"/>
  <c r="S1927" i="5"/>
  <c r="R1927" i="5"/>
  <c r="S1926" i="5"/>
  <c r="R1926" i="5"/>
  <c r="S1925" i="5"/>
  <c r="R1925" i="5"/>
  <c r="S1924" i="5"/>
  <c r="R1924" i="5"/>
  <c r="S1923" i="5"/>
  <c r="R1923" i="5"/>
  <c r="S1922" i="5"/>
  <c r="R1922" i="5"/>
  <c r="S1921" i="5"/>
  <c r="R1921" i="5"/>
  <c r="W1920" i="5"/>
  <c r="V1920" i="5"/>
  <c r="U1920" i="5"/>
  <c r="T1920" i="5"/>
  <c r="X1920" i="5" s="1"/>
  <c r="S1920" i="5"/>
  <c r="R1920" i="5"/>
  <c r="S1919" i="5"/>
  <c r="R1919" i="5"/>
  <c r="S1918" i="5"/>
  <c r="R1918" i="5"/>
  <c r="S1917" i="5"/>
  <c r="R1917" i="5"/>
  <c r="S1916" i="5"/>
  <c r="R1916" i="5"/>
  <c r="S1915" i="5"/>
  <c r="R1915" i="5"/>
  <c r="S1914" i="5"/>
  <c r="R1914" i="5"/>
  <c r="W1913" i="5"/>
  <c r="V1913" i="5"/>
  <c r="U1913" i="5"/>
  <c r="T1913" i="5"/>
  <c r="X1913" i="5" s="1"/>
  <c r="S1913" i="5"/>
  <c r="R1913" i="5"/>
  <c r="S1912" i="5"/>
  <c r="R1912" i="5"/>
  <c r="S1911" i="5"/>
  <c r="R1911" i="5"/>
  <c r="S1910" i="5"/>
  <c r="R1910" i="5"/>
  <c r="S1909" i="5"/>
  <c r="R1909" i="5"/>
  <c r="S1908" i="5"/>
  <c r="R1908" i="5"/>
  <c r="W1907" i="5"/>
  <c r="V1907" i="5"/>
  <c r="U1907" i="5"/>
  <c r="T1907" i="5"/>
  <c r="X1907" i="5" s="1"/>
  <c r="S1907" i="5"/>
  <c r="R1907" i="5"/>
  <c r="S1906" i="5"/>
  <c r="R1906" i="5"/>
  <c r="S1905" i="5"/>
  <c r="R1905" i="5"/>
  <c r="S1904" i="5"/>
  <c r="R1904" i="5"/>
  <c r="S1903" i="5"/>
  <c r="R1903" i="5"/>
  <c r="S1902" i="5"/>
  <c r="R1902" i="5"/>
  <c r="W1901" i="5"/>
  <c r="W1937" i="5" s="1"/>
  <c r="V1901" i="5"/>
  <c r="V1937" i="5" s="1"/>
  <c r="U1901" i="5"/>
  <c r="U1937" i="5" s="1"/>
  <c r="T1901" i="5"/>
  <c r="S1901" i="5"/>
  <c r="R1901" i="5"/>
  <c r="S1900" i="5"/>
  <c r="R1900" i="5"/>
  <c r="S1899" i="5"/>
  <c r="R1899" i="5"/>
  <c r="S1898" i="5"/>
  <c r="R1898" i="5"/>
  <c r="S1897" i="5"/>
  <c r="R1897" i="5"/>
  <c r="S1896" i="5"/>
  <c r="R1896" i="5"/>
  <c r="X1893" i="5"/>
  <c r="W1893" i="5"/>
  <c r="V1893" i="5"/>
  <c r="U1893" i="5"/>
  <c r="T1893" i="5"/>
  <c r="S1893" i="5"/>
  <c r="R1893" i="5"/>
  <c r="S1892" i="5"/>
  <c r="R1892" i="5"/>
  <c r="S1891" i="5"/>
  <c r="R1891" i="5"/>
  <c r="S1890" i="5"/>
  <c r="R1890" i="5"/>
  <c r="S1889" i="5"/>
  <c r="R1889" i="5"/>
  <c r="S1888" i="5"/>
  <c r="R1888" i="5"/>
  <c r="S1887" i="5"/>
  <c r="R1887" i="5"/>
  <c r="X1886" i="5"/>
  <c r="W1886" i="5"/>
  <c r="V1886" i="5"/>
  <c r="U1886" i="5"/>
  <c r="T1886" i="5"/>
  <c r="S1886" i="5"/>
  <c r="R1886" i="5"/>
  <c r="S1885" i="5"/>
  <c r="R1885" i="5"/>
  <c r="S1884" i="5"/>
  <c r="R1884" i="5"/>
  <c r="S1883" i="5"/>
  <c r="R1883" i="5"/>
  <c r="S1882" i="5"/>
  <c r="R1882" i="5"/>
  <c r="S1881" i="5"/>
  <c r="R1881" i="5"/>
  <c r="X1880" i="5"/>
  <c r="W1880" i="5"/>
  <c r="V1880" i="5"/>
  <c r="U1880" i="5"/>
  <c r="T1880" i="5"/>
  <c r="S1880" i="5"/>
  <c r="R1880" i="5"/>
  <c r="S1879" i="5"/>
  <c r="R1879" i="5"/>
  <c r="S1878" i="5"/>
  <c r="R1878" i="5"/>
  <c r="S1877" i="5"/>
  <c r="R1877" i="5"/>
  <c r="S1876" i="5"/>
  <c r="R1876" i="5"/>
  <c r="X1875" i="5"/>
  <c r="W1875" i="5"/>
  <c r="W1894" i="5" s="1"/>
  <c r="V1875" i="5"/>
  <c r="U1875" i="5"/>
  <c r="T1875" i="5"/>
  <c r="S1875" i="5"/>
  <c r="R1875" i="5"/>
  <c r="S1874" i="5"/>
  <c r="R1874" i="5"/>
  <c r="S1873" i="5"/>
  <c r="R1873" i="5"/>
  <c r="W1872" i="5"/>
  <c r="V1872" i="5"/>
  <c r="V1894" i="5" s="1"/>
  <c r="U1872" i="5"/>
  <c r="U1894" i="5" s="1"/>
  <c r="T1872" i="5"/>
  <c r="S1872" i="5"/>
  <c r="R1872" i="5"/>
  <c r="S1871" i="5"/>
  <c r="R1871" i="5"/>
  <c r="W1868" i="5"/>
  <c r="V1868" i="5"/>
  <c r="U1868" i="5"/>
  <c r="T1868" i="5"/>
  <c r="X1868" i="5" s="1"/>
  <c r="S1868" i="5"/>
  <c r="R1868" i="5"/>
  <c r="W1867" i="5"/>
  <c r="X1867" i="5" s="1"/>
  <c r="V1867" i="5"/>
  <c r="U1867" i="5"/>
  <c r="T1867" i="5"/>
  <c r="S1867" i="5"/>
  <c r="R1867" i="5"/>
  <c r="W1866" i="5"/>
  <c r="V1866" i="5"/>
  <c r="U1866" i="5"/>
  <c r="T1866" i="5"/>
  <c r="X1866" i="5" s="1"/>
  <c r="S1866" i="5"/>
  <c r="R1866" i="5"/>
  <c r="W1865" i="5"/>
  <c r="V1865" i="5"/>
  <c r="U1865" i="5"/>
  <c r="T1865" i="5"/>
  <c r="S1865" i="5"/>
  <c r="R1865" i="5"/>
  <c r="W1864" i="5"/>
  <c r="V1864" i="5"/>
  <c r="U1864" i="5"/>
  <c r="T1864" i="5"/>
  <c r="X1864" i="5" s="1"/>
  <c r="S1864" i="5"/>
  <c r="R1864" i="5"/>
  <c r="W1863" i="5"/>
  <c r="V1863" i="5"/>
  <c r="U1863" i="5"/>
  <c r="U1869" i="5" s="1"/>
  <c r="T1863" i="5"/>
  <c r="S1863" i="5"/>
  <c r="R1863" i="5"/>
  <c r="W1860" i="5"/>
  <c r="V1860" i="5"/>
  <c r="X1860" i="5" s="1"/>
  <c r="U1860" i="5"/>
  <c r="T1860" i="5"/>
  <c r="S1860" i="5"/>
  <c r="R1860" i="5"/>
  <c r="S1859" i="5"/>
  <c r="R1859" i="5"/>
  <c r="S1858" i="5"/>
  <c r="R1858" i="5"/>
  <c r="S1857" i="5"/>
  <c r="R1857" i="5"/>
  <c r="S1856" i="5"/>
  <c r="R1856" i="5"/>
  <c r="S1855" i="5"/>
  <c r="R1855" i="5"/>
  <c r="S1854" i="5"/>
  <c r="R1854" i="5"/>
  <c r="S1853" i="5"/>
  <c r="R1853" i="5"/>
  <c r="S1852" i="5"/>
  <c r="R1852" i="5"/>
  <c r="S1851" i="5"/>
  <c r="R1851" i="5"/>
  <c r="S1850" i="5"/>
  <c r="R1850" i="5"/>
  <c r="S1849" i="5"/>
  <c r="R1849" i="5"/>
  <c r="S1848" i="5"/>
  <c r="R1848" i="5"/>
  <c r="S1847" i="5"/>
  <c r="R1847" i="5"/>
  <c r="S1846" i="5"/>
  <c r="R1846" i="5"/>
  <c r="S1845" i="5"/>
  <c r="R1845" i="5"/>
  <c r="S1844" i="5"/>
  <c r="R1844" i="5"/>
  <c r="S1843" i="5"/>
  <c r="R1843" i="5"/>
  <c r="S1842" i="5"/>
  <c r="R1842" i="5"/>
  <c r="W1841" i="5"/>
  <c r="V1841" i="5"/>
  <c r="U1841" i="5"/>
  <c r="T1841" i="5"/>
  <c r="X1841" i="5" s="1"/>
  <c r="S1841" i="5"/>
  <c r="R1841" i="5"/>
  <c r="S1840" i="5"/>
  <c r="R1840" i="5"/>
  <c r="S1839" i="5"/>
  <c r="R1839" i="5"/>
  <c r="S1838" i="5"/>
  <c r="R1838" i="5"/>
  <c r="S1837" i="5"/>
  <c r="R1837" i="5"/>
  <c r="S1836" i="5"/>
  <c r="R1836" i="5"/>
  <c r="S1835" i="5"/>
  <c r="R1835" i="5"/>
  <c r="S1834" i="5"/>
  <c r="R1834" i="5"/>
  <c r="S1833" i="5"/>
  <c r="R1833" i="5"/>
  <c r="S1832" i="5"/>
  <c r="R1832" i="5"/>
  <c r="S1831" i="5"/>
  <c r="R1831" i="5"/>
  <c r="S1830" i="5"/>
  <c r="R1830" i="5"/>
  <c r="S1829" i="5"/>
  <c r="R1829" i="5"/>
  <c r="S1828" i="5"/>
  <c r="R1828" i="5"/>
  <c r="S1827" i="5"/>
  <c r="R1827" i="5"/>
  <c r="S1826" i="5"/>
  <c r="R1826" i="5"/>
  <c r="S1825" i="5"/>
  <c r="R1825" i="5"/>
  <c r="S1824" i="5"/>
  <c r="R1824" i="5"/>
  <c r="S1823" i="5"/>
  <c r="R1823" i="5"/>
  <c r="W1822" i="5"/>
  <c r="V1822" i="5"/>
  <c r="U1822" i="5"/>
  <c r="T1822" i="5"/>
  <c r="S1822" i="5"/>
  <c r="R1822" i="5"/>
  <c r="S1821" i="5"/>
  <c r="R1821" i="5"/>
  <c r="S1820" i="5"/>
  <c r="R1820" i="5"/>
  <c r="S1819" i="5"/>
  <c r="R1819" i="5"/>
  <c r="S1818" i="5"/>
  <c r="R1818" i="5"/>
  <c r="S1817" i="5"/>
  <c r="R1817" i="5"/>
  <c r="S1816" i="5"/>
  <c r="R1816" i="5"/>
  <c r="S1815" i="5"/>
  <c r="R1815" i="5"/>
  <c r="S1814" i="5"/>
  <c r="R1814" i="5"/>
  <c r="S1813" i="5"/>
  <c r="R1813" i="5"/>
  <c r="S1812" i="5"/>
  <c r="R1812" i="5"/>
  <c r="S1811" i="5"/>
  <c r="R1811" i="5"/>
  <c r="S1810" i="5"/>
  <c r="R1810" i="5"/>
  <c r="S1809" i="5"/>
  <c r="R1809" i="5"/>
  <c r="S1808" i="5"/>
  <c r="R1808" i="5"/>
  <c r="S1807" i="5"/>
  <c r="R1807" i="5"/>
  <c r="S1806" i="5"/>
  <c r="R1806" i="5"/>
  <c r="S1805" i="5"/>
  <c r="R1805" i="5"/>
  <c r="S1804" i="5"/>
  <c r="R1804" i="5"/>
  <c r="W1803" i="5"/>
  <c r="V1803" i="5"/>
  <c r="U1803" i="5"/>
  <c r="T1803" i="5"/>
  <c r="X1803" i="5" s="1"/>
  <c r="S1803" i="5"/>
  <c r="R1803" i="5"/>
  <c r="S1802" i="5"/>
  <c r="R1802" i="5"/>
  <c r="S1801" i="5"/>
  <c r="R1801" i="5"/>
  <c r="S1800" i="5"/>
  <c r="R1800" i="5"/>
  <c r="S1799" i="5"/>
  <c r="R1799" i="5"/>
  <c r="S1798" i="5"/>
  <c r="R1798" i="5"/>
  <c r="S1797" i="5"/>
  <c r="R1797" i="5"/>
  <c r="S1796" i="5"/>
  <c r="R1796" i="5"/>
  <c r="S1795" i="5"/>
  <c r="R1795" i="5"/>
  <c r="S1794" i="5"/>
  <c r="R1794" i="5"/>
  <c r="S1793" i="5"/>
  <c r="R1793" i="5"/>
  <c r="S1792" i="5"/>
  <c r="R1792" i="5"/>
  <c r="S1791" i="5"/>
  <c r="R1791" i="5"/>
  <c r="S1790" i="5"/>
  <c r="R1790" i="5"/>
  <c r="S1789" i="5"/>
  <c r="R1789" i="5"/>
  <c r="S1788" i="5"/>
  <c r="R1788" i="5"/>
  <c r="S1787" i="5"/>
  <c r="R1787" i="5"/>
  <c r="S1786" i="5"/>
  <c r="R1786" i="5"/>
  <c r="S1785" i="5"/>
  <c r="R1785" i="5"/>
  <c r="W1784" i="5"/>
  <c r="V1784" i="5"/>
  <c r="U1784" i="5"/>
  <c r="T1784" i="5"/>
  <c r="X1784" i="5" s="1"/>
  <c r="S1784" i="5"/>
  <c r="R1784" i="5"/>
  <c r="S1783" i="5"/>
  <c r="R1783" i="5"/>
  <c r="S1782" i="5"/>
  <c r="R1782" i="5"/>
  <c r="S1781" i="5"/>
  <c r="R1781" i="5"/>
  <c r="S1780" i="5"/>
  <c r="R1780" i="5"/>
  <c r="S1779" i="5"/>
  <c r="R1779" i="5"/>
  <c r="S1778" i="5"/>
  <c r="R1778" i="5"/>
  <c r="S1777" i="5"/>
  <c r="R1777" i="5"/>
  <c r="S1776" i="5"/>
  <c r="R1776" i="5"/>
  <c r="S1775" i="5"/>
  <c r="R1775" i="5"/>
  <c r="S1774" i="5"/>
  <c r="R1774" i="5"/>
  <c r="S1773" i="5"/>
  <c r="R1773" i="5"/>
  <c r="S1772" i="5"/>
  <c r="R1772" i="5"/>
  <c r="S1771" i="5"/>
  <c r="R1771" i="5"/>
  <c r="S1770" i="5"/>
  <c r="R1770" i="5"/>
  <c r="S1769" i="5"/>
  <c r="R1769" i="5"/>
  <c r="S1768" i="5"/>
  <c r="R1768" i="5"/>
  <c r="S1767" i="5"/>
  <c r="R1767" i="5"/>
  <c r="S1766" i="5"/>
  <c r="R1766" i="5"/>
  <c r="W1765" i="5"/>
  <c r="V1765" i="5"/>
  <c r="U1765" i="5"/>
  <c r="T1765" i="5"/>
  <c r="S1765" i="5"/>
  <c r="R1765" i="5"/>
  <c r="S1764" i="5"/>
  <c r="R1764" i="5"/>
  <c r="S1763" i="5"/>
  <c r="R1763" i="5"/>
  <c r="S1762" i="5"/>
  <c r="R1762" i="5"/>
  <c r="S1761" i="5"/>
  <c r="R1761" i="5"/>
  <c r="S1760" i="5"/>
  <c r="R1760" i="5"/>
  <c r="S1759" i="5"/>
  <c r="R1759" i="5"/>
  <c r="S1758" i="5"/>
  <c r="R1758" i="5"/>
  <c r="S1757" i="5"/>
  <c r="R1757" i="5"/>
  <c r="S1756" i="5"/>
  <c r="R1756" i="5"/>
  <c r="S1755" i="5"/>
  <c r="R1755" i="5"/>
  <c r="S1754" i="5"/>
  <c r="R1754" i="5"/>
  <c r="S1753" i="5"/>
  <c r="R1753" i="5"/>
  <c r="S1752" i="5"/>
  <c r="R1752" i="5"/>
  <c r="S1751" i="5"/>
  <c r="R1751" i="5"/>
  <c r="S1750" i="5"/>
  <c r="R1750" i="5"/>
  <c r="S1749" i="5"/>
  <c r="R1749" i="5"/>
  <c r="S1748" i="5"/>
  <c r="R1748" i="5"/>
  <c r="S1747" i="5"/>
  <c r="R1747" i="5"/>
  <c r="W1746" i="5"/>
  <c r="V1746" i="5"/>
  <c r="U1746" i="5"/>
  <c r="T1746" i="5"/>
  <c r="T1861" i="5" s="1"/>
  <c r="S1746" i="5"/>
  <c r="R1746" i="5"/>
  <c r="S1745" i="5"/>
  <c r="R1745" i="5"/>
  <c r="S1744" i="5"/>
  <c r="R1744" i="5"/>
  <c r="S1743" i="5"/>
  <c r="R1743" i="5"/>
  <c r="S1742" i="5"/>
  <c r="R1742" i="5"/>
  <c r="S1741" i="5"/>
  <c r="R1741" i="5"/>
  <c r="S1740" i="5"/>
  <c r="R1740" i="5"/>
  <c r="S1739" i="5"/>
  <c r="R1739" i="5"/>
  <c r="S1738" i="5"/>
  <c r="R1738" i="5"/>
  <c r="S1737" i="5"/>
  <c r="R1737" i="5"/>
  <c r="S1736" i="5"/>
  <c r="R1736" i="5"/>
  <c r="S1735" i="5"/>
  <c r="R1735" i="5"/>
  <c r="S1734" i="5"/>
  <c r="R1734" i="5"/>
  <c r="S1733" i="5"/>
  <c r="R1733" i="5"/>
  <c r="S1732" i="5"/>
  <c r="R1732" i="5"/>
  <c r="S1731" i="5"/>
  <c r="R1731" i="5"/>
  <c r="S1730" i="5"/>
  <c r="R1730" i="5"/>
  <c r="S1729" i="5"/>
  <c r="R1729" i="5"/>
  <c r="S1728" i="5"/>
  <c r="R1728" i="5"/>
  <c r="X1725" i="5"/>
  <c r="W1725" i="5"/>
  <c r="V1725" i="5"/>
  <c r="U1725" i="5"/>
  <c r="T1725" i="5"/>
  <c r="S1725" i="5"/>
  <c r="R1725" i="5"/>
  <c r="S1724" i="5"/>
  <c r="R1724" i="5"/>
  <c r="S1723" i="5"/>
  <c r="R1723" i="5"/>
  <c r="S1722" i="5"/>
  <c r="R1722" i="5"/>
  <c r="S1721" i="5"/>
  <c r="R1721" i="5"/>
  <c r="S1720" i="5"/>
  <c r="R1720" i="5"/>
  <c r="S1719" i="5"/>
  <c r="R1719" i="5"/>
  <c r="S1718" i="5"/>
  <c r="R1718" i="5"/>
  <c r="S1717" i="5"/>
  <c r="R1717" i="5"/>
  <c r="S1716" i="5"/>
  <c r="R1716" i="5"/>
  <c r="S1715" i="5"/>
  <c r="R1715" i="5"/>
  <c r="S1714" i="5"/>
  <c r="R1714" i="5"/>
  <c r="S1713" i="5"/>
  <c r="R1713" i="5"/>
  <c r="S1712" i="5"/>
  <c r="R1712" i="5"/>
  <c r="S1711" i="5"/>
  <c r="R1711" i="5"/>
  <c r="S1710" i="5"/>
  <c r="R1710" i="5"/>
  <c r="S1709" i="5"/>
  <c r="R1709" i="5"/>
  <c r="S1708" i="5"/>
  <c r="R1708" i="5"/>
  <c r="S1707" i="5"/>
  <c r="R1707" i="5"/>
  <c r="S1706" i="5"/>
  <c r="R1706" i="5"/>
  <c r="S1705" i="5"/>
  <c r="R1705" i="5"/>
  <c r="S1704" i="5"/>
  <c r="R1704" i="5"/>
  <c r="W1703" i="5"/>
  <c r="V1703" i="5"/>
  <c r="U1703" i="5"/>
  <c r="T1703" i="5"/>
  <c r="S1703" i="5"/>
  <c r="R1703" i="5"/>
  <c r="S1702" i="5"/>
  <c r="R1702" i="5"/>
  <c r="S1701" i="5"/>
  <c r="R1701" i="5"/>
  <c r="S1700" i="5"/>
  <c r="R1700" i="5"/>
  <c r="S1699" i="5"/>
  <c r="R1699" i="5"/>
  <c r="S1698" i="5"/>
  <c r="R1698" i="5"/>
  <c r="S1697" i="5"/>
  <c r="R1697" i="5"/>
  <c r="S1696" i="5"/>
  <c r="R1696" i="5"/>
  <c r="S1695" i="5"/>
  <c r="R1695" i="5"/>
  <c r="S1694" i="5"/>
  <c r="R1694" i="5"/>
  <c r="S1693" i="5"/>
  <c r="R1693" i="5"/>
  <c r="S1692" i="5"/>
  <c r="R1692" i="5"/>
  <c r="S1691" i="5"/>
  <c r="R1691" i="5"/>
  <c r="S1690" i="5"/>
  <c r="R1690" i="5"/>
  <c r="S1689" i="5"/>
  <c r="R1689" i="5"/>
  <c r="S1688" i="5"/>
  <c r="R1688" i="5"/>
  <c r="S1687" i="5"/>
  <c r="R1687" i="5"/>
  <c r="S1686" i="5"/>
  <c r="R1686" i="5"/>
  <c r="W1685" i="5"/>
  <c r="V1685" i="5"/>
  <c r="U1685" i="5"/>
  <c r="T1685" i="5"/>
  <c r="X1685" i="5" s="1"/>
  <c r="S1685" i="5"/>
  <c r="R1685" i="5"/>
  <c r="S1684" i="5"/>
  <c r="R1684" i="5"/>
  <c r="S1683" i="5"/>
  <c r="R1683" i="5"/>
  <c r="S1682" i="5"/>
  <c r="R1682" i="5"/>
  <c r="S1681" i="5"/>
  <c r="R1681" i="5"/>
  <c r="S1680" i="5"/>
  <c r="R1680" i="5"/>
  <c r="S1679" i="5"/>
  <c r="R1679" i="5"/>
  <c r="S1678" i="5"/>
  <c r="R1678" i="5"/>
  <c r="S1677" i="5"/>
  <c r="R1677" i="5"/>
  <c r="S1676" i="5"/>
  <c r="R1676" i="5"/>
  <c r="S1675" i="5"/>
  <c r="R1675" i="5"/>
  <c r="S1674" i="5"/>
  <c r="R1674" i="5"/>
  <c r="S1673" i="5"/>
  <c r="R1673" i="5"/>
  <c r="S1672" i="5"/>
  <c r="R1672" i="5"/>
  <c r="S1671" i="5"/>
  <c r="R1671" i="5"/>
  <c r="S1670" i="5"/>
  <c r="R1670" i="5"/>
  <c r="S1669" i="5"/>
  <c r="R1669" i="5"/>
  <c r="S1668" i="5"/>
  <c r="R1668" i="5"/>
  <c r="S1667" i="5"/>
  <c r="R1667" i="5"/>
  <c r="S1666" i="5"/>
  <c r="R1666" i="5"/>
  <c r="S1665" i="5"/>
  <c r="R1665" i="5"/>
  <c r="S1664" i="5"/>
  <c r="R1664" i="5"/>
  <c r="S1663" i="5"/>
  <c r="R1663" i="5"/>
  <c r="W1662" i="5"/>
  <c r="V1662" i="5"/>
  <c r="U1662" i="5"/>
  <c r="U1726" i="5" s="1"/>
  <c r="T1662" i="5"/>
  <c r="X1662" i="5" s="1"/>
  <c r="S1662" i="5"/>
  <c r="R1662" i="5"/>
  <c r="S1661" i="5"/>
  <c r="R1661" i="5"/>
  <c r="S1660" i="5"/>
  <c r="R1660" i="5"/>
  <c r="S1659" i="5"/>
  <c r="R1659" i="5"/>
  <c r="S1658" i="5"/>
  <c r="R1658" i="5"/>
  <c r="S1657" i="5"/>
  <c r="R1657" i="5"/>
  <c r="S1656" i="5"/>
  <c r="R1656" i="5"/>
  <c r="S1655" i="5"/>
  <c r="R1655" i="5"/>
  <c r="S1654" i="5"/>
  <c r="R1654" i="5"/>
  <c r="S1653" i="5"/>
  <c r="R1653" i="5"/>
  <c r="S1652" i="5"/>
  <c r="R1652" i="5"/>
  <c r="S1651" i="5"/>
  <c r="R1651" i="5"/>
  <c r="S1650" i="5"/>
  <c r="R1650" i="5"/>
  <c r="S1649" i="5"/>
  <c r="R1649" i="5"/>
  <c r="S1648" i="5"/>
  <c r="R1648" i="5"/>
  <c r="S1647" i="5"/>
  <c r="R1647" i="5"/>
  <c r="S1646" i="5"/>
  <c r="R1646" i="5"/>
  <c r="S1645" i="5"/>
  <c r="R1645" i="5"/>
  <c r="S1644" i="5"/>
  <c r="R1644" i="5"/>
  <c r="S1643" i="5"/>
  <c r="R1643" i="5"/>
  <c r="W1642" i="5"/>
  <c r="V1642" i="5"/>
  <c r="U1642" i="5"/>
  <c r="T1642" i="5"/>
  <c r="X1642" i="5" s="1"/>
  <c r="S1642" i="5"/>
  <c r="R1642" i="5"/>
  <c r="S1641" i="5"/>
  <c r="R1641" i="5"/>
  <c r="S1640" i="5"/>
  <c r="R1640" i="5"/>
  <c r="S1639" i="5"/>
  <c r="R1639" i="5"/>
  <c r="S1638" i="5"/>
  <c r="R1638" i="5"/>
  <c r="S1637" i="5"/>
  <c r="R1637" i="5"/>
  <c r="S1636" i="5"/>
  <c r="R1636" i="5"/>
  <c r="S1635" i="5"/>
  <c r="R1635" i="5"/>
  <c r="S1634" i="5"/>
  <c r="R1634" i="5"/>
  <c r="S1633" i="5"/>
  <c r="R1633" i="5"/>
  <c r="S1632" i="5"/>
  <c r="R1632" i="5"/>
  <c r="S1631" i="5"/>
  <c r="R1631" i="5"/>
  <c r="S1630" i="5"/>
  <c r="R1630" i="5"/>
  <c r="S1629" i="5"/>
  <c r="R1629" i="5"/>
  <c r="S1628" i="5"/>
  <c r="R1628" i="5"/>
  <c r="S1627" i="5"/>
  <c r="R1627" i="5"/>
  <c r="S1626" i="5"/>
  <c r="R1626" i="5"/>
  <c r="S1625" i="5"/>
  <c r="R1625" i="5"/>
  <c r="S1624" i="5"/>
  <c r="R1624" i="5"/>
  <c r="W1623" i="5"/>
  <c r="W1726" i="5" s="1"/>
  <c r="V1623" i="5"/>
  <c r="U1623" i="5"/>
  <c r="T1623" i="5"/>
  <c r="S1623" i="5"/>
  <c r="R1623" i="5"/>
  <c r="S1622" i="5"/>
  <c r="R1622" i="5"/>
  <c r="S1621" i="5"/>
  <c r="R1621" i="5"/>
  <c r="S1620" i="5"/>
  <c r="R1620" i="5"/>
  <c r="S1619" i="5"/>
  <c r="R1619" i="5"/>
  <c r="S1618" i="5"/>
  <c r="R1618" i="5"/>
  <c r="S1617" i="5"/>
  <c r="R1617" i="5"/>
  <c r="S1616" i="5"/>
  <c r="R1616" i="5"/>
  <c r="S1615" i="5"/>
  <c r="R1615" i="5"/>
  <c r="S1614" i="5"/>
  <c r="R1614" i="5"/>
  <c r="S1613" i="5"/>
  <c r="R1613" i="5"/>
  <c r="S1612" i="5"/>
  <c r="R1612" i="5"/>
  <c r="S1611" i="5"/>
  <c r="R1611" i="5"/>
  <c r="S1610" i="5"/>
  <c r="R1610" i="5"/>
  <c r="S1609" i="5"/>
  <c r="R1609" i="5"/>
  <c r="S1608" i="5"/>
  <c r="R1608" i="5"/>
  <c r="S1607" i="5"/>
  <c r="R1607" i="5"/>
  <c r="T1605" i="5"/>
  <c r="W1604" i="5"/>
  <c r="V1604" i="5"/>
  <c r="U1604" i="5"/>
  <c r="T1604" i="5"/>
  <c r="S1604" i="5"/>
  <c r="R1604" i="5"/>
  <c r="S1603" i="5"/>
  <c r="R1603" i="5"/>
  <c r="S1602" i="5"/>
  <c r="R1602" i="5"/>
  <c r="W1601" i="5"/>
  <c r="V1601" i="5"/>
  <c r="U1601" i="5"/>
  <c r="T1601" i="5"/>
  <c r="X1601" i="5" s="1"/>
  <c r="S1601" i="5"/>
  <c r="R1601" i="5"/>
  <c r="S1600" i="5"/>
  <c r="R1600" i="5"/>
  <c r="S1599" i="5"/>
  <c r="R1599" i="5"/>
  <c r="X1598" i="5"/>
  <c r="W1598" i="5"/>
  <c r="V1598" i="5"/>
  <c r="U1598" i="5"/>
  <c r="T1598" i="5"/>
  <c r="S1598" i="5"/>
  <c r="R1598" i="5"/>
  <c r="S1597" i="5"/>
  <c r="R1597" i="5"/>
  <c r="W1596" i="5"/>
  <c r="W1605" i="5" s="1"/>
  <c r="V1596" i="5"/>
  <c r="U1596" i="5"/>
  <c r="U1605" i="5" s="1"/>
  <c r="T1596" i="5"/>
  <c r="S1596" i="5"/>
  <c r="R1596" i="5"/>
  <c r="S1595" i="5"/>
  <c r="R1595" i="5"/>
  <c r="W1594" i="5"/>
  <c r="V1594" i="5"/>
  <c r="U1594" i="5"/>
  <c r="T1594" i="5"/>
  <c r="X1594" i="5" s="1"/>
  <c r="S1594" i="5"/>
  <c r="R1594" i="5"/>
  <c r="S1593" i="5"/>
  <c r="R1593" i="5"/>
  <c r="W1591" i="5"/>
  <c r="T1591" i="5"/>
  <c r="X1590" i="5"/>
  <c r="W1590" i="5"/>
  <c r="V1590" i="5"/>
  <c r="U1590" i="5"/>
  <c r="T1590" i="5"/>
  <c r="S1590" i="5"/>
  <c r="R1590" i="5"/>
  <c r="S1589" i="5"/>
  <c r="R1589" i="5"/>
  <c r="S1588" i="5"/>
  <c r="R1588" i="5"/>
  <c r="S1587" i="5"/>
  <c r="R1587" i="5"/>
  <c r="S1586" i="5"/>
  <c r="R1586" i="5"/>
  <c r="S1585" i="5"/>
  <c r="R1585" i="5"/>
  <c r="S1584" i="5"/>
  <c r="R1584" i="5"/>
  <c r="S1583" i="5"/>
  <c r="R1583" i="5"/>
  <c r="W1582" i="5"/>
  <c r="V1582" i="5"/>
  <c r="U1582" i="5"/>
  <c r="T1582" i="5"/>
  <c r="X1582" i="5" s="1"/>
  <c r="S1582" i="5"/>
  <c r="R1582" i="5"/>
  <c r="S1581" i="5"/>
  <c r="R1581" i="5"/>
  <c r="S1580" i="5"/>
  <c r="R1580" i="5"/>
  <c r="S1579" i="5"/>
  <c r="R1579" i="5"/>
  <c r="S1578" i="5"/>
  <c r="R1578" i="5"/>
  <c r="S1577" i="5"/>
  <c r="R1577" i="5"/>
  <c r="S1576" i="5"/>
  <c r="R1576" i="5"/>
  <c r="S1575" i="5"/>
  <c r="R1575" i="5"/>
  <c r="W1574" i="5"/>
  <c r="V1574" i="5"/>
  <c r="U1574" i="5"/>
  <c r="T1574" i="5"/>
  <c r="S1574" i="5"/>
  <c r="R1574" i="5"/>
  <c r="S1573" i="5"/>
  <c r="R1573" i="5"/>
  <c r="S1572" i="5"/>
  <c r="R1572" i="5"/>
  <c r="S1571" i="5"/>
  <c r="R1571" i="5"/>
  <c r="S1570" i="5"/>
  <c r="R1570" i="5"/>
  <c r="S1569" i="5"/>
  <c r="R1569" i="5"/>
  <c r="S1568" i="5"/>
  <c r="R1568" i="5"/>
  <c r="W1567" i="5"/>
  <c r="V1567" i="5"/>
  <c r="U1567" i="5"/>
  <c r="X1567" i="5" s="1"/>
  <c r="T1567" i="5"/>
  <c r="S1567" i="5"/>
  <c r="R1567" i="5"/>
  <c r="S1566" i="5"/>
  <c r="R1566" i="5"/>
  <c r="S1565" i="5"/>
  <c r="R1565" i="5"/>
  <c r="S1564" i="5"/>
  <c r="R1564" i="5"/>
  <c r="S1563" i="5"/>
  <c r="R1563" i="5"/>
  <c r="S1562" i="5"/>
  <c r="R1562" i="5"/>
  <c r="S1561" i="5"/>
  <c r="R1561" i="5"/>
  <c r="X1560" i="5"/>
  <c r="W1560" i="5"/>
  <c r="V1560" i="5"/>
  <c r="U1560" i="5"/>
  <c r="T1560" i="5"/>
  <c r="S1560" i="5"/>
  <c r="R1560" i="5"/>
  <c r="S1559" i="5"/>
  <c r="R1559" i="5"/>
  <c r="S1558" i="5"/>
  <c r="R1558" i="5"/>
  <c r="S1557" i="5"/>
  <c r="R1557" i="5"/>
  <c r="S1556" i="5"/>
  <c r="R1556" i="5"/>
  <c r="S1555" i="5"/>
  <c r="R1555" i="5"/>
  <c r="S1554" i="5"/>
  <c r="R1554" i="5"/>
  <c r="W1553" i="5"/>
  <c r="V1553" i="5"/>
  <c r="U1553" i="5"/>
  <c r="T1553" i="5"/>
  <c r="X1553" i="5" s="1"/>
  <c r="S1553" i="5"/>
  <c r="R1553" i="5"/>
  <c r="S1552" i="5"/>
  <c r="R1552" i="5"/>
  <c r="S1551" i="5"/>
  <c r="R1551" i="5"/>
  <c r="S1550" i="5"/>
  <c r="R1550" i="5"/>
  <c r="S1549" i="5"/>
  <c r="R1549" i="5"/>
  <c r="S1548" i="5"/>
  <c r="R1548" i="5"/>
  <c r="S1547" i="5"/>
  <c r="R1547" i="5"/>
  <c r="W1546" i="5"/>
  <c r="V1546" i="5"/>
  <c r="V1591" i="5" s="1"/>
  <c r="U1546" i="5"/>
  <c r="U1591" i="5" s="1"/>
  <c r="T1546" i="5"/>
  <c r="S1546" i="5"/>
  <c r="R1546" i="5"/>
  <c r="S1545" i="5"/>
  <c r="R1545" i="5"/>
  <c r="S1544" i="5"/>
  <c r="R1544" i="5"/>
  <c r="S1543" i="5"/>
  <c r="R1543" i="5"/>
  <c r="S1542" i="5"/>
  <c r="R1542" i="5"/>
  <c r="S1541" i="5"/>
  <c r="R1541" i="5"/>
  <c r="S1540" i="5"/>
  <c r="R1540" i="5"/>
  <c r="U1538" i="5"/>
  <c r="W1537" i="5"/>
  <c r="V1537" i="5"/>
  <c r="U1537" i="5"/>
  <c r="T1537" i="5"/>
  <c r="S1537" i="5"/>
  <c r="R1537" i="5"/>
  <c r="S1536" i="5"/>
  <c r="R1536" i="5"/>
  <c r="S1535" i="5"/>
  <c r="R1535" i="5"/>
  <c r="S1534" i="5"/>
  <c r="R1534" i="5"/>
  <c r="S1533" i="5"/>
  <c r="R1533" i="5"/>
  <c r="S1532" i="5"/>
  <c r="R1532" i="5"/>
  <c r="S1531" i="5"/>
  <c r="R1531" i="5"/>
  <c r="S1530" i="5"/>
  <c r="R1530" i="5"/>
  <c r="S1529" i="5"/>
  <c r="R1529" i="5"/>
  <c r="S1528" i="5"/>
  <c r="R1528" i="5"/>
  <c r="S1527" i="5"/>
  <c r="R1527" i="5"/>
  <c r="S1526" i="5"/>
  <c r="R1526" i="5"/>
  <c r="S1525" i="5"/>
  <c r="R1525" i="5"/>
  <c r="S1524" i="5"/>
  <c r="R1524" i="5"/>
  <c r="S1523" i="5"/>
  <c r="R1523" i="5"/>
  <c r="S1522" i="5"/>
  <c r="R1522" i="5"/>
  <c r="S1521" i="5"/>
  <c r="R1521" i="5"/>
  <c r="S1520" i="5"/>
  <c r="R1520" i="5"/>
  <c r="S1519" i="5"/>
  <c r="R1519" i="5"/>
  <c r="S1518" i="5"/>
  <c r="R1518" i="5"/>
  <c r="S1517" i="5"/>
  <c r="R1517" i="5"/>
  <c r="S1516" i="5"/>
  <c r="R1516" i="5"/>
  <c r="S1515" i="5"/>
  <c r="R1515" i="5"/>
  <c r="S1514" i="5"/>
  <c r="R1514" i="5"/>
  <c r="S1513" i="5"/>
  <c r="R1513" i="5"/>
  <c r="S1512" i="5"/>
  <c r="R1512" i="5"/>
  <c r="W1511" i="5"/>
  <c r="V1511" i="5"/>
  <c r="U1511" i="5"/>
  <c r="T1511" i="5"/>
  <c r="S1511" i="5"/>
  <c r="R1511" i="5"/>
  <c r="S1510" i="5"/>
  <c r="R1510" i="5"/>
  <c r="S1509" i="5"/>
  <c r="R1509" i="5"/>
  <c r="S1508" i="5"/>
  <c r="R1508" i="5"/>
  <c r="S1507" i="5"/>
  <c r="R1507" i="5"/>
  <c r="S1506" i="5"/>
  <c r="R1506" i="5"/>
  <c r="S1505" i="5"/>
  <c r="R1505" i="5"/>
  <c r="S1504" i="5"/>
  <c r="R1504" i="5"/>
  <c r="S1503" i="5"/>
  <c r="R1503" i="5"/>
  <c r="S1501" i="5"/>
  <c r="R1501" i="5"/>
  <c r="S1500" i="5"/>
  <c r="R1500" i="5"/>
  <c r="S1499" i="5"/>
  <c r="R1499" i="5"/>
  <c r="S1498" i="5"/>
  <c r="R1498" i="5"/>
  <c r="S1497" i="5"/>
  <c r="R1497" i="5"/>
  <c r="S1496" i="5"/>
  <c r="R1496" i="5"/>
  <c r="S1495" i="5"/>
  <c r="R1495" i="5"/>
  <c r="S1494" i="5"/>
  <c r="R1494" i="5"/>
  <c r="S1493" i="5"/>
  <c r="R1493" i="5"/>
  <c r="S1492" i="5"/>
  <c r="R1492" i="5"/>
  <c r="S1491" i="5"/>
  <c r="R1491" i="5"/>
  <c r="S1490" i="5"/>
  <c r="R1490" i="5"/>
  <c r="S1489" i="5"/>
  <c r="R1489" i="5"/>
  <c r="S1488" i="5"/>
  <c r="R1488" i="5"/>
  <c r="S1487" i="5"/>
  <c r="S1486" i="5"/>
  <c r="S1485" i="5"/>
  <c r="R1485" i="5"/>
  <c r="W1484" i="5"/>
  <c r="V1484" i="5"/>
  <c r="U1484" i="5"/>
  <c r="T1484" i="5"/>
  <c r="S1484" i="5"/>
  <c r="R1484" i="5"/>
  <c r="S1483" i="5"/>
  <c r="R1483" i="5"/>
  <c r="S1482" i="5"/>
  <c r="R1482" i="5"/>
  <c r="S1481" i="5"/>
  <c r="R1481" i="5"/>
  <c r="S1480" i="5"/>
  <c r="R1480" i="5"/>
  <c r="S1479" i="5"/>
  <c r="R1479" i="5"/>
  <c r="S1478" i="5"/>
  <c r="R1478" i="5"/>
  <c r="S1477" i="5"/>
  <c r="R1477" i="5"/>
  <c r="S1476" i="5"/>
  <c r="R1476" i="5"/>
  <c r="S1475" i="5"/>
  <c r="R1475" i="5"/>
  <c r="S1474" i="5"/>
  <c r="R1474" i="5"/>
  <c r="S1473" i="5"/>
  <c r="R1473" i="5"/>
  <c r="S1472" i="5"/>
  <c r="R1472" i="5"/>
  <c r="S1471" i="5"/>
  <c r="R1471" i="5"/>
  <c r="S1470" i="5"/>
  <c r="R1470" i="5"/>
  <c r="S1469" i="5"/>
  <c r="R1469" i="5"/>
  <c r="S1468" i="5"/>
  <c r="R1468" i="5"/>
  <c r="S1467" i="5"/>
  <c r="R1467" i="5"/>
  <c r="S1466" i="5"/>
  <c r="R1466" i="5"/>
  <c r="S1465" i="5"/>
  <c r="R1465" i="5"/>
  <c r="S1464" i="5"/>
  <c r="R1464" i="5"/>
  <c r="S1463" i="5"/>
  <c r="R1463" i="5"/>
  <c r="S1462" i="5"/>
  <c r="R1462" i="5"/>
  <c r="S1461" i="5"/>
  <c r="R1461" i="5"/>
  <c r="S1460" i="5"/>
  <c r="R1460" i="5"/>
  <c r="S1458" i="5"/>
  <c r="R1458" i="5"/>
  <c r="S1457" i="5"/>
  <c r="R1457" i="5"/>
  <c r="X1456" i="5"/>
  <c r="W1456" i="5"/>
  <c r="V1456" i="5"/>
  <c r="U1456" i="5"/>
  <c r="T1456" i="5"/>
  <c r="S1456" i="5"/>
  <c r="R1456" i="5"/>
  <c r="S1455" i="5"/>
  <c r="R1455" i="5"/>
  <c r="S1454" i="5"/>
  <c r="R1454" i="5"/>
  <c r="S1453" i="5"/>
  <c r="R1453" i="5"/>
  <c r="S1452" i="5"/>
  <c r="R1452" i="5"/>
  <c r="S1451" i="5"/>
  <c r="R1451" i="5"/>
  <c r="S1450" i="5"/>
  <c r="R1450" i="5"/>
  <c r="S1449" i="5"/>
  <c r="R1449" i="5"/>
  <c r="S1448" i="5"/>
  <c r="R1448" i="5"/>
  <c r="S1447" i="5"/>
  <c r="R1447" i="5"/>
  <c r="S1446" i="5"/>
  <c r="R1446" i="5"/>
  <c r="S1445" i="5"/>
  <c r="R1445" i="5"/>
  <c r="S1444" i="5"/>
  <c r="R1444" i="5"/>
  <c r="S1443" i="5"/>
  <c r="R1443" i="5"/>
  <c r="S1442" i="5"/>
  <c r="R1442" i="5"/>
  <c r="S1441" i="5"/>
  <c r="R1441" i="5"/>
  <c r="S1440" i="5"/>
  <c r="R1440" i="5"/>
  <c r="S1439" i="5"/>
  <c r="R1439" i="5"/>
  <c r="S1438" i="5"/>
  <c r="R1438" i="5"/>
  <c r="S1437" i="5"/>
  <c r="R1437" i="5"/>
  <c r="S1436" i="5"/>
  <c r="R1436" i="5"/>
  <c r="W1435" i="5"/>
  <c r="V1435" i="5"/>
  <c r="U1435" i="5"/>
  <c r="T1435" i="5"/>
  <c r="X1435" i="5" s="1"/>
  <c r="S1435" i="5"/>
  <c r="R1435" i="5"/>
  <c r="S1434" i="5"/>
  <c r="R1434" i="5"/>
  <c r="S1433" i="5"/>
  <c r="R1433" i="5"/>
  <c r="S1432" i="5"/>
  <c r="R1432" i="5"/>
  <c r="S1431" i="5"/>
  <c r="R1431" i="5"/>
  <c r="S1430" i="5"/>
  <c r="R1430" i="5"/>
  <c r="S1429" i="5"/>
  <c r="R1429" i="5"/>
  <c r="S1428" i="5"/>
  <c r="R1428" i="5"/>
  <c r="S1427" i="5"/>
  <c r="R1427" i="5"/>
  <c r="S1426" i="5"/>
  <c r="R1426" i="5"/>
  <c r="S1425" i="5"/>
  <c r="R1425" i="5"/>
  <c r="S1424" i="5"/>
  <c r="R1424" i="5"/>
  <c r="S1423" i="5"/>
  <c r="R1423" i="5"/>
  <c r="S1422" i="5"/>
  <c r="R1422" i="5"/>
  <c r="S1421" i="5"/>
  <c r="R1421" i="5"/>
  <c r="S1420" i="5"/>
  <c r="R1420" i="5"/>
  <c r="S1419" i="5"/>
  <c r="R1419" i="5"/>
  <c r="S1418" i="5"/>
  <c r="R1418" i="5"/>
  <c r="S1417" i="5"/>
  <c r="R1417" i="5"/>
  <c r="S1416" i="5"/>
  <c r="R1416" i="5"/>
  <c r="W1415" i="5"/>
  <c r="V1415" i="5"/>
  <c r="U1415" i="5"/>
  <c r="T1415" i="5"/>
  <c r="S1415" i="5"/>
  <c r="R1415" i="5"/>
  <c r="S1414" i="5"/>
  <c r="R1414" i="5"/>
  <c r="S1413" i="5"/>
  <c r="R1413" i="5"/>
  <c r="S1412" i="5"/>
  <c r="R1412" i="5"/>
  <c r="S1411" i="5"/>
  <c r="R1411" i="5"/>
  <c r="S1410" i="5"/>
  <c r="R1410" i="5"/>
  <c r="S1409" i="5"/>
  <c r="R1409" i="5"/>
  <c r="S1408" i="5"/>
  <c r="R1408" i="5"/>
  <c r="S1407" i="5"/>
  <c r="R1407" i="5"/>
  <c r="S1406" i="5"/>
  <c r="R1406" i="5"/>
  <c r="S1405" i="5"/>
  <c r="R1405" i="5"/>
  <c r="S1404" i="5"/>
  <c r="R1404" i="5"/>
  <c r="S1403" i="5"/>
  <c r="R1403" i="5"/>
  <c r="S1402" i="5"/>
  <c r="R1402" i="5"/>
  <c r="S1401" i="5"/>
  <c r="R1401" i="5"/>
  <c r="S1400" i="5"/>
  <c r="R1400" i="5"/>
  <c r="S1399" i="5"/>
  <c r="R1399" i="5"/>
  <c r="S1398" i="5"/>
  <c r="R1398" i="5"/>
  <c r="S1397" i="5"/>
  <c r="R1397" i="5"/>
  <c r="S1396" i="5"/>
  <c r="R1396" i="5"/>
  <c r="S1395" i="5"/>
  <c r="R1395" i="5"/>
  <c r="V1393" i="5"/>
  <c r="T1393" i="5"/>
  <c r="X1392" i="5"/>
  <c r="W1392" i="5"/>
  <c r="V1392" i="5"/>
  <c r="U1392" i="5"/>
  <c r="T1392" i="5"/>
  <c r="S1392" i="5"/>
  <c r="R1392" i="5"/>
  <c r="S1391" i="5"/>
  <c r="R1391" i="5"/>
  <c r="W1390" i="5"/>
  <c r="V1390" i="5"/>
  <c r="U1390" i="5"/>
  <c r="T1390" i="5"/>
  <c r="X1390" i="5" s="1"/>
  <c r="S1390" i="5"/>
  <c r="R1390" i="5"/>
  <c r="X1389" i="5"/>
  <c r="W1389" i="5"/>
  <c r="W1393" i="5" s="1"/>
  <c r="V1389" i="5"/>
  <c r="U1389" i="5"/>
  <c r="T1389" i="5"/>
  <c r="S1389" i="5"/>
  <c r="R1389" i="5"/>
  <c r="X1388" i="5"/>
  <c r="W1388" i="5"/>
  <c r="V1388" i="5"/>
  <c r="U1388" i="5"/>
  <c r="T1388" i="5"/>
  <c r="S1388" i="5"/>
  <c r="R1388" i="5"/>
  <c r="V1386" i="5"/>
  <c r="X1385" i="5"/>
  <c r="W1385" i="5"/>
  <c r="V1385" i="5"/>
  <c r="U1385" i="5"/>
  <c r="U1386" i="5" s="1"/>
  <c r="T1385" i="5"/>
  <c r="S1385" i="5"/>
  <c r="R1385" i="5"/>
  <c r="S1384" i="5"/>
  <c r="R1384" i="5"/>
  <c r="S1383" i="5"/>
  <c r="R1383" i="5"/>
  <c r="S1382" i="5"/>
  <c r="R1382" i="5"/>
  <c r="S1381" i="5"/>
  <c r="R1381" i="5"/>
  <c r="S1380" i="5"/>
  <c r="R1380" i="5"/>
  <c r="S1379" i="5"/>
  <c r="R1379" i="5"/>
  <c r="X1378" i="5"/>
  <c r="W1378" i="5"/>
  <c r="W1386" i="5" s="1"/>
  <c r="V1378" i="5"/>
  <c r="U1378" i="5"/>
  <c r="T1378" i="5"/>
  <c r="S1378" i="5"/>
  <c r="R1378" i="5"/>
  <c r="S1377" i="5"/>
  <c r="R1377" i="5"/>
  <c r="S1376" i="5"/>
  <c r="R1376" i="5"/>
  <c r="S1375" i="5"/>
  <c r="R1375" i="5"/>
  <c r="S1374" i="5"/>
  <c r="R1374" i="5"/>
  <c r="S1373" i="5"/>
  <c r="R1373" i="5"/>
  <c r="X1372" i="5"/>
  <c r="W1372" i="5"/>
  <c r="V1372" i="5"/>
  <c r="U1372" i="5"/>
  <c r="T1372" i="5"/>
  <c r="S1372" i="5"/>
  <c r="R1372" i="5"/>
  <c r="S1371" i="5"/>
  <c r="R1371" i="5"/>
  <c r="S1370" i="5"/>
  <c r="R1370" i="5"/>
  <c r="S1369" i="5"/>
  <c r="R1369" i="5"/>
  <c r="S1368" i="5"/>
  <c r="R1368" i="5"/>
  <c r="S1367" i="5"/>
  <c r="R1367" i="5"/>
  <c r="S1366" i="5"/>
  <c r="R1366" i="5"/>
  <c r="W1365" i="5"/>
  <c r="V1365" i="5"/>
  <c r="U1365" i="5"/>
  <c r="T1365" i="5"/>
  <c r="X1365" i="5" s="1"/>
  <c r="S1365" i="5"/>
  <c r="R1365" i="5"/>
  <c r="S1364" i="5"/>
  <c r="R1364" i="5"/>
  <c r="S1363" i="5"/>
  <c r="R1363" i="5"/>
  <c r="S1362" i="5"/>
  <c r="R1362" i="5"/>
  <c r="S1361" i="5"/>
  <c r="R1361" i="5"/>
  <c r="W1360" i="5"/>
  <c r="V1360" i="5"/>
  <c r="U1360" i="5"/>
  <c r="T1360" i="5"/>
  <c r="X1360" i="5" s="1"/>
  <c r="S1360" i="5"/>
  <c r="R1360" i="5"/>
  <c r="S1359" i="5"/>
  <c r="R1359" i="5"/>
  <c r="S1358" i="5"/>
  <c r="R1358" i="5"/>
  <c r="S1357" i="5"/>
  <c r="R1357" i="5"/>
  <c r="S1356" i="5"/>
  <c r="R1356" i="5"/>
  <c r="W1355" i="5"/>
  <c r="V1355" i="5"/>
  <c r="U1355" i="5"/>
  <c r="T1355" i="5"/>
  <c r="X1355" i="5" s="1"/>
  <c r="S1355" i="5"/>
  <c r="R1355" i="5"/>
  <c r="S1354" i="5"/>
  <c r="R1354" i="5"/>
  <c r="S1353" i="5"/>
  <c r="R1353" i="5"/>
  <c r="S1352" i="5"/>
  <c r="R1352" i="5"/>
  <c r="S1351" i="5"/>
  <c r="R1351" i="5"/>
  <c r="X1350" i="5"/>
  <c r="W1350" i="5"/>
  <c r="V1350" i="5"/>
  <c r="U1350" i="5"/>
  <c r="T1350" i="5"/>
  <c r="T1386" i="5" s="1"/>
  <c r="S1350" i="5"/>
  <c r="R1350" i="5"/>
  <c r="S1349" i="5"/>
  <c r="R1349" i="5"/>
  <c r="S1348" i="5"/>
  <c r="R1348" i="5"/>
  <c r="S1347" i="5"/>
  <c r="R1347" i="5"/>
  <c r="S1346" i="5"/>
  <c r="R1346" i="5"/>
  <c r="S1345" i="5"/>
  <c r="R1345" i="5"/>
  <c r="W1342" i="5"/>
  <c r="V1342" i="5"/>
  <c r="U1342" i="5"/>
  <c r="T1342" i="5"/>
  <c r="X1342" i="5" s="1"/>
  <c r="S1342" i="5"/>
  <c r="R1342" i="5"/>
  <c r="S1341" i="5"/>
  <c r="R1341" i="5"/>
  <c r="S1340" i="5"/>
  <c r="R1340" i="5"/>
  <c r="S1339" i="5"/>
  <c r="R1339" i="5"/>
  <c r="S1338" i="5"/>
  <c r="R1338" i="5"/>
  <c r="S1337" i="5"/>
  <c r="R1337" i="5"/>
  <c r="S1336" i="5"/>
  <c r="R1336" i="5"/>
  <c r="S1335" i="5"/>
  <c r="R1335" i="5"/>
  <c r="S1334" i="5"/>
  <c r="R1334" i="5"/>
  <c r="S1333" i="5"/>
  <c r="R1333" i="5"/>
  <c r="S1332" i="5"/>
  <c r="R1332" i="5"/>
  <c r="S1331" i="5"/>
  <c r="R1331" i="5"/>
  <c r="S1330" i="5"/>
  <c r="R1330" i="5"/>
  <c r="S1329" i="5"/>
  <c r="R1329" i="5"/>
  <c r="S1328" i="5"/>
  <c r="R1328" i="5"/>
  <c r="S1327" i="5"/>
  <c r="R1327" i="5"/>
  <c r="S1326" i="5"/>
  <c r="R1326" i="5"/>
  <c r="S1325" i="5"/>
  <c r="R1325" i="5"/>
  <c r="S1324" i="5"/>
  <c r="R1324" i="5"/>
  <c r="S1323" i="5"/>
  <c r="R1323" i="5"/>
  <c r="S1322" i="5"/>
  <c r="R1322" i="5"/>
  <c r="S1321" i="5"/>
  <c r="R1321" i="5"/>
  <c r="S1320" i="5"/>
  <c r="R1320" i="5"/>
  <c r="S1319" i="5"/>
  <c r="R1319" i="5"/>
  <c r="S1318" i="5"/>
  <c r="R1318" i="5"/>
  <c r="S1317" i="5"/>
  <c r="R1317" i="5"/>
  <c r="S1316" i="5"/>
  <c r="R1316" i="5"/>
  <c r="S1315" i="5"/>
  <c r="R1315" i="5"/>
  <c r="S1314" i="5"/>
  <c r="R1314" i="5"/>
  <c r="S1313" i="5"/>
  <c r="R1313" i="5"/>
  <c r="S1312" i="5"/>
  <c r="R1312" i="5"/>
  <c r="S1311" i="5"/>
  <c r="R1311" i="5"/>
  <c r="S1310" i="5"/>
  <c r="R1310" i="5"/>
  <c r="S1309" i="5"/>
  <c r="R1309" i="5"/>
  <c r="X1308" i="5"/>
  <c r="W1308" i="5"/>
  <c r="V1308" i="5"/>
  <c r="U1308" i="5"/>
  <c r="T1308" i="5"/>
  <c r="S1308" i="5"/>
  <c r="R1308" i="5"/>
  <c r="S1307" i="5"/>
  <c r="R1307" i="5"/>
  <c r="S1306" i="5"/>
  <c r="R1306" i="5"/>
  <c r="S1305" i="5"/>
  <c r="R1305" i="5"/>
  <c r="S1304" i="5"/>
  <c r="R1304" i="5"/>
  <c r="S1303" i="5"/>
  <c r="R1303" i="5"/>
  <c r="S1302" i="5"/>
  <c r="R1302" i="5"/>
  <c r="S1301" i="5"/>
  <c r="R1301" i="5"/>
  <c r="S1300" i="5"/>
  <c r="R1300" i="5"/>
  <c r="S1299" i="5"/>
  <c r="R1299" i="5"/>
  <c r="S1298" i="5"/>
  <c r="R1298" i="5"/>
  <c r="S1297" i="5"/>
  <c r="R1297" i="5"/>
  <c r="S1296" i="5"/>
  <c r="R1296" i="5"/>
  <c r="S1295" i="5"/>
  <c r="R1295" i="5"/>
  <c r="S1294" i="5"/>
  <c r="R1294" i="5"/>
  <c r="S1293" i="5"/>
  <c r="R1293" i="5"/>
  <c r="S1292" i="5"/>
  <c r="R1292" i="5"/>
  <c r="S1291" i="5"/>
  <c r="R1291" i="5"/>
  <c r="S1290" i="5"/>
  <c r="R1290" i="5"/>
  <c r="S1289" i="5"/>
  <c r="R1289" i="5"/>
  <c r="S1288" i="5"/>
  <c r="R1288" i="5"/>
  <c r="S1287" i="5"/>
  <c r="R1287" i="5"/>
  <c r="S1286" i="5"/>
  <c r="R1286" i="5"/>
  <c r="S1285" i="5"/>
  <c r="R1285" i="5"/>
  <c r="S1284" i="5"/>
  <c r="R1284" i="5"/>
  <c r="S1283" i="5"/>
  <c r="R1283" i="5"/>
  <c r="S1282" i="5"/>
  <c r="R1282" i="5"/>
  <c r="S1281" i="5"/>
  <c r="R1281" i="5"/>
  <c r="S1280" i="5"/>
  <c r="R1280" i="5"/>
  <c r="W1279" i="5"/>
  <c r="V1279" i="5"/>
  <c r="X1279" i="5" s="1"/>
  <c r="U1279" i="5"/>
  <c r="T1279" i="5"/>
  <c r="S1279" i="5"/>
  <c r="R1279" i="5"/>
  <c r="S1278" i="5"/>
  <c r="R1278" i="5"/>
  <c r="S1277" i="5"/>
  <c r="R1277" i="5"/>
  <c r="S1276" i="5"/>
  <c r="R1276" i="5"/>
  <c r="S1275" i="5"/>
  <c r="R1275" i="5"/>
  <c r="S1274" i="5"/>
  <c r="R1274" i="5"/>
  <c r="S1273" i="5"/>
  <c r="R1273" i="5"/>
  <c r="S1272" i="5"/>
  <c r="R1272" i="5"/>
  <c r="S1271" i="5"/>
  <c r="R1271" i="5"/>
  <c r="S1270" i="5"/>
  <c r="R1270" i="5"/>
  <c r="S1269" i="5"/>
  <c r="R1269" i="5"/>
  <c r="S1268" i="5"/>
  <c r="R1268" i="5"/>
  <c r="S1267" i="5"/>
  <c r="R1267" i="5"/>
  <c r="S1266" i="5"/>
  <c r="R1266" i="5"/>
  <c r="S1265" i="5"/>
  <c r="R1265" i="5"/>
  <c r="S1264" i="5"/>
  <c r="R1264" i="5"/>
  <c r="S1263" i="5"/>
  <c r="R1263" i="5"/>
  <c r="S1262" i="5"/>
  <c r="R1262" i="5"/>
  <c r="S1261" i="5"/>
  <c r="R1261" i="5"/>
  <c r="S1260" i="5"/>
  <c r="R1260" i="5"/>
  <c r="S1259" i="5"/>
  <c r="R1259" i="5"/>
  <c r="S1258" i="5"/>
  <c r="R1258" i="5"/>
  <c r="S1257" i="5"/>
  <c r="R1257" i="5"/>
  <c r="S1256" i="5"/>
  <c r="R1256" i="5"/>
  <c r="S1255" i="5"/>
  <c r="R1255" i="5"/>
  <c r="S1254" i="5"/>
  <c r="R1254" i="5"/>
  <c r="S1253" i="5"/>
  <c r="R1253" i="5"/>
  <c r="S1252" i="5"/>
  <c r="R1252" i="5"/>
  <c r="S1251" i="5"/>
  <c r="R1251" i="5"/>
  <c r="S1250" i="5"/>
  <c r="R1250" i="5"/>
  <c r="S1249" i="5"/>
  <c r="R1249" i="5"/>
  <c r="S1248" i="5"/>
  <c r="R1248" i="5"/>
  <c r="S1247" i="5"/>
  <c r="R1247" i="5"/>
  <c r="W1246" i="5"/>
  <c r="V1246" i="5"/>
  <c r="U1246" i="5"/>
  <c r="T1246" i="5"/>
  <c r="X1246" i="5" s="1"/>
  <c r="S1246" i="5"/>
  <c r="R1246" i="5"/>
  <c r="S1245" i="5"/>
  <c r="R1245" i="5"/>
  <c r="S1244" i="5"/>
  <c r="R1244" i="5"/>
  <c r="S1243" i="5"/>
  <c r="R1243" i="5"/>
  <c r="S1242" i="5"/>
  <c r="R1242" i="5"/>
  <c r="S1241" i="5"/>
  <c r="R1241" i="5"/>
  <c r="S1240" i="5"/>
  <c r="R1240" i="5"/>
  <c r="S1239" i="5"/>
  <c r="R1239" i="5"/>
  <c r="S1238" i="5"/>
  <c r="R1238" i="5"/>
  <c r="S1237" i="5"/>
  <c r="R1237" i="5"/>
  <c r="S1236" i="5"/>
  <c r="R1236" i="5"/>
  <c r="S1235" i="5"/>
  <c r="R1235" i="5"/>
  <c r="S1234" i="5"/>
  <c r="R1234" i="5"/>
  <c r="S1233" i="5"/>
  <c r="R1233" i="5"/>
  <c r="S1232" i="5"/>
  <c r="R1232" i="5"/>
  <c r="S1231" i="5"/>
  <c r="R1231" i="5"/>
  <c r="S1230" i="5"/>
  <c r="R1230" i="5"/>
  <c r="S1229" i="5"/>
  <c r="R1229" i="5"/>
  <c r="S1228" i="5"/>
  <c r="R1228" i="5"/>
  <c r="S1227" i="5"/>
  <c r="R1227" i="5"/>
  <c r="S1226" i="5"/>
  <c r="R1226" i="5"/>
  <c r="S1225" i="5"/>
  <c r="R1225" i="5"/>
  <c r="S1224" i="5"/>
  <c r="R1224" i="5"/>
  <c r="S1223" i="5"/>
  <c r="R1223" i="5"/>
  <c r="S1222" i="5"/>
  <c r="R1222" i="5"/>
  <c r="S1221" i="5"/>
  <c r="R1221" i="5"/>
  <c r="S1220" i="5"/>
  <c r="R1220" i="5"/>
  <c r="S1219" i="5"/>
  <c r="R1219" i="5"/>
  <c r="S1218" i="5"/>
  <c r="R1218" i="5"/>
  <c r="S1217" i="5"/>
  <c r="R1217" i="5"/>
  <c r="S1216" i="5"/>
  <c r="R1216" i="5"/>
  <c r="W1215" i="5"/>
  <c r="V1215" i="5"/>
  <c r="U1215" i="5"/>
  <c r="T1215" i="5"/>
  <c r="X1215" i="5" s="1"/>
  <c r="S1215" i="5"/>
  <c r="R1215" i="5"/>
  <c r="S1214" i="5"/>
  <c r="R1214" i="5"/>
  <c r="S1213" i="5"/>
  <c r="R1213" i="5"/>
  <c r="S1212" i="5"/>
  <c r="R1212" i="5"/>
  <c r="S1211" i="5"/>
  <c r="R1211" i="5"/>
  <c r="S1210" i="5"/>
  <c r="R1210" i="5"/>
  <c r="S1209" i="5"/>
  <c r="R1209" i="5"/>
  <c r="S1208" i="5"/>
  <c r="R1208" i="5"/>
  <c r="S1207" i="5"/>
  <c r="R1207" i="5"/>
  <c r="S1206" i="5"/>
  <c r="R1206" i="5"/>
  <c r="S1205" i="5"/>
  <c r="R1205" i="5"/>
  <c r="S1204" i="5"/>
  <c r="R1204" i="5"/>
  <c r="S1203" i="5"/>
  <c r="R1203" i="5"/>
  <c r="S1202" i="5"/>
  <c r="R1202" i="5"/>
  <c r="S1201" i="5"/>
  <c r="R1201" i="5"/>
  <c r="S1200" i="5"/>
  <c r="R1200" i="5"/>
  <c r="S1199" i="5"/>
  <c r="R1199" i="5"/>
  <c r="S1198" i="5"/>
  <c r="R1198" i="5"/>
  <c r="S1197" i="5"/>
  <c r="R1197" i="5"/>
  <c r="S1196" i="5"/>
  <c r="R1196" i="5"/>
  <c r="S1195" i="5"/>
  <c r="R1195" i="5"/>
  <c r="S1194" i="5"/>
  <c r="R1194" i="5"/>
  <c r="S1193" i="5"/>
  <c r="R1193" i="5"/>
  <c r="S1192" i="5"/>
  <c r="R1192" i="5"/>
  <c r="S1191" i="5"/>
  <c r="R1191" i="5"/>
  <c r="S1190" i="5"/>
  <c r="R1190" i="5"/>
  <c r="S1189" i="5"/>
  <c r="R1189" i="5"/>
  <c r="S1188" i="5"/>
  <c r="R1188" i="5"/>
  <c r="S1187" i="5"/>
  <c r="R1187" i="5"/>
  <c r="S1186" i="5"/>
  <c r="R1186" i="5"/>
  <c r="S1185" i="5"/>
  <c r="R1185" i="5"/>
  <c r="W1184" i="5"/>
  <c r="V1184" i="5"/>
  <c r="U1184" i="5"/>
  <c r="U1343" i="5" s="1"/>
  <c r="T1184" i="5"/>
  <c r="S1184" i="5"/>
  <c r="R1184" i="5"/>
  <c r="S1183" i="5"/>
  <c r="R1183" i="5"/>
  <c r="S1182" i="5"/>
  <c r="R1182" i="5"/>
  <c r="S1181" i="5"/>
  <c r="R1181" i="5"/>
  <c r="S1180" i="5"/>
  <c r="R1180" i="5"/>
  <c r="S1179" i="5"/>
  <c r="R1179" i="5"/>
  <c r="S1178" i="5"/>
  <c r="R1178" i="5"/>
  <c r="S1177" i="5"/>
  <c r="R1177" i="5"/>
  <c r="S1176" i="5"/>
  <c r="R1176" i="5"/>
  <c r="S1175" i="5"/>
  <c r="R1175" i="5"/>
  <c r="S1174" i="5"/>
  <c r="R1174" i="5"/>
  <c r="S1173" i="5"/>
  <c r="R1173" i="5"/>
  <c r="S1172" i="5"/>
  <c r="R1172" i="5"/>
  <c r="S1171" i="5"/>
  <c r="R1171" i="5"/>
  <c r="S1170" i="5"/>
  <c r="R1170" i="5"/>
  <c r="S1169" i="5"/>
  <c r="R1169" i="5"/>
  <c r="S1168" i="5"/>
  <c r="R1168" i="5"/>
  <c r="S1167" i="5"/>
  <c r="R1167" i="5"/>
  <c r="S1166" i="5"/>
  <c r="R1166" i="5"/>
  <c r="S1165" i="5"/>
  <c r="R1165" i="5"/>
  <c r="S1164" i="5"/>
  <c r="R1164" i="5"/>
  <c r="S1163" i="5"/>
  <c r="R1163" i="5"/>
  <c r="S1162" i="5"/>
  <c r="R1162" i="5"/>
  <c r="S1161" i="5"/>
  <c r="R1161" i="5"/>
  <c r="S1160" i="5"/>
  <c r="R1160" i="5"/>
  <c r="S1159" i="5"/>
  <c r="R1159" i="5"/>
  <c r="S1158" i="5"/>
  <c r="R1158" i="5"/>
  <c r="S1157" i="5"/>
  <c r="R1157" i="5"/>
  <c r="S1156" i="5"/>
  <c r="R1156" i="5"/>
  <c r="S1155" i="5"/>
  <c r="R1155" i="5"/>
  <c r="S1154" i="5"/>
  <c r="R1154" i="5"/>
  <c r="W1151" i="5"/>
  <c r="V1151" i="5"/>
  <c r="U1151" i="5"/>
  <c r="T1151" i="5"/>
  <c r="X1151" i="5" s="1"/>
  <c r="S1151" i="5"/>
  <c r="R1151" i="5"/>
  <c r="S1150" i="5"/>
  <c r="R1150" i="5"/>
  <c r="S1149" i="5"/>
  <c r="R1149" i="5"/>
  <c r="S1148" i="5"/>
  <c r="R1148" i="5"/>
  <c r="X1147" i="5"/>
  <c r="W1147" i="5"/>
  <c r="V1147" i="5"/>
  <c r="U1147" i="5"/>
  <c r="T1147" i="5"/>
  <c r="S1147" i="5"/>
  <c r="R1147" i="5"/>
  <c r="S1146" i="5"/>
  <c r="R1146" i="5"/>
  <c r="S1145" i="5"/>
  <c r="R1145" i="5"/>
  <c r="S1144" i="5"/>
  <c r="R1144" i="5"/>
  <c r="W1143" i="5"/>
  <c r="V1143" i="5"/>
  <c r="U1143" i="5"/>
  <c r="X1143" i="5" s="1"/>
  <c r="T1143" i="5"/>
  <c r="S1143" i="5"/>
  <c r="R1143" i="5"/>
  <c r="S1142" i="5"/>
  <c r="R1142" i="5"/>
  <c r="S1141" i="5"/>
  <c r="R1141" i="5"/>
  <c r="W1140" i="5"/>
  <c r="V1140" i="5"/>
  <c r="U1140" i="5"/>
  <c r="T1140" i="5"/>
  <c r="X1140" i="5" s="1"/>
  <c r="S1140" i="5"/>
  <c r="R1140" i="5"/>
  <c r="S1139" i="5"/>
  <c r="R1139" i="5"/>
  <c r="S1138" i="5"/>
  <c r="R1138" i="5"/>
  <c r="W1137" i="5"/>
  <c r="V1137" i="5"/>
  <c r="U1137" i="5"/>
  <c r="T1137" i="5"/>
  <c r="X1137" i="5" s="1"/>
  <c r="S1137" i="5"/>
  <c r="R1137" i="5"/>
  <c r="S1136" i="5"/>
  <c r="R1136" i="5"/>
  <c r="S1135" i="5"/>
  <c r="R1135" i="5"/>
  <c r="W1134" i="5"/>
  <c r="W1152" i="5" s="1"/>
  <c r="V1134" i="5"/>
  <c r="X1134" i="5" s="1"/>
  <c r="X1152" i="5" s="1"/>
  <c r="U1134" i="5"/>
  <c r="U1152" i="5" s="1"/>
  <c r="T1134" i="5"/>
  <c r="S1134" i="5"/>
  <c r="R1134" i="5"/>
  <c r="S1133" i="5"/>
  <c r="R1133" i="5"/>
  <c r="S1132" i="5"/>
  <c r="R1132" i="5"/>
  <c r="U1130" i="5"/>
  <c r="W1129" i="5"/>
  <c r="V1129" i="5"/>
  <c r="U1129" i="5"/>
  <c r="T1129" i="5"/>
  <c r="S1129" i="5"/>
  <c r="R1129" i="5"/>
  <c r="S1128" i="5"/>
  <c r="R1128" i="5"/>
  <c r="S1127" i="5"/>
  <c r="R1127" i="5"/>
  <c r="S1126" i="5"/>
  <c r="R1126" i="5"/>
  <c r="S1125" i="5"/>
  <c r="R1125" i="5"/>
  <c r="S1124" i="5"/>
  <c r="R1124" i="5"/>
  <c r="X1123" i="5"/>
  <c r="W1123" i="5"/>
  <c r="V1123" i="5"/>
  <c r="U1123" i="5"/>
  <c r="T1123" i="5"/>
  <c r="S1123" i="5"/>
  <c r="R1123" i="5"/>
  <c r="S1122" i="5"/>
  <c r="R1122" i="5"/>
  <c r="S1121" i="5"/>
  <c r="R1121" i="5"/>
  <c r="S1120" i="5"/>
  <c r="R1120" i="5"/>
  <c r="S1119" i="5"/>
  <c r="R1119" i="5"/>
  <c r="S1118" i="5"/>
  <c r="R1118" i="5"/>
  <c r="X1117" i="5"/>
  <c r="W1117" i="5"/>
  <c r="V1117" i="5"/>
  <c r="U1117" i="5"/>
  <c r="T1117" i="5"/>
  <c r="S1117" i="5"/>
  <c r="R1117" i="5"/>
  <c r="S1116" i="5"/>
  <c r="R1116" i="5"/>
  <c r="S1115" i="5"/>
  <c r="R1115" i="5"/>
  <c r="S1114" i="5"/>
  <c r="R1114" i="5"/>
  <c r="S1113" i="5"/>
  <c r="R1113" i="5"/>
  <c r="S1112" i="5"/>
  <c r="R1112" i="5"/>
  <c r="W1111" i="5"/>
  <c r="V1111" i="5"/>
  <c r="U1111" i="5"/>
  <c r="T1111" i="5"/>
  <c r="X1111" i="5" s="1"/>
  <c r="S1111" i="5"/>
  <c r="R1111" i="5"/>
  <c r="S1110" i="5"/>
  <c r="R1110" i="5"/>
  <c r="S1109" i="5"/>
  <c r="R1109" i="5"/>
  <c r="S1108" i="5"/>
  <c r="R1108" i="5"/>
  <c r="S1107" i="5"/>
  <c r="R1107" i="5"/>
  <c r="S1106" i="5"/>
  <c r="R1106" i="5"/>
  <c r="W1105" i="5"/>
  <c r="V1105" i="5"/>
  <c r="U1105" i="5"/>
  <c r="T1105" i="5"/>
  <c r="X1105" i="5" s="1"/>
  <c r="S1105" i="5"/>
  <c r="R1105" i="5"/>
  <c r="S1104" i="5"/>
  <c r="R1104" i="5"/>
  <c r="S1103" i="5"/>
  <c r="R1103" i="5"/>
  <c r="S1102" i="5"/>
  <c r="R1102" i="5"/>
  <c r="S1101" i="5"/>
  <c r="R1101" i="5"/>
  <c r="S1100" i="5"/>
  <c r="R1100" i="5"/>
  <c r="W1099" i="5"/>
  <c r="V1099" i="5"/>
  <c r="V1130" i="5" s="1"/>
  <c r="U1099" i="5"/>
  <c r="T1099" i="5"/>
  <c r="X1099" i="5" s="1"/>
  <c r="S1099" i="5"/>
  <c r="R1099" i="5"/>
  <c r="X1096" i="5"/>
  <c r="W1096" i="5"/>
  <c r="V1096" i="5"/>
  <c r="U1096" i="5"/>
  <c r="T1096" i="5"/>
  <c r="S1096" i="5"/>
  <c r="R1096" i="5"/>
  <c r="S1095" i="5"/>
  <c r="R1095" i="5"/>
  <c r="S1094" i="5"/>
  <c r="R1094" i="5"/>
  <c r="S1093" i="5"/>
  <c r="R1093" i="5"/>
  <c r="S1092" i="5"/>
  <c r="R1092" i="5"/>
  <c r="S1091" i="5"/>
  <c r="R1091" i="5"/>
  <c r="S1090" i="5"/>
  <c r="R1090" i="5"/>
  <c r="S1089" i="5"/>
  <c r="R1089" i="5"/>
  <c r="S1088" i="5"/>
  <c r="R1088" i="5"/>
  <c r="S1087" i="5"/>
  <c r="R1087" i="5"/>
  <c r="S1086" i="5"/>
  <c r="R1086" i="5"/>
  <c r="W1085" i="5"/>
  <c r="V1085" i="5"/>
  <c r="U1085" i="5"/>
  <c r="T1085" i="5"/>
  <c r="S1085" i="5"/>
  <c r="R1085" i="5"/>
  <c r="S1084" i="5"/>
  <c r="R1084" i="5"/>
  <c r="S1083" i="5"/>
  <c r="R1083" i="5"/>
  <c r="S1082" i="5"/>
  <c r="R1082" i="5"/>
  <c r="S1081" i="5"/>
  <c r="R1081" i="5"/>
  <c r="S1080" i="5"/>
  <c r="R1080" i="5"/>
  <c r="S1079" i="5"/>
  <c r="R1079" i="5"/>
  <c r="S1078" i="5"/>
  <c r="R1078" i="5"/>
  <c r="S1077" i="5"/>
  <c r="R1077" i="5"/>
  <c r="S1076" i="5"/>
  <c r="R1076" i="5"/>
  <c r="S1075" i="5"/>
  <c r="R1075" i="5"/>
  <c r="W1074" i="5"/>
  <c r="V1074" i="5"/>
  <c r="U1074" i="5"/>
  <c r="T1074" i="5"/>
  <c r="X1074" i="5" s="1"/>
  <c r="S1074" i="5"/>
  <c r="R1074" i="5"/>
  <c r="S1073" i="5"/>
  <c r="R1073" i="5"/>
  <c r="S1072" i="5"/>
  <c r="R1072" i="5"/>
  <c r="S1071" i="5"/>
  <c r="R1071" i="5"/>
  <c r="S1070" i="5"/>
  <c r="R1070" i="5"/>
  <c r="S1069" i="5"/>
  <c r="R1069" i="5"/>
  <c r="S1068" i="5"/>
  <c r="R1068" i="5"/>
  <c r="S1067" i="5"/>
  <c r="R1067" i="5"/>
  <c r="W1066" i="5"/>
  <c r="V1066" i="5"/>
  <c r="V1097" i="5" s="1"/>
  <c r="U1066" i="5"/>
  <c r="U1097" i="5" s="1"/>
  <c r="T1066" i="5"/>
  <c r="X1066" i="5" s="1"/>
  <c r="S1066" i="5"/>
  <c r="R1066" i="5"/>
  <c r="S1065" i="5"/>
  <c r="R1065" i="5"/>
  <c r="S1064" i="5"/>
  <c r="R1064" i="5"/>
  <c r="S1063" i="5"/>
  <c r="R1063" i="5"/>
  <c r="S1062" i="5"/>
  <c r="R1062" i="5"/>
  <c r="S1061" i="5"/>
  <c r="R1061" i="5"/>
  <c r="S1060" i="5"/>
  <c r="R1060" i="5"/>
  <c r="S1059" i="5"/>
  <c r="R1059" i="5"/>
  <c r="X1058" i="5"/>
  <c r="W1058" i="5"/>
  <c r="W1097" i="5" s="1"/>
  <c r="V1058" i="5"/>
  <c r="U1058" i="5"/>
  <c r="T1058" i="5"/>
  <c r="S1058" i="5"/>
  <c r="R1058" i="5"/>
  <c r="S1057" i="5"/>
  <c r="R1057" i="5"/>
  <c r="S1056" i="5"/>
  <c r="R1056" i="5"/>
  <c r="S1055" i="5"/>
  <c r="R1055" i="5"/>
  <c r="S1054" i="5"/>
  <c r="R1054" i="5"/>
  <c r="S1053" i="5"/>
  <c r="R1053" i="5"/>
  <c r="S1052" i="5"/>
  <c r="R1052" i="5"/>
  <c r="S1051" i="5"/>
  <c r="R1051" i="5"/>
  <c r="S1050" i="5"/>
  <c r="R1050" i="5"/>
  <c r="W1047" i="5"/>
  <c r="V1047" i="5"/>
  <c r="U1047" i="5"/>
  <c r="T1047" i="5"/>
  <c r="S1047" i="5"/>
  <c r="R1047" i="5"/>
  <c r="S1046" i="5"/>
  <c r="R1046" i="5"/>
  <c r="W1045" i="5"/>
  <c r="V1045" i="5"/>
  <c r="U1045" i="5"/>
  <c r="T1045" i="5"/>
  <c r="X1045" i="5" s="1"/>
  <c r="S1045" i="5"/>
  <c r="R1045" i="5"/>
  <c r="S1044" i="5"/>
  <c r="R1044" i="5"/>
  <c r="W1043" i="5"/>
  <c r="V1043" i="5"/>
  <c r="U1043" i="5"/>
  <c r="X1043" i="5" s="1"/>
  <c r="T1043" i="5"/>
  <c r="S1043" i="5"/>
  <c r="R1043" i="5"/>
  <c r="S1042" i="5"/>
  <c r="R1042" i="5"/>
  <c r="W1041" i="5"/>
  <c r="V1041" i="5"/>
  <c r="U1041" i="5"/>
  <c r="U1048" i="5" s="1"/>
  <c r="T1041" i="5"/>
  <c r="S1041" i="5"/>
  <c r="R1041" i="5"/>
  <c r="S1040" i="5"/>
  <c r="R1040" i="5"/>
  <c r="X1039" i="5"/>
  <c r="W1039" i="5"/>
  <c r="V1039" i="5"/>
  <c r="U1039" i="5"/>
  <c r="T1039" i="5"/>
  <c r="S1039" i="5"/>
  <c r="R1039" i="5"/>
  <c r="S1038" i="5"/>
  <c r="R1038" i="5"/>
  <c r="W1037" i="5"/>
  <c r="V1037" i="5"/>
  <c r="V1048" i="5" s="1"/>
  <c r="U1037" i="5"/>
  <c r="T1037" i="5"/>
  <c r="S1037" i="5"/>
  <c r="R1037" i="5"/>
  <c r="S1036" i="5"/>
  <c r="R1036" i="5"/>
  <c r="W1034" i="5"/>
  <c r="V1034" i="5"/>
  <c r="U1034" i="5"/>
  <c r="T1034" i="5"/>
  <c r="X1034" i="5" s="1"/>
  <c r="S1034" i="5"/>
  <c r="R1034" i="5"/>
  <c r="S1033" i="5"/>
  <c r="R1033" i="5"/>
  <c r="X1030" i="5"/>
  <c r="W1030" i="5"/>
  <c r="V1030" i="5"/>
  <c r="U1030" i="5"/>
  <c r="T1030" i="5"/>
  <c r="S1030" i="5"/>
  <c r="R1030" i="5"/>
  <c r="S1029" i="5"/>
  <c r="R1029" i="5"/>
  <c r="S1028" i="5"/>
  <c r="R1028" i="5"/>
  <c r="S1027" i="5"/>
  <c r="R1027" i="5"/>
  <c r="S1026" i="5"/>
  <c r="R1026" i="5"/>
  <c r="S1025" i="5"/>
  <c r="R1025" i="5"/>
  <c r="X1024" i="5"/>
  <c r="W1024" i="5"/>
  <c r="V1024" i="5"/>
  <c r="U1024" i="5"/>
  <c r="T1024" i="5"/>
  <c r="S1024" i="5"/>
  <c r="R1024" i="5"/>
  <c r="S1023" i="5"/>
  <c r="R1023" i="5"/>
  <c r="S1022" i="5"/>
  <c r="R1022" i="5"/>
  <c r="S1021" i="5"/>
  <c r="R1021" i="5"/>
  <c r="W1020" i="5"/>
  <c r="V1020" i="5"/>
  <c r="V1031" i="5" s="1"/>
  <c r="U1020" i="5"/>
  <c r="X1020" i="5" s="1"/>
  <c r="T1020" i="5"/>
  <c r="S1020" i="5"/>
  <c r="R1020" i="5"/>
  <c r="S1019" i="5"/>
  <c r="R1019" i="5"/>
  <c r="S1018" i="5"/>
  <c r="R1018" i="5"/>
  <c r="S1017" i="5"/>
  <c r="R1017" i="5"/>
  <c r="S1016" i="5"/>
  <c r="R1016" i="5"/>
  <c r="X1015" i="5"/>
  <c r="X1031" i="5" s="1"/>
  <c r="W1015" i="5"/>
  <c r="W1031" i="5" s="1"/>
  <c r="V1015" i="5"/>
  <c r="U1015" i="5"/>
  <c r="T1015" i="5"/>
  <c r="T1031" i="5" s="1"/>
  <c r="S1015" i="5"/>
  <c r="R1015" i="5"/>
  <c r="S1014" i="5"/>
  <c r="R1014" i="5"/>
  <c r="S1013" i="5"/>
  <c r="R1013" i="5"/>
  <c r="S1012" i="5"/>
  <c r="R1012" i="5"/>
  <c r="W1009" i="5"/>
  <c r="V1009" i="5"/>
  <c r="U1009" i="5"/>
  <c r="T1009" i="5"/>
  <c r="S1009" i="5"/>
  <c r="R1009" i="5"/>
  <c r="S1008" i="5"/>
  <c r="R1008" i="5"/>
  <c r="S1007" i="5"/>
  <c r="R1007" i="5"/>
  <c r="S1006" i="5"/>
  <c r="R1006" i="5"/>
  <c r="S1005" i="5"/>
  <c r="R1005" i="5"/>
  <c r="W1004" i="5"/>
  <c r="V1004" i="5"/>
  <c r="U1004" i="5"/>
  <c r="X1004" i="5" s="1"/>
  <c r="T1004" i="5"/>
  <c r="S1004" i="5"/>
  <c r="R1004" i="5"/>
  <c r="S1003" i="5"/>
  <c r="R1003" i="5"/>
  <c r="S1002" i="5"/>
  <c r="R1002" i="5"/>
  <c r="S1001" i="5"/>
  <c r="R1001" i="5"/>
  <c r="W1000" i="5"/>
  <c r="V1000" i="5"/>
  <c r="U1000" i="5"/>
  <c r="T1000" i="5"/>
  <c r="X1000" i="5" s="1"/>
  <c r="S1000" i="5"/>
  <c r="R1000" i="5"/>
  <c r="S999" i="5"/>
  <c r="R999" i="5"/>
  <c r="W998" i="5"/>
  <c r="V998" i="5"/>
  <c r="U998" i="5"/>
  <c r="T998" i="5"/>
  <c r="X998" i="5" s="1"/>
  <c r="S998" i="5"/>
  <c r="R998" i="5"/>
  <c r="S997" i="5"/>
  <c r="R997" i="5"/>
  <c r="X996" i="5"/>
  <c r="W996" i="5"/>
  <c r="V996" i="5"/>
  <c r="U996" i="5"/>
  <c r="T996" i="5"/>
  <c r="S996" i="5"/>
  <c r="R996" i="5"/>
  <c r="S995" i="5"/>
  <c r="R995" i="5"/>
  <c r="S994" i="5"/>
  <c r="R994" i="5"/>
  <c r="S993" i="5"/>
  <c r="R993" i="5"/>
  <c r="W992" i="5"/>
  <c r="V992" i="5"/>
  <c r="U992" i="5"/>
  <c r="X992" i="5" s="1"/>
  <c r="T992" i="5"/>
  <c r="T1010" i="5" s="1"/>
  <c r="S992" i="5"/>
  <c r="R992" i="5"/>
  <c r="S991" i="5"/>
  <c r="R991" i="5"/>
  <c r="W988" i="5"/>
  <c r="V988" i="5"/>
  <c r="U988" i="5"/>
  <c r="X988" i="5" s="1"/>
  <c r="T988" i="5"/>
  <c r="S988" i="5"/>
  <c r="R988" i="5"/>
  <c r="W987" i="5"/>
  <c r="V987" i="5"/>
  <c r="U987" i="5"/>
  <c r="T987" i="5"/>
  <c r="S987" i="5"/>
  <c r="R987" i="5"/>
  <c r="W986" i="5"/>
  <c r="V986" i="5"/>
  <c r="U986" i="5"/>
  <c r="T986" i="5"/>
  <c r="X986" i="5" s="1"/>
  <c r="S986" i="5"/>
  <c r="R986" i="5"/>
  <c r="X985" i="5"/>
  <c r="W985" i="5"/>
  <c r="V985" i="5"/>
  <c r="U985" i="5"/>
  <c r="T985" i="5"/>
  <c r="S985" i="5"/>
  <c r="R985" i="5"/>
  <c r="W984" i="5"/>
  <c r="V984" i="5"/>
  <c r="U984" i="5"/>
  <c r="T984" i="5"/>
  <c r="X984" i="5" s="1"/>
  <c r="S984" i="5"/>
  <c r="R984" i="5"/>
  <c r="W983" i="5"/>
  <c r="W989" i="5" s="1"/>
  <c r="V983" i="5"/>
  <c r="V989" i="5" s="1"/>
  <c r="U983" i="5"/>
  <c r="U989" i="5" s="1"/>
  <c r="T983" i="5"/>
  <c r="T989" i="5" s="1"/>
  <c r="S983" i="5"/>
  <c r="R983" i="5"/>
  <c r="W980" i="5"/>
  <c r="V980" i="5"/>
  <c r="U980" i="5"/>
  <c r="T980" i="5"/>
  <c r="S980" i="5"/>
  <c r="R980" i="5"/>
  <c r="S979" i="5"/>
  <c r="R979" i="5"/>
  <c r="S978" i="5"/>
  <c r="R978" i="5"/>
  <c r="S977" i="5"/>
  <c r="R977" i="5"/>
  <c r="S976" i="5"/>
  <c r="R976" i="5"/>
  <c r="S975" i="5"/>
  <c r="R975" i="5"/>
  <c r="S974" i="5"/>
  <c r="R974" i="5"/>
  <c r="S973" i="5"/>
  <c r="R973" i="5"/>
  <c r="S972" i="5"/>
  <c r="R972" i="5"/>
  <c r="S971" i="5"/>
  <c r="R971" i="5"/>
  <c r="S970" i="5"/>
  <c r="R970" i="5"/>
  <c r="W969" i="5"/>
  <c r="V969" i="5"/>
  <c r="U969" i="5"/>
  <c r="T969" i="5"/>
  <c r="X969" i="5" s="1"/>
  <c r="S969" i="5"/>
  <c r="R969" i="5"/>
  <c r="S968" i="5"/>
  <c r="R968" i="5"/>
  <c r="S967" i="5"/>
  <c r="R967" i="5"/>
  <c r="S966" i="5"/>
  <c r="R966" i="5"/>
  <c r="S965" i="5"/>
  <c r="R965" i="5"/>
  <c r="S964" i="5"/>
  <c r="R964" i="5"/>
  <c r="S963" i="5"/>
  <c r="R963" i="5"/>
  <c r="S962" i="5"/>
  <c r="R962" i="5"/>
  <c r="S961" i="5"/>
  <c r="R961" i="5"/>
  <c r="S960" i="5"/>
  <c r="R960" i="5"/>
  <c r="S959" i="5"/>
  <c r="R959" i="5"/>
  <c r="S958" i="5"/>
  <c r="R958" i="5"/>
  <c r="S957" i="5"/>
  <c r="R957" i="5"/>
  <c r="X956" i="5"/>
  <c r="W956" i="5"/>
  <c r="V956" i="5"/>
  <c r="U956" i="5"/>
  <c r="T956" i="5"/>
  <c r="S956" i="5"/>
  <c r="R956" i="5"/>
  <c r="S955" i="5"/>
  <c r="R955" i="5"/>
  <c r="S954" i="5"/>
  <c r="R954" i="5"/>
  <c r="S953" i="5"/>
  <c r="R953" i="5"/>
  <c r="S952" i="5"/>
  <c r="R952" i="5"/>
  <c r="S951" i="5"/>
  <c r="R951" i="5"/>
  <c r="S950" i="5"/>
  <c r="R950" i="5"/>
  <c r="S949" i="5"/>
  <c r="R949" i="5"/>
  <c r="S948" i="5"/>
  <c r="R948" i="5"/>
  <c r="S947" i="5"/>
  <c r="R947" i="5"/>
  <c r="S946" i="5"/>
  <c r="R946" i="5"/>
  <c r="S945" i="5"/>
  <c r="R945" i="5"/>
  <c r="W944" i="5"/>
  <c r="V944" i="5"/>
  <c r="U944" i="5"/>
  <c r="X944" i="5" s="1"/>
  <c r="T944" i="5"/>
  <c r="S944" i="5"/>
  <c r="R944" i="5"/>
  <c r="S943" i="5"/>
  <c r="R943" i="5"/>
  <c r="S942" i="5"/>
  <c r="R942" i="5"/>
  <c r="S941" i="5"/>
  <c r="R941" i="5"/>
  <c r="S940" i="5"/>
  <c r="R940" i="5"/>
  <c r="S939" i="5"/>
  <c r="R939" i="5"/>
  <c r="S938" i="5"/>
  <c r="R938" i="5"/>
  <c r="S937" i="5"/>
  <c r="R937" i="5"/>
  <c r="S936" i="5"/>
  <c r="R936" i="5"/>
  <c r="S935" i="5"/>
  <c r="R935" i="5"/>
  <c r="S934" i="5"/>
  <c r="R934" i="5"/>
  <c r="S933" i="5"/>
  <c r="R933" i="5"/>
  <c r="W932" i="5"/>
  <c r="V932" i="5"/>
  <c r="U932" i="5"/>
  <c r="T932" i="5"/>
  <c r="T981" i="5" s="1"/>
  <c r="S932" i="5"/>
  <c r="R932" i="5"/>
  <c r="S931" i="5"/>
  <c r="R931" i="5"/>
  <c r="S930" i="5"/>
  <c r="R930" i="5"/>
  <c r="S929" i="5"/>
  <c r="R929" i="5"/>
  <c r="S928" i="5"/>
  <c r="R928" i="5"/>
  <c r="S927" i="5"/>
  <c r="R927" i="5"/>
  <c r="S926" i="5"/>
  <c r="R926" i="5"/>
  <c r="S925" i="5"/>
  <c r="R925" i="5"/>
  <c r="S924" i="5"/>
  <c r="R924" i="5"/>
  <c r="S923" i="5"/>
  <c r="R923" i="5"/>
  <c r="S922" i="5"/>
  <c r="R922" i="5"/>
  <c r="S921" i="5"/>
  <c r="R921" i="5"/>
  <c r="W920" i="5"/>
  <c r="W981" i="5" s="1"/>
  <c r="V920" i="5"/>
  <c r="V981" i="5" s="1"/>
  <c r="U920" i="5"/>
  <c r="T920" i="5"/>
  <c r="S920" i="5"/>
  <c r="R920" i="5"/>
  <c r="S919" i="5"/>
  <c r="R919" i="5"/>
  <c r="S918" i="5"/>
  <c r="R918" i="5"/>
  <c r="S917" i="5"/>
  <c r="R917" i="5"/>
  <c r="S916" i="5"/>
  <c r="R916" i="5"/>
  <c r="S915" i="5"/>
  <c r="R915" i="5"/>
  <c r="S914" i="5"/>
  <c r="R914" i="5"/>
  <c r="X911" i="5"/>
  <c r="W911" i="5"/>
  <c r="V911" i="5"/>
  <c r="U911" i="5"/>
  <c r="T911" i="5"/>
  <c r="S911" i="5"/>
  <c r="R911" i="5"/>
  <c r="S910" i="5"/>
  <c r="R910" i="5"/>
  <c r="S909" i="5"/>
  <c r="R909" i="5"/>
  <c r="W908" i="5"/>
  <c r="V908" i="5"/>
  <c r="U908" i="5"/>
  <c r="T908" i="5"/>
  <c r="X908" i="5" s="1"/>
  <c r="S908" i="5"/>
  <c r="R908" i="5"/>
  <c r="S907" i="5"/>
  <c r="R907" i="5"/>
  <c r="S906" i="5"/>
  <c r="R906" i="5"/>
  <c r="W905" i="5"/>
  <c r="V905" i="5"/>
  <c r="U905" i="5"/>
  <c r="T905" i="5"/>
  <c r="S905" i="5"/>
  <c r="R905" i="5"/>
  <c r="S904" i="5"/>
  <c r="R904" i="5"/>
  <c r="W903" i="5"/>
  <c r="V903" i="5"/>
  <c r="U903" i="5"/>
  <c r="T903" i="5"/>
  <c r="S903" i="5"/>
  <c r="R903" i="5"/>
  <c r="S902" i="5"/>
  <c r="R902" i="5"/>
  <c r="W901" i="5"/>
  <c r="V901" i="5"/>
  <c r="V912" i="5" s="1"/>
  <c r="U901" i="5"/>
  <c r="T901" i="5"/>
  <c r="S901" i="5"/>
  <c r="R901" i="5"/>
  <c r="S900" i="5"/>
  <c r="R900" i="5"/>
  <c r="X899" i="5"/>
  <c r="W899" i="5"/>
  <c r="V899" i="5"/>
  <c r="U899" i="5"/>
  <c r="T899" i="5"/>
  <c r="S899" i="5"/>
  <c r="R899" i="5"/>
  <c r="W896" i="5"/>
  <c r="V896" i="5"/>
  <c r="U896" i="5"/>
  <c r="X896" i="5" s="1"/>
  <c r="T896" i="5"/>
  <c r="S896" i="5"/>
  <c r="R896" i="5"/>
  <c r="S895" i="5"/>
  <c r="R895" i="5"/>
  <c r="S894" i="5"/>
  <c r="R894" i="5"/>
  <c r="S893" i="5"/>
  <c r="R893" i="5"/>
  <c r="S892" i="5"/>
  <c r="R892" i="5"/>
  <c r="S891" i="5"/>
  <c r="R891" i="5"/>
  <c r="S890" i="5"/>
  <c r="R890" i="5"/>
  <c r="S889" i="5"/>
  <c r="R889" i="5"/>
  <c r="S888" i="5"/>
  <c r="R888" i="5"/>
  <c r="S887" i="5"/>
  <c r="R887" i="5"/>
  <c r="S886" i="5"/>
  <c r="R886" i="5"/>
  <c r="S885" i="5"/>
  <c r="R885" i="5"/>
  <c r="S884" i="5"/>
  <c r="R884" i="5"/>
  <c r="S883" i="5"/>
  <c r="R883" i="5"/>
  <c r="S882" i="5"/>
  <c r="R882" i="5"/>
  <c r="S881" i="5"/>
  <c r="R881" i="5"/>
  <c r="S880" i="5"/>
  <c r="R880" i="5"/>
  <c r="S879" i="5"/>
  <c r="R879" i="5"/>
  <c r="S878" i="5"/>
  <c r="R878" i="5"/>
  <c r="S877" i="5"/>
  <c r="R877" i="5"/>
  <c r="S876" i="5"/>
  <c r="R876" i="5"/>
  <c r="S875" i="5"/>
  <c r="R875" i="5"/>
  <c r="S874" i="5"/>
  <c r="R874" i="5"/>
  <c r="S873" i="5"/>
  <c r="R873" i="5"/>
  <c r="S872" i="5"/>
  <c r="R872" i="5"/>
  <c r="S871" i="5"/>
  <c r="R871" i="5"/>
  <c r="S870" i="5"/>
  <c r="R870" i="5"/>
  <c r="S869" i="5"/>
  <c r="R869" i="5"/>
  <c r="S868" i="5"/>
  <c r="R868" i="5"/>
  <c r="S867" i="5"/>
  <c r="R867" i="5"/>
  <c r="S866" i="5"/>
  <c r="R866" i="5"/>
  <c r="S865" i="5"/>
  <c r="R865" i="5"/>
  <c r="S864" i="5"/>
  <c r="R864" i="5"/>
  <c r="S863" i="5"/>
  <c r="R863" i="5"/>
  <c r="S862" i="5"/>
  <c r="R862" i="5"/>
  <c r="S861" i="5"/>
  <c r="R861" i="5"/>
  <c r="S860" i="5"/>
  <c r="R860" i="5"/>
  <c r="S859" i="5"/>
  <c r="R859" i="5"/>
  <c r="S858" i="5"/>
  <c r="R858" i="5"/>
  <c r="S857" i="5"/>
  <c r="R857" i="5"/>
  <c r="S856" i="5"/>
  <c r="R856" i="5"/>
  <c r="S855" i="5"/>
  <c r="R855" i="5"/>
  <c r="S854" i="5"/>
  <c r="R854" i="5"/>
  <c r="S853" i="5"/>
  <c r="R853" i="5"/>
  <c r="S852" i="5"/>
  <c r="R852" i="5"/>
  <c r="S851" i="5"/>
  <c r="R851" i="5"/>
  <c r="S850" i="5"/>
  <c r="R850" i="5"/>
  <c r="S849" i="5"/>
  <c r="R849" i="5"/>
  <c r="S848" i="5"/>
  <c r="R848" i="5"/>
  <c r="S847" i="5"/>
  <c r="R847" i="5"/>
  <c r="S846" i="5"/>
  <c r="R846" i="5"/>
  <c r="S845" i="5"/>
  <c r="R845" i="5"/>
  <c r="S844" i="5"/>
  <c r="R844" i="5"/>
  <c r="S843" i="5"/>
  <c r="R843" i="5"/>
  <c r="S842" i="5"/>
  <c r="R842" i="5"/>
  <c r="S841" i="5"/>
  <c r="R841" i="5"/>
  <c r="S840" i="5"/>
  <c r="R840" i="5"/>
  <c r="S839" i="5"/>
  <c r="R839" i="5"/>
  <c r="S838" i="5"/>
  <c r="R838" i="5"/>
  <c r="S837" i="5"/>
  <c r="R837" i="5"/>
  <c r="S836" i="5"/>
  <c r="R836" i="5"/>
  <c r="S835" i="5"/>
  <c r="R835" i="5"/>
  <c r="S834" i="5"/>
  <c r="R834" i="5"/>
  <c r="S833" i="5"/>
  <c r="R833" i="5"/>
  <c r="S832" i="5"/>
  <c r="R832" i="5"/>
  <c r="S831" i="5"/>
  <c r="R831" i="5"/>
  <c r="S830" i="5"/>
  <c r="R830" i="5"/>
  <c r="S829" i="5"/>
  <c r="R829" i="5"/>
  <c r="S828" i="5"/>
  <c r="R828" i="5"/>
  <c r="S827" i="5"/>
  <c r="R827" i="5"/>
  <c r="S826" i="5"/>
  <c r="R826" i="5"/>
  <c r="S825" i="5"/>
  <c r="R825" i="5"/>
  <c r="S824" i="5"/>
  <c r="R824" i="5"/>
  <c r="S823" i="5"/>
  <c r="R823" i="5"/>
  <c r="S822" i="5"/>
  <c r="R822" i="5"/>
  <c r="S821" i="5"/>
  <c r="R821" i="5"/>
  <c r="S820" i="5"/>
  <c r="R820" i="5"/>
  <c r="W819" i="5"/>
  <c r="V819" i="5"/>
  <c r="U819" i="5"/>
  <c r="T819" i="5"/>
  <c r="X819" i="5" s="1"/>
  <c r="S819" i="5"/>
  <c r="R819" i="5"/>
  <c r="S818" i="5"/>
  <c r="R818" i="5"/>
  <c r="S817" i="5"/>
  <c r="R817" i="5"/>
  <c r="S816" i="5"/>
  <c r="R816" i="5"/>
  <c r="S815" i="5"/>
  <c r="R815" i="5"/>
  <c r="S814" i="5"/>
  <c r="R814" i="5"/>
  <c r="S813" i="5"/>
  <c r="R813" i="5"/>
  <c r="S812" i="5"/>
  <c r="R812" i="5"/>
  <c r="S811" i="5"/>
  <c r="R811" i="5"/>
  <c r="S810" i="5"/>
  <c r="R810" i="5"/>
  <c r="S809" i="5"/>
  <c r="R809" i="5"/>
  <c r="S808" i="5"/>
  <c r="R808" i="5"/>
  <c r="S807" i="5"/>
  <c r="R807" i="5"/>
  <c r="S806" i="5"/>
  <c r="R806" i="5"/>
  <c r="S805" i="5"/>
  <c r="R805" i="5"/>
  <c r="S804" i="5"/>
  <c r="R804" i="5"/>
  <c r="S803" i="5"/>
  <c r="R803" i="5"/>
  <c r="S802" i="5"/>
  <c r="R802" i="5"/>
  <c r="S801" i="5"/>
  <c r="R801" i="5"/>
  <c r="S800" i="5"/>
  <c r="R800" i="5"/>
  <c r="S799" i="5"/>
  <c r="R799" i="5"/>
  <c r="S798" i="5"/>
  <c r="R798" i="5"/>
  <c r="S797" i="5"/>
  <c r="R797" i="5"/>
  <c r="S796" i="5"/>
  <c r="R796" i="5"/>
  <c r="S795" i="5"/>
  <c r="R795" i="5"/>
  <c r="S794" i="5"/>
  <c r="R794" i="5"/>
  <c r="S793" i="5"/>
  <c r="R793" i="5"/>
  <c r="S792" i="5"/>
  <c r="R792" i="5"/>
  <c r="S791" i="5"/>
  <c r="R791" i="5"/>
  <c r="S790" i="5"/>
  <c r="R790" i="5"/>
  <c r="S789" i="5"/>
  <c r="R789" i="5"/>
  <c r="S788" i="5"/>
  <c r="R788" i="5"/>
  <c r="S787" i="5"/>
  <c r="R787" i="5"/>
  <c r="S786" i="5"/>
  <c r="R786" i="5"/>
  <c r="S785" i="5"/>
  <c r="R785" i="5"/>
  <c r="S784" i="5"/>
  <c r="R784" i="5"/>
  <c r="S783" i="5"/>
  <c r="R783" i="5"/>
  <c r="S782" i="5"/>
  <c r="R782" i="5"/>
  <c r="S781" i="5"/>
  <c r="R781" i="5"/>
  <c r="S780" i="5"/>
  <c r="R780" i="5"/>
  <c r="S779" i="5"/>
  <c r="R779" i="5"/>
  <c r="S778" i="5"/>
  <c r="R778" i="5"/>
  <c r="S777" i="5"/>
  <c r="R777" i="5"/>
  <c r="S776" i="5"/>
  <c r="R776" i="5"/>
  <c r="S775" i="5"/>
  <c r="R775" i="5"/>
  <c r="S774" i="5"/>
  <c r="R774" i="5"/>
  <c r="S773" i="5"/>
  <c r="R773" i="5"/>
  <c r="S772" i="5"/>
  <c r="R772" i="5"/>
  <c r="S771" i="5"/>
  <c r="R771" i="5"/>
  <c r="S770" i="5"/>
  <c r="R770" i="5"/>
  <c r="S769" i="5"/>
  <c r="R769" i="5"/>
  <c r="S768" i="5"/>
  <c r="R768" i="5"/>
  <c r="S767" i="5"/>
  <c r="R767" i="5"/>
  <c r="S766" i="5"/>
  <c r="R766" i="5"/>
  <c r="S765" i="5"/>
  <c r="R765" i="5"/>
  <c r="S764" i="5"/>
  <c r="R764" i="5"/>
  <c r="S763" i="5"/>
  <c r="R763" i="5"/>
  <c r="S762" i="5"/>
  <c r="R762" i="5"/>
  <c r="S761" i="5"/>
  <c r="R761" i="5"/>
  <c r="S760" i="5"/>
  <c r="R760" i="5"/>
  <c r="S759" i="5"/>
  <c r="R759" i="5"/>
  <c r="S758" i="5"/>
  <c r="R758" i="5"/>
  <c r="S757" i="5"/>
  <c r="R757" i="5"/>
  <c r="S756" i="5"/>
  <c r="R756" i="5"/>
  <c r="S755" i="5"/>
  <c r="R755" i="5"/>
  <c r="W754" i="5"/>
  <c r="V754" i="5"/>
  <c r="U754" i="5"/>
  <c r="T754" i="5"/>
  <c r="X754" i="5" s="1"/>
  <c r="S754" i="5"/>
  <c r="R754" i="5"/>
  <c r="S753" i="5"/>
  <c r="R753" i="5"/>
  <c r="S752" i="5"/>
  <c r="R752" i="5"/>
  <c r="S751" i="5"/>
  <c r="R751" i="5"/>
  <c r="S750" i="5"/>
  <c r="R750" i="5"/>
  <c r="S749" i="5"/>
  <c r="R749" i="5"/>
  <c r="S748" i="5"/>
  <c r="R748" i="5"/>
  <c r="S747" i="5"/>
  <c r="R747" i="5"/>
  <c r="S746" i="5"/>
  <c r="R746" i="5"/>
  <c r="S745" i="5"/>
  <c r="R745" i="5"/>
  <c r="S744" i="5"/>
  <c r="R744" i="5"/>
  <c r="S743" i="5"/>
  <c r="R743" i="5"/>
  <c r="S742" i="5"/>
  <c r="R742" i="5"/>
  <c r="S741" i="5"/>
  <c r="R741" i="5"/>
  <c r="S740" i="5"/>
  <c r="R740" i="5"/>
  <c r="S739" i="5"/>
  <c r="R739" i="5"/>
  <c r="S738" i="5"/>
  <c r="R738" i="5"/>
  <c r="S737" i="5"/>
  <c r="R737" i="5"/>
  <c r="S736" i="5"/>
  <c r="R736" i="5"/>
  <c r="S735" i="5"/>
  <c r="R735" i="5"/>
  <c r="S734" i="5"/>
  <c r="R734" i="5"/>
  <c r="S733" i="5"/>
  <c r="R733" i="5"/>
  <c r="S732" i="5"/>
  <c r="R732" i="5"/>
  <c r="S731" i="5"/>
  <c r="R731" i="5"/>
  <c r="S730" i="5"/>
  <c r="R730" i="5"/>
  <c r="S729" i="5"/>
  <c r="R729" i="5"/>
  <c r="S728" i="5"/>
  <c r="R728" i="5"/>
  <c r="S727" i="5"/>
  <c r="R727" i="5"/>
  <c r="S726" i="5"/>
  <c r="R726" i="5"/>
  <c r="S725" i="5"/>
  <c r="R725" i="5"/>
  <c r="S724" i="5"/>
  <c r="R724" i="5"/>
  <c r="S723" i="5"/>
  <c r="R723" i="5"/>
  <c r="S722" i="5"/>
  <c r="R722" i="5"/>
  <c r="S721" i="5"/>
  <c r="R721" i="5"/>
  <c r="S720" i="5"/>
  <c r="R720" i="5"/>
  <c r="S719" i="5"/>
  <c r="R719" i="5"/>
  <c r="S718" i="5"/>
  <c r="R718" i="5"/>
  <c r="S717" i="5"/>
  <c r="R717" i="5"/>
  <c r="S716" i="5"/>
  <c r="R716" i="5"/>
  <c r="S715" i="5"/>
  <c r="R715" i="5"/>
  <c r="S714" i="5"/>
  <c r="R714" i="5"/>
  <c r="S713" i="5"/>
  <c r="R713" i="5"/>
  <c r="S712" i="5"/>
  <c r="R712" i="5"/>
  <c r="S711" i="5"/>
  <c r="R711" i="5"/>
  <c r="S710" i="5"/>
  <c r="R710" i="5"/>
  <c r="S709" i="5"/>
  <c r="R709" i="5"/>
  <c r="S708" i="5"/>
  <c r="R708" i="5"/>
  <c r="S707" i="5"/>
  <c r="R707" i="5"/>
  <c r="S706" i="5"/>
  <c r="R706" i="5"/>
  <c r="S705" i="5"/>
  <c r="R705" i="5"/>
  <c r="S704" i="5"/>
  <c r="R704" i="5"/>
  <c r="S703" i="5"/>
  <c r="R703" i="5"/>
  <c r="S702" i="5"/>
  <c r="R702" i="5"/>
  <c r="S701" i="5"/>
  <c r="R701" i="5"/>
  <c r="S700" i="5"/>
  <c r="R700" i="5"/>
  <c r="S699" i="5"/>
  <c r="R699" i="5"/>
  <c r="S698" i="5"/>
  <c r="R698" i="5"/>
  <c r="S697" i="5"/>
  <c r="R697" i="5"/>
  <c r="S696" i="5"/>
  <c r="R696" i="5"/>
  <c r="S695" i="5"/>
  <c r="R695" i="5"/>
  <c r="S694" i="5"/>
  <c r="R694" i="5"/>
  <c r="S693" i="5"/>
  <c r="R693" i="5"/>
  <c r="S692" i="5"/>
  <c r="R692" i="5"/>
  <c r="S691" i="5"/>
  <c r="R691" i="5"/>
  <c r="S690" i="5"/>
  <c r="R690" i="5"/>
  <c r="S689" i="5"/>
  <c r="R689" i="5"/>
  <c r="S688" i="5"/>
  <c r="R688" i="5"/>
  <c r="S687" i="5"/>
  <c r="R687" i="5"/>
  <c r="W686" i="5"/>
  <c r="X686" i="5" s="1"/>
  <c r="V686" i="5"/>
  <c r="U686" i="5"/>
  <c r="T686" i="5"/>
  <c r="S686" i="5"/>
  <c r="R686" i="5"/>
  <c r="S685" i="5"/>
  <c r="R685" i="5"/>
  <c r="S684" i="5"/>
  <c r="R684" i="5"/>
  <c r="S683" i="5"/>
  <c r="R683" i="5"/>
  <c r="S682" i="5"/>
  <c r="R682" i="5"/>
  <c r="S681" i="5"/>
  <c r="R681" i="5"/>
  <c r="S680" i="5"/>
  <c r="R680" i="5"/>
  <c r="S679" i="5"/>
  <c r="R679" i="5"/>
  <c r="S678" i="5"/>
  <c r="R678" i="5"/>
  <c r="S677" i="5"/>
  <c r="R677" i="5"/>
  <c r="S676" i="5"/>
  <c r="R676" i="5"/>
  <c r="S675" i="5"/>
  <c r="R675" i="5"/>
  <c r="S674" i="5"/>
  <c r="R674" i="5"/>
  <c r="S673" i="5"/>
  <c r="R673" i="5"/>
  <c r="S672" i="5"/>
  <c r="R672" i="5"/>
  <c r="S671" i="5"/>
  <c r="R671" i="5"/>
  <c r="S670" i="5"/>
  <c r="R670" i="5"/>
  <c r="S669" i="5"/>
  <c r="R669" i="5"/>
  <c r="S668" i="5"/>
  <c r="R668" i="5"/>
  <c r="S667" i="5"/>
  <c r="R667" i="5"/>
  <c r="S666" i="5"/>
  <c r="R666" i="5"/>
  <c r="S665" i="5"/>
  <c r="R665" i="5"/>
  <c r="S664" i="5"/>
  <c r="R664" i="5"/>
  <c r="S663" i="5"/>
  <c r="R663" i="5"/>
  <c r="S662" i="5"/>
  <c r="R662" i="5"/>
  <c r="S661" i="5"/>
  <c r="R661" i="5"/>
  <c r="S660" i="5"/>
  <c r="R660" i="5"/>
  <c r="S659" i="5"/>
  <c r="R659" i="5"/>
  <c r="S658" i="5"/>
  <c r="R658" i="5"/>
  <c r="S657" i="5"/>
  <c r="R657" i="5"/>
  <c r="S656" i="5"/>
  <c r="R656" i="5"/>
  <c r="S655" i="5"/>
  <c r="R655" i="5"/>
  <c r="S654" i="5"/>
  <c r="R654" i="5"/>
  <c r="S653" i="5"/>
  <c r="R653" i="5"/>
  <c r="S652" i="5"/>
  <c r="R652" i="5"/>
  <c r="S651" i="5"/>
  <c r="R651" i="5"/>
  <c r="S650" i="5"/>
  <c r="R650" i="5"/>
  <c r="S649" i="5"/>
  <c r="R649" i="5"/>
  <c r="S648" i="5"/>
  <c r="R648" i="5"/>
  <c r="S647" i="5"/>
  <c r="R647" i="5"/>
  <c r="S646" i="5"/>
  <c r="R646" i="5"/>
  <c r="S645" i="5"/>
  <c r="R645" i="5"/>
  <c r="S644" i="5"/>
  <c r="R644" i="5"/>
  <c r="S643" i="5"/>
  <c r="R643" i="5"/>
  <c r="S642" i="5"/>
  <c r="R642" i="5"/>
  <c r="S641" i="5"/>
  <c r="R641" i="5"/>
  <c r="S640" i="5"/>
  <c r="R640" i="5"/>
  <c r="S639" i="5"/>
  <c r="R639" i="5"/>
  <c r="S638" i="5"/>
  <c r="R638" i="5"/>
  <c r="S637" i="5"/>
  <c r="R637" i="5"/>
  <c r="S636" i="5"/>
  <c r="R636" i="5"/>
  <c r="S635" i="5"/>
  <c r="R635" i="5"/>
  <c r="S634" i="5"/>
  <c r="R634" i="5"/>
  <c r="S633" i="5"/>
  <c r="R633" i="5"/>
  <c r="S632" i="5"/>
  <c r="R632" i="5"/>
  <c r="S631" i="5"/>
  <c r="R631" i="5"/>
  <c r="S630" i="5"/>
  <c r="R630" i="5"/>
  <c r="S629" i="5"/>
  <c r="R629" i="5"/>
  <c r="W628" i="5"/>
  <c r="V628" i="5"/>
  <c r="U628" i="5"/>
  <c r="T628" i="5"/>
  <c r="X628" i="5" s="1"/>
  <c r="S628" i="5"/>
  <c r="R628" i="5"/>
  <c r="S627" i="5"/>
  <c r="R627" i="5"/>
  <c r="S626" i="5"/>
  <c r="R626" i="5"/>
  <c r="S625" i="5"/>
  <c r="R625" i="5"/>
  <c r="S624" i="5"/>
  <c r="R624" i="5"/>
  <c r="S623" i="5"/>
  <c r="R623" i="5"/>
  <c r="S622" i="5"/>
  <c r="R622" i="5"/>
  <c r="S621" i="5"/>
  <c r="R621" i="5"/>
  <c r="S620" i="5"/>
  <c r="R620" i="5"/>
  <c r="S619" i="5"/>
  <c r="R619" i="5"/>
  <c r="S618" i="5"/>
  <c r="R618" i="5"/>
  <c r="S617" i="5"/>
  <c r="R617" i="5"/>
  <c r="S616" i="5"/>
  <c r="R616" i="5"/>
  <c r="S615" i="5"/>
  <c r="R615" i="5"/>
  <c r="S614" i="5"/>
  <c r="R614" i="5"/>
  <c r="S613" i="5"/>
  <c r="R613" i="5"/>
  <c r="S612" i="5"/>
  <c r="R612" i="5"/>
  <c r="S611" i="5"/>
  <c r="R611" i="5"/>
  <c r="S610" i="5"/>
  <c r="R610" i="5"/>
  <c r="S609" i="5"/>
  <c r="R609" i="5"/>
  <c r="S608" i="5"/>
  <c r="R608" i="5"/>
  <c r="S607" i="5"/>
  <c r="R607" i="5"/>
  <c r="S606" i="5"/>
  <c r="R606" i="5"/>
  <c r="S605" i="5"/>
  <c r="R605" i="5"/>
  <c r="S604" i="5"/>
  <c r="R604" i="5"/>
  <c r="S603" i="5"/>
  <c r="R603" i="5"/>
  <c r="S602" i="5"/>
  <c r="R602" i="5"/>
  <c r="S601" i="5"/>
  <c r="R601" i="5"/>
  <c r="S600" i="5"/>
  <c r="R600" i="5"/>
  <c r="S599" i="5"/>
  <c r="R599" i="5"/>
  <c r="S598" i="5"/>
  <c r="R598" i="5"/>
  <c r="S597" i="5"/>
  <c r="R597" i="5"/>
  <c r="S596" i="5"/>
  <c r="R596" i="5"/>
  <c r="S595" i="5"/>
  <c r="R595" i="5"/>
  <c r="S594" i="5"/>
  <c r="R594" i="5"/>
  <c r="S593" i="5"/>
  <c r="R593" i="5"/>
  <c r="S592" i="5"/>
  <c r="R592" i="5"/>
  <c r="S591" i="5"/>
  <c r="R591" i="5"/>
  <c r="S590" i="5"/>
  <c r="R590" i="5"/>
  <c r="S589" i="5"/>
  <c r="R589" i="5"/>
  <c r="S588" i="5"/>
  <c r="R588" i="5"/>
  <c r="S587" i="5"/>
  <c r="R587" i="5"/>
  <c r="S586" i="5"/>
  <c r="R586" i="5"/>
  <c r="S585" i="5"/>
  <c r="R585" i="5"/>
  <c r="S584" i="5"/>
  <c r="R584" i="5"/>
  <c r="S583" i="5"/>
  <c r="R583" i="5"/>
  <c r="S582" i="5"/>
  <c r="R582" i="5"/>
  <c r="S581" i="5"/>
  <c r="R581" i="5"/>
  <c r="S580" i="5"/>
  <c r="R580" i="5"/>
  <c r="S579" i="5"/>
  <c r="R579" i="5"/>
  <c r="S578" i="5"/>
  <c r="R578" i="5"/>
  <c r="S577" i="5"/>
  <c r="R577" i="5"/>
  <c r="S576" i="5"/>
  <c r="R576" i="5"/>
  <c r="S575" i="5"/>
  <c r="R575" i="5"/>
  <c r="S574" i="5"/>
  <c r="R574" i="5"/>
  <c r="S573" i="5"/>
  <c r="R573" i="5"/>
  <c r="W572" i="5"/>
  <c r="V572" i="5"/>
  <c r="V897" i="5" s="1"/>
  <c r="U572" i="5"/>
  <c r="T572" i="5"/>
  <c r="T897" i="5" s="1"/>
  <c r="S572" i="5"/>
  <c r="R572" i="5"/>
  <c r="S571" i="5"/>
  <c r="R571" i="5"/>
  <c r="S570" i="5"/>
  <c r="R570" i="5"/>
  <c r="S569" i="5"/>
  <c r="R569" i="5"/>
  <c r="S568" i="5"/>
  <c r="R568" i="5"/>
  <c r="S567" i="5"/>
  <c r="R567" i="5"/>
  <c r="S566" i="5"/>
  <c r="R566" i="5"/>
  <c r="S565" i="5"/>
  <c r="R565" i="5"/>
  <c r="S564" i="5"/>
  <c r="R564" i="5"/>
  <c r="S563" i="5"/>
  <c r="R563" i="5"/>
  <c r="S562" i="5"/>
  <c r="R562" i="5"/>
  <c r="S561" i="5"/>
  <c r="R561" i="5"/>
  <c r="S560" i="5"/>
  <c r="R560" i="5"/>
  <c r="S559" i="5"/>
  <c r="R559" i="5"/>
  <c r="S558" i="5"/>
  <c r="R558" i="5"/>
  <c r="S557" i="5"/>
  <c r="R557" i="5"/>
  <c r="S556" i="5"/>
  <c r="R556" i="5"/>
  <c r="S555" i="5"/>
  <c r="R555" i="5"/>
  <c r="S554" i="5"/>
  <c r="R554" i="5"/>
  <c r="S553" i="5"/>
  <c r="R553" i="5"/>
  <c r="S552" i="5"/>
  <c r="R552" i="5"/>
  <c r="S551" i="5"/>
  <c r="R551" i="5"/>
  <c r="S550" i="5"/>
  <c r="R550" i="5"/>
  <c r="S549" i="5"/>
  <c r="R549" i="5"/>
  <c r="S548" i="5"/>
  <c r="R548" i="5"/>
  <c r="S547" i="5"/>
  <c r="R547" i="5"/>
  <c r="S546" i="5"/>
  <c r="R546" i="5"/>
  <c r="S545" i="5"/>
  <c r="R545" i="5"/>
  <c r="S544" i="5"/>
  <c r="R544" i="5"/>
  <c r="S543" i="5"/>
  <c r="R543" i="5"/>
  <c r="S542" i="5"/>
  <c r="R542" i="5"/>
  <c r="S541" i="5"/>
  <c r="R541" i="5"/>
  <c r="S540" i="5"/>
  <c r="R540" i="5"/>
  <c r="S539" i="5"/>
  <c r="R539" i="5"/>
  <c r="S538" i="5"/>
  <c r="R538" i="5"/>
  <c r="S537" i="5"/>
  <c r="R537" i="5"/>
  <c r="S536" i="5"/>
  <c r="R536" i="5"/>
  <c r="S535" i="5"/>
  <c r="R535" i="5"/>
  <c r="S534" i="5"/>
  <c r="R534" i="5"/>
  <c r="S533" i="5"/>
  <c r="R533" i="5"/>
  <c r="S532" i="5"/>
  <c r="R532" i="5"/>
  <c r="S531" i="5"/>
  <c r="R531" i="5"/>
  <c r="S530" i="5"/>
  <c r="R530" i="5"/>
  <c r="S529" i="5"/>
  <c r="R529" i="5"/>
  <c r="S528" i="5"/>
  <c r="R528" i="5"/>
  <c r="S527" i="5"/>
  <c r="R527" i="5"/>
  <c r="S526" i="5"/>
  <c r="R526" i="5"/>
  <c r="S525" i="5"/>
  <c r="R525" i="5"/>
  <c r="S524" i="5"/>
  <c r="R524" i="5"/>
  <c r="S523" i="5"/>
  <c r="R523" i="5"/>
  <c r="S522" i="5"/>
  <c r="R522" i="5"/>
  <c r="S521" i="5"/>
  <c r="R521" i="5"/>
  <c r="S520" i="5"/>
  <c r="R520" i="5"/>
  <c r="S519" i="5"/>
  <c r="R519" i="5"/>
  <c r="S518" i="5"/>
  <c r="R518" i="5"/>
  <c r="S517" i="5"/>
  <c r="R517" i="5"/>
  <c r="S516" i="5"/>
  <c r="R516" i="5"/>
  <c r="V514" i="5"/>
  <c r="T514" i="5"/>
  <c r="X513" i="5"/>
  <c r="X514" i="5" s="1"/>
  <c r="W513" i="5"/>
  <c r="W514" i="5" s="1"/>
  <c r="V513" i="5"/>
  <c r="U513" i="5"/>
  <c r="U514" i="5" s="1"/>
  <c r="T513" i="5"/>
  <c r="S513" i="5"/>
  <c r="R513" i="5"/>
  <c r="S512" i="5"/>
  <c r="R512" i="5"/>
  <c r="W509" i="5"/>
  <c r="V509" i="5"/>
  <c r="U509" i="5"/>
  <c r="X509" i="5" s="1"/>
  <c r="T509" i="5"/>
  <c r="S509" i="5"/>
  <c r="R509" i="5"/>
  <c r="S508" i="5"/>
  <c r="R508" i="5"/>
  <c r="X507" i="5"/>
  <c r="W507" i="5"/>
  <c r="V507" i="5"/>
  <c r="U507" i="5"/>
  <c r="T507" i="5"/>
  <c r="S507" i="5"/>
  <c r="R507" i="5"/>
  <c r="S506" i="5"/>
  <c r="R506" i="5"/>
  <c r="X505" i="5"/>
  <c r="W505" i="5"/>
  <c r="V505" i="5"/>
  <c r="U505" i="5"/>
  <c r="T505" i="5"/>
  <c r="S505" i="5"/>
  <c r="R505" i="5"/>
  <c r="S504" i="5"/>
  <c r="R504" i="5"/>
  <c r="W503" i="5"/>
  <c r="V503" i="5"/>
  <c r="U503" i="5"/>
  <c r="T503" i="5"/>
  <c r="X503" i="5" s="1"/>
  <c r="S503" i="5"/>
  <c r="R503" i="5"/>
  <c r="W502" i="5"/>
  <c r="W510" i="5" s="1"/>
  <c r="V502" i="5"/>
  <c r="V510" i="5" s="1"/>
  <c r="U502" i="5"/>
  <c r="U510" i="5" s="1"/>
  <c r="T502" i="5"/>
  <c r="T510" i="5" s="1"/>
  <c r="S502" i="5"/>
  <c r="R502" i="5"/>
  <c r="W499" i="5"/>
  <c r="V499" i="5"/>
  <c r="U499" i="5"/>
  <c r="T499" i="5"/>
  <c r="X499" i="5" s="1"/>
  <c r="S499" i="5"/>
  <c r="R499" i="5"/>
  <c r="S498" i="5"/>
  <c r="R498" i="5"/>
  <c r="S497" i="5"/>
  <c r="R497" i="5"/>
  <c r="S496" i="5"/>
  <c r="R496" i="5"/>
  <c r="S495" i="5"/>
  <c r="R495" i="5"/>
  <c r="W494" i="5"/>
  <c r="V494" i="5"/>
  <c r="U494" i="5"/>
  <c r="T494" i="5"/>
  <c r="X494" i="5" s="1"/>
  <c r="S494" i="5"/>
  <c r="R494" i="5"/>
  <c r="S493" i="5"/>
  <c r="R493" i="5"/>
  <c r="S492" i="5"/>
  <c r="R492" i="5"/>
  <c r="W491" i="5"/>
  <c r="W500" i="5" s="1"/>
  <c r="V491" i="5"/>
  <c r="V500" i="5" s="1"/>
  <c r="U491" i="5"/>
  <c r="U500" i="5" s="1"/>
  <c r="T491" i="5"/>
  <c r="T500" i="5" s="1"/>
  <c r="S491" i="5"/>
  <c r="R491" i="5"/>
  <c r="S490" i="5"/>
  <c r="R490" i="5"/>
  <c r="W488" i="5"/>
  <c r="T488" i="5"/>
  <c r="W487" i="5"/>
  <c r="V487" i="5"/>
  <c r="U487" i="5"/>
  <c r="T487" i="5"/>
  <c r="S487" i="5"/>
  <c r="R487" i="5"/>
  <c r="S486" i="5"/>
  <c r="R486" i="5"/>
  <c r="S485" i="5"/>
  <c r="R485" i="5"/>
  <c r="S484" i="5"/>
  <c r="R484" i="5"/>
  <c r="S483" i="5"/>
  <c r="R483" i="5"/>
  <c r="S482" i="5"/>
  <c r="R482" i="5"/>
  <c r="S481" i="5"/>
  <c r="R481" i="5"/>
  <c r="S480" i="5"/>
  <c r="R480" i="5"/>
  <c r="S479" i="5"/>
  <c r="R479" i="5"/>
  <c r="W478" i="5"/>
  <c r="V478" i="5"/>
  <c r="U478" i="5"/>
  <c r="T478" i="5"/>
  <c r="X478" i="5" s="1"/>
  <c r="S478" i="5"/>
  <c r="R478" i="5"/>
  <c r="S477" i="5"/>
  <c r="R477" i="5"/>
  <c r="S476" i="5"/>
  <c r="R476" i="5"/>
  <c r="S475" i="5"/>
  <c r="R475" i="5"/>
  <c r="S474" i="5"/>
  <c r="R474" i="5"/>
  <c r="S473" i="5"/>
  <c r="R473" i="5"/>
  <c r="S472" i="5"/>
  <c r="R472" i="5"/>
  <c r="W471" i="5"/>
  <c r="V471" i="5"/>
  <c r="U471" i="5"/>
  <c r="T471" i="5"/>
  <c r="S471" i="5"/>
  <c r="R471" i="5"/>
  <c r="S470" i="5"/>
  <c r="R470" i="5"/>
  <c r="S469" i="5"/>
  <c r="R469" i="5"/>
  <c r="S468" i="5"/>
  <c r="R468" i="5"/>
  <c r="S467" i="5"/>
  <c r="R467" i="5"/>
  <c r="S466" i="5"/>
  <c r="R466" i="5"/>
  <c r="S465" i="5"/>
  <c r="R465" i="5"/>
  <c r="W464" i="5"/>
  <c r="V464" i="5"/>
  <c r="U464" i="5"/>
  <c r="T464" i="5"/>
  <c r="X464" i="5" s="1"/>
  <c r="S464" i="5"/>
  <c r="R464" i="5"/>
  <c r="S463" i="5"/>
  <c r="R463" i="5"/>
  <c r="S462" i="5"/>
  <c r="R462" i="5"/>
  <c r="S461" i="5"/>
  <c r="R461" i="5"/>
  <c r="S460" i="5"/>
  <c r="R460" i="5"/>
  <c r="S459" i="5"/>
  <c r="R459" i="5"/>
  <c r="W458" i="5"/>
  <c r="V458" i="5"/>
  <c r="U458" i="5"/>
  <c r="U488" i="5" s="1"/>
  <c r="T458" i="5"/>
  <c r="X458" i="5" s="1"/>
  <c r="S458" i="5"/>
  <c r="R458" i="5"/>
  <c r="S457" i="5"/>
  <c r="R457" i="5"/>
  <c r="S456" i="5"/>
  <c r="R456" i="5"/>
  <c r="S455" i="5"/>
  <c r="R455" i="5"/>
  <c r="S454" i="5"/>
  <c r="R454" i="5"/>
  <c r="V452" i="5"/>
  <c r="X451" i="5"/>
  <c r="W451" i="5"/>
  <c r="V451" i="5"/>
  <c r="U451" i="5"/>
  <c r="T451" i="5"/>
  <c r="S451" i="5"/>
  <c r="R451" i="5"/>
  <c r="S450" i="5"/>
  <c r="R450" i="5"/>
  <c r="W449" i="5"/>
  <c r="V449" i="5"/>
  <c r="U449" i="5"/>
  <c r="T449" i="5"/>
  <c r="S449" i="5"/>
  <c r="R449" i="5"/>
  <c r="X448" i="5"/>
  <c r="W448" i="5"/>
  <c r="V448" i="5"/>
  <c r="U448" i="5"/>
  <c r="T448" i="5"/>
  <c r="S448" i="5"/>
  <c r="R448" i="5"/>
  <c r="S447" i="5"/>
  <c r="R447" i="5"/>
  <c r="W446" i="5"/>
  <c r="V446" i="5"/>
  <c r="U446" i="5"/>
  <c r="T446" i="5"/>
  <c r="S446" i="5"/>
  <c r="R446" i="5"/>
  <c r="S445" i="5"/>
  <c r="R445" i="5"/>
  <c r="X444" i="5"/>
  <c r="W444" i="5"/>
  <c r="V444" i="5"/>
  <c r="U444" i="5"/>
  <c r="T444" i="5"/>
  <c r="S444" i="5"/>
  <c r="R444" i="5"/>
  <c r="S443" i="5"/>
  <c r="R443" i="5"/>
  <c r="W442" i="5"/>
  <c r="V442" i="5"/>
  <c r="U442" i="5"/>
  <c r="U452" i="5" s="1"/>
  <c r="T442" i="5"/>
  <c r="X442" i="5" s="1"/>
  <c r="S442" i="5"/>
  <c r="R442" i="5"/>
  <c r="S441" i="5"/>
  <c r="R441" i="5"/>
  <c r="W438" i="5"/>
  <c r="V438" i="5"/>
  <c r="U438" i="5"/>
  <c r="T438" i="5"/>
  <c r="X438" i="5" s="1"/>
  <c r="S438" i="5"/>
  <c r="R438" i="5"/>
  <c r="S437" i="5"/>
  <c r="R437" i="5"/>
  <c r="S436" i="5"/>
  <c r="R436" i="5"/>
  <c r="S435" i="5"/>
  <c r="R435" i="5"/>
  <c r="S434" i="5"/>
  <c r="R434" i="5"/>
  <c r="W433" i="5"/>
  <c r="V433" i="5"/>
  <c r="U433" i="5"/>
  <c r="T433" i="5"/>
  <c r="S433" i="5"/>
  <c r="R433" i="5"/>
  <c r="S432" i="5"/>
  <c r="R432" i="5"/>
  <c r="S431" i="5"/>
  <c r="R431" i="5"/>
  <c r="S430" i="5"/>
  <c r="R430" i="5"/>
  <c r="S429" i="5"/>
  <c r="R429" i="5"/>
  <c r="W428" i="5"/>
  <c r="V428" i="5"/>
  <c r="U428" i="5"/>
  <c r="T428" i="5"/>
  <c r="S428" i="5"/>
  <c r="R428" i="5"/>
  <c r="S427" i="5"/>
  <c r="R427" i="5"/>
  <c r="S426" i="5"/>
  <c r="R426" i="5"/>
  <c r="S425" i="5"/>
  <c r="R425" i="5"/>
  <c r="S424" i="5"/>
  <c r="R424" i="5"/>
  <c r="S423" i="5"/>
  <c r="R423" i="5"/>
  <c r="S422" i="5"/>
  <c r="R422" i="5"/>
  <c r="S421" i="5"/>
  <c r="R421" i="5"/>
  <c r="W420" i="5"/>
  <c r="V420" i="5"/>
  <c r="U420" i="5"/>
  <c r="T420" i="5"/>
  <c r="X420" i="5" s="1"/>
  <c r="S420" i="5"/>
  <c r="R420" i="5"/>
  <c r="S419" i="5"/>
  <c r="R419" i="5"/>
  <c r="S418" i="5"/>
  <c r="R418" i="5"/>
  <c r="S417" i="5"/>
  <c r="R417" i="5"/>
  <c r="S416" i="5"/>
  <c r="R416" i="5"/>
  <c r="S415" i="5"/>
  <c r="R415" i="5"/>
  <c r="W414" i="5"/>
  <c r="V414" i="5"/>
  <c r="U414" i="5"/>
  <c r="T414" i="5"/>
  <c r="X414" i="5" s="1"/>
  <c r="S414" i="5"/>
  <c r="R414" i="5"/>
  <c r="S413" i="5"/>
  <c r="R413" i="5"/>
  <c r="S412" i="5"/>
  <c r="R412" i="5"/>
  <c r="S411" i="5"/>
  <c r="R411" i="5"/>
  <c r="S410" i="5"/>
  <c r="R410" i="5"/>
  <c r="W409" i="5"/>
  <c r="W439" i="5" s="1"/>
  <c r="V409" i="5"/>
  <c r="U409" i="5"/>
  <c r="T409" i="5"/>
  <c r="S409" i="5"/>
  <c r="R409" i="5"/>
  <c r="S408" i="5"/>
  <c r="R408" i="5"/>
  <c r="S407" i="5"/>
  <c r="R407" i="5"/>
  <c r="S406" i="5"/>
  <c r="R406" i="5"/>
  <c r="S405" i="5"/>
  <c r="R405" i="5"/>
  <c r="W402" i="5"/>
  <c r="X402" i="5" s="1"/>
  <c r="V402" i="5"/>
  <c r="U402" i="5"/>
  <c r="T402" i="5"/>
  <c r="S402" i="5"/>
  <c r="R402" i="5"/>
  <c r="S401" i="5"/>
  <c r="R401" i="5"/>
  <c r="S400" i="5"/>
  <c r="R400" i="5"/>
  <c r="S399" i="5"/>
  <c r="R399" i="5"/>
  <c r="S398" i="5"/>
  <c r="R398" i="5"/>
  <c r="W397" i="5"/>
  <c r="V397" i="5"/>
  <c r="U397" i="5"/>
  <c r="T397" i="5"/>
  <c r="S397" i="5"/>
  <c r="R397" i="5"/>
  <c r="S396" i="5"/>
  <c r="R396" i="5"/>
  <c r="S395" i="5"/>
  <c r="R395" i="5"/>
  <c r="S394" i="5"/>
  <c r="R394" i="5"/>
  <c r="S393" i="5"/>
  <c r="R393" i="5"/>
  <c r="W392" i="5"/>
  <c r="V392" i="5"/>
  <c r="U392" i="5"/>
  <c r="X392" i="5" s="1"/>
  <c r="T392" i="5"/>
  <c r="S392" i="5"/>
  <c r="R392" i="5"/>
  <c r="S391" i="5"/>
  <c r="R391" i="5"/>
  <c r="S390" i="5"/>
  <c r="R390" i="5"/>
  <c r="S389" i="5"/>
  <c r="R389" i="5"/>
  <c r="W388" i="5"/>
  <c r="V388" i="5"/>
  <c r="U388" i="5"/>
  <c r="T388" i="5"/>
  <c r="S388" i="5"/>
  <c r="R388" i="5"/>
  <c r="S387" i="5"/>
  <c r="R387" i="5"/>
  <c r="S386" i="5"/>
  <c r="R386" i="5"/>
  <c r="W385" i="5"/>
  <c r="V385" i="5"/>
  <c r="U385" i="5"/>
  <c r="U403" i="5" s="1"/>
  <c r="T385" i="5"/>
  <c r="S385" i="5"/>
  <c r="R385" i="5"/>
  <c r="S384" i="5"/>
  <c r="R384" i="5"/>
  <c r="S383" i="5"/>
  <c r="R383" i="5"/>
  <c r="W382" i="5"/>
  <c r="V382" i="5"/>
  <c r="X382" i="5" s="1"/>
  <c r="U382" i="5"/>
  <c r="T382" i="5"/>
  <c r="S382" i="5"/>
  <c r="R382" i="5"/>
  <c r="S381" i="5"/>
  <c r="R381" i="5"/>
  <c r="S380" i="5"/>
  <c r="R380" i="5"/>
  <c r="T378" i="5"/>
  <c r="X377" i="5"/>
  <c r="W377" i="5"/>
  <c r="V377" i="5"/>
  <c r="U377" i="5"/>
  <c r="T377" i="5"/>
  <c r="S377" i="5"/>
  <c r="R377" i="5"/>
  <c r="S376" i="5"/>
  <c r="R376" i="5"/>
  <c r="S375" i="5"/>
  <c r="R375" i="5"/>
  <c r="W374" i="5"/>
  <c r="V374" i="5"/>
  <c r="U374" i="5"/>
  <c r="T374" i="5"/>
  <c r="S374" i="5"/>
  <c r="R374" i="5"/>
  <c r="X373" i="5"/>
  <c r="W373" i="5"/>
  <c r="V373" i="5"/>
  <c r="U373" i="5"/>
  <c r="T373" i="5"/>
  <c r="S373" i="5"/>
  <c r="R373" i="5"/>
  <c r="S372" i="5"/>
  <c r="R372" i="5"/>
  <c r="S371" i="5"/>
  <c r="R371" i="5"/>
  <c r="W370" i="5"/>
  <c r="V370" i="5"/>
  <c r="U370" i="5"/>
  <c r="T370" i="5"/>
  <c r="S370" i="5"/>
  <c r="R370" i="5"/>
  <c r="S369" i="5"/>
  <c r="R369" i="5"/>
  <c r="S368" i="5"/>
  <c r="R368" i="5"/>
  <c r="W367" i="5"/>
  <c r="W378" i="5" s="1"/>
  <c r="V367" i="5"/>
  <c r="U367" i="5"/>
  <c r="T367" i="5"/>
  <c r="S367" i="5"/>
  <c r="R367" i="5"/>
  <c r="S366" i="5"/>
  <c r="R366" i="5"/>
  <c r="S365" i="5"/>
  <c r="R365" i="5"/>
  <c r="W364" i="5"/>
  <c r="V364" i="5"/>
  <c r="U364" i="5"/>
  <c r="T364" i="5"/>
  <c r="X364" i="5" s="1"/>
  <c r="S364" i="5"/>
  <c r="R364" i="5"/>
  <c r="S363" i="5"/>
  <c r="R363" i="5"/>
  <c r="S362" i="5"/>
  <c r="R362" i="5"/>
  <c r="W360" i="5"/>
  <c r="V360" i="5"/>
  <c r="T360" i="5"/>
  <c r="W359" i="5"/>
  <c r="V359" i="5"/>
  <c r="U359" i="5"/>
  <c r="T359" i="5"/>
  <c r="X359" i="5" s="1"/>
  <c r="S359" i="5"/>
  <c r="R359" i="5"/>
  <c r="S358" i="5"/>
  <c r="R358" i="5"/>
  <c r="S357" i="5"/>
  <c r="R357" i="5"/>
  <c r="S356" i="5"/>
  <c r="R356" i="5"/>
  <c r="S355" i="5"/>
  <c r="R355" i="5"/>
  <c r="S354" i="5"/>
  <c r="R354" i="5"/>
  <c r="S353" i="5"/>
  <c r="R353" i="5"/>
  <c r="S352" i="5"/>
  <c r="R352" i="5"/>
  <c r="S351" i="5"/>
  <c r="R351" i="5"/>
  <c r="S350" i="5"/>
  <c r="R350" i="5"/>
  <c r="S349" i="5"/>
  <c r="R349" i="5"/>
  <c r="S348" i="5"/>
  <c r="R348" i="5"/>
  <c r="S347" i="5"/>
  <c r="R347" i="5"/>
  <c r="X346" i="5"/>
  <c r="W346" i="5"/>
  <c r="V346" i="5"/>
  <c r="U346" i="5"/>
  <c r="T346" i="5"/>
  <c r="S346" i="5"/>
  <c r="R346" i="5"/>
  <c r="S345" i="5"/>
  <c r="R345" i="5"/>
  <c r="S344" i="5"/>
  <c r="R344" i="5"/>
  <c r="S343" i="5"/>
  <c r="R343" i="5"/>
  <c r="S342" i="5"/>
  <c r="R342" i="5"/>
  <c r="S341" i="5"/>
  <c r="R341" i="5"/>
  <c r="S340" i="5"/>
  <c r="R340" i="5"/>
  <c r="S339" i="5"/>
  <c r="R339" i="5"/>
  <c r="S338" i="5"/>
  <c r="R338" i="5"/>
  <c r="W337" i="5"/>
  <c r="V337" i="5"/>
  <c r="U337" i="5"/>
  <c r="X337" i="5" s="1"/>
  <c r="T337" i="5"/>
  <c r="S337" i="5"/>
  <c r="R337" i="5"/>
  <c r="S336" i="5"/>
  <c r="R336" i="5"/>
  <c r="S335" i="5"/>
  <c r="R335" i="5"/>
  <c r="S334" i="5"/>
  <c r="R334" i="5"/>
  <c r="S333" i="5"/>
  <c r="R333" i="5"/>
  <c r="S332" i="5"/>
  <c r="R332" i="5"/>
  <c r="S331" i="5"/>
  <c r="R331" i="5"/>
  <c r="S330" i="5"/>
  <c r="R330" i="5"/>
  <c r="S329" i="5"/>
  <c r="R329" i="5"/>
  <c r="S328" i="5"/>
  <c r="R328" i="5"/>
  <c r="S327" i="5"/>
  <c r="R327" i="5"/>
  <c r="S326" i="5"/>
  <c r="R326" i="5"/>
  <c r="W325" i="5"/>
  <c r="V325" i="5"/>
  <c r="U325" i="5"/>
  <c r="T325" i="5"/>
  <c r="X325" i="5" s="1"/>
  <c r="S325" i="5"/>
  <c r="R325" i="5"/>
  <c r="S324" i="5"/>
  <c r="R324" i="5"/>
  <c r="S323" i="5"/>
  <c r="R323" i="5"/>
  <c r="S322" i="5"/>
  <c r="R322" i="5"/>
  <c r="S321" i="5"/>
  <c r="R321" i="5"/>
  <c r="S320" i="5"/>
  <c r="R320" i="5"/>
  <c r="S319" i="5"/>
  <c r="R319" i="5"/>
  <c r="S318" i="5"/>
  <c r="R318" i="5"/>
  <c r="S317" i="5"/>
  <c r="R317" i="5"/>
  <c r="W316" i="5"/>
  <c r="V316" i="5"/>
  <c r="U316" i="5"/>
  <c r="T316" i="5"/>
  <c r="S316" i="5"/>
  <c r="R316" i="5"/>
  <c r="S315" i="5"/>
  <c r="R315" i="5"/>
  <c r="S314" i="5"/>
  <c r="R314" i="5"/>
  <c r="S313" i="5"/>
  <c r="R313" i="5"/>
  <c r="S312" i="5"/>
  <c r="R312" i="5"/>
  <c r="S311" i="5"/>
  <c r="R311" i="5"/>
  <c r="S310" i="5"/>
  <c r="R310" i="5"/>
  <c r="S309" i="5"/>
  <c r="R309" i="5"/>
  <c r="W306" i="5"/>
  <c r="V306" i="5"/>
  <c r="U306" i="5"/>
  <c r="X306" i="5" s="1"/>
  <c r="T306" i="5"/>
  <c r="S306" i="5"/>
  <c r="R306" i="5"/>
  <c r="S305" i="5"/>
  <c r="R305" i="5"/>
  <c r="S304" i="5"/>
  <c r="R304" i="5"/>
  <c r="X303" i="5"/>
  <c r="W303" i="5"/>
  <c r="V303" i="5"/>
  <c r="U303" i="5"/>
  <c r="T303" i="5"/>
  <c r="S303" i="5"/>
  <c r="R303" i="5"/>
  <c r="S302" i="5"/>
  <c r="R302" i="5"/>
  <c r="S301" i="5"/>
  <c r="R301" i="5"/>
  <c r="W300" i="5"/>
  <c r="V300" i="5"/>
  <c r="U300" i="5"/>
  <c r="T300" i="5"/>
  <c r="S300" i="5"/>
  <c r="R300" i="5"/>
  <c r="S299" i="5"/>
  <c r="R299" i="5"/>
  <c r="S298" i="5"/>
  <c r="R298" i="5"/>
  <c r="W297" i="5"/>
  <c r="V297" i="5"/>
  <c r="U297" i="5"/>
  <c r="T297" i="5"/>
  <c r="X297" i="5" s="1"/>
  <c r="S297" i="5"/>
  <c r="R297" i="5"/>
  <c r="S296" i="5"/>
  <c r="R296" i="5"/>
  <c r="W295" i="5"/>
  <c r="X295" i="5" s="1"/>
  <c r="V295" i="5"/>
  <c r="U295" i="5"/>
  <c r="T295" i="5"/>
  <c r="S295" i="5"/>
  <c r="R295" i="5"/>
  <c r="S294" i="5"/>
  <c r="R294" i="5"/>
  <c r="W293" i="5"/>
  <c r="V293" i="5"/>
  <c r="U293" i="5"/>
  <c r="U307" i="5" s="1"/>
  <c r="T293" i="5"/>
  <c r="X293" i="5" s="1"/>
  <c r="S293" i="5"/>
  <c r="R293" i="5"/>
  <c r="S292" i="5"/>
  <c r="R292" i="5"/>
  <c r="W291" i="5"/>
  <c r="V291" i="5"/>
  <c r="U291" i="5"/>
  <c r="T291" i="5"/>
  <c r="X291" i="5" s="1"/>
  <c r="S291" i="5"/>
  <c r="R291" i="5"/>
  <c r="S290" i="5"/>
  <c r="R290" i="5"/>
  <c r="U288" i="5"/>
  <c r="T288" i="5"/>
  <c r="W287" i="5"/>
  <c r="X287" i="5" s="1"/>
  <c r="V287" i="5"/>
  <c r="U287" i="5"/>
  <c r="T287" i="5"/>
  <c r="S287" i="5"/>
  <c r="R287" i="5"/>
  <c r="S286" i="5"/>
  <c r="R286" i="5"/>
  <c r="W285" i="5"/>
  <c r="V285" i="5"/>
  <c r="V288" i="5" s="1"/>
  <c r="U285" i="5"/>
  <c r="T285" i="5"/>
  <c r="S285" i="5"/>
  <c r="R285" i="5"/>
  <c r="W284" i="5"/>
  <c r="X284" i="5" s="1"/>
  <c r="V284" i="5"/>
  <c r="U284" i="5"/>
  <c r="T284" i="5"/>
  <c r="S284" i="5"/>
  <c r="R284" i="5"/>
  <c r="W283" i="5"/>
  <c r="V283" i="5"/>
  <c r="U283" i="5"/>
  <c r="T283" i="5"/>
  <c r="S283" i="5"/>
  <c r="R283" i="5"/>
  <c r="W282" i="5"/>
  <c r="X282" i="5" s="1"/>
  <c r="V282" i="5"/>
  <c r="U282" i="5"/>
  <c r="T282" i="5"/>
  <c r="S282" i="5"/>
  <c r="R282" i="5"/>
  <c r="W281" i="5"/>
  <c r="V281" i="5"/>
  <c r="U281" i="5"/>
  <c r="T281" i="5"/>
  <c r="S281" i="5"/>
  <c r="R281" i="5"/>
  <c r="S280" i="5"/>
  <c r="W278" i="5"/>
  <c r="V278" i="5"/>
  <c r="U278" i="5"/>
  <c r="T278" i="5"/>
  <c r="X278" i="5" s="1"/>
  <c r="S278" i="5"/>
  <c r="R278" i="5"/>
  <c r="S277" i="5"/>
  <c r="R277" i="5"/>
  <c r="S276" i="5"/>
  <c r="R276" i="5"/>
  <c r="S275" i="5"/>
  <c r="R275" i="5"/>
  <c r="S274" i="5"/>
  <c r="R274" i="5"/>
  <c r="S273" i="5"/>
  <c r="R273" i="5"/>
  <c r="S272" i="5"/>
  <c r="R272" i="5"/>
  <c r="S271" i="5"/>
  <c r="R271" i="5"/>
  <c r="S270" i="5"/>
  <c r="R270" i="5"/>
  <c r="S269" i="5"/>
  <c r="R269" i="5"/>
  <c r="S268" i="5"/>
  <c r="R268" i="5"/>
  <c r="S267" i="5"/>
  <c r="R267" i="5"/>
  <c r="S266" i="5"/>
  <c r="R266" i="5"/>
  <c r="S265" i="5"/>
  <c r="R265" i="5"/>
  <c r="S264" i="5"/>
  <c r="R264" i="5"/>
  <c r="S263" i="5"/>
  <c r="R263" i="5"/>
  <c r="S262" i="5"/>
  <c r="R262" i="5"/>
  <c r="S261" i="5"/>
  <c r="R261" i="5"/>
  <c r="S260" i="5"/>
  <c r="R260" i="5"/>
  <c r="S259" i="5"/>
  <c r="R259" i="5"/>
  <c r="W258" i="5"/>
  <c r="V258" i="5"/>
  <c r="X258" i="5" s="1"/>
  <c r="U258" i="5"/>
  <c r="T258" i="5"/>
  <c r="S258" i="5"/>
  <c r="R258" i="5"/>
  <c r="S257" i="5"/>
  <c r="R257" i="5"/>
  <c r="S256" i="5"/>
  <c r="R256" i="5"/>
  <c r="S255" i="5"/>
  <c r="R255" i="5"/>
  <c r="S254" i="5"/>
  <c r="R254" i="5"/>
  <c r="S253" i="5"/>
  <c r="R253" i="5"/>
  <c r="S252" i="5"/>
  <c r="R252" i="5"/>
  <c r="S251" i="5"/>
  <c r="R251" i="5"/>
  <c r="S250" i="5"/>
  <c r="R250" i="5"/>
  <c r="S249" i="5"/>
  <c r="R249" i="5"/>
  <c r="S248" i="5"/>
  <c r="R248" i="5"/>
  <c r="S247" i="5"/>
  <c r="R247" i="5"/>
  <c r="S246" i="5"/>
  <c r="R246" i="5"/>
  <c r="S245" i="5"/>
  <c r="R245" i="5"/>
  <c r="S244" i="5"/>
  <c r="R244" i="5"/>
  <c r="S243" i="5"/>
  <c r="R243" i="5"/>
  <c r="W242" i="5"/>
  <c r="V242" i="5"/>
  <c r="U242" i="5"/>
  <c r="T242" i="5"/>
  <c r="X242" i="5" s="1"/>
  <c r="S242" i="5"/>
  <c r="R242" i="5"/>
  <c r="S241" i="5"/>
  <c r="R241" i="5"/>
  <c r="S240" i="5"/>
  <c r="R240" i="5"/>
  <c r="S239" i="5"/>
  <c r="R239" i="5"/>
  <c r="S238" i="5"/>
  <c r="R238" i="5"/>
  <c r="S237" i="5"/>
  <c r="R237" i="5"/>
  <c r="S236" i="5"/>
  <c r="R236" i="5"/>
  <c r="S235" i="5"/>
  <c r="R235" i="5"/>
  <c r="S234" i="5"/>
  <c r="R234" i="5"/>
  <c r="S233" i="5"/>
  <c r="R233" i="5"/>
  <c r="S232" i="5"/>
  <c r="R232" i="5"/>
  <c r="S231" i="5"/>
  <c r="R231" i="5"/>
  <c r="S230" i="5"/>
  <c r="R230" i="5"/>
  <c r="S229" i="5"/>
  <c r="R229" i="5"/>
  <c r="S228" i="5"/>
  <c r="R228" i="5"/>
  <c r="S227" i="5"/>
  <c r="R227" i="5"/>
  <c r="S226" i="5"/>
  <c r="R226" i="5"/>
  <c r="S225" i="5"/>
  <c r="R225" i="5"/>
  <c r="S224" i="5"/>
  <c r="R224" i="5"/>
  <c r="S223" i="5"/>
  <c r="R223" i="5"/>
  <c r="X222" i="5"/>
  <c r="W222" i="5"/>
  <c r="V222" i="5"/>
  <c r="U222" i="5"/>
  <c r="T222" i="5"/>
  <c r="S222" i="5"/>
  <c r="R222" i="5"/>
  <c r="S221" i="5"/>
  <c r="R221" i="5"/>
  <c r="S220" i="5"/>
  <c r="R220" i="5"/>
  <c r="S219" i="5"/>
  <c r="R219" i="5"/>
  <c r="S218" i="5"/>
  <c r="R218" i="5"/>
  <c r="S217" i="5"/>
  <c r="R217" i="5"/>
  <c r="S216" i="5"/>
  <c r="R216" i="5"/>
  <c r="S215" i="5"/>
  <c r="R215" i="5"/>
  <c r="S214" i="5"/>
  <c r="R214" i="5"/>
  <c r="S213" i="5"/>
  <c r="R213" i="5"/>
  <c r="S212" i="5"/>
  <c r="R212" i="5"/>
  <c r="S211" i="5"/>
  <c r="R211" i="5"/>
  <c r="S210" i="5"/>
  <c r="R210" i="5"/>
  <c r="S209" i="5"/>
  <c r="R209" i="5"/>
  <c r="S208" i="5"/>
  <c r="R208" i="5"/>
  <c r="S207" i="5"/>
  <c r="R207" i="5"/>
  <c r="S206" i="5"/>
  <c r="R206" i="5"/>
  <c r="S205" i="5"/>
  <c r="R205" i="5"/>
  <c r="S204" i="5"/>
  <c r="R204" i="5"/>
  <c r="S203" i="5"/>
  <c r="R203" i="5"/>
  <c r="W202" i="5"/>
  <c r="V202" i="5"/>
  <c r="U202" i="5"/>
  <c r="U279" i="5" s="1"/>
  <c r="T202" i="5"/>
  <c r="S202" i="5"/>
  <c r="R202" i="5"/>
  <c r="S201" i="5"/>
  <c r="R201" i="5"/>
  <c r="S200" i="5"/>
  <c r="R200" i="5"/>
  <c r="S199" i="5"/>
  <c r="R199" i="5"/>
  <c r="S198" i="5"/>
  <c r="R198" i="5"/>
  <c r="S197" i="5"/>
  <c r="R197" i="5"/>
  <c r="S196" i="5"/>
  <c r="R196" i="5"/>
  <c r="S195" i="5"/>
  <c r="R195" i="5"/>
  <c r="S194" i="5"/>
  <c r="R194" i="5"/>
  <c r="S193" i="5"/>
  <c r="R193" i="5"/>
  <c r="S192" i="5"/>
  <c r="R192" i="5"/>
  <c r="S191" i="5"/>
  <c r="R191" i="5"/>
  <c r="S190" i="5"/>
  <c r="R190" i="5"/>
  <c r="S189" i="5"/>
  <c r="R189" i="5"/>
  <c r="S188" i="5"/>
  <c r="R188" i="5"/>
  <c r="S187" i="5"/>
  <c r="R187" i="5"/>
  <c r="S186" i="5"/>
  <c r="R186" i="5"/>
  <c r="S185" i="5"/>
  <c r="R185" i="5"/>
  <c r="W184" i="5"/>
  <c r="W279" i="5" s="1"/>
  <c r="V184" i="5"/>
  <c r="U184" i="5"/>
  <c r="T184" i="5"/>
  <c r="X184" i="5" s="1"/>
  <c r="S184" i="5"/>
  <c r="R184" i="5"/>
  <c r="S183" i="5"/>
  <c r="R183" i="5"/>
  <c r="S182" i="5"/>
  <c r="R182" i="5"/>
  <c r="S181" i="5"/>
  <c r="R181" i="5"/>
  <c r="S180" i="5"/>
  <c r="R180" i="5"/>
  <c r="S179" i="5"/>
  <c r="R179" i="5"/>
  <c r="S178" i="5"/>
  <c r="R178" i="5"/>
  <c r="S177" i="5"/>
  <c r="R177" i="5"/>
  <c r="S176" i="5"/>
  <c r="R176" i="5"/>
  <c r="S175" i="5"/>
  <c r="R175" i="5"/>
  <c r="W172" i="5"/>
  <c r="V172" i="5"/>
  <c r="U172" i="5"/>
  <c r="T172" i="5"/>
  <c r="S172" i="5"/>
  <c r="R172" i="5"/>
  <c r="S171" i="5"/>
  <c r="R171" i="5"/>
  <c r="W170" i="5"/>
  <c r="X170" i="5" s="1"/>
  <c r="V170" i="5"/>
  <c r="U170" i="5"/>
  <c r="T170" i="5"/>
  <c r="S170" i="5"/>
  <c r="R170" i="5"/>
  <c r="W169" i="5"/>
  <c r="V169" i="5"/>
  <c r="U169" i="5"/>
  <c r="T169" i="5"/>
  <c r="X169" i="5" s="1"/>
  <c r="S169" i="5"/>
  <c r="R169" i="5"/>
  <c r="W168" i="5"/>
  <c r="V168" i="5"/>
  <c r="U168" i="5"/>
  <c r="X168" i="5" s="1"/>
  <c r="T168" i="5"/>
  <c r="S168" i="5"/>
  <c r="R168" i="5"/>
  <c r="W167" i="5"/>
  <c r="V167" i="5"/>
  <c r="U167" i="5"/>
  <c r="T167" i="5"/>
  <c r="X167" i="5" s="1"/>
  <c r="S167" i="5"/>
  <c r="R167" i="5"/>
  <c r="W166" i="5"/>
  <c r="W173" i="5" s="1"/>
  <c r="V166" i="5"/>
  <c r="V173" i="5" s="1"/>
  <c r="U166" i="5"/>
  <c r="T166" i="5"/>
  <c r="S166" i="5"/>
  <c r="R166" i="5"/>
  <c r="W163" i="5"/>
  <c r="V163" i="5"/>
  <c r="U163" i="5"/>
  <c r="T163" i="5"/>
  <c r="S163" i="5"/>
  <c r="R163" i="5"/>
  <c r="S162" i="5"/>
  <c r="R162" i="5"/>
  <c r="W161" i="5"/>
  <c r="V161" i="5"/>
  <c r="X161" i="5" s="1"/>
  <c r="U161" i="5"/>
  <c r="T161" i="5"/>
  <c r="S161" i="5"/>
  <c r="R161" i="5"/>
  <c r="S160" i="5"/>
  <c r="R160" i="5"/>
  <c r="X159" i="5"/>
  <c r="W159" i="5"/>
  <c r="V159" i="5"/>
  <c r="U159" i="5"/>
  <c r="T159" i="5"/>
  <c r="S159" i="5"/>
  <c r="R159" i="5"/>
  <c r="W158" i="5"/>
  <c r="V158" i="5"/>
  <c r="X158" i="5" s="1"/>
  <c r="U158" i="5"/>
  <c r="T158" i="5"/>
  <c r="S158" i="5"/>
  <c r="R158" i="5"/>
  <c r="W157" i="5"/>
  <c r="V157" i="5"/>
  <c r="X157" i="5" s="1"/>
  <c r="U157" i="5"/>
  <c r="T157" i="5"/>
  <c r="S157" i="5"/>
  <c r="R157" i="5"/>
  <c r="W156" i="5"/>
  <c r="W164" i="5" s="1"/>
  <c r="V156" i="5"/>
  <c r="U156" i="5"/>
  <c r="T156" i="5"/>
  <c r="S156" i="5"/>
  <c r="R156" i="5"/>
  <c r="W153" i="5"/>
  <c r="V153" i="5"/>
  <c r="U153" i="5"/>
  <c r="T153" i="5"/>
  <c r="X153" i="5" s="1"/>
  <c r="S153" i="5"/>
  <c r="R153" i="5"/>
  <c r="S152" i="5"/>
  <c r="R152" i="5"/>
  <c r="S151" i="5"/>
  <c r="R151" i="5"/>
  <c r="S150" i="5"/>
  <c r="R150" i="5"/>
  <c r="S149" i="5"/>
  <c r="R149" i="5"/>
  <c r="X148" i="5"/>
  <c r="W148" i="5"/>
  <c r="V148" i="5"/>
  <c r="U148" i="5"/>
  <c r="T148" i="5"/>
  <c r="S148" i="5"/>
  <c r="R148" i="5"/>
  <c r="S147" i="5"/>
  <c r="R147" i="5"/>
  <c r="S146" i="5"/>
  <c r="R146" i="5"/>
  <c r="S145" i="5"/>
  <c r="R145" i="5"/>
  <c r="S144" i="5"/>
  <c r="R144" i="5"/>
  <c r="W143" i="5"/>
  <c r="V143" i="5"/>
  <c r="U143" i="5"/>
  <c r="T143" i="5"/>
  <c r="S143" i="5"/>
  <c r="R143" i="5"/>
  <c r="S142" i="5"/>
  <c r="R142" i="5"/>
  <c r="S141" i="5"/>
  <c r="R141" i="5"/>
  <c r="S140" i="5"/>
  <c r="R140" i="5"/>
  <c r="S139" i="5"/>
  <c r="R139" i="5"/>
  <c r="S138" i="5"/>
  <c r="R138" i="5"/>
  <c r="X137" i="5"/>
  <c r="W137" i="5"/>
  <c r="V137" i="5"/>
  <c r="U137" i="5"/>
  <c r="T137" i="5"/>
  <c r="S137" i="5"/>
  <c r="R137" i="5"/>
  <c r="S136" i="5"/>
  <c r="R136" i="5"/>
  <c r="S135" i="5"/>
  <c r="R135" i="5"/>
  <c r="S134" i="5"/>
  <c r="R134" i="5"/>
  <c r="S133" i="5"/>
  <c r="R133" i="5"/>
  <c r="W132" i="5"/>
  <c r="V132" i="5"/>
  <c r="U132" i="5"/>
  <c r="T132" i="5"/>
  <c r="X132" i="5" s="1"/>
  <c r="S132" i="5"/>
  <c r="R132" i="5"/>
  <c r="S131" i="5"/>
  <c r="R131" i="5"/>
  <c r="S130" i="5"/>
  <c r="R130" i="5"/>
  <c r="S129" i="5"/>
  <c r="R129" i="5"/>
  <c r="W128" i="5"/>
  <c r="W154" i="5" s="1"/>
  <c r="V128" i="5"/>
  <c r="V154" i="5" s="1"/>
  <c r="U128" i="5"/>
  <c r="T128" i="5"/>
  <c r="X128" i="5" s="1"/>
  <c r="S128" i="5"/>
  <c r="R128" i="5"/>
  <c r="S127" i="5"/>
  <c r="R127" i="5"/>
  <c r="S126" i="5"/>
  <c r="R126" i="5"/>
  <c r="S125" i="5"/>
  <c r="R125" i="5"/>
  <c r="W122" i="5"/>
  <c r="V122" i="5"/>
  <c r="U122" i="5"/>
  <c r="T122" i="5"/>
  <c r="S122" i="5"/>
  <c r="R122" i="5"/>
  <c r="S121" i="5"/>
  <c r="R121" i="5"/>
  <c r="S120" i="5"/>
  <c r="R120" i="5"/>
  <c r="S119" i="5"/>
  <c r="R119" i="5"/>
  <c r="S118" i="5"/>
  <c r="R118" i="5"/>
  <c r="W117" i="5"/>
  <c r="V117" i="5"/>
  <c r="U117" i="5"/>
  <c r="T117" i="5"/>
  <c r="S117" i="5"/>
  <c r="R117" i="5"/>
  <c r="S116" i="5"/>
  <c r="R116" i="5"/>
  <c r="S115" i="5"/>
  <c r="R115" i="5"/>
  <c r="S114" i="5"/>
  <c r="R114" i="5"/>
  <c r="S113" i="5"/>
  <c r="R113" i="5"/>
  <c r="W112" i="5"/>
  <c r="V112" i="5"/>
  <c r="U112" i="5"/>
  <c r="T112" i="5"/>
  <c r="X112" i="5" s="1"/>
  <c r="S112" i="5"/>
  <c r="R112" i="5"/>
  <c r="S111" i="5"/>
  <c r="R111" i="5"/>
  <c r="S110" i="5"/>
  <c r="R110" i="5"/>
  <c r="S109" i="5"/>
  <c r="R109" i="5"/>
  <c r="S108" i="5"/>
  <c r="R108" i="5"/>
  <c r="W107" i="5"/>
  <c r="V107" i="5"/>
  <c r="U107" i="5"/>
  <c r="T107" i="5"/>
  <c r="X107" i="5" s="1"/>
  <c r="S107" i="5"/>
  <c r="R107" i="5"/>
  <c r="S106" i="5"/>
  <c r="R106" i="5"/>
  <c r="S105" i="5"/>
  <c r="R105" i="5"/>
  <c r="X104" i="5"/>
  <c r="W104" i="5"/>
  <c r="V104" i="5"/>
  <c r="U104" i="5"/>
  <c r="T104" i="5"/>
  <c r="S104" i="5"/>
  <c r="R104" i="5"/>
  <c r="S103" i="5"/>
  <c r="R103" i="5"/>
  <c r="W102" i="5"/>
  <c r="W123" i="5" s="1"/>
  <c r="V102" i="5"/>
  <c r="U102" i="5"/>
  <c r="T102" i="5"/>
  <c r="S102" i="5"/>
  <c r="R102" i="5"/>
  <c r="S101" i="5"/>
  <c r="R101" i="5"/>
  <c r="W98" i="5"/>
  <c r="V98" i="5"/>
  <c r="U98" i="5"/>
  <c r="T98" i="5"/>
  <c r="X98" i="5" s="1"/>
  <c r="S98" i="5"/>
  <c r="R98" i="5"/>
  <c r="W97" i="5"/>
  <c r="V97" i="5"/>
  <c r="U97" i="5"/>
  <c r="X97" i="5" s="1"/>
  <c r="T97" i="5"/>
  <c r="S97" i="5"/>
  <c r="R97" i="5"/>
  <c r="W96" i="5"/>
  <c r="V96" i="5"/>
  <c r="U96" i="5"/>
  <c r="T96" i="5"/>
  <c r="X96" i="5" s="1"/>
  <c r="S96" i="5"/>
  <c r="R96" i="5"/>
  <c r="W95" i="5"/>
  <c r="W99" i="5" s="1"/>
  <c r="V95" i="5"/>
  <c r="U95" i="5"/>
  <c r="T95" i="5"/>
  <c r="S95" i="5"/>
  <c r="R95" i="5"/>
  <c r="X94" i="5"/>
  <c r="W94" i="5"/>
  <c r="V94" i="5"/>
  <c r="U94" i="5"/>
  <c r="T94" i="5"/>
  <c r="S94" i="5"/>
  <c r="R94" i="5"/>
  <c r="W93" i="5"/>
  <c r="V93" i="5"/>
  <c r="U93" i="5"/>
  <c r="T93" i="5"/>
  <c r="T99" i="5" s="1"/>
  <c r="S93" i="5"/>
  <c r="R93" i="5"/>
  <c r="W90" i="5"/>
  <c r="V90" i="5"/>
  <c r="U90" i="5"/>
  <c r="T90" i="5"/>
  <c r="X90" i="5" s="1"/>
  <c r="S90" i="5"/>
  <c r="R90" i="5"/>
  <c r="S89" i="5"/>
  <c r="R89" i="5"/>
  <c r="S88" i="5"/>
  <c r="R88" i="5"/>
  <c r="S87" i="5"/>
  <c r="R87" i="5"/>
  <c r="S86" i="5"/>
  <c r="R86" i="5"/>
  <c r="S85" i="5"/>
  <c r="R85" i="5"/>
  <c r="S84" i="5"/>
  <c r="R84" i="5"/>
  <c r="S83" i="5"/>
  <c r="R83" i="5"/>
  <c r="S82" i="5"/>
  <c r="R82" i="5"/>
  <c r="S81" i="5"/>
  <c r="R81" i="5"/>
  <c r="S80" i="5"/>
  <c r="R80" i="5"/>
  <c r="S79" i="5"/>
  <c r="R79" i="5"/>
  <c r="S78" i="5"/>
  <c r="R78" i="5"/>
  <c r="S77" i="5"/>
  <c r="R77" i="5"/>
  <c r="S76" i="5"/>
  <c r="R76" i="5"/>
  <c r="W75" i="5"/>
  <c r="V75" i="5"/>
  <c r="U75" i="5"/>
  <c r="T75" i="5"/>
  <c r="S75" i="5"/>
  <c r="R75" i="5"/>
  <c r="S74" i="5"/>
  <c r="R74" i="5"/>
  <c r="S73" i="5"/>
  <c r="R73" i="5"/>
  <c r="S72" i="5"/>
  <c r="R72" i="5"/>
  <c r="S71" i="5"/>
  <c r="R71" i="5"/>
  <c r="S70" i="5"/>
  <c r="R70" i="5"/>
  <c r="S69" i="5"/>
  <c r="R69" i="5"/>
  <c r="S68" i="5"/>
  <c r="R68" i="5"/>
  <c r="S67" i="5"/>
  <c r="R67" i="5"/>
  <c r="S66" i="5"/>
  <c r="R66" i="5"/>
  <c r="S65" i="5"/>
  <c r="R65" i="5"/>
  <c r="S64" i="5"/>
  <c r="R64" i="5"/>
  <c r="S63" i="5"/>
  <c r="R63" i="5"/>
  <c r="S62" i="5"/>
  <c r="R62" i="5"/>
  <c r="S61" i="5"/>
  <c r="R61" i="5"/>
  <c r="W60" i="5"/>
  <c r="V60" i="5"/>
  <c r="U60" i="5"/>
  <c r="T60" i="5"/>
  <c r="S60" i="5"/>
  <c r="R60" i="5"/>
  <c r="S59" i="5"/>
  <c r="R59" i="5"/>
  <c r="S58" i="5"/>
  <c r="R58" i="5"/>
  <c r="S57" i="5"/>
  <c r="R57" i="5"/>
  <c r="S56" i="5"/>
  <c r="R56" i="5"/>
  <c r="S55" i="5"/>
  <c r="R55" i="5"/>
  <c r="S54" i="5"/>
  <c r="R54" i="5"/>
  <c r="S53" i="5"/>
  <c r="R53" i="5"/>
  <c r="S52" i="5"/>
  <c r="R52" i="5"/>
  <c r="S51" i="5"/>
  <c r="R51" i="5"/>
  <c r="S50" i="5"/>
  <c r="R50" i="5"/>
  <c r="S49" i="5"/>
  <c r="R49" i="5"/>
  <c r="S48" i="5"/>
  <c r="R48" i="5"/>
  <c r="S47" i="5"/>
  <c r="R47" i="5"/>
  <c r="S46" i="5"/>
  <c r="R46" i="5"/>
  <c r="W45" i="5"/>
  <c r="V45" i="5"/>
  <c r="V91" i="5" s="1"/>
  <c r="U45" i="5"/>
  <c r="T45" i="5"/>
  <c r="X45" i="5" s="1"/>
  <c r="S45" i="5"/>
  <c r="R45" i="5"/>
  <c r="S44" i="5"/>
  <c r="R44" i="5"/>
  <c r="S43" i="5"/>
  <c r="R43" i="5"/>
  <c r="S42" i="5"/>
  <c r="R42" i="5"/>
  <c r="S41" i="5"/>
  <c r="R41" i="5"/>
  <c r="S40" i="5"/>
  <c r="R40" i="5"/>
  <c r="S39" i="5"/>
  <c r="R39" i="5"/>
  <c r="S38" i="5"/>
  <c r="R38" i="5"/>
  <c r="S37" i="5"/>
  <c r="R37" i="5"/>
  <c r="S36" i="5"/>
  <c r="R36" i="5"/>
  <c r="S35" i="5"/>
  <c r="R35" i="5"/>
  <c r="S34" i="5"/>
  <c r="R34" i="5"/>
  <c r="S33" i="5"/>
  <c r="R33" i="5"/>
  <c r="S32" i="5"/>
  <c r="R32" i="5"/>
  <c r="S31" i="5"/>
  <c r="R31" i="5"/>
  <c r="W30" i="5"/>
  <c r="X30" i="5" s="1"/>
  <c r="V30" i="5"/>
  <c r="U30" i="5"/>
  <c r="T30" i="5"/>
  <c r="S30" i="5"/>
  <c r="R30" i="5"/>
  <c r="S29" i="5"/>
  <c r="R29" i="5"/>
  <c r="S28" i="5"/>
  <c r="R28" i="5"/>
  <c r="S27" i="5"/>
  <c r="R27" i="5"/>
  <c r="S26" i="5"/>
  <c r="R26" i="5"/>
  <c r="S25" i="5"/>
  <c r="R25" i="5"/>
  <c r="S24" i="5"/>
  <c r="R24" i="5"/>
  <c r="S23" i="5"/>
  <c r="R23" i="5"/>
  <c r="S22" i="5"/>
  <c r="R22" i="5"/>
  <c r="S21" i="5"/>
  <c r="R21" i="5"/>
  <c r="S20" i="5"/>
  <c r="R20" i="5"/>
  <c r="S19" i="5"/>
  <c r="R19" i="5"/>
  <c r="S18" i="5"/>
  <c r="R18" i="5"/>
  <c r="W17" i="5"/>
  <c r="V17" i="5"/>
  <c r="X17" i="5" s="1"/>
  <c r="U17" i="5"/>
  <c r="U91" i="5" s="1"/>
  <c r="T17" i="5"/>
  <c r="S17" i="5"/>
  <c r="R17" i="5"/>
  <c r="S16" i="5"/>
  <c r="R16" i="5"/>
  <c r="S15" i="5"/>
  <c r="R15" i="5"/>
  <c r="S14" i="5"/>
  <c r="R14" i="5"/>
  <c r="S13" i="5"/>
  <c r="R13" i="5"/>
  <c r="S12" i="5"/>
  <c r="R12" i="5"/>
  <c r="S11" i="5"/>
  <c r="R11" i="5"/>
  <c r="P654" i="4"/>
  <c r="O654" i="4"/>
  <c r="M654" i="4"/>
  <c r="L654" i="4"/>
  <c r="K654" i="4"/>
  <c r="J654" i="4"/>
  <c r="I654" i="4"/>
  <c r="H654" i="4"/>
  <c r="G654" i="4"/>
  <c r="F654" i="4"/>
  <c r="R653" i="4"/>
  <c r="Q653" i="4"/>
  <c r="P653" i="4"/>
  <c r="O653" i="4"/>
  <c r="R652" i="4"/>
  <c r="Q652" i="4"/>
  <c r="P652" i="4"/>
  <c r="O652" i="4"/>
  <c r="R651" i="4"/>
  <c r="Q651" i="4"/>
  <c r="P651" i="4"/>
  <c r="O651" i="4"/>
  <c r="M649" i="4"/>
  <c r="L649" i="4"/>
  <c r="R649" i="4" s="1"/>
  <c r="K649" i="4"/>
  <c r="J649" i="4"/>
  <c r="Q649" i="4" s="1"/>
  <c r="I649" i="4"/>
  <c r="H649" i="4"/>
  <c r="G649" i="4"/>
  <c r="F649" i="4"/>
  <c r="R648" i="4"/>
  <c r="Q648" i="4"/>
  <c r="P648" i="4"/>
  <c r="O648" i="4"/>
  <c r="R647" i="4"/>
  <c r="Q647" i="4"/>
  <c r="P647" i="4"/>
  <c r="O647" i="4"/>
  <c r="R646" i="4"/>
  <c r="Q646" i="4"/>
  <c r="P646" i="4"/>
  <c r="O646" i="4"/>
  <c r="R645" i="4"/>
  <c r="Q645" i="4"/>
  <c r="P645" i="4"/>
  <c r="O645" i="4"/>
  <c r="R644" i="4"/>
  <c r="Q644" i="4"/>
  <c r="P644" i="4"/>
  <c r="O644" i="4"/>
  <c r="M642" i="4"/>
  <c r="L642" i="4"/>
  <c r="R642" i="4" s="1"/>
  <c r="K642" i="4"/>
  <c r="J642" i="4"/>
  <c r="I642" i="4"/>
  <c r="H642" i="4"/>
  <c r="P642" i="4" s="1"/>
  <c r="G642" i="4"/>
  <c r="F642" i="4"/>
  <c r="R641" i="4"/>
  <c r="Q641" i="4"/>
  <c r="P641" i="4"/>
  <c r="O641" i="4"/>
  <c r="R640" i="4"/>
  <c r="Q640" i="4"/>
  <c r="P640" i="4"/>
  <c r="O640" i="4"/>
  <c r="R639" i="4"/>
  <c r="Q639" i="4"/>
  <c r="P639" i="4"/>
  <c r="O639" i="4"/>
  <c r="R638" i="4"/>
  <c r="Q638" i="4"/>
  <c r="P638" i="4"/>
  <c r="O638" i="4"/>
  <c r="R637" i="4"/>
  <c r="Q637" i="4"/>
  <c r="P637" i="4"/>
  <c r="O637" i="4"/>
  <c r="R636" i="4"/>
  <c r="Q636" i="4"/>
  <c r="O636" i="4"/>
  <c r="R635" i="4"/>
  <c r="Q635" i="4"/>
  <c r="P635" i="4"/>
  <c r="O635" i="4"/>
  <c r="R634" i="4"/>
  <c r="Q634" i="4"/>
  <c r="P634" i="4"/>
  <c r="O634" i="4"/>
  <c r="R633" i="4"/>
  <c r="Q633" i="4"/>
  <c r="P633" i="4"/>
  <c r="O633" i="4"/>
  <c r="R632" i="4"/>
  <c r="Q632" i="4"/>
  <c r="P632" i="4"/>
  <c r="O632" i="4"/>
  <c r="R631" i="4"/>
  <c r="Q631" i="4"/>
  <c r="P631" i="4"/>
  <c r="O631" i="4"/>
  <c r="P629" i="4"/>
  <c r="O629" i="4"/>
  <c r="M629" i="4"/>
  <c r="L629" i="4"/>
  <c r="K629" i="4"/>
  <c r="J629" i="4"/>
  <c r="I629" i="4"/>
  <c r="H629" i="4"/>
  <c r="G629" i="4"/>
  <c r="F629" i="4"/>
  <c r="R628" i="4"/>
  <c r="Q628" i="4"/>
  <c r="P628" i="4"/>
  <c r="O628" i="4"/>
  <c r="R627" i="4"/>
  <c r="Q627" i="4"/>
  <c r="P627" i="4"/>
  <c r="O627" i="4"/>
  <c r="R625" i="4"/>
  <c r="P625" i="4"/>
  <c r="M625" i="4"/>
  <c r="L625" i="4"/>
  <c r="K625" i="4"/>
  <c r="J625" i="4"/>
  <c r="I625" i="4"/>
  <c r="H625" i="4"/>
  <c r="G625" i="4"/>
  <c r="F625" i="4"/>
  <c r="O625" i="4" s="1"/>
  <c r="R624" i="4"/>
  <c r="Q624" i="4"/>
  <c r="P624" i="4"/>
  <c r="O624" i="4"/>
  <c r="R623" i="4"/>
  <c r="Q623" i="4"/>
  <c r="P623" i="4"/>
  <c r="O623" i="4"/>
  <c r="R622" i="4"/>
  <c r="Q622" i="4"/>
  <c r="P622" i="4"/>
  <c r="O622" i="4"/>
  <c r="R621" i="4"/>
  <c r="Q621" i="4"/>
  <c r="P621" i="4"/>
  <c r="O621" i="4"/>
  <c r="R620" i="4"/>
  <c r="Q620" i="4"/>
  <c r="P620" i="4"/>
  <c r="O620" i="4"/>
  <c r="R619" i="4"/>
  <c r="Q619" i="4"/>
  <c r="P619" i="4"/>
  <c r="O619" i="4"/>
  <c r="R618" i="4"/>
  <c r="Q618" i="4"/>
  <c r="P618" i="4"/>
  <c r="O618" i="4"/>
  <c r="R617" i="4"/>
  <c r="Q617" i="4"/>
  <c r="P617" i="4"/>
  <c r="O617" i="4"/>
  <c r="R616" i="4"/>
  <c r="Q616" i="4"/>
  <c r="P616" i="4"/>
  <c r="O616" i="4"/>
  <c r="R614" i="4"/>
  <c r="Q614" i="4"/>
  <c r="P614" i="4"/>
  <c r="O614" i="4"/>
  <c r="R612" i="4"/>
  <c r="M612" i="4"/>
  <c r="L612" i="4"/>
  <c r="K612" i="4"/>
  <c r="J612" i="4"/>
  <c r="Q612" i="4" s="1"/>
  <c r="I612" i="4"/>
  <c r="H612" i="4"/>
  <c r="P612" i="4" s="1"/>
  <c r="G612" i="4"/>
  <c r="F612" i="4"/>
  <c r="R611" i="4"/>
  <c r="Q611" i="4"/>
  <c r="P611" i="4"/>
  <c r="O611" i="4"/>
  <c r="R610" i="4"/>
  <c r="Q610" i="4"/>
  <c r="P610" i="4"/>
  <c r="O610" i="4"/>
  <c r="R609" i="4"/>
  <c r="Q609" i="4"/>
  <c r="P609" i="4"/>
  <c r="O609" i="4"/>
  <c r="R608" i="4"/>
  <c r="Q608" i="4"/>
  <c r="P608" i="4"/>
  <c r="O608" i="4"/>
  <c r="Q606" i="4"/>
  <c r="P606" i="4"/>
  <c r="M606" i="4"/>
  <c r="R606" i="4" s="1"/>
  <c r="L606" i="4"/>
  <c r="K606" i="4"/>
  <c r="J606" i="4"/>
  <c r="I606" i="4"/>
  <c r="H606" i="4"/>
  <c r="G606" i="4"/>
  <c r="F606" i="4"/>
  <c r="O606" i="4" s="1"/>
  <c r="R605" i="4"/>
  <c r="Q605" i="4"/>
  <c r="P605" i="4"/>
  <c r="O605" i="4"/>
  <c r="R604" i="4"/>
  <c r="Q604" i="4"/>
  <c r="P604" i="4"/>
  <c r="O604" i="4"/>
  <c r="R603" i="4"/>
  <c r="Q603" i="4"/>
  <c r="P603" i="4"/>
  <c r="O603" i="4"/>
  <c r="M601" i="4"/>
  <c r="R601" i="4" s="1"/>
  <c r="L601" i="4"/>
  <c r="K601" i="4"/>
  <c r="Q601" i="4" s="1"/>
  <c r="J601" i="4"/>
  <c r="I601" i="4"/>
  <c r="H601" i="4"/>
  <c r="G601" i="4"/>
  <c r="O601" i="4" s="1"/>
  <c r="F601" i="4"/>
  <c r="R600" i="4"/>
  <c r="Q600" i="4"/>
  <c r="P600" i="4"/>
  <c r="O600" i="4"/>
  <c r="R599" i="4"/>
  <c r="Q599" i="4"/>
  <c r="P599" i="4"/>
  <c r="O599" i="4"/>
  <c r="R598" i="4"/>
  <c r="Q598" i="4"/>
  <c r="P598" i="4"/>
  <c r="O598" i="4"/>
  <c r="R597" i="4"/>
  <c r="Q597" i="4"/>
  <c r="P597" i="4"/>
  <c r="O597" i="4"/>
  <c r="R596" i="4"/>
  <c r="Q596" i="4"/>
  <c r="P596" i="4"/>
  <c r="O596" i="4"/>
  <c r="R595" i="4"/>
  <c r="Q595" i="4"/>
  <c r="P595" i="4"/>
  <c r="O595" i="4"/>
  <c r="R594" i="4"/>
  <c r="Q594" i="4"/>
  <c r="P594" i="4"/>
  <c r="O594" i="4"/>
  <c r="R593" i="4"/>
  <c r="Q593" i="4"/>
  <c r="P593" i="4"/>
  <c r="O593" i="4"/>
  <c r="R592" i="4"/>
  <c r="Q592" i="4"/>
  <c r="P592" i="4"/>
  <c r="O592" i="4"/>
  <c r="O589" i="4"/>
  <c r="M589" i="4"/>
  <c r="R589" i="4" s="1"/>
  <c r="L589" i="4"/>
  <c r="K589" i="4"/>
  <c r="Q589" i="4" s="1"/>
  <c r="J589" i="4"/>
  <c r="I589" i="4"/>
  <c r="H589" i="4"/>
  <c r="G589" i="4"/>
  <c r="G656" i="4" s="1"/>
  <c r="F589" i="4"/>
  <c r="R588" i="4"/>
  <c r="Q588" i="4"/>
  <c r="P588" i="4"/>
  <c r="O588" i="4"/>
  <c r="R587" i="4"/>
  <c r="Q587" i="4"/>
  <c r="P587" i="4"/>
  <c r="O587" i="4"/>
  <c r="R586" i="4"/>
  <c r="Q586" i="4"/>
  <c r="P586" i="4"/>
  <c r="O586" i="4"/>
  <c r="R585" i="4"/>
  <c r="Q585" i="4"/>
  <c r="P585" i="4"/>
  <c r="O585" i="4"/>
  <c r="R584" i="4"/>
  <c r="Q584" i="4"/>
  <c r="P584" i="4"/>
  <c r="O584" i="4"/>
  <c r="R583" i="4"/>
  <c r="Q583" i="4"/>
  <c r="P583" i="4"/>
  <c r="O583" i="4"/>
  <c r="R582" i="4"/>
  <c r="Q582" i="4"/>
  <c r="P582" i="4"/>
  <c r="O582" i="4"/>
  <c r="R581" i="4"/>
  <c r="Q581" i="4"/>
  <c r="P581" i="4"/>
  <c r="O581" i="4"/>
  <c r="R580" i="4"/>
  <c r="Q580" i="4"/>
  <c r="P580" i="4"/>
  <c r="O580" i="4"/>
  <c r="R579" i="4"/>
  <c r="Q579" i="4"/>
  <c r="P579" i="4"/>
  <c r="O579" i="4"/>
  <c r="O577" i="4"/>
  <c r="M577" i="4"/>
  <c r="L577" i="4"/>
  <c r="K577" i="4"/>
  <c r="J577" i="4"/>
  <c r="I577" i="4"/>
  <c r="P577" i="4" s="1"/>
  <c r="H577" i="4"/>
  <c r="G577" i="4"/>
  <c r="F577" i="4"/>
  <c r="R576" i="4"/>
  <c r="Q576" i="4"/>
  <c r="P576" i="4"/>
  <c r="O576" i="4"/>
  <c r="R575" i="4"/>
  <c r="Q575" i="4"/>
  <c r="P575" i="4"/>
  <c r="O575" i="4"/>
  <c r="R574" i="4"/>
  <c r="Q574" i="4"/>
  <c r="P574" i="4"/>
  <c r="O574" i="4"/>
  <c r="R573" i="4"/>
  <c r="Q573" i="4"/>
  <c r="P573" i="4"/>
  <c r="O573" i="4"/>
  <c r="R572" i="4"/>
  <c r="Q572" i="4"/>
  <c r="P572" i="4"/>
  <c r="O572" i="4"/>
  <c r="R571" i="4"/>
  <c r="Q571" i="4"/>
  <c r="P571" i="4"/>
  <c r="O571" i="4"/>
  <c r="R570" i="4"/>
  <c r="Q570" i="4"/>
  <c r="P570" i="4"/>
  <c r="O570" i="4"/>
  <c r="R569" i="4"/>
  <c r="Q569" i="4"/>
  <c r="P569" i="4"/>
  <c r="O569" i="4"/>
  <c r="K567" i="4"/>
  <c r="J567" i="4"/>
  <c r="Q567" i="4" s="1"/>
  <c r="I567" i="4"/>
  <c r="H567" i="4"/>
  <c r="P567" i="4" s="1"/>
  <c r="G567" i="4"/>
  <c r="O567" i="4" s="1"/>
  <c r="F567" i="4"/>
  <c r="R566" i="4"/>
  <c r="Q566" i="4"/>
  <c r="P566" i="4"/>
  <c r="O566" i="4"/>
  <c r="R565" i="4"/>
  <c r="Q565" i="4"/>
  <c r="P565" i="4"/>
  <c r="O565" i="4"/>
  <c r="R564" i="4"/>
  <c r="Q564" i="4"/>
  <c r="P564" i="4"/>
  <c r="O564" i="4"/>
  <c r="R563" i="4"/>
  <c r="Q563" i="4"/>
  <c r="P563" i="4"/>
  <c r="O563" i="4"/>
  <c r="M563" i="4"/>
  <c r="M567" i="4" s="1"/>
  <c r="L563" i="4"/>
  <c r="L567" i="4" s="1"/>
  <c r="R562" i="4"/>
  <c r="Q562" i="4"/>
  <c r="P562" i="4"/>
  <c r="O562" i="4"/>
  <c r="R561" i="4"/>
  <c r="Q561" i="4"/>
  <c r="P561" i="4"/>
  <c r="O561" i="4"/>
  <c r="R560" i="4"/>
  <c r="Q560" i="4"/>
  <c r="P560" i="4"/>
  <c r="O560" i="4"/>
  <c r="R559" i="4"/>
  <c r="Q559" i="4"/>
  <c r="P559" i="4"/>
  <c r="O559" i="4"/>
  <c r="R558" i="4"/>
  <c r="Q558" i="4"/>
  <c r="P558" i="4"/>
  <c r="O558" i="4"/>
  <c r="R557" i="4"/>
  <c r="Q557" i="4"/>
  <c r="P557" i="4"/>
  <c r="O557" i="4"/>
  <c r="P555" i="4"/>
  <c r="O555" i="4"/>
  <c r="M555" i="4"/>
  <c r="L555" i="4"/>
  <c r="R555" i="4" s="1"/>
  <c r="K555" i="4"/>
  <c r="J555" i="4"/>
  <c r="I555" i="4"/>
  <c r="H555" i="4"/>
  <c r="G555" i="4"/>
  <c r="F555" i="4"/>
  <c r="R554" i="4"/>
  <c r="O554" i="4"/>
  <c r="R553" i="4"/>
  <c r="P553" i="4"/>
  <c r="O553" i="4"/>
  <c r="P551" i="4"/>
  <c r="O551" i="4"/>
  <c r="M551" i="4"/>
  <c r="R551" i="4" s="1"/>
  <c r="L551" i="4"/>
  <c r="K551" i="4"/>
  <c r="Q551" i="4" s="1"/>
  <c r="J551" i="4"/>
  <c r="I551" i="4"/>
  <c r="H551" i="4"/>
  <c r="G551" i="4"/>
  <c r="F551" i="4"/>
  <c r="R550" i="4"/>
  <c r="Q550" i="4"/>
  <c r="P550" i="4"/>
  <c r="O550" i="4"/>
  <c r="R549" i="4"/>
  <c r="Q549" i="4"/>
  <c r="P549" i="4"/>
  <c r="O549" i="4"/>
  <c r="R548" i="4"/>
  <c r="Q548" i="4"/>
  <c r="P548" i="4"/>
  <c r="O548" i="4"/>
  <c r="R547" i="4"/>
  <c r="Q547" i="4"/>
  <c r="P547" i="4"/>
  <c r="O547" i="4"/>
  <c r="Q545" i="4"/>
  <c r="M545" i="4"/>
  <c r="K545" i="4"/>
  <c r="J545" i="4"/>
  <c r="I545" i="4"/>
  <c r="P545" i="4" s="1"/>
  <c r="H545" i="4"/>
  <c r="G545" i="4"/>
  <c r="O545" i="4" s="1"/>
  <c r="F545" i="4"/>
  <c r="Q544" i="4"/>
  <c r="P544" i="4"/>
  <c r="O544" i="4"/>
  <c r="L544" i="4"/>
  <c r="R544" i="4" s="1"/>
  <c r="R543" i="4"/>
  <c r="Q543" i="4"/>
  <c r="P543" i="4"/>
  <c r="O543" i="4"/>
  <c r="L543" i="4"/>
  <c r="R542" i="4"/>
  <c r="Q542" i="4"/>
  <c r="P542" i="4"/>
  <c r="O542" i="4"/>
  <c r="L542" i="4"/>
  <c r="Q541" i="4"/>
  <c r="P541" i="4"/>
  <c r="O541" i="4"/>
  <c r="L541" i="4"/>
  <c r="R541" i="4" s="1"/>
  <c r="Q540" i="4"/>
  <c r="P540" i="4"/>
  <c r="O540" i="4"/>
  <c r="L540" i="4"/>
  <c r="Q538" i="4"/>
  <c r="P538" i="4"/>
  <c r="O538" i="4"/>
  <c r="M538" i="4"/>
  <c r="L538" i="4"/>
  <c r="R538" i="4" s="1"/>
  <c r="K538" i="4"/>
  <c r="J538" i="4"/>
  <c r="I538" i="4"/>
  <c r="H538" i="4"/>
  <c r="G538" i="4"/>
  <c r="F538" i="4"/>
  <c r="R537" i="4"/>
  <c r="Q537" i="4"/>
  <c r="P537" i="4"/>
  <c r="O537" i="4"/>
  <c r="R536" i="4"/>
  <c r="Q536" i="4"/>
  <c r="P536" i="4"/>
  <c r="O536" i="4"/>
  <c r="R535" i="4"/>
  <c r="Q535" i="4"/>
  <c r="P535" i="4"/>
  <c r="O535" i="4"/>
  <c r="R534" i="4"/>
  <c r="Q534" i="4"/>
  <c r="P534" i="4"/>
  <c r="O534" i="4"/>
  <c r="R533" i="4"/>
  <c r="Q533" i="4"/>
  <c r="P533" i="4"/>
  <c r="O533" i="4"/>
  <c r="R532" i="4"/>
  <c r="Q532" i="4"/>
  <c r="P532" i="4"/>
  <c r="O532" i="4"/>
  <c r="R531" i="4"/>
  <c r="Q531" i="4"/>
  <c r="P531" i="4"/>
  <c r="O531" i="4"/>
  <c r="R530" i="4"/>
  <c r="Q530" i="4"/>
  <c r="P530" i="4"/>
  <c r="O530" i="4"/>
  <c r="R529" i="4"/>
  <c r="Q529" i="4"/>
  <c r="P529" i="4"/>
  <c r="O529" i="4"/>
  <c r="R528" i="4"/>
  <c r="Q528" i="4"/>
  <c r="P528" i="4"/>
  <c r="O528" i="4"/>
  <c r="R527" i="4"/>
  <c r="Q527" i="4"/>
  <c r="P527" i="4"/>
  <c r="O527" i="4"/>
  <c r="R526" i="4"/>
  <c r="Q526" i="4"/>
  <c r="P526" i="4"/>
  <c r="O526" i="4"/>
  <c r="R525" i="4"/>
  <c r="Q525" i="4"/>
  <c r="P525" i="4"/>
  <c r="O525" i="4"/>
  <c r="R524" i="4"/>
  <c r="Q524" i="4"/>
  <c r="P524" i="4"/>
  <c r="O524" i="4"/>
  <c r="R523" i="4"/>
  <c r="Q523" i="4"/>
  <c r="P523" i="4"/>
  <c r="O523" i="4"/>
  <c r="R522" i="4"/>
  <c r="Q522" i="4"/>
  <c r="P522" i="4"/>
  <c r="O522" i="4"/>
  <c r="R520" i="4"/>
  <c r="O520" i="4"/>
  <c r="M520" i="4"/>
  <c r="L520" i="4"/>
  <c r="K520" i="4"/>
  <c r="J520" i="4"/>
  <c r="Q520" i="4" s="1"/>
  <c r="I520" i="4"/>
  <c r="H520" i="4"/>
  <c r="P520" i="4" s="1"/>
  <c r="G520" i="4"/>
  <c r="F520" i="4"/>
  <c r="R519" i="4"/>
  <c r="Q519" i="4"/>
  <c r="P519" i="4"/>
  <c r="O519" i="4"/>
  <c r="R518" i="4"/>
  <c r="Q518" i="4"/>
  <c r="P518" i="4"/>
  <c r="O518" i="4"/>
  <c r="R517" i="4"/>
  <c r="Q517" i="4"/>
  <c r="P517" i="4"/>
  <c r="O517" i="4"/>
  <c r="R516" i="4"/>
  <c r="Q516" i="4"/>
  <c r="P516" i="4"/>
  <c r="O516" i="4"/>
  <c r="R515" i="4"/>
  <c r="Q515" i="4"/>
  <c r="P515" i="4"/>
  <c r="O515" i="4"/>
  <c r="R514" i="4"/>
  <c r="Q514" i="4"/>
  <c r="P514" i="4"/>
  <c r="O514" i="4"/>
  <c r="R513" i="4"/>
  <c r="Q513" i="4"/>
  <c r="P513" i="4"/>
  <c r="O513" i="4"/>
  <c r="R512" i="4"/>
  <c r="Q512" i="4"/>
  <c r="P512" i="4"/>
  <c r="O512" i="4"/>
  <c r="R511" i="4"/>
  <c r="Q511" i="4"/>
  <c r="P511" i="4"/>
  <c r="O511" i="4"/>
  <c r="R509" i="4"/>
  <c r="O509" i="4"/>
  <c r="M509" i="4"/>
  <c r="L509" i="4"/>
  <c r="K509" i="4"/>
  <c r="J509" i="4"/>
  <c r="I509" i="4"/>
  <c r="H509" i="4"/>
  <c r="P509" i="4" s="1"/>
  <c r="G509" i="4"/>
  <c r="F509" i="4"/>
  <c r="R508" i="4"/>
  <c r="Q508" i="4"/>
  <c r="P508" i="4"/>
  <c r="O508" i="4"/>
  <c r="R507" i="4"/>
  <c r="Q507" i="4"/>
  <c r="P507" i="4"/>
  <c r="O507" i="4"/>
  <c r="R506" i="4"/>
  <c r="Q506" i="4"/>
  <c r="P506" i="4"/>
  <c r="O506" i="4"/>
  <c r="R505" i="4"/>
  <c r="Q505" i="4"/>
  <c r="P505" i="4"/>
  <c r="O505" i="4"/>
  <c r="R504" i="4"/>
  <c r="Q504" i="4"/>
  <c r="P504" i="4"/>
  <c r="O504" i="4"/>
  <c r="R503" i="4"/>
  <c r="Q503" i="4"/>
  <c r="P503" i="4"/>
  <c r="O503" i="4"/>
  <c r="R502" i="4"/>
  <c r="Q502" i="4"/>
  <c r="P502" i="4"/>
  <c r="O502" i="4"/>
  <c r="R501" i="4"/>
  <c r="Q501" i="4"/>
  <c r="P501" i="4"/>
  <c r="O501" i="4"/>
  <c r="R500" i="4"/>
  <c r="Q500" i="4"/>
  <c r="P500" i="4"/>
  <c r="O500" i="4"/>
  <c r="R499" i="4"/>
  <c r="Q499" i="4"/>
  <c r="P499" i="4"/>
  <c r="O499" i="4"/>
  <c r="R498" i="4"/>
  <c r="Q498" i="4"/>
  <c r="P498" i="4"/>
  <c r="O498" i="4"/>
  <c r="R497" i="4"/>
  <c r="Q497" i="4"/>
  <c r="P497" i="4"/>
  <c r="O497" i="4"/>
  <c r="R496" i="4"/>
  <c r="Q496" i="4"/>
  <c r="P496" i="4"/>
  <c r="O496" i="4"/>
  <c r="R495" i="4"/>
  <c r="Q495" i="4"/>
  <c r="P495" i="4"/>
  <c r="O495" i="4"/>
  <c r="R494" i="4"/>
  <c r="Q494" i="4"/>
  <c r="P494" i="4"/>
  <c r="O494" i="4"/>
  <c r="R493" i="4"/>
  <c r="Q493" i="4"/>
  <c r="P493" i="4"/>
  <c r="O493" i="4"/>
  <c r="R492" i="4"/>
  <c r="Q492" i="4"/>
  <c r="P492" i="4"/>
  <c r="O492" i="4"/>
  <c r="R491" i="4"/>
  <c r="Q491" i="4"/>
  <c r="P491" i="4"/>
  <c r="O491" i="4"/>
  <c r="R490" i="4"/>
  <c r="Q490" i="4"/>
  <c r="P490" i="4"/>
  <c r="O490" i="4"/>
  <c r="R489" i="4"/>
  <c r="Q489" i="4"/>
  <c r="P489" i="4"/>
  <c r="O489" i="4"/>
  <c r="R488" i="4"/>
  <c r="Q488" i="4"/>
  <c r="P488" i="4"/>
  <c r="O488" i="4"/>
  <c r="O486" i="4"/>
  <c r="M486" i="4"/>
  <c r="L486" i="4"/>
  <c r="R486" i="4" s="1"/>
  <c r="K486" i="4"/>
  <c r="J486" i="4"/>
  <c r="I486" i="4"/>
  <c r="H486" i="4"/>
  <c r="P486" i="4" s="1"/>
  <c r="G486" i="4"/>
  <c r="F486" i="4"/>
  <c r="R485" i="4"/>
  <c r="Q485" i="4"/>
  <c r="P485" i="4"/>
  <c r="O485" i="4"/>
  <c r="R484" i="4"/>
  <c r="Q484" i="4"/>
  <c r="P484" i="4"/>
  <c r="O484" i="4"/>
  <c r="R483" i="4"/>
  <c r="Q483" i="4"/>
  <c r="P483" i="4"/>
  <c r="O483" i="4"/>
  <c r="R482" i="4"/>
  <c r="Q482" i="4"/>
  <c r="P482" i="4"/>
  <c r="O482" i="4"/>
  <c r="R481" i="4"/>
  <c r="Q481" i="4"/>
  <c r="P481" i="4"/>
  <c r="O481" i="4"/>
  <c r="Q480" i="4"/>
  <c r="R479" i="4"/>
  <c r="Q479" i="4"/>
  <c r="P479" i="4"/>
  <c r="O479" i="4"/>
  <c r="R478" i="4"/>
  <c r="Q478" i="4"/>
  <c r="P478" i="4"/>
  <c r="O478" i="4"/>
  <c r="R476" i="4"/>
  <c r="M476" i="4"/>
  <c r="L476" i="4"/>
  <c r="K476" i="4"/>
  <c r="J476" i="4"/>
  <c r="Q476" i="4" s="1"/>
  <c r="I476" i="4"/>
  <c r="H476" i="4"/>
  <c r="P476" i="4" s="1"/>
  <c r="G476" i="4"/>
  <c r="F476" i="4"/>
  <c r="R475" i="4"/>
  <c r="Q475" i="4"/>
  <c r="P475" i="4"/>
  <c r="O475" i="4"/>
  <c r="R474" i="4"/>
  <c r="Q474" i="4"/>
  <c r="P474" i="4"/>
  <c r="O474" i="4"/>
  <c r="R473" i="4"/>
  <c r="Q473" i="4"/>
  <c r="P473" i="4"/>
  <c r="O473" i="4"/>
  <c r="R472" i="4"/>
  <c r="Q472" i="4"/>
  <c r="P472" i="4"/>
  <c r="O472" i="4"/>
  <c r="R471" i="4"/>
  <c r="Q471" i="4"/>
  <c r="P471" i="4"/>
  <c r="O471" i="4"/>
  <c r="R470" i="4"/>
  <c r="Q470" i="4"/>
  <c r="P470" i="4"/>
  <c r="O470" i="4"/>
  <c r="R469" i="4"/>
  <c r="Q469" i="4"/>
  <c r="P469" i="4"/>
  <c r="O469" i="4"/>
  <c r="R468" i="4"/>
  <c r="Q468" i="4"/>
  <c r="P468" i="4"/>
  <c r="O468" i="4"/>
  <c r="R466" i="4"/>
  <c r="Q466" i="4"/>
  <c r="P466" i="4"/>
  <c r="O466" i="4"/>
  <c r="R464" i="4"/>
  <c r="M464" i="4"/>
  <c r="L464" i="4"/>
  <c r="K464" i="4"/>
  <c r="J464" i="4"/>
  <c r="I464" i="4"/>
  <c r="H464" i="4"/>
  <c r="G464" i="4"/>
  <c r="F464" i="4"/>
  <c r="R463" i="4"/>
  <c r="Q463" i="4"/>
  <c r="P463" i="4"/>
  <c r="O463" i="4"/>
  <c r="R462" i="4"/>
  <c r="Q462" i="4"/>
  <c r="P462" i="4"/>
  <c r="O462" i="4"/>
  <c r="R461" i="4"/>
  <c r="Q461" i="4"/>
  <c r="P461" i="4"/>
  <c r="O461" i="4"/>
  <c r="R460" i="4"/>
  <c r="Q460" i="4"/>
  <c r="P460" i="4"/>
  <c r="O460" i="4"/>
  <c r="R459" i="4"/>
  <c r="Q459" i="4"/>
  <c r="P459" i="4"/>
  <c r="O459" i="4"/>
  <c r="R458" i="4"/>
  <c r="Q458" i="4"/>
  <c r="P458" i="4"/>
  <c r="O458" i="4"/>
  <c r="R457" i="4"/>
  <c r="Q457" i="4"/>
  <c r="P457" i="4"/>
  <c r="O457" i="4"/>
  <c r="R456" i="4"/>
  <c r="Q456" i="4"/>
  <c r="P456" i="4"/>
  <c r="O456" i="4"/>
  <c r="R455" i="4"/>
  <c r="Q455" i="4"/>
  <c r="P455" i="4"/>
  <c r="O455" i="4"/>
  <c r="R454" i="4"/>
  <c r="Q454" i="4"/>
  <c r="P454" i="4"/>
  <c r="O454" i="4"/>
  <c r="R453" i="4"/>
  <c r="Q453" i="4"/>
  <c r="P453" i="4"/>
  <c r="O453" i="4"/>
  <c r="R452" i="4"/>
  <c r="Q452" i="4"/>
  <c r="P452" i="4"/>
  <c r="O452" i="4"/>
  <c r="R451" i="4"/>
  <c r="Q451" i="4"/>
  <c r="P451" i="4"/>
  <c r="O451" i="4"/>
  <c r="R450" i="4"/>
  <c r="Q450" i="4"/>
  <c r="P450" i="4"/>
  <c r="O450" i="4"/>
  <c r="R449" i="4"/>
  <c r="Q449" i="4"/>
  <c r="P449" i="4"/>
  <c r="O449" i="4"/>
  <c r="R448" i="4"/>
  <c r="Q448" i="4"/>
  <c r="P448" i="4"/>
  <c r="O448" i="4"/>
  <c r="R447" i="4"/>
  <c r="Q447" i="4"/>
  <c r="P447" i="4"/>
  <c r="O447" i="4"/>
  <c r="R446" i="4"/>
  <c r="Q446" i="4"/>
  <c r="P446" i="4"/>
  <c r="O446" i="4"/>
  <c r="R445" i="4"/>
  <c r="Q445" i="4"/>
  <c r="P445" i="4"/>
  <c r="O445" i="4"/>
  <c r="O443" i="4"/>
  <c r="M443" i="4"/>
  <c r="L443" i="4"/>
  <c r="R443" i="4" s="1"/>
  <c r="K443" i="4"/>
  <c r="J443" i="4"/>
  <c r="I443" i="4"/>
  <c r="P443" i="4" s="1"/>
  <c r="H443" i="4"/>
  <c r="G443" i="4"/>
  <c r="F443" i="4"/>
  <c r="R442" i="4"/>
  <c r="Q442" i="4"/>
  <c r="P442" i="4"/>
  <c r="O442" i="4"/>
  <c r="R441" i="4"/>
  <c r="Q441" i="4"/>
  <c r="P441" i="4"/>
  <c r="O441" i="4"/>
  <c r="R440" i="4"/>
  <c r="Q440" i="4"/>
  <c r="P440" i="4"/>
  <c r="O440" i="4"/>
  <c r="R439" i="4"/>
  <c r="Q439" i="4"/>
  <c r="P439" i="4"/>
  <c r="O439" i="4"/>
  <c r="R438" i="4"/>
  <c r="Q438" i="4"/>
  <c r="P438" i="4"/>
  <c r="O438" i="4"/>
  <c r="R437" i="4"/>
  <c r="Q437" i="4"/>
  <c r="P437" i="4"/>
  <c r="O437" i="4"/>
  <c r="R436" i="4"/>
  <c r="Q436" i="4"/>
  <c r="P436" i="4"/>
  <c r="O436" i="4"/>
  <c r="R435" i="4"/>
  <c r="Q435" i="4"/>
  <c r="P435" i="4"/>
  <c r="O435" i="4"/>
  <c r="R434" i="4"/>
  <c r="Q434" i="4"/>
  <c r="P434" i="4"/>
  <c r="O434" i="4"/>
  <c r="R433" i="4"/>
  <c r="Q433" i="4"/>
  <c r="P433" i="4"/>
  <c r="O433" i="4"/>
  <c r="R432" i="4"/>
  <c r="Q432" i="4"/>
  <c r="P432" i="4"/>
  <c r="O432" i="4"/>
  <c r="R431" i="4"/>
  <c r="Q431" i="4"/>
  <c r="P431" i="4"/>
  <c r="O431" i="4"/>
  <c r="R430" i="4"/>
  <c r="Q430" i="4"/>
  <c r="P430" i="4"/>
  <c r="O430" i="4"/>
  <c r="R429" i="4"/>
  <c r="Q429" i="4"/>
  <c r="P429" i="4"/>
  <c r="O429" i="4"/>
  <c r="R428" i="4"/>
  <c r="Q428" i="4"/>
  <c r="P428" i="4"/>
  <c r="O428" i="4"/>
  <c r="R427" i="4"/>
  <c r="Q427" i="4"/>
  <c r="P427" i="4"/>
  <c r="O427" i="4"/>
  <c r="R426" i="4"/>
  <c r="Q426" i="4"/>
  <c r="P426" i="4"/>
  <c r="O426" i="4"/>
  <c r="R425" i="4"/>
  <c r="Q425" i="4"/>
  <c r="P425" i="4"/>
  <c r="O425" i="4"/>
  <c r="R424" i="4"/>
  <c r="Q424" i="4"/>
  <c r="P424" i="4"/>
  <c r="O424" i="4"/>
  <c r="R423" i="4"/>
  <c r="Q423" i="4"/>
  <c r="P423" i="4"/>
  <c r="O423" i="4"/>
  <c r="R422" i="4"/>
  <c r="Q422" i="4"/>
  <c r="P422" i="4"/>
  <c r="O422" i="4"/>
  <c r="R421" i="4"/>
  <c r="Q421" i="4"/>
  <c r="O421" i="4"/>
  <c r="R420" i="4"/>
  <c r="Q420" i="4"/>
  <c r="P420" i="4"/>
  <c r="O420" i="4"/>
  <c r="R419" i="4"/>
  <c r="Q419" i="4"/>
  <c r="P419" i="4"/>
  <c r="O419" i="4"/>
  <c r="R418" i="4"/>
  <c r="Q418" i="4"/>
  <c r="P418" i="4"/>
  <c r="O418" i="4"/>
  <c r="O416" i="4"/>
  <c r="M416" i="4"/>
  <c r="L416" i="4"/>
  <c r="R416" i="4" s="1"/>
  <c r="K416" i="4"/>
  <c r="J416" i="4"/>
  <c r="Q416" i="4" s="1"/>
  <c r="I416" i="4"/>
  <c r="H416" i="4"/>
  <c r="P416" i="4" s="1"/>
  <c r="G416" i="4"/>
  <c r="F416" i="4"/>
  <c r="R415" i="4"/>
  <c r="Q415" i="4"/>
  <c r="P415" i="4"/>
  <c r="O415" i="4"/>
  <c r="R414" i="4"/>
  <c r="Q414" i="4"/>
  <c r="P414" i="4"/>
  <c r="O414" i="4"/>
  <c r="R413" i="4"/>
  <c r="Q413" i="4"/>
  <c r="P413" i="4"/>
  <c r="O413" i="4"/>
  <c r="M411" i="4"/>
  <c r="R411" i="4" s="1"/>
  <c r="L411" i="4"/>
  <c r="K411" i="4"/>
  <c r="J411" i="4"/>
  <c r="Q411" i="4" s="1"/>
  <c r="I411" i="4"/>
  <c r="H411" i="4"/>
  <c r="G411" i="4"/>
  <c r="F411" i="4"/>
  <c r="O411" i="4" s="1"/>
  <c r="R410" i="4"/>
  <c r="Q410" i="4"/>
  <c r="P410" i="4"/>
  <c r="O410" i="4"/>
  <c r="R409" i="4"/>
  <c r="Q409" i="4"/>
  <c r="P409" i="4"/>
  <c r="O409" i="4"/>
  <c r="R408" i="4"/>
  <c r="Q408" i="4"/>
  <c r="P408" i="4"/>
  <c r="O408" i="4"/>
  <c r="R407" i="4"/>
  <c r="Q407" i="4"/>
  <c r="P407" i="4"/>
  <c r="O407" i="4"/>
  <c r="R406" i="4"/>
  <c r="Q406" i="4"/>
  <c r="P406" i="4"/>
  <c r="O406" i="4"/>
  <c r="R405" i="4"/>
  <c r="Q405" i="4"/>
  <c r="P405" i="4"/>
  <c r="O405" i="4"/>
  <c r="R404" i="4"/>
  <c r="Q404" i="4"/>
  <c r="P404" i="4"/>
  <c r="O404" i="4"/>
  <c r="R403" i="4"/>
  <c r="Q403" i="4"/>
  <c r="P403" i="4"/>
  <c r="O403" i="4"/>
  <c r="Q401" i="4"/>
  <c r="P401" i="4"/>
  <c r="M401" i="4"/>
  <c r="L401" i="4"/>
  <c r="R401" i="4" s="1"/>
  <c r="K401" i="4"/>
  <c r="J401" i="4"/>
  <c r="I401" i="4"/>
  <c r="H401" i="4"/>
  <c r="G401" i="4"/>
  <c r="F401" i="4"/>
  <c r="O401" i="4" s="1"/>
  <c r="R400" i="4"/>
  <c r="Q400" i="4"/>
  <c r="P400" i="4"/>
  <c r="O400" i="4"/>
  <c r="R399" i="4"/>
  <c r="Q399" i="4"/>
  <c r="P399" i="4"/>
  <c r="O399" i="4"/>
  <c r="R398" i="4"/>
  <c r="Q398" i="4"/>
  <c r="P398" i="4"/>
  <c r="O398" i="4"/>
  <c r="R397" i="4"/>
  <c r="Q397" i="4"/>
  <c r="P397" i="4"/>
  <c r="O397" i="4"/>
  <c r="R396" i="4"/>
  <c r="Q396" i="4"/>
  <c r="P396" i="4"/>
  <c r="O396" i="4"/>
  <c r="R395" i="4"/>
  <c r="Q395" i="4"/>
  <c r="P395" i="4"/>
  <c r="O395" i="4"/>
  <c r="R394" i="4"/>
  <c r="Q394" i="4"/>
  <c r="P394" i="4"/>
  <c r="O394" i="4"/>
  <c r="R393" i="4"/>
  <c r="Q393" i="4"/>
  <c r="P393" i="4"/>
  <c r="O393" i="4"/>
  <c r="R392" i="4"/>
  <c r="Q392" i="4"/>
  <c r="P392" i="4"/>
  <c r="O392" i="4"/>
  <c r="R391" i="4"/>
  <c r="Q391" i="4"/>
  <c r="P391" i="4"/>
  <c r="O391" i="4"/>
  <c r="R390" i="4"/>
  <c r="Q390" i="4"/>
  <c r="P390" i="4"/>
  <c r="O390" i="4"/>
  <c r="R389" i="4"/>
  <c r="Q389" i="4"/>
  <c r="P389" i="4"/>
  <c r="O389" i="4"/>
  <c r="R388" i="4"/>
  <c r="Q388" i="4"/>
  <c r="P388" i="4"/>
  <c r="O388" i="4"/>
  <c r="R387" i="4"/>
  <c r="Q387" i="4"/>
  <c r="P387" i="4"/>
  <c r="O387" i="4"/>
  <c r="R386" i="4"/>
  <c r="Q386" i="4"/>
  <c r="P386" i="4"/>
  <c r="O386" i="4"/>
  <c r="R385" i="4"/>
  <c r="Q385" i="4"/>
  <c r="P385" i="4"/>
  <c r="O385" i="4"/>
  <c r="R384" i="4"/>
  <c r="Q384" i="4"/>
  <c r="P384" i="4"/>
  <c r="O384" i="4"/>
  <c r="R383" i="4"/>
  <c r="Q383" i="4"/>
  <c r="P383" i="4"/>
  <c r="O383" i="4"/>
  <c r="R382" i="4"/>
  <c r="Q382" i="4"/>
  <c r="P382" i="4"/>
  <c r="O382" i="4"/>
  <c r="R381" i="4"/>
  <c r="Q381" i="4"/>
  <c r="P381" i="4"/>
  <c r="O381" i="4"/>
  <c r="R380" i="4"/>
  <c r="Q380" i="4"/>
  <c r="P380" i="4"/>
  <c r="O380" i="4"/>
  <c r="R379" i="4"/>
  <c r="Q379" i="4"/>
  <c r="P379" i="4"/>
  <c r="O379" i="4"/>
  <c r="R378" i="4"/>
  <c r="Q378" i="4"/>
  <c r="P378" i="4"/>
  <c r="O378" i="4"/>
  <c r="R377" i="4"/>
  <c r="Q377" i="4"/>
  <c r="P377" i="4"/>
  <c r="O377" i="4"/>
  <c r="R376" i="4"/>
  <c r="Q376" i="4"/>
  <c r="P376" i="4"/>
  <c r="O376" i="4"/>
  <c r="R375" i="4"/>
  <c r="Q375" i="4"/>
  <c r="P375" i="4"/>
  <c r="O375" i="4"/>
  <c r="R374" i="4"/>
  <c r="Q374" i="4"/>
  <c r="P374" i="4"/>
  <c r="O374" i="4"/>
  <c r="R373" i="4"/>
  <c r="Q373" i="4"/>
  <c r="P373" i="4"/>
  <c r="O373" i="4"/>
  <c r="R372" i="4"/>
  <c r="Q372" i="4"/>
  <c r="P372" i="4"/>
  <c r="O372" i="4"/>
  <c r="Q370" i="4"/>
  <c r="P370" i="4"/>
  <c r="M370" i="4"/>
  <c r="L370" i="4"/>
  <c r="R370" i="4" s="1"/>
  <c r="K370" i="4"/>
  <c r="J370" i="4"/>
  <c r="I370" i="4"/>
  <c r="H370" i="4"/>
  <c r="G370" i="4"/>
  <c r="F370" i="4"/>
  <c r="O370" i="4" s="1"/>
  <c r="R369" i="4"/>
  <c r="Q369" i="4"/>
  <c r="P369" i="4"/>
  <c r="O369" i="4"/>
  <c r="R368" i="4"/>
  <c r="Q368" i="4"/>
  <c r="P368" i="4"/>
  <c r="O368" i="4"/>
  <c r="Q366" i="4"/>
  <c r="M366" i="4"/>
  <c r="R366" i="4" s="1"/>
  <c r="L366" i="4"/>
  <c r="K366" i="4"/>
  <c r="J366" i="4"/>
  <c r="I366" i="4"/>
  <c r="H366" i="4"/>
  <c r="P366" i="4" s="1"/>
  <c r="G366" i="4"/>
  <c r="F366" i="4"/>
  <c r="O366" i="4" s="1"/>
  <c r="R365" i="4"/>
  <c r="Q365" i="4"/>
  <c r="P365" i="4"/>
  <c r="O365" i="4"/>
  <c r="R364" i="4"/>
  <c r="Q364" i="4"/>
  <c r="P364" i="4"/>
  <c r="O364" i="4"/>
  <c r="R363" i="4"/>
  <c r="Q363" i="4"/>
  <c r="P363" i="4"/>
  <c r="O363" i="4"/>
  <c r="R362" i="4"/>
  <c r="Q362" i="4"/>
  <c r="P362" i="4"/>
  <c r="O362" i="4"/>
  <c r="R361" i="4"/>
  <c r="Q361" i="4"/>
  <c r="P361" i="4"/>
  <c r="O361" i="4"/>
  <c r="R360" i="4"/>
  <c r="Q360" i="4"/>
  <c r="P360" i="4"/>
  <c r="O360" i="4"/>
  <c r="R359" i="4"/>
  <c r="Q359" i="4"/>
  <c r="P359" i="4"/>
  <c r="O359" i="4"/>
  <c r="Q357" i="4"/>
  <c r="O357" i="4"/>
  <c r="M357" i="4"/>
  <c r="L357" i="4"/>
  <c r="R357" i="4" s="1"/>
  <c r="K357" i="4"/>
  <c r="J357" i="4"/>
  <c r="I357" i="4"/>
  <c r="H357" i="4"/>
  <c r="P357" i="4" s="1"/>
  <c r="G357" i="4"/>
  <c r="F357" i="4"/>
  <c r="R356" i="4"/>
  <c r="Q356" i="4"/>
  <c r="P356" i="4"/>
  <c r="O356" i="4"/>
  <c r="R355" i="4"/>
  <c r="O355" i="4"/>
  <c r="R354" i="4"/>
  <c r="Q354" i="4"/>
  <c r="P354" i="4"/>
  <c r="O354" i="4"/>
  <c r="R353" i="4"/>
  <c r="Q353" i="4"/>
  <c r="P353" i="4"/>
  <c r="O353" i="4"/>
  <c r="R352" i="4"/>
  <c r="Q352" i="4"/>
  <c r="P352" i="4"/>
  <c r="O352" i="4"/>
  <c r="R351" i="4"/>
  <c r="O351" i="4"/>
  <c r="R350" i="4"/>
  <c r="Q350" i="4"/>
  <c r="P350" i="4"/>
  <c r="O350" i="4"/>
  <c r="R349" i="4"/>
  <c r="Q349" i="4"/>
  <c r="P349" i="4"/>
  <c r="O349" i="4"/>
  <c r="R348" i="4"/>
  <c r="Q348" i="4"/>
  <c r="P348" i="4"/>
  <c r="O348" i="4"/>
  <c r="R347" i="4"/>
  <c r="O347" i="4"/>
  <c r="R346" i="4"/>
  <c r="Q346" i="4"/>
  <c r="P346" i="4"/>
  <c r="O346" i="4"/>
  <c r="R345" i="4"/>
  <c r="Q345" i="4"/>
  <c r="P345" i="4"/>
  <c r="O345" i="4"/>
  <c r="R344" i="4"/>
  <c r="Q344" i="4"/>
  <c r="P344" i="4"/>
  <c r="O344" i="4"/>
  <c r="R343" i="4"/>
  <c r="Q343" i="4"/>
  <c r="P343" i="4"/>
  <c r="O343" i="4"/>
  <c r="R342" i="4"/>
  <c r="Q342" i="4"/>
  <c r="P342" i="4"/>
  <c r="O342" i="4"/>
  <c r="R341" i="4"/>
  <c r="Q341" i="4"/>
  <c r="P341" i="4"/>
  <c r="O341" i="4"/>
  <c r="R340" i="4"/>
  <c r="Q340" i="4"/>
  <c r="P340" i="4"/>
  <c r="O340" i="4"/>
  <c r="R339" i="4"/>
  <c r="O339" i="4"/>
  <c r="R338" i="4"/>
  <c r="Q338" i="4"/>
  <c r="P338" i="4"/>
  <c r="O338" i="4"/>
  <c r="R337" i="4"/>
  <c r="O337" i="4"/>
  <c r="R336" i="4"/>
  <c r="O336" i="4"/>
  <c r="R335" i="4"/>
  <c r="Q335" i="4"/>
  <c r="P335" i="4"/>
  <c r="O335" i="4"/>
  <c r="R334" i="4"/>
  <c r="Q334" i="4"/>
  <c r="P334" i="4"/>
  <c r="O334" i="4"/>
  <c r="R333" i="4"/>
  <c r="Q333" i="4"/>
  <c r="P333" i="4"/>
  <c r="O333" i="4"/>
  <c r="R332" i="4"/>
  <c r="Q332" i="4"/>
  <c r="P332" i="4"/>
  <c r="O332" i="4"/>
  <c r="R331" i="4"/>
  <c r="Q331" i="4"/>
  <c r="P331" i="4"/>
  <c r="O331" i="4"/>
  <c r="R330" i="4"/>
  <c r="Q330" i="4"/>
  <c r="P330" i="4"/>
  <c r="O330" i="4"/>
  <c r="R329" i="4"/>
  <c r="Q329" i="4"/>
  <c r="P329" i="4"/>
  <c r="O329" i="4"/>
  <c r="R328" i="4"/>
  <c r="Q328" i="4"/>
  <c r="P328" i="4"/>
  <c r="O328" i="4"/>
  <c r="R327" i="4"/>
  <c r="Q327" i="4"/>
  <c r="P327" i="4"/>
  <c r="O327" i="4"/>
  <c r="R326" i="4"/>
  <c r="O326" i="4"/>
  <c r="R325" i="4"/>
  <c r="Q325" i="4"/>
  <c r="P325" i="4"/>
  <c r="O325" i="4"/>
  <c r="R324" i="4"/>
  <c r="Q324" i="4"/>
  <c r="P324" i="4"/>
  <c r="O324" i="4"/>
  <c r="R323" i="4"/>
  <c r="Q323" i="4"/>
  <c r="P323" i="4"/>
  <c r="O323" i="4"/>
  <c r="R322" i="4"/>
  <c r="Q322" i="4"/>
  <c r="P322" i="4"/>
  <c r="O322" i="4"/>
  <c r="M320" i="4"/>
  <c r="L320" i="4"/>
  <c r="K320" i="4"/>
  <c r="J320" i="4"/>
  <c r="I320" i="4"/>
  <c r="H320" i="4"/>
  <c r="P320" i="4" s="1"/>
  <c r="G320" i="4"/>
  <c r="F320" i="4"/>
  <c r="O320" i="4" s="1"/>
  <c r="R319" i="4"/>
  <c r="Q319" i="4"/>
  <c r="P319" i="4"/>
  <c r="O319" i="4"/>
  <c r="R318" i="4"/>
  <c r="Q318" i="4"/>
  <c r="P318" i="4"/>
  <c r="O318" i="4"/>
  <c r="R317" i="4"/>
  <c r="Q317" i="4"/>
  <c r="P317" i="4"/>
  <c r="O317" i="4"/>
  <c r="R316" i="4"/>
  <c r="Q316" i="4"/>
  <c r="P316" i="4"/>
  <c r="O316" i="4"/>
  <c r="R314" i="4"/>
  <c r="Q314" i="4"/>
  <c r="O314" i="4"/>
  <c r="M314" i="4"/>
  <c r="L314" i="4"/>
  <c r="K314" i="4"/>
  <c r="J314" i="4"/>
  <c r="I314" i="4"/>
  <c r="H314" i="4"/>
  <c r="P314" i="4" s="1"/>
  <c r="G314" i="4"/>
  <c r="F314" i="4"/>
  <c r="R313" i="4"/>
  <c r="Q313" i="4"/>
  <c r="P313" i="4"/>
  <c r="O313" i="4"/>
  <c r="R312" i="4"/>
  <c r="Q312" i="4"/>
  <c r="P312" i="4"/>
  <c r="O312" i="4"/>
  <c r="R311" i="4"/>
  <c r="Q311" i="4"/>
  <c r="P311" i="4"/>
  <c r="O311" i="4"/>
  <c r="R310" i="4"/>
  <c r="Q310" i="4"/>
  <c r="P310" i="4"/>
  <c r="O310" i="4"/>
  <c r="R309" i="4"/>
  <c r="Q309" i="4"/>
  <c r="P309" i="4"/>
  <c r="O309" i="4"/>
  <c r="R308" i="4"/>
  <c r="Q308" i="4"/>
  <c r="P308" i="4"/>
  <c r="O308" i="4"/>
  <c r="M306" i="4"/>
  <c r="L306" i="4"/>
  <c r="K306" i="4"/>
  <c r="J306" i="4"/>
  <c r="I306" i="4"/>
  <c r="H306" i="4"/>
  <c r="P306" i="4" s="1"/>
  <c r="G306" i="4"/>
  <c r="F306" i="4"/>
  <c r="O306" i="4" s="1"/>
  <c r="R305" i="4"/>
  <c r="Q305" i="4"/>
  <c r="P305" i="4"/>
  <c r="O305" i="4"/>
  <c r="R304" i="4"/>
  <c r="Q304" i="4"/>
  <c r="P304" i="4"/>
  <c r="O304" i="4"/>
  <c r="R303" i="4"/>
  <c r="Q303" i="4"/>
  <c r="P303" i="4"/>
  <c r="O303" i="4"/>
  <c r="R302" i="4"/>
  <c r="Q302" i="4"/>
  <c r="P302" i="4"/>
  <c r="O302" i="4"/>
  <c r="R301" i="4"/>
  <c r="Q301" i="4"/>
  <c r="P301" i="4"/>
  <c r="O301" i="4"/>
  <c r="R300" i="4"/>
  <c r="Q300" i="4"/>
  <c r="P300" i="4"/>
  <c r="O300" i="4"/>
  <c r="R299" i="4"/>
  <c r="Q299" i="4"/>
  <c r="P299" i="4"/>
  <c r="O299" i="4"/>
  <c r="R298" i="4"/>
  <c r="Q298" i="4"/>
  <c r="P298" i="4"/>
  <c r="O298" i="4"/>
  <c r="R297" i="4"/>
  <c r="Q297" i="4"/>
  <c r="P297" i="4"/>
  <c r="O297" i="4"/>
  <c r="R296" i="4"/>
  <c r="Q296" i="4"/>
  <c r="R295" i="4"/>
  <c r="Q295" i="4"/>
  <c r="P295" i="4"/>
  <c r="O295" i="4"/>
  <c r="R294" i="4"/>
  <c r="Q294" i="4"/>
  <c r="P294" i="4"/>
  <c r="O294" i="4"/>
  <c r="Q293" i="4"/>
  <c r="P293" i="4"/>
  <c r="O293" i="4"/>
  <c r="M293" i="4"/>
  <c r="R293" i="4" s="1"/>
  <c r="M291" i="4"/>
  <c r="L291" i="4"/>
  <c r="R291" i="4" s="1"/>
  <c r="K291" i="4"/>
  <c r="J291" i="4"/>
  <c r="Q291" i="4" s="1"/>
  <c r="I291" i="4"/>
  <c r="H291" i="4"/>
  <c r="G291" i="4"/>
  <c r="F291" i="4"/>
  <c r="R290" i="4"/>
  <c r="Q290" i="4"/>
  <c r="P290" i="4"/>
  <c r="O290" i="4"/>
  <c r="R289" i="4"/>
  <c r="Q289" i="4"/>
  <c r="P289" i="4"/>
  <c r="O289" i="4"/>
  <c r="P287" i="4"/>
  <c r="O287" i="4"/>
  <c r="M287" i="4"/>
  <c r="K287" i="4"/>
  <c r="Q287" i="4" s="1"/>
  <c r="J287" i="4"/>
  <c r="I287" i="4"/>
  <c r="H287" i="4"/>
  <c r="G287" i="4"/>
  <c r="F287" i="4"/>
  <c r="R286" i="4"/>
  <c r="Q286" i="4"/>
  <c r="P286" i="4"/>
  <c r="O286" i="4"/>
  <c r="R285" i="4"/>
  <c r="Q285" i="4"/>
  <c r="P285" i="4"/>
  <c r="O285" i="4"/>
  <c r="R283" i="4"/>
  <c r="P283" i="4"/>
  <c r="O283" i="4"/>
  <c r="M283" i="4"/>
  <c r="L283" i="4"/>
  <c r="K283" i="4"/>
  <c r="J283" i="4"/>
  <c r="I283" i="4"/>
  <c r="H283" i="4"/>
  <c r="G283" i="4"/>
  <c r="F283" i="4"/>
  <c r="R282" i="4"/>
  <c r="Q282" i="4"/>
  <c r="P282" i="4"/>
  <c r="O282" i="4"/>
  <c r="R281" i="4"/>
  <c r="Q281" i="4"/>
  <c r="P281" i="4"/>
  <c r="O281" i="4"/>
  <c r="R280" i="4"/>
  <c r="Q280" i="4"/>
  <c r="P280" i="4"/>
  <c r="O280" i="4"/>
  <c r="R279" i="4"/>
  <c r="Q279" i="4"/>
  <c r="P279" i="4"/>
  <c r="O279" i="4"/>
  <c r="R278" i="4"/>
  <c r="Q278" i="4"/>
  <c r="P278" i="4"/>
  <c r="O278" i="4"/>
  <c r="R277" i="4"/>
  <c r="Q277" i="4"/>
  <c r="P277" i="4"/>
  <c r="O277" i="4"/>
  <c r="R276" i="4"/>
  <c r="Q276" i="4"/>
  <c r="P276" i="4"/>
  <c r="O276" i="4"/>
  <c r="M274" i="4"/>
  <c r="L274" i="4"/>
  <c r="R274" i="4" s="1"/>
  <c r="K274" i="4"/>
  <c r="J274" i="4"/>
  <c r="I274" i="4"/>
  <c r="H274" i="4"/>
  <c r="P274" i="4" s="1"/>
  <c r="G274" i="4"/>
  <c r="F274" i="4"/>
  <c r="O274" i="4" s="1"/>
  <c r="R273" i="4"/>
  <c r="Q273" i="4"/>
  <c r="P273" i="4"/>
  <c r="O273" i="4"/>
  <c r="R272" i="4"/>
  <c r="Q272" i="4"/>
  <c r="P272" i="4"/>
  <c r="O272" i="4"/>
  <c r="R271" i="4"/>
  <c r="Q271" i="4"/>
  <c r="P271" i="4"/>
  <c r="O271" i="4"/>
  <c r="R270" i="4"/>
  <c r="Q270" i="4"/>
  <c r="P270" i="4"/>
  <c r="O270" i="4"/>
  <c r="R269" i="4"/>
  <c r="Q269" i="4"/>
  <c r="P269" i="4"/>
  <c r="O269" i="4"/>
  <c r="R267" i="4"/>
  <c r="Q267" i="4"/>
  <c r="P267" i="4"/>
  <c r="O267" i="4"/>
  <c r="R265" i="4"/>
  <c r="M265" i="4"/>
  <c r="L265" i="4"/>
  <c r="K265" i="4"/>
  <c r="J265" i="4"/>
  <c r="Q265" i="4" s="1"/>
  <c r="I265" i="4"/>
  <c r="H265" i="4"/>
  <c r="P265" i="4" s="1"/>
  <c r="G265" i="4"/>
  <c r="F265" i="4"/>
  <c r="O265" i="4" s="1"/>
  <c r="R264" i="4"/>
  <c r="Q264" i="4"/>
  <c r="P264" i="4"/>
  <c r="O264" i="4"/>
  <c r="R263" i="4"/>
  <c r="Q263" i="4"/>
  <c r="P263" i="4"/>
  <c r="O263" i="4"/>
  <c r="R262" i="4"/>
  <c r="Q262" i="4"/>
  <c r="P262" i="4"/>
  <c r="O262" i="4"/>
  <c r="R261" i="4"/>
  <c r="Q261" i="4"/>
  <c r="P261" i="4"/>
  <c r="O261" i="4"/>
  <c r="R260" i="4"/>
  <c r="Q260" i="4"/>
  <c r="P260" i="4"/>
  <c r="O260" i="4"/>
  <c r="R259" i="4"/>
  <c r="Q259" i="4"/>
  <c r="P259" i="4"/>
  <c r="O259" i="4"/>
  <c r="R258" i="4"/>
  <c r="Q258" i="4"/>
  <c r="P258" i="4"/>
  <c r="O258" i="4"/>
  <c r="R257" i="4"/>
  <c r="Q257" i="4"/>
  <c r="P257" i="4"/>
  <c r="O257" i="4"/>
  <c r="R256" i="4"/>
  <c r="Q256" i="4"/>
  <c r="P256" i="4"/>
  <c r="O256" i="4"/>
  <c r="R255" i="4"/>
  <c r="Q255" i="4"/>
  <c r="P255" i="4"/>
  <c r="O255" i="4"/>
  <c r="R254" i="4"/>
  <c r="Q254" i="4"/>
  <c r="P254" i="4"/>
  <c r="O254" i="4"/>
  <c r="R253" i="4"/>
  <c r="Q253" i="4"/>
  <c r="P253" i="4"/>
  <c r="O253" i="4"/>
  <c r="P251" i="4"/>
  <c r="M251" i="4"/>
  <c r="L251" i="4"/>
  <c r="R251" i="4" s="1"/>
  <c r="K251" i="4"/>
  <c r="J251" i="4"/>
  <c r="I251" i="4"/>
  <c r="H251" i="4"/>
  <c r="G251" i="4"/>
  <c r="F251" i="4"/>
  <c r="Q251" i="4" s="1"/>
  <c r="R250" i="4"/>
  <c r="Q250" i="4"/>
  <c r="P250" i="4"/>
  <c r="O250" i="4"/>
  <c r="R249" i="4"/>
  <c r="Q249" i="4"/>
  <c r="P249" i="4"/>
  <c r="O249" i="4"/>
  <c r="R248" i="4"/>
  <c r="Q248" i="4"/>
  <c r="P248" i="4"/>
  <c r="O248" i="4"/>
  <c r="G248" i="4"/>
  <c r="Q246" i="4"/>
  <c r="P246" i="4"/>
  <c r="O246" i="4"/>
  <c r="M246" i="4"/>
  <c r="R246" i="4" s="1"/>
  <c r="L246" i="4"/>
  <c r="K246" i="4"/>
  <c r="J246" i="4"/>
  <c r="I246" i="4"/>
  <c r="H246" i="4"/>
  <c r="G246" i="4"/>
  <c r="F246" i="4"/>
  <c r="R245" i="4"/>
  <c r="Q245" i="4"/>
  <c r="P245" i="4"/>
  <c r="O245" i="4"/>
  <c r="R244" i="4"/>
  <c r="Q244" i="4"/>
  <c r="P244" i="4"/>
  <c r="O244" i="4"/>
  <c r="R243" i="4"/>
  <c r="Q243" i="4"/>
  <c r="P243" i="4"/>
  <c r="O243" i="4"/>
  <c r="R242" i="4"/>
  <c r="Q242" i="4"/>
  <c r="P242" i="4"/>
  <c r="O242" i="4"/>
  <c r="R241" i="4"/>
  <c r="Q241" i="4"/>
  <c r="P241" i="4"/>
  <c r="O241" i="4"/>
  <c r="R240" i="4"/>
  <c r="O240" i="4"/>
  <c r="R239" i="4"/>
  <c r="Q239" i="4"/>
  <c r="P239" i="4"/>
  <c r="O239" i="4"/>
  <c r="R238" i="4"/>
  <c r="Q238" i="4"/>
  <c r="P238" i="4"/>
  <c r="O238" i="4"/>
  <c r="R237" i="4"/>
  <c r="Q237" i="4"/>
  <c r="P237" i="4"/>
  <c r="O237" i="4"/>
  <c r="R236" i="4"/>
  <c r="Q236" i="4"/>
  <c r="P236" i="4"/>
  <c r="O236" i="4"/>
  <c r="R235" i="4"/>
  <c r="Q235" i="4"/>
  <c r="P235" i="4"/>
  <c r="O235" i="4"/>
  <c r="R234" i="4"/>
  <c r="Q234" i="4"/>
  <c r="P234" i="4"/>
  <c r="O234" i="4"/>
  <c r="R233" i="4"/>
  <c r="Q233" i="4"/>
  <c r="P233" i="4"/>
  <c r="O233" i="4"/>
  <c r="R232" i="4"/>
  <c r="Q232" i="4"/>
  <c r="P232" i="4"/>
  <c r="O232" i="4"/>
  <c r="R231" i="4"/>
  <c r="Q231" i="4"/>
  <c r="P231" i="4"/>
  <c r="O231" i="4"/>
  <c r="R230" i="4"/>
  <c r="Q230" i="4"/>
  <c r="P230" i="4"/>
  <c r="O230" i="4"/>
  <c r="R229" i="4"/>
  <c r="O229" i="4"/>
  <c r="R228" i="4"/>
  <c r="Q228" i="4"/>
  <c r="P228" i="4"/>
  <c r="O228" i="4"/>
  <c r="R227" i="4"/>
  <c r="Q227" i="4"/>
  <c r="P227" i="4"/>
  <c r="O227" i="4"/>
  <c r="R226" i="4"/>
  <c r="Q226" i="4"/>
  <c r="P226" i="4"/>
  <c r="O226" i="4"/>
  <c r="R225" i="4"/>
  <c r="Q225" i="4"/>
  <c r="P225" i="4"/>
  <c r="O225" i="4"/>
  <c r="R224" i="4"/>
  <c r="Q224" i="4"/>
  <c r="P224" i="4"/>
  <c r="O224" i="4"/>
  <c r="R223" i="4"/>
  <c r="Q223" i="4"/>
  <c r="P223" i="4"/>
  <c r="O223" i="4"/>
  <c r="R222" i="4"/>
  <c r="Q222" i="4"/>
  <c r="P222" i="4"/>
  <c r="O222" i="4"/>
  <c r="R221" i="4"/>
  <c r="Q221" i="4"/>
  <c r="P221" i="4"/>
  <c r="O221" i="4"/>
  <c r="R220" i="4"/>
  <c r="Q220" i="4"/>
  <c r="P220" i="4"/>
  <c r="O220" i="4"/>
  <c r="R219" i="4"/>
  <c r="Q219" i="4"/>
  <c r="P219" i="4"/>
  <c r="O219" i="4"/>
  <c r="R218" i="4"/>
  <c r="Q218" i="4"/>
  <c r="P218" i="4"/>
  <c r="O218" i="4"/>
  <c r="R217" i="4"/>
  <c r="Q217" i="4"/>
  <c r="P217" i="4"/>
  <c r="O217" i="4"/>
  <c r="R216" i="4"/>
  <c r="Q216" i="4"/>
  <c r="P216" i="4"/>
  <c r="O216" i="4"/>
  <c r="R215" i="4"/>
  <c r="Q215" i="4"/>
  <c r="P215" i="4"/>
  <c r="O215" i="4"/>
  <c r="R214" i="4"/>
  <c r="Q214" i="4"/>
  <c r="P214" i="4"/>
  <c r="O214" i="4"/>
  <c r="R213" i="4"/>
  <c r="Q213" i="4"/>
  <c r="P213" i="4"/>
  <c r="O213" i="4"/>
  <c r="R212" i="4"/>
  <c r="Q212" i="4"/>
  <c r="P212" i="4"/>
  <c r="O212" i="4"/>
  <c r="R211" i="4"/>
  <c r="Q211" i="4"/>
  <c r="P211" i="4"/>
  <c r="O211" i="4"/>
  <c r="R210" i="4"/>
  <c r="Q210" i="4"/>
  <c r="P210" i="4"/>
  <c r="O210" i="4"/>
  <c r="R209" i="4"/>
  <c r="Q209" i="4"/>
  <c r="P209" i="4"/>
  <c r="O209" i="4"/>
  <c r="O208" i="4"/>
  <c r="R207" i="4"/>
  <c r="Q207" i="4"/>
  <c r="P207" i="4"/>
  <c r="O207" i="4"/>
  <c r="R206" i="4"/>
  <c r="Q206" i="4"/>
  <c r="P206" i="4"/>
  <c r="O206" i="4"/>
  <c r="R205" i="4"/>
  <c r="Q205" i="4"/>
  <c r="P205" i="4"/>
  <c r="O205" i="4"/>
  <c r="R204" i="4"/>
  <c r="Q204" i="4"/>
  <c r="P204" i="4"/>
  <c r="O204" i="4"/>
  <c r="R203" i="4"/>
  <c r="Q203" i="4"/>
  <c r="P203" i="4"/>
  <c r="O203" i="4"/>
  <c r="R202" i="4"/>
  <c r="Q202" i="4"/>
  <c r="P202" i="4"/>
  <c r="O202" i="4"/>
  <c r="R201" i="4"/>
  <c r="Q201" i="4"/>
  <c r="P201" i="4"/>
  <c r="O201" i="4"/>
  <c r="R200" i="4"/>
  <c r="Q200" i="4"/>
  <c r="P200" i="4"/>
  <c r="O200" i="4"/>
  <c r="R199" i="4"/>
  <c r="Q199" i="4"/>
  <c r="P199" i="4"/>
  <c r="O199" i="4"/>
  <c r="R198" i="4"/>
  <c r="Q198" i="4"/>
  <c r="P198" i="4"/>
  <c r="O198" i="4"/>
  <c r="R197" i="4"/>
  <c r="Q197" i="4"/>
  <c r="P197" i="4"/>
  <c r="O197" i="4"/>
  <c r="R196" i="4"/>
  <c r="Q196" i="4"/>
  <c r="P196" i="4"/>
  <c r="O196" i="4"/>
  <c r="R195" i="4"/>
  <c r="Q195" i="4"/>
  <c r="P195" i="4"/>
  <c r="O195" i="4"/>
  <c r="R194" i="4"/>
  <c r="Q194" i="4"/>
  <c r="P194" i="4"/>
  <c r="O194" i="4"/>
  <c r="R193" i="4"/>
  <c r="Q193" i="4"/>
  <c r="P193" i="4"/>
  <c r="O193" i="4"/>
  <c r="R191" i="4"/>
  <c r="Q191" i="4"/>
  <c r="P191" i="4"/>
  <c r="O191" i="4"/>
  <c r="R190" i="4"/>
  <c r="Q190" i="4"/>
  <c r="P190" i="4"/>
  <c r="O190" i="4"/>
  <c r="R189" i="4"/>
  <c r="O189" i="4"/>
  <c r="R188" i="4"/>
  <c r="Q188" i="4"/>
  <c r="P188" i="4"/>
  <c r="O188" i="4"/>
  <c r="R187" i="4"/>
  <c r="Q187" i="4"/>
  <c r="P187" i="4"/>
  <c r="O187" i="4"/>
  <c r="R186" i="4"/>
  <c r="Q186" i="4"/>
  <c r="P186" i="4"/>
  <c r="O186" i="4"/>
  <c r="R185" i="4"/>
  <c r="Q185" i="4"/>
  <c r="P185" i="4"/>
  <c r="O185" i="4"/>
  <c r="R184" i="4"/>
  <c r="Q184" i="4"/>
  <c r="P184" i="4"/>
  <c r="O184" i="4"/>
  <c r="R183" i="4"/>
  <c r="Q183" i="4"/>
  <c r="P183" i="4"/>
  <c r="O183" i="4"/>
  <c r="R182" i="4"/>
  <c r="Q182" i="4"/>
  <c r="P182" i="4"/>
  <c r="O182" i="4"/>
  <c r="R181" i="4"/>
  <c r="Q181" i="4"/>
  <c r="P181" i="4"/>
  <c r="O181" i="4"/>
  <c r="R180" i="4"/>
  <c r="Q180" i="4"/>
  <c r="P180" i="4"/>
  <c r="O180" i="4"/>
  <c r="R179" i="4"/>
  <c r="Q179" i="4"/>
  <c r="P179" i="4"/>
  <c r="O179" i="4"/>
  <c r="R178" i="4"/>
  <c r="Q178" i="4"/>
  <c r="P178" i="4"/>
  <c r="O178" i="4"/>
  <c r="R177" i="4"/>
  <c r="Q177" i="4"/>
  <c r="P177" i="4"/>
  <c r="O177" i="4"/>
  <c r="R176" i="4"/>
  <c r="Q176" i="4"/>
  <c r="P176" i="4"/>
  <c r="O176" i="4"/>
  <c r="R175" i="4"/>
  <c r="O175" i="4"/>
  <c r="R174" i="4"/>
  <c r="Q174" i="4"/>
  <c r="P174" i="4"/>
  <c r="O174" i="4"/>
  <c r="R173" i="4"/>
  <c r="Q173" i="4"/>
  <c r="P173" i="4"/>
  <c r="O173" i="4"/>
  <c r="R172" i="4"/>
  <c r="Q172" i="4"/>
  <c r="P172" i="4"/>
  <c r="O172" i="4"/>
  <c r="R171" i="4"/>
  <c r="Q171" i="4"/>
  <c r="P171" i="4"/>
  <c r="O171" i="4"/>
  <c r="R170" i="4"/>
  <c r="Q170" i="4"/>
  <c r="P170" i="4"/>
  <c r="O170" i="4"/>
  <c r="R169" i="4"/>
  <c r="Q169" i="4"/>
  <c r="P169" i="4"/>
  <c r="O169" i="4"/>
  <c r="R168" i="4"/>
  <c r="O168" i="4"/>
  <c r="R167" i="4"/>
  <c r="P167" i="4"/>
  <c r="O167" i="4"/>
  <c r="R166" i="4"/>
  <c r="O166" i="4"/>
  <c r="R165" i="4"/>
  <c r="Q165" i="4"/>
  <c r="P165" i="4"/>
  <c r="O165" i="4"/>
  <c r="R164" i="4"/>
  <c r="Q164" i="4"/>
  <c r="P164" i="4"/>
  <c r="O164" i="4"/>
  <c r="R163" i="4"/>
  <c r="Q163" i="4"/>
  <c r="P163" i="4"/>
  <c r="O163" i="4"/>
  <c r="R162" i="4"/>
  <c r="Q162" i="4"/>
  <c r="P162" i="4"/>
  <c r="O162" i="4"/>
  <c r="R161" i="4"/>
  <c r="Q161" i="4"/>
  <c r="P161" i="4"/>
  <c r="O161" i="4"/>
  <c r="R160" i="4"/>
  <c r="Q160" i="4"/>
  <c r="P160" i="4"/>
  <c r="O160" i="4"/>
  <c r="R159" i="4"/>
  <c r="Q159" i="4"/>
  <c r="P159" i="4"/>
  <c r="O159" i="4"/>
  <c r="R158" i="4"/>
  <c r="Q158" i="4"/>
  <c r="P158" i="4"/>
  <c r="O158" i="4"/>
  <c r="R157" i="4"/>
  <c r="Q157" i="4"/>
  <c r="P157" i="4"/>
  <c r="O157" i="4"/>
  <c r="M155" i="4"/>
  <c r="L155" i="4"/>
  <c r="R155" i="4" s="1"/>
  <c r="K155" i="4"/>
  <c r="J155" i="4"/>
  <c r="Q155" i="4" s="1"/>
  <c r="I155" i="4"/>
  <c r="P155" i="4" s="1"/>
  <c r="H155" i="4"/>
  <c r="G155" i="4"/>
  <c r="F155" i="4"/>
  <c r="O155" i="4" s="1"/>
  <c r="R154" i="4"/>
  <c r="Q154" i="4"/>
  <c r="P154" i="4"/>
  <c r="O154" i="4"/>
  <c r="R153" i="4"/>
  <c r="Q153" i="4"/>
  <c r="P153" i="4"/>
  <c r="O153" i="4"/>
  <c r="Q151" i="4"/>
  <c r="P151" i="4"/>
  <c r="O151" i="4"/>
  <c r="M151" i="4"/>
  <c r="R151" i="4" s="1"/>
  <c r="L151" i="4"/>
  <c r="K151" i="4"/>
  <c r="J151" i="4"/>
  <c r="I151" i="4"/>
  <c r="H151" i="4"/>
  <c r="G151" i="4"/>
  <c r="F151" i="4"/>
  <c r="R150" i="4"/>
  <c r="Q150" i="4"/>
  <c r="P150" i="4"/>
  <c r="O150" i="4"/>
  <c r="R149" i="4"/>
  <c r="Q149" i="4"/>
  <c r="P149" i="4"/>
  <c r="O149" i="4"/>
  <c r="R148" i="4"/>
  <c r="Q148" i="4"/>
  <c r="P148" i="4"/>
  <c r="O148" i="4"/>
  <c r="M146" i="4"/>
  <c r="L146" i="4"/>
  <c r="R146" i="4" s="1"/>
  <c r="K146" i="4"/>
  <c r="Q146" i="4" s="1"/>
  <c r="J146" i="4"/>
  <c r="I146" i="4"/>
  <c r="H146" i="4"/>
  <c r="P146" i="4" s="1"/>
  <c r="G146" i="4"/>
  <c r="F146" i="4"/>
  <c r="O146" i="4" s="1"/>
  <c r="R145" i="4"/>
  <c r="Q145" i="4"/>
  <c r="P145" i="4"/>
  <c r="O145" i="4"/>
  <c r="R144" i="4"/>
  <c r="Q144" i="4"/>
  <c r="P144" i="4"/>
  <c r="O144" i="4"/>
  <c r="R143" i="4"/>
  <c r="Q143" i="4"/>
  <c r="P143" i="4"/>
  <c r="O143" i="4"/>
  <c r="R142" i="4"/>
  <c r="Q142" i="4"/>
  <c r="P142" i="4"/>
  <c r="O142" i="4"/>
  <c r="R141" i="4"/>
  <c r="Q141" i="4"/>
  <c r="P141" i="4"/>
  <c r="O141" i="4"/>
  <c r="M139" i="4"/>
  <c r="L139" i="4"/>
  <c r="R139" i="4" s="1"/>
  <c r="K139" i="4"/>
  <c r="Q139" i="4" s="1"/>
  <c r="J139" i="4"/>
  <c r="I139" i="4"/>
  <c r="H139" i="4"/>
  <c r="P139" i="4" s="1"/>
  <c r="G139" i="4"/>
  <c r="F139" i="4"/>
  <c r="O139" i="4" s="1"/>
  <c r="R138" i="4"/>
  <c r="Q138" i="4"/>
  <c r="P138" i="4"/>
  <c r="O138" i="4"/>
  <c r="R137" i="4"/>
  <c r="Q137" i="4"/>
  <c r="P137" i="4"/>
  <c r="O137" i="4"/>
  <c r="R136" i="4"/>
  <c r="Q136" i="4"/>
  <c r="P136" i="4"/>
  <c r="O136" i="4"/>
  <c r="R135" i="4"/>
  <c r="Q135" i="4"/>
  <c r="P135" i="4"/>
  <c r="O135" i="4"/>
  <c r="R134" i="4"/>
  <c r="Q134" i="4"/>
  <c r="P134" i="4"/>
  <c r="O134" i="4"/>
  <c r="R133" i="4"/>
  <c r="Q133" i="4"/>
  <c r="P133" i="4"/>
  <c r="O133" i="4"/>
  <c r="R132" i="4"/>
  <c r="Q132" i="4"/>
  <c r="P132" i="4"/>
  <c r="O132" i="4"/>
  <c r="R131" i="4"/>
  <c r="Q131" i="4"/>
  <c r="P131" i="4"/>
  <c r="O131" i="4"/>
  <c r="R130" i="4"/>
  <c r="Q130" i="4"/>
  <c r="P130" i="4"/>
  <c r="O130" i="4"/>
  <c r="R129" i="4"/>
  <c r="Q129" i="4"/>
  <c r="P129" i="4"/>
  <c r="O129" i="4"/>
  <c r="R128" i="4"/>
  <c r="Q128" i="4"/>
  <c r="P128" i="4"/>
  <c r="O128" i="4"/>
  <c r="R127" i="4"/>
  <c r="Q127" i="4"/>
  <c r="P127" i="4"/>
  <c r="O127" i="4"/>
  <c r="R125" i="4"/>
  <c r="P125" i="4"/>
  <c r="M125" i="4"/>
  <c r="L125" i="4"/>
  <c r="K125" i="4"/>
  <c r="J125" i="4"/>
  <c r="Q125" i="4" s="1"/>
  <c r="I125" i="4"/>
  <c r="H125" i="4"/>
  <c r="G125" i="4"/>
  <c r="O125" i="4" s="1"/>
  <c r="F125" i="4"/>
  <c r="R124" i="4"/>
  <c r="Q124" i="4"/>
  <c r="P124" i="4"/>
  <c r="O124" i="4"/>
  <c r="R123" i="4"/>
  <c r="Q123" i="4"/>
  <c r="P123" i="4"/>
  <c r="O123" i="4"/>
  <c r="M121" i="4"/>
  <c r="L121" i="4"/>
  <c r="R121" i="4" s="1"/>
  <c r="K121" i="4"/>
  <c r="Q121" i="4" s="1"/>
  <c r="J121" i="4"/>
  <c r="I121" i="4"/>
  <c r="H121" i="4"/>
  <c r="P121" i="4" s="1"/>
  <c r="G121" i="4"/>
  <c r="F121" i="4"/>
  <c r="O121" i="4" s="1"/>
  <c r="R120" i="4"/>
  <c r="Q120" i="4"/>
  <c r="P120" i="4"/>
  <c r="O120" i="4"/>
  <c r="R119" i="4"/>
  <c r="Q119" i="4"/>
  <c r="P119" i="4"/>
  <c r="O119" i="4"/>
  <c r="R118" i="4"/>
  <c r="Q118" i="4"/>
  <c r="P118" i="4"/>
  <c r="O118" i="4"/>
  <c r="R117" i="4"/>
  <c r="Q117" i="4"/>
  <c r="P117" i="4"/>
  <c r="O117" i="4"/>
  <c r="R116" i="4"/>
  <c r="Q116" i="4"/>
  <c r="P116" i="4"/>
  <c r="O116" i="4"/>
  <c r="R115" i="4"/>
  <c r="Q115" i="4"/>
  <c r="P115" i="4"/>
  <c r="O115" i="4"/>
  <c r="R114" i="4"/>
  <c r="Q114" i="4"/>
  <c r="P114" i="4"/>
  <c r="O114" i="4"/>
  <c r="R113" i="4"/>
  <c r="Q113" i="4"/>
  <c r="P113" i="4"/>
  <c r="O113" i="4"/>
  <c r="R111" i="4"/>
  <c r="P111" i="4"/>
  <c r="M111" i="4"/>
  <c r="L111" i="4"/>
  <c r="K111" i="4"/>
  <c r="J111" i="4"/>
  <c r="Q111" i="4" s="1"/>
  <c r="I111" i="4"/>
  <c r="H111" i="4"/>
  <c r="G111" i="4"/>
  <c r="O111" i="4" s="1"/>
  <c r="F111" i="4"/>
  <c r="R110" i="4"/>
  <c r="Q110" i="4"/>
  <c r="P110" i="4"/>
  <c r="O110" i="4"/>
  <c r="R109" i="4"/>
  <c r="Q109" i="4"/>
  <c r="P109" i="4"/>
  <c r="O109" i="4"/>
  <c r="R108" i="4"/>
  <c r="Q108" i="4"/>
  <c r="P108" i="4"/>
  <c r="O108" i="4"/>
  <c r="R107" i="4"/>
  <c r="Q107" i="4"/>
  <c r="P107" i="4"/>
  <c r="O107" i="4"/>
  <c r="R106" i="4"/>
  <c r="Q106" i="4"/>
  <c r="P106" i="4"/>
  <c r="O106" i="4"/>
  <c r="R105" i="4"/>
  <c r="Q105" i="4"/>
  <c r="P105" i="4"/>
  <c r="O105" i="4"/>
  <c r="R104" i="4"/>
  <c r="Q104" i="4"/>
  <c r="P104" i="4"/>
  <c r="O104" i="4"/>
  <c r="R103" i="4"/>
  <c r="Q103" i="4"/>
  <c r="P103" i="4"/>
  <c r="O103" i="4"/>
  <c r="Q101" i="4"/>
  <c r="P101" i="4"/>
  <c r="O101" i="4"/>
  <c r="M101" i="4"/>
  <c r="R101" i="4" s="1"/>
  <c r="L101" i="4"/>
  <c r="K101" i="4"/>
  <c r="J101" i="4"/>
  <c r="I101" i="4"/>
  <c r="H101" i="4"/>
  <c r="G101" i="4"/>
  <c r="F101" i="4"/>
  <c r="R100" i="4"/>
  <c r="Q100" i="4"/>
  <c r="P100" i="4"/>
  <c r="O100" i="4"/>
  <c r="R99" i="4"/>
  <c r="Q99" i="4"/>
  <c r="P99" i="4"/>
  <c r="O99" i="4"/>
  <c r="R98" i="4"/>
  <c r="Q98" i="4"/>
  <c r="P98" i="4"/>
  <c r="O98" i="4"/>
  <c r="M96" i="4"/>
  <c r="L96" i="4"/>
  <c r="R96" i="4" s="1"/>
  <c r="K96" i="4"/>
  <c r="Q96" i="4" s="1"/>
  <c r="J96" i="4"/>
  <c r="I96" i="4"/>
  <c r="H96" i="4"/>
  <c r="P96" i="4" s="1"/>
  <c r="G96" i="4"/>
  <c r="F96" i="4"/>
  <c r="O96" i="4" s="1"/>
  <c r="R95" i="4"/>
  <c r="Q95" i="4"/>
  <c r="P95" i="4"/>
  <c r="O95" i="4"/>
  <c r="R94" i="4"/>
  <c r="Q94" i="4"/>
  <c r="P94" i="4"/>
  <c r="O94" i="4"/>
  <c r="R93" i="4"/>
  <c r="Q93" i="4"/>
  <c r="P93" i="4"/>
  <c r="O93" i="4"/>
  <c r="R92" i="4"/>
  <c r="Q92" i="4"/>
  <c r="P92" i="4"/>
  <c r="O92" i="4"/>
  <c r="R91" i="4"/>
  <c r="Q91" i="4"/>
  <c r="P91" i="4"/>
  <c r="O91" i="4"/>
  <c r="R90" i="4"/>
  <c r="Q90" i="4"/>
  <c r="P90" i="4"/>
  <c r="O90" i="4"/>
  <c r="R89" i="4"/>
  <c r="Q89" i="4"/>
  <c r="P89" i="4"/>
  <c r="O89" i="4"/>
  <c r="L89" i="4"/>
  <c r="R88" i="4"/>
  <c r="Q88" i="4"/>
  <c r="P88" i="4"/>
  <c r="O88" i="4"/>
  <c r="R87" i="4"/>
  <c r="Q87" i="4"/>
  <c r="P87" i="4"/>
  <c r="O87" i="4"/>
  <c r="R86" i="4"/>
  <c r="Q86" i="4"/>
  <c r="P86" i="4"/>
  <c r="O86" i="4"/>
  <c r="R85" i="4"/>
  <c r="Q85" i="4"/>
  <c r="P85" i="4"/>
  <c r="O85" i="4"/>
  <c r="R84" i="4"/>
  <c r="Q84" i="4"/>
  <c r="P84" i="4"/>
  <c r="O84" i="4"/>
  <c r="R83" i="4"/>
  <c r="Q83" i="4"/>
  <c r="P83" i="4"/>
  <c r="O83" i="4"/>
  <c r="R82" i="4"/>
  <c r="Q82" i="4"/>
  <c r="P82" i="4"/>
  <c r="O82" i="4"/>
  <c r="R81" i="4"/>
  <c r="Q81" i="4"/>
  <c r="P81" i="4"/>
  <c r="O81" i="4"/>
  <c r="R80" i="4"/>
  <c r="Q80" i="4"/>
  <c r="P80" i="4"/>
  <c r="O80" i="4"/>
  <c r="Q78" i="4"/>
  <c r="M78" i="4"/>
  <c r="L78" i="4"/>
  <c r="R78" i="4" s="1"/>
  <c r="K78" i="4"/>
  <c r="J78" i="4"/>
  <c r="I78" i="4"/>
  <c r="H78" i="4"/>
  <c r="P78" i="4" s="1"/>
  <c r="G78" i="4"/>
  <c r="F78" i="4"/>
  <c r="O78" i="4" s="1"/>
  <c r="R77" i="4"/>
  <c r="Q77" i="4"/>
  <c r="P77" i="4"/>
  <c r="O77" i="4"/>
  <c r="R76" i="4"/>
  <c r="Q76" i="4"/>
  <c r="P76" i="4"/>
  <c r="O76" i="4"/>
  <c r="R75" i="4"/>
  <c r="Q75" i="4"/>
  <c r="P75" i="4"/>
  <c r="O75" i="4"/>
  <c r="M73" i="4"/>
  <c r="L73" i="4"/>
  <c r="R73" i="4" s="1"/>
  <c r="K73" i="4"/>
  <c r="J73" i="4"/>
  <c r="Q73" i="4" s="1"/>
  <c r="I73" i="4"/>
  <c r="H73" i="4"/>
  <c r="P73" i="4" s="1"/>
  <c r="G73" i="4"/>
  <c r="O73" i="4" s="1"/>
  <c r="F73" i="4"/>
  <c r="R72" i="4"/>
  <c r="Q72" i="4"/>
  <c r="P72" i="4"/>
  <c r="O72" i="4"/>
  <c r="R71" i="4"/>
  <c r="Q71" i="4"/>
  <c r="P71" i="4"/>
  <c r="O71" i="4"/>
  <c r="R69" i="4"/>
  <c r="Q69" i="4"/>
  <c r="P69" i="4"/>
  <c r="O69" i="4"/>
  <c r="M69" i="4"/>
  <c r="L69" i="4"/>
  <c r="K69" i="4"/>
  <c r="J69" i="4"/>
  <c r="I69" i="4"/>
  <c r="H69" i="4"/>
  <c r="G69" i="4"/>
  <c r="F69" i="4"/>
  <c r="R68" i="4"/>
  <c r="Q68" i="4"/>
  <c r="P68" i="4"/>
  <c r="O68" i="4"/>
  <c r="R67" i="4"/>
  <c r="Q67" i="4"/>
  <c r="P67" i="4"/>
  <c r="O67" i="4"/>
  <c r="R66" i="4"/>
  <c r="Q66" i="4"/>
  <c r="P66" i="4"/>
  <c r="O66" i="4"/>
  <c r="R65" i="4"/>
  <c r="Q65" i="4"/>
  <c r="P65" i="4"/>
  <c r="O65" i="4"/>
  <c r="R64" i="4"/>
  <c r="Q64" i="4"/>
  <c r="P64" i="4"/>
  <c r="O64" i="4"/>
  <c r="R63" i="4"/>
  <c r="Q63" i="4"/>
  <c r="P63" i="4"/>
  <c r="O63" i="4"/>
  <c r="R62" i="4"/>
  <c r="Q62" i="4"/>
  <c r="P62" i="4"/>
  <c r="O62" i="4"/>
  <c r="R61" i="4"/>
  <c r="Q61" i="4"/>
  <c r="P61" i="4"/>
  <c r="O61" i="4"/>
  <c r="R60" i="4"/>
  <c r="Q60" i="4"/>
  <c r="P60" i="4"/>
  <c r="O60" i="4"/>
  <c r="R59" i="4"/>
  <c r="Q59" i="4"/>
  <c r="P59" i="4"/>
  <c r="O59" i="4"/>
  <c r="R58" i="4"/>
  <c r="Q58" i="4"/>
  <c r="P58" i="4"/>
  <c r="O58" i="4"/>
  <c r="R57" i="4"/>
  <c r="Q57" i="4"/>
  <c r="P57" i="4"/>
  <c r="O57" i="4"/>
  <c r="R56" i="4"/>
  <c r="Q56" i="4"/>
  <c r="P56" i="4"/>
  <c r="O56" i="4"/>
  <c r="R55" i="4"/>
  <c r="Q55" i="4"/>
  <c r="P55" i="4"/>
  <c r="O55" i="4"/>
  <c r="R54" i="4"/>
  <c r="Q54" i="4"/>
  <c r="P54" i="4"/>
  <c r="O54" i="4"/>
  <c r="R53" i="4"/>
  <c r="Q53" i="4"/>
  <c r="P53" i="4"/>
  <c r="O53" i="4"/>
  <c r="R52" i="4"/>
  <c r="Q52" i="4"/>
  <c r="P52" i="4"/>
  <c r="O52" i="4"/>
  <c r="R51" i="4"/>
  <c r="Q51" i="4"/>
  <c r="P51" i="4"/>
  <c r="O51" i="4"/>
  <c r="R50" i="4"/>
  <c r="Q50" i="4"/>
  <c r="P50" i="4"/>
  <c r="O50" i="4"/>
  <c r="R49" i="4"/>
  <c r="Q49" i="4"/>
  <c r="P49" i="4"/>
  <c r="O49" i="4"/>
  <c r="M47" i="4"/>
  <c r="L47" i="4"/>
  <c r="R47" i="4" s="1"/>
  <c r="K47" i="4"/>
  <c r="J47" i="4"/>
  <c r="Q47" i="4" s="1"/>
  <c r="I47" i="4"/>
  <c r="H47" i="4"/>
  <c r="P47" i="4" s="1"/>
  <c r="G47" i="4"/>
  <c r="O47" i="4" s="1"/>
  <c r="F47" i="4"/>
  <c r="R46" i="4"/>
  <c r="Q46" i="4"/>
  <c r="P46" i="4"/>
  <c r="O46" i="4"/>
  <c r="R45" i="4"/>
  <c r="Q45" i="4"/>
  <c r="P45" i="4"/>
  <c r="O45" i="4"/>
  <c r="R44" i="4"/>
  <c r="Q44" i="4"/>
  <c r="P44" i="4"/>
  <c r="O44" i="4"/>
  <c r="Q42" i="4"/>
  <c r="M42" i="4"/>
  <c r="L42" i="4"/>
  <c r="R42" i="4" s="1"/>
  <c r="K42" i="4"/>
  <c r="J42" i="4"/>
  <c r="I42" i="4"/>
  <c r="H42" i="4"/>
  <c r="P42" i="4" s="1"/>
  <c r="G42" i="4"/>
  <c r="F42" i="4"/>
  <c r="O42" i="4" s="1"/>
  <c r="R41" i="4"/>
  <c r="Q41" i="4"/>
  <c r="P41" i="4"/>
  <c r="O41" i="4"/>
  <c r="R40" i="4"/>
  <c r="Q40" i="4"/>
  <c r="P40" i="4"/>
  <c r="O40" i="4"/>
  <c r="M38" i="4"/>
  <c r="L38" i="4"/>
  <c r="R38" i="4" s="1"/>
  <c r="K38" i="4"/>
  <c r="J38" i="4"/>
  <c r="Q38" i="4" s="1"/>
  <c r="I38" i="4"/>
  <c r="H38" i="4"/>
  <c r="P38" i="4" s="1"/>
  <c r="G38" i="4"/>
  <c r="F38" i="4"/>
  <c r="O38" i="4" s="1"/>
  <c r="R37" i="4"/>
  <c r="Q37" i="4"/>
  <c r="P37" i="4"/>
  <c r="O37" i="4"/>
  <c r="R36" i="4"/>
  <c r="Q36" i="4"/>
  <c r="P36" i="4"/>
  <c r="O36" i="4"/>
  <c r="Q35" i="4"/>
  <c r="O35" i="4"/>
  <c r="R34" i="4"/>
  <c r="Q34" i="4"/>
  <c r="P34" i="4"/>
  <c r="O34" i="4"/>
  <c r="R33" i="4"/>
  <c r="Q33" i="4"/>
  <c r="P33" i="4"/>
  <c r="O33" i="4"/>
  <c r="R32" i="4"/>
  <c r="Q32" i="4"/>
  <c r="P32" i="4"/>
  <c r="O32" i="4"/>
  <c r="R30" i="4"/>
  <c r="M30" i="4"/>
  <c r="L30" i="4"/>
  <c r="K30" i="4"/>
  <c r="J30" i="4"/>
  <c r="Q30" i="4" s="1"/>
  <c r="I30" i="4"/>
  <c r="H30" i="4"/>
  <c r="P30" i="4" s="1"/>
  <c r="G30" i="4"/>
  <c r="F30" i="4"/>
  <c r="O30" i="4" s="1"/>
  <c r="R29" i="4"/>
  <c r="Q29" i="4"/>
  <c r="P29" i="4"/>
  <c r="O29" i="4"/>
  <c r="R28" i="4"/>
  <c r="Q28" i="4"/>
  <c r="P28" i="4"/>
  <c r="O28" i="4"/>
  <c r="R27" i="4"/>
  <c r="Q27" i="4"/>
  <c r="P27" i="4"/>
  <c r="O27" i="4"/>
  <c r="R26" i="4"/>
  <c r="Q26" i="4"/>
  <c r="P26" i="4"/>
  <c r="O26" i="4"/>
  <c r="R25" i="4"/>
  <c r="Q25" i="4"/>
  <c r="P25" i="4"/>
  <c r="O25" i="4"/>
  <c r="O24" i="4"/>
  <c r="R22" i="4"/>
  <c r="Q22" i="4"/>
  <c r="P22" i="4"/>
  <c r="O22" i="4"/>
  <c r="Q20" i="4"/>
  <c r="P20" i="4"/>
  <c r="O20" i="4"/>
  <c r="M20" i="4"/>
  <c r="R20" i="4" s="1"/>
  <c r="L20" i="4"/>
  <c r="K20" i="4"/>
  <c r="J20" i="4"/>
  <c r="I20" i="4"/>
  <c r="H20" i="4"/>
  <c r="G20" i="4"/>
  <c r="F20" i="4"/>
  <c r="R19" i="4"/>
  <c r="Q19" i="4"/>
  <c r="P19" i="4"/>
  <c r="O19" i="4"/>
  <c r="R18" i="4"/>
  <c r="Q18" i="4"/>
  <c r="P18" i="4"/>
  <c r="O18" i="4"/>
  <c r="R17" i="4"/>
  <c r="Q17" i="4"/>
  <c r="P17" i="4"/>
  <c r="O17" i="4"/>
  <c r="R16" i="4"/>
  <c r="Q16" i="4"/>
  <c r="P16" i="4"/>
  <c r="O16" i="4"/>
  <c r="R15" i="4"/>
  <c r="Q15" i="4"/>
  <c r="P15" i="4"/>
  <c r="O15" i="4"/>
  <c r="R14" i="4"/>
  <c r="Q14" i="4"/>
  <c r="P14" i="4"/>
  <c r="O14" i="4"/>
  <c r="R13" i="4"/>
  <c r="Q13" i="4"/>
  <c r="P13" i="4"/>
  <c r="O13" i="4"/>
  <c r="R12" i="4"/>
  <c r="Q12" i="4"/>
  <c r="P12" i="4"/>
  <c r="O12" i="4"/>
  <c r="R11" i="4"/>
  <c r="Q11" i="4"/>
  <c r="P11" i="4"/>
  <c r="O11" i="4"/>
  <c r="R10" i="4"/>
  <c r="Q10" i="4"/>
  <c r="P10" i="4"/>
  <c r="O10" i="4"/>
  <c r="R9" i="4"/>
  <c r="Q9" i="4"/>
  <c r="P9" i="4"/>
  <c r="O9" i="4"/>
  <c r="R8" i="4"/>
  <c r="Q8" i="4"/>
  <c r="P8" i="4"/>
  <c r="O8" i="4"/>
  <c r="R7" i="4"/>
  <c r="Q7" i="4"/>
  <c r="P7" i="4"/>
  <c r="O7" i="4"/>
  <c r="R6" i="4"/>
  <c r="Q6" i="4"/>
  <c r="P6" i="4"/>
  <c r="O6" i="4"/>
  <c r="R5" i="4"/>
  <c r="Q5" i="4"/>
  <c r="P5" i="4"/>
  <c r="O5" i="4"/>
  <c r="F413" i="3"/>
  <c r="E413" i="3"/>
  <c r="H411" i="3"/>
  <c r="G411" i="3"/>
  <c r="G413" i="3" s="1"/>
  <c r="F411" i="3"/>
  <c r="E411" i="3"/>
  <c r="O409" i="3"/>
  <c r="H409" i="3"/>
  <c r="H413" i="3" s="1"/>
  <c r="G409" i="3"/>
  <c r="F409" i="3"/>
  <c r="E409" i="3"/>
  <c r="H407" i="3"/>
  <c r="G407" i="3"/>
  <c r="F407" i="3"/>
  <c r="E407" i="3"/>
  <c r="H405" i="3"/>
  <c r="G405" i="3"/>
  <c r="F405" i="3"/>
  <c r="E405" i="3"/>
  <c r="AN402" i="3"/>
  <c r="AM402" i="3"/>
  <c r="AL402" i="3"/>
  <c r="AK402" i="3"/>
  <c r="AJ402" i="3"/>
  <c r="AI402" i="3"/>
  <c r="AH402" i="3"/>
  <c r="AN401" i="3"/>
  <c r="AM401" i="3"/>
  <c r="AL401" i="3"/>
  <c r="AK401" i="3"/>
  <c r="AJ401" i="3"/>
  <c r="AI401" i="3"/>
  <c r="AH401" i="3"/>
  <c r="AC400" i="3"/>
  <c r="AB400" i="3"/>
  <c r="H400" i="3"/>
  <c r="G400" i="3"/>
  <c r="F400" i="3"/>
  <c r="E400" i="3"/>
  <c r="AN398" i="3"/>
  <c r="AM398" i="3"/>
  <c r="AL398" i="3"/>
  <c r="AK398" i="3"/>
  <c r="AJ398" i="3"/>
  <c r="AI398" i="3"/>
  <c r="AH398" i="3"/>
  <c r="N398" i="3"/>
  <c r="M398" i="3"/>
  <c r="L398" i="3"/>
  <c r="K398" i="3"/>
  <c r="I398" i="3"/>
  <c r="AN397" i="3"/>
  <c r="AM397" i="3"/>
  <c r="AL397" i="3"/>
  <c r="AK397" i="3"/>
  <c r="AJ397" i="3"/>
  <c r="AI397" i="3"/>
  <c r="AH397" i="3"/>
  <c r="S397" i="3"/>
  <c r="P397" i="3"/>
  <c r="P398" i="3" s="1"/>
  <c r="N397" i="3"/>
  <c r="M397" i="3"/>
  <c r="L397" i="3"/>
  <c r="K397" i="3"/>
  <c r="AN396" i="3"/>
  <c r="AM396" i="3"/>
  <c r="AL396" i="3"/>
  <c r="AK396" i="3"/>
  <c r="AJ396" i="3"/>
  <c r="AI396" i="3"/>
  <c r="AH396" i="3"/>
  <c r="W396" i="3"/>
  <c r="U396" i="3"/>
  <c r="S396" i="3"/>
  <c r="X396" i="3" s="1"/>
  <c r="P396" i="3"/>
  <c r="N396" i="3"/>
  <c r="M396" i="3"/>
  <c r="L396" i="3"/>
  <c r="K396" i="3"/>
  <c r="AN395" i="3"/>
  <c r="AM395" i="3"/>
  <c r="AL395" i="3"/>
  <c r="AK395" i="3"/>
  <c r="AJ395" i="3"/>
  <c r="AI395" i="3"/>
  <c r="AH395" i="3"/>
  <c r="X395" i="3"/>
  <c r="W395" i="3"/>
  <c r="S395" i="3"/>
  <c r="R395" i="3"/>
  <c r="R396" i="3" s="1"/>
  <c r="R397" i="3" s="1"/>
  <c r="Q395" i="3"/>
  <c r="V395" i="3" s="1"/>
  <c r="P395" i="3"/>
  <c r="U395" i="3" s="1"/>
  <c r="N395" i="3"/>
  <c r="AE398" i="3" s="1"/>
  <c r="M395" i="3"/>
  <c r="L395" i="3"/>
  <c r="K395" i="3"/>
  <c r="I395" i="3"/>
  <c r="AN394" i="3"/>
  <c r="AM394" i="3"/>
  <c r="AL394" i="3"/>
  <c r="AK394" i="3"/>
  <c r="AJ394" i="3"/>
  <c r="AI394" i="3"/>
  <c r="AH394" i="3"/>
  <c r="AN393" i="3"/>
  <c r="AM393" i="3"/>
  <c r="AL393" i="3"/>
  <c r="AK393" i="3"/>
  <c r="AJ393" i="3"/>
  <c r="AI393" i="3"/>
  <c r="AH393" i="3"/>
  <c r="M393" i="3"/>
  <c r="I393" i="3"/>
  <c r="AN392" i="3"/>
  <c r="AM392" i="3"/>
  <c r="AL392" i="3"/>
  <c r="AK392" i="3"/>
  <c r="AJ392" i="3"/>
  <c r="AI392" i="3"/>
  <c r="AH392" i="3"/>
  <c r="M392" i="3"/>
  <c r="AN391" i="3"/>
  <c r="AM391" i="3"/>
  <c r="AL391" i="3"/>
  <c r="AK391" i="3"/>
  <c r="AJ391" i="3"/>
  <c r="AI391" i="3"/>
  <c r="AH391" i="3"/>
  <c r="M391" i="3"/>
  <c r="K391" i="3"/>
  <c r="AN390" i="3"/>
  <c r="AM390" i="3"/>
  <c r="AL390" i="3"/>
  <c r="AK390" i="3"/>
  <c r="AJ390" i="3"/>
  <c r="AI390" i="3"/>
  <c r="AH390" i="3"/>
  <c r="N390" i="3"/>
  <c r="M390" i="3"/>
  <c r="L390" i="3"/>
  <c r="AN389" i="3"/>
  <c r="AM389" i="3"/>
  <c r="AL389" i="3"/>
  <c r="AK389" i="3"/>
  <c r="AJ389" i="3"/>
  <c r="AI389" i="3"/>
  <c r="AH389" i="3"/>
  <c r="R389" i="3"/>
  <c r="N389" i="3"/>
  <c r="M389" i="3"/>
  <c r="AN388" i="3"/>
  <c r="AM388" i="3"/>
  <c r="AL388" i="3"/>
  <c r="AK388" i="3"/>
  <c r="AJ388" i="3"/>
  <c r="AI388" i="3"/>
  <c r="AH388" i="3"/>
  <c r="V388" i="3"/>
  <c r="N388" i="3"/>
  <c r="AE393" i="3" s="1"/>
  <c r="L388" i="3"/>
  <c r="L391" i="3" s="1"/>
  <c r="K388" i="3"/>
  <c r="K392" i="3" s="1"/>
  <c r="I388" i="3"/>
  <c r="AN387" i="3"/>
  <c r="AM387" i="3"/>
  <c r="AL387" i="3"/>
  <c r="AK387" i="3"/>
  <c r="AJ387" i="3"/>
  <c r="AI387" i="3"/>
  <c r="AH387" i="3"/>
  <c r="R387" i="3"/>
  <c r="R388" i="3" s="1"/>
  <c r="W388" i="3" s="1"/>
  <c r="Q387" i="3"/>
  <c r="Q388" i="3" s="1"/>
  <c r="Q389" i="3" s="1"/>
  <c r="P387" i="3"/>
  <c r="S387" i="3" s="1"/>
  <c r="S388" i="3" s="1"/>
  <c r="I387" i="3"/>
  <c r="AN386" i="3"/>
  <c r="AM386" i="3"/>
  <c r="AL386" i="3"/>
  <c r="AK386" i="3"/>
  <c r="AJ386" i="3"/>
  <c r="AI386" i="3"/>
  <c r="AH386" i="3"/>
  <c r="AN385" i="3"/>
  <c r="AM385" i="3"/>
  <c r="AL385" i="3"/>
  <c r="AK385" i="3"/>
  <c r="AJ385" i="3"/>
  <c r="AI385" i="3"/>
  <c r="AH385" i="3"/>
  <c r="I385" i="3"/>
  <c r="AN384" i="3"/>
  <c r="AM384" i="3"/>
  <c r="AL384" i="3"/>
  <c r="AK384" i="3"/>
  <c r="AJ384" i="3"/>
  <c r="AI384" i="3"/>
  <c r="AH384" i="3"/>
  <c r="M384" i="3"/>
  <c r="L384" i="3"/>
  <c r="AN383" i="3"/>
  <c r="AM383" i="3"/>
  <c r="AL383" i="3"/>
  <c r="AK383" i="3"/>
  <c r="AJ383" i="3"/>
  <c r="AI383" i="3"/>
  <c r="AH383" i="3"/>
  <c r="M383" i="3"/>
  <c r="L383" i="3"/>
  <c r="AN382" i="3"/>
  <c r="AM382" i="3"/>
  <c r="AL382" i="3"/>
  <c r="AK382" i="3"/>
  <c r="AJ382" i="3"/>
  <c r="AI382" i="3"/>
  <c r="AH382" i="3"/>
  <c r="N382" i="3"/>
  <c r="M382" i="3"/>
  <c r="L382" i="3"/>
  <c r="AN381" i="3"/>
  <c r="AM381" i="3"/>
  <c r="AL381" i="3"/>
  <c r="AK381" i="3"/>
  <c r="AJ381" i="3"/>
  <c r="AI381" i="3"/>
  <c r="AH381" i="3"/>
  <c r="Q381" i="3"/>
  <c r="V381" i="3" s="1"/>
  <c r="P381" i="3"/>
  <c r="N381" i="3"/>
  <c r="M381" i="3"/>
  <c r="L381" i="3"/>
  <c r="AN380" i="3"/>
  <c r="AM380" i="3"/>
  <c r="AL380" i="3"/>
  <c r="AK380" i="3"/>
  <c r="AJ380" i="3"/>
  <c r="AI380" i="3"/>
  <c r="AH380" i="3"/>
  <c r="V380" i="3"/>
  <c r="S380" i="3"/>
  <c r="X380" i="3" s="1"/>
  <c r="R380" i="3"/>
  <c r="W380" i="3" s="1"/>
  <c r="Q380" i="3"/>
  <c r="P380" i="3"/>
  <c r="N380" i="3"/>
  <c r="N385" i="3" s="1"/>
  <c r="M380" i="3"/>
  <c r="M385" i="3" s="1"/>
  <c r="L380" i="3"/>
  <c r="L385" i="3" s="1"/>
  <c r="K380" i="3"/>
  <c r="AN379" i="3"/>
  <c r="AM379" i="3"/>
  <c r="AL379" i="3"/>
  <c r="AK379" i="3"/>
  <c r="AJ379" i="3"/>
  <c r="AI379" i="3"/>
  <c r="AH379" i="3"/>
  <c r="AN378" i="3"/>
  <c r="AM378" i="3"/>
  <c r="AL378" i="3"/>
  <c r="AK378" i="3"/>
  <c r="AJ378" i="3"/>
  <c r="AI378" i="3"/>
  <c r="AH378" i="3"/>
  <c r="I378" i="3"/>
  <c r="AN377" i="3"/>
  <c r="AM377" i="3"/>
  <c r="AL377" i="3"/>
  <c r="AK377" i="3"/>
  <c r="AJ377" i="3"/>
  <c r="AI377" i="3"/>
  <c r="AH377" i="3"/>
  <c r="AN376" i="3"/>
  <c r="AM376" i="3"/>
  <c r="AL376" i="3"/>
  <c r="AK376" i="3"/>
  <c r="AJ376" i="3"/>
  <c r="AI376" i="3"/>
  <c r="AH376" i="3"/>
  <c r="M376" i="3"/>
  <c r="K376" i="3"/>
  <c r="AN375" i="3"/>
  <c r="AM375" i="3"/>
  <c r="AL375" i="3"/>
  <c r="AK375" i="3"/>
  <c r="AJ375" i="3"/>
  <c r="AI375" i="3"/>
  <c r="AH375" i="3"/>
  <c r="Q375" i="3"/>
  <c r="N375" i="3"/>
  <c r="K375" i="3"/>
  <c r="AN374" i="3"/>
  <c r="AM374" i="3"/>
  <c r="AL374" i="3"/>
  <c r="AK374" i="3"/>
  <c r="AJ374" i="3"/>
  <c r="AI374" i="3"/>
  <c r="AH374" i="3"/>
  <c r="R374" i="3"/>
  <c r="Q374" i="3"/>
  <c r="K374" i="3"/>
  <c r="AN373" i="3"/>
  <c r="AM373" i="3"/>
  <c r="AL373" i="3"/>
  <c r="AK373" i="3"/>
  <c r="AJ373" i="3"/>
  <c r="AI373" i="3"/>
  <c r="AH373" i="3"/>
  <c r="X373" i="3"/>
  <c r="V373" i="3"/>
  <c r="U373" i="3"/>
  <c r="S373" i="3"/>
  <c r="S374" i="3" s="1"/>
  <c r="R373" i="3"/>
  <c r="Q373" i="3"/>
  <c r="P373" i="3"/>
  <c r="P374" i="3" s="1"/>
  <c r="P375" i="3" s="1"/>
  <c r="N373" i="3"/>
  <c r="AE378" i="3" s="1"/>
  <c r="M373" i="3"/>
  <c r="M377" i="3" s="1"/>
  <c r="M378" i="3" s="1"/>
  <c r="L373" i="3"/>
  <c r="L377" i="3" s="1"/>
  <c r="L378" i="3" s="1"/>
  <c r="K373" i="3"/>
  <c r="K377" i="3" s="1"/>
  <c r="K378" i="3" s="1"/>
  <c r="AN372" i="3"/>
  <c r="AM372" i="3"/>
  <c r="AL372" i="3"/>
  <c r="AK372" i="3"/>
  <c r="AJ372" i="3"/>
  <c r="AI372" i="3"/>
  <c r="AH372" i="3"/>
  <c r="AN371" i="3"/>
  <c r="AM371" i="3"/>
  <c r="AL371" i="3"/>
  <c r="AK371" i="3"/>
  <c r="AJ371" i="3"/>
  <c r="AI371" i="3"/>
  <c r="AH371" i="3"/>
  <c r="AE371" i="3"/>
  <c r="M371" i="3"/>
  <c r="L371" i="3"/>
  <c r="I371" i="3"/>
  <c r="AN370" i="3"/>
  <c r="AM370" i="3"/>
  <c r="AL370" i="3"/>
  <c r="AK370" i="3"/>
  <c r="AJ370" i="3"/>
  <c r="AI370" i="3"/>
  <c r="AH370" i="3"/>
  <c r="M370" i="3"/>
  <c r="L370" i="3"/>
  <c r="AN369" i="3"/>
  <c r="AM369" i="3"/>
  <c r="AL369" i="3"/>
  <c r="AK369" i="3"/>
  <c r="AJ369" i="3"/>
  <c r="AI369" i="3"/>
  <c r="AH369" i="3"/>
  <c r="N369" i="3"/>
  <c r="M369" i="3"/>
  <c r="L369" i="3"/>
  <c r="AN368" i="3"/>
  <c r="AM368" i="3"/>
  <c r="AL368" i="3"/>
  <c r="AK368" i="3"/>
  <c r="AJ368" i="3"/>
  <c r="AI368" i="3"/>
  <c r="AH368" i="3"/>
  <c r="W368" i="3"/>
  <c r="R368" i="3"/>
  <c r="R369" i="3" s="1"/>
  <c r="P368" i="3"/>
  <c r="U368" i="3" s="1"/>
  <c r="N368" i="3"/>
  <c r="N371" i="3" s="1"/>
  <c r="M368" i="3"/>
  <c r="L368" i="3"/>
  <c r="K368" i="3"/>
  <c r="AN367" i="3"/>
  <c r="AM367" i="3"/>
  <c r="AL367" i="3"/>
  <c r="AK367" i="3"/>
  <c r="AJ367" i="3"/>
  <c r="AI367" i="3"/>
  <c r="AH367" i="3"/>
  <c r="R367" i="3"/>
  <c r="Q367" i="3"/>
  <c r="Q368" i="3" s="1"/>
  <c r="P367" i="3"/>
  <c r="I367" i="3"/>
  <c r="S367" i="3" s="1"/>
  <c r="S368" i="3" s="1"/>
  <c r="AN366" i="3"/>
  <c r="AM366" i="3"/>
  <c r="AL366" i="3"/>
  <c r="AK366" i="3"/>
  <c r="AJ366" i="3"/>
  <c r="AI366" i="3"/>
  <c r="AH366" i="3"/>
  <c r="AN365" i="3"/>
  <c r="AM365" i="3"/>
  <c r="AL365" i="3"/>
  <c r="AK365" i="3"/>
  <c r="AJ365" i="3"/>
  <c r="AI365" i="3"/>
  <c r="AH365" i="3"/>
  <c r="I365" i="3"/>
  <c r="AN364" i="3"/>
  <c r="AM364" i="3"/>
  <c r="AL364" i="3"/>
  <c r="AK364" i="3"/>
  <c r="AJ364" i="3"/>
  <c r="AI364" i="3"/>
  <c r="AH364" i="3"/>
  <c r="W364" i="3"/>
  <c r="S364" i="3"/>
  <c r="R364" i="3"/>
  <c r="R365" i="3" s="1"/>
  <c r="W365" i="3" s="1"/>
  <c r="P364" i="3"/>
  <c r="U364" i="3" s="1"/>
  <c r="AN363" i="3"/>
  <c r="AM363" i="3"/>
  <c r="AL363" i="3"/>
  <c r="AK363" i="3"/>
  <c r="AJ363" i="3"/>
  <c r="AI363" i="3"/>
  <c r="AH363" i="3"/>
  <c r="S363" i="3"/>
  <c r="R363" i="3"/>
  <c r="P363" i="3"/>
  <c r="AN362" i="3"/>
  <c r="AM362" i="3"/>
  <c r="AL362" i="3"/>
  <c r="AK362" i="3"/>
  <c r="AJ362" i="3"/>
  <c r="AI362" i="3"/>
  <c r="AH362" i="3"/>
  <c r="S362" i="3"/>
  <c r="R362" i="3"/>
  <c r="W362" i="3" s="1"/>
  <c r="Q362" i="3"/>
  <c r="V362" i="3" s="1"/>
  <c r="P362" i="3"/>
  <c r="M362" i="3"/>
  <c r="AN361" i="3"/>
  <c r="AM361" i="3"/>
  <c r="AL361" i="3"/>
  <c r="AK361" i="3"/>
  <c r="AJ361" i="3"/>
  <c r="AI361" i="3"/>
  <c r="AH361" i="3"/>
  <c r="S361" i="3"/>
  <c r="X361" i="3" s="1"/>
  <c r="R361" i="3"/>
  <c r="Q361" i="3"/>
  <c r="P361" i="3"/>
  <c r="N361" i="3"/>
  <c r="AN360" i="3"/>
  <c r="AM360" i="3"/>
  <c r="AL360" i="3"/>
  <c r="AK360" i="3"/>
  <c r="AJ360" i="3"/>
  <c r="AI360" i="3"/>
  <c r="AH360" i="3"/>
  <c r="X360" i="3"/>
  <c r="U360" i="3"/>
  <c r="S360" i="3"/>
  <c r="R360" i="3"/>
  <c r="Q360" i="3"/>
  <c r="P360" i="3"/>
  <c r="N360" i="3"/>
  <c r="N363" i="3" s="1"/>
  <c r="X363" i="3" s="1"/>
  <c r="M360" i="3"/>
  <c r="W360" i="3" s="1"/>
  <c r="K360" i="3"/>
  <c r="K363" i="3" s="1"/>
  <c r="AN359" i="3"/>
  <c r="AM359" i="3"/>
  <c r="AL359" i="3"/>
  <c r="AK359" i="3"/>
  <c r="AJ359" i="3"/>
  <c r="AI359" i="3"/>
  <c r="AH359" i="3"/>
  <c r="AN358" i="3"/>
  <c r="AM358" i="3"/>
  <c r="AL358" i="3"/>
  <c r="AK358" i="3"/>
  <c r="AJ358" i="3"/>
  <c r="AI358" i="3"/>
  <c r="AH358" i="3"/>
  <c r="AE358" i="3"/>
  <c r="N358" i="3"/>
  <c r="M358" i="3"/>
  <c r="I358" i="3"/>
  <c r="AN357" i="3"/>
  <c r="AM357" i="3"/>
  <c r="AL357" i="3"/>
  <c r="AK357" i="3"/>
  <c r="AJ357" i="3"/>
  <c r="AI357" i="3"/>
  <c r="AH357" i="3"/>
  <c r="N357" i="3"/>
  <c r="M357" i="3"/>
  <c r="AN356" i="3"/>
  <c r="AM356" i="3"/>
  <c r="AL356" i="3"/>
  <c r="AK356" i="3"/>
  <c r="AJ356" i="3"/>
  <c r="AI356" i="3"/>
  <c r="AH356" i="3"/>
  <c r="N356" i="3"/>
  <c r="M356" i="3"/>
  <c r="AN355" i="3"/>
  <c r="AM355" i="3"/>
  <c r="AL355" i="3"/>
  <c r="AK355" i="3"/>
  <c r="AJ355" i="3"/>
  <c r="AI355" i="3"/>
  <c r="AH355" i="3"/>
  <c r="R355" i="3"/>
  <c r="W355" i="3" s="1"/>
  <c r="N355" i="3"/>
  <c r="M355" i="3"/>
  <c r="AN354" i="3"/>
  <c r="AM354" i="3"/>
  <c r="AL354" i="3"/>
  <c r="AK354" i="3"/>
  <c r="AJ354" i="3"/>
  <c r="AI354" i="3"/>
  <c r="AH354" i="3"/>
  <c r="S354" i="3"/>
  <c r="X354" i="3" s="1"/>
  <c r="R354" i="3"/>
  <c r="Q354" i="3"/>
  <c r="N354" i="3"/>
  <c r="AN353" i="3"/>
  <c r="AM353" i="3"/>
  <c r="AL353" i="3"/>
  <c r="AK353" i="3"/>
  <c r="AJ353" i="3"/>
  <c r="AI353" i="3"/>
  <c r="AH353" i="3"/>
  <c r="X353" i="3"/>
  <c r="W353" i="3"/>
  <c r="S353" i="3"/>
  <c r="R353" i="3"/>
  <c r="Q353" i="3"/>
  <c r="P353" i="3"/>
  <c r="M353" i="3"/>
  <c r="M354" i="3" s="1"/>
  <c r="W354" i="3" s="1"/>
  <c r="L353" i="3"/>
  <c r="L354" i="3" s="1"/>
  <c r="K353" i="3"/>
  <c r="K355" i="3" s="1"/>
  <c r="AN352" i="3"/>
  <c r="AM352" i="3"/>
  <c r="AL352" i="3"/>
  <c r="AK352" i="3"/>
  <c r="AJ352" i="3"/>
  <c r="AI352" i="3"/>
  <c r="AH352" i="3"/>
  <c r="AN351" i="3"/>
  <c r="AM351" i="3"/>
  <c r="AL351" i="3"/>
  <c r="AK351" i="3"/>
  <c r="AJ351" i="3"/>
  <c r="AI351" i="3"/>
  <c r="AH351" i="3"/>
  <c r="AE351" i="3"/>
  <c r="N351" i="3"/>
  <c r="M351" i="3"/>
  <c r="L351" i="3"/>
  <c r="I351" i="3"/>
  <c r="AN350" i="3"/>
  <c r="AM350" i="3"/>
  <c r="AL350" i="3"/>
  <c r="AK350" i="3"/>
  <c r="AJ350" i="3"/>
  <c r="AI350" i="3"/>
  <c r="AH350" i="3"/>
  <c r="N350" i="3"/>
  <c r="M350" i="3"/>
  <c r="K350" i="3"/>
  <c r="AN349" i="3"/>
  <c r="AM349" i="3"/>
  <c r="AL349" i="3"/>
  <c r="AK349" i="3"/>
  <c r="AJ349" i="3"/>
  <c r="AI349" i="3"/>
  <c r="AH349" i="3"/>
  <c r="N349" i="3"/>
  <c r="M349" i="3"/>
  <c r="AN348" i="3"/>
  <c r="AM348" i="3"/>
  <c r="AL348" i="3"/>
  <c r="AK348" i="3"/>
  <c r="AJ348" i="3"/>
  <c r="AI348" i="3"/>
  <c r="AH348" i="3"/>
  <c r="N348" i="3"/>
  <c r="M348" i="3"/>
  <c r="L348" i="3"/>
  <c r="AN347" i="3"/>
  <c r="AM347" i="3"/>
  <c r="AL347" i="3"/>
  <c r="AK347" i="3"/>
  <c r="AJ347" i="3"/>
  <c r="AI347" i="3"/>
  <c r="AH347" i="3"/>
  <c r="N347" i="3"/>
  <c r="M347" i="3"/>
  <c r="L347" i="3"/>
  <c r="AN346" i="3"/>
  <c r="AM346" i="3"/>
  <c r="AL346" i="3"/>
  <c r="AK346" i="3"/>
  <c r="AJ346" i="3"/>
  <c r="AI346" i="3"/>
  <c r="AH346" i="3"/>
  <c r="R346" i="3"/>
  <c r="W346" i="3" s="1"/>
  <c r="P346" i="3"/>
  <c r="U346" i="3" s="1"/>
  <c r="L346" i="3"/>
  <c r="L350" i="3" s="1"/>
  <c r="K346" i="3"/>
  <c r="K351" i="3" s="1"/>
  <c r="AN345" i="3"/>
  <c r="AM345" i="3"/>
  <c r="AL345" i="3"/>
  <c r="AK345" i="3"/>
  <c r="AJ345" i="3"/>
  <c r="AI345" i="3"/>
  <c r="AH345" i="3"/>
  <c r="R345" i="3"/>
  <c r="Q345" i="3"/>
  <c r="Q346" i="3" s="1"/>
  <c r="P345" i="3"/>
  <c r="I345" i="3"/>
  <c r="S345" i="3" s="1"/>
  <c r="S346" i="3" s="1"/>
  <c r="AN344" i="3"/>
  <c r="AM344" i="3"/>
  <c r="AL344" i="3"/>
  <c r="AK344" i="3"/>
  <c r="AJ344" i="3"/>
  <c r="AI344" i="3"/>
  <c r="AH344" i="3"/>
  <c r="AN343" i="3"/>
  <c r="AM343" i="3"/>
  <c r="AL343" i="3"/>
  <c r="AK343" i="3"/>
  <c r="AJ343" i="3"/>
  <c r="AI343" i="3"/>
  <c r="AH343" i="3"/>
  <c r="AE343" i="3"/>
  <c r="N343" i="3"/>
  <c r="L343" i="3"/>
  <c r="I343" i="3"/>
  <c r="AN342" i="3"/>
  <c r="AM342" i="3"/>
  <c r="AL342" i="3"/>
  <c r="AK342" i="3"/>
  <c r="AJ342" i="3"/>
  <c r="AI342" i="3"/>
  <c r="AH342" i="3"/>
  <c r="S342" i="3"/>
  <c r="N342" i="3"/>
  <c r="L342" i="3"/>
  <c r="AN341" i="3"/>
  <c r="AM341" i="3"/>
  <c r="AL341" i="3"/>
  <c r="AK341" i="3"/>
  <c r="AJ341" i="3"/>
  <c r="AI341" i="3"/>
  <c r="AH341" i="3"/>
  <c r="N341" i="3"/>
  <c r="L341" i="3"/>
  <c r="AN340" i="3"/>
  <c r="AM340" i="3"/>
  <c r="AL340" i="3"/>
  <c r="AK340" i="3"/>
  <c r="AJ340" i="3"/>
  <c r="AI340" i="3"/>
  <c r="AH340" i="3"/>
  <c r="R340" i="3"/>
  <c r="W340" i="3" s="1"/>
  <c r="P340" i="3"/>
  <c r="U340" i="3" s="1"/>
  <c r="M340" i="3"/>
  <c r="M343" i="3" s="1"/>
  <c r="L340" i="3"/>
  <c r="K340" i="3"/>
  <c r="K343" i="3" s="1"/>
  <c r="AN339" i="3"/>
  <c r="AM339" i="3"/>
  <c r="AL339" i="3"/>
  <c r="AK339" i="3"/>
  <c r="AJ339" i="3"/>
  <c r="AI339" i="3"/>
  <c r="AH339" i="3"/>
  <c r="R339" i="3"/>
  <c r="Q339" i="3"/>
  <c r="Q340" i="3" s="1"/>
  <c r="P339" i="3"/>
  <c r="I339" i="3"/>
  <c r="S339" i="3" s="1"/>
  <c r="S340" i="3" s="1"/>
  <c r="S341" i="3" s="1"/>
  <c r="X341" i="3" s="1"/>
  <c r="AN338" i="3"/>
  <c r="AM338" i="3"/>
  <c r="AL338" i="3"/>
  <c r="AK338" i="3"/>
  <c r="AJ338" i="3"/>
  <c r="AI338" i="3"/>
  <c r="AH338" i="3"/>
  <c r="AN337" i="3"/>
  <c r="AM337" i="3"/>
  <c r="AL337" i="3"/>
  <c r="AK337" i="3"/>
  <c r="AJ337" i="3"/>
  <c r="AI337" i="3"/>
  <c r="AH337" i="3"/>
  <c r="AE337" i="3"/>
  <c r="N337" i="3"/>
  <c r="M337" i="3"/>
  <c r="K337" i="3"/>
  <c r="I337" i="3"/>
  <c r="AN336" i="3"/>
  <c r="AM336" i="3"/>
  <c r="AL336" i="3"/>
  <c r="AK336" i="3"/>
  <c r="AJ336" i="3"/>
  <c r="AI336" i="3"/>
  <c r="AH336" i="3"/>
  <c r="N336" i="3"/>
  <c r="M336" i="3"/>
  <c r="K336" i="3"/>
  <c r="I336" i="3"/>
  <c r="AN335" i="3"/>
  <c r="AM335" i="3"/>
  <c r="AL335" i="3"/>
  <c r="AK335" i="3"/>
  <c r="AJ335" i="3"/>
  <c r="AI335" i="3"/>
  <c r="AH335" i="3"/>
  <c r="N335" i="3"/>
  <c r="M335" i="3"/>
  <c r="K335" i="3"/>
  <c r="I335" i="3"/>
  <c r="AN334" i="3"/>
  <c r="AM334" i="3"/>
  <c r="AL334" i="3"/>
  <c r="AK334" i="3"/>
  <c r="AJ334" i="3"/>
  <c r="AI334" i="3"/>
  <c r="AH334" i="3"/>
  <c r="N334" i="3"/>
  <c r="M334" i="3"/>
  <c r="K334" i="3"/>
  <c r="I334" i="3"/>
  <c r="S334" i="3" s="1"/>
  <c r="X334" i="3" s="1"/>
  <c r="AN333" i="3"/>
  <c r="AM333" i="3"/>
  <c r="AL333" i="3"/>
  <c r="AK333" i="3"/>
  <c r="AJ333" i="3"/>
  <c r="AI333" i="3"/>
  <c r="AH333" i="3"/>
  <c r="S333" i="3"/>
  <c r="X333" i="3" s="1"/>
  <c r="L333" i="3"/>
  <c r="I333" i="3"/>
  <c r="AN332" i="3"/>
  <c r="AM332" i="3"/>
  <c r="AL332" i="3"/>
  <c r="AK332" i="3"/>
  <c r="AJ332" i="3"/>
  <c r="AI332" i="3"/>
  <c r="AH332" i="3"/>
  <c r="S332" i="3"/>
  <c r="R332" i="3"/>
  <c r="R333" i="3" s="1"/>
  <c r="Q332" i="3"/>
  <c r="Q333" i="3" s="1"/>
  <c r="P332" i="3"/>
  <c r="P333" i="3" s="1"/>
  <c r="I332" i="3"/>
  <c r="AN331" i="3"/>
  <c r="AM331" i="3"/>
  <c r="AL331" i="3"/>
  <c r="AK331" i="3"/>
  <c r="AJ331" i="3"/>
  <c r="AI331" i="3"/>
  <c r="AH331" i="3"/>
  <c r="AN330" i="3"/>
  <c r="AM330" i="3"/>
  <c r="AL330" i="3"/>
  <c r="AK330" i="3"/>
  <c r="AJ330" i="3"/>
  <c r="AI330" i="3"/>
  <c r="AH330" i="3"/>
  <c r="AE330" i="3"/>
  <c r="N330" i="3"/>
  <c r="M330" i="3"/>
  <c r="L330" i="3"/>
  <c r="K330" i="3"/>
  <c r="I330" i="3"/>
  <c r="AN329" i="3"/>
  <c r="AM329" i="3"/>
  <c r="AL329" i="3"/>
  <c r="AK329" i="3"/>
  <c r="AJ329" i="3"/>
  <c r="AI329" i="3"/>
  <c r="AH329" i="3"/>
  <c r="N329" i="3"/>
  <c r="M329" i="3"/>
  <c r="L329" i="3"/>
  <c r="K329" i="3"/>
  <c r="I329" i="3"/>
  <c r="AN328" i="3"/>
  <c r="AM328" i="3"/>
  <c r="AL328" i="3"/>
  <c r="AK328" i="3"/>
  <c r="AJ328" i="3"/>
  <c r="AI328" i="3"/>
  <c r="AH328" i="3"/>
  <c r="N328" i="3"/>
  <c r="M328" i="3"/>
  <c r="L328" i="3"/>
  <c r="K328" i="3"/>
  <c r="I328" i="3"/>
  <c r="AN327" i="3"/>
  <c r="AM327" i="3"/>
  <c r="AL327" i="3"/>
  <c r="AK327" i="3"/>
  <c r="AJ327" i="3"/>
  <c r="AI327" i="3"/>
  <c r="AH327" i="3"/>
  <c r="P327" i="3"/>
  <c r="N327" i="3"/>
  <c r="M327" i="3"/>
  <c r="L327" i="3"/>
  <c r="K327" i="3"/>
  <c r="I327" i="3"/>
  <c r="AN326" i="3"/>
  <c r="AM326" i="3"/>
  <c r="AL326" i="3"/>
  <c r="AK326" i="3"/>
  <c r="AJ326" i="3"/>
  <c r="AI326" i="3"/>
  <c r="AH326" i="3"/>
  <c r="R326" i="3"/>
  <c r="L326" i="3"/>
  <c r="I326" i="3"/>
  <c r="S326" i="3" s="1"/>
  <c r="AN325" i="3"/>
  <c r="AM325" i="3"/>
  <c r="AL325" i="3"/>
  <c r="AK325" i="3"/>
  <c r="AJ325" i="3"/>
  <c r="AI325" i="3"/>
  <c r="AH325" i="3"/>
  <c r="R325" i="3"/>
  <c r="Q325" i="3"/>
  <c r="Q326" i="3" s="1"/>
  <c r="P325" i="3"/>
  <c r="P326" i="3" s="1"/>
  <c r="U326" i="3" s="1"/>
  <c r="I325" i="3"/>
  <c r="S325" i="3" s="1"/>
  <c r="AN324" i="3"/>
  <c r="AM324" i="3"/>
  <c r="AL324" i="3"/>
  <c r="AK324" i="3"/>
  <c r="AJ324" i="3"/>
  <c r="AI324" i="3"/>
  <c r="AH324" i="3"/>
  <c r="AN323" i="3"/>
  <c r="AM323" i="3"/>
  <c r="AL323" i="3"/>
  <c r="AK323" i="3"/>
  <c r="AJ323" i="3"/>
  <c r="AI323" i="3"/>
  <c r="AH323" i="3"/>
  <c r="M323" i="3"/>
  <c r="K323" i="3"/>
  <c r="AN322" i="3"/>
  <c r="AM322" i="3"/>
  <c r="AL322" i="3"/>
  <c r="AK322" i="3"/>
  <c r="AJ322" i="3"/>
  <c r="AI322" i="3"/>
  <c r="AH322" i="3"/>
  <c r="K322" i="3"/>
  <c r="AN321" i="3"/>
  <c r="AM321" i="3"/>
  <c r="AL321" i="3"/>
  <c r="AK321" i="3"/>
  <c r="AJ321" i="3"/>
  <c r="AI321" i="3"/>
  <c r="AH321" i="3"/>
  <c r="M321" i="3"/>
  <c r="K321" i="3"/>
  <c r="AN320" i="3"/>
  <c r="AM320" i="3"/>
  <c r="AL320" i="3"/>
  <c r="AK320" i="3"/>
  <c r="AJ320" i="3"/>
  <c r="AI320" i="3"/>
  <c r="AH320" i="3"/>
  <c r="Q320" i="3"/>
  <c r="N320" i="3"/>
  <c r="M320" i="3"/>
  <c r="K320" i="3"/>
  <c r="AN319" i="3"/>
  <c r="AM319" i="3"/>
  <c r="AL319" i="3"/>
  <c r="AK319" i="3"/>
  <c r="AJ319" i="3"/>
  <c r="AI319" i="3"/>
  <c r="AH319" i="3"/>
  <c r="S319" i="3"/>
  <c r="S320" i="3" s="1"/>
  <c r="R319" i="3"/>
  <c r="M319" i="3"/>
  <c r="K319" i="3"/>
  <c r="AN318" i="3"/>
  <c r="AM318" i="3"/>
  <c r="AL318" i="3"/>
  <c r="AK318" i="3"/>
  <c r="AJ318" i="3"/>
  <c r="AI318" i="3"/>
  <c r="AH318" i="3"/>
  <c r="X318" i="3"/>
  <c r="W318" i="3"/>
  <c r="V318" i="3"/>
  <c r="S318" i="3"/>
  <c r="R318" i="3"/>
  <c r="Q318" i="3"/>
  <c r="Q319" i="3" s="1"/>
  <c r="P318" i="3"/>
  <c r="U318" i="3" s="1"/>
  <c r="N318" i="3"/>
  <c r="N322" i="3" s="1"/>
  <c r="N323" i="3" s="1"/>
  <c r="L318" i="3"/>
  <c r="L322" i="3" s="1"/>
  <c r="L323" i="3" s="1"/>
  <c r="AN317" i="3"/>
  <c r="AM317" i="3"/>
  <c r="AL317" i="3"/>
  <c r="AK317" i="3"/>
  <c r="AJ317" i="3"/>
  <c r="AI317" i="3"/>
  <c r="AH317" i="3"/>
  <c r="AN316" i="3"/>
  <c r="AM316" i="3"/>
  <c r="AL316" i="3"/>
  <c r="AK316" i="3"/>
  <c r="AJ316" i="3"/>
  <c r="AI316" i="3"/>
  <c r="AH316" i="3"/>
  <c r="P316" i="3"/>
  <c r="U316" i="3" s="1"/>
  <c r="AN315" i="3"/>
  <c r="AM315" i="3"/>
  <c r="AL315" i="3"/>
  <c r="AK315" i="3"/>
  <c r="AJ315" i="3"/>
  <c r="AI315" i="3"/>
  <c r="AH315" i="3"/>
  <c r="W315" i="3"/>
  <c r="U315" i="3"/>
  <c r="S315" i="3"/>
  <c r="R315" i="3"/>
  <c r="R316" i="3" s="1"/>
  <c r="W316" i="3" s="1"/>
  <c r="P315" i="3"/>
  <c r="N315" i="3"/>
  <c r="AN314" i="3"/>
  <c r="AM314" i="3"/>
  <c r="AL314" i="3"/>
  <c r="AK314" i="3"/>
  <c r="AJ314" i="3"/>
  <c r="AI314" i="3"/>
  <c r="AH314" i="3"/>
  <c r="W314" i="3"/>
  <c r="S314" i="3"/>
  <c r="R314" i="3"/>
  <c r="P314" i="3"/>
  <c r="AN313" i="3"/>
  <c r="AM313" i="3"/>
  <c r="AL313" i="3"/>
  <c r="AK313" i="3"/>
  <c r="AJ313" i="3"/>
  <c r="AI313" i="3"/>
  <c r="AH313" i="3"/>
  <c r="W313" i="3"/>
  <c r="S313" i="3"/>
  <c r="R313" i="3"/>
  <c r="P313" i="3"/>
  <c r="AN312" i="3"/>
  <c r="AM312" i="3"/>
  <c r="AL312" i="3"/>
  <c r="AK312" i="3"/>
  <c r="AJ312" i="3"/>
  <c r="AI312" i="3"/>
  <c r="AH312" i="3"/>
  <c r="W312" i="3"/>
  <c r="S312" i="3"/>
  <c r="R312" i="3"/>
  <c r="Q312" i="3"/>
  <c r="Q313" i="3" s="1"/>
  <c r="P312" i="3"/>
  <c r="AN311" i="3"/>
  <c r="AM311" i="3"/>
  <c r="AL311" i="3"/>
  <c r="AK311" i="3"/>
  <c r="AJ311" i="3"/>
  <c r="AI311" i="3"/>
  <c r="AH311" i="3"/>
  <c r="S311" i="3"/>
  <c r="R311" i="3"/>
  <c r="Q311" i="3"/>
  <c r="P311" i="3"/>
  <c r="M311" i="3"/>
  <c r="K311" i="3"/>
  <c r="K312" i="3" s="1"/>
  <c r="AN310" i="3"/>
  <c r="AM310" i="3"/>
  <c r="AL310" i="3"/>
  <c r="AK310" i="3"/>
  <c r="AJ310" i="3"/>
  <c r="AI310" i="3"/>
  <c r="AH310" i="3"/>
  <c r="AN309" i="3"/>
  <c r="AM309" i="3"/>
  <c r="AL309" i="3"/>
  <c r="AK309" i="3"/>
  <c r="AJ309" i="3"/>
  <c r="AI309" i="3"/>
  <c r="AH309" i="3"/>
  <c r="AE309" i="3"/>
  <c r="R309" i="3"/>
  <c r="W309" i="3" s="1"/>
  <c r="N309" i="3"/>
  <c r="M309" i="3"/>
  <c r="I309" i="3"/>
  <c r="AN308" i="3"/>
  <c r="AM308" i="3"/>
  <c r="AL308" i="3"/>
  <c r="AK308" i="3"/>
  <c r="AJ308" i="3"/>
  <c r="AI308" i="3"/>
  <c r="AH308" i="3"/>
  <c r="N308" i="3"/>
  <c r="M308" i="3"/>
  <c r="AN307" i="3"/>
  <c r="AM307" i="3"/>
  <c r="AL307" i="3"/>
  <c r="AK307" i="3"/>
  <c r="AJ307" i="3"/>
  <c r="AI307" i="3"/>
  <c r="AH307" i="3"/>
  <c r="N307" i="3"/>
  <c r="M307" i="3"/>
  <c r="AN306" i="3"/>
  <c r="AM306" i="3"/>
  <c r="AL306" i="3"/>
  <c r="AK306" i="3"/>
  <c r="AJ306" i="3"/>
  <c r="AI306" i="3"/>
  <c r="AH306" i="3"/>
  <c r="N306" i="3"/>
  <c r="M306" i="3"/>
  <c r="AN305" i="3"/>
  <c r="AM305" i="3"/>
  <c r="AL305" i="3"/>
  <c r="AK305" i="3"/>
  <c r="AJ305" i="3"/>
  <c r="AI305" i="3"/>
  <c r="AH305" i="3"/>
  <c r="W305" i="3"/>
  <c r="Q305" i="3"/>
  <c r="N305" i="3"/>
  <c r="M305" i="3"/>
  <c r="AN304" i="3"/>
  <c r="AM304" i="3"/>
  <c r="AL304" i="3"/>
  <c r="AK304" i="3"/>
  <c r="AJ304" i="3"/>
  <c r="AI304" i="3"/>
  <c r="AH304" i="3"/>
  <c r="S304" i="3"/>
  <c r="R304" i="3"/>
  <c r="R305" i="3" s="1"/>
  <c r="R306" i="3" s="1"/>
  <c r="R307" i="3" s="1"/>
  <c r="R308" i="3" s="1"/>
  <c r="W308" i="3" s="1"/>
  <c r="Q304" i="3"/>
  <c r="V304" i="3" s="1"/>
  <c r="P304" i="3"/>
  <c r="U304" i="3" s="1"/>
  <c r="L304" i="3"/>
  <c r="L306" i="3" s="1"/>
  <c r="K304" i="3"/>
  <c r="AN303" i="3"/>
  <c r="AM303" i="3"/>
  <c r="AL303" i="3"/>
  <c r="AK303" i="3"/>
  <c r="AJ303" i="3"/>
  <c r="AI303" i="3"/>
  <c r="AH303" i="3"/>
  <c r="AN302" i="3"/>
  <c r="AM302" i="3"/>
  <c r="AL302" i="3"/>
  <c r="AK302" i="3"/>
  <c r="AJ302" i="3"/>
  <c r="AI302" i="3"/>
  <c r="AH302" i="3"/>
  <c r="AE302" i="3"/>
  <c r="N302" i="3"/>
  <c r="M302" i="3"/>
  <c r="K302" i="3"/>
  <c r="I302" i="3"/>
  <c r="AN301" i="3"/>
  <c r="AM301" i="3"/>
  <c r="AL301" i="3"/>
  <c r="AK301" i="3"/>
  <c r="AJ301" i="3"/>
  <c r="AI301" i="3"/>
  <c r="AH301" i="3"/>
  <c r="N301" i="3"/>
  <c r="M301" i="3"/>
  <c r="K301" i="3"/>
  <c r="AN300" i="3"/>
  <c r="AM300" i="3"/>
  <c r="AL300" i="3"/>
  <c r="AK300" i="3"/>
  <c r="AJ300" i="3"/>
  <c r="AI300" i="3"/>
  <c r="AH300" i="3"/>
  <c r="N300" i="3"/>
  <c r="M300" i="3"/>
  <c r="L300" i="3"/>
  <c r="K300" i="3"/>
  <c r="AN299" i="3"/>
  <c r="AM299" i="3"/>
  <c r="AL299" i="3"/>
  <c r="AK299" i="3"/>
  <c r="AJ299" i="3"/>
  <c r="AI299" i="3"/>
  <c r="AH299" i="3"/>
  <c r="S299" i="3"/>
  <c r="X299" i="3" s="1"/>
  <c r="P299" i="3"/>
  <c r="L299" i="3"/>
  <c r="L302" i="3" s="1"/>
  <c r="K299" i="3"/>
  <c r="AN298" i="3"/>
  <c r="AM298" i="3"/>
  <c r="AL298" i="3"/>
  <c r="AK298" i="3"/>
  <c r="AJ298" i="3"/>
  <c r="AI298" i="3"/>
  <c r="AH298" i="3"/>
  <c r="X298" i="3"/>
  <c r="W298" i="3"/>
  <c r="U298" i="3"/>
  <c r="S298" i="3"/>
  <c r="R298" i="3"/>
  <c r="R299" i="3" s="1"/>
  <c r="Q298" i="3"/>
  <c r="P298" i="3"/>
  <c r="I298" i="3"/>
  <c r="AN297" i="3"/>
  <c r="AM297" i="3"/>
  <c r="AL297" i="3"/>
  <c r="AK297" i="3"/>
  <c r="AJ297" i="3"/>
  <c r="AI297" i="3"/>
  <c r="AH297" i="3"/>
  <c r="AN296" i="3"/>
  <c r="AM296" i="3"/>
  <c r="AL296" i="3"/>
  <c r="AK296" i="3"/>
  <c r="AJ296" i="3"/>
  <c r="AI296" i="3"/>
  <c r="AH296" i="3"/>
  <c r="AE296" i="3"/>
  <c r="I296" i="3"/>
  <c r="AN295" i="3"/>
  <c r="AM295" i="3"/>
  <c r="AL295" i="3"/>
  <c r="AK295" i="3"/>
  <c r="AJ295" i="3"/>
  <c r="AI295" i="3"/>
  <c r="AH295" i="3"/>
  <c r="N295" i="3"/>
  <c r="K295" i="3"/>
  <c r="I295" i="3"/>
  <c r="AN294" i="3"/>
  <c r="AM294" i="3"/>
  <c r="AL294" i="3"/>
  <c r="AK294" i="3"/>
  <c r="AJ294" i="3"/>
  <c r="AI294" i="3"/>
  <c r="AH294" i="3"/>
  <c r="N294" i="3"/>
  <c r="M294" i="3"/>
  <c r="K294" i="3"/>
  <c r="I294" i="3"/>
  <c r="AN293" i="3"/>
  <c r="AM293" i="3"/>
  <c r="AL293" i="3"/>
  <c r="AK293" i="3"/>
  <c r="AJ293" i="3"/>
  <c r="AI293" i="3"/>
  <c r="AH293" i="3"/>
  <c r="N293" i="3"/>
  <c r="M293" i="3"/>
  <c r="L293" i="3"/>
  <c r="K293" i="3"/>
  <c r="I293" i="3"/>
  <c r="AN292" i="3"/>
  <c r="AM292" i="3"/>
  <c r="AL292" i="3"/>
  <c r="AK292" i="3"/>
  <c r="AJ292" i="3"/>
  <c r="AI292" i="3"/>
  <c r="AH292" i="3"/>
  <c r="Q292" i="3"/>
  <c r="N292" i="3"/>
  <c r="N296" i="3" s="1"/>
  <c r="M292" i="3"/>
  <c r="M296" i="3" s="1"/>
  <c r="L292" i="3"/>
  <c r="L294" i="3" s="1"/>
  <c r="K292" i="3"/>
  <c r="K296" i="3" s="1"/>
  <c r="I292" i="3"/>
  <c r="AN291" i="3"/>
  <c r="AM291" i="3"/>
  <c r="AL291" i="3"/>
  <c r="AK291" i="3"/>
  <c r="AJ291" i="3"/>
  <c r="AI291" i="3"/>
  <c r="AH291" i="3"/>
  <c r="R291" i="3"/>
  <c r="R292" i="3" s="1"/>
  <c r="Q291" i="3"/>
  <c r="P291" i="3"/>
  <c r="S291" i="3" s="1"/>
  <c r="I291" i="3"/>
  <c r="AN290" i="3"/>
  <c r="AM290" i="3"/>
  <c r="AL290" i="3"/>
  <c r="AK290" i="3"/>
  <c r="AJ290" i="3"/>
  <c r="AI290" i="3"/>
  <c r="AH290" i="3"/>
  <c r="AN289" i="3"/>
  <c r="AM289" i="3"/>
  <c r="AL289" i="3"/>
  <c r="AK289" i="3"/>
  <c r="AJ289" i="3"/>
  <c r="AI289" i="3"/>
  <c r="AH289" i="3"/>
  <c r="I289" i="3"/>
  <c r="AN288" i="3"/>
  <c r="AM288" i="3"/>
  <c r="AL288" i="3"/>
  <c r="AK288" i="3"/>
  <c r="AJ288" i="3"/>
  <c r="AI288" i="3"/>
  <c r="AH288" i="3"/>
  <c r="M288" i="3"/>
  <c r="AN287" i="3"/>
  <c r="AM287" i="3"/>
  <c r="AL287" i="3"/>
  <c r="AK287" i="3"/>
  <c r="AJ287" i="3"/>
  <c r="AI287" i="3"/>
  <c r="AH287" i="3"/>
  <c r="K287" i="3"/>
  <c r="AN286" i="3"/>
  <c r="AM286" i="3"/>
  <c r="AL286" i="3"/>
  <c r="AK286" i="3"/>
  <c r="AJ286" i="3"/>
  <c r="AI286" i="3"/>
  <c r="AH286" i="3"/>
  <c r="N286" i="3"/>
  <c r="AN285" i="3"/>
  <c r="AM285" i="3"/>
  <c r="AL285" i="3"/>
  <c r="AK285" i="3"/>
  <c r="AJ285" i="3"/>
  <c r="AI285" i="3"/>
  <c r="AH285" i="3"/>
  <c r="W285" i="3"/>
  <c r="R285" i="3"/>
  <c r="R286" i="3" s="1"/>
  <c r="P285" i="3"/>
  <c r="U285" i="3" s="1"/>
  <c r="N285" i="3"/>
  <c r="N288" i="3" s="1"/>
  <c r="M285" i="3"/>
  <c r="M289" i="3" s="1"/>
  <c r="L285" i="3"/>
  <c r="K285" i="3"/>
  <c r="K289" i="3" s="1"/>
  <c r="AN284" i="3"/>
  <c r="AM284" i="3"/>
  <c r="AL284" i="3"/>
  <c r="AK284" i="3"/>
  <c r="AJ284" i="3"/>
  <c r="AI284" i="3"/>
  <c r="AH284" i="3"/>
  <c r="R284" i="3"/>
  <c r="Q284" i="3"/>
  <c r="Q285" i="3" s="1"/>
  <c r="P284" i="3"/>
  <c r="I284" i="3"/>
  <c r="S284" i="3" s="1"/>
  <c r="S285" i="3" s="1"/>
  <c r="X285" i="3" s="1"/>
  <c r="AN283" i="3"/>
  <c r="AM283" i="3"/>
  <c r="AL283" i="3"/>
  <c r="AK283" i="3"/>
  <c r="AJ283" i="3"/>
  <c r="AI283" i="3"/>
  <c r="AH283" i="3"/>
  <c r="AN282" i="3"/>
  <c r="AM282" i="3"/>
  <c r="AL282" i="3"/>
  <c r="AK282" i="3"/>
  <c r="AJ282" i="3"/>
  <c r="AI282" i="3"/>
  <c r="AH282" i="3"/>
  <c r="AE282" i="3"/>
  <c r="N282" i="3"/>
  <c r="M282" i="3"/>
  <c r="L282" i="3"/>
  <c r="I282" i="3"/>
  <c r="AN281" i="3"/>
  <c r="AM281" i="3"/>
  <c r="AL281" i="3"/>
  <c r="AK281" i="3"/>
  <c r="AJ281" i="3"/>
  <c r="AI281" i="3"/>
  <c r="AH281" i="3"/>
  <c r="N281" i="3"/>
  <c r="M281" i="3"/>
  <c r="I281" i="3"/>
  <c r="AN280" i="3"/>
  <c r="AM280" i="3"/>
  <c r="AL280" i="3"/>
  <c r="AK280" i="3"/>
  <c r="AJ280" i="3"/>
  <c r="AI280" i="3"/>
  <c r="AH280" i="3"/>
  <c r="N280" i="3"/>
  <c r="M280" i="3"/>
  <c r="I280" i="3"/>
  <c r="AN279" i="3"/>
  <c r="AM279" i="3"/>
  <c r="AL279" i="3"/>
  <c r="AK279" i="3"/>
  <c r="AJ279" i="3"/>
  <c r="AI279" i="3"/>
  <c r="AH279" i="3"/>
  <c r="P279" i="3"/>
  <c r="N279" i="3"/>
  <c r="M279" i="3"/>
  <c r="I279" i="3"/>
  <c r="AN278" i="3"/>
  <c r="AM278" i="3"/>
  <c r="AL278" i="3"/>
  <c r="AK278" i="3"/>
  <c r="AJ278" i="3"/>
  <c r="AI278" i="3"/>
  <c r="AH278" i="3"/>
  <c r="R278" i="3"/>
  <c r="R279" i="3" s="1"/>
  <c r="P278" i="3"/>
  <c r="M278" i="3"/>
  <c r="L278" i="3"/>
  <c r="L279" i="3" s="1"/>
  <c r="K278" i="3"/>
  <c r="K280" i="3" s="1"/>
  <c r="I278" i="3"/>
  <c r="AN277" i="3"/>
  <c r="AM277" i="3"/>
  <c r="AL277" i="3"/>
  <c r="AK277" i="3"/>
  <c r="AJ277" i="3"/>
  <c r="AI277" i="3"/>
  <c r="AH277" i="3"/>
  <c r="S277" i="3"/>
  <c r="R277" i="3"/>
  <c r="Q277" i="3"/>
  <c r="Q278" i="3" s="1"/>
  <c r="P277" i="3"/>
  <c r="I277" i="3"/>
  <c r="AN276" i="3"/>
  <c r="AM276" i="3"/>
  <c r="AL276" i="3"/>
  <c r="AK276" i="3"/>
  <c r="AJ276" i="3"/>
  <c r="AI276" i="3"/>
  <c r="AH276" i="3"/>
  <c r="AN275" i="3"/>
  <c r="AM275" i="3"/>
  <c r="AL275" i="3"/>
  <c r="AK275" i="3"/>
  <c r="AJ275" i="3"/>
  <c r="AI275" i="3"/>
  <c r="AH275" i="3"/>
  <c r="AE275" i="3"/>
  <c r="AN274" i="3"/>
  <c r="AM274" i="3"/>
  <c r="AL274" i="3"/>
  <c r="AK274" i="3"/>
  <c r="AJ274" i="3"/>
  <c r="AI274" i="3"/>
  <c r="AH274" i="3"/>
  <c r="N274" i="3"/>
  <c r="N275" i="3" s="1"/>
  <c r="M274" i="3"/>
  <c r="M275" i="3" s="1"/>
  <c r="K274" i="3"/>
  <c r="K275" i="3" s="1"/>
  <c r="AN273" i="3"/>
  <c r="AM273" i="3"/>
  <c r="AL273" i="3"/>
  <c r="AK273" i="3"/>
  <c r="AJ273" i="3"/>
  <c r="AI273" i="3"/>
  <c r="AH273" i="3"/>
  <c r="N273" i="3"/>
  <c r="M273" i="3"/>
  <c r="AN272" i="3"/>
  <c r="AM272" i="3"/>
  <c r="AL272" i="3"/>
  <c r="AK272" i="3"/>
  <c r="AJ272" i="3"/>
  <c r="AI272" i="3"/>
  <c r="AH272" i="3"/>
  <c r="N272" i="3"/>
  <c r="M272" i="3"/>
  <c r="L272" i="3"/>
  <c r="AN271" i="3"/>
  <c r="AM271" i="3"/>
  <c r="AL271" i="3"/>
  <c r="AK271" i="3"/>
  <c r="AJ271" i="3"/>
  <c r="AI271" i="3"/>
  <c r="AH271" i="3"/>
  <c r="Q271" i="3"/>
  <c r="Q272" i="3" s="1"/>
  <c r="P271" i="3"/>
  <c r="N271" i="3"/>
  <c r="M271" i="3"/>
  <c r="K271" i="3"/>
  <c r="AN270" i="3"/>
  <c r="AM270" i="3"/>
  <c r="AL270" i="3"/>
  <c r="AK270" i="3"/>
  <c r="AJ270" i="3"/>
  <c r="AI270" i="3"/>
  <c r="AH270" i="3"/>
  <c r="W270" i="3"/>
  <c r="U270" i="3"/>
  <c r="S270" i="3"/>
  <c r="R270" i="3"/>
  <c r="R271" i="3" s="1"/>
  <c r="Q270" i="3"/>
  <c r="V270" i="3" s="1"/>
  <c r="P270" i="3"/>
  <c r="L270" i="3"/>
  <c r="L273" i="3" s="1"/>
  <c r="K270" i="3"/>
  <c r="K273" i="3" s="1"/>
  <c r="AN269" i="3"/>
  <c r="AM269" i="3"/>
  <c r="AL269" i="3"/>
  <c r="AK269" i="3"/>
  <c r="AJ269" i="3"/>
  <c r="AI269" i="3"/>
  <c r="AH269" i="3"/>
  <c r="AN268" i="3"/>
  <c r="AM268" i="3"/>
  <c r="AL268" i="3"/>
  <c r="AK268" i="3"/>
  <c r="AJ268" i="3"/>
  <c r="AI268" i="3"/>
  <c r="AH268" i="3"/>
  <c r="K268" i="3"/>
  <c r="I268" i="3"/>
  <c r="AN267" i="3"/>
  <c r="AM267" i="3"/>
  <c r="AL267" i="3"/>
  <c r="AK267" i="3"/>
  <c r="AJ267" i="3"/>
  <c r="AI267" i="3"/>
  <c r="AH267" i="3"/>
  <c r="AN266" i="3"/>
  <c r="AM266" i="3"/>
  <c r="AL266" i="3"/>
  <c r="AK266" i="3"/>
  <c r="AJ266" i="3"/>
  <c r="AI266" i="3"/>
  <c r="AH266" i="3"/>
  <c r="M266" i="3"/>
  <c r="K266" i="3"/>
  <c r="AN265" i="3"/>
  <c r="AM265" i="3"/>
  <c r="AL265" i="3"/>
  <c r="AK265" i="3"/>
  <c r="AJ265" i="3"/>
  <c r="AI265" i="3"/>
  <c r="AH265" i="3"/>
  <c r="Q265" i="3"/>
  <c r="V265" i="3" s="1"/>
  <c r="N265" i="3"/>
  <c r="N268" i="3" s="1"/>
  <c r="M265" i="3"/>
  <c r="M268" i="3" s="1"/>
  <c r="L265" i="3"/>
  <c r="K265" i="3"/>
  <c r="K267" i="3" s="1"/>
  <c r="AN264" i="3"/>
  <c r="AM264" i="3"/>
  <c r="AL264" i="3"/>
  <c r="AK264" i="3"/>
  <c r="AJ264" i="3"/>
  <c r="AI264" i="3"/>
  <c r="AH264" i="3"/>
  <c r="S264" i="3"/>
  <c r="X264" i="3" s="1"/>
  <c r="R264" i="3"/>
  <c r="W264" i="3" s="1"/>
  <c r="Q264" i="3"/>
  <c r="P264" i="3"/>
  <c r="I264" i="3"/>
  <c r="AN263" i="3"/>
  <c r="AM263" i="3"/>
  <c r="AL263" i="3"/>
  <c r="AK263" i="3"/>
  <c r="AJ263" i="3"/>
  <c r="AI263" i="3"/>
  <c r="AH263" i="3"/>
  <c r="AN262" i="3"/>
  <c r="AM262" i="3"/>
  <c r="AL262" i="3"/>
  <c r="AK262" i="3"/>
  <c r="AJ262" i="3"/>
  <c r="AI262" i="3"/>
  <c r="AH262" i="3"/>
  <c r="AE262" i="3"/>
  <c r="I262" i="3"/>
  <c r="AN261" i="3"/>
  <c r="AM261" i="3"/>
  <c r="AL261" i="3"/>
  <c r="AK261" i="3"/>
  <c r="AJ261" i="3"/>
  <c r="AI261" i="3"/>
  <c r="AH261" i="3"/>
  <c r="N261" i="3"/>
  <c r="K261" i="3"/>
  <c r="I261" i="3"/>
  <c r="AN260" i="3"/>
  <c r="AM260" i="3"/>
  <c r="AL260" i="3"/>
  <c r="AK260" i="3"/>
  <c r="AJ260" i="3"/>
  <c r="AI260" i="3"/>
  <c r="AH260" i="3"/>
  <c r="N260" i="3"/>
  <c r="M260" i="3"/>
  <c r="I260" i="3"/>
  <c r="AN259" i="3"/>
  <c r="AM259" i="3"/>
  <c r="AL259" i="3"/>
  <c r="AK259" i="3"/>
  <c r="AJ259" i="3"/>
  <c r="AI259" i="3"/>
  <c r="AH259" i="3"/>
  <c r="N259" i="3"/>
  <c r="M259" i="3"/>
  <c r="L259" i="3"/>
  <c r="I259" i="3"/>
  <c r="AN258" i="3"/>
  <c r="AM258" i="3"/>
  <c r="AL258" i="3"/>
  <c r="AK258" i="3"/>
  <c r="AJ258" i="3"/>
  <c r="AI258" i="3"/>
  <c r="AH258" i="3"/>
  <c r="Q258" i="3"/>
  <c r="N258" i="3"/>
  <c r="N262" i="3" s="1"/>
  <c r="M258" i="3"/>
  <c r="M262" i="3" s="1"/>
  <c r="L258" i="3"/>
  <c r="L260" i="3" s="1"/>
  <c r="K258" i="3"/>
  <c r="K260" i="3" s="1"/>
  <c r="I258" i="3"/>
  <c r="S258" i="3" s="1"/>
  <c r="AN257" i="3"/>
  <c r="AM257" i="3"/>
  <c r="AL257" i="3"/>
  <c r="AK257" i="3"/>
  <c r="AJ257" i="3"/>
  <c r="AI257" i="3"/>
  <c r="AH257" i="3"/>
  <c r="R257" i="3"/>
  <c r="R258" i="3" s="1"/>
  <c r="Q257" i="3"/>
  <c r="P257" i="3"/>
  <c r="S257" i="3" s="1"/>
  <c r="I257" i="3"/>
  <c r="AN256" i="3"/>
  <c r="AM256" i="3"/>
  <c r="AL256" i="3"/>
  <c r="AK256" i="3"/>
  <c r="AJ256" i="3"/>
  <c r="AI256" i="3"/>
  <c r="AH256" i="3"/>
  <c r="AN255" i="3"/>
  <c r="AM255" i="3"/>
  <c r="AL255" i="3"/>
  <c r="AK255" i="3"/>
  <c r="AJ255" i="3"/>
  <c r="AI255" i="3"/>
  <c r="AH255" i="3"/>
  <c r="AA255" i="3"/>
  <c r="AA400" i="3" s="1"/>
  <c r="N255" i="3"/>
  <c r="N409" i="3" s="1"/>
  <c r="I255" i="3"/>
  <c r="AN254" i="3"/>
  <c r="AM254" i="3"/>
  <c r="AL254" i="3"/>
  <c r="AK254" i="3"/>
  <c r="AJ254" i="3"/>
  <c r="AI254" i="3"/>
  <c r="AH254" i="3"/>
  <c r="M254" i="3"/>
  <c r="I254" i="3"/>
  <c r="AN253" i="3"/>
  <c r="AM253" i="3"/>
  <c r="AL253" i="3"/>
  <c r="AK253" i="3"/>
  <c r="AJ253" i="3"/>
  <c r="AI253" i="3"/>
  <c r="AH253" i="3"/>
  <c r="I253" i="3"/>
  <c r="AN252" i="3"/>
  <c r="AM252" i="3"/>
  <c r="AL252" i="3"/>
  <c r="AK252" i="3"/>
  <c r="AJ252" i="3"/>
  <c r="AI252" i="3"/>
  <c r="AH252" i="3"/>
  <c r="N252" i="3"/>
  <c r="L252" i="3"/>
  <c r="I252" i="3"/>
  <c r="AN251" i="3"/>
  <c r="AM251" i="3"/>
  <c r="AL251" i="3"/>
  <c r="AK251" i="3"/>
  <c r="AJ251" i="3"/>
  <c r="AI251" i="3"/>
  <c r="AH251" i="3"/>
  <c r="Q251" i="3"/>
  <c r="N251" i="3"/>
  <c r="I251" i="3"/>
  <c r="AN250" i="3"/>
  <c r="AM250" i="3"/>
  <c r="AL250" i="3"/>
  <c r="AK250" i="3"/>
  <c r="AJ250" i="3"/>
  <c r="AI250" i="3"/>
  <c r="AH250" i="3"/>
  <c r="Q250" i="3"/>
  <c r="N250" i="3"/>
  <c r="M250" i="3"/>
  <c r="I250" i="3"/>
  <c r="AN249" i="3"/>
  <c r="AM249" i="3"/>
  <c r="AL249" i="3"/>
  <c r="AK249" i="3"/>
  <c r="AJ249" i="3"/>
  <c r="AI249" i="3"/>
  <c r="AH249" i="3"/>
  <c r="R249" i="3"/>
  <c r="Q249" i="3"/>
  <c r="P249" i="3"/>
  <c r="P250" i="3" s="1"/>
  <c r="N249" i="3"/>
  <c r="N254" i="3" s="1"/>
  <c r="M249" i="3"/>
  <c r="M255" i="3" s="1"/>
  <c r="M409" i="3" s="1"/>
  <c r="L249" i="3"/>
  <c r="L255" i="3" s="1"/>
  <c r="L409" i="3" s="1"/>
  <c r="K249" i="3"/>
  <c r="K255" i="3" s="1"/>
  <c r="K409" i="3" s="1"/>
  <c r="I249" i="3"/>
  <c r="AN248" i="3"/>
  <c r="AM248" i="3"/>
  <c r="AL248" i="3"/>
  <c r="AK248" i="3"/>
  <c r="AJ248" i="3"/>
  <c r="AI248" i="3"/>
  <c r="AH248" i="3"/>
  <c r="AN247" i="3"/>
  <c r="AM247" i="3"/>
  <c r="AL247" i="3"/>
  <c r="AK247" i="3"/>
  <c r="AJ247" i="3"/>
  <c r="AI247" i="3"/>
  <c r="AH247" i="3"/>
  <c r="AE247" i="3"/>
  <c r="M247" i="3"/>
  <c r="I247" i="3"/>
  <c r="AN246" i="3"/>
  <c r="AM246" i="3"/>
  <c r="AL246" i="3"/>
  <c r="AK246" i="3"/>
  <c r="AJ246" i="3"/>
  <c r="AI246" i="3"/>
  <c r="AH246" i="3"/>
  <c r="I246" i="3"/>
  <c r="AN245" i="3"/>
  <c r="AM245" i="3"/>
  <c r="AL245" i="3"/>
  <c r="AK245" i="3"/>
  <c r="AJ245" i="3"/>
  <c r="AI245" i="3"/>
  <c r="AH245" i="3"/>
  <c r="L245" i="3"/>
  <c r="I245" i="3"/>
  <c r="AN244" i="3"/>
  <c r="AM244" i="3"/>
  <c r="AL244" i="3"/>
  <c r="AK244" i="3"/>
  <c r="AJ244" i="3"/>
  <c r="AI244" i="3"/>
  <c r="AH244" i="3"/>
  <c r="Q244" i="3"/>
  <c r="I244" i="3"/>
  <c r="AN243" i="3"/>
  <c r="AM243" i="3"/>
  <c r="AL243" i="3"/>
  <c r="AK243" i="3"/>
  <c r="AJ243" i="3"/>
  <c r="AI243" i="3"/>
  <c r="AH243" i="3"/>
  <c r="Q243" i="3"/>
  <c r="M243" i="3"/>
  <c r="I243" i="3"/>
  <c r="AN242" i="3"/>
  <c r="AM242" i="3"/>
  <c r="AL242" i="3"/>
  <c r="AK242" i="3"/>
  <c r="AJ242" i="3"/>
  <c r="AI242" i="3"/>
  <c r="AH242" i="3"/>
  <c r="R242" i="3"/>
  <c r="Q242" i="3"/>
  <c r="P242" i="3"/>
  <c r="P243" i="3" s="1"/>
  <c r="N242" i="3"/>
  <c r="N244" i="3" s="1"/>
  <c r="M242" i="3"/>
  <c r="M244" i="3" s="1"/>
  <c r="L242" i="3"/>
  <c r="L244" i="3" s="1"/>
  <c r="K242" i="3"/>
  <c r="K244" i="3" s="1"/>
  <c r="I242" i="3"/>
  <c r="AN241" i="3"/>
  <c r="AM241" i="3"/>
  <c r="AL241" i="3"/>
  <c r="AK241" i="3"/>
  <c r="AJ241" i="3"/>
  <c r="AI241" i="3"/>
  <c r="AH241" i="3"/>
  <c r="AN240" i="3"/>
  <c r="AM240" i="3"/>
  <c r="AL240" i="3"/>
  <c r="AK240" i="3"/>
  <c r="AJ240" i="3"/>
  <c r="AI240" i="3"/>
  <c r="AH240" i="3"/>
  <c r="AE240" i="3"/>
  <c r="N240" i="3"/>
  <c r="M240" i="3"/>
  <c r="K240" i="3"/>
  <c r="I240" i="3"/>
  <c r="AN239" i="3"/>
  <c r="AM239" i="3"/>
  <c r="AL239" i="3"/>
  <c r="AK239" i="3"/>
  <c r="AJ239" i="3"/>
  <c r="AI239" i="3"/>
  <c r="AH239" i="3"/>
  <c r="N239" i="3"/>
  <c r="M239" i="3"/>
  <c r="K239" i="3"/>
  <c r="AN238" i="3"/>
  <c r="AM238" i="3"/>
  <c r="AL238" i="3"/>
  <c r="AK238" i="3"/>
  <c r="AJ238" i="3"/>
  <c r="AI238" i="3"/>
  <c r="AH238" i="3"/>
  <c r="N238" i="3"/>
  <c r="M238" i="3"/>
  <c r="K238" i="3"/>
  <c r="AN237" i="3"/>
  <c r="AM237" i="3"/>
  <c r="AL237" i="3"/>
  <c r="AK237" i="3"/>
  <c r="AJ237" i="3"/>
  <c r="AI237" i="3"/>
  <c r="AH237" i="3"/>
  <c r="R237" i="3"/>
  <c r="L237" i="3"/>
  <c r="AN236" i="3"/>
  <c r="AM236" i="3"/>
  <c r="AL236" i="3"/>
  <c r="AK236" i="3"/>
  <c r="AJ236" i="3"/>
  <c r="AI236" i="3"/>
  <c r="AH236" i="3"/>
  <c r="U236" i="3"/>
  <c r="R236" i="3"/>
  <c r="W236" i="3" s="1"/>
  <c r="Q236" i="3"/>
  <c r="Q237" i="3" s="1"/>
  <c r="P236" i="3"/>
  <c r="P237" i="3" s="1"/>
  <c r="I236" i="3"/>
  <c r="S236" i="3" s="1"/>
  <c r="AN235" i="3"/>
  <c r="AM235" i="3"/>
  <c r="AL235" i="3"/>
  <c r="AK235" i="3"/>
  <c r="AJ235" i="3"/>
  <c r="AI235" i="3"/>
  <c r="AH235" i="3"/>
  <c r="AN234" i="3"/>
  <c r="AM234" i="3"/>
  <c r="AL234" i="3"/>
  <c r="AK234" i="3"/>
  <c r="AJ234" i="3"/>
  <c r="AI234" i="3"/>
  <c r="AH234" i="3"/>
  <c r="L234" i="3"/>
  <c r="AN233" i="3"/>
  <c r="AM233" i="3"/>
  <c r="AL233" i="3"/>
  <c r="AK233" i="3"/>
  <c r="AJ233" i="3"/>
  <c r="AI233" i="3"/>
  <c r="AH233" i="3"/>
  <c r="M233" i="3"/>
  <c r="L233" i="3"/>
  <c r="AN232" i="3"/>
  <c r="AM232" i="3"/>
  <c r="AL232" i="3"/>
  <c r="AK232" i="3"/>
  <c r="AJ232" i="3"/>
  <c r="AI232" i="3"/>
  <c r="AH232" i="3"/>
  <c r="M232" i="3"/>
  <c r="L232" i="3"/>
  <c r="AN231" i="3"/>
  <c r="AM231" i="3"/>
  <c r="AL231" i="3"/>
  <c r="AK231" i="3"/>
  <c r="AJ231" i="3"/>
  <c r="AI231" i="3"/>
  <c r="AH231" i="3"/>
  <c r="M231" i="3"/>
  <c r="L231" i="3"/>
  <c r="AN230" i="3"/>
  <c r="AM230" i="3"/>
  <c r="AL230" i="3"/>
  <c r="AK230" i="3"/>
  <c r="AJ230" i="3"/>
  <c r="AI230" i="3"/>
  <c r="AH230" i="3"/>
  <c r="L230" i="3"/>
  <c r="K230" i="3"/>
  <c r="AN229" i="3"/>
  <c r="AM229" i="3"/>
  <c r="AL229" i="3"/>
  <c r="AK229" i="3"/>
  <c r="AJ229" i="3"/>
  <c r="AI229" i="3"/>
  <c r="AH229" i="3"/>
  <c r="U229" i="3"/>
  <c r="P229" i="3"/>
  <c r="P230" i="3" s="1"/>
  <c r="N229" i="3"/>
  <c r="M229" i="3"/>
  <c r="M230" i="3" s="1"/>
  <c r="L229" i="3"/>
  <c r="K229" i="3"/>
  <c r="K231" i="3" s="1"/>
  <c r="AN228" i="3"/>
  <c r="AM228" i="3"/>
  <c r="AL228" i="3"/>
  <c r="AK228" i="3"/>
  <c r="AJ228" i="3"/>
  <c r="AI228" i="3"/>
  <c r="AH228" i="3"/>
  <c r="V228" i="3"/>
  <c r="R228" i="3"/>
  <c r="Q228" i="3"/>
  <c r="Q229" i="3" s="1"/>
  <c r="P228" i="3"/>
  <c r="U228" i="3" s="1"/>
  <c r="I228" i="3"/>
  <c r="S228" i="3" s="1"/>
  <c r="AN227" i="3"/>
  <c r="AM227" i="3"/>
  <c r="AL227" i="3"/>
  <c r="AK227" i="3"/>
  <c r="AJ227" i="3"/>
  <c r="AI227" i="3"/>
  <c r="AH227" i="3"/>
  <c r="AN226" i="3"/>
  <c r="AM226" i="3"/>
  <c r="AL226" i="3"/>
  <c r="AK226" i="3"/>
  <c r="AJ226" i="3"/>
  <c r="AI226" i="3"/>
  <c r="AH226" i="3"/>
  <c r="I226" i="3"/>
  <c r="AN225" i="3"/>
  <c r="AM225" i="3"/>
  <c r="AL225" i="3"/>
  <c r="AK225" i="3"/>
  <c r="AJ225" i="3"/>
  <c r="AI225" i="3"/>
  <c r="AH225" i="3"/>
  <c r="M225" i="3"/>
  <c r="AN224" i="3"/>
  <c r="AM224" i="3"/>
  <c r="AL224" i="3"/>
  <c r="AK224" i="3"/>
  <c r="AJ224" i="3"/>
  <c r="AI224" i="3"/>
  <c r="AH224" i="3"/>
  <c r="M224" i="3"/>
  <c r="K224" i="3"/>
  <c r="AN223" i="3"/>
  <c r="AM223" i="3"/>
  <c r="AL223" i="3"/>
  <c r="AK223" i="3"/>
  <c r="AJ223" i="3"/>
  <c r="AI223" i="3"/>
  <c r="AH223" i="3"/>
  <c r="M223" i="3"/>
  <c r="L223" i="3"/>
  <c r="K223" i="3"/>
  <c r="AN222" i="3"/>
  <c r="AM222" i="3"/>
  <c r="AL222" i="3"/>
  <c r="AK222" i="3"/>
  <c r="AJ222" i="3"/>
  <c r="AI222" i="3"/>
  <c r="AH222" i="3"/>
  <c r="R222" i="3"/>
  <c r="W222" i="3" s="1"/>
  <c r="P222" i="3"/>
  <c r="U222" i="3" s="1"/>
  <c r="M222" i="3"/>
  <c r="K222" i="3"/>
  <c r="AN221" i="3"/>
  <c r="AM221" i="3"/>
  <c r="AL221" i="3"/>
  <c r="AK221" i="3"/>
  <c r="AJ221" i="3"/>
  <c r="AI221" i="3"/>
  <c r="AH221" i="3"/>
  <c r="W221" i="3"/>
  <c r="U221" i="3"/>
  <c r="S221" i="3"/>
  <c r="X221" i="3" s="1"/>
  <c r="R221" i="3"/>
  <c r="Q221" i="3"/>
  <c r="V221" i="3" s="1"/>
  <c r="P221" i="3"/>
  <c r="N221" i="3"/>
  <c r="N226" i="3" s="1"/>
  <c r="M221" i="3"/>
  <c r="M226" i="3" s="1"/>
  <c r="L221" i="3"/>
  <c r="L226" i="3" s="1"/>
  <c r="K221" i="3"/>
  <c r="K226" i="3" s="1"/>
  <c r="AN220" i="3"/>
  <c r="AM220" i="3"/>
  <c r="AL220" i="3"/>
  <c r="AK220" i="3"/>
  <c r="AJ220" i="3"/>
  <c r="AI220" i="3"/>
  <c r="AH220" i="3"/>
  <c r="AN219" i="3"/>
  <c r="AM219" i="3"/>
  <c r="AL219" i="3"/>
  <c r="AK219" i="3"/>
  <c r="AJ219" i="3"/>
  <c r="AI219" i="3"/>
  <c r="AH219" i="3"/>
  <c r="AE219" i="3"/>
  <c r="N219" i="3"/>
  <c r="K219" i="3"/>
  <c r="I219" i="3"/>
  <c r="AN218" i="3"/>
  <c r="AM218" i="3"/>
  <c r="AL218" i="3"/>
  <c r="AK218" i="3"/>
  <c r="AJ218" i="3"/>
  <c r="AI218" i="3"/>
  <c r="AH218" i="3"/>
  <c r="S218" i="3"/>
  <c r="X218" i="3" s="1"/>
  <c r="P218" i="3"/>
  <c r="N218" i="3"/>
  <c r="M218" i="3"/>
  <c r="M219" i="3" s="1"/>
  <c r="AN217" i="3"/>
  <c r="AM217" i="3"/>
  <c r="AL217" i="3"/>
  <c r="AK217" i="3"/>
  <c r="AJ217" i="3"/>
  <c r="AI217" i="3"/>
  <c r="AH217" i="3"/>
  <c r="R217" i="3"/>
  <c r="Q217" i="3"/>
  <c r="Q218" i="3" s="1"/>
  <c r="P217" i="3"/>
  <c r="U217" i="3" s="1"/>
  <c r="N217" i="3"/>
  <c r="M217" i="3"/>
  <c r="AN216" i="3"/>
  <c r="AM216" i="3"/>
  <c r="AL216" i="3"/>
  <c r="AK216" i="3"/>
  <c r="AJ216" i="3"/>
  <c r="AI216" i="3"/>
  <c r="AH216" i="3"/>
  <c r="X216" i="3"/>
  <c r="U216" i="3"/>
  <c r="S216" i="3"/>
  <c r="S217" i="3" s="1"/>
  <c r="X217" i="3" s="1"/>
  <c r="R216" i="3"/>
  <c r="W216" i="3" s="1"/>
  <c r="Q216" i="3"/>
  <c r="P216" i="3"/>
  <c r="N216" i="3"/>
  <c r="M216" i="3"/>
  <c r="L216" i="3"/>
  <c r="AN215" i="3"/>
  <c r="AM215" i="3"/>
  <c r="AL215" i="3"/>
  <c r="AK215" i="3"/>
  <c r="AJ215" i="3"/>
  <c r="AI215" i="3"/>
  <c r="AH215" i="3"/>
  <c r="AN214" i="3"/>
  <c r="AM214" i="3"/>
  <c r="AL214" i="3"/>
  <c r="AK214" i="3"/>
  <c r="AJ214" i="3"/>
  <c r="AI214" i="3"/>
  <c r="AH214" i="3"/>
  <c r="AE214" i="3"/>
  <c r="N214" i="3"/>
  <c r="M214" i="3"/>
  <c r="L214" i="3"/>
  <c r="K214" i="3"/>
  <c r="I214" i="3"/>
  <c r="AN213" i="3"/>
  <c r="AM213" i="3"/>
  <c r="AL213" i="3"/>
  <c r="AK213" i="3"/>
  <c r="AJ213" i="3"/>
  <c r="AI213" i="3"/>
  <c r="AH213" i="3"/>
  <c r="N213" i="3"/>
  <c r="M213" i="3"/>
  <c r="K213" i="3"/>
  <c r="AN212" i="3"/>
  <c r="AM212" i="3"/>
  <c r="AL212" i="3"/>
  <c r="AK212" i="3"/>
  <c r="AJ212" i="3"/>
  <c r="AI212" i="3"/>
  <c r="AH212" i="3"/>
  <c r="N212" i="3"/>
  <c r="M212" i="3"/>
  <c r="K212" i="3"/>
  <c r="AN211" i="3"/>
  <c r="AM211" i="3"/>
  <c r="AL211" i="3"/>
  <c r="AK211" i="3"/>
  <c r="AJ211" i="3"/>
  <c r="AI211" i="3"/>
  <c r="AH211" i="3"/>
  <c r="N211" i="3"/>
  <c r="M211" i="3"/>
  <c r="L211" i="3"/>
  <c r="K211" i="3"/>
  <c r="AN210" i="3"/>
  <c r="AM210" i="3"/>
  <c r="AL210" i="3"/>
  <c r="AK210" i="3"/>
  <c r="AJ210" i="3"/>
  <c r="AI210" i="3"/>
  <c r="AH210" i="3"/>
  <c r="N210" i="3"/>
  <c r="M210" i="3"/>
  <c r="L210" i="3"/>
  <c r="K210" i="3"/>
  <c r="AN209" i="3"/>
  <c r="AM209" i="3"/>
  <c r="AL209" i="3"/>
  <c r="AK209" i="3"/>
  <c r="AJ209" i="3"/>
  <c r="AI209" i="3"/>
  <c r="AH209" i="3"/>
  <c r="X209" i="3"/>
  <c r="Q209" i="3"/>
  <c r="L209" i="3"/>
  <c r="L213" i="3" s="1"/>
  <c r="AN208" i="3"/>
  <c r="AM208" i="3"/>
  <c r="AL208" i="3"/>
  <c r="AK208" i="3"/>
  <c r="AJ208" i="3"/>
  <c r="AI208" i="3"/>
  <c r="AH208" i="3"/>
  <c r="X208" i="3"/>
  <c r="S208" i="3"/>
  <c r="S209" i="3" s="1"/>
  <c r="S210" i="3" s="1"/>
  <c r="R208" i="3"/>
  <c r="W208" i="3" s="1"/>
  <c r="Q208" i="3"/>
  <c r="V208" i="3" s="1"/>
  <c r="P208" i="3"/>
  <c r="U208" i="3" s="1"/>
  <c r="I208" i="3"/>
  <c r="AN207" i="3"/>
  <c r="AM207" i="3"/>
  <c r="AL207" i="3"/>
  <c r="AK207" i="3"/>
  <c r="AJ207" i="3"/>
  <c r="AI207" i="3"/>
  <c r="AH207" i="3"/>
  <c r="AN206" i="3"/>
  <c r="AM206" i="3"/>
  <c r="AL206" i="3"/>
  <c r="AK206" i="3"/>
  <c r="AJ206" i="3"/>
  <c r="AI206" i="3"/>
  <c r="AH206" i="3"/>
  <c r="N206" i="3"/>
  <c r="M206" i="3"/>
  <c r="I206" i="3"/>
  <c r="AN205" i="3"/>
  <c r="AM205" i="3"/>
  <c r="AL205" i="3"/>
  <c r="AK205" i="3"/>
  <c r="AJ205" i="3"/>
  <c r="AI205" i="3"/>
  <c r="AH205" i="3"/>
  <c r="M205" i="3"/>
  <c r="L205" i="3"/>
  <c r="I205" i="3"/>
  <c r="AN204" i="3"/>
  <c r="AM204" i="3"/>
  <c r="AL204" i="3"/>
  <c r="AK204" i="3"/>
  <c r="AJ204" i="3"/>
  <c r="AI204" i="3"/>
  <c r="AH204" i="3"/>
  <c r="M204" i="3"/>
  <c r="L204" i="3"/>
  <c r="I204" i="3"/>
  <c r="AN203" i="3"/>
  <c r="AM203" i="3"/>
  <c r="AL203" i="3"/>
  <c r="AK203" i="3"/>
  <c r="AJ203" i="3"/>
  <c r="AI203" i="3"/>
  <c r="AH203" i="3"/>
  <c r="R203" i="3"/>
  <c r="P203" i="3"/>
  <c r="P204" i="3" s="1"/>
  <c r="M203" i="3"/>
  <c r="I203" i="3"/>
  <c r="AN202" i="3"/>
  <c r="AM202" i="3"/>
  <c r="AL202" i="3"/>
  <c r="AK202" i="3"/>
  <c r="AJ202" i="3"/>
  <c r="AI202" i="3"/>
  <c r="AH202" i="3"/>
  <c r="W202" i="3"/>
  <c r="R202" i="3"/>
  <c r="P202" i="3"/>
  <c r="N202" i="3"/>
  <c r="M202" i="3"/>
  <c r="I202" i="3"/>
  <c r="S202" i="3" s="1"/>
  <c r="X202" i="3" s="1"/>
  <c r="AN201" i="3"/>
  <c r="AM201" i="3"/>
  <c r="AL201" i="3"/>
  <c r="AK201" i="3"/>
  <c r="AJ201" i="3"/>
  <c r="AI201" i="3"/>
  <c r="AH201" i="3"/>
  <c r="W201" i="3"/>
  <c r="S201" i="3"/>
  <c r="X201" i="3" s="1"/>
  <c r="R201" i="3"/>
  <c r="Q201" i="3"/>
  <c r="Q202" i="3" s="1"/>
  <c r="P201" i="3"/>
  <c r="N201" i="3"/>
  <c r="N203" i="3" s="1"/>
  <c r="L201" i="3"/>
  <c r="L203" i="3" s="1"/>
  <c r="K201" i="3"/>
  <c r="AN200" i="3"/>
  <c r="AM200" i="3"/>
  <c r="AL200" i="3"/>
  <c r="AK200" i="3"/>
  <c r="AJ200" i="3"/>
  <c r="AI200" i="3"/>
  <c r="AH200" i="3"/>
  <c r="AN199" i="3"/>
  <c r="AM199" i="3"/>
  <c r="AL199" i="3"/>
  <c r="AK199" i="3"/>
  <c r="AJ199" i="3"/>
  <c r="AI199" i="3"/>
  <c r="AH199" i="3"/>
  <c r="AE199" i="3"/>
  <c r="I199" i="3"/>
  <c r="AN198" i="3"/>
  <c r="AM198" i="3"/>
  <c r="AL198" i="3"/>
  <c r="AK198" i="3"/>
  <c r="AJ198" i="3"/>
  <c r="AI198" i="3"/>
  <c r="AH198" i="3"/>
  <c r="K198" i="3"/>
  <c r="K199" i="3" s="1"/>
  <c r="AN197" i="3"/>
  <c r="AM197" i="3"/>
  <c r="AL197" i="3"/>
  <c r="AK197" i="3"/>
  <c r="AJ197" i="3"/>
  <c r="AI197" i="3"/>
  <c r="AH197" i="3"/>
  <c r="N197" i="3"/>
  <c r="M197" i="3"/>
  <c r="K197" i="3"/>
  <c r="AN196" i="3"/>
  <c r="AM196" i="3"/>
  <c r="AL196" i="3"/>
  <c r="AK196" i="3"/>
  <c r="AJ196" i="3"/>
  <c r="AI196" i="3"/>
  <c r="AH196" i="3"/>
  <c r="Q196" i="3"/>
  <c r="N196" i="3"/>
  <c r="M196" i="3"/>
  <c r="L196" i="3"/>
  <c r="K196" i="3"/>
  <c r="AN195" i="3"/>
  <c r="AM195" i="3"/>
  <c r="AL195" i="3"/>
  <c r="AK195" i="3"/>
  <c r="AJ195" i="3"/>
  <c r="AI195" i="3"/>
  <c r="AH195" i="3"/>
  <c r="Q195" i="3"/>
  <c r="P195" i="3"/>
  <c r="N195" i="3"/>
  <c r="AN194" i="3"/>
  <c r="AM194" i="3"/>
  <c r="AL194" i="3"/>
  <c r="AK194" i="3"/>
  <c r="AJ194" i="3"/>
  <c r="AI194" i="3"/>
  <c r="AH194" i="3"/>
  <c r="U194" i="3"/>
  <c r="S194" i="3"/>
  <c r="S195" i="3" s="1"/>
  <c r="R194" i="3"/>
  <c r="Q194" i="3"/>
  <c r="P194" i="3"/>
  <c r="N194" i="3"/>
  <c r="N198" i="3" s="1"/>
  <c r="N199" i="3" s="1"/>
  <c r="M194" i="3"/>
  <c r="M195" i="3" s="1"/>
  <c r="L194" i="3"/>
  <c r="K194" i="3"/>
  <c r="K195" i="3" s="1"/>
  <c r="AN193" i="3"/>
  <c r="AM193" i="3"/>
  <c r="AL193" i="3"/>
  <c r="AK193" i="3"/>
  <c r="AJ193" i="3"/>
  <c r="AI193" i="3"/>
  <c r="AH193" i="3"/>
  <c r="AN192" i="3"/>
  <c r="AM192" i="3"/>
  <c r="AL192" i="3"/>
  <c r="AK192" i="3"/>
  <c r="AJ192" i="3"/>
  <c r="AI192" i="3"/>
  <c r="AH192" i="3"/>
  <c r="N192" i="3"/>
  <c r="I192" i="3"/>
  <c r="AN191" i="3"/>
  <c r="AM191" i="3"/>
  <c r="AL191" i="3"/>
  <c r="AK191" i="3"/>
  <c r="AJ191" i="3"/>
  <c r="AI191" i="3"/>
  <c r="AH191" i="3"/>
  <c r="K191" i="3"/>
  <c r="I191" i="3"/>
  <c r="AN190" i="3"/>
  <c r="AM190" i="3"/>
  <c r="AL190" i="3"/>
  <c r="AK190" i="3"/>
  <c r="AJ190" i="3"/>
  <c r="AI190" i="3"/>
  <c r="AH190" i="3"/>
  <c r="P190" i="3"/>
  <c r="L190" i="3"/>
  <c r="K190" i="3"/>
  <c r="I190" i="3"/>
  <c r="AN189" i="3"/>
  <c r="AM189" i="3"/>
  <c r="AL189" i="3"/>
  <c r="AK189" i="3"/>
  <c r="AJ189" i="3"/>
  <c r="AI189" i="3"/>
  <c r="AH189" i="3"/>
  <c r="U189" i="3"/>
  <c r="P189" i="3"/>
  <c r="L189" i="3"/>
  <c r="K189" i="3"/>
  <c r="I189" i="3"/>
  <c r="AN188" i="3"/>
  <c r="AM188" i="3"/>
  <c r="AL188" i="3"/>
  <c r="AK188" i="3"/>
  <c r="AJ188" i="3"/>
  <c r="AI188" i="3"/>
  <c r="AH188" i="3"/>
  <c r="U188" i="3"/>
  <c r="P188" i="3"/>
  <c r="N188" i="3"/>
  <c r="AE192" i="3" s="1"/>
  <c r="M188" i="3"/>
  <c r="L188" i="3"/>
  <c r="L191" i="3" s="1"/>
  <c r="K188" i="3"/>
  <c r="K192" i="3" s="1"/>
  <c r="I188" i="3"/>
  <c r="AN187" i="3"/>
  <c r="AM187" i="3"/>
  <c r="AL187" i="3"/>
  <c r="AK187" i="3"/>
  <c r="AJ187" i="3"/>
  <c r="AI187" i="3"/>
  <c r="AH187" i="3"/>
  <c r="U187" i="3"/>
  <c r="R187" i="3"/>
  <c r="Q187" i="3"/>
  <c r="P187" i="3"/>
  <c r="I187" i="3"/>
  <c r="S187" i="3" s="1"/>
  <c r="X187" i="3" s="1"/>
  <c r="AN186" i="3"/>
  <c r="AM186" i="3"/>
  <c r="AL186" i="3"/>
  <c r="AK186" i="3"/>
  <c r="AJ186" i="3"/>
  <c r="AI186" i="3"/>
  <c r="AH186" i="3"/>
  <c r="AN185" i="3"/>
  <c r="AM185" i="3"/>
  <c r="AL185" i="3"/>
  <c r="AK185" i="3"/>
  <c r="AJ185" i="3"/>
  <c r="AI185" i="3"/>
  <c r="AH185" i="3"/>
  <c r="AE185" i="3"/>
  <c r="N185" i="3"/>
  <c r="M185" i="3"/>
  <c r="I185" i="3"/>
  <c r="AN184" i="3"/>
  <c r="AM184" i="3"/>
  <c r="AL184" i="3"/>
  <c r="AK184" i="3"/>
  <c r="AJ184" i="3"/>
  <c r="AI184" i="3"/>
  <c r="AH184" i="3"/>
  <c r="N184" i="3"/>
  <c r="M184" i="3"/>
  <c r="L184" i="3"/>
  <c r="AN183" i="3"/>
  <c r="AM183" i="3"/>
  <c r="AL183" i="3"/>
  <c r="AK183" i="3"/>
  <c r="AJ183" i="3"/>
  <c r="AI183" i="3"/>
  <c r="AH183" i="3"/>
  <c r="N183" i="3"/>
  <c r="M183" i="3"/>
  <c r="AN182" i="3"/>
  <c r="AM182" i="3"/>
  <c r="AL182" i="3"/>
  <c r="AK182" i="3"/>
  <c r="AJ182" i="3"/>
  <c r="AI182" i="3"/>
  <c r="AH182" i="3"/>
  <c r="V182" i="3"/>
  <c r="Q182" i="3"/>
  <c r="Q183" i="3" s="1"/>
  <c r="L182" i="3"/>
  <c r="L183" i="3" s="1"/>
  <c r="K182" i="3"/>
  <c r="K183" i="3" s="1"/>
  <c r="AN181" i="3"/>
  <c r="AM181" i="3"/>
  <c r="AL181" i="3"/>
  <c r="AK181" i="3"/>
  <c r="AJ181" i="3"/>
  <c r="AI181" i="3"/>
  <c r="AH181" i="3"/>
  <c r="V181" i="3"/>
  <c r="U181" i="3"/>
  <c r="R181" i="3"/>
  <c r="R182" i="3" s="1"/>
  <c r="W182" i="3" s="1"/>
  <c r="Q181" i="3"/>
  <c r="P181" i="3"/>
  <c r="I181" i="3"/>
  <c r="AN180" i="3"/>
  <c r="AM180" i="3"/>
  <c r="AL180" i="3"/>
  <c r="AK180" i="3"/>
  <c r="AJ180" i="3"/>
  <c r="AI180" i="3"/>
  <c r="AH180" i="3"/>
  <c r="AN179" i="3"/>
  <c r="AM179" i="3"/>
  <c r="AL179" i="3"/>
  <c r="AK179" i="3"/>
  <c r="AJ179" i="3"/>
  <c r="AI179" i="3"/>
  <c r="AH179" i="3"/>
  <c r="I179" i="3"/>
  <c r="AN178" i="3"/>
  <c r="AM178" i="3"/>
  <c r="AL178" i="3"/>
  <c r="AK178" i="3"/>
  <c r="AJ178" i="3"/>
  <c r="AI178" i="3"/>
  <c r="AH178" i="3"/>
  <c r="AN177" i="3"/>
  <c r="AM177" i="3"/>
  <c r="AL177" i="3"/>
  <c r="AK177" i="3"/>
  <c r="AJ177" i="3"/>
  <c r="AI177" i="3"/>
  <c r="AH177" i="3"/>
  <c r="Q177" i="3"/>
  <c r="V177" i="3" s="1"/>
  <c r="N177" i="3"/>
  <c r="L177" i="3"/>
  <c r="AN176" i="3"/>
  <c r="AM176" i="3"/>
  <c r="AL176" i="3"/>
  <c r="AK176" i="3"/>
  <c r="AJ176" i="3"/>
  <c r="AI176" i="3"/>
  <c r="AH176" i="3"/>
  <c r="N176" i="3"/>
  <c r="AN175" i="3"/>
  <c r="AM175" i="3"/>
  <c r="AL175" i="3"/>
  <c r="AK175" i="3"/>
  <c r="AJ175" i="3"/>
  <c r="AI175" i="3"/>
  <c r="AH175" i="3"/>
  <c r="V175" i="3"/>
  <c r="S175" i="3"/>
  <c r="S176" i="3" s="1"/>
  <c r="X176" i="3" s="1"/>
  <c r="M175" i="3"/>
  <c r="L175" i="3"/>
  <c r="AN174" i="3"/>
  <c r="AM174" i="3"/>
  <c r="AL174" i="3"/>
  <c r="AK174" i="3"/>
  <c r="AJ174" i="3"/>
  <c r="AI174" i="3"/>
  <c r="AH174" i="3"/>
  <c r="W174" i="3"/>
  <c r="V174" i="3"/>
  <c r="S174" i="3"/>
  <c r="R174" i="3"/>
  <c r="R175" i="3" s="1"/>
  <c r="Q174" i="3"/>
  <c r="Q175" i="3" s="1"/>
  <c r="Q176" i="3" s="1"/>
  <c r="V176" i="3" s="1"/>
  <c r="P174" i="3"/>
  <c r="N174" i="3"/>
  <c r="AE179" i="3" s="1"/>
  <c r="M174" i="3"/>
  <c r="L174" i="3"/>
  <c r="L176" i="3" s="1"/>
  <c r="K174" i="3"/>
  <c r="K175" i="3" s="1"/>
  <c r="AN173" i="3"/>
  <c r="AM173" i="3"/>
  <c r="AL173" i="3"/>
  <c r="AK173" i="3"/>
  <c r="AJ173" i="3"/>
  <c r="AI173" i="3"/>
  <c r="AH173" i="3"/>
  <c r="AN172" i="3"/>
  <c r="AM172" i="3"/>
  <c r="AL172" i="3"/>
  <c r="AK172" i="3"/>
  <c r="AJ172" i="3"/>
  <c r="AI172" i="3"/>
  <c r="AH172" i="3"/>
  <c r="AE172" i="3"/>
  <c r="P172" i="3"/>
  <c r="L172" i="3"/>
  <c r="I172" i="3"/>
  <c r="S172" i="3" s="1"/>
  <c r="X172" i="3" s="1"/>
  <c r="AN171" i="3"/>
  <c r="AM171" i="3"/>
  <c r="AL171" i="3"/>
  <c r="AK171" i="3"/>
  <c r="AJ171" i="3"/>
  <c r="AI171" i="3"/>
  <c r="AH171" i="3"/>
  <c r="S171" i="3"/>
  <c r="R171" i="3"/>
  <c r="R172" i="3" s="1"/>
  <c r="P171" i="3"/>
  <c r="N171" i="3"/>
  <c r="N172" i="3" s="1"/>
  <c r="M171" i="3"/>
  <c r="M172" i="3" s="1"/>
  <c r="AN170" i="3"/>
  <c r="AM170" i="3"/>
  <c r="AL170" i="3"/>
  <c r="AK170" i="3"/>
  <c r="AJ170" i="3"/>
  <c r="AI170" i="3"/>
  <c r="AH170" i="3"/>
  <c r="S170" i="3"/>
  <c r="X170" i="3" s="1"/>
  <c r="R170" i="3"/>
  <c r="W170" i="3" s="1"/>
  <c r="Q170" i="3"/>
  <c r="V170" i="3" s="1"/>
  <c r="P170" i="3"/>
  <c r="N170" i="3"/>
  <c r="M170" i="3"/>
  <c r="L170" i="3"/>
  <c r="K170" i="3"/>
  <c r="AN169" i="3"/>
  <c r="AM169" i="3"/>
  <c r="AL169" i="3"/>
  <c r="AK169" i="3"/>
  <c r="AJ169" i="3"/>
  <c r="AI169" i="3"/>
  <c r="AH169" i="3"/>
  <c r="S169" i="3"/>
  <c r="X169" i="3" s="1"/>
  <c r="R169" i="3"/>
  <c r="W169" i="3" s="1"/>
  <c r="Q169" i="3"/>
  <c r="V169" i="3" s="1"/>
  <c r="P169" i="3"/>
  <c r="N169" i="3"/>
  <c r="M169" i="3"/>
  <c r="L169" i="3"/>
  <c r="AN168" i="3"/>
  <c r="AM168" i="3"/>
  <c r="AL168" i="3"/>
  <c r="AK168" i="3"/>
  <c r="AJ168" i="3"/>
  <c r="AI168" i="3"/>
  <c r="AH168" i="3"/>
  <c r="W168" i="3"/>
  <c r="S168" i="3"/>
  <c r="X168" i="3" s="1"/>
  <c r="R168" i="3"/>
  <c r="Q168" i="3"/>
  <c r="V168" i="3" s="1"/>
  <c r="P168" i="3"/>
  <c r="N168" i="3"/>
  <c r="M168" i="3"/>
  <c r="L168" i="3"/>
  <c r="AN167" i="3"/>
  <c r="AM167" i="3"/>
  <c r="AL167" i="3"/>
  <c r="AK167" i="3"/>
  <c r="AJ167" i="3"/>
  <c r="AI167" i="3"/>
  <c r="AH167" i="3"/>
  <c r="X167" i="3"/>
  <c r="W167" i="3"/>
  <c r="S167" i="3"/>
  <c r="R167" i="3"/>
  <c r="Q167" i="3"/>
  <c r="P167" i="3"/>
  <c r="L167" i="3"/>
  <c r="K167" i="3"/>
  <c r="K171" i="3" s="1"/>
  <c r="K172" i="3" s="1"/>
  <c r="AN166" i="3"/>
  <c r="AM166" i="3"/>
  <c r="AL166" i="3"/>
  <c r="AK166" i="3"/>
  <c r="AJ166" i="3"/>
  <c r="AI166" i="3"/>
  <c r="AH166" i="3"/>
  <c r="AN165" i="3"/>
  <c r="AM165" i="3"/>
  <c r="AL165" i="3"/>
  <c r="AK165" i="3"/>
  <c r="AJ165" i="3"/>
  <c r="AI165" i="3"/>
  <c r="AH165" i="3"/>
  <c r="AE165" i="3"/>
  <c r="N165" i="3"/>
  <c r="T13" i="2" s="1"/>
  <c r="M165" i="3"/>
  <c r="L165" i="3"/>
  <c r="K165" i="3"/>
  <c r="I165" i="3"/>
  <c r="AN164" i="3"/>
  <c r="AM164" i="3"/>
  <c r="AL164" i="3"/>
  <c r="AK164" i="3"/>
  <c r="AJ164" i="3"/>
  <c r="AI164" i="3"/>
  <c r="AH164" i="3"/>
  <c r="S164" i="3"/>
  <c r="P164" i="3"/>
  <c r="N164" i="3"/>
  <c r="M164" i="3"/>
  <c r="AN163" i="3"/>
  <c r="AM163" i="3"/>
  <c r="AL163" i="3"/>
  <c r="AK163" i="3"/>
  <c r="AJ163" i="3"/>
  <c r="AI163" i="3"/>
  <c r="AH163" i="3"/>
  <c r="S163" i="3"/>
  <c r="X163" i="3" s="1"/>
  <c r="Q163" i="3"/>
  <c r="Q164" i="3" s="1"/>
  <c r="N163" i="3"/>
  <c r="M163" i="3"/>
  <c r="W163" i="3" s="1"/>
  <c r="AN162" i="3"/>
  <c r="AM162" i="3"/>
  <c r="AL162" i="3"/>
  <c r="AK162" i="3"/>
  <c r="AJ162" i="3"/>
  <c r="AI162" i="3"/>
  <c r="AH162" i="3"/>
  <c r="X162" i="3"/>
  <c r="W162" i="3"/>
  <c r="U162" i="3"/>
  <c r="S162" i="3"/>
  <c r="R162" i="3"/>
  <c r="R163" i="3" s="1"/>
  <c r="R164" i="3" s="1"/>
  <c r="Q162" i="3"/>
  <c r="V162" i="3" s="1"/>
  <c r="P162" i="3"/>
  <c r="P163" i="3" s="1"/>
  <c r="U163" i="3" s="1"/>
  <c r="M162" i="3"/>
  <c r="L162" i="3"/>
  <c r="K162" i="3"/>
  <c r="K163" i="3" s="1"/>
  <c r="AN161" i="3"/>
  <c r="AM161" i="3"/>
  <c r="AL161" i="3"/>
  <c r="AK161" i="3"/>
  <c r="AJ161" i="3"/>
  <c r="AI161" i="3"/>
  <c r="AH161" i="3"/>
  <c r="AN160" i="3"/>
  <c r="AM160" i="3"/>
  <c r="AL160" i="3"/>
  <c r="AK160" i="3"/>
  <c r="AJ160" i="3"/>
  <c r="AI160" i="3"/>
  <c r="AH160" i="3"/>
  <c r="AE160" i="3"/>
  <c r="M160" i="3"/>
  <c r="I160" i="3"/>
  <c r="AN159" i="3"/>
  <c r="AM159" i="3"/>
  <c r="AL159" i="3"/>
  <c r="AK159" i="3"/>
  <c r="AJ159" i="3"/>
  <c r="AI159" i="3"/>
  <c r="AH159" i="3"/>
  <c r="N159" i="3"/>
  <c r="N160" i="3" s="1"/>
  <c r="M159" i="3"/>
  <c r="K159" i="3"/>
  <c r="K160" i="3" s="1"/>
  <c r="AN158" i="3"/>
  <c r="AM158" i="3"/>
  <c r="AL158" i="3"/>
  <c r="AK158" i="3"/>
  <c r="AJ158" i="3"/>
  <c r="AI158" i="3"/>
  <c r="AH158" i="3"/>
  <c r="N158" i="3"/>
  <c r="M158" i="3"/>
  <c r="K158" i="3"/>
  <c r="AN157" i="3"/>
  <c r="AM157" i="3"/>
  <c r="AL157" i="3"/>
  <c r="AK157" i="3"/>
  <c r="AJ157" i="3"/>
  <c r="AI157" i="3"/>
  <c r="AH157" i="3"/>
  <c r="Q157" i="3"/>
  <c r="Q158" i="3" s="1"/>
  <c r="Q159" i="3" s="1"/>
  <c r="N157" i="3"/>
  <c r="M157" i="3"/>
  <c r="K157" i="3"/>
  <c r="AN156" i="3"/>
  <c r="AM156" i="3"/>
  <c r="AL156" i="3"/>
  <c r="AK156" i="3"/>
  <c r="AJ156" i="3"/>
  <c r="AI156" i="3"/>
  <c r="AH156" i="3"/>
  <c r="R156" i="3"/>
  <c r="Q156" i="3"/>
  <c r="N156" i="3"/>
  <c r="M156" i="3"/>
  <c r="AN155" i="3"/>
  <c r="AM155" i="3"/>
  <c r="AL155" i="3"/>
  <c r="AK155" i="3"/>
  <c r="AJ155" i="3"/>
  <c r="AI155" i="3"/>
  <c r="AH155" i="3"/>
  <c r="W155" i="3"/>
  <c r="S155" i="3"/>
  <c r="X155" i="3" s="1"/>
  <c r="R155" i="3"/>
  <c r="Q155" i="3"/>
  <c r="P155" i="3"/>
  <c r="U155" i="3" s="1"/>
  <c r="N155" i="3"/>
  <c r="L155" i="3"/>
  <c r="K155" i="3"/>
  <c r="K156" i="3" s="1"/>
  <c r="AN154" i="3"/>
  <c r="AM154" i="3"/>
  <c r="AL154" i="3"/>
  <c r="AK154" i="3"/>
  <c r="AJ154" i="3"/>
  <c r="AI154" i="3"/>
  <c r="AH154" i="3"/>
  <c r="AN153" i="3"/>
  <c r="AM153" i="3"/>
  <c r="AL153" i="3"/>
  <c r="AK153" i="3"/>
  <c r="AJ153" i="3"/>
  <c r="AI153" i="3"/>
  <c r="AH153" i="3"/>
  <c r="AE153" i="3"/>
  <c r="M153" i="3"/>
  <c r="I153" i="3"/>
  <c r="AN152" i="3"/>
  <c r="AM152" i="3"/>
  <c r="AL152" i="3"/>
  <c r="AK152" i="3"/>
  <c r="AJ152" i="3"/>
  <c r="AI152" i="3"/>
  <c r="AH152" i="3"/>
  <c r="N152" i="3"/>
  <c r="N153" i="3" s="1"/>
  <c r="M152" i="3"/>
  <c r="AN151" i="3"/>
  <c r="AM151" i="3"/>
  <c r="AL151" i="3"/>
  <c r="AK151" i="3"/>
  <c r="AJ151" i="3"/>
  <c r="AI151" i="3"/>
  <c r="AH151" i="3"/>
  <c r="N151" i="3"/>
  <c r="M151" i="3"/>
  <c r="K151" i="3"/>
  <c r="AN150" i="3"/>
  <c r="AM150" i="3"/>
  <c r="AL150" i="3"/>
  <c r="AK150" i="3"/>
  <c r="AJ150" i="3"/>
  <c r="AI150" i="3"/>
  <c r="AH150" i="3"/>
  <c r="P150" i="3"/>
  <c r="P151" i="3" s="1"/>
  <c r="U151" i="3" s="1"/>
  <c r="N150" i="3"/>
  <c r="M150" i="3"/>
  <c r="K150" i="3"/>
  <c r="AN149" i="3"/>
  <c r="AM149" i="3"/>
  <c r="AL149" i="3"/>
  <c r="AK149" i="3"/>
  <c r="AJ149" i="3"/>
  <c r="AI149" i="3"/>
  <c r="AH149" i="3"/>
  <c r="S149" i="3"/>
  <c r="S150" i="3" s="1"/>
  <c r="X150" i="3" s="1"/>
  <c r="Q149" i="3"/>
  <c r="Q150" i="3" s="1"/>
  <c r="N149" i="3"/>
  <c r="M149" i="3"/>
  <c r="K149" i="3"/>
  <c r="AN148" i="3"/>
  <c r="AM148" i="3"/>
  <c r="AL148" i="3"/>
  <c r="AK148" i="3"/>
  <c r="AJ148" i="3"/>
  <c r="AI148" i="3"/>
  <c r="AH148" i="3"/>
  <c r="S148" i="3"/>
  <c r="R148" i="3"/>
  <c r="W148" i="3" s="1"/>
  <c r="Q148" i="3"/>
  <c r="V148" i="3" s="1"/>
  <c r="P148" i="3"/>
  <c r="P149" i="3" s="1"/>
  <c r="N148" i="3"/>
  <c r="X148" i="3" s="1"/>
  <c r="L148" i="3"/>
  <c r="K148" i="3"/>
  <c r="U148" i="3" s="1"/>
  <c r="AN147" i="3"/>
  <c r="AM147" i="3"/>
  <c r="AL147" i="3"/>
  <c r="AK147" i="3"/>
  <c r="AJ147" i="3"/>
  <c r="AI147" i="3"/>
  <c r="AH147" i="3"/>
  <c r="AN146" i="3"/>
  <c r="AM146" i="3"/>
  <c r="AL146" i="3"/>
  <c r="AK146" i="3"/>
  <c r="AJ146" i="3"/>
  <c r="AI146" i="3"/>
  <c r="AH146" i="3"/>
  <c r="AE146" i="3"/>
  <c r="N146" i="3"/>
  <c r="I146" i="3"/>
  <c r="AN145" i="3"/>
  <c r="AM145" i="3"/>
  <c r="AL145" i="3"/>
  <c r="AK145" i="3"/>
  <c r="AJ145" i="3"/>
  <c r="AI145" i="3"/>
  <c r="AH145" i="3"/>
  <c r="N145" i="3"/>
  <c r="I145" i="3"/>
  <c r="AN144" i="3"/>
  <c r="AM144" i="3"/>
  <c r="AL144" i="3"/>
  <c r="AK144" i="3"/>
  <c r="AJ144" i="3"/>
  <c r="AI144" i="3"/>
  <c r="AH144" i="3"/>
  <c r="I144" i="3"/>
  <c r="AN143" i="3"/>
  <c r="AM143" i="3"/>
  <c r="AL143" i="3"/>
  <c r="AK143" i="3"/>
  <c r="AJ143" i="3"/>
  <c r="AI143" i="3"/>
  <c r="AH143" i="3"/>
  <c r="K143" i="3"/>
  <c r="I143" i="3"/>
  <c r="AN142" i="3"/>
  <c r="AM142" i="3"/>
  <c r="AL142" i="3"/>
  <c r="AK142" i="3"/>
  <c r="AJ142" i="3"/>
  <c r="AI142" i="3"/>
  <c r="AH142" i="3"/>
  <c r="P142" i="3"/>
  <c r="N142" i="3"/>
  <c r="N144" i="3" s="1"/>
  <c r="M142" i="3"/>
  <c r="L142" i="3"/>
  <c r="K142" i="3"/>
  <c r="K146" i="3" s="1"/>
  <c r="I142" i="3"/>
  <c r="S142" i="3" s="1"/>
  <c r="X142" i="3" s="1"/>
  <c r="AN141" i="3"/>
  <c r="AM141" i="3"/>
  <c r="AL141" i="3"/>
  <c r="AK141" i="3"/>
  <c r="AJ141" i="3"/>
  <c r="AI141" i="3"/>
  <c r="AH141" i="3"/>
  <c r="U141" i="3"/>
  <c r="R141" i="3"/>
  <c r="Q141" i="3"/>
  <c r="P141" i="3"/>
  <c r="I141" i="3"/>
  <c r="S141" i="3" s="1"/>
  <c r="X141" i="3" s="1"/>
  <c r="AN140" i="3"/>
  <c r="AM140" i="3"/>
  <c r="AL140" i="3"/>
  <c r="AK140" i="3"/>
  <c r="AJ140" i="3"/>
  <c r="AI140" i="3"/>
  <c r="AH140" i="3"/>
  <c r="AN139" i="3"/>
  <c r="AM139" i="3"/>
  <c r="AL139" i="3"/>
  <c r="AK139" i="3"/>
  <c r="AJ139" i="3"/>
  <c r="AI139" i="3"/>
  <c r="AH139" i="3"/>
  <c r="AE139" i="3"/>
  <c r="I139" i="3"/>
  <c r="AN138" i="3"/>
  <c r="AM138" i="3"/>
  <c r="AL138" i="3"/>
  <c r="AK138" i="3"/>
  <c r="AJ138" i="3"/>
  <c r="AI138" i="3"/>
  <c r="AH138" i="3"/>
  <c r="N138" i="3"/>
  <c r="N139" i="3" s="1"/>
  <c r="M138" i="3"/>
  <c r="M139" i="3" s="1"/>
  <c r="L138" i="3"/>
  <c r="L139" i="3" s="1"/>
  <c r="AN137" i="3"/>
  <c r="AM137" i="3"/>
  <c r="AL137" i="3"/>
  <c r="AK137" i="3"/>
  <c r="AJ137" i="3"/>
  <c r="AI137" i="3"/>
  <c r="AH137" i="3"/>
  <c r="S137" i="3"/>
  <c r="Q137" i="3"/>
  <c r="N137" i="3"/>
  <c r="AN136" i="3"/>
  <c r="AM136" i="3"/>
  <c r="AL136" i="3"/>
  <c r="AK136" i="3"/>
  <c r="AJ136" i="3"/>
  <c r="AI136" i="3"/>
  <c r="AH136" i="3"/>
  <c r="S136" i="3"/>
  <c r="X136" i="3" s="1"/>
  <c r="Q136" i="3"/>
  <c r="N136" i="3"/>
  <c r="AN135" i="3"/>
  <c r="AM135" i="3"/>
  <c r="AL135" i="3"/>
  <c r="AK135" i="3"/>
  <c r="AJ135" i="3"/>
  <c r="AI135" i="3"/>
  <c r="AH135" i="3"/>
  <c r="X135" i="3"/>
  <c r="S135" i="3"/>
  <c r="Q135" i="3"/>
  <c r="N135" i="3"/>
  <c r="AN134" i="3"/>
  <c r="AM134" i="3"/>
  <c r="AL134" i="3"/>
  <c r="AK134" i="3"/>
  <c r="AJ134" i="3"/>
  <c r="AI134" i="3"/>
  <c r="AH134" i="3"/>
  <c r="X134" i="3"/>
  <c r="S134" i="3"/>
  <c r="R134" i="3"/>
  <c r="W134" i="3" s="1"/>
  <c r="Q134" i="3"/>
  <c r="V134" i="3" s="1"/>
  <c r="P134" i="3"/>
  <c r="P135" i="3" s="1"/>
  <c r="N134" i="3"/>
  <c r="M134" i="3"/>
  <c r="M137" i="3" s="1"/>
  <c r="L134" i="3"/>
  <c r="L137" i="3" s="1"/>
  <c r="K134" i="3"/>
  <c r="AN133" i="3"/>
  <c r="AM133" i="3"/>
  <c r="AL133" i="3"/>
  <c r="AK133" i="3"/>
  <c r="AJ133" i="3"/>
  <c r="AI133" i="3"/>
  <c r="AH133" i="3"/>
  <c r="AN132" i="3"/>
  <c r="AM132" i="3"/>
  <c r="AL132" i="3"/>
  <c r="AK132" i="3"/>
  <c r="AJ132" i="3"/>
  <c r="AI132" i="3"/>
  <c r="AH132" i="3"/>
  <c r="I132" i="3"/>
  <c r="AN131" i="3"/>
  <c r="AM131" i="3"/>
  <c r="AL131" i="3"/>
  <c r="AK131" i="3"/>
  <c r="AJ131" i="3"/>
  <c r="AI131" i="3"/>
  <c r="AH131" i="3"/>
  <c r="L131" i="3"/>
  <c r="AN130" i="3"/>
  <c r="AM130" i="3"/>
  <c r="AL130" i="3"/>
  <c r="AK130" i="3"/>
  <c r="AJ130" i="3"/>
  <c r="AI130" i="3"/>
  <c r="AH130" i="3"/>
  <c r="M130" i="3"/>
  <c r="K130" i="3"/>
  <c r="AN129" i="3"/>
  <c r="AM129" i="3"/>
  <c r="AL129" i="3"/>
  <c r="AK129" i="3"/>
  <c r="AJ129" i="3"/>
  <c r="AI129" i="3"/>
  <c r="AH129" i="3"/>
  <c r="S129" i="3"/>
  <c r="X129" i="3" s="1"/>
  <c r="Q129" i="3"/>
  <c r="N129" i="3"/>
  <c r="M129" i="3"/>
  <c r="K129" i="3"/>
  <c r="AN128" i="3"/>
  <c r="AM128" i="3"/>
  <c r="AL128" i="3"/>
  <c r="AK128" i="3"/>
  <c r="AJ128" i="3"/>
  <c r="AI128" i="3"/>
  <c r="AH128" i="3"/>
  <c r="U128" i="3"/>
  <c r="S128" i="3"/>
  <c r="X128" i="3" s="1"/>
  <c r="R128" i="3"/>
  <c r="Q128" i="3"/>
  <c r="N128" i="3"/>
  <c r="K128" i="3"/>
  <c r="AN127" i="3"/>
  <c r="AM127" i="3"/>
  <c r="AL127" i="3"/>
  <c r="AK127" i="3"/>
  <c r="AJ127" i="3"/>
  <c r="AI127" i="3"/>
  <c r="AH127" i="3"/>
  <c r="X127" i="3"/>
  <c r="V127" i="3"/>
  <c r="U127" i="3"/>
  <c r="S127" i="3"/>
  <c r="R127" i="3"/>
  <c r="W127" i="3" s="1"/>
  <c r="Q127" i="3"/>
  <c r="P127" i="3"/>
  <c r="P128" i="3" s="1"/>
  <c r="P129" i="3" s="1"/>
  <c r="N127" i="3"/>
  <c r="N132" i="3" s="1"/>
  <c r="M127" i="3"/>
  <c r="M128" i="3" s="1"/>
  <c r="L127" i="3"/>
  <c r="L129" i="3" s="1"/>
  <c r="K127" i="3"/>
  <c r="K132" i="3" s="1"/>
  <c r="AN126" i="3"/>
  <c r="AM126" i="3"/>
  <c r="AL126" i="3"/>
  <c r="AK126" i="3"/>
  <c r="AJ126" i="3"/>
  <c r="AI126" i="3"/>
  <c r="AH126" i="3"/>
  <c r="AN125" i="3"/>
  <c r="AM125" i="3"/>
  <c r="AL125" i="3"/>
  <c r="AK125" i="3"/>
  <c r="AJ125" i="3"/>
  <c r="AI125" i="3"/>
  <c r="AH125" i="3"/>
  <c r="R125" i="3"/>
  <c r="P125" i="3"/>
  <c r="U125" i="3" s="1"/>
  <c r="I125" i="3"/>
  <c r="S125" i="3" s="1"/>
  <c r="AN124" i="3"/>
  <c r="AM124" i="3"/>
  <c r="AL124" i="3"/>
  <c r="AK124" i="3"/>
  <c r="AJ124" i="3"/>
  <c r="AI124" i="3"/>
  <c r="AH124" i="3"/>
  <c r="W124" i="3"/>
  <c r="U124" i="3"/>
  <c r="S124" i="3"/>
  <c r="R124" i="3"/>
  <c r="P124" i="3"/>
  <c r="K124" i="3"/>
  <c r="K125" i="3" s="1"/>
  <c r="AN123" i="3"/>
  <c r="AM123" i="3"/>
  <c r="AL123" i="3"/>
  <c r="AK123" i="3"/>
  <c r="AJ123" i="3"/>
  <c r="AI123" i="3"/>
  <c r="AH123" i="3"/>
  <c r="S123" i="3"/>
  <c r="R123" i="3"/>
  <c r="P123" i="3"/>
  <c r="AN122" i="3"/>
  <c r="AM122" i="3"/>
  <c r="AL122" i="3"/>
  <c r="AK122" i="3"/>
  <c r="AJ122" i="3"/>
  <c r="AI122" i="3"/>
  <c r="AH122" i="3"/>
  <c r="S122" i="3"/>
  <c r="R122" i="3"/>
  <c r="W122" i="3" s="1"/>
  <c r="P122" i="3"/>
  <c r="M122" i="3"/>
  <c r="K122" i="3"/>
  <c r="U122" i="3" s="1"/>
  <c r="AN121" i="3"/>
  <c r="AM121" i="3"/>
  <c r="AL121" i="3"/>
  <c r="AK121" i="3"/>
  <c r="AJ121" i="3"/>
  <c r="AI121" i="3"/>
  <c r="AH121" i="3"/>
  <c r="S121" i="3"/>
  <c r="R121" i="3"/>
  <c r="Q121" i="3"/>
  <c r="P121" i="3"/>
  <c r="M121" i="3"/>
  <c r="W121" i="3" s="1"/>
  <c r="L121" i="3"/>
  <c r="K121" i="3"/>
  <c r="AN120" i="3"/>
  <c r="AM120" i="3"/>
  <c r="AL120" i="3"/>
  <c r="AK120" i="3"/>
  <c r="AJ120" i="3"/>
  <c r="AI120" i="3"/>
  <c r="AH120" i="3"/>
  <c r="S120" i="3"/>
  <c r="R120" i="3"/>
  <c r="W120" i="3" s="1"/>
  <c r="Q120" i="3"/>
  <c r="V120" i="3" s="1"/>
  <c r="P120" i="3"/>
  <c r="U120" i="3" s="1"/>
  <c r="N120" i="3"/>
  <c r="N121" i="3" s="1"/>
  <c r="X121" i="3" s="1"/>
  <c r="M120" i="3"/>
  <c r="M124" i="3" s="1"/>
  <c r="M125" i="3" s="1"/>
  <c r="L120" i="3"/>
  <c r="L124" i="3" s="1"/>
  <c r="L125" i="3" s="1"/>
  <c r="K120" i="3"/>
  <c r="K123" i="3" s="1"/>
  <c r="U123" i="3" s="1"/>
  <c r="AN119" i="3"/>
  <c r="AM119" i="3"/>
  <c r="AL119" i="3"/>
  <c r="AK119" i="3"/>
  <c r="AJ119" i="3"/>
  <c r="AI119" i="3"/>
  <c r="AH119" i="3"/>
  <c r="AN118" i="3"/>
  <c r="AM118" i="3"/>
  <c r="AL118" i="3"/>
  <c r="AK118" i="3"/>
  <c r="AJ118" i="3"/>
  <c r="AI118" i="3"/>
  <c r="AH118" i="3"/>
  <c r="N118" i="3"/>
  <c r="M118" i="3"/>
  <c r="L118" i="3"/>
  <c r="K118" i="3"/>
  <c r="I118" i="3"/>
  <c r="AN117" i="3"/>
  <c r="AM117" i="3"/>
  <c r="AL117" i="3"/>
  <c r="AK117" i="3"/>
  <c r="AJ117" i="3"/>
  <c r="AI117" i="3"/>
  <c r="AH117" i="3"/>
  <c r="N117" i="3"/>
  <c r="M117" i="3"/>
  <c r="L117" i="3"/>
  <c r="K117" i="3"/>
  <c r="AN116" i="3"/>
  <c r="AM116" i="3"/>
  <c r="AL116" i="3"/>
  <c r="AK116" i="3"/>
  <c r="AJ116" i="3"/>
  <c r="AI116" i="3"/>
  <c r="AH116" i="3"/>
  <c r="R116" i="3"/>
  <c r="L116" i="3"/>
  <c r="K116" i="3"/>
  <c r="AN115" i="3"/>
  <c r="AM115" i="3"/>
  <c r="AL115" i="3"/>
  <c r="AK115" i="3"/>
  <c r="AJ115" i="3"/>
  <c r="AI115" i="3"/>
  <c r="AH115" i="3"/>
  <c r="R115" i="3"/>
  <c r="L115" i="3"/>
  <c r="K115" i="3"/>
  <c r="AN114" i="3"/>
  <c r="AM114" i="3"/>
  <c r="AL114" i="3"/>
  <c r="AK114" i="3"/>
  <c r="AJ114" i="3"/>
  <c r="AI114" i="3"/>
  <c r="AH114" i="3"/>
  <c r="X114" i="3"/>
  <c r="V114" i="3"/>
  <c r="S114" i="3"/>
  <c r="S115" i="3" s="1"/>
  <c r="S116" i="3" s="1"/>
  <c r="R114" i="3"/>
  <c r="W114" i="3" s="1"/>
  <c r="Q114" i="3"/>
  <c r="Q115" i="3" s="1"/>
  <c r="Q116" i="3" s="1"/>
  <c r="P114" i="3"/>
  <c r="U114" i="3" s="1"/>
  <c r="N114" i="3"/>
  <c r="AE118" i="3" s="1"/>
  <c r="M114" i="3"/>
  <c r="M116" i="3" s="1"/>
  <c r="L114" i="3"/>
  <c r="AN113" i="3"/>
  <c r="AM113" i="3"/>
  <c r="AL113" i="3"/>
  <c r="AK113" i="3"/>
  <c r="AJ113" i="3"/>
  <c r="AI113" i="3"/>
  <c r="AH113" i="3"/>
  <c r="AN112" i="3"/>
  <c r="AM112" i="3"/>
  <c r="AL112" i="3"/>
  <c r="AK112" i="3"/>
  <c r="AJ112" i="3"/>
  <c r="AI112" i="3"/>
  <c r="AH112" i="3"/>
  <c r="N112" i="3"/>
  <c r="K112" i="3"/>
  <c r="I112" i="3"/>
  <c r="AN111" i="3"/>
  <c r="AM111" i="3"/>
  <c r="AL111" i="3"/>
  <c r="AK111" i="3"/>
  <c r="AJ111" i="3"/>
  <c r="AI111" i="3"/>
  <c r="AH111" i="3"/>
  <c r="W111" i="3"/>
  <c r="S111" i="3"/>
  <c r="S112" i="3" s="1"/>
  <c r="X112" i="3" s="1"/>
  <c r="M111" i="3"/>
  <c r="K111" i="3"/>
  <c r="AN110" i="3"/>
  <c r="AM110" i="3"/>
  <c r="AL110" i="3"/>
  <c r="AK110" i="3"/>
  <c r="AJ110" i="3"/>
  <c r="AI110" i="3"/>
  <c r="AH110" i="3"/>
  <c r="W110" i="3"/>
  <c r="S110" i="3"/>
  <c r="X110" i="3" s="1"/>
  <c r="R110" i="3"/>
  <c r="R111" i="3" s="1"/>
  <c r="R112" i="3" s="1"/>
  <c r="W112" i="3" s="1"/>
  <c r="V18" i="2" s="1"/>
  <c r="Q110" i="3"/>
  <c r="V110" i="3" s="1"/>
  <c r="P110" i="3"/>
  <c r="U110" i="3" s="1"/>
  <c r="N110" i="3"/>
  <c r="N111" i="3" s="1"/>
  <c r="M110" i="3"/>
  <c r="M112" i="3" s="1"/>
  <c r="L110" i="3"/>
  <c r="L112" i="3" s="1"/>
  <c r="AN109" i="3"/>
  <c r="AM109" i="3"/>
  <c r="AL109" i="3"/>
  <c r="AK109" i="3"/>
  <c r="AJ109" i="3"/>
  <c r="AI109" i="3"/>
  <c r="AH109" i="3"/>
  <c r="AN108" i="3"/>
  <c r="AM108" i="3"/>
  <c r="AL108" i="3"/>
  <c r="AK108" i="3"/>
  <c r="AJ108" i="3"/>
  <c r="AI108" i="3"/>
  <c r="AH108" i="3"/>
  <c r="K108" i="3"/>
  <c r="I108" i="3"/>
  <c r="AN107" i="3"/>
  <c r="AM107" i="3"/>
  <c r="AL107" i="3"/>
  <c r="AK107" i="3"/>
  <c r="AJ107" i="3"/>
  <c r="AI107" i="3"/>
  <c r="AH107" i="3"/>
  <c r="M107" i="3"/>
  <c r="K107" i="3"/>
  <c r="AN106" i="3"/>
  <c r="AM106" i="3"/>
  <c r="AL106" i="3"/>
  <c r="AK106" i="3"/>
  <c r="AJ106" i="3"/>
  <c r="AI106" i="3"/>
  <c r="AH106" i="3"/>
  <c r="M106" i="3"/>
  <c r="K106" i="3"/>
  <c r="AN105" i="3"/>
  <c r="AM105" i="3"/>
  <c r="AL105" i="3"/>
  <c r="AK105" i="3"/>
  <c r="AJ105" i="3"/>
  <c r="AI105" i="3"/>
  <c r="AH105" i="3"/>
  <c r="N105" i="3"/>
  <c r="M105" i="3"/>
  <c r="M108" i="3" s="1"/>
  <c r="L105" i="3"/>
  <c r="AN104" i="3"/>
  <c r="AM104" i="3"/>
  <c r="AL104" i="3"/>
  <c r="AK104" i="3"/>
  <c r="AJ104" i="3"/>
  <c r="AI104" i="3"/>
  <c r="AH104" i="3"/>
  <c r="W104" i="3"/>
  <c r="S104" i="3"/>
  <c r="R104" i="3"/>
  <c r="R105" i="3" s="1"/>
  <c r="Q104" i="3"/>
  <c r="V104" i="3" s="1"/>
  <c r="P104" i="3"/>
  <c r="U104" i="3" s="1"/>
  <c r="I104" i="3"/>
  <c r="AN103" i="3"/>
  <c r="AM103" i="3"/>
  <c r="AL103" i="3"/>
  <c r="AK103" i="3"/>
  <c r="AJ103" i="3"/>
  <c r="AI103" i="3"/>
  <c r="AH103" i="3"/>
  <c r="AN102" i="3"/>
  <c r="AM102" i="3"/>
  <c r="AL102" i="3"/>
  <c r="AK102" i="3"/>
  <c r="AJ102" i="3"/>
  <c r="AI102" i="3"/>
  <c r="AH102" i="3"/>
  <c r="I102" i="3"/>
  <c r="AN101" i="3"/>
  <c r="AM101" i="3"/>
  <c r="AL101" i="3"/>
  <c r="AK101" i="3"/>
  <c r="AJ101" i="3"/>
  <c r="AI101" i="3"/>
  <c r="AH101" i="3"/>
  <c r="N101" i="3"/>
  <c r="L101" i="3"/>
  <c r="K101" i="3"/>
  <c r="AN100" i="3"/>
  <c r="AM100" i="3"/>
  <c r="AL100" i="3"/>
  <c r="AK100" i="3"/>
  <c r="AJ100" i="3"/>
  <c r="AI100" i="3"/>
  <c r="AH100" i="3"/>
  <c r="R100" i="3"/>
  <c r="M100" i="3"/>
  <c r="L100" i="3"/>
  <c r="K100" i="3"/>
  <c r="AN99" i="3"/>
  <c r="AM99" i="3"/>
  <c r="AL99" i="3"/>
  <c r="AK99" i="3"/>
  <c r="AJ99" i="3"/>
  <c r="AI99" i="3"/>
  <c r="AH99" i="3"/>
  <c r="Q99" i="3"/>
  <c r="Q100" i="3" s="1"/>
  <c r="P99" i="3"/>
  <c r="U99" i="3" s="1"/>
  <c r="M99" i="3"/>
  <c r="K99" i="3"/>
  <c r="AN98" i="3"/>
  <c r="AM98" i="3"/>
  <c r="AL98" i="3"/>
  <c r="AK98" i="3"/>
  <c r="AJ98" i="3"/>
  <c r="AI98" i="3"/>
  <c r="AH98" i="3"/>
  <c r="W98" i="3"/>
  <c r="U98" i="3"/>
  <c r="S98" i="3"/>
  <c r="Q98" i="3"/>
  <c r="P98" i="3"/>
  <c r="K98" i="3"/>
  <c r="AN97" i="3"/>
  <c r="AM97" i="3"/>
  <c r="AL97" i="3"/>
  <c r="AK97" i="3"/>
  <c r="AJ97" i="3"/>
  <c r="AI97" i="3"/>
  <c r="AH97" i="3"/>
  <c r="X97" i="3"/>
  <c r="W97" i="3"/>
  <c r="U97" i="3"/>
  <c r="S97" i="3"/>
  <c r="R97" i="3"/>
  <c r="R98" i="3" s="1"/>
  <c r="R99" i="3" s="1"/>
  <c r="W99" i="3" s="1"/>
  <c r="Q97" i="3"/>
  <c r="V97" i="3" s="1"/>
  <c r="P97" i="3"/>
  <c r="N97" i="3"/>
  <c r="N99" i="3" s="1"/>
  <c r="M97" i="3"/>
  <c r="M98" i="3" s="1"/>
  <c r="L97" i="3"/>
  <c r="L99" i="3" s="1"/>
  <c r="V99" i="3" s="1"/>
  <c r="K97" i="3"/>
  <c r="K102" i="3" s="1"/>
  <c r="AN96" i="3"/>
  <c r="AM96" i="3"/>
  <c r="AL96" i="3"/>
  <c r="AK96" i="3"/>
  <c r="AJ96" i="3"/>
  <c r="AI96" i="3"/>
  <c r="AH96" i="3"/>
  <c r="AN95" i="3"/>
  <c r="AM95" i="3"/>
  <c r="AL95" i="3"/>
  <c r="AK95" i="3"/>
  <c r="AJ95" i="3"/>
  <c r="AI95" i="3"/>
  <c r="AH95" i="3"/>
  <c r="I95" i="3"/>
  <c r="I407" i="3" s="1"/>
  <c r="AN94" i="3"/>
  <c r="AM94" i="3"/>
  <c r="AL94" i="3"/>
  <c r="AK94" i="3"/>
  <c r="AJ94" i="3"/>
  <c r="AI94" i="3"/>
  <c r="AH94" i="3"/>
  <c r="M94" i="3"/>
  <c r="L94" i="3"/>
  <c r="AN93" i="3"/>
  <c r="AM93" i="3"/>
  <c r="AL93" i="3"/>
  <c r="AK93" i="3"/>
  <c r="AJ93" i="3"/>
  <c r="AI93" i="3"/>
  <c r="AH93" i="3"/>
  <c r="M93" i="3"/>
  <c r="L93" i="3"/>
  <c r="AN92" i="3"/>
  <c r="AM92" i="3"/>
  <c r="AL92" i="3"/>
  <c r="AK92" i="3"/>
  <c r="AJ92" i="3"/>
  <c r="AI92" i="3"/>
  <c r="AH92" i="3"/>
  <c r="P92" i="3"/>
  <c r="M92" i="3"/>
  <c r="K92" i="3"/>
  <c r="AN91" i="3"/>
  <c r="AM91" i="3"/>
  <c r="AL91" i="3"/>
  <c r="AK91" i="3"/>
  <c r="AJ91" i="3"/>
  <c r="AI91" i="3"/>
  <c r="AH91" i="3"/>
  <c r="S91" i="3"/>
  <c r="P91" i="3"/>
  <c r="M91" i="3"/>
  <c r="K91" i="3"/>
  <c r="AN90" i="3"/>
  <c r="AM90" i="3"/>
  <c r="AL90" i="3"/>
  <c r="AK90" i="3"/>
  <c r="AJ90" i="3"/>
  <c r="AI90" i="3"/>
  <c r="AH90" i="3"/>
  <c r="W90" i="3"/>
  <c r="U90" i="3"/>
  <c r="S90" i="3"/>
  <c r="X90" i="3" s="1"/>
  <c r="R90" i="3"/>
  <c r="R91" i="3" s="1"/>
  <c r="Q90" i="3"/>
  <c r="V90" i="3" s="1"/>
  <c r="P90" i="3"/>
  <c r="N90" i="3"/>
  <c r="M90" i="3"/>
  <c r="M95" i="3" s="1"/>
  <c r="L90" i="3"/>
  <c r="L91" i="3" s="1"/>
  <c r="K90" i="3"/>
  <c r="K95" i="3" s="1"/>
  <c r="AN89" i="3"/>
  <c r="AM89" i="3"/>
  <c r="AL89" i="3"/>
  <c r="AK89" i="3"/>
  <c r="AJ89" i="3"/>
  <c r="AI89" i="3"/>
  <c r="AH89" i="3"/>
  <c r="AN88" i="3"/>
  <c r="AM88" i="3"/>
  <c r="AL88" i="3"/>
  <c r="AK88" i="3"/>
  <c r="AJ88" i="3"/>
  <c r="AI88" i="3"/>
  <c r="AH88" i="3"/>
  <c r="AE88" i="3"/>
  <c r="I88" i="3"/>
  <c r="AN87" i="3"/>
  <c r="AM87" i="3"/>
  <c r="AL87" i="3"/>
  <c r="AK87" i="3"/>
  <c r="AJ87" i="3"/>
  <c r="AI87" i="3"/>
  <c r="AH87" i="3"/>
  <c r="N87" i="3"/>
  <c r="M87" i="3"/>
  <c r="L87" i="3"/>
  <c r="K87" i="3"/>
  <c r="AN86" i="3"/>
  <c r="AM86" i="3"/>
  <c r="AL86" i="3"/>
  <c r="AK86" i="3"/>
  <c r="AJ86" i="3"/>
  <c r="AI86" i="3"/>
  <c r="AH86" i="3"/>
  <c r="N86" i="3"/>
  <c r="M86" i="3"/>
  <c r="L86" i="3"/>
  <c r="K86" i="3"/>
  <c r="AN85" i="3"/>
  <c r="AM85" i="3"/>
  <c r="AL85" i="3"/>
  <c r="AK85" i="3"/>
  <c r="AJ85" i="3"/>
  <c r="AI85" i="3"/>
  <c r="AH85" i="3"/>
  <c r="R85" i="3"/>
  <c r="W85" i="3" s="1"/>
  <c r="N85" i="3"/>
  <c r="M85" i="3"/>
  <c r="L85" i="3"/>
  <c r="K85" i="3"/>
  <c r="AN84" i="3"/>
  <c r="AM84" i="3"/>
  <c r="AL84" i="3"/>
  <c r="AK84" i="3"/>
  <c r="AJ84" i="3"/>
  <c r="AI84" i="3"/>
  <c r="AH84" i="3"/>
  <c r="S84" i="3"/>
  <c r="X84" i="3" s="1"/>
  <c r="N84" i="3"/>
  <c r="M84" i="3"/>
  <c r="L84" i="3"/>
  <c r="K84" i="3"/>
  <c r="AN83" i="3"/>
  <c r="AM83" i="3"/>
  <c r="AL83" i="3"/>
  <c r="AK83" i="3"/>
  <c r="AJ83" i="3"/>
  <c r="AI83" i="3"/>
  <c r="AH83" i="3"/>
  <c r="W83" i="3"/>
  <c r="S83" i="3"/>
  <c r="X83" i="3" s="1"/>
  <c r="R83" i="3"/>
  <c r="R84" i="3" s="1"/>
  <c r="W84" i="3" s="1"/>
  <c r="Q83" i="3"/>
  <c r="V83" i="3" s="1"/>
  <c r="P83" i="3"/>
  <c r="U83" i="3" s="1"/>
  <c r="M83" i="3"/>
  <c r="L83" i="3"/>
  <c r="AN82" i="3"/>
  <c r="AM82" i="3"/>
  <c r="AL82" i="3"/>
  <c r="AK82" i="3"/>
  <c r="AJ82" i="3"/>
  <c r="AI82" i="3"/>
  <c r="AH82" i="3"/>
  <c r="AN81" i="3"/>
  <c r="AM81" i="3"/>
  <c r="AL81" i="3"/>
  <c r="AK81" i="3"/>
  <c r="AJ81" i="3"/>
  <c r="AI81" i="3"/>
  <c r="AH81" i="3"/>
  <c r="I81" i="3"/>
  <c r="AN80" i="3"/>
  <c r="AM80" i="3"/>
  <c r="AL80" i="3"/>
  <c r="AK80" i="3"/>
  <c r="AJ80" i="3"/>
  <c r="AI80" i="3"/>
  <c r="AH80" i="3"/>
  <c r="N80" i="3"/>
  <c r="M80" i="3"/>
  <c r="AN79" i="3"/>
  <c r="AM79" i="3"/>
  <c r="AL79" i="3"/>
  <c r="AK79" i="3"/>
  <c r="AJ79" i="3"/>
  <c r="AI79" i="3"/>
  <c r="AH79" i="3"/>
  <c r="M79" i="3"/>
  <c r="AN78" i="3"/>
  <c r="AM78" i="3"/>
  <c r="AL78" i="3"/>
  <c r="AK78" i="3"/>
  <c r="AJ78" i="3"/>
  <c r="AI78" i="3"/>
  <c r="AH78" i="3"/>
  <c r="M78" i="3"/>
  <c r="AN77" i="3"/>
  <c r="AM77" i="3"/>
  <c r="AL77" i="3"/>
  <c r="AK77" i="3"/>
  <c r="AJ77" i="3"/>
  <c r="AI77" i="3"/>
  <c r="AH77" i="3"/>
  <c r="S77" i="3"/>
  <c r="N77" i="3"/>
  <c r="M77" i="3"/>
  <c r="AN76" i="3"/>
  <c r="AM76" i="3"/>
  <c r="AL76" i="3"/>
  <c r="AK76" i="3"/>
  <c r="AJ76" i="3"/>
  <c r="AI76" i="3"/>
  <c r="AH76" i="3"/>
  <c r="S76" i="3"/>
  <c r="X76" i="3" s="1"/>
  <c r="R76" i="3"/>
  <c r="Q76" i="3"/>
  <c r="P76" i="3"/>
  <c r="N76" i="3"/>
  <c r="N79" i="3" s="1"/>
  <c r="L76" i="3"/>
  <c r="L77" i="3" s="1"/>
  <c r="K76" i="3"/>
  <c r="AN75" i="3"/>
  <c r="AM75" i="3"/>
  <c r="AL75" i="3"/>
  <c r="AK75" i="3"/>
  <c r="AJ75" i="3"/>
  <c r="AI75" i="3"/>
  <c r="AH75" i="3"/>
  <c r="AN74" i="3"/>
  <c r="AM74" i="3"/>
  <c r="AL74" i="3"/>
  <c r="AK74" i="3"/>
  <c r="AJ74" i="3"/>
  <c r="AI74" i="3"/>
  <c r="AH74" i="3"/>
  <c r="AE74" i="3"/>
  <c r="N74" i="3"/>
  <c r="K74" i="3"/>
  <c r="I74" i="3"/>
  <c r="AN73" i="3"/>
  <c r="AM73" i="3"/>
  <c r="AL73" i="3"/>
  <c r="AK73" i="3"/>
  <c r="AJ73" i="3"/>
  <c r="AI73" i="3"/>
  <c r="AH73" i="3"/>
  <c r="N73" i="3"/>
  <c r="M73" i="3"/>
  <c r="K73" i="3"/>
  <c r="AN72" i="3"/>
  <c r="AM72" i="3"/>
  <c r="AL72" i="3"/>
  <c r="AK72" i="3"/>
  <c r="AJ72" i="3"/>
  <c r="AI72" i="3"/>
  <c r="AH72" i="3"/>
  <c r="Q72" i="3"/>
  <c r="N72" i="3"/>
  <c r="M72" i="3"/>
  <c r="K72" i="3"/>
  <c r="I72" i="3"/>
  <c r="AN71" i="3"/>
  <c r="AM71" i="3"/>
  <c r="AL71" i="3"/>
  <c r="AK71" i="3"/>
  <c r="AJ71" i="3"/>
  <c r="AI71" i="3"/>
  <c r="AH71" i="3"/>
  <c r="V71" i="3"/>
  <c r="R71" i="3"/>
  <c r="Q71" i="3"/>
  <c r="P71" i="3"/>
  <c r="N71" i="3"/>
  <c r="M71" i="3"/>
  <c r="M74" i="3" s="1"/>
  <c r="L71" i="3"/>
  <c r="L72" i="3" s="1"/>
  <c r="K71" i="3"/>
  <c r="AN70" i="3"/>
  <c r="AM70" i="3"/>
  <c r="AL70" i="3"/>
  <c r="AK70" i="3"/>
  <c r="AJ70" i="3"/>
  <c r="AI70" i="3"/>
  <c r="AH70" i="3"/>
  <c r="W70" i="3"/>
  <c r="V70" i="3"/>
  <c r="S70" i="3"/>
  <c r="X70" i="3" s="1"/>
  <c r="R70" i="3"/>
  <c r="Q70" i="3"/>
  <c r="P70" i="3"/>
  <c r="U70" i="3" s="1"/>
  <c r="I70" i="3"/>
  <c r="AN69" i="3"/>
  <c r="AM69" i="3"/>
  <c r="AL69" i="3"/>
  <c r="AK69" i="3"/>
  <c r="AJ69" i="3"/>
  <c r="AI69" i="3"/>
  <c r="AH69" i="3"/>
  <c r="AN68" i="3"/>
  <c r="AM68" i="3"/>
  <c r="AL68" i="3"/>
  <c r="AK68" i="3"/>
  <c r="AJ68" i="3"/>
  <c r="AI68" i="3"/>
  <c r="AH68" i="3"/>
  <c r="M68" i="3"/>
  <c r="I68" i="3"/>
  <c r="AN67" i="3"/>
  <c r="AM67" i="3"/>
  <c r="AL67" i="3"/>
  <c r="AK67" i="3"/>
  <c r="AJ67" i="3"/>
  <c r="AI67" i="3"/>
  <c r="AH67" i="3"/>
  <c r="N67" i="3"/>
  <c r="K67" i="3"/>
  <c r="AN66" i="3"/>
  <c r="AM66" i="3"/>
  <c r="AL66" i="3"/>
  <c r="AK66" i="3"/>
  <c r="AJ66" i="3"/>
  <c r="AI66" i="3"/>
  <c r="AH66" i="3"/>
  <c r="N66" i="3"/>
  <c r="AN65" i="3"/>
  <c r="AM65" i="3"/>
  <c r="AL65" i="3"/>
  <c r="AK65" i="3"/>
  <c r="AJ65" i="3"/>
  <c r="AI65" i="3"/>
  <c r="AH65" i="3"/>
  <c r="R65" i="3"/>
  <c r="K65" i="3"/>
  <c r="AN64" i="3"/>
  <c r="AM64" i="3"/>
  <c r="AL64" i="3"/>
  <c r="AK64" i="3"/>
  <c r="AJ64" i="3"/>
  <c r="AI64" i="3"/>
  <c r="AH64" i="3"/>
  <c r="N64" i="3"/>
  <c r="L64" i="3"/>
  <c r="AN63" i="3"/>
  <c r="AM63" i="3"/>
  <c r="AL63" i="3"/>
  <c r="AK63" i="3"/>
  <c r="AJ63" i="3"/>
  <c r="AI63" i="3"/>
  <c r="AH63" i="3"/>
  <c r="R63" i="3"/>
  <c r="R64" i="3" s="1"/>
  <c r="Q63" i="3"/>
  <c r="N63" i="3"/>
  <c r="AE68" i="3" s="1"/>
  <c r="M63" i="3"/>
  <c r="M64" i="3" s="1"/>
  <c r="L63" i="3"/>
  <c r="L68" i="3" s="1"/>
  <c r="K63" i="3"/>
  <c r="AN62" i="3"/>
  <c r="AM62" i="3"/>
  <c r="AL62" i="3"/>
  <c r="AK62" i="3"/>
  <c r="AJ62" i="3"/>
  <c r="AI62" i="3"/>
  <c r="AH62" i="3"/>
  <c r="R62" i="3"/>
  <c r="Q62" i="3"/>
  <c r="P62" i="3"/>
  <c r="U62" i="3" s="1"/>
  <c r="I62" i="3"/>
  <c r="AN61" i="3"/>
  <c r="AM61" i="3"/>
  <c r="AL61" i="3"/>
  <c r="AK61" i="3"/>
  <c r="AJ61" i="3"/>
  <c r="AI61" i="3"/>
  <c r="AH61" i="3"/>
  <c r="AN60" i="3"/>
  <c r="AM60" i="3"/>
  <c r="AL60" i="3"/>
  <c r="AK60" i="3"/>
  <c r="AJ60" i="3"/>
  <c r="AI60" i="3"/>
  <c r="AH60" i="3"/>
  <c r="AE60" i="3"/>
  <c r="K60" i="3"/>
  <c r="I60" i="3"/>
  <c r="AN59" i="3"/>
  <c r="AM59" i="3"/>
  <c r="AL59" i="3"/>
  <c r="AK59" i="3"/>
  <c r="AJ59" i="3"/>
  <c r="AI59" i="3"/>
  <c r="AH59" i="3"/>
  <c r="M59" i="3"/>
  <c r="L59" i="3"/>
  <c r="K59" i="3"/>
  <c r="AN58" i="3"/>
  <c r="AM58" i="3"/>
  <c r="AL58" i="3"/>
  <c r="AK58" i="3"/>
  <c r="AJ58" i="3"/>
  <c r="AI58" i="3"/>
  <c r="AH58" i="3"/>
  <c r="N58" i="3"/>
  <c r="M58" i="3"/>
  <c r="L58" i="3"/>
  <c r="K58" i="3"/>
  <c r="AN57" i="3"/>
  <c r="AM57" i="3"/>
  <c r="AL57" i="3"/>
  <c r="AK57" i="3"/>
  <c r="AJ57" i="3"/>
  <c r="AI57" i="3"/>
  <c r="AH57" i="3"/>
  <c r="N57" i="3"/>
  <c r="M57" i="3"/>
  <c r="L57" i="3"/>
  <c r="AN56" i="3"/>
  <c r="AM56" i="3"/>
  <c r="AL56" i="3"/>
  <c r="AK56" i="3"/>
  <c r="AJ56" i="3"/>
  <c r="AI56" i="3"/>
  <c r="AH56" i="3"/>
  <c r="R56" i="3"/>
  <c r="W56" i="3" s="1"/>
  <c r="Q56" i="3"/>
  <c r="V56" i="3" s="1"/>
  <c r="M56" i="3"/>
  <c r="L56" i="3"/>
  <c r="K56" i="3"/>
  <c r="AN55" i="3"/>
  <c r="AM55" i="3"/>
  <c r="AL55" i="3"/>
  <c r="AK55" i="3"/>
  <c r="AJ55" i="3"/>
  <c r="AI55" i="3"/>
  <c r="AH55" i="3"/>
  <c r="V55" i="3"/>
  <c r="S55" i="3"/>
  <c r="X55" i="3" s="1"/>
  <c r="R55" i="3"/>
  <c r="Q55" i="3"/>
  <c r="P55" i="3"/>
  <c r="U55" i="3" s="1"/>
  <c r="N55" i="3"/>
  <c r="M55" i="3"/>
  <c r="W55" i="3" s="1"/>
  <c r="L55" i="3"/>
  <c r="K55" i="3"/>
  <c r="K57" i="3" s="1"/>
  <c r="AN54" i="3"/>
  <c r="AM54" i="3"/>
  <c r="AL54" i="3"/>
  <c r="AK54" i="3"/>
  <c r="AJ54" i="3"/>
  <c r="AI54" i="3"/>
  <c r="AH54" i="3"/>
  <c r="AN53" i="3"/>
  <c r="AM53" i="3"/>
  <c r="AL53" i="3"/>
  <c r="AK53" i="3"/>
  <c r="AJ53" i="3"/>
  <c r="AI53" i="3"/>
  <c r="AH53" i="3"/>
  <c r="M53" i="3"/>
  <c r="K53" i="3"/>
  <c r="I53" i="3"/>
  <c r="AN52" i="3"/>
  <c r="AM52" i="3"/>
  <c r="AL52" i="3"/>
  <c r="AK52" i="3"/>
  <c r="AJ52" i="3"/>
  <c r="AI52" i="3"/>
  <c r="AH52" i="3"/>
  <c r="N52" i="3"/>
  <c r="M52" i="3"/>
  <c r="L52" i="3"/>
  <c r="I52" i="3"/>
  <c r="AN51" i="3"/>
  <c r="AM51" i="3"/>
  <c r="AL51" i="3"/>
  <c r="AK51" i="3"/>
  <c r="AJ51" i="3"/>
  <c r="AI51" i="3"/>
  <c r="AH51" i="3"/>
  <c r="L51" i="3"/>
  <c r="K51" i="3"/>
  <c r="I51" i="3"/>
  <c r="AN50" i="3"/>
  <c r="AM50" i="3"/>
  <c r="AL50" i="3"/>
  <c r="AK50" i="3"/>
  <c r="AJ50" i="3"/>
  <c r="AI50" i="3"/>
  <c r="AH50" i="3"/>
  <c r="Q50" i="3"/>
  <c r="Q51" i="3" s="1"/>
  <c r="N50" i="3"/>
  <c r="M50" i="3"/>
  <c r="L50" i="3"/>
  <c r="I50" i="3"/>
  <c r="AN49" i="3"/>
  <c r="AM49" i="3"/>
  <c r="AL49" i="3"/>
  <c r="AK49" i="3"/>
  <c r="AJ49" i="3"/>
  <c r="AI49" i="3"/>
  <c r="AH49" i="3"/>
  <c r="V49" i="3"/>
  <c r="S49" i="3"/>
  <c r="X49" i="3" s="1"/>
  <c r="R49" i="3"/>
  <c r="Q49" i="3"/>
  <c r="P49" i="3"/>
  <c r="U49" i="3" s="1"/>
  <c r="N49" i="3"/>
  <c r="N51" i="3" s="1"/>
  <c r="M49" i="3"/>
  <c r="M51" i="3" s="1"/>
  <c r="L49" i="3"/>
  <c r="L53" i="3" s="1"/>
  <c r="K49" i="3"/>
  <c r="K50" i="3" s="1"/>
  <c r="I49" i="3"/>
  <c r="S48" i="3"/>
  <c r="R48" i="3"/>
  <c r="P48" i="3"/>
  <c r="I48" i="3"/>
  <c r="AN47" i="3"/>
  <c r="AM47" i="3"/>
  <c r="AL47" i="3"/>
  <c r="AK47" i="3"/>
  <c r="AJ47" i="3"/>
  <c r="AI47" i="3"/>
  <c r="AH47" i="3"/>
  <c r="AN46" i="3"/>
  <c r="AM46" i="3"/>
  <c r="AL46" i="3"/>
  <c r="AK46" i="3"/>
  <c r="AJ46" i="3"/>
  <c r="AI46" i="3"/>
  <c r="AH46" i="3"/>
  <c r="AE46" i="3"/>
  <c r="I46" i="3"/>
  <c r="AN45" i="3"/>
  <c r="AM45" i="3"/>
  <c r="AL45" i="3"/>
  <c r="AK45" i="3"/>
  <c r="AJ45" i="3"/>
  <c r="AI45" i="3"/>
  <c r="AH45" i="3"/>
  <c r="N45" i="3"/>
  <c r="M45" i="3"/>
  <c r="L45" i="3"/>
  <c r="K45" i="3"/>
  <c r="AN44" i="3"/>
  <c r="AM44" i="3"/>
  <c r="AL44" i="3"/>
  <c r="AK44" i="3"/>
  <c r="AJ44" i="3"/>
  <c r="AI44" i="3"/>
  <c r="AH44" i="3"/>
  <c r="S44" i="3"/>
  <c r="X44" i="3" s="1"/>
  <c r="R44" i="3"/>
  <c r="W44" i="3" s="1"/>
  <c r="N44" i="3"/>
  <c r="M44" i="3"/>
  <c r="L44" i="3"/>
  <c r="AN43" i="3"/>
  <c r="AM43" i="3"/>
  <c r="AL43" i="3"/>
  <c r="AK43" i="3"/>
  <c r="AJ43" i="3"/>
  <c r="AI43" i="3"/>
  <c r="AH43" i="3"/>
  <c r="U43" i="3"/>
  <c r="R43" i="3"/>
  <c r="P43" i="3"/>
  <c r="P44" i="3" s="1"/>
  <c r="P45" i="3" s="1"/>
  <c r="N43" i="3"/>
  <c r="L43" i="3"/>
  <c r="AN42" i="3"/>
  <c r="AM42" i="3"/>
  <c r="AL42" i="3"/>
  <c r="AK42" i="3"/>
  <c r="AJ42" i="3"/>
  <c r="AI42" i="3"/>
  <c r="AH42" i="3"/>
  <c r="S42" i="3"/>
  <c r="S43" i="3" s="1"/>
  <c r="X43" i="3" s="1"/>
  <c r="R42" i="3"/>
  <c r="Q42" i="3"/>
  <c r="V42" i="3" s="1"/>
  <c r="L42" i="3"/>
  <c r="AN41" i="3"/>
  <c r="AM41" i="3"/>
  <c r="AL41" i="3"/>
  <c r="AK41" i="3"/>
  <c r="AJ41" i="3"/>
  <c r="AI41" i="3"/>
  <c r="AH41" i="3"/>
  <c r="X41" i="3"/>
  <c r="W41" i="3"/>
  <c r="V41" i="3"/>
  <c r="U41" i="3"/>
  <c r="S41" i="3"/>
  <c r="R41" i="3"/>
  <c r="Q41" i="3"/>
  <c r="P41" i="3"/>
  <c r="P42" i="3" s="1"/>
  <c r="N41" i="3"/>
  <c r="N42" i="3" s="1"/>
  <c r="M41" i="3"/>
  <c r="M42" i="3" s="1"/>
  <c r="K41" i="3"/>
  <c r="K43" i="3" s="1"/>
  <c r="AN40" i="3"/>
  <c r="AM40" i="3"/>
  <c r="AL40" i="3"/>
  <c r="AK40" i="3"/>
  <c r="AJ40" i="3"/>
  <c r="AI40" i="3"/>
  <c r="AH40" i="3"/>
  <c r="AN39" i="3"/>
  <c r="AM39" i="3"/>
  <c r="AL39" i="3"/>
  <c r="AK39" i="3"/>
  <c r="AJ39" i="3"/>
  <c r="AI39" i="3"/>
  <c r="AH39" i="3"/>
  <c r="AE39" i="3"/>
  <c r="I39" i="3"/>
  <c r="AN38" i="3"/>
  <c r="AM38" i="3"/>
  <c r="AL38" i="3"/>
  <c r="AK38" i="3"/>
  <c r="AJ38" i="3"/>
  <c r="AI38" i="3"/>
  <c r="AH38" i="3"/>
  <c r="N38" i="3"/>
  <c r="L38" i="3"/>
  <c r="AN37" i="3"/>
  <c r="AM37" i="3"/>
  <c r="AL37" i="3"/>
  <c r="AK37" i="3"/>
  <c r="AJ37" i="3"/>
  <c r="AI37" i="3"/>
  <c r="AH37" i="3"/>
  <c r="N37" i="3"/>
  <c r="L37" i="3"/>
  <c r="K37" i="3"/>
  <c r="AN36" i="3"/>
  <c r="AM36" i="3"/>
  <c r="AL36" i="3"/>
  <c r="AK36" i="3"/>
  <c r="AJ36" i="3"/>
  <c r="AI36" i="3"/>
  <c r="AH36" i="3"/>
  <c r="N36" i="3"/>
  <c r="M36" i="3"/>
  <c r="L36" i="3"/>
  <c r="AN35" i="3"/>
  <c r="AM35" i="3"/>
  <c r="AL35" i="3"/>
  <c r="AK35" i="3"/>
  <c r="AJ35" i="3"/>
  <c r="AI35" i="3"/>
  <c r="AH35" i="3"/>
  <c r="P35" i="3"/>
  <c r="N35" i="3"/>
  <c r="L35" i="3"/>
  <c r="AN34" i="3"/>
  <c r="AM34" i="3"/>
  <c r="AL34" i="3"/>
  <c r="AK34" i="3"/>
  <c r="AJ34" i="3"/>
  <c r="AI34" i="3"/>
  <c r="AH34" i="3"/>
  <c r="X34" i="3"/>
  <c r="S34" i="3"/>
  <c r="S35" i="3" s="1"/>
  <c r="R34" i="3"/>
  <c r="W34" i="3" s="1"/>
  <c r="Q34" i="3"/>
  <c r="V34" i="3" s="1"/>
  <c r="P34" i="3"/>
  <c r="U34" i="3" s="1"/>
  <c r="N34" i="3"/>
  <c r="M34" i="3"/>
  <c r="M38" i="3" s="1"/>
  <c r="K34" i="3"/>
  <c r="K36" i="3" s="1"/>
  <c r="AN33" i="3"/>
  <c r="AM33" i="3"/>
  <c r="AL33" i="3"/>
  <c r="AK33" i="3"/>
  <c r="AJ33" i="3"/>
  <c r="AI33" i="3"/>
  <c r="AH33" i="3"/>
  <c r="AN32" i="3"/>
  <c r="AM32" i="3"/>
  <c r="AL32" i="3"/>
  <c r="AK32" i="3"/>
  <c r="AJ32" i="3"/>
  <c r="AI32" i="3"/>
  <c r="AH32" i="3"/>
  <c r="AE32" i="3"/>
  <c r="M32" i="3"/>
  <c r="I32" i="3"/>
  <c r="AN31" i="3"/>
  <c r="AM31" i="3"/>
  <c r="AL31" i="3"/>
  <c r="AK31" i="3"/>
  <c r="AJ31" i="3"/>
  <c r="AI31" i="3"/>
  <c r="AH31" i="3"/>
  <c r="N31" i="3"/>
  <c r="M31" i="3"/>
  <c r="K31" i="3"/>
  <c r="AN30" i="3"/>
  <c r="AM30" i="3"/>
  <c r="AL30" i="3"/>
  <c r="AK30" i="3"/>
  <c r="AJ30" i="3"/>
  <c r="AI30" i="3"/>
  <c r="AH30" i="3"/>
  <c r="N30" i="3"/>
  <c r="M30" i="3"/>
  <c r="L30" i="3"/>
  <c r="AN29" i="3"/>
  <c r="AM29" i="3"/>
  <c r="AL29" i="3"/>
  <c r="AK29" i="3"/>
  <c r="AJ29" i="3"/>
  <c r="AI29" i="3"/>
  <c r="AH29" i="3"/>
  <c r="Q29" i="3"/>
  <c r="V29" i="3" s="1"/>
  <c r="P29" i="3"/>
  <c r="P30" i="3" s="1"/>
  <c r="N29" i="3"/>
  <c r="L29" i="3"/>
  <c r="AN28" i="3"/>
  <c r="AM28" i="3"/>
  <c r="AL28" i="3"/>
  <c r="AK28" i="3"/>
  <c r="AJ28" i="3"/>
  <c r="AI28" i="3"/>
  <c r="AH28" i="3"/>
  <c r="S28" i="3"/>
  <c r="S29" i="3" s="1"/>
  <c r="X29" i="3" s="1"/>
  <c r="R28" i="3"/>
  <c r="Q28" i="3"/>
  <c r="P28" i="3"/>
  <c r="N28" i="3"/>
  <c r="AN27" i="3"/>
  <c r="AM27" i="3"/>
  <c r="AL27" i="3"/>
  <c r="AK27" i="3"/>
  <c r="AJ27" i="3"/>
  <c r="AI27" i="3"/>
  <c r="AH27" i="3"/>
  <c r="W27" i="3"/>
  <c r="V27" i="3"/>
  <c r="S27" i="3"/>
  <c r="X27" i="3" s="1"/>
  <c r="R27" i="3"/>
  <c r="Q27" i="3"/>
  <c r="P27" i="3"/>
  <c r="N27" i="3"/>
  <c r="N32" i="3" s="1"/>
  <c r="T14" i="2" s="1"/>
  <c r="M27" i="3"/>
  <c r="M28" i="3" s="1"/>
  <c r="L27" i="3"/>
  <c r="L31" i="3" s="1"/>
  <c r="K27" i="3"/>
  <c r="K29" i="3" s="1"/>
  <c r="AN26" i="3"/>
  <c r="AM26" i="3"/>
  <c r="AL26" i="3"/>
  <c r="AK26" i="3"/>
  <c r="AJ26" i="3"/>
  <c r="AI26" i="3"/>
  <c r="AH26" i="3"/>
  <c r="AN25" i="3"/>
  <c r="AM25" i="3"/>
  <c r="AL25" i="3"/>
  <c r="AK25" i="3"/>
  <c r="AJ25" i="3"/>
  <c r="AI25" i="3"/>
  <c r="AH25" i="3"/>
  <c r="N25" i="3"/>
  <c r="I25" i="3"/>
  <c r="AN24" i="3"/>
  <c r="AM24" i="3"/>
  <c r="AL24" i="3"/>
  <c r="AK24" i="3"/>
  <c r="AJ24" i="3"/>
  <c r="AI24" i="3"/>
  <c r="AH24" i="3"/>
  <c r="N24" i="3"/>
  <c r="AN23" i="3"/>
  <c r="AM23" i="3"/>
  <c r="AL23" i="3"/>
  <c r="AK23" i="3"/>
  <c r="AJ23" i="3"/>
  <c r="AI23" i="3"/>
  <c r="AH23" i="3"/>
  <c r="N23" i="3"/>
  <c r="M23" i="3"/>
  <c r="AN22" i="3"/>
  <c r="AM22" i="3"/>
  <c r="AL22" i="3"/>
  <c r="AK22" i="3"/>
  <c r="AJ22" i="3"/>
  <c r="AI22" i="3"/>
  <c r="AH22" i="3"/>
  <c r="M22" i="3"/>
  <c r="AN21" i="3"/>
  <c r="AM21" i="3"/>
  <c r="AL21" i="3"/>
  <c r="AK21" i="3"/>
  <c r="AJ21" i="3"/>
  <c r="AI21" i="3"/>
  <c r="AH21" i="3"/>
  <c r="P21" i="3"/>
  <c r="P22" i="3" s="1"/>
  <c r="M21" i="3"/>
  <c r="AN20" i="3"/>
  <c r="AM20" i="3"/>
  <c r="AL20" i="3"/>
  <c r="AK20" i="3"/>
  <c r="AJ20" i="3"/>
  <c r="AI20" i="3"/>
  <c r="AH20" i="3"/>
  <c r="W20" i="3"/>
  <c r="S20" i="3"/>
  <c r="S21" i="3" s="1"/>
  <c r="R20" i="3"/>
  <c r="R21" i="3" s="1"/>
  <c r="Q20" i="3"/>
  <c r="V20" i="3" s="1"/>
  <c r="P20" i="3"/>
  <c r="N20" i="3"/>
  <c r="X20" i="3" s="1"/>
  <c r="M20" i="3"/>
  <c r="L20" i="3"/>
  <c r="L23" i="3" s="1"/>
  <c r="K20" i="3"/>
  <c r="K23" i="3" s="1"/>
  <c r="AN19" i="3"/>
  <c r="AM19" i="3"/>
  <c r="AL19" i="3"/>
  <c r="AK19" i="3"/>
  <c r="AJ19" i="3"/>
  <c r="AI19" i="3"/>
  <c r="AH19" i="3"/>
  <c r="AN18" i="3"/>
  <c r="AM18" i="3"/>
  <c r="AL18" i="3"/>
  <c r="AK18" i="3"/>
  <c r="AJ18" i="3"/>
  <c r="AI18" i="3"/>
  <c r="AH18" i="3"/>
  <c r="AE18" i="3"/>
  <c r="AN17" i="3"/>
  <c r="AM17" i="3"/>
  <c r="AL17" i="3"/>
  <c r="AK17" i="3"/>
  <c r="AJ17" i="3"/>
  <c r="AI17" i="3"/>
  <c r="AH17" i="3"/>
  <c r="AN16" i="3"/>
  <c r="AM16" i="3"/>
  <c r="AL16" i="3"/>
  <c r="AK16" i="3"/>
  <c r="AJ16" i="3"/>
  <c r="AI16" i="3"/>
  <c r="AH16" i="3"/>
  <c r="M16" i="3"/>
  <c r="K16" i="3"/>
  <c r="AN15" i="3"/>
  <c r="AM15" i="3"/>
  <c r="AL15" i="3"/>
  <c r="AK15" i="3"/>
  <c r="AJ15" i="3"/>
  <c r="AI15" i="3"/>
  <c r="AH15" i="3"/>
  <c r="N15" i="3"/>
  <c r="L15" i="3"/>
  <c r="K15" i="3"/>
  <c r="AN14" i="3"/>
  <c r="AM14" i="3"/>
  <c r="AL14" i="3"/>
  <c r="AK14" i="3"/>
  <c r="AJ14" i="3"/>
  <c r="AI14" i="3"/>
  <c r="AH14" i="3"/>
  <c r="N14" i="3"/>
  <c r="M14" i="3"/>
  <c r="L14" i="3"/>
  <c r="K14" i="3"/>
  <c r="AN13" i="3"/>
  <c r="AM13" i="3"/>
  <c r="AL13" i="3"/>
  <c r="AK13" i="3"/>
  <c r="AJ13" i="3"/>
  <c r="AI13" i="3"/>
  <c r="AH13" i="3"/>
  <c r="X13" i="3"/>
  <c r="S13" i="3"/>
  <c r="S14" i="3" s="1"/>
  <c r="R13" i="3"/>
  <c r="W13" i="3" s="1"/>
  <c r="Q13" i="3"/>
  <c r="V13" i="3" s="1"/>
  <c r="P13" i="3"/>
  <c r="U13" i="3" s="1"/>
  <c r="N13" i="3"/>
  <c r="N17" i="3" s="1"/>
  <c r="M13" i="3"/>
  <c r="M17" i="3" s="1"/>
  <c r="L13" i="3"/>
  <c r="L17" i="3" s="1"/>
  <c r="K13" i="3"/>
  <c r="K17" i="3" s="1"/>
  <c r="AN12" i="3"/>
  <c r="AM12" i="3"/>
  <c r="AL12" i="3"/>
  <c r="AK12" i="3"/>
  <c r="AJ12" i="3"/>
  <c r="AI12" i="3"/>
  <c r="AH12" i="3"/>
  <c r="AN11" i="3"/>
  <c r="AM11" i="3"/>
  <c r="AL11" i="3"/>
  <c r="AK11" i="3"/>
  <c r="AJ11" i="3"/>
  <c r="AI11" i="3"/>
  <c r="AH11" i="3"/>
  <c r="AE11" i="3"/>
  <c r="K11" i="3"/>
  <c r="I11" i="3"/>
  <c r="AN10" i="3"/>
  <c r="AM10" i="3"/>
  <c r="AL10" i="3"/>
  <c r="AK10" i="3"/>
  <c r="AJ10" i="3"/>
  <c r="AI10" i="3"/>
  <c r="AH10" i="3"/>
  <c r="N10" i="3"/>
  <c r="L10" i="3"/>
  <c r="K10" i="3"/>
  <c r="I10" i="3"/>
  <c r="AN9" i="3"/>
  <c r="AM9" i="3"/>
  <c r="AL9" i="3"/>
  <c r="AK9" i="3"/>
  <c r="AJ9" i="3"/>
  <c r="AI9" i="3"/>
  <c r="AH9" i="3"/>
  <c r="Q9" i="3"/>
  <c r="Q10" i="3" s="1"/>
  <c r="N9" i="3"/>
  <c r="K9" i="3"/>
  <c r="I9" i="3"/>
  <c r="AN8" i="3"/>
  <c r="AM8" i="3"/>
  <c r="AL8" i="3"/>
  <c r="AK8" i="3"/>
  <c r="AJ8" i="3"/>
  <c r="AI8" i="3"/>
  <c r="AH8" i="3"/>
  <c r="Q8" i="3"/>
  <c r="N8" i="3"/>
  <c r="M8" i="3"/>
  <c r="K8" i="3"/>
  <c r="I8" i="3"/>
  <c r="AN7" i="3"/>
  <c r="AM7" i="3"/>
  <c r="AL7" i="3"/>
  <c r="AL400" i="3" s="1"/>
  <c r="AL404" i="3" s="1"/>
  <c r="AK7" i="3"/>
  <c r="AJ7" i="3"/>
  <c r="AI7" i="3"/>
  <c r="AH7" i="3"/>
  <c r="R7" i="3"/>
  <c r="R8" i="3" s="1"/>
  <c r="Q7" i="3"/>
  <c r="P7" i="3"/>
  <c r="P8" i="3" s="1"/>
  <c r="N7" i="3"/>
  <c r="N11" i="3" s="1"/>
  <c r="M7" i="3"/>
  <c r="M9" i="3" s="1"/>
  <c r="L7" i="3"/>
  <c r="L9" i="3" s="1"/>
  <c r="I7" i="3"/>
  <c r="S7" i="3" s="1"/>
  <c r="AJ6" i="3"/>
  <c r="AI6" i="3"/>
  <c r="AH6" i="3"/>
  <c r="S6" i="3"/>
  <c r="R6" i="3"/>
  <c r="Q6" i="3"/>
  <c r="P6" i="3"/>
  <c r="I6" i="3"/>
  <c r="AI5" i="3"/>
  <c r="AH5" i="3"/>
  <c r="P5" i="3"/>
  <c r="O5" i="3"/>
  <c r="N5" i="3"/>
  <c r="M5" i="3"/>
  <c r="L5" i="3"/>
  <c r="K5" i="3"/>
  <c r="O4" i="3"/>
  <c r="D32" i="2"/>
  <c r="D31" i="2"/>
  <c r="X29" i="2"/>
  <c r="V29" i="2"/>
  <c r="T29" i="2"/>
  <c r="D29" i="2"/>
  <c r="V28" i="2"/>
  <c r="T28" i="2"/>
  <c r="D28" i="2"/>
  <c r="T27" i="2"/>
  <c r="U27" i="2" s="1"/>
  <c r="S27" i="2"/>
  <c r="D27" i="2"/>
  <c r="X26" i="2"/>
  <c r="S26" i="2"/>
  <c r="D26" i="2"/>
  <c r="T25" i="2"/>
  <c r="D25" i="2"/>
  <c r="D24" i="2"/>
  <c r="T23" i="2"/>
  <c r="F23" i="2"/>
  <c r="D23" i="2"/>
  <c r="L22" i="2"/>
  <c r="T21" i="2"/>
  <c r="L21" i="2"/>
  <c r="D21" i="2"/>
  <c r="T20" i="2"/>
  <c r="L20" i="2"/>
  <c r="T19" i="2"/>
  <c r="L19" i="2"/>
  <c r="D19" i="2"/>
  <c r="T18" i="2"/>
  <c r="S18" i="2"/>
  <c r="U18" i="2" s="1"/>
  <c r="L18" i="2"/>
  <c r="D18" i="2"/>
  <c r="T17" i="2"/>
  <c r="L17" i="2"/>
  <c r="D17" i="2"/>
  <c r="AF16" i="2"/>
  <c r="AE16" i="2"/>
  <c r="AB16" i="2"/>
  <c r="AA16" i="2"/>
  <c r="AB15" i="2"/>
  <c r="T15" i="2"/>
  <c r="L15" i="2"/>
  <c r="D15" i="2"/>
  <c r="AF14" i="2"/>
  <c r="AE14" i="2"/>
  <c r="AB14" i="2"/>
  <c r="AA14" i="2"/>
  <c r="L14" i="2"/>
  <c r="D14" i="2"/>
  <c r="L13" i="2"/>
  <c r="AF12" i="2"/>
  <c r="AE12" i="2"/>
  <c r="AB12" i="2"/>
  <c r="AA12" i="2"/>
  <c r="T12" i="2"/>
  <c r="D12" i="2"/>
  <c r="D11" i="2"/>
  <c r="T10" i="2"/>
  <c r="L10" i="2"/>
  <c r="D10" i="2"/>
  <c r="R9" i="3" l="1"/>
  <c r="W8" i="3"/>
  <c r="P23" i="3"/>
  <c r="V116" i="3"/>
  <c r="Q117" i="3"/>
  <c r="X14" i="3"/>
  <c r="S15" i="3"/>
  <c r="P9" i="3"/>
  <c r="U8" i="3"/>
  <c r="L411" i="3"/>
  <c r="S36" i="3"/>
  <c r="X35" i="3"/>
  <c r="R22" i="3"/>
  <c r="W21" i="3"/>
  <c r="W28" i="3"/>
  <c r="U45" i="3"/>
  <c r="P46" i="3"/>
  <c r="U46" i="3" s="1"/>
  <c r="X23" i="2" s="1"/>
  <c r="Q11" i="3"/>
  <c r="V10" i="3"/>
  <c r="S22" i="3"/>
  <c r="S8" i="3"/>
  <c r="X7" i="3"/>
  <c r="D13" i="2"/>
  <c r="Q52" i="3"/>
  <c r="V51" i="3"/>
  <c r="S92" i="3"/>
  <c r="V115" i="3"/>
  <c r="W175" i="3"/>
  <c r="R176" i="3"/>
  <c r="M191" i="3"/>
  <c r="M190" i="3"/>
  <c r="M192" i="3"/>
  <c r="M189" i="3"/>
  <c r="P196" i="3"/>
  <c r="U195" i="3"/>
  <c r="L268" i="3"/>
  <c r="L267" i="3"/>
  <c r="V264" i="3"/>
  <c r="L266" i="3"/>
  <c r="AI400" i="3"/>
  <c r="AI404" i="3" s="1"/>
  <c r="M10" i="3"/>
  <c r="U27" i="3"/>
  <c r="M29" i="3"/>
  <c r="K30" i="3"/>
  <c r="U30" i="3" s="1"/>
  <c r="W42" i="3"/>
  <c r="Q43" i="3"/>
  <c r="K52" i="3"/>
  <c r="W105" i="3"/>
  <c r="R106" i="3"/>
  <c r="V137" i="3"/>
  <c r="Q138" i="3"/>
  <c r="AH400" i="3"/>
  <c r="AH404" i="3" s="1"/>
  <c r="W91" i="3"/>
  <c r="R92" i="3"/>
  <c r="AJ400" i="3"/>
  <c r="AJ404" i="3" s="1"/>
  <c r="AK400" i="3"/>
  <c r="AK404" i="3" s="1"/>
  <c r="M35" i="3"/>
  <c r="R50" i="3"/>
  <c r="W49" i="3"/>
  <c r="P50" i="3"/>
  <c r="P56" i="3"/>
  <c r="X104" i="3"/>
  <c r="S105" i="3"/>
  <c r="S117" i="3"/>
  <c r="X117" i="3" s="1"/>
  <c r="X137" i="3"/>
  <c r="S138" i="3"/>
  <c r="X138" i="3" s="1"/>
  <c r="AN400" i="3"/>
  <c r="AN404" i="3" s="1"/>
  <c r="P14" i="3"/>
  <c r="R29" i="3"/>
  <c r="Q30" i="3"/>
  <c r="K32" i="3"/>
  <c r="Q35" i="3"/>
  <c r="P36" i="3"/>
  <c r="X42" i="3"/>
  <c r="V50" i="3"/>
  <c r="S56" i="3"/>
  <c r="Q57" i="3"/>
  <c r="S85" i="3"/>
  <c r="S139" i="3"/>
  <c r="X139" i="3" s="1"/>
  <c r="M146" i="3"/>
  <c r="M145" i="3"/>
  <c r="M143" i="3"/>
  <c r="M144" i="3" s="1"/>
  <c r="M37" i="3"/>
  <c r="M11" i="3"/>
  <c r="Q14" i="3"/>
  <c r="M15" i="3"/>
  <c r="U29" i="3"/>
  <c r="P31" i="3"/>
  <c r="L32" i="3"/>
  <c r="R35" i="3"/>
  <c r="R45" i="3"/>
  <c r="N53" i="3"/>
  <c r="D16" i="2" s="1"/>
  <c r="R57" i="3"/>
  <c r="K68" i="3"/>
  <c r="K66" i="3"/>
  <c r="K64" i="3"/>
  <c r="U76" i="3"/>
  <c r="P77" i="3"/>
  <c r="S259" i="3"/>
  <c r="X258" i="3"/>
  <c r="P165" i="3"/>
  <c r="U165" i="3" s="1"/>
  <c r="X13" i="2" s="1"/>
  <c r="U164" i="3"/>
  <c r="R14" i="3"/>
  <c r="K21" i="3"/>
  <c r="U21" i="3" s="1"/>
  <c r="X28" i="3"/>
  <c r="S30" i="3"/>
  <c r="S45" i="3"/>
  <c r="L67" i="3"/>
  <c r="L66" i="3"/>
  <c r="L65" i="3"/>
  <c r="V76" i="3"/>
  <c r="N124" i="3"/>
  <c r="N125" i="3" s="1"/>
  <c r="T26" i="2" s="1"/>
  <c r="U26" i="2" s="1"/>
  <c r="AE125" i="3"/>
  <c r="N123" i="3"/>
  <c r="X123" i="3" s="1"/>
  <c r="N122" i="3"/>
  <c r="X122" i="3" s="1"/>
  <c r="U121" i="3"/>
  <c r="X125" i="3"/>
  <c r="K138" i="3"/>
  <c r="K139" i="3" s="1"/>
  <c r="K137" i="3"/>
  <c r="U134" i="3"/>
  <c r="K136" i="3"/>
  <c r="K135" i="3"/>
  <c r="P143" i="3"/>
  <c r="U142" i="3"/>
  <c r="V159" i="3"/>
  <c r="Q165" i="3"/>
  <c r="V165" i="3" s="1"/>
  <c r="W13" i="2" s="1"/>
  <c r="R204" i="3"/>
  <c r="W203" i="3"/>
  <c r="Q252" i="3"/>
  <c r="K405" i="3"/>
  <c r="L80" i="3"/>
  <c r="L79" i="3"/>
  <c r="L78" i="3"/>
  <c r="L8" i="3"/>
  <c r="V8" i="3" s="1"/>
  <c r="L16" i="3"/>
  <c r="L21" i="3"/>
  <c r="I411" i="3"/>
  <c r="M67" i="3"/>
  <c r="M66" i="3"/>
  <c r="M65" i="3"/>
  <c r="W65" i="3" s="1"/>
  <c r="W76" i="3"/>
  <c r="R77" i="3"/>
  <c r="V121" i="3"/>
  <c r="Q142" i="3"/>
  <c r="V141" i="3"/>
  <c r="L11" i="3"/>
  <c r="R142" i="3"/>
  <c r="W141" i="3"/>
  <c r="R165" i="3"/>
  <c r="W165" i="3" s="1"/>
  <c r="V13" i="2" s="1"/>
  <c r="W164" i="3"/>
  <c r="K80" i="3"/>
  <c r="K79" i="3"/>
  <c r="K77" i="3"/>
  <c r="AM400" i="3"/>
  <c r="AM404" i="3" s="1"/>
  <c r="N16" i="3"/>
  <c r="N21" i="3"/>
  <c r="X21" i="3" s="1"/>
  <c r="K22" i="3"/>
  <c r="U22" i="3" s="1"/>
  <c r="AE25" i="3"/>
  <c r="AE400" i="3" s="1"/>
  <c r="P63" i="3"/>
  <c r="P72" i="3"/>
  <c r="U71" i="3"/>
  <c r="U92" i="3"/>
  <c r="P93" i="3"/>
  <c r="P100" i="3"/>
  <c r="W125" i="3"/>
  <c r="V26" i="2" s="1"/>
  <c r="U172" i="3"/>
  <c r="X27" i="2" s="1"/>
  <c r="P244" i="3"/>
  <c r="U299" i="3"/>
  <c r="P300" i="3"/>
  <c r="Q306" i="3"/>
  <c r="V9" i="3"/>
  <c r="I405" i="3"/>
  <c r="I400" i="3"/>
  <c r="U7" i="3"/>
  <c r="L22" i="3"/>
  <c r="W62" i="3"/>
  <c r="V63" i="3"/>
  <c r="Q64" i="3"/>
  <c r="V72" i="3"/>
  <c r="Q73" i="3"/>
  <c r="W100" i="3"/>
  <c r="R101" i="3"/>
  <c r="L108" i="3"/>
  <c r="L107" i="3"/>
  <c r="L106" i="3"/>
  <c r="X120" i="3"/>
  <c r="V129" i="3"/>
  <c r="Q130" i="3"/>
  <c r="U135" i="3"/>
  <c r="P136" i="3"/>
  <c r="L159" i="3"/>
  <c r="L160" i="3" s="1"/>
  <c r="L158" i="3"/>
  <c r="L157" i="3"/>
  <c r="V157" i="3" s="1"/>
  <c r="L156" i="3"/>
  <c r="V156" i="3" s="1"/>
  <c r="R86" i="3"/>
  <c r="S165" i="3"/>
  <c r="X164" i="3"/>
  <c r="W187" i="3"/>
  <c r="U20" i="3"/>
  <c r="Q21" i="3"/>
  <c r="K28" i="3"/>
  <c r="U28" i="3" s="1"/>
  <c r="S62" i="3"/>
  <c r="W64" i="3"/>
  <c r="R72" i="3"/>
  <c r="W71" i="3"/>
  <c r="K78" i="3"/>
  <c r="W116" i="3"/>
  <c r="R117" i="3"/>
  <c r="V209" i="3"/>
  <c r="Q210" i="3"/>
  <c r="V7" i="3"/>
  <c r="W7" i="3"/>
  <c r="N22" i="3"/>
  <c r="L28" i="3"/>
  <c r="V28" i="3" s="1"/>
  <c r="K42" i="3"/>
  <c r="U42" i="3" s="1"/>
  <c r="S50" i="3"/>
  <c r="AE53" i="3"/>
  <c r="W63" i="3"/>
  <c r="R66" i="3"/>
  <c r="S71" i="3"/>
  <c r="N95" i="3"/>
  <c r="N94" i="3"/>
  <c r="AE95" i="3"/>
  <c r="N93" i="3"/>
  <c r="N92" i="3"/>
  <c r="N91" i="3"/>
  <c r="X91" i="3" s="1"/>
  <c r="V100" i="3"/>
  <c r="Q101" i="3"/>
  <c r="N108" i="3"/>
  <c r="T11" i="2" s="1"/>
  <c r="N107" i="3"/>
  <c r="AE108" i="3"/>
  <c r="N106" i="3"/>
  <c r="U129" i="3"/>
  <c r="P130" i="3"/>
  <c r="U171" i="3"/>
  <c r="S188" i="3"/>
  <c r="X188" i="3" s="1"/>
  <c r="V187" i="3"/>
  <c r="Q188" i="3"/>
  <c r="M43" i="3"/>
  <c r="W43" i="3" s="1"/>
  <c r="K44" i="3"/>
  <c r="U44" i="3" s="1"/>
  <c r="V62" i="3"/>
  <c r="U91" i="3"/>
  <c r="S99" i="3"/>
  <c r="Q105" i="3"/>
  <c r="W115" i="3"/>
  <c r="W128" i="3"/>
  <c r="R129" i="3"/>
  <c r="V155" i="3"/>
  <c r="Q171" i="3"/>
  <c r="Q184" i="3"/>
  <c r="V183" i="3"/>
  <c r="V272" i="3"/>
  <c r="Q273" i="3"/>
  <c r="X77" i="3"/>
  <c r="L146" i="3"/>
  <c r="L145" i="3"/>
  <c r="L144" i="3"/>
  <c r="L143" i="3"/>
  <c r="K35" i="3"/>
  <c r="U35" i="3" s="1"/>
  <c r="K38" i="3"/>
  <c r="N56" i="3"/>
  <c r="N59" i="3"/>
  <c r="Q91" i="3"/>
  <c r="S143" i="3"/>
  <c r="W172" i="3"/>
  <c r="V27" i="2" s="1"/>
  <c r="S189" i="3"/>
  <c r="V196" i="3"/>
  <c r="Q197" i="3"/>
  <c r="K204" i="3"/>
  <c r="K203" i="3"/>
  <c r="U201" i="3"/>
  <c r="K206" i="3"/>
  <c r="K407" i="3" s="1"/>
  <c r="K202" i="3"/>
  <c r="U202" i="3" s="1"/>
  <c r="K205" i="3"/>
  <c r="Q219" i="3"/>
  <c r="V219" i="3" s="1"/>
  <c r="G32" i="2" s="1"/>
  <c r="V298" i="3"/>
  <c r="Q299" i="3"/>
  <c r="S375" i="3"/>
  <c r="N68" i="3"/>
  <c r="L73" i="3"/>
  <c r="L92" i="3"/>
  <c r="N100" i="3"/>
  <c r="AE102" i="3"/>
  <c r="X111" i="3"/>
  <c r="L130" i="3"/>
  <c r="U170" i="3"/>
  <c r="P191" i="3"/>
  <c r="U190" i="3"/>
  <c r="L195" i="3"/>
  <c r="L198" i="3"/>
  <c r="L199" i="3" s="1"/>
  <c r="L197" i="3"/>
  <c r="V194" i="3"/>
  <c r="W217" i="3"/>
  <c r="R218" i="3"/>
  <c r="R243" i="3"/>
  <c r="W242" i="3"/>
  <c r="S242" i="3"/>
  <c r="X242" i="3" s="1"/>
  <c r="U271" i="3"/>
  <c r="P272" i="3"/>
  <c r="Q293" i="3"/>
  <c r="V292" i="3"/>
  <c r="W299" i="3"/>
  <c r="R300" i="3"/>
  <c r="Q327" i="3"/>
  <c r="V326" i="3"/>
  <c r="K93" i="3"/>
  <c r="M101" i="3"/>
  <c r="P105" i="3"/>
  <c r="L122" i="3"/>
  <c r="N130" i="3"/>
  <c r="K131" i="3"/>
  <c r="AE132" i="3"/>
  <c r="W181" i="3"/>
  <c r="N191" i="3"/>
  <c r="N190" i="3"/>
  <c r="N189" i="3"/>
  <c r="V195" i="3"/>
  <c r="U264" i="3"/>
  <c r="P265" i="3"/>
  <c r="R272" i="3"/>
  <c r="W271" i="3"/>
  <c r="X364" i="3"/>
  <c r="S365" i="3"/>
  <c r="L152" i="3"/>
  <c r="L153" i="3" s="1"/>
  <c r="L150" i="3"/>
  <c r="V150" i="3" s="1"/>
  <c r="Q203" i="3"/>
  <c r="N230" i="3"/>
  <c r="N234" i="3"/>
  <c r="L11" i="2" s="1"/>
  <c r="N233" i="3"/>
  <c r="N232" i="3"/>
  <c r="AE234" i="3"/>
  <c r="N231" i="3"/>
  <c r="X270" i="3"/>
  <c r="S271" i="3"/>
  <c r="R293" i="3"/>
  <c r="W292" i="3"/>
  <c r="L74" i="3"/>
  <c r="M131" i="3"/>
  <c r="N143" i="3"/>
  <c r="L149" i="3"/>
  <c r="L151" i="3"/>
  <c r="K177" i="3"/>
  <c r="K178" i="3"/>
  <c r="K179" i="3" s="1"/>
  <c r="X210" i="3"/>
  <c r="S211" i="3"/>
  <c r="S219" i="3"/>
  <c r="X228" i="3"/>
  <c r="S229" i="3"/>
  <c r="U230" i="3"/>
  <c r="Q245" i="3"/>
  <c r="V244" i="3"/>
  <c r="S286" i="3"/>
  <c r="Q77" i="3"/>
  <c r="AE81" i="3"/>
  <c r="K94" i="3"/>
  <c r="L102" i="3"/>
  <c r="AE112" i="3"/>
  <c r="L123" i="3"/>
  <c r="N131" i="3"/>
  <c r="L135" i="3"/>
  <c r="V135" i="3" s="1"/>
  <c r="K144" i="3"/>
  <c r="U149" i="3"/>
  <c r="K152" i="3"/>
  <c r="K153" i="3" s="1"/>
  <c r="P156" i="3"/>
  <c r="Q160" i="3"/>
  <c r="V160" i="3" s="1"/>
  <c r="G29" i="2" s="1"/>
  <c r="N178" i="3"/>
  <c r="N179" i="3" s="1"/>
  <c r="D30" i="2" s="1"/>
  <c r="R188" i="3"/>
  <c r="W194" i="3"/>
  <c r="R195" i="3"/>
  <c r="N65" i="3"/>
  <c r="N78" i="3"/>
  <c r="M102" i="3"/>
  <c r="L111" i="3"/>
  <c r="Q122" i="3"/>
  <c r="M123" i="3"/>
  <c r="W123" i="3" s="1"/>
  <c r="S130" i="3"/>
  <c r="M135" i="3"/>
  <c r="X171" i="3"/>
  <c r="K176" i="3"/>
  <c r="X195" i="3"/>
  <c r="S196" i="3"/>
  <c r="Q230" i="3"/>
  <c r="V229" i="3"/>
  <c r="L240" i="3"/>
  <c r="V236" i="3"/>
  <c r="L239" i="3"/>
  <c r="L238" i="3"/>
  <c r="P251" i="3"/>
  <c r="Q259" i="3"/>
  <c r="V258" i="3"/>
  <c r="S278" i="3"/>
  <c r="L289" i="3"/>
  <c r="L287" i="3"/>
  <c r="L286" i="3"/>
  <c r="L288" i="3"/>
  <c r="N102" i="3"/>
  <c r="T24" i="2" s="1"/>
  <c r="L132" i="3"/>
  <c r="Q151" i="3"/>
  <c r="W156" i="3"/>
  <c r="K168" i="3"/>
  <c r="U168" i="3" s="1"/>
  <c r="Q178" i="3"/>
  <c r="W228" i="3"/>
  <c r="R229" i="3"/>
  <c r="W237" i="3"/>
  <c r="R238" i="3"/>
  <c r="K279" i="3"/>
  <c r="U279" i="3" s="1"/>
  <c r="K282" i="3"/>
  <c r="K281" i="3"/>
  <c r="P280" i="3"/>
  <c r="X304" i="3"/>
  <c r="S305" i="3"/>
  <c r="L98" i="3"/>
  <c r="V98" i="3" s="1"/>
  <c r="M115" i="3"/>
  <c r="M132" i="3"/>
  <c r="M407" i="3" s="1"/>
  <c r="L136" i="3"/>
  <c r="V136" i="3" s="1"/>
  <c r="R149" i="3"/>
  <c r="U150" i="3"/>
  <c r="P152" i="3"/>
  <c r="S156" i="3"/>
  <c r="R157" i="3"/>
  <c r="V158" i="3"/>
  <c r="M178" i="3"/>
  <c r="M179" i="3" s="1"/>
  <c r="M177" i="3"/>
  <c r="M176" i="3"/>
  <c r="L185" i="3"/>
  <c r="X194" i="3"/>
  <c r="S243" i="3"/>
  <c r="R250" i="3"/>
  <c r="W249" i="3"/>
  <c r="P328" i="3"/>
  <c r="U327" i="3"/>
  <c r="P84" i="3"/>
  <c r="P111" i="3"/>
  <c r="N115" i="3"/>
  <c r="X115" i="3" s="1"/>
  <c r="M136" i="3"/>
  <c r="K145" i="3"/>
  <c r="S151" i="3"/>
  <c r="S177" i="3"/>
  <c r="R259" i="3"/>
  <c r="W258" i="3"/>
  <c r="S327" i="3"/>
  <c r="X326" i="3"/>
  <c r="S78" i="3"/>
  <c r="Q84" i="3"/>
  <c r="L95" i="3"/>
  <c r="N98" i="3"/>
  <c r="X98" i="3" s="1"/>
  <c r="Q111" i="3"/>
  <c r="P115" i="3"/>
  <c r="L128" i="3"/>
  <c r="V128" i="3" s="1"/>
  <c r="R135" i="3"/>
  <c r="V149" i="3"/>
  <c r="K169" i="3"/>
  <c r="U169" i="3" s="1"/>
  <c r="U174" i="3"/>
  <c r="P175" i="3"/>
  <c r="N175" i="3"/>
  <c r="X175" i="3" s="1"/>
  <c r="K184" i="3"/>
  <c r="K185" i="3"/>
  <c r="L192" i="3"/>
  <c r="X236" i="3"/>
  <c r="S237" i="3"/>
  <c r="R287" i="3"/>
  <c r="X149" i="3"/>
  <c r="K164" i="3"/>
  <c r="S203" i="3"/>
  <c r="P219" i="3"/>
  <c r="U219" i="3" s="1"/>
  <c r="H32" i="2" s="1"/>
  <c r="U218" i="3"/>
  <c r="Q222" i="3"/>
  <c r="P231" i="3"/>
  <c r="U237" i="3"/>
  <c r="P238" i="3"/>
  <c r="R280" i="3"/>
  <c r="W279" i="3"/>
  <c r="N312" i="3"/>
  <c r="X312" i="3" s="1"/>
  <c r="U312" i="3"/>
  <c r="N116" i="3"/>
  <c r="X116" i="3" s="1"/>
  <c r="L164" i="3"/>
  <c r="V164" i="3" s="1"/>
  <c r="L163" i="3"/>
  <c r="V163" i="3" s="1"/>
  <c r="L218" i="3"/>
  <c r="L219" i="3" s="1"/>
  <c r="L217" i="3"/>
  <c r="V217" i="3" s="1"/>
  <c r="V216" i="3"/>
  <c r="V237" i="3"/>
  <c r="Q238" i="3"/>
  <c r="Q279" i="3"/>
  <c r="V278" i="3"/>
  <c r="U278" i="3"/>
  <c r="V285" i="3"/>
  <c r="Q286" i="3"/>
  <c r="U167" i="3"/>
  <c r="X174" i="3"/>
  <c r="S181" i="3"/>
  <c r="P182" i="3"/>
  <c r="R183" i="3"/>
  <c r="P205" i="3"/>
  <c r="U204" i="3"/>
  <c r="K381" i="3"/>
  <c r="K384" i="3"/>
  <c r="K383" i="3"/>
  <c r="U380" i="3"/>
  <c r="K382" i="3"/>
  <c r="K385" i="3"/>
  <c r="L222" i="3"/>
  <c r="K232" i="3"/>
  <c r="K245" i="3"/>
  <c r="K252" i="3"/>
  <c r="L274" i="3"/>
  <c r="L275" i="3" s="1"/>
  <c r="N289" i="3"/>
  <c r="D20" i="2" s="1"/>
  <c r="P305" i="3"/>
  <c r="K313" i="3"/>
  <c r="N313" i="3" s="1"/>
  <c r="X313" i="3" s="1"/>
  <c r="X340" i="3"/>
  <c r="X346" i="3"/>
  <c r="S347" i="3"/>
  <c r="N204" i="3"/>
  <c r="N222" i="3"/>
  <c r="N223" i="3" s="1"/>
  <c r="M245" i="3"/>
  <c r="M252" i="3"/>
  <c r="L261" i="3"/>
  <c r="L280" i="3"/>
  <c r="L295" i="3"/>
  <c r="W307" i="3"/>
  <c r="P334" i="3"/>
  <c r="U333" i="3"/>
  <c r="S335" i="3"/>
  <c r="V340" i="3"/>
  <c r="Q341" i="3"/>
  <c r="V346" i="3"/>
  <c r="Q347" i="3"/>
  <c r="Q376" i="3"/>
  <c r="U203" i="3"/>
  <c r="AE206" i="3"/>
  <c r="P209" i="3"/>
  <c r="K233" i="3"/>
  <c r="N245" i="3"/>
  <c r="I409" i="3"/>
  <c r="M261" i="3"/>
  <c r="W278" i="3"/>
  <c r="K286" i="3"/>
  <c r="M295" i="3"/>
  <c r="L301" i="3"/>
  <c r="W304" i="3"/>
  <c r="W306" i="3"/>
  <c r="Q334" i="3"/>
  <c r="V333" i="3"/>
  <c r="X368" i="3"/>
  <c r="S369" i="3"/>
  <c r="W369" i="3"/>
  <c r="R370" i="3"/>
  <c r="K246" i="3"/>
  <c r="K253" i="3"/>
  <c r="K314" i="3"/>
  <c r="U311" i="3"/>
  <c r="Q314" i="3"/>
  <c r="V313" i="3"/>
  <c r="R334" i="3"/>
  <c r="W333" i="3"/>
  <c r="R209" i="3"/>
  <c r="L246" i="3"/>
  <c r="L253" i="3"/>
  <c r="K262" i="3"/>
  <c r="M286" i="3"/>
  <c r="W286" i="3" s="1"/>
  <c r="Q321" i="3"/>
  <c r="V368" i="3"/>
  <c r="Q369" i="3"/>
  <c r="N205" i="3"/>
  <c r="S222" i="3"/>
  <c r="P223" i="3"/>
  <c r="L224" i="3"/>
  <c r="K234" i="3"/>
  <c r="M246" i="3"/>
  <c r="M253" i="3"/>
  <c r="L262" i="3"/>
  <c r="R265" i="3"/>
  <c r="N266" i="3"/>
  <c r="AE268" i="3"/>
  <c r="L281" i="3"/>
  <c r="L296" i="3"/>
  <c r="N311" i="3"/>
  <c r="AE316" i="3" s="1"/>
  <c r="S343" i="3"/>
  <c r="X342" i="3"/>
  <c r="L355" i="3"/>
  <c r="L357" i="3"/>
  <c r="L358" i="3" s="1"/>
  <c r="L356" i="3"/>
  <c r="V353" i="3"/>
  <c r="X388" i="3"/>
  <c r="S389" i="3"/>
  <c r="M198" i="3"/>
  <c r="M199" i="3" s="1"/>
  <c r="N246" i="3"/>
  <c r="N253" i="3"/>
  <c r="S265" i="3"/>
  <c r="L271" i="3"/>
  <c r="V271" i="3" s="1"/>
  <c r="P286" i="3"/>
  <c r="S300" i="3"/>
  <c r="V354" i="3"/>
  <c r="U375" i="3"/>
  <c r="P376" i="3"/>
  <c r="Q390" i="3"/>
  <c r="U398" i="3"/>
  <c r="X17" i="2" s="1"/>
  <c r="L202" i="3"/>
  <c r="V202" i="3" s="1"/>
  <c r="L206" i="3"/>
  <c r="R223" i="3"/>
  <c r="N224" i="3"/>
  <c r="K225" i="3"/>
  <c r="AE226" i="3"/>
  <c r="M234" i="3"/>
  <c r="M411" i="3" s="1"/>
  <c r="K243" i="3"/>
  <c r="U243" i="3" s="1"/>
  <c r="K247" i="3"/>
  <c r="K250" i="3"/>
  <c r="U250" i="3" s="1"/>
  <c r="K254" i="3"/>
  <c r="Q266" i="3"/>
  <c r="M267" i="3"/>
  <c r="M287" i="3"/>
  <c r="W319" i="3"/>
  <c r="R320" i="3"/>
  <c r="P354" i="3"/>
  <c r="U353" i="3"/>
  <c r="U374" i="3"/>
  <c r="S398" i="3"/>
  <c r="X397" i="3"/>
  <c r="L212" i="3"/>
  <c r="L225" i="3"/>
  <c r="L243" i="3"/>
  <c r="V243" i="3" s="1"/>
  <c r="L247" i="3"/>
  <c r="L250" i="3"/>
  <c r="V250" i="3" s="1"/>
  <c r="L254" i="3"/>
  <c r="AE255" i="3"/>
  <c r="P258" i="3"/>
  <c r="K259" i="3"/>
  <c r="N267" i="3"/>
  <c r="K272" i="3"/>
  <c r="N287" i="3"/>
  <c r="K288" i="3"/>
  <c r="AE289" i="3"/>
  <c r="P292" i="3"/>
  <c r="V319" i="3"/>
  <c r="X320" i="3"/>
  <c r="S321" i="3"/>
  <c r="R398" i="3"/>
  <c r="W397" i="3"/>
  <c r="N225" i="3"/>
  <c r="N243" i="3"/>
  <c r="N247" i="3"/>
  <c r="L12" i="2" s="1"/>
  <c r="S249" i="3"/>
  <c r="L308" i="3"/>
  <c r="L309" i="3" s="1"/>
  <c r="W171" i="3"/>
  <c r="V201" i="3"/>
  <c r="U242" i="3"/>
  <c r="U249" i="3"/>
  <c r="K251" i="3"/>
  <c r="K308" i="3"/>
  <c r="K309" i="3" s="1"/>
  <c r="K307" i="3"/>
  <c r="K305" i="3"/>
  <c r="K306" i="3"/>
  <c r="L307" i="3"/>
  <c r="S316" i="3"/>
  <c r="X315" i="3"/>
  <c r="R327" i="3"/>
  <c r="W326" i="3"/>
  <c r="V242" i="3"/>
  <c r="V249" i="3"/>
  <c r="L251" i="3"/>
  <c r="V251" i="3" s="1"/>
  <c r="L305" i="3"/>
  <c r="V305" i="3" s="1"/>
  <c r="U381" i="3"/>
  <c r="X1010" i="5"/>
  <c r="M251" i="3"/>
  <c r="L334" i="3"/>
  <c r="L336" i="3"/>
  <c r="L335" i="3"/>
  <c r="L337" i="3"/>
  <c r="U363" i="3"/>
  <c r="K369" i="3"/>
  <c r="K371" i="3"/>
  <c r="K370" i="3"/>
  <c r="K400" i="3" s="1"/>
  <c r="R390" i="3"/>
  <c r="W389" i="3"/>
  <c r="X1130" i="5"/>
  <c r="N377" i="3"/>
  <c r="N378" i="3" s="1"/>
  <c r="T22" i="2" s="1"/>
  <c r="L392" i="3"/>
  <c r="L400" i="3" s="1"/>
  <c r="P411" i="4"/>
  <c r="X117" i="5"/>
  <c r="X163" i="5"/>
  <c r="W288" i="5"/>
  <c r="W912" i="5"/>
  <c r="X903" i="5"/>
  <c r="X1537" i="5"/>
  <c r="X2193" i="5"/>
  <c r="X2333" i="5"/>
  <c r="X2363" i="5" s="1"/>
  <c r="U2363" i="5"/>
  <c r="S115" i="6"/>
  <c r="Y95" i="6"/>
  <c r="Y115" i="6" s="1"/>
  <c r="S901" i="6"/>
  <c r="Y900" i="6"/>
  <c r="Y901" i="6" s="1"/>
  <c r="S2409" i="6"/>
  <c r="Y2394" i="6"/>
  <c r="Y2409" i="6" s="1"/>
  <c r="K347" i="3"/>
  <c r="K356" i="3"/>
  <c r="AE365" i="3"/>
  <c r="T123" i="5"/>
  <c r="X102" i="5"/>
  <c r="X385" i="5"/>
  <c r="X403" i="5" s="1"/>
  <c r="T403" i="5"/>
  <c r="K341" i="3"/>
  <c r="N392" i="3"/>
  <c r="N400" i="3" s="1"/>
  <c r="J656" i="4"/>
  <c r="X488" i="5"/>
  <c r="X1009" i="5"/>
  <c r="X1484" i="5"/>
  <c r="X1546" i="5"/>
  <c r="X1591" i="5" s="1"/>
  <c r="X1765" i="5"/>
  <c r="V2209" i="5"/>
  <c r="Q355" i="3"/>
  <c r="P369" i="3"/>
  <c r="K393" i="3"/>
  <c r="K401" i="3" s="1"/>
  <c r="K4" i="3" s="1"/>
  <c r="K656" i="4"/>
  <c r="V123" i="5"/>
  <c r="T439" i="5"/>
  <c r="X409" i="5"/>
  <c r="X2451" i="5"/>
  <c r="S85" i="6"/>
  <c r="Y15" i="6"/>
  <c r="V1137" i="6"/>
  <c r="Y1897" i="6"/>
  <c r="S1916" i="6"/>
  <c r="M341" i="3"/>
  <c r="K348" i="3"/>
  <c r="K357" i="3"/>
  <c r="K358" i="3" s="1"/>
  <c r="K361" i="3"/>
  <c r="U361" i="3" s="1"/>
  <c r="L393" i="3"/>
  <c r="L401" i="3" s="1"/>
  <c r="L4" i="3" s="1"/>
  <c r="R654" i="4"/>
  <c r="X367" i="5"/>
  <c r="U439" i="5"/>
  <c r="V488" i="5"/>
  <c r="U1010" i="5"/>
  <c r="X1604" i="5"/>
  <c r="V2183" i="5"/>
  <c r="X2188" i="5"/>
  <c r="X2209" i="5" s="1"/>
  <c r="U2230" i="5"/>
  <c r="V2307" i="5"/>
  <c r="X2498" i="5"/>
  <c r="X267" i="6"/>
  <c r="S267" i="6"/>
  <c r="W346" i="6"/>
  <c r="T474" i="6"/>
  <c r="V486" i="6"/>
  <c r="S886" i="6"/>
  <c r="Y506" i="6"/>
  <c r="Y680" i="6"/>
  <c r="T901" i="6"/>
  <c r="Y1026" i="6"/>
  <c r="Y1033" i="6" s="1"/>
  <c r="U1033" i="6"/>
  <c r="L319" i="3"/>
  <c r="K342" i="3"/>
  <c r="P347" i="3"/>
  <c r="S355" i="3"/>
  <c r="M361" i="3"/>
  <c r="W361" i="3" s="1"/>
  <c r="K362" i="3"/>
  <c r="U362" i="3" s="1"/>
  <c r="N370" i="3"/>
  <c r="L374" i="3"/>
  <c r="V374" i="3" s="1"/>
  <c r="R381" i="3"/>
  <c r="Q443" i="4"/>
  <c r="O476" i="4"/>
  <c r="O612" i="4"/>
  <c r="M656" i="4"/>
  <c r="X397" i="5"/>
  <c r="V439" i="5"/>
  <c r="X433" i="5"/>
  <c r="X471" i="5"/>
  <c r="X1047" i="5"/>
  <c r="W1130" i="5"/>
  <c r="X1129" i="5"/>
  <c r="X1865" i="5"/>
  <c r="X2182" i="5"/>
  <c r="X2183" i="5" s="1"/>
  <c r="V2230" i="5"/>
  <c r="X2404" i="5"/>
  <c r="X2423" i="5" s="1"/>
  <c r="X2494" i="5"/>
  <c r="W2598" i="5"/>
  <c r="U85" i="6"/>
  <c r="Y168" i="6"/>
  <c r="Y257" i="6"/>
  <c r="X346" i="6"/>
  <c r="W486" i="6"/>
  <c r="U495" i="6"/>
  <c r="T886" i="6"/>
  <c r="P341" i="3"/>
  <c r="M374" i="3"/>
  <c r="W374" i="3" s="1"/>
  <c r="S381" i="3"/>
  <c r="P382" i="3"/>
  <c r="K389" i="3"/>
  <c r="N393" i="3"/>
  <c r="L16" i="2" s="1"/>
  <c r="Q274" i="4"/>
  <c r="X95" i="5"/>
  <c r="X143" i="5"/>
  <c r="T173" i="5"/>
  <c r="X166" i="5"/>
  <c r="X285" i="5"/>
  <c r="U360" i="5"/>
  <c r="X316" i="5"/>
  <c r="X360" i="5" s="1"/>
  <c r="V378" i="5"/>
  <c r="X428" i="5"/>
  <c r="X905" i="5"/>
  <c r="T912" i="5"/>
  <c r="U2262" i="5"/>
  <c r="V2589" i="5"/>
  <c r="V2599" i="5" s="1"/>
  <c r="X2558" i="5"/>
  <c r="X2589" i="5" s="1"/>
  <c r="T85" i="6"/>
  <c r="Z115" i="6"/>
  <c r="Y162" i="6"/>
  <c r="Y346" i="6"/>
  <c r="U886" i="6"/>
  <c r="N319" i="3"/>
  <c r="X319" i="3" s="1"/>
  <c r="M342" i="3"/>
  <c r="M400" i="3" s="1"/>
  <c r="R347" i="3"/>
  <c r="K349" i="3"/>
  <c r="R356" i="3"/>
  <c r="N362" i="3"/>
  <c r="X362" i="3" s="1"/>
  <c r="N374" i="3"/>
  <c r="X374" i="3" s="1"/>
  <c r="Q382" i="3"/>
  <c r="P388" i="3"/>
  <c r="L389" i="3"/>
  <c r="V389" i="3" s="1"/>
  <c r="Q396" i="3"/>
  <c r="P601" i="4"/>
  <c r="T154" i="5"/>
  <c r="U173" i="5"/>
  <c r="X172" i="5"/>
  <c r="T279" i="5"/>
  <c r="X901" i="5"/>
  <c r="X912" i="5" s="1"/>
  <c r="X1511" i="5"/>
  <c r="U1861" i="5"/>
  <c r="X1746" i="5"/>
  <c r="Y363" i="6"/>
  <c r="V886" i="6"/>
  <c r="P319" i="3"/>
  <c r="L320" i="3"/>
  <c r="V320" i="3" s="1"/>
  <c r="R341" i="3"/>
  <c r="L349" i="3"/>
  <c r="M363" i="3"/>
  <c r="W363" i="3" s="1"/>
  <c r="L375" i="3"/>
  <c r="V375" i="3" s="1"/>
  <c r="N383" i="3"/>
  <c r="AE385" i="3"/>
  <c r="Q320" i="4"/>
  <c r="O464" i="4"/>
  <c r="Q654" i="4"/>
  <c r="T91" i="5"/>
  <c r="V279" i="5"/>
  <c r="V403" i="5"/>
  <c r="X1393" i="5"/>
  <c r="V1861" i="5"/>
  <c r="T1869" i="5"/>
  <c r="X1863" i="5"/>
  <c r="X1869" i="5" s="1"/>
  <c r="X2097" i="5"/>
  <c r="V85" i="6"/>
  <c r="W886" i="6"/>
  <c r="P365" i="3"/>
  <c r="U365" i="3" s="1"/>
  <c r="X28" i="2" s="1"/>
  <c r="M375" i="3"/>
  <c r="K390" i="3"/>
  <c r="U99" i="5"/>
  <c r="W403" i="5"/>
  <c r="U897" i="5"/>
  <c r="X572" i="5"/>
  <c r="X897" i="5" s="1"/>
  <c r="W1861" i="5"/>
  <c r="U2097" i="5"/>
  <c r="W85" i="6"/>
  <c r="X996" i="6"/>
  <c r="O251" i="4"/>
  <c r="R320" i="4"/>
  <c r="P464" i="4"/>
  <c r="Q577" i="4"/>
  <c r="P589" i="4"/>
  <c r="O649" i="4"/>
  <c r="F656" i="4"/>
  <c r="V99" i="5"/>
  <c r="U123" i="5"/>
  <c r="T164" i="5"/>
  <c r="X156" i="5"/>
  <c r="X164" i="5" s="1"/>
  <c r="X283" i="5"/>
  <c r="X449" i="5"/>
  <c r="X491" i="5"/>
  <c r="X500" i="5" s="1"/>
  <c r="X502" i="5"/>
  <c r="X510" i="5" s="1"/>
  <c r="V1010" i="5"/>
  <c r="V1152" i="5"/>
  <c r="T1343" i="5"/>
  <c r="X1184" i="5"/>
  <c r="X1343" i="5" s="1"/>
  <c r="W1538" i="5"/>
  <c r="X1596" i="5"/>
  <c r="V1869" i="5"/>
  <c r="W2183" i="5"/>
  <c r="X85" i="6"/>
  <c r="V363" i="6"/>
  <c r="U474" i="6"/>
  <c r="Z886" i="6"/>
  <c r="Y996" i="6"/>
  <c r="V1083" i="6"/>
  <c r="V1327" i="6"/>
  <c r="L321" i="3"/>
  <c r="AE323" i="3"/>
  <c r="K354" i="3"/>
  <c r="Q363" i="3"/>
  <c r="W373" i="3"/>
  <c r="L376" i="3"/>
  <c r="N384" i="3"/>
  <c r="L287" i="4"/>
  <c r="R287" i="4" s="1"/>
  <c r="W91" i="5"/>
  <c r="X154" i="5"/>
  <c r="U164" i="5"/>
  <c r="V307" i="5"/>
  <c r="X388" i="5"/>
  <c r="X446" i="5"/>
  <c r="X452" i="5" s="1"/>
  <c r="W897" i="5"/>
  <c r="X980" i="5"/>
  <c r="W1010" i="5"/>
  <c r="X1415" i="5"/>
  <c r="T1538" i="5"/>
  <c r="X1574" i="5"/>
  <c r="X1703" i="5"/>
  <c r="W1869" i="5"/>
  <c r="X2369" i="5"/>
  <c r="X2400" i="5" s="1"/>
  <c r="X2488" i="5"/>
  <c r="X2499" i="5" s="1"/>
  <c r="T2499" i="5"/>
  <c r="Y85" i="6"/>
  <c r="W901" i="6"/>
  <c r="U1083" i="6"/>
  <c r="Y1037" i="6"/>
  <c r="U1574" i="6"/>
  <c r="V1709" i="6"/>
  <c r="Q283" i="4"/>
  <c r="Q464" i="4"/>
  <c r="R540" i="4"/>
  <c r="L545" i="4"/>
  <c r="R545" i="4" s="1"/>
  <c r="R577" i="4"/>
  <c r="I656" i="4"/>
  <c r="P649" i="4"/>
  <c r="H656" i="4"/>
  <c r="X60" i="5"/>
  <c r="X91" i="5" s="1"/>
  <c r="X93" i="5"/>
  <c r="X99" i="5" s="1"/>
  <c r="U154" i="5"/>
  <c r="V164" i="5"/>
  <c r="X202" i="5"/>
  <c r="X279" i="5" s="1"/>
  <c r="W307" i="5"/>
  <c r="X300" i="5"/>
  <c r="X307" i="5" s="1"/>
  <c r="X987" i="5"/>
  <c r="X1037" i="5"/>
  <c r="X1048" i="5" s="1"/>
  <c r="T1048" i="5"/>
  <c r="V1343" i="5"/>
  <c r="U1393" i="5"/>
  <c r="V1605" i="5"/>
  <c r="X2307" i="5"/>
  <c r="X2426" i="5"/>
  <c r="X2441" i="5" s="1"/>
  <c r="V2553" i="5"/>
  <c r="X2515" i="5"/>
  <c r="X2553" i="5" s="1"/>
  <c r="X2597" i="5"/>
  <c r="X2598" i="5" s="1"/>
  <c r="Z85" i="6"/>
  <c r="Z145" i="6"/>
  <c r="U387" i="6"/>
  <c r="U422" i="6"/>
  <c r="W474" i="6"/>
  <c r="Y544" i="6"/>
  <c r="V1574" i="6"/>
  <c r="U1709" i="6"/>
  <c r="N321" i="3"/>
  <c r="R375" i="3"/>
  <c r="N376" i="3"/>
  <c r="U397" i="3"/>
  <c r="O291" i="4"/>
  <c r="Q306" i="4"/>
  <c r="Q509" i="4"/>
  <c r="R567" i="4"/>
  <c r="Q629" i="4"/>
  <c r="X281" i="5"/>
  <c r="X288" i="5" s="1"/>
  <c r="W452" i="5"/>
  <c r="X487" i="5"/>
  <c r="X1041" i="5"/>
  <c r="W1343" i="5"/>
  <c r="V1538" i="5"/>
  <c r="V1726" i="5"/>
  <c r="X1623" i="5"/>
  <c r="X1726" i="5" s="1"/>
  <c r="T1937" i="5"/>
  <c r="U2049" i="5"/>
  <c r="X1946" i="5"/>
  <c r="X2049" i="5" s="1"/>
  <c r="U2307" i="5"/>
  <c r="U2599" i="5" s="1"/>
  <c r="V387" i="6"/>
  <c r="Y484" i="6"/>
  <c r="S486" i="6"/>
  <c r="T969" i="6"/>
  <c r="Y1335" i="6"/>
  <c r="S1370" i="6"/>
  <c r="Q642" i="4"/>
  <c r="O642" i="4"/>
  <c r="X75" i="5"/>
  <c r="X1605" i="5"/>
  <c r="Y474" i="6"/>
  <c r="Y486" i="6"/>
  <c r="Z969" i="6"/>
  <c r="X1083" i="6"/>
  <c r="X1574" i="6"/>
  <c r="N391" i="3"/>
  <c r="P291" i="4"/>
  <c r="R306" i="4"/>
  <c r="Q486" i="4"/>
  <c r="Q625" i="4"/>
  <c r="R629" i="4"/>
  <c r="X122" i="5"/>
  <c r="X370" i="5"/>
  <c r="X378" i="5" s="1"/>
  <c r="U378" i="5"/>
  <c r="X374" i="5"/>
  <c r="U981" i="5"/>
  <c r="U1031" i="5"/>
  <c r="W1048" i="5"/>
  <c r="X1085" i="5"/>
  <c r="X1097" i="5" s="1"/>
  <c r="T1152" i="5"/>
  <c r="X1386" i="5"/>
  <c r="X1822" i="5"/>
  <c r="X1872" i="5"/>
  <c r="X1894" i="5" s="1"/>
  <c r="X2198" i="5"/>
  <c r="T2262" i="5"/>
  <c r="W2307" i="5"/>
  <c r="X2476" i="5"/>
  <c r="X2523" i="5"/>
  <c r="U2553" i="5"/>
  <c r="T2598" i="5"/>
  <c r="Y145" i="6"/>
  <c r="X145" i="6"/>
  <c r="X422" i="6"/>
  <c r="Z474" i="6"/>
  <c r="V969" i="6"/>
  <c r="T452" i="5"/>
  <c r="T1097" i="5"/>
  <c r="Y1066" i="6"/>
  <c r="Y1400" i="6"/>
  <c r="Y1480" i="6"/>
  <c r="Y1633" i="6"/>
  <c r="U912" i="5"/>
  <c r="T1130" i="5"/>
  <c r="T2183" i="5"/>
  <c r="S996" i="6"/>
  <c r="S1016" i="6"/>
  <c r="W2074" i="6"/>
  <c r="T1894" i="5"/>
  <c r="Y491" i="6"/>
  <c r="Y495" i="6" s="1"/>
  <c r="S1083" i="6"/>
  <c r="Y1202" i="6"/>
  <c r="Y1292" i="6"/>
  <c r="S1377" i="6"/>
  <c r="X932" i="5"/>
  <c r="X983" i="5"/>
  <c r="Y1047" i="6"/>
  <c r="Y1083" i="6" s="1"/>
  <c r="Y1130" i="6"/>
  <c r="Y1137" i="6" s="1"/>
  <c r="Y1348" i="6"/>
  <c r="S1521" i="6"/>
  <c r="Y1383" i="6"/>
  <c r="Y1460" i="6"/>
  <c r="Y1612" i="6"/>
  <c r="Y1693" i="6"/>
  <c r="Y2204" i="6"/>
  <c r="W499" i="6"/>
  <c r="T1726" i="5"/>
  <c r="T2097" i="5"/>
  <c r="S474" i="6"/>
  <c r="U1521" i="6"/>
  <c r="Y2074" i="6"/>
  <c r="Y2554" i="6"/>
  <c r="S2562" i="6"/>
  <c r="Y2557" i="6"/>
  <c r="Y2562" i="6" s="1"/>
  <c r="X920" i="5"/>
  <c r="T2049" i="5"/>
  <c r="X2234" i="5"/>
  <c r="X2262" i="5" s="1"/>
  <c r="S346" i="6"/>
  <c r="S363" i="6"/>
  <c r="X1019" i="6"/>
  <c r="X1020" i="6" s="1"/>
  <c r="T1083" i="6"/>
  <c r="T1137" i="6"/>
  <c r="T1327" i="6"/>
  <c r="Y1184" i="6"/>
  <c r="Y1268" i="6"/>
  <c r="V1377" i="6"/>
  <c r="V1521" i="6"/>
  <c r="T307" i="5"/>
  <c r="X1901" i="5"/>
  <c r="X1937" i="5" s="1"/>
  <c r="T2230" i="5"/>
  <c r="U901" i="6"/>
  <c r="Y1032" i="6"/>
  <c r="Y1089" i="6"/>
  <c r="Y1443" i="6"/>
  <c r="Y1520" i="6"/>
  <c r="Y1593" i="6"/>
  <c r="Y1674" i="6"/>
  <c r="Y906" i="6"/>
  <c r="Y969" i="6" s="1"/>
  <c r="X1377" i="6"/>
  <c r="X1521" i="6"/>
  <c r="W1083" i="6"/>
  <c r="U1116" i="6"/>
  <c r="Y1587" i="6"/>
  <c r="S1843" i="6"/>
  <c r="Y2453" i="6"/>
  <c r="Y293" i="6"/>
  <c r="Y294" i="6" s="1"/>
  <c r="S1327" i="6"/>
  <c r="Y2279" i="6"/>
  <c r="Y269" i="6"/>
  <c r="Y276" i="6" s="1"/>
  <c r="S435" i="6"/>
  <c r="Z1035" i="6"/>
  <c r="Z1083" i="6" s="1"/>
  <c r="Y1082" i="6"/>
  <c r="Z1137" i="6"/>
  <c r="Z1327" i="6"/>
  <c r="Y1420" i="6"/>
  <c r="Y1497" i="6"/>
  <c r="Y1652" i="6"/>
  <c r="X1116" i="6"/>
  <c r="Y1105" i="6"/>
  <c r="Y1149" i="6"/>
  <c r="Y1327" i="6" s="1"/>
  <c r="Y1237" i="6"/>
  <c r="Y1320" i="6"/>
  <c r="Y1543" i="6"/>
  <c r="W2159" i="6"/>
  <c r="Y1868" i="6"/>
  <c r="Y1957" i="6"/>
  <c r="Y2073" i="6"/>
  <c r="X2159" i="6"/>
  <c r="W2235" i="6"/>
  <c r="S2519" i="6"/>
  <c r="X2554" i="6"/>
  <c r="Y1529" i="6"/>
  <c r="Y1584" i="6"/>
  <c r="Z2184" i="6"/>
  <c r="Y1852" i="6"/>
  <c r="Y1874" i="6" s="1"/>
  <c r="Y1922" i="6"/>
  <c r="Y2045" i="6"/>
  <c r="S2371" i="6"/>
  <c r="T2027" i="6"/>
  <c r="S2184" i="6"/>
  <c r="S2279" i="6"/>
  <c r="W2519" i="6"/>
  <c r="U2027" i="6"/>
  <c r="X2519" i="6"/>
  <c r="V1843" i="6"/>
  <c r="U2074" i="6"/>
  <c r="X2562" i="6"/>
  <c r="W1843" i="6"/>
  <c r="W1874" i="6"/>
  <c r="W2371" i="6"/>
  <c r="X1843" i="6"/>
  <c r="X1874" i="6"/>
  <c r="W2184" i="6"/>
  <c r="S2334" i="6"/>
  <c r="X2371" i="6"/>
  <c r="S2392" i="6"/>
  <c r="O46" i="8"/>
  <c r="P6" i="8"/>
  <c r="P46" i="8" s="1"/>
  <c r="X1709" i="6"/>
  <c r="Y1821" i="6"/>
  <c r="Y1903" i="6"/>
  <c r="Z2027" i="6"/>
  <c r="Y2026" i="6"/>
  <c r="X2184" i="6"/>
  <c r="Y2338" i="6"/>
  <c r="Y2371" i="6" s="1"/>
  <c r="S2453" i="6"/>
  <c r="Y1589" i="6"/>
  <c r="Y1807" i="6"/>
  <c r="Y1843" i="6" s="1"/>
  <c r="Z1916" i="6"/>
  <c r="Y1891" i="6"/>
  <c r="Y1916" i="6" s="1"/>
  <c r="Y2016" i="6"/>
  <c r="Z2074" i="6"/>
  <c r="Y2089" i="6"/>
  <c r="Y2164" i="6"/>
  <c r="Y2184" i="6" s="1"/>
  <c r="Z1589" i="6"/>
  <c r="Z1709" i="6" s="1"/>
  <c r="S2159" i="6"/>
  <c r="Y1996" i="6"/>
  <c r="S2235" i="6"/>
  <c r="W2334" i="6"/>
  <c r="W2392" i="6"/>
  <c r="M46" i="8"/>
  <c r="Y1986" i="6"/>
  <c r="U2159" i="6"/>
  <c r="X2334" i="6"/>
  <c r="X2392" i="6"/>
  <c r="W2453" i="6"/>
  <c r="U2562" i="6"/>
  <c r="Y2079" i="6"/>
  <c r="Y2209" i="6"/>
  <c r="Y2235" i="6" s="1"/>
  <c r="Y2285" i="6"/>
  <c r="Y2334" i="6" s="1"/>
  <c r="Y2472" i="6"/>
  <c r="Y2519" i="6" s="1"/>
  <c r="R184" i="3" l="1"/>
  <c r="W183" i="3"/>
  <c r="P116" i="3"/>
  <c r="U115" i="3"/>
  <c r="R230" i="3"/>
  <c r="W229" i="3"/>
  <c r="Y1574" i="6"/>
  <c r="X989" i="5"/>
  <c r="P293" i="3"/>
  <c r="U292" i="3"/>
  <c r="S292" i="3"/>
  <c r="X398" i="3"/>
  <c r="S17" i="2"/>
  <c r="U17" i="2" s="1"/>
  <c r="P335" i="3"/>
  <c r="U334" i="3"/>
  <c r="U305" i="3"/>
  <c r="P306" i="3"/>
  <c r="P183" i="3"/>
  <c r="U182" i="3"/>
  <c r="V111" i="3"/>
  <c r="Q112" i="3"/>
  <c r="V112" i="3" s="1"/>
  <c r="W18" i="2" s="1"/>
  <c r="P112" i="3"/>
  <c r="U112" i="3" s="1"/>
  <c r="X18" i="2" s="1"/>
  <c r="U111" i="3"/>
  <c r="X219" i="3"/>
  <c r="C32" i="2"/>
  <c r="E32" i="2" s="1"/>
  <c r="Q294" i="3"/>
  <c r="V293" i="3"/>
  <c r="V105" i="3"/>
  <c r="Q106" i="3"/>
  <c r="Q22" i="3"/>
  <c r="V21" i="3"/>
  <c r="V306" i="3"/>
  <c r="Q307" i="3"/>
  <c r="V14" i="3"/>
  <c r="Q15" i="3"/>
  <c r="V35" i="3"/>
  <c r="Q36" i="3"/>
  <c r="V43" i="3"/>
  <c r="Q44" i="3"/>
  <c r="P192" i="3"/>
  <c r="U192" i="3" s="1"/>
  <c r="H25" i="2" s="1"/>
  <c r="U191" i="3"/>
  <c r="X36" i="3"/>
  <c r="S37" i="3"/>
  <c r="U286" i="3"/>
  <c r="P287" i="3"/>
  <c r="K413" i="3"/>
  <c r="X173" i="5"/>
  <c r="X265" i="3"/>
  <c r="S266" i="3"/>
  <c r="V321" i="3"/>
  <c r="Q322" i="3"/>
  <c r="M401" i="3"/>
  <c r="M4" i="3" s="1"/>
  <c r="X181" i="3"/>
  <c r="S182" i="3"/>
  <c r="R288" i="3"/>
  <c r="W287" i="3"/>
  <c r="U84" i="3"/>
  <c r="P85" i="3"/>
  <c r="W149" i="3"/>
  <c r="R150" i="3"/>
  <c r="P252" i="3"/>
  <c r="U251" i="3"/>
  <c r="V122" i="3"/>
  <c r="Q123" i="3"/>
  <c r="S212" i="3"/>
  <c r="X211" i="3"/>
  <c r="P273" i="3"/>
  <c r="U272" i="3"/>
  <c r="X99" i="3"/>
  <c r="S100" i="3"/>
  <c r="Q253" i="3"/>
  <c r="V252" i="3"/>
  <c r="M405" i="3"/>
  <c r="M413" i="3" s="1"/>
  <c r="R51" i="3"/>
  <c r="W50" i="3"/>
  <c r="S9" i="3"/>
  <c r="X8" i="3"/>
  <c r="U9" i="3"/>
  <c r="P10" i="3"/>
  <c r="U314" i="3"/>
  <c r="N314" i="3"/>
  <c r="X314" i="3" s="1"/>
  <c r="Y267" i="6"/>
  <c r="Y886" i="6"/>
  <c r="X2485" i="5"/>
  <c r="X2599" i="5" s="1"/>
  <c r="W223" i="3"/>
  <c r="R224" i="3"/>
  <c r="L407" i="3"/>
  <c r="V178" i="3"/>
  <c r="Q179" i="3"/>
  <c r="V179" i="3" s="1"/>
  <c r="G30" i="2" s="1"/>
  <c r="U300" i="3"/>
  <c r="P301" i="3"/>
  <c r="W77" i="3"/>
  <c r="R78" i="3"/>
  <c r="S260" i="3"/>
  <c r="X259" i="3"/>
  <c r="V30" i="3"/>
  <c r="Q31" i="3"/>
  <c r="W176" i="3"/>
  <c r="R177" i="3"/>
  <c r="X15" i="3"/>
  <c r="S16" i="3"/>
  <c r="X343" i="3"/>
  <c r="S15" i="2"/>
  <c r="U15" i="2" s="1"/>
  <c r="X439" i="5"/>
  <c r="W370" i="3"/>
  <c r="R371" i="3"/>
  <c r="W371" i="3" s="1"/>
  <c r="N14" i="2" s="1"/>
  <c r="X237" i="3"/>
  <c r="S238" i="3"/>
  <c r="Q85" i="3"/>
  <c r="V84" i="3"/>
  <c r="P329" i="3"/>
  <c r="U328" i="3"/>
  <c r="Q102" i="3"/>
  <c r="V102" i="3" s="1"/>
  <c r="W24" i="2" s="1"/>
  <c r="V101" i="3"/>
  <c r="R102" i="3"/>
  <c r="W102" i="3" s="1"/>
  <c r="V24" i="2" s="1"/>
  <c r="W101" i="3"/>
  <c r="R205" i="3"/>
  <c r="W204" i="3"/>
  <c r="U77" i="3"/>
  <c r="P78" i="3"/>
  <c r="W29" i="3"/>
  <c r="R30" i="3"/>
  <c r="S23" i="3"/>
  <c r="X22" i="3"/>
  <c r="S301" i="3"/>
  <c r="X300" i="3"/>
  <c r="X62" i="3"/>
  <c r="S63" i="3"/>
  <c r="W2599" i="5"/>
  <c r="W390" i="3"/>
  <c r="R391" i="3"/>
  <c r="U354" i="3"/>
  <c r="P355" i="3"/>
  <c r="R266" i="3"/>
  <c r="W265" i="3"/>
  <c r="U209" i="3"/>
  <c r="P210" i="3"/>
  <c r="S79" i="3"/>
  <c r="X78" i="3"/>
  <c r="X165" i="3"/>
  <c r="S13" i="2"/>
  <c r="U13" i="2" s="1"/>
  <c r="U14" i="3"/>
  <c r="P15" i="3"/>
  <c r="V369" i="3"/>
  <c r="Q370" i="3"/>
  <c r="V363" i="3"/>
  <c r="Q364" i="3"/>
  <c r="V396" i="3"/>
  <c r="Q397" i="3"/>
  <c r="W381" i="3"/>
  <c r="R382" i="3"/>
  <c r="W320" i="3"/>
  <c r="R321" i="3"/>
  <c r="X369" i="3"/>
  <c r="S370" i="3"/>
  <c r="V286" i="3"/>
  <c r="Q287" i="3"/>
  <c r="R251" i="3"/>
  <c r="W250" i="3"/>
  <c r="V151" i="3"/>
  <c r="Q152" i="3"/>
  <c r="Q204" i="3"/>
  <c r="V203" i="3"/>
  <c r="V197" i="3"/>
  <c r="Q198" i="3"/>
  <c r="V210" i="3"/>
  <c r="Q211" i="3"/>
  <c r="W86" i="3"/>
  <c r="R87" i="3"/>
  <c r="Q74" i="3"/>
  <c r="V74" i="3" s="1"/>
  <c r="O13" i="2" s="1"/>
  <c r="V73" i="3"/>
  <c r="P245" i="3"/>
  <c r="U244" i="3"/>
  <c r="W92" i="3"/>
  <c r="R93" i="3"/>
  <c r="Q118" i="3"/>
  <c r="V118" i="3" s="1"/>
  <c r="V117" i="3"/>
  <c r="P37" i="3"/>
  <c r="U36" i="3"/>
  <c r="W375" i="3"/>
  <c r="R376" i="3"/>
  <c r="L656" i="4"/>
  <c r="R328" i="3"/>
  <c r="W327" i="3"/>
  <c r="S250" i="3"/>
  <c r="X249" i="3"/>
  <c r="X389" i="3"/>
  <c r="S390" i="3"/>
  <c r="W209" i="3"/>
  <c r="R210" i="3"/>
  <c r="S328" i="3"/>
  <c r="X327" i="3"/>
  <c r="S244" i="3"/>
  <c r="X243" i="3"/>
  <c r="X305" i="3"/>
  <c r="S306" i="3"/>
  <c r="R244" i="3"/>
  <c r="W243" i="3"/>
  <c r="N411" i="3"/>
  <c r="AB17" i="2" s="1"/>
  <c r="D22" i="2"/>
  <c r="V188" i="3"/>
  <c r="Q189" i="3"/>
  <c r="V11" i="3"/>
  <c r="G13" i="2" s="1"/>
  <c r="P206" i="3"/>
  <c r="U206" i="3" s="1"/>
  <c r="H12" i="2" s="1"/>
  <c r="U205" i="3"/>
  <c r="X1538" i="5"/>
  <c r="R342" i="3"/>
  <c r="W341" i="3"/>
  <c r="U388" i="3"/>
  <c r="P389" i="3"/>
  <c r="P259" i="3"/>
  <c r="U258" i="3"/>
  <c r="N401" i="3"/>
  <c r="R281" i="3"/>
  <c r="W280" i="3"/>
  <c r="U105" i="3"/>
  <c r="P106" i="3"/>
  <c r="R219" i="3"/>
  <c r="W219" i="3" s="1"/>
  <c r="F32" i="2" s="1"/>
  <c r="W218" i="3"/>
  <c r="S190" i="3"/>
  <c r="X189" i="3"/>
  <c r="V273" i="3"/>
  <c r="Q274" i="3"/>
  <c r="R118" i="3"/>
  <c r="W118" i="3" s="1"/>
  <c r="W117" i="3"/>
  <c r="Q65" i="3"/>
  <c r="V64" i="3"/>
  <c r="K411" i="3"/>
  <c r="AH406" i="3"/>
  <c r="X92" i="3"/>
  <c r="S93" i="3"/>
  <c r="X335" i="3"/>
  <c r="S336" i="3"/>
  <c r="X156" i="3"/>
  <c r="S157" i="3"/>
  <c r="Y2159" i="6"/>
  <c r="Y1116" i="6"/>
  <c r="V382" i="3"/>
  <c r="Q383" i="3"/>
  <c r="U369" i="3"/>
  <c r="P370" i="3"/>
  <c r="X123" i="5"/>
  <c r="X316" i="3"/>
  <c r="S29" i="2"/>
  <c r="U29" i="2" s="1"/>
  <c r="V390" i="3"/>
  <c r="Q391" i="3"/>
  <c r="Q335" i="3"/>
  <c r="V334" i="3"/>
  <c r="U238" i="3"/>
  <c r="P239" i="3"/>
  <c r="R260" i="3"/>
  <c r="W259" i="3"/>
  <c r="V230" i="3"/>
  <c r="Q231" i="3"/>
  <c r="W195" i="3"/>
  <c r="R196" i="3"/>
  <c r="V77" i="3"/>
  <c r="Q78" i="3"/>
  <c r="X365" i="3"/>
  <c r="S28" i="2"/>
  <c r="U28" i="2" s="1"/>
  <c r="X375" i="3"/>
  <c r="S376" i="3"/>
  <c r="U100" i="3"/>
  <c r="P101" i="3"/>
  <c r="P144" i="3"/>
  <c r="U143" i="3"/>
  <c r="W57" i="3"/>
  <c r="R58" i="3"/>
  <c r="S86" i="3"/>
  <c r="X85" i="3"/>
  <c r="U23" i="3"/>
  <c r="P24" i="3"/>
  <c r="P320" i="3"/>
  <c r="U319" i="3"/>
  <c r="U382" i="3"/>
  <c r="P383" i="3"/>
  <c r="V355" i="3"/>
  <c r="Q356" i="3"/>
  <c r="V266" i="3"/>
  <c r="Q267" i="3"/>
  <c r="V376" i="3"/>
  <c r="Q377" i="3"/>
  <c r="Q280" i="3"/>
  <c r="V279" i="3"/>
  <c r="U175" i="3"/>
  <c r="P176" i="3"/>
  <c r="P281" i="3"/>
  <c r="U280" i="3"/>
  <c r="S197" i="3"/>
  <c r="X196" i="3"/>
  <c r="U313" i="3"/>
  <c r="S144" i="3"/>
  <c r="X143" i="3"/>
  <c r="U93" i="3"/>
  <c r="P94" i="3"/>
  <c r="X45" i="3"/>
  <c r="S46" i="3"/>
  <c r="Q139" i="3"/>
  <c r="V139" i="3" s="1"/>
  <c r="V138" i="3"/>
  <c r="S204" i="3"/>
  <c r="X203" i="3"/>
  <c r="X229" i="3"/>
  <c r="S230" i="3"/>
  <c r="U152" i="3"/>
  <c r="P153" i="3"/>
  <c r="U153" i="3" s="1"/>
  <c r="X21" i="2" s="1"/>
  <c r="X50" i="3"/>
  <c r="S51" i="3"/>
  <c r="Q143" i="3"/>
  <c r="V142" i="3"/>
  <c r="X981" i="5"/>
  <c r="X381" i="3"/>
  <c r="S382" i="3"/>
  <c r="X355" i="3"/>
  <c r="S356" i="3"/>
  <c r="P224" i="3"/>
  <c r="U223" i="3"/>
  <c r="R335" i="3"/>
  <c r="W334" i="3"/>
  <c r="Q348" i="3"/>
  <c r="V347" i="3"/>
  <c r="U231" i="3"/>
  <c r="P232" i="3"/>
  <c r="X177" i="3"/>
  <c r="S178" i="3"/>
  <c r="R189" i="3"/>
  <c r="W188" i="3"/>
  <c r="X286" i="3"/>
  <c r="S287" i="3"/>
  <c r="V299" i="3"/>
  <c r="Q300" i="3"/>
  <c r="Q185" i="3"/>
  <c r="V185" i="3" s="1"/>
  <c r="O17" i="2" s="1"/>
  <c r="V184" i="3"/>
  <c r="N407" i="3"/>
  <c r="AB13" i="2" s="1"/>
  <c r="T16" i="2"/>
  <c r="X30" i="3"/>
  <c r="S31" i="3"/>
  <c r="W45" i="3"/>
  <c r="R46" i="3"/>
  <c r="W46" i="3" s="1"/>
  <c r="V23" i="2" s="1"/>
  <c r="V57" i="3"/>
  <c r="Q58" i="3"/>
  <c r="T2599" i="5"/>
  <c r="Y1521" i="6"/>
  <c r="W356" i="3"/>
  <c r="R357" i="3"/>
  <c r="U347" i="3"/>
  <c r="P348" i="3"/>
  <c r="U376" i="3"/>
  <c r="P377" i="3"/>
  <c r="S223" i="3"/>
  <c r="X222" i="3"/>
  <c r="S348" i="3"/>
  <c r="X347" i="3"/>
  <c r="Q239" i="3"/>
  <c r="V238" i="3"/>
  <c r="V222" i="3"/>
  <c r="Q223" i="3"/>
  <c r="X151" i="3"/>
  <c r="S152" i="3"/>
  <c r="R294" i="3"/>
  <c r="W293" i="3"/>
  <c r="W272" i="3"/>
  <c r="R273" i="3"/>
  <c r="Q328" i="3"/>
  <c r="V327" i="3"/>
  <c r="V91" i="3"/>
  <c r="Q92" i="3"/>
  <c r="V171" i="3"/>
  <c r="Q172" i="3"/>
  <c r="V172" i="3" s="1"/>
  <c r="W27" i="2" s="1"/>
  <c r="U130" i="3"/>
  <c r="P131" i="3"/>
  <c r="X71" i="3"/>
  <c r="S72" i="3"/>
  <c r="U136" i="3"/>
  <c r="P137" i="3"/>
  <c r="R143" i="3"/>
  <c r="W142" i="3"/>
  <c r="W35" i="3"/>
  <c r="R36" i="3"/>
  <c r="X56" i="3"/>
  <c r="S57" i="3"/>
  <c r="X105" i="3"/>
  <c r="S106" i="3"/>
  <c r="S118" i="3"/>
  <c r="X118" i="3" s="1"/>
  <c r="V52" i="3"/>
  <c r="Q53" i="3"/>
  <c r="V53" i="3" s="1"/>
  <c r="G16" i="2" s="1"/>
  <c r="R23" i="3"/>
  <c r="W22" i="3"/>
  <c r="R10" i="3"/>
  <c r="W9" i="3"/>
  <c r="U63" i="3"/>
  <c r="P64" i="3"/>
  <c r="U50" i="3"/>
  <c r="P51" i="3"/>
  <c r="Y2027" i="6"/>
  <c r="X1861" i="5"/>
  <c r="P342" i="3"/>
  <c r="U341" i="3"/>
  <c r="W398" i="3"/>
  <c r="V17" i="2" s="1"/>
  <c r="Q315" i="3"/>
  <c r="V314" i="3"/>
  <c r="V341" i="3"/>
  <c r="Q342" i="3"/>
  <c r="S279" i="3"/>
  <c r="X278" i="3"/>
  <c r="Q246" i="3"/>
  <c r="V245" i="3"/>
  <c r="S272" i="3"/>
  <c r="X271" i="3"/>
  <c r="U265" i="3"/>
  <c r="P266" i="3"/>
  <c r="X311" i="3"/>
  <c r="W66" i="3"/>
  <c r="R67" i="3"/>
  <c r="W72" i="3"/>
  <c r="R73" i="3"/>
  <c r="Q260" i="3"/>
  <c r="V259" i="3"/>
  <c r="P57" i="3"/>
  <c r="U56" i="3"/>
  <c r="X130" i="3"/>
  <c r="S131" i="3"/>
  <c r="Y1709" i="6"/>
  <c r="Y1370" i="6"/>
  <c r="W347" i="3"/>
  <c r="R348" i="3"/>
  <c r="X321" i="3"/>
  <c r="S322" i="3"/>
  <c r="R136" i="3"/>
  <c r="W135" i="3"/>
  <c r="W157" i="3"/>
  <c r="R158" i="3"/>
  <c r="W238" i="3"/>
  <c r="R239" i="3"/>
  <c r="U156" i="3"/>
  <c r="P157" i="3"/>
  <c r="R301" i="3"/>
  <c r="W300" i="3"/>
  <c r="V218" i="3"/>
  <c r="W129" i="3"/>
  <c r="R130" i="3"/>
  <c r="X124" i="3"/>
  <c r="V130" i="3"/>
  <c r="Q131" i="3"/>
  <c r="I413" i="3"/>
  <c r="U72" i="3"/>
  <c r="P73" i="3"/>
  <c r="L405" i="3"/>
  <c r="L413" i="3" s="1"/>
  <c r="W14" i="3"/>
  <c r="R15" i="3"/>
  <c r="U31" i="3"/>
  <c r="P32" i="3"/>
  <c r="U32" i="3" s="1"/>
  <c r="X14" i="2" s="1"/>
  <c r="W106" i="3"/>
  <c r="R107" i="3"/>
  <c r="U196" i="3"/>
  <c r="P197" i="3"/>
  <c r="N405" i="3"/>
  <c r="X86" i="3" l="1"/>
  <c r="S87" i="3"/>
  <c r="X260" i="3"/>
  <c r="S261" i="3"/>
  <c r="V22" i="3"/>
  <c r="Q23" i="3"/>
  <c r="X322" i="3"/>
  <c r="S323" i="3"/>
  <c r="P343" i="3"/>
  <c r="U343" i="3" s="1"/>
  <c r="X15" i="2" s="1"/>
  <c r="U342" i="3"/>
  <c r="S58" i="3"/>
  <c r="X57" i="3"/>
  <c r="P378" i="3"/>
  <c r="U378" i="3" s="1"/>
  <c r="X22" i="2" s="1"/>
  <c r="U377" i="3"/>
  <c r="X204" i="3"/>
  <c r="S205" i="3"/>
  <c r="W58" i="3"/>
  <c r="R59" i="3"/>
  <c r="X190" i="3"/>
  <c r="S191" i="3"/>
  <c r="V287" i="3"/>
  <c r="Q288" i="3"/>
  <c r="X301" i="3"/>
  <c r="S302" i="3"/>
  <c r="Q86" i="3"/>
  <c r="V85" i="3"/>
  <c r="W78" i="3"/>
  <c r="R79" i="3"/>
  <c r="P253" i="3"/>
  <c r="U252" i="3"/>
  <c r="U287" i="3"/>
  <c r="P288" i="3"/>
  <c r="V106" i="3"/>
  <c r="Q107" i="3"/>
  <c r="P336" i="3"/>
  <c r="U335" i="3"/>
  <c r="Q132" i="3"/>
  <c r="V132" i="3" s="1"/>
  <c r="G10" i="2" s="1"/>
  <c r="V131" i="3"/>
  <c r="U266" i="3"/>
  <c r="P267" i="3"/>
  <c r="Q329" i="3"/>
  <c r="V328" i="3"/>
  <c r="U224" i="3"/>
  <c r="P225" i="3"/>
  <c r="V280" i="3"/>
  <c r="Q281" i="3"/>
  <c r="R261" i="3"/>
  <c r="W260" i="3"/>
  <c r="X157" i="3"/>
  <c r="S158" i="3"/>
  <c r="X390" i="3"/>
  <c r="S391" i="3"/>
  <c r="P246" i="3"/>
  <c r="U245" i="3"/>
  <c r="X238" i="3"/>
  <c r="S239" i="3"/>
  <c r="X9" i="3"/>
  <c r="S10" i="3"/>
  <c r="W150" i="3"/>
  <c r="R151" i="3"/>
  <c r="N413" i="3"/>
  <c r="AB11" i="2"/>
  <c r="AB18" i="2" s="1"/>
  <c r="W130" i="3"/>
  <c r="R131" i="3"/>
  <c r="U51" i="3"/>
  <c r="P52" i="3"/>
  <c r="X46" i="3"/>
  <c r="S23" i="2"/>
  <c r="U23" i="2" s="1"/>
  <c r="P145" i="3"/>
  <c r="U144" i="3"/>
  <c r="S337" i="3"/>
  <c r="X336" i="3"/>
  <c r="U106" i="3"/>
  <c r="P107" i="3"/>
  <c r="Q190" i="3"/>
  <c r="V189" i="3"/>
  <c r="S80" i="3"/>
  <c r="X79" i="3"/>
  <c r="W30" i="3"/>
  <c r="R31" i="3"/>
  <c r="W51" i="3"/>
  <c r="R52" i="3"/>
  <c r="U85" i="3"/>
  <c r="P86" i="3"/>
  <c r="Q295" i="3"/>
  <c r="V294" i="3"/>
  <c r="S293" i="3"/>
  <c r="X292" i="3"/>
  <c r="P198" i="3"/>
  <c r="U197" i="3"/>
  <c r="X272" i="3"/>
  <c r="S273" i="3"/>
  <c r="R358" i="3"/>
  <c r="W358" i="3" s="1"/>
  <c r="V20" i="2" s="1"/>
  <c r="W357" i="3"/>
  <c r="S288" i="3"/>
  <c r="X287" i="3"/>
  <c r="X382" i="3"/>
  <c r="S383" i="3"/>
  <c r="Q268" i="3"/>
  <c r="V268" i="3" s="1"/>
  <c r="W12" i="2" s="1"/>
  <c r="V267" i="3"/>
  <c r="P102" i="3"/>
  <c r="U102" i="3" s="1"/>
  <c r="X24" i="2" s="1"/>
  <c r="U101" i="3"/>
  <c r="S251" i="3"/>
  <c r="X250" i="3"/>
  <c r="W87" i="3"/>
  <c r="R88" i="3"/>
  <c r="W88" i="3" s="1"/>
  <c r="N19" i="2" s="1"/>
  <c r="W321" i="3"/>
  <c r="R322" i="3"/>
  <c r="P211" i="3"/>
  <c r="U210" i="3"/>
  <c r="W273" i="3"/>
  <c r="R274" i="3"/>
  <c r="Q378" i="3"/>
  <c r="V378" i="3" s="1"/>
  <c r="W22" i="2" s="1"/>
  <c r="V377" i="3"/>
  <c r="X370" i="3"/>
  <c r="S371" i="3"/>
  <c r="U64" i="3"/>
  <c r="P65" i="3"/>
  <c r="R144" i="3"/>
  <c r="W143" i="3"/>
  <c r="R295" i="3"/>
  <c r="W294" i="3"/>
  <c r="P95" i="3"/>
  <c r="U94" i="3"/>
  <c r="V335" i="3"/>
  <c r="Q336" i="3"/>
  <c r="X93" i="3"/>
  <c r="S94" i="3"/>
  <c r="U78" i="3"/>
  <c r="P79" i="3"/>
  <c r="U293" i="3"/>
  <c r="P294" i="3"/>
  <c r="W210" i="3"/>
  <c r="R211" i="3"/>
  <c r="V300" i="3"/>
  <c r="Q301" i="3"/>
  <c r="Q357" i="3"/>
  <c r="V356" i="3"/>
  <c r="X376" i="3"/>
  <c r="S377" i="3"/>
  <c r="V391" i="3"/>
  <c r="Q392" i="3"/>
  <c r="R282" i="3"/>
  <c r="W282" i="3" s="1"/>
  <c r="F17" i="2" s="1"/>
  <c r="W281" i="3"/>
  <c r="R329" i="3"/>
  <c r="W328" i="3"/>
  <c r="V211" i="3"/>
  <c r="Q212" i="3"/>
  <c r="R383" i="3"/>
  <c r="W382" i="3"/>
  <c r="Q254" i="3"/>
  <c r="V253" i="3"/>
  <c r="R289" i="3"/>
  <c r="W289" i="3" s="1"/>
  <c r="F20" i="2" s="1"/>
  <c r="W288" i="3"/>
  <c r="V44" i="3"/>
  <c r="Q45" i="3"/>
  <c r="P349" i="3"/>
  <c r="U348" i="3"/>
  <c r="P240" i="3"/>
  <c r="U240" i="3" s="1"/>
  <c r="H27" i="2" s="1"/>
  <c r="U239" i="3"/>
  <c r="AB20" i="2"/>
  <c r="N4" i="3"/>
  <c r="W266" i="3"/>
  <c r="R267" i="3"/>
  <c r="W224" i="3"/>
  <c r="R225" i="3"/>
  <c r="X100" i="3"/>
  <c r="S101" i="3"/>
  <c r="S183" i="3"/>
  <c r="X182" i="3"/>
  <c r="U301" i="3"/>
  <c r="P302" i="3"/>
  <c r="U302" i="3" s="1"/>
  <c r="H24" i="2" s="1"/>
  <c r="R190" i="3"/>
  <c r="W189" i="3"/>
  <c r="U157" i="3"/>
  <c r="P158" i="3"/>
  <c r="X279" i="3"/>
  <c r="S280" i="3"/>
  <c r="R11" i="3"/>
  <c r="W10" i="3"/>
  <c r="X72" i="3"/>
  <c r="S73" i="3"/>
  <c r="V223" i="3"/>
  <c r="Q224" i="3"/>
  <c r="V58" i="3"/>
  <c r="Q59" i="3"/>
  <c r="X178" i="3"/>
  <c r="S179" i="3"/>
  <c r="Q144" i="3"/>
  <c r="V143" i="3"/>
  <c r="X144" i="3"/>
  <c r="S145" i="3"/>
  <c r="U383" i="3"/>
  <c r="P384" i="3"/>
  <c r="R245" i="3"/>
  <c r="W244" i="3"/>
  <c r="W376" i="3"/>
  <c r="R377" i="3"/>
  <c r="Q199" i="3"/>
  <c r="V199" i="3" s="1"/>
  <c r="O18" i="2" s="1"/>
  <c r="V198" i="3"/>
  <c r="Q398" i="3"/>
  <c r="V397" i="3"/>
  <c r="U355" i="3"/>
  <c r="P356" i="3"/>
  <c r="R206" i="3"/>
  <c r="W206" i="3" s="1"/>
  <c r="F12" i="2" s="1"/>
  <c r="W205" i="3"/>
  <c r="X16" i="3"/>
  <c r="S17" i="3"/>
  <c r="V36" i="3"/>
  <c r="Q37" i="3"/>
  <c r="W348" i="3"/>
  <c r="R349" i="3"/>
  <c r="X152" i="3"/>
  <c r="S153" i="3"/>
  <c r="U57" i="3"/>
  <c r="P58" i="3"/>
  <c r="Q343" i="3"/>
  <c r="V343" i="3" s="1"/>
  <c r="W15" i="2" s="1"/>
  <c r="V342" i="3"/>
  <c r="X51" i="3"/>
  <c r="S52" i="3"/>
  <c r="P260" i="3"/>
  <c r="U259" i="3"/>
  <c r="X306" i="3"/>
  <c r="S307" i="3"/>
  <c r="R231" i="3"/>
  <c r="W230" i="3"/>
  <c r="S132" i="3"/>
  <c r="X131" i="3"/>
  <c r="R24" i="3"/>
  <c r="W23" i="3"/>
  <c r="P132" i="3"/>
  <c r="U132" i="3" s="1"/>
  <c r="H10" i="2" s="1"/>
  <c r="U131" i="3"/>
  <c r="U232" i="3"/>
  <c r="P233" i="3"/>
  <c r="Q79" i="3"/>
  <c r="V78" i="3"/>
  <c r="Q66" i="3"/>
  <c r="V65" i="3"/>
  <c r="U389" i="3"/>
  <c r="P390" i="3"/>
  <c r="V364" i="3"/>
  <c r="Q365" i="3"/>
  <c r="V365" i="3" s="1"/>
  <c r="W28" i="2" s="1"/>
  <c r="W391" i="3"/>
  <c r="R392" i="3"/>
  <c r="R178" i="3"/>
  <c r="W177" i="3"/>
  <c r="U273" i="3"/>
  <c r="P274" i="3"/>
  <c r="V322" i="3"/>
  <c r="Q323" i="3"/>
  <c r="V323" i="3" s="1"/>
  <c r="W25" i="2" s="1"/>
  <c r="V15" i="3"/>
  <c r="Q16" i="3"/>
  <c r="R137" i="3"/>
  <c r="W136" i="3"/>
  <c r="Q261" i="3"/>
  <c r="V260" i="3"/>
  <c r="Q240" i="3"/>
  <c r="V240" i="3" s="1"/>
  <c r="G27" i="2" s="1"/>
  <c r="V239" i="3"/>
  <c r="X197" i="3"/>
  <c r="S198" i="3"/>
  <c r="U320" i="3"/>
  <c r="P321" i="3"/>
  <c r="P371" i="3"/>
  <c r="U371" i="3" s="1"/>
  <c r="P14" i="2" s="1"/>
  <c r="U370" i="3"/>
  <c r="U37" i="3"/>
  <c r="P38" i="3"/>
  <c r="Q205" i="3"/>
  <c r="V204" i="3"/>
  <c r="P184" i="3"/>
  <c r="U183" i="3"/>
  <c r="P117" i="3"/>
  <c r="U116" i="3"/>
  <c r="Q247" i="3"/>
  <c r="V247" i="3" s="1"/>
  <c r="O12" i="2" s="1"/>
  <c r="V246" i="3"/>
  <c r="W301" i="3"/>
  <c r="R302" i="3"/>
  <c r="W302" i="3" s="1"/>
  <c r="F24" i="2" s="1"/>
  <c r="Q316" i="3"/>
  <c r="V316" i="3" s="1"/>
  <c r="W29" i="2" s="1"/>
  <c r="V315" i="3"/>
  <c r="U24" i="3"/>
  <c r="P25" i="3"/>
  <c r="U25" i="3" s="1"/>
  <c r="H28" i="2" s="1"/>
  <c r="X244" i="3"/>
  <c r="S245" i="3"/>
  <c r="V152" i="3"/>
  <c r="Q153" i="3"/>
  <c r="V153" i="3" s="1"/>
  <c r="W21" i="2" s="1"/>
  <c r="Q371" i="3"/>
  <c r="V371" i="3" s="1"/>
  <c r="O14" i="2" s="1"/>
  <c r="V370" i="3"/>
  <c r="V31" i="3"/>
  <c r="Q32" i="3"/>
  <c r="V32" i="3" s="1"/>
  <c r="W14" i="2" s="1"/>
  <c r="X212" i="3"/>
  <c r="S213" i="3"/>
  <c r="X266" i="3"/>
  <c r="S267" i="3"/>
  <c r="V307" i="3"/>
  <c r="Q308" i="3"/>
  <c r="U306" i="3"/>
  <c r="P307" i="3"/>
  <c r="R336" i="3"/>
  <c r="W335" i="3"/>
  <c r="R252" i="3"/>
  <c r="W251" i="3"/>
  <c r="W36" i="3"/>
  <c r="R37" i="3"/>
  <c r="S357" i="3"/>
  <c r="X356" i="3"/>
  <c r="S24" i="3"/>
  <c r="X23" i="3"/>
  <c r="U137" i="3"/>
  <c r="P138" i="3"/>
  <c r="W15" i="3"/>
  <c r="R16" i="3"/>
  <c r="W158" i="3"/>
  <c r="R159" i="3"/>
  <c r="W196" i="3"/>
  <c r="R197" i="3"/>
  <c r="P74" i="3"/>
  <c r="U74" i="3" s="1"/>
  <c r="P13" i="2" s="1"/>
  <c r="U73" i="3"/>
  <c r="X348" i="3"/>
  <c r="S349" i="3"/>
  <c r="V348" i="3"/>
  <c r="Q349" i="3"/>
  <c r="X230" i="3"/>
  <c r="S231" i="3"/>
  <c r="P282" i="3"/>
  <c r="U282" i="3" s="1"/>
  <c r="H17" i="2" s="1"/>
  <c r="U281" i="3"/>
  <c r="V383" i="3"/>
  <c r="Q384" i="3"/>
  <c r="V274" i="3"/>
  <c r="Q275" i="3"/>
  <c r="V275" i="3" s="1"/>
  <c r="G21" i="2" s="1"/>
  <c r="R343" i="3"/>
  <c r="W343" i="3" s="1"/>
  <c r="V15" i="2" s="1"/>
  <c r="W342" i="3"/>
  <c r="X63" i="3"/>
  <c r="S64" i="3"/>
  <c r="V123" i="3"/>
  <c r="Q124" i="3"/>
  <c r="R185" i="3"/>
  <c r="W185" i="3" s="1"/>
  <c r="N17" i="2" s="1"/>
  <c r="W184" i="3"/>
  <c r="X223" i="3"/>
  <c r="S224" i="3"/>
  <c r="S38" i="3"/>
  <c r="X37" i="3"/>
  <c r="R108" i="3"/>
  <c r="W108" i="3" s="1"/>
  <c r="V11" i="2" s="1"/>
  <c r="W107" i="3"/>
  <c r="R240" i="3"/>
  <c r="W240" i="3" s="1"/>
  <c r="F27" i="2" s="1"/>
  <c r="W239" i="3"/>
  <c r="R74" i="3"/>
  <c r="W74" i="3" s="1"/>
  <c r="N13" i="2" s="1"/>
  <c r="W73" i="3"/>
  <c r="X31" i="3"/>
  <c r="S32" i="3"/>
  <c r="W67" i="3"/>
  <c r="R68" i="3"/>
  <c r="X106" i="3"/>
  <c r="S107" i="3"/>
  <c r="V92" i="3"/>
  <c r="Q93" i="3"/>
  <c r="P177" i="3"/>
  <c r="U176" i="3"/>
  <c r="V231" i="3"/>
  <c r="Q232" i="3"/>
  <c r="X328" i="3"/>
  <c r="S329" i="3"/>
  <c r="R94" i="3"/>
  <c r="W93" i="3"/>
  <c r="U15" i="3"/>
  <c r="P16" i="3"/>
  <c r="P330" i="3"/>
  <c r="U330" i="3" s="1"/>
  <c r="H19" i="2" s="1"/>
  <c r="U329" i="3"/>
  <c r="P11" i="3"/>
  <c r="U10" i="3"/>
  <c r="V66" i="3" l="1"/>
  <c r="Q67" i="3"/>
  <c r="U11" i="3"/>
  <c r="H13" i="2" s="1"/>
  <c r="S358" i="3"/>
  <c r="X357" i="3"/>
  <c r="P118" i="3"/>
  <c r="U118" i="3" s="1"/>
  <c r="U117" i="3"/>
  <c r="V261" i="3"/>
  <c r="Q262" i="3"/>
  <c r="V262" i="3" s="1"/>
  <c r="G14" i="2" s="1"/>
  <c r="X145" i="3"/>
  <c r="S146" i="3"/>
  <c r="U158" i="3"/>
  <c r="P159" i="3"/>
  <c r="S95" i="3"/>
  <c r="X94" i="3"/>
  <c r="W274" i="3"/>
  <c r="R275" i="3"/>
  <c r="W275" i="3" s="1"/>
  <c r="F21" i="2" s="1"/>
  <c r="W31" i="3"/>
  <c r="R32" i="3"/>
  <c r="W32" i="3" s="1"/>
  <c r="V14" i="2" s="1"/>
  <c r="R132" i="3"/>
  <c r="W132" i="3" s="1"/>
  <c r="F10" i="2" s="1"/>
  <c r="W131" i="3"/>
  <c r="U288" i="3"/>
  <c r="P289" i="3"/>
  <c r="U289" i="3" s="1"/>
  <c r="H20" i="2" s="1"/>
  <c r="X205" i="3"/>
  <c r="S206" i="3"/>
  <c r="W252" i="3"/>
  <c r="R253" i="3"/>
  <c r="Q206" i="3"/>
  <c r="V206" i="3" s="1"/>
  <c r="G12" i="2" s="1"/>
  <c r="V205" i="3"/>
  <c r="V79" i="3"/>
  <c r="Q80" i="3"/>
  <c r="X179" i="3"/>
  <c r="C30" i="2"/>
  <c r="E30" i="2" s="1"/>
  <c r="Q46" i="3"/>
  <c r="V46" i="3" s="1"/>
  <c r="W23" i="2" s="1"/>
  <c r="V45" i="3"/>
  <c r="X377" i="3"/>
  <c r="S378" i="3"/>
  <c r="W322" i="3"/>
  <c r="R323" i="3"/>
  <c r="W323" i="3" s="1"/>
  <c r="V25" i="2" s="1"/>
  <c r="X273" i="3"/>
  <c r="S274" i="3"/>
  <c r="W151" i="3"/>
  <c r="R152" i="3"/>
  <c r="P226" i="3"/>
  <c r="U226" i="3" s="1"/>
  <c r="X10" i="2" s="1"/>
  <c r="U225" i="3"/>
  <c r="W79" i="3"/>
  <c r="R80" i="3"/>
  <c r="X80" i="3"/>
  <c r="S81" i="3"/>
  <c r="W197" i="3"/>
  <c r="R198" i="3"/>
  <c r="X245" i="3"/>
  <c r="S246" i="3"/>
  <c r="U38" i="3"/>
  <c r="P39" i="3"/>
  <c r="U39" i="3" s="1"/>
  <c r="P20" i="2" s="1"/>
  <c r="U233" i="3"/>
  <c r="P234" i="3"/>
  <c r="U234" i="3" s="1"/>
  <c r="P11" i="2" s="1"/>
  <c r="U95" i="3"/>
  <c r="X16" i="2" s="1"/>
  <c r="Q191" i="3"/>
  <c r="V190" i="3"/>
  <c r="X58" i="3"/>
  <c r="S59" i="3"/>
  <c r="Q282" i="3"/>
  <c r="V282" i="3" s="1"/>
  <c r="G17" i="2" s="1"/>
  <c r="V281" i="3"/>
  <c r="U16" i="3"/>
  <c r="P17" i="3"/>
  <c r="U349" i="3"/>
  <c r="P350" i="3"/>
  <c r="V59" i="3"/>
  <c r="Q60" i="3"/>
  <c r="V60" i="3" s="1"/>
  <c r="O21" i="2" s="1"/>
  <c r="P108" i="3"/>
  <c r="U108" i="3" s="1"/>
  <c r="X11" i="2" s="1"/>
  <c r="U107" i="3"/>
  <c r="X10" i="3"/>
  <c r="S11" i="3"/>
  <c r="P185" i="3"/>
  <c r="U185" i="3" s="1"/>
  <c r="P17" i="2" s="1"/>
  <c r="U184" i="3"/>
  <c r="X52" i="3"/>
  <c r="S53" i="3"/>
  <c r="U356" i="3"/>
  <c r="P357" i="3"/>
  <c r="Q145" i="3"/>
  <c r="V144" i="3"/>
  <c r="U274" i="3"/>
  <c r="P275" i="3"/>
  <c r="U275" i="3" s="1"/>
  <c r="H21" i="2" s="1"/>
  <c r="P59" i="3"/>
  <c r="U58" i="3"/>
  <c r="V398" i="3"/>
  <c r="W17" i="2" s="1"/>
  <c r="S184" i="3"/>
  <c r="X183" i="3"/>
  <c r="Q358" i="3"/>
  <c r="V358" i="3" s="1"/>
  <c r="W20" i="2" s="1"/>
  <c r="V357" i="3"/>
  <c r="R296" i="3"/>
  <c r="W296" i="3" s="1"/>
  <c r="F11" i="2" s="1"/>
  <c r="W295" i="3"/>
  <c r="P199" i="3"/>
  <c r="U199" i="3" s="1"/>
  <c r="P18" i="2" s="1"/>
  <c r="U198" i="3"/>
  <c r="Q330" i="3"/>
  <c r="V330" i="3" s="1"/>
  <c r="G19" i="2" s="1"/>
  <c r="V329" i="3"/>
  <c r="V86" i="3"/>
  <c r="Q87" i="3"/>
  <c r="V224" i="3"/>
  <c r="Q225" i="3"/>
  <c r="X101" i="3"/>
  <c r="S102" i="3"/>
  <c r="Q302" i="3"/>
  <c r="V302" i="3" s="1"/>
  <c r="G24" i="2" s="1"/>
  <c r="V301" i="3"/>
  <c r="X239" i="3"/>
  <c r="S240" i="3"/>
  <c r="P268" i="3"/>
  <c r="U268" i="3" s="1"/>
  <c r="X12" i="2" s="1"/>
  <c r="U267" i="3"/>
  <c r="X302" i="3"/>
  <c r="C24" i="2"/>
  <c r="E24" i="2" s="1"/>
  <c r="X323" i="3"/>
  <c r="S25" i="2"/>
  <c r="U25" i="2" s="1"/>
  <c r="Q125" i="3"/>
  <c r="V125" i="3" s="1"/>
  <c r="W26" i="2" s="1"/>
  <c r="V124" i="3"/>
  <c r="W190" i="3"/>
  <c r="R191" i="3"/>
  <c r="Q385" i="3"/>
  <c r="V385" i="3" s="1"/>
  <c r="O15" i="2" s="1"/>
  <c r="V384" i="3"/>
  <c r="R17" i="3"/>
  <c r="W16" i="3"/>
  <c r="Q309" i="3"/>
  <c r="V309" i="3" s="1"/>
  <c r="G23" i="2" s="1"/>
  <c r="V308" i="3"/>
  <c r="U321" i="3"/>
  <c r="P322" i="3"/>
  <c r="X153" i="3"/>
  <c r="S21" i="2"/>
  <c r="U21" i="2" s="1"/>
  <c r="V254" i="3"/>
  <c r="Q255" i="3"/>
  <c r="W144" i="3"/>
  <c r="R145" i="3"/>
  <c r="X251" i="3"/>
  <c r="S252" i="3"/>
  <c r="S294" i="3"/>
  <c r="X293" i="3"/>
  <c r="X337" i="3"/>
  <c r="C18" i="2"/>
  <c r="E18" i="2" s="1"/>
  <c r="W159" i="3"/>
  <c r="R160" i="3"/>
  <c r="W160" i="3" s="1"/>
  <c r="F29" i="2" s="1"/>
  <c r="W178" i="3"/>
  <c r="R179" i="3"/>
  <c r="W179" i="3" s="1"/>
  <c r="F30" i="2" s="1"/>
  <c r="R25" i="3"/>
  <c r="W25" i="3" s="1"/>
  <c r="F28" i="2" s="1"/>
  <c r="W24" i="3"/>
  <c r="R378" i="3"/>
  <c r="W378" i="3" s="1"/>
  <c r="V22" i="2" s="1"/>
  <c r="W377" i="3"/>
  <c r="X73" i="3"/>
  <c r="S74" i="3"/>
  <c r="R226" i="3"/>
  <c r="W226" i="3" s="1"/>
  <c r="V10" i="2" s="1"/>
  <c r="W225" i="3"/>
  <c r="W211" i="3"/>
  <c r="R212" i="3"/>
  <c r="U65" i="3"/>
  <c r="P66" i="3"/>
  <c r="Q289" i="3"/>
  <c r="V289" i="3" s="1"/>
  <c r="G20" i="2" s="1"/>
  <c r="V288" i="3"/>
  <c r="V23" i="3"/>
  <c r="Q24" i="3"/>
  <c r="W137" i="3"/>
  <c r="R138" i="3"/>
  <c r="Q393" i="3"/>
  <c r="V393" i="3" s="1"/>
  <c r="O16" i="2" s="1"/>
  <c r="V392" i="3"/>
  <c r="P254" i="3"/>
  <c r="U253" i="3"/>
  <c r="P308" i="3"/>
  <c r="U307" i="3"/>
  <c r="S199" i="3"/>
  <c r="X198" i="3"/>
  <c r="R393" i="3"/>
  <c r="W392" i="3"/>
  <c r="W349" i="3"/>
  <c r="R350" i="3"/>
  <c r="W383" i="3"/>
  <c r="R384" i="3"/>
  <c r="Q296" i="3"/>
  <c r="V296" i="3" s="1"/>
  <c r="G11" i="2" s="1"/>
  <c r="V295" i="3"/>
  <c r="P146" i="3"/>
  <c r="U146" i="3" s="1"/>
  <c r="H26" i="2" s="1"/>
  <c r="U145" i="3"/>
  <c r="P247" i="3"/>
  <c r="U247" i="3" s="1"/>
  <c r="P12" i="2" s="1"/>
  <c r="U246" i="3"/>
  <c r="R262" i="3"/>
  <c r="W262" i="3" s="1"/>
  <c r="F14" i="2" s="1"/>
  <c r="W261" i="3"/>
  <c r="P261" i="3"/>
  <c r="U260" i="3"/>
  <c r="Q337" i="3"/>
  <c r="V337" i="3" s="1"/>
  <c r="G18" i="2" s="1"/>
  <c r="V336" i="3"/>
  <c r="C10" i="2"/>
  <c r="E10" i="2" s="1"/>
  <c r="X132" i="3"/>
  <c r="R268" i="3"/>
  <c r="W268" i="3" s="1"/>
  <c r="V12" i="2" s="1"/>
  <c r="W267" i="3"/>
  <c r="Q213" i="3"/>
  <c r="V212" i="3"/>
  <c r="P295" i="3"/>
  <c r="U294" i="3"/>
  <c r="X371" i="3"/>
  <c r="K14" i="2"/>
  <c r="M14" i="2" s="1"/>
  <c r="P87" i="3"/>
  <c r="U86" i="3"/>
  <c r="X391" i="3"/>
  <c r="S392" i="3"/>
  <c r="X191" i="3"/>
  <c r="S192" i="3"/>
  <c r="X261" i="3"/>
  <c r="S262" i="3"/>
  <c r="W68" i="3"/>
  <c r="F22" i="2" s="1"/>
  <c r="X64" i="3"/>
  <c r="S65" i="3"/>
  <c r="Q17" i="3"/>
  <c r="V16" i="3"/>
  <c r="V232" i="3"/>
  <c r="Q233" i="3"/>
  <c r="X267" i="3"/>
  <c r="S268" i="3"/>
  <c r="U177" i="3"/>
  <c r="P178" i="3"/>
  <c r="X38" i="3"/>
  <c r="S39" i="3"/>
  <c r="V93" i="3"/>
  <c r="Q94" i="3"/>
  <c r="S214" i="3"/>
  <c r="X213" i="3"/>
  <c r="R246" i="3"/>
  <c r="W245" i="3"/>
  <c r="W11" i="3"/>
  <c r="F13" i="2" s="1"/>
  <c r="P337" i="3"/>
  <c r="U337" i="3" s="1"/>
  <c r="H18" i="2" s="1"/>
  <c r="U336" i="3"/>
  <c r="W37" i="3"/>
  <c r="R38" i="3"/>
  <c r="X32" i="3"/>
  <c r="S14" i="2"/>
  <c r="U14" i="2" s="1"/>
  <c r="R337" i="3"/>
  <c r="W337" i="3" s="1"/>
  <c r="F18" i="2" s="1"/>
  <c r="W336" i="3"/>
  <c r="P139" i="3"/>
  <c r="U139" i="3" s="1"/>
  <c r="U138" i="3"/>
  <c r="S225" i="3"/>
  <c r="X224" i="3"/>
  <c r="X231" i="3"/>
  <c r="S232" i="3"/>
  <c r="V37" i="3"/>
  <c r="Q38" i="3"/>
  <c r="X24" i="3"/>
  <c r="S25" i="3"/>
  <c r="W231" i="3"/>
  <c r="R232" i="3"/>
  <c r="P385" i="3"/>
  <c r="U385" i="3" s="1"/>
  <c r="P15" i="2" s="1"/>
  <c r="U384" i="3"/>
  <c r="X280" i="3"/>
  <c r="S281" i="3"/>
  <c r="P80" i="3"/>
  <c r="U79" i="3"/>
  <c r="S384" i="3"/>
  <c r="X383" i="3"/>
  <c r="W52" i="3"/>
  <c r="R53" i="3"/>
  <c r="W53" i="3" s="1"/>
  <c r="F16" i="2" s="1"/>
  <c r="U52" i="3"/>
  <c r="P53" i="3"/>
  <c r="U53" i="3" s="1"/>
  <c r="H16" i="2" s="1"/>
  <c r="S159" i="3"/>
  <c r="X158" i="3"/>
  <c r="Q108" i="3"/>
  <c r="V108" i="3" s="1"/>
  <c r="W11" i="2" s="1"/>
  <c r="V107" i="3"/>
  <c r="W59" i="3"/>
  <c r="R60" i="3"/>
  <c r="W60" i="3" s="1"/>
  <c r="N21" i="2" s="1"/>
  <c r="X87" i="3"/>
  <c r="S88" i="3"/>
  <c r="X349" i="3"/>
  <c r="S350" i="3"/>
  <c r="S289" i="3"/>
  <c r="X288" i="3"/>
  <c r="U211" i="3"/>
  <c r="P212" i="3"/>
  <c r="R95" i="3"/>
  <c r="W94" i="3"/>
  <c r="X329" i="3"/>
  <c r="S330" i="3"/>
  <c r="S108" i="3"/>
  <c r="X107" i="3"/>
  <c r="Q350" i="3"/>
  <c r="V349" i="3"/>
  <c r="U390" i="3"/>
  <c r="P391" i="3"/>
  <c r="S308" i="3"/>
  <c r="X307" i="3"/>
  <c r="X17" i="3"/>
  <c r="S18" i="3"/>
  <c r="W329" i="3"/>
  <c r="R330" i="3"/>
  <c r="W330" i="3" s="1"/>
  <c r="F19" i="2" s="1"/>
  <c r="K20" i="2" l="1"/>
  <c r="M20" i="2" s="1"/>
  <c r="X39" i="3"/>
  <c r="X192" i="3"/>
  <c r="C25" i="2"/>
  <c r="E25" i="2" s="1"/>
  <c r="Q192" i="3"/>
  <c r="V192" i="3" s="1"/>
  <c r="G25" i="2" s="1"/>
  <c r="V191" i="3"/>
  <c r="U159" i="3"/>
  <c r="P160" i="3"/>
  <c r="U160" i="3" s="1"/>
  <c r="H29" i="2" s="1"/>
  <c r="Q351" i="3"/>
  <c r="V351" i="3" s="1"/>
  <c r="W19" i="2" s="1"/>
  <c r="V350" i="3"/>
  <c r="P67" i="3"/>
  <c r="U66" i="3"/>
  <c r="U178" i="3"/>
  <c r="P179" i="3"/>
  <c r="U179" i="3" s="1"/>
  <c r="H30" i="2" s="1"/>
  <c r="S393" i="3"/>
  <c r="X392" i="3"/>
  <c r="W393" i="3"/>
  <c r="N16" i="2" s="1"/>
  <c r="R18" i="3"/>
  <c r="W18" i="3" s="1"/>
  <c r="N22" i="2" s="1"/>
  <c r="W17" i="3"/>
  <c r="X184" i="3"/>
  <c r="S185" i="3"/>
  <c r="P407" i="3"/>
  <c r="U407" i="3" s="1"/>
  <c r="AF13" i="2" s="1"/>
  <c r="W212" i="3"/>
  <c r="R213" i="3"/>
  <c r="X102" i="3"/>
  <c r="S24" i="2"/>
  <c r="U24" i="2" s="1"/>
  <c r="S275" i="3"/>
  <c r="X274" i="3"/>
  <c r="X206" i="3"/>
  <c r="C12" i="2"/>
  <c r="E12" i="2" s="1"/>
  <c r="X11" i="3"/>
  <c r="C13" i="2"/>
  <c r="E13" i="2" s="1"/>
  <c r="W38" i="3"/>
  <c r="R39" i="3"/>
  <c r="W39" i="3" s="1"/>
  <c r="N20" i="2" s="1"/>
  <c r="X268" i="3"/>
  <c r="S12" i="2"/>
  <c r="U12" i="2" s="1"/>
  <c r="X199" i="3"/>
  <c r="K18" i="2"/>
  <c r="M18" i="2" s="1"/>
  <c r="S295" i="3"/>
  <c r="X294" i="3"/>
  <c r="W191" i="3"/>
  <c r="R192" i="3"/>
  <c r="W192" i="3" s="1"/>
  <c r="F25" i="2" s="1"/>
  <c r="V225" i="3"/>
  <c r="Q226" i="3"/>
  <c r="V226" i="3" s="1"/>
  <c r="W10" i="2" s="1"/>
  <c r="P262" i="3"/>
  <c r="U262" i="3" s="1"/>
  <c r="H14" i="2" s="1"/>
  <c r="U261" i="3"/>
  <c r="C28" i="2"/>
  <c r="E28" i="2" s="1"/>
  <c r="X25" i="3"/>
  <c r="V233" i="3"/>
  <c r="Q234" i="3"/>
  <c r="V234" i="3" s="1"/>
  <c r="O11" i="2" s="1"/>
  <c r="P309" i="3"/>
  <c r="U309" i="3" s="1"/>
  <c r="H23" i="2" s="1"/>
  <c r="U308" i="3"/>
  <c r="P60" i="3"/>
  <c r="U60" i="3" s="1"/>
  <c r="P21" i="2" s="1"/>
  <c r="U59" i="3"/>
  <c r="P81" i="3"/>
  <c r="U81" i="3" s="1"/>
  <c r="H31" i="2" s="1"/>
  <c r="U80" i="3"/>
  <c r="R351" i="3"/>
  <c r="W351" i="3" s="1"/>
  <c r="V19" i="2" s="1"/>
  <c r="W350" i="3"/>
  <c r="U87" i="3"/>
  <c r="P88" i="3"/>
  <c r="U88" i="3" s="1"/>
  <c r="P19" i="2" s="1"/>
  <c r="X252" i="3"/>
  <c r="S253" i="3"/>
  <c r="X159" i="3"/>
  <c r="S160" i="3"/>
  <c r="V38" i="3"/>
  <c r="Q39" i="3"/>
  <c r="V39" i="3" s="1"/>
  <c r="O20" i="2" s="1"/>
  <c r="X74" i="3"/>
  <c r="K13" i="2"/>
  <c r="M13" i="2" s="1"/>
  <c r="R146" i="3"/>
  <c r="W146" i="3" s="1"/>
  <c r="F26" i="2" s="1"/>
  <c r="W145" i="3"/>
  <c r="V87" i="3"/>
  <c r="Q88" i="3"/>
  <c r="V88" i="3" s="1"/>
  <c r="O19" i="2" s="1"/>
  <c r="P351" i="3"/>
  <c r="U351" i="3" s="1"/>
  <c r="X19" i="2" s="1"/>
  <c r="U350" i="3"/>
  <c r="S247" i="3"/>
  <c r="X246" i="3"/>
  <c r="X378" i="3"/>
  <c r="S22" i="2"/>
  <c r="U22" i="2" s="1"/>
  <c r="X88" i="3"/>
  <c r="K19" i="2"/>
  <c r="M19" i="2" s="1"/>
  <c r="X240" i="3"/>
  <c r="C27" i="2"/>
  <c r="E27" i="2" s="1"/>
  <c r="P255" i="3"/>
  <c r="U254" i="3"/>
  <c r="X358" i="3"/>
  <c r="S20" i="2"/>
  <c r="U20" i="2" s="1"/>
  <c r="X262" i="3"/>
  <c r="C14" i="2"/>
  <c r="E14" i="2" s="1"/>
  <c r="S282" i="3"/>
  <c r="X281" i="3"/>
  <c r="R254" i="3"/>
  <c r="W253" i="3"/>
  <c r="R233" i="3"/>
  <c r="W232" i="3"/>
  <c r="W95" i="3"/>
  <c r="V16" i="2" s="1"/>
  <c r="P213" i="3"/>
  <c r="U212" i="3"/>
  <c r="X232" i="3"/>
  <c r="S233" i="3"/>
  <c r="Q18" i="3"/>
  <c r="V18" i="3" s="1"/>
  <c r="O22" i="2" s="1"/>
  <c r="V17" i="3"/>
  <c r="P296" i="3"/>
  <c r="U296" i="3" s="1"/>
  <c r="H11" i="2" s="1"/>
  <c r="U295" i="3"/>
  <c r="Q409" i="3"/>
  <c r="V409" i="3" s="1"/>
  <c r="V255" i="3"/>
  <c r="O10" i="2" s="1"/>
  <c r="P18" i="3"/>
  <c r="U18" i="3" s="1"/>
  <c r="P22" i="2" s="1"/>
  <c r="U17" i="3"/>
  <c r="R199" i="3"/>
  <c r="W199" i="3" s="1"/>
  <c r="N18" i="2" s="1"/>
  <c r="W198" i="3"/>
  <c r="X146" i="3"/>
  <c r="C26" i="2"/>
  <c r="E26" i="2" s="1"/>
  <c r="Q146" i="3"/>
  <c r="V145" i="3"/>
  <c r="V94" i="3"/>
  <c r="Q95" i="3"/>
  <c r="X95" i="3"/>
  <c r="S16" i="2"/>
  <c r="U16" i="2" s="1"/>
  <c r="R139" i="3"/>
  <c r="W139" i="3" s="1"/>
  <c r="W138" i="3"/>
  <c r="U357" i="3"/>
  <c r="P358" i="3"/>
  <c r="U358" i="3" s="1"/>
  <c r="X20" i="2" s="1"/>
  <c r="X81" i="3"/>
  <c r="C31" i="2"/>
  <c r="E31" i="2" s="1"/>
  <c r="Q68" i="3"/>
  <c r="V67" i="3"/>
  <c r="X108" i="3"/>
  <c r="S11" i="2"/>
  <c r="U11" i="2" s="1"/>
  <c r="X330" i="3"/>
  <c r="C19" i="2"/>
  <c r="E19" i="2" s="1"/>
  <c r="X18" i="3"/>
  <c r="K22" i="2"/>
  <c r="M22" i="2" s="1"/>
  <c r="X289" i="3"/>
  <c r="C20" i="2"/>
  <c r="E20" i="2" s="1"/>
  <c r="S385" i="3"/>
  <c r="S407" i="3" s="1"/>
  <c r="X384" i="3"/>
  <c r="S226" i="3"/>
  <c r="X225" i="3"/>
  <c r="R385" i="3"/>
  <c r="W385" i="3" s="1"/>
  <c r="N15" i="2" s="1"/>
  <c r="W384" i="3"/>
  <c r="U391" i="3"/>
  <c r="P392" i="3"/>
  <c r="R153" i="3"/>
  <c r="W153" i="3" s="1"/>
  <c r="V21" i="2" s="1"/>
  <c r="W152" i="3"/>
  <c r="S66" i="3"/>
  <c r="X65" i="3"/>
  <c r="R247" i="3"/>
  <c r="W246" i="3"/>
  <c r="Q214" i="3"/>
  <c r="V214" i="3" s="1"/>
  <c r="G15" i="2" s="1"/>
  <c r="V213" i="3"/>
  <c r="X308" i="3"/>
  <c r="S309" i="3"/>
  <c r="S351" i="3"/>
  <c r="X350" i="3"/>
  <c r="X214" i="3"/>
  <c r="C15" i="2"/>
  <c r="E15" i="2" s="1"/>
  <c r="V24" i="3"/>
  <c r="Q25" i="3"/>
  <c r="V25" i="3" s="1"/>
  <c r="G28" i="2" s="1"/>
  <c r="U322" i="3"/>
  <c r="P323" i="3"/>
  <c r="U323" i="3" s="1"/>
  <c r="X25" i="2" s="1"/>
  <c r="X53" i="3"/>
  <c r="C16" i="2"/>
  <c r="E16" i="2" s="1"/>
  <c r="X59" i="3"/>
  <c r="S60" i="3"/>
  <c r="W80" i="3"/>
  <c r="R81" i="3"/>
  <c r="W81" i="3" s="1"/>
  <c r="F31" i="2" s="1"/>
  <c r="V80" i="3"/>
  <c r="Q81" i="3"/>
  <c r="V81" i="3" s="1"/>
  <c r="G31" i="2" s="1"/>
  <c r="Q400" i="3"/>
  <c r="V400" i="3" s="1"/>
  <c r="X407" i="3" l="1"/>
  <c r="AA13" i="2"/>
  <c r="AD13" i="2" s="1"/>
  <c r="X60" i="3"/>
  <c r="K21" i="2"/>
  <c r="M21" i="2" s="1"/>
  <c r="Q401" i="3"/>
  <c r="X385" i="3"/>
  <c r="K15" i="2"/>
  <c r="M15" i="2" s="1"/>
  <c r="W247" i="3"/>
  <c r="N12" i="2" s="1"/>
  <c r="AC13" i="2"/>
  <c r="Q407" i="3"/>
  <c r="V407" i="3" s="1"/>
  <c r="V95" i="3"/>
  <c r="W16" i="2" s="1"/>
  <c r="U67" i="3"/>
  <c r="P68" i="3"/>
  <c r="S67" i="3"/>
  <c r="S400" i="3" s="1"/>
  <c r="X400" i="3" s="1"/>
  <c r="X66" i="3"/>
  <c r="X233" i="3"/>
  <c r="S234" i="3"/>
  <c r="AC11" i="2"/>
  <c r="X185" i="3"/>
  <c r="K17" i="2"/>
  <c r="M17" i="2" s="1"/>
  <c r="X393" i="3"/>
  <c r="K16" i="2"/>
  <c r="M16" i="2" s="1"/>
  <c r="P214" i="3"/>
  <c r="U214" i="3" s="1"/>
  <c r="H15" i="2" s="1"/>
  <c r="U213" i="3"/>
  <c r="P405" i="3"/>
  <c r="Q411" i="3"/>
  <c r="V411" i="3" s="1"/>
  <c r="V68" i="3"/>
  <c r="G22" i="2" s="1"/>
  <c r="R407" i="3"/>
  <c r="W407" i="3" s="1"/>
  <c r="AE13" i="2" s="1"/>
  <c r="X160" i="3"/>
  <c r="C29" i="2"/>
  <c r="E29" i="2" s="1"/>
  <c r="X275" i="3"/>
  <c r="C21" i="2"/>
  <c r="E21" i="2" s="1"/>
  <c r="R405" i="3"/>
  <c r="V146" i="3"/>
  <c r="G26" i="2" s="1"/>
  <c r="Q405" i="3"/>
  <c r="P393" i="3"/>
  <c r="U392" i="3"/>
  <c r="P400" i="3"/>
  <c r="U400" i="3" s="1"/>
  <c r="X282" i="3"/>
  <c r="C17" i="2"/>
  <c r="E17" i="2" s="1"/>
  <c r="R214" i="3"/>
  <c r="W213" i="3"/>
  <c r="P409" i="3"/>
  <c r="U409" i="3" s="1"/>
  <c r="AF15" i="2" s="1"/>
  <c r="U255" i="3"/>
  <c r="P10" i="2" s="1"/>
  <c r="W233" i="3"/>
  <c r="R234" i="3"/>
  <c r="W234" i="3" s="1"/>
  <c r="N11" i="2" s="1"/>
  <c r="S254" i="3"/>
  <c r="X254" i="3" s="1"/>
  <c r="X253" i="3"/>
  <c r="X295" i="3"/>
  <c r="S296" i="3"/>
  <c r="S405" i="3"/>
  <c r="X351" i="3"/>
  <c r="S19" i="2"/>
  <c r="U19" i="2" s="1"/>
  <c r="X226" i="3"/>
  <c r="S10" i="2"/>
  <c r="U10" i="2" s="1"/>
  <c r="X309" i="3"/>
  <c r="C23" i="2"/>
  <c r="E23" i="2" s="1"/>
  <c r="R255" i="3"/>
  <c r="W254" i="3"/>
  <c r="X247" i="3"/>
  <c r="K12" i="2"/>
  <c r="M12" i="2" s="1"/>
  <c r="R400" i="3"/>
  <c r="W400" i="3" s="1"/>
  <c r="P411" i="3" l="1"/>
  <c r="U411" i="3" s="1"/>
  <c r="AF17" i="2" s="1"/>
  <c r="U68" i="3"/>
  <c r="H22" i="2" s="1"/>
  <c r="P413" i="3"/>
  <c r="U405" i="3"/>
  <c r="AF11" i="2" s="1"/>
  <c r="R409" i="3"/>
  <c r="W409" i="3" s="1"/>
  <c r="AE15" i="2" s="1"/>
  <c r="W255" i="3"/>
  <c r="N10" i="2" s="1"/>
  <c r="AC15" i="2"/>
  <c r="S255" i="3"/>
  <c r="W214" i="3"/>
  <c r="F15" i="2" s="1"/>
  <c r="AC17" i="2"/>
  <c r="AC18" i="2" s="1"/>
  <c r="R411" i="3"/>
  <c r="W411" i="3" s="1"/>
  <c r="AE17" i="2" s="1"/>
  <c r="V401" i="3"/>
  <c r="Q4" i="3"/>
  <c r="V4" i="3" s="1"/>
  <c r="Q413" i="3"/>
  <c r="V405" i="3"/>
  <c r="R401" i="3"/>
  <c r="X405" i="3"/>
  <c r="AA11" i="2"/>
  <c r="U393" i="3"/>
  <c r="P16" i="2" s="1"/>
  <c r="P401" i="3"/>
  <c r="X296" i="3"/>
  <c r="C11" i="2"/>
  <c r="E11" i="2" s="1"/>
  <c r="X67" i="3"/>
  <c r="S68" i="3"/>
  <c r="W405" i="3"/>
  <c r="AE11" i="2" s="1"/>
  <c r="X234" i="3"/>
  <c r="K11" i="2"/>
  <c r="M11" i="2" s="1"/>
  <c r="U401" i="3" l="1"/>
  <c r="P4" i="3"/>
  <c r="U4" i="3" s="1"/>
  <c r="AD11" i="2"/>
  <c r="R413" i="3"/>
  <c r="S411" i="3"/>
  <c r="X68" i="3"/>
  <c r="C22" i="2"/>
  <c r="E22" i="2" s="1"/>
  <c r="W401" i="3"/>
  <c r="R4" i="3"/>
  <c r="W4" i="3" s="1"/>
  <c r="AC20" i="2"/>
  <c r="S409" i="3"/>
  <c r="X255" i="3"/>
  <c r="K10" i="2"/>
  <c r="M10" i="2" s="1"/>
  <c r="S401" i="3"/>
  <c r="X401" i="3" l="1"/>
  <c r="S4" i="3"/>
  <c r="X4" i="3" s="1"/>
  <c r="AA20" i="2"/>
  <c r="X409" i="3"/>
  <c r="AA15" i="2"/>
  <c r="S413" i="3"/>
  <c r="X411" i="3"/>
  <c r="AA17" i="2"/>
  <c r="AD17" i="2" s="1"/>
  <c r="AD15" i="2" l="1"/>
  <c r="AA18" i="2"/>
</calcChain>
</file>

<file path=xl/sharedStrings.xml><?xml version="1.0" encoding="utf-8"?>
<sst xmlns="http://schemas.openxmlformats.org/spreadsheetml/2006/main" count="36459" uniqueCount="1567">
  <si>
    <t>Embarcadero Institute California's Progress in Housing Approvals</t>
  </si>
  <si>
    <t>Click on the cell below to go to the appropriate tab</t>
  </si>
  <si>
    <t>Sheet Number</t>
  </si>
  <si>
    <t>Data source</t>
  </si>
  <si>
    <t>Description</t>
  </si>
  <si>
    <t>1. Summary of County Progress re Housing Goals</t>
  </si>
  <si>
    <t>Embarcadero Institute summary of county success and rankings</t>
  </si>
  <si>
    <t>2. Prorated Housing Progress by County 2014 to 2019</t>
  </si>
  <si>
    <t>Embarcadero Institute analysis of HCD data to determine cumulative progress by counties against targets as of 2019</t>
  </si>
  <si>
    <t>3. Prorated Housing Progress by City thru 2019</t>
  </si>
  <si>
    <t>Embarcadero Institute: Analysis of HCD data to determine cumulative progress by cities against targets as of 2019</t>
  </si>
  <si>
    <t>4. 5th Cycle Permits thru 2019 by County and Year</t>
  </si>
  <si>
    <t>Embarcadero Institute: Analysis of HCD data to determine progress by county and year</t>
  </si>
  <si>
    <t>5. HCD permit data thru 2019 - cleaned</t>
  </si>
  <si>
    <t>Embarcadero Institute:  HCD data cleaned for duplicates and permits outside cycle range</t>
  </si>
  <si>
    <t>6. HCD 5th cycle Raw Permit Data thru 2019</t>
  </si>
  <si>
    <t>Dept of Housing and Community Development (HCD), Annual Progress Report Summary : 5th Cycle APR Raw Data</t>
  </si>
  <si>
    <t>7. HCD Assigned 5th Cycle RHNA</t>
  </si>
  <si>
    <t>Dept of Housing and Community Development (HCD), Annual Progress Report Summary : Assigned 5th Cycle RHNA</t>
  </si>
  <si>
    <r>
      <rPr>
        <b/>
        <sz val="24"/>
        <rFont val="Arial"/>
      </rPr>
      <t xml:space="preserve"> COUNTY HOUSING PROGRESS</t>
    </r>
    <r>
      <rPr>
        <sz val="10"/>
        <color rgb="FF000000"/>
        <rFont val="Arial"/>
      </rPr>
      <t xml:space="preserve"> (Totals includes very low income, low income, moderate and luxury housing)</t>
    </r>
  </si>
  <si>
    <t>Counties at 85% or more of Prorated Housing Target (all income levels)</t>
  </si>
  <si>
    <t>Counties between 50% and 85 % of Prorated Housing Target (all income levels)</t>
  </si>
  <si>
    <t>Counties at 50% or less than Prorated Housing Target (all income levels)</t>
  </si>
  <si>
    <t>Major Jurisdictions Representing More than 80% of Housing in California</t>
  </si>
  <si>
    <t>POPULOUS URBANIZED REGIONS ARE MOVING FAST TOWARD APPROVING STATE-REQUIRED HOUSING TARGETS</t>
  </si>
  <si>
    <t>LESS POPULOUS RURAL COUNTIES  STRUGGLE TO REACH STATE-REQUIRED HOUSING TARGETS</t>
  </si>
  <si>
    <t>COUNTY</t>
  </si>
  <si>
    <t>Total Housing Approved by 2019 in 5th cycle</t>
  </si>
  <si>
    <t>Number of Housing Units County should have approved by 2019</t>
  </si>
  <si>
    <t>Total Percentage of Housing Target Achieved</t>
  </si>
  <si>
    <t>Above Moderate Housing Percentage Approved</t>
  </si>
  <si>
    <t>Moderate Housing Percentage Approved</t>
  </si>
  <si>
    <t>Very Low and Low Percentage Approved</t>
  </si>
  <si>
    <t>JURISDICTION</t>
  </si>
  <si>
    <t>Number of Market-Rate Housing Units approved by 2019</t>
  </si>
  <si>
    <t>Los Angeles</t>
  </si>
  <si>
    <t>San Diego</t>
  </si>
  <si>
    <t>Riverside</t>
  </si>
  <si>
    <t>Santa Clara</t>
  </si>
  <si>
    <t>Sacramento</t>
  </si>
  <si>
    <t>Kern</t>
  </si>
  <si>
    <t>ABAG</t>
  </si>
  <si>
    <t>Orange</t>
  </si>
  <si>
    <t>San Bernardino</t>
  </si>
  <si>
    <t>San Joaquin</t>
  </si>
  <si>
    <t>Alameda</t>
  </si>
  <si>
    <t>Fresno</t>
  </si>
  <si>
    <t>Merced</t>
  </si>
  <si>
    <t>SCAG</t>
  </si>
  <si>
    <t>San Francisco</t>
  </si>
  <si>
    <t>Tulare</t>
  </si>
  <si>
    <t>Butte</t>
  </si>
  <si>
    <t>Placer</t>
  </si>
  <si>
    <t>Ventura</t>
  </si>
  <si>
    <t>Stanislaus</t>
  </si>
  <si>
    <t>SANDAG</t>
  </si>
  <si>
    <t>Contra Costa</t>
  </si>
  <si>
    <t>Yolo</t>
  </si>
  <si>
    <t>Imperial</t>
  </si>
  <si>
    <t>San Mateo</t>
  </si>
  <si>
    <t>Monterey</t>
  </si>
  <si>
    <t>Yuba</t>
  </si>
  <si>
    <t>SACOG</t>
  </si>
  <si>
    <t>Sonoma</t>
  </si>
  <si>
    <t>Nevada</t>
  </si>
  <si>
    <t>Kings</t>
  </si>
  <si>
    <t>Solano</t>
  </si>
  <si>
    <t>Humboldt</t>
  </si>
  <si>
    <t>Sutter</t>
  </si>
  <si>
    <t>Santa Barbara</t>
  </si>
  <si>
    <t>Calaveras</t>
  </si>
  <si>
    <t>Tehama</t>
  </si>
  <si>
    <t>CALIFORNIA</t>
  </si>
  <si>
    <t>San Luis Obispo</t>
  </si>
  <si>
    <t>Del Norte</t>
  </si>
  <si>
    <t>Mariposa</t>
  </si>
  <si>
    <t xml:space="preserve">88% of the market rate housing California in the 5th cycle has been permitted in the 4 major jurisdictions. </t>
  </si>
  <si>
    <t>El Dorado</t>
  </si>
  <si>
    <t>Alpine</t>
  </si>
  <si>
    <t>Tuolumne</t>
  </si>
  <si>
    <t>Shasta</t>
  </si>
  <si>
    <t>Colusa</t>
  </si>
  <si>
    <t>Santa Cruz</t>
  </si>
  <si>
    <t>Inyo</t>
  </si>
  <si>
    <t>Napa</t>
  </si>
  <si>
    <t>Siskiyou</t>
  </si>
  <si>
    <t>Marin</t>
  </si>
  <si>
    <t>Lassen</t>
  </si>
  <si>
    <t>San Benito</t>
  </si>
  <si>
    <t>Modoc</t>
  </si>
  <si>
    <t>Amador</t>
  </si>
  <si>
    <t>Trinity</t>
  </si>
  <si>
    <t>Mendocino</t>
  </si>
  <si>
    <t>Sierra</t>
  </si>
  <si>
    <t>Mono</t>
  </si>
  <si>
    <t>Glenn</t>
  </si>
  <si>
    <t>Plumas</t>
  </si>
  <si>
    <t>Cumulative Prorated RHNA Targets</t>
  </si>
  <si>
    <t xml:space="preserve">Cumulative Progress in Cycle </t>
  </si>
  <si>
    <t>Progress as a Percentage against Cumulative Target</t>
  </si>
  <si>
    <t>County</t>
  </si>
  <si>
    <t>Cycle Length</t>
  </si>
  <si>
    <t>Cycle Period</t>
  </si>
  <si>
    <t>Year</t>
  </si>
  <si>
    <t>Very Low</t>
  </si>
  <si>
    <t>Low</t>
  </si>
  <si>
    <t>Mod</t>
  </si>
  <si>
    <t>Above Mod</t>
  </si>
  <si>
    <t>Total</t>
  </si>
  <si>
    <t>Very Low + Low</t>
  </si>
  <si>
    <t xml:space="preserve"> Total </t>
  </si>
  <si>
    <t xml:space="preserve"> Above Mod</t>
  </si>
  <si>
    <t xml:space="preserve">5th cycle RHNA FINAL goal </t>
  </si>
  <si>
    <t>2019 PRORATEE RHNA 5th cycle GOAL</t>
  </si>
  <si>
    <t>Cumulative Permits issued in 5th cycle by end of 2019</t>
  </si>
  <si>
    <t>Annualized 5th cycle RHNA Target</t>
  </si>
  <si>
    <t>2013 Very Low&amp;Low Approvals</t>
  </si>
  <si>
    <t>2014 Very Low &amp;Low Approvals</t>
  </si>
  <si>
    <t>2015 Very Low &amp;Low Approvals</t>
  </si>
  <si>
    <t>2016 Very LoW &amp; Low Approvals</t>
  </si>
  <si>
    <t>2017 Very Low &amp; Low Approvals</t>
  </si>
  <si>
    <t>2018 Very Low &amp; Low Approvals</t>
  </si>
  <si>
    <t>2019 Very Low &amp; Low Approvals</t>
  </si>
  <si>
    <t>CALIFORNIA TOTAL (2019)</t>
  </si>
  <si>
    <t>STATE-WIDE</t>
  </si>
  <si>
    <t>ALAMEDA</t>
  </si>
  <si>
    <t>1/31/2015 - 1/31-2023</t>
  </si>
  <si>
    <t>ALPINE</t>
  </si>
  <si>
    <t>6/30/2014-6/30/2019</t>
  </si>
  <si>
    <t>6/30/2014-6/30/2020</t>
  </si>
  <si>
    <t>AMADOR</t>
  </si>
  <si>
    <t>BUTTE</t>
  </si>
  <si>
    <t>6/15/2014-6/15/2022</t>
  </si>
  <si>
    <t>6/15/2014-6/15/2023</t>
  </si>
  <si>
    <t>CALAVERAS</t>
  </si>
  <si>
    <t>COLUSA</t>
  </si>
  <si>
    <t>CONTRA COSTA</t>
  </si>
  <si>
    <t>1/31/2015- 1/31/2023</t>
  </si>
  <si>
    <t>DEL NORTE</t>
  </si>
  <si>
    <t>EL DORADO</t>
  </si>
  <si>
    <t>10/15/2013-10/15/2021</t>
  </si>
  <si>
    <t>FRESNO</t>
  </si>
  <si>
    <t>12/31/2015-12/31/2023</t>
  </si>
  <si>
    <t>12/31/2015-12/31/2024</t>
  </si>
  <si>
    <t>GLENN</t>
  </si>
  <si>
    <t>HUMBOLDT</t>
  </si>
  <si>
    <t>IMPERIAL</t>
  </si>
  <si>
    <t>INYO</t>
  </si>
  <si>
    <t>KERN</t>
  </si>
  <si>
    <t>KINGS</t>
  </si>
  <si>
    <t>1/31/2016-1/31/2024</t>
  </si>
  <si>
    <t>LAKE</t>
  </si>
  <si>
    <t>LASSEN</t>
  </si>
  <si>
    <t>LOS ANGELES</t>
  </si>
  <si>
    <t>10/15/2013-10/15/21</t>
  </si>
  <si>
    <t>10/15/2013-10/15/22</t>
  </si>
  <si>
    <t>MADERA</t>
  </si>
  <si>
    <t>MARIN</t>
  </si>
  <si>
    <t>MARIPOSA</t>
  </si>
  <si>
    <t>MENDOCINO</t>
  </si>
  <si>
    <t>MERCED</t>
  </si>
  <si>
    <t>3/31/2016-3/31/2024</t>
  </si>
  <si>
    <t>MODOC</t>
  </si>
  <si>
    <t>MONO</t>
  </si>
  <si>
    <t>MONTEREY</t>
  </si>
  <si>
    <t>12/31/2015- 12/31/2023</t>
  </si>
  <si>
    <t>NAPA</t>
  </si>
  <si>
    <t>1/31/2015-1/31/2023</t>
  </si>
  <si>
    <t>NEVADA</t>
  </si>
  <si>
    <t>ORANGE</t>
  </si>
  <si>
    <t>PLACER</t>
  </si>
  <si>
    <t>PLUMAS</t>
  </si>
  <si>
    <t>6/30/2014- 6/30/2019</t>
  </si>
  <si>
    <t>RIVERSIDE</t>
  </si>
  <si>
    <t>SACRAMENTO</t>
  </si>
  <si>
    <t>10/31/2013-10/31/2021</t>
  </si>
  <si>
    <t>SAN BENITO</t>
  </si>
  <si>
    <t>12/31/2015 - 12/31/2023</t>
  </si>
  <si>
    <t>SAN BERNARDINO</t>
  </si>
  <si>
    <t>SAN DIEGO</t>
  </si>
  <si>
    <t>4/30/2013-4/30/2021</t>
  </si>
  <si>
    <t>SAN FRANCISCO</t>
  </si>
  <si>
    <t>SAN JOAQUIN</t>
  </si>
  <si>
    <t>SAN LUIS OBISPO</t>
  </si>
  <si>
    <t>SAN MATEO</t>
  </si>
  <si>
    <t>SANTA BARBARA</t>
  </si>
  <si>
    <t>2/15/2015-2/15/2023</t>
  </si>
  <si>
    <t>SANTA CLARA</t>
  </si>
  <si>
    <t>SANTA CRUZ</t>
  </si>
  <si>
    <t>SHASTA</t>
  </si>
  <si>
    <t>SIERRA</t>
  </si>
  <si>
    <t>SISKIYOU</t>
  </si>
  <si>
    <t>SOLANO</t>
  </si>
  <si>
    <t>SONOMA</t>
  </si>
  <si>
    <t>1/31/2015-1/31/2024</t>
  </si>
  <si>
    <t>STANISLAUS</t>
  </si>
  <si>
    <t>SUTTER</t>
  </si>
  <si>
    <t>TEHAMA</t>
  </si>
  <si>
    <t>TRINITY</t>
  </si>
  <si>
    <t>TULARE</t>
  </si>
  <si>
    <t>TUOLUMNE</t>
  </si>
  <si>
    <t>VENTURA</t>
  </si>
  <si>
    <t>YOLO</t>
  </si>
  <si>
    <t>10/15/2013-10/15/2022</t>
  </si>
  <si>
    <t>YUBA</t>
  </si>
  <si>
    <t>California (at 2019)</t>
  </si>
  <si>
    <t>2018 Prorated Total</t>
  </si>
  <si>
    <t>Very Low + Low by year</t>
  </si>
  <si>
    <t>2019 Prorated Total</t>
  </si>
  <si>
    <t>Moderate by Year</t>
  </si>
  <si>
    <t>Above Mod by Year</t>
  </si>
  <si>
    <t>Total By Year in cycle</t>
  </si>
  <si>
    <t>ABAG 2019</t>
  </si>
  <si>
    <t>Total Progress by 2019</t>
  </si>
  <si>
    <t>SCAG 2019</t>
  </si>
  <si>
    <t>SANDAG 2019</t>
  </si>
  <si>
    <t>SACOG 2019</t>
  </si>
  <si>
    <t>Total 4 regions</t>
  </si>
  <si>
    <r>
      <rPr>
        <sz val="14"/>
        <rFont val="Arial"/>
      </rPr>
      <t>California Department of Housing and Community Development - Division of Housing Policy Development</t>
    </r>
    <r>
      <rPr>
        <sz val="10"/>
        <color rgb="FF000000"/>
        <rFont val="Arial"/>
      </rPr>
      <t xml:space="preserve">
 Annual Progress Report Permit Summary by County and CIty
 A summary of the housing units reported as permitted in the Housing Element Annual Progress Reports submitted to HCD for 5th Cycle compared to Regional Housing Needs Allocations (RHNAs). This table provides a summary of all 5th Cycle APR data received from a jurisdiction up to the 2019 APR received as of June 25, 2020</t>
    </r>
  </si>
  <si>
    <t>City</t>
  </si>
  <si>
    <t>Years Completed</t>
  </si>
  <si>
    <t>VLI +Li Permits 2019</t>
  </si>
  <si>
    <t>VLI +LI RHNA FINAL Target (BY END OF CYCLE)</t>
  </si>
  <si>
    <t>Mod Permits 2019</t>
  </si>
  <si>
    <t>Mod RHNA FINAL Target (BY END OF CYCLE)</t>
  </si>
  <si>
    <t>Above Mod Permits 2019</t>
  </si>
  <si>
    <t>Above Mod RHNA FINAL Target (BY END OF CYCLE)</t>
  </si>
  <si>
    <t>Total Permits 2019</t>
  </si>
  <si>
    <t>Total RHNA FINAL target (BY END OF CYCLE)</t>
  </si>
  <si>
    <t>Prorated Percentage VLI +LI</t>
  </si>
  <si>
    <t>Prorated Percentage Mod</t>
  </si>
  <si>
    <t>Prorated Percentage Above Mod</t>
  </si>
  <si>
    <t>Prorated Percentage Total</t>
  </si>
  <si>
    <t>ALAMEDA COUNTY</t>
  </si>
  <si>
    <t>ALBANY</t>
  </si>
  <si>
    <t>BERKELEY</t>
  </si>
  <si>
    <t>DUBLIN</t>
  </si>
  <si>
    <t>EMERYVILLE</t>
  </si>
  <si>
    <t>FREMONT</t>
  </si>
  <si>
    <t>HAYWARD</t>
  </si>
  <si>
    <t>LIVERMORE</t>
  </si>
  <si>
    <t>NEWARK</t>
  </si>
  <si>
    <t>OAKLAND</t>
  </si>
  <si>
    <t>PIEDMONT</t>
  </si>
  <si>
    <t>PLEASANTON</t>
  </si>
  <si>
    <t>SAN LEANDRO</t>
  </si>
  <si>
    <t>UNION CITY</t>
  </si>
  <si>
    <t>ALPINE COUNTY</t>
  </si>
  <si>
    <t>AMADOR CITY</t>
  </si>
  <si>
    <t>N/A</t>
  </si>
  <si>
    <t>AMADOR COUNTY</t>
  </si>
  <si>
    <t>IONE</t>
  </si>
  <si>
    <t>JACKSON</t>
  </si>
  <si>
    <t>PLYMOUTH</t>
  </si>
  <si>
    <t>SUTTER CREEK</t>
  </si>
  <si>
    <t>BIGGS</t>
  </si>
  <si>
    <t>BUTTE COUNTY</t>
  </si>
  <si>
    <t>CHICO</t>
  </si>
  <si>
    <t>GRIDLEY</t>
  </si>
  <si>
    <t>OROVILLE</t>
  </si>
  <si>
    <t>PARADISE</t>
  </si>
  <si>
    <t>ANGELS CAMP</t>
  </si>
  <si>
    <t>CALAVERAS COUNTY</t>
  </si>
  <si>
    <t>COLUSA COUNTY</t>
  </si>
  <si>
    <t>WILLIAMS</t>
  </si>
  <si>
    <t>ANTIOCH</t>
  </si>
  <si>
    <t>BRENTWOOD</t>
  </si>
  <si>
    <t>CLAYTON</t>
  </si>
  <si>
    <t>CONCORD</t>
  </si>
  <si>
    <t>CONTRA COSTA COUNTY</t>
  </si>
  <si>
    <t>DANVILLE</t>
  </si>
  <si>
    <t>EL CERRITO</t>
  </si>
  <si>
    <t>HERCULES</t>
  </si>
  <si>
    <t>LAFAYETTE</t>
  </si>
  <si>
    <t>MARTINEZ</t>
  </si>
  <si>
    <t>MORAGA</t>
  </si>
  <si>
    <t>OAKLEY</t>
  </si>
  <si>
    <t>ORINDA</t>
  </si>
  <si>
    <t>PINOLE</t>
  </si>
  <si>
    <t>PITTSBURG</t>
  </si>
  <si>
    <t>PLEASANT HILL</t>
  </si>
  <si>
    <t>RICHMOND</t>
  </si>
  <si>
    <t>SAN PABLO</t>
  </si>
  <si>
    <t>SAN RAMON</t>
  </si>
  <si>
    <t>WALNUT CREEK</t>
  </si>
  <si>
    <t>CRESCENT CITY</t>
  </si>
  <si>
    <t>DEL NORTE COUNTY</t>
  </si>
  <si>
    <t>EL DORADO COUNTY</t>
  </si>
  <si>
    <t>PLACERVILLE</t>
  </si>
  <si>
    <t>SOUTH LAKE TAHOE</t>
  </si>
  <si>
    <t>CLOVIS</t>
  </si>
  <si>
    <t>COALINGA</t>
  </si>
  <si>
    <t>FIREBAUGH</t>
  </si>
  <si>
    <t>FOWLER</t>
  </si>
  <si>
    <t>FRESNO COUNTY</t>
  </si>
  <si>
    <t>HURON</t>
  </si>
  <si>
    <t>KERMAN</t>
  </si>
  <si>
    <t>KINGSBURG</t>
  </si>
  <si>
    <t>MENDOTA</t>
  </si>
  <si>
    <t>ORANGE COVE</t>
  </si>
  <si>
    <t>PARLIER</t>
  </si>
  <si>
    <t>REEDLEY</t>
  </si>
  <si>
    <t>SANGER</t>
  </si>
  <si>
    <t>SELMA</t>
  </si>
  <si>
    <t>GLENN COUNTY</t>
  </si>
  <si>
    <t>ORLAND</t>
  </si>
  <si>
    <t>WILLOWS</t>
  </si>
  <si>
    <t>ARCATA</t>
  </si>
  <si>
    <t>BLUE LAKE</t>
  </si>
  <si>
    <t>EUREKA</t>
  </si>
  <si>
    <t>FERNDALE</t>
  </si>
  <si>
    <t>FORTUNA</t>
  </si>
  <si>
    <t>HUMBOLDT COUNTY</t>
  </si>
  <si>
    <t>RIO DELL</t>
  </si>
  <si>
    <t>TRINIDAD</t>
  </si>
  <si>
    <t>BRAWLEY</t>
  </si>
  <si>
    <t>CALEXICO</t>
  </si>
  <si>
    <t>CALIPATRIA</t>
  </si>
  <si>
    <t>EL CENTRO</t>
  </si>
  <si>
    <t>HOLTVILLE</t>
  </si>
  <si>
    <t>IMPERIAL COUNTY</t>
  </si>
  <si>
    <t>WESTMORLAND</t>
  </si>
  <si>
    <t>BISHOP</t>
  </si>
  <si>
    <t>INYO COUNTY</t>
  </si>
  <si>
    <t>ARVIN</t>
  </si>
  <si>
    <t>BAKERSFIELD</t>
  </si>
  <si>
    <t>CALIFORNIA CITY</t>
  </si>
  <si>
    <t>DELANO</t>
  </si>
  <si>
    <t>KERN COUNTY</t>
  </si>
  <si>
    <t>MARICOPA</t>
  </si>
  <si>
    <t>MCFARLAND</t>
  </si>
  <si>
    <t>RIDGECREST</t>
  </si>
  <si>
    <t>SHAFTER</t>
  </si>
  <si>
    <t>TAFT</t>
  </si>
  <si>
    <t>TEHACHAPI</t>
  </si>
  <si>
    <t>WASCO</t>
  </si>
  <si>
    <t>AVENAL</t>
  </si>
  <si>
    <t>CORCORAN</t>
  </si>
  <si>
    <t>HANFORD</t>
  </si>
  <si>
    <t>KINGS COUNTY</t>
  </si>
  <si>
    <t>LEMOORE</t>
  </si>
  <si>
    <t>CLEARLAKE</t>
  </si>
  <si>
    <t>LAKE COUNTY</t>
  </si>
  <si>
    <t>LAKEPORT</t>
  </si>
  <si>
    <t>LASSEN COUNTY</t>
  </si>
  <si>
    <t>SUSANVILLE</t>
  </si>
  <si>
    <t>AGOURA HILLS</t>
  </si>
  <si>
    <t>ALHAMBRA</t>
  </si>
  <si>
    <t>ARCADIA</t>
  </si>
  <si>
    <t>ARTESIA</t>
  </si>
  <si>
    <t>AVALON</t>
  </si>
  <si>
    <t>AZUSA</t>
  </si>
  <si>
    <t>BALDWIN PARK</t>
  </si>
  <si>
    <t>BELL</t>
  </si>
  <si>
    <t>BELL GARDENS</t>
  </si>
  <si>
    <t>BELLFLOWER</t>
  </si>
  <si>
    <t>BEVERLY HILLS</t>
  </si>
  <si>
    <t>BRADBURY</t>
  </si>
  <si>
    <t>BURBANK</t>
  </si>
  <si>
    <t>CALABASAS</t>
  </si>
  <si>
    <t>CARSON</t>
  </si>
  <si>
    <t>CERRITOS</t>
  </si>
  <si>
    <t>CLAREMONT</t>
  </si>
  <si>
    <t>COMMERCE</t>
  </si>
  <si>
    <t>COMPTON</t>
  </si>
  <si>
    <t>COVINA</t>
  </si>
  <si>
    <t>CUDAHY</t>
  </si>
  <si>
    <t>CULVER CITY</t>
  </si>
  <si>
    <t>DIAMOND BAR</t>
  </si>
  <si>
    <t>DOWNEY</t>
  </si>
  <si>
    <t>DUARTE</t>
  </si>
  <si>
    <t>EL MONTE</t>
  </si>
  <si>
    <t>EL SEGUNDO</t>
  </si>
  <si>
    <t>GARDENA</t>
  </si>
  <si>
    <t>GLENDALE</t>
  </si>
  <si>
    <t>GLENDORA</t>
  </si>
  <si>
    <t>HAWAIIAN GARDENS</t>
  </si>
  <si>
    <t>HAWTHORNE</t>
  </si>
  <si>
    <t>HERMOSA BEACH</t>
  </si>
  <si>
    <t>HIDDEN HILLS</t>
  </si>
  <si>
    <t>HUNTINGTON PARK</t>
  </si>
  <si>
    <t>INDUSTRY</t>
  </si>
  <si>
    <t>INGLEWOOD</t>
  </si>
  <si>
    <t>IRWINDALE</t>
  </si>
  <si>
    <t>LA CANADA FLINTRIDGE</t>
  </si>
  <si>
    <t>LA HABRA HEIGHTS</t>
  </si>
  <si>
    <t>LA MIRADA</t>
  </si>
  <si>
    <t>LA PUENTE</t>
  </si>
  <si>
    <t>LA VERNE</t>
  </si>
  <si>
    <t>LAKEWOOD</t>
  </si>
  <si>
    <t>LANCASTER</t>
  </si>
  <si>
    <t>LAWNDALE</t>
  </si>
  <si>
    <t>LOMITA</t>
  </si>
  <si>
    <t>LONG BEACH</t>
  </si>
  <si>
    <t>LOS ANGELES COUNTY</t>
  </si>
  <si>
    <t>LYNWOOD</t>
  </si>
  <si>
    <t>MALIBU</t>
  </si>
  <si>
    <t>MANHATTAN BEACH</t>
  </si>
  <si>
    <t>MAYWOOD</t>
  </si>
  <si>
    <t>MONROVIA</t>
  </si>
  <si>
    <t>MONTEBELLO</t>
  </si>
  <si>
    <t>MONTEREY PARK</t>
  </si>
  <si>
    <t>NORWALK</t>
  </si>
  <si>
    <t>PALMDALE</t>
  </si>
  <si>
    <t>PALOS VERDES ESTATES</t>
  </si>
  <si>
    <t>PARAMOUNT</t>
  </si>
  <si>
    <t>PASADENA</t>
  </si>
  <si>
    <t>PICO RIVERA</t>
  </si>
  <si>
    <t>POMONA</t>
  </si>
  <si>
    <t>RANCHO PALOS VERDES</t>
  </si>
  <si>
    <t>REDONDO BEACH</t>
  </si>
  <si>
    <t>ROLLING HILLS</t>
  </si>
  <si>
    <t>ROLLING HILLS ESTATES</t>
  </si>
  <si>
    <t>ROSEMEAD</t>
  </si>
  <si>
    <t>SAN DIMAS</t>
  </si>
  <si>
    <t>SAN FERNANDO</t>
  </si>
  <si>
    <t>SAN GABRIEL</t>
  </si>
  <si>
    <t>SAN MARINO</t>
  </si>
  <si>
    <t>SANTA CLARITA</t>
  </si>
  <si>
    <t>SANTA FE SPRINGS</t>
  </si>
  <si>
    <t>SANTA MONICA</t>
  </si>
  <si>
    <t>SIERRA MADRE</t>
  </si>
  <si>
    <t>SIGNAL HILL</t>
  </si>
  <si>
    <t>SOUTH EL MONTE</t>
  </si>
  <si>
    <t>SOUTH GATE</t>
  </si>
  <si>
    <t>SOUTH PASADENA</t>
  </si>
  <si>
    <t>TEMPLE CITY</t>
  </si>
  <si>
    <t>TORRANCE</t>
  </si>
  <si>
    <t>VERNON</t>
  </si>
  <si>
    <t>WALNUT</t>
  </si>
  <si>
    <t>WEST COVINA</t>
  </si>
  <si>
    <t>WEST HOLLYWOOD</t>
  </si>
  <si>
    <t>WESTLAKE VILLAGE</t>
  </si>
  <si>
    <t>WHITTIER</t>
  </si>
  <si>
    <t>CHOWCHILLA</t>
  </si>
  <si>
    <t>MADERA COUNTY</t>
  </si>
  <si>
    <t>BELVEDERE</t>
  </si>
  <si>
    <t>CORTE MADERA</t>
  </si>
  <si>
    <t>FAIRFAX</t>
  </si>
  <si>
    <t>LARKSPUR</t>
  </si>
  <si>
    <t>MARIN COUNTY</t>
  </si>
  <si>
    <t>MILL VALLEY</t>
  </si>
  <si>
    <t>NOVATO</t>
  </si>
  <si>
    <t>ROSS</t>
  </si>
  <si>
    <t>SAN ANSELMO</t>
  </si>
  <si>
    <t>SAN RAFAEL</t>
  </si>
  <si>
    <t>SAUSALITO</t>
  </si>
  <si>
    <t>TIBURON</t>
  </si>
  <si>
    <t>MARIPOSA COUNTY</t>
  </si>
  <si>
    <t>FORT BRAGG</t>
  </si>
  <si>
    <t>MENDOCINO COUNTY</t>
  </si>
  <si>
    <t>POINT ARENA</t>
  </si>
  <si>
    <t>UKIAH</t>
  </si>
  <si>
    <t>WILLITS</t>
  </si>
  <si>
    <t>ATWATER</t>
  </si>
  <si>
    <t>DOS PALOS</t>
  </si>
  <si>
    <t>GUSTINE</t>
  </si>
  <si>
    <t>LIVINGSTON</t>
  </si>
  <si>
    <t>LOS BANOS</t>
  </si>
  <si>
    <t>MERCED COUNTY</t>
  </si>
  <si>
    <t>ALTURAS</t>
  </si>
  <si>
    <t>MODOC COUNTY</t>
  </si>
  <si>
    <t>MAMMOTH LAKES</t>
  </si>
  <si>
    <t>MONO COUNTY</t>
  </si>
  <si>
    <t>CARMEL-BY-THE-SEA</t>
  </si>
  <si>
    <t>DEL REY OAKS</t>
  </si>
  <si>
    <t>GONZALES</t>
  </si>
  <si>
    <t>GREENFIELD</t>
  </si>
  <si>
    <t>KING CITY</t>
  </si>
  <si>
    <t>MARINA</t>
  </si>
  <si>
    <t>MONTEREY COUNTY</t>
  </si>
  <si>
    <t>PACIFIC GROVE</t>
  </si>
  <si>
    <t>SALINAS</t>
  </si>
  <si>
    <t>SAND CITY</t>
  </si>
  <si>
    <t>SEASIDE</t>
  </si>
  <si>
    <t>SOLEDAD</t>
  </si>
  <si>
    <t>AMERICAN CANYON</t>
  </si>
  <si>
    <t>CALISTOGA</t>
  </si>
  <si>
    <t>NAPA COUNTY</t>
  </si>
  <si>
    <t>SAINT HELENA</t>
  </si>
  <si>
    <t>YOUNTVILLE</t>
  </si>
  <si>
    <t>GRASS VALLEY</t>
  </si>
  <si>
    <t>NEVADA CITY</t>
  </si>
  <si>
    <t>NEVADA COUNTY</t>
  </si>
  <si>
    <t>TRUCKEE</t>
  </si>
  <si>
    <t>ALISO VIEJO</t>
  </si>
  <si>
    <t>ANAHEIM</t>
  </si>
  <si>
    <t>BREA</t>
  </si>
  <si>
    <t>BUENA PARK</t>
  </si>
  <si>
    <t>COSTA MESA</t>
  </si>
  <si>
    <t>CYPRESS</t>
  </si>
  <si>
    <t>DANA POINT</t>
  </si>
  <si>
    <t>FOUNTAIN VALLEY</t>
  </si>
  <si>
    <t>FULLERTON</t>
  </si>
  <si>
    <t>GARDEN GROVE</t>
  </si>
  <si>
    <t>HUNTINGTON BEACH</t>
  </si>
  <si>
    <t>IRVINE</t>
  </si>
  <si>
    <t>LA HABRA</t>
  </si>
  <si>
    <t>LA PALMA</t>
  </si>
  <si>
    <t>LAGUNA BEACH</t>
  </si>
  <si>
    <t>LAGUNA HILLS</t>
  </si>
  <si>
    <t>LAGUNA NIGUEL</t>
  </si>
  <si>
    <t>LAGUNA WOODS</t>
  </si>
  <si>
    <t>LAKE FOREST</t>
  </si>
  <si>
    <t>LOS ALAMITOS</t>
  </si>
  <si>
    <t>MISSION VIEJO</t>
  </si>
  <si>
    <t>NEWPORT BEACH</t>
  </si>
  <si>
    <t>ORANGE COUNTY</t>
  </si>
  <si>
    <t>PLACENTIA</t>
  </si>
  <si>
    <t>RANCHO ST. MARGARITA</t>
  </si>
  <si>
    <t>SAN CLEMENTE</t>
  </si>
  <si>
    <t>SAN JUAN CAPISTRANO</t>
  </si>
  <si>
    <t>SANTA ANA</t>
  </si>
  <si>
    <t>SEAL BEACH</t>
  </si>
  <si>
    <t>STANTON</t>
  </si>
  <si>
    <t>TUSTIN</t>
  </si>
  <si>
    <t>VILLA PARK</t>
  </si>
  <si>
    <t>WESTMINSTER</t>
  </si>
  <si>
    <t>YORBA LINDA</t>
  </si>
  <si>
    <t>AUBURN</t>
  </si>
  <si>
    <t>COLFAX</t>
  </si>
  <si>
    <t>LINCOLN</t>
  </si>
  <si>
    <t>LOOMIS</t>
  </si>
  <si>
    <t>PLACER COUNTY</t>
  </si>
  <si>
    <t>ROCKLIN</t>
  </si>
  <si>
    <t>ROSEVILLE</t>
  </si>
  <si>
    <t>PLUMAS COUNTY</t>
  </si>
  <si>
    <t>PORTOLA</t>
  </si>
  <si>
    <t>BANNING</t>
  </si>
  <si>
    <t>BEAUMONT</t>
  </si>
  <si>
    <t>BLYTHE</t>
  </si>
  <si>
    <t>CALIMESA</t>
  </si>
  <si>
    <t>CANYON LAKE</t>
  </si>
  <si>
    <t>CATHEDRAL</t>
  </si>
  <si>
    <t>COACHELLA</t>
  </si>
  <si>
    <t>CORONA</t>
  </si>
  <si>
    <t>DESERT HOT SPRINGS</t>
  </si>
  <si>
    <t>EASTVALE</t>
  </si>
  <si>
    <t>HEMET</t>
  </si>
  <si>
    <t>INDIAN WELLS</t>
  </si>
  <si>
    <t>INDIO</t>
  </si>
  <si>
    <t>JURUPA VALLEY</t>
  </si>
  <si>
    <t>LA QUINTA</t>
  </si>
  <si>
    <t>LAKE ELSINORE</t>
  </si>
  <si>
    <t>MENIFEE</t>
  </si>
  <si>
    <t>MORENO VALLEY</t>
  </si>
  <si>
    <t>MURRIETA</t>
  </si>
  <si>
    <t>NORCO</t>
  </si>
  <si>
    <t>PALM DESERT</t>
  </si>
  <si>
    <t>PALM SPRINGS</t>
  </si>
  <si>
    <t>PERRIS</t>
  </si>
  <si>
    <t>RANCHO MIRAGE</t>
  </si>
  <si>
    <t>RIVERSIDE COUNTY</t>
  </si>
  <si>
    <t>SAN JACINTO</t>
  </si>
  <si>
    <t>TEMECULA</t>
  </si>
  <si>
    <t>WILDOMAR</t>
  </si>
  <si>
    <t>CITRUS HEIGHTS</t>
  </si>
  <si>
    <t>ELK GROVE</t>
  </si>
  <si>
    <t>FOLSOM</t>
  </si>
  <si>
    <t>GALT</t>
  </si>
  <si>
    <t>ISLETON</t>
  </si>
  <si>
    <t>RANCHO CORDOVA</t>
  </si>
  <si>
    <t>SACRAMENTO COUNTY</t>
  </si>
  <si>
    <t>HOLLISTER</t>
  </si>
  <si>
    <t>SAN BENITO COUNTY</t>
  </si>
  <si>
    <t>SAN JUAN BAUTISTA</t>
  </si>
  <si>
    <t>ADELANTO</t>
  </si>
  <si>
    <t>APPLE VALLEY</t>
  </si>
  <si>
    <t>BARSTOW</t>
  </si>
  <si>
    <t>BIG BEAR LAKE</t>
  </si>
  <si>
    <t>CHINO</t>
  </si>
  <si>
    <t>CHINO HILLS</t>
  </si>
  <si>
    <t>COLTON</t>
  </si>
  <si>
    <t>FONTANA</t>
  </si>
  <si>
    <t>GRAND TERRACE</t>
  </si>
  <si>
    <t>HESPERIA</t>
  </si>
  <si>
    <t>HIGHLAND</t>
  </si>
  <si>
    <t>LOMA LINDA</t>
  </si>
  <si>
    <t>MONTCLAIR</t>
  </si>
  <si>
    <t>NEEDLES</t>
  </si>
  <si>
    <t>ONTARIO</t>
  </si>
  <si>
    <t>RANCHO CUCAMONGA</t>
  </si>
  <si>
    <t>REDLANDS</t>
  </si>
  <si>
    <t>RIALTO</t>
  </si>
  <si>
    <t>SAN BERNARDINO COUNTY</t>
  </si>
  <si>
    <t>TWENTYNINE PALMS</t>
  </si>
  <si>
    <t>UPLAND</t>
  </si>
  <si>
    <t>VICTORVILLE</t>
  </si>
  <si>
    <t>YUCAIPA</t>
  </si>
  <si>
    <t>YUCCA VALLEY</t>
  </si>
  <si>
    <t>CARLSBAD</t>
  </si>
  <si>
    <t>CHULA VISTA</t>
  </si>
  <si>
    <t>CORONADO</t>
  </si>
  <si>
    <t>DEL MAR</t>
  </si>
  <si>
    <t>EL CAJON</t>
  </si>
  <si>
    <t>ENCINITAS</t>
  </si>
  <si>
    <t>ESCONDIDO</t>
  </si>
  <si>
    <t>IMPERIAL BEACH</t>
  </si>
  <si>
    <t>LA MESA</t>
  </si>
  <si>
    <t>LEMON GROVE</t>
  </si>
  <si>
    <t>NATIONAL CITY</t>
  </si>
  <si>
    <t>OCEANSIDE</t>
  </si>
  <si>
    <t>POWAY</t>
  </si>
  <si>
    <t>SAN DIEGO COUNTY</t>
  </si>
  <si>
    <t>SAN MARCOS</t>
  </si>
  <si>
    <t>SANTEE</t>
  </si>
  <si>
    <t>SOLANA BEACH</t>
  </si>
  <si>
    <t>VISTA</t>
  </si>
  <si>
    <t>ESCALON</t>
  </si>
  <si>
    <t>LATHROP</t>
  </si>
  <si>
    <t>LODI</t>
  </si>
  <si>
    <t>MANTECA</t>
  </si>
  <si>
    <t>RIPON</t>
  </si>
  <si>
    <t>SAN JOAQUIN COUNTY</t>
  </si>
  <si>
    <t>STOCKTON</t>
  </si>
  <si>
    <t>TRACY</t>
  </si>
  <si>
    <t>ARROYO GRANDE</t>
  </si>
  <si>
    <t>ATASCADERO</t>
  </si>
  <si>
    <t>GROVER BEACH</t>
  </si>
  <si>
    <t>MORRO BAY</t>
  </si>
  <si>
    <t>PASO ROBLES</t>
  </si>
  <si>
    <t>PISMO BEACH</t>
  </si>
  <si>
    <t>SAN LUIS OBISPO CO.</t>
  </si>
  <si>
    <t>ATHERTON</t>
  </si>
  <si>
    <t>BELMONT</t>
  </si>
  <si>
    <t>BRISBANE</t>
  </si>
  <si>
    <t>BURLINGAME</t>
  </si>
  <si>
    <t>COLMA</t>
  </si>
  <si>
    <t>DALY CITY</t>
  </si>
  <si>
    <t>EAST PALO ALTO</t>
  </si>
  <si>
    <t>FOSTER CITY</t>
  </si>
  <si>
    <t>HALF MOON BAY</t>
  </si>
  <si>
    <t>HILLSBOROUGH</t>
  </si>
  <si>
    <t>MENLO PARK</t>
  </si>
  <si>
    <t>MILLBRAE</t>
  </si>
  <si>
    <t>PACIFICA</t>
  </si>
  <si>
    <t>PORTOLA VALLEY</t>
  </si>
  <si>
    <t>REDWOOD CITY</t>
  </si>
  <si>
    <t>SAN BRUNO</t>
  </si>
  <si>
    <t>SAN CARLOS</t>
  </si>
  <si>
    <t>SAN MATEO COUNTY</t>
  </si>
  <si>
    <t>SOUTH SAN FRANCISCO</t>
  </si>
  <si>
    <t>WOODSIDE</t>
  </si>
  <si>
    <t>BUELLTON</t>
  </si>
  <si>
    <t>CARPINTERIA</t>
  </si>
  <si>
    <t>GOLETA</t>
  </si>
  <si>
    <t>GUADALUPE</t>
  </si>
  <si>
    <t>LOMPOC</t>
  </si>
  <si>
    <t>SANTA BARBARA COUNTY</t>
  </si>
  <si>
    <t>SANTA MARIA</t>
  </si>
  <si>
    <t>SOLVANG</t>
  </si>
  <si>
    <t>CAMPBELL</t>
  </si>
  <si>
    <t>CUPERTINO</t>
  </si>
  <si>
    <t>GILROY</t>
  </si>
  <si>
    <t>LOS ALTOS</t>
  </si>
  <si>
    <t>LOS ALTOS HILLS</t>
  </si>
  <si>
    <t>LOS GATOS</t>
  </si>
  <si>
    <t>MILPITAS</t>
  </si>
  <si>
    <t>MONTE SERENO</t>
  </si>
  <si>
    <t>MORGAN HILL</t>
  </si>
  <si>
    <t>MOUNTAIN VIEW</t>
  </si>
  <si>
    <t>PALO ALTO</t>
  </si>
  <si>
    <t>SAN JOSE</t>
  </si>
  <si>
    <t>SANTA CLARA COUNTY</t>
  </si>
  <si>
    <t>SARATOGA</t>
  </si>
  <si>
    <t>SUNNYVALE</t>
  </si>
  <si>
    <t>CAPITOLA</t>
  </si>
  <si>
    <t>SANTA CRUZ COUNTY</t>
  </si>
  <si>
    <t>SCOTTS VALLEY</t>
  </si>
  <si>
    <t>WATSONVILLE</t>
  </si>
  <si>
    <t>ANDERSON</t>
  </si>
  <si>
    <t>REDDING</t>
  </si>
  <si>
    <t>SHASTA COUNTY</t>
  </si>
  <si>
    <t>SHASTA LAKE</t>
  </si>
  <si>
    <t>LOYALTON</t>
  </si>
  <si>
    <t>SIERRA COUNTY</t>
  </si>
  <si>
    <t>DORRIS</t>
  </si>
  <si>
    <t>DUNSMUIR</t>
  </si>
  <si>
    <t>ETNA</t>
  </si>
  <si>
    <t>FORT JONES</t>
  </si>
  <si>
    <t>MONTAGUE</t>
  </si>
  <si>
    <t>MOUNT SHASTA</t>
  </si>
  <si>
    <t>SISKIYOU COUNTY</t>
  </si>
  <si>
    <t>TULELAKE</t>
  </si>
  <si>
    <t>WEED</t>
  </si>
  <si>
    <t>YREKA</t>
  </si>
  <si>
    <t>BENICIA</t>
  </si>
  <si>
    <t>DIXON</t>
  </si>
  <si>
    <t>FAIRFIELD</t>
  </si>
  <si>
    <t>RIO VISTA</t>
  </si>
  <si>
    <t>SOLANO COUNTY</t>
  </si>
  <si>
    <t>SUISUN CITY</t>
  </si>
  <si>
    <t>VACAVILLE</t>
  </si>
  <si>
    <t>VALLEJO</t>
  </si>
  <si>
    <t>CLOVERDALE</t>
  </si>
  <si>
    <t>COTATI</t>
  </si>
  <si>
    <t>HEALDSBURG</t>
  </si>
  <si>
    <t>PETALUMA</t>
  </si>
  <si>
    <t>ROHNERT PARK</t>
  </si>
  <si>
    <t>SANTA ROSA</t>
  </si>
  <si>
    <t>SEBASTOPOL</t>
  </si>
  <si>
    <t>SONOMA COUNTY</t>
  </si>
  <si>
    <t>WINDSOR</t>
  </si>
  <si>
    <t>CERES</t>
  </si>
  <si>
    <t>HUGHSON</t>
  </si>
  <si>
    <t>MODESTO</t>
  </si>
  <si>
    <t>NEWMAN</t>
  </si>
  <si>
    <t>OAKDALE</t>
  </si>
  <si>
    <t>PATTERSON</t>
  </si>
  <si>
    <t>RIVERBANK</t>
  </si>
  <si>
    <t>STANISLAUS COUNTY</t>
  </si>
  <si>
    <t>TURLOCK</t>
  </si>
  <si>
    <t>WATERFORD</t>
  </si>
  <si>
    <t>LIVE OAK</t>
  </si>
  <si>
    <t>SUTTER COUNTY</t>
  </si>
  <si>
    <t>YUBA CITY</t>
  </si>
  <si>
    <t>CORNING</t>
  </si>
  <si>
    <t>RED BLUFF</t>
  </si>
  <si>
    <t>TEHAMA COUNTY</t>
  </si>
  <si>
    <t>TRINITY COUNTY</t>
  </si>
  <si>
    <t>DINUBA</t>
  </si>
  <si>
    <t>EXETER</t>
  </si>
  <si>
    <t>FARMERSVILLE</t>
  </si>
  <si>
    <t>LINDSAY</t>
  </si>
  <si>
    <t>PORTERVILLE</t>
  </si>
  <si>
    <t>TULARE COUNTY</t>
  </si>
  <si>
    <t>VISALIA</t>
  </si>
  <si>
    <t>WOODLAKE</t>
  </si>
  <si>
    <t>SONORA</t>
  </si>
  <si>
    <t>TUOLUMNE COUNTY</t>
  </si>
  <si>
    <t>CAMARILLO</t>
  </si>
  <si>
    <t>FILLMORE</t>
  </si>
  <si>
    <t>MOORPARK</t>
  </si>
  <si>
    <t>OJAI</t>
  </si>
  <si>
    <t>OXNARD</t>
  </si>
  <si>
    <t>PORT HUENEME</t>
  </si>
  <si>
    <t>SAN BUENAVENTURA</t>
  </si>
  <si>
    <t>SANTA PAULA</t>
  </si>
  <si>
    <t>SIMI VALLEY</t>
  </si>
  <si>
    <t>THOUSAND OAKS</t>
  </si>
  <si>
    <t>VENTURA COUNTY</t>
  </si>
  <si>
    <t>DAVIS</t>
  </si>
  <si>
    <t>WEST SACRAMENTO</t>
  </si>
  <si>
    <t>WINTERS</t>
  </si>
  <si>
    <t>WOODLAND</t>
  </si>
  <si>
    <t>YOLO COUNTY</t>
  </si>
  <si>
    <t>MARYSVILLE</t>
  </si>
  <si>
    <t>WHEATLAND</t>
  </si>
  <si>
    <t>YUBA COUNTY</t>
  </si>
  <si>
    <t>CALIFORNIA TOTAL - NOT PRORATED</t>
  </si>
  <si>
    <t>California Department of Housing and Community Development - Division of Housing Policy Development
 Annual Progress Report Permit Summary - Raw Annual Progress Report Data
 A compilation of the housing units reported as permitted in the Housing Element Annual Progress Reports submitted to HCD for 5th Cycle 2013-2019. This spreadsheet provides one line for each 5th Cycle APR that was received as of June 25, 2019.</t>
  </si>
  <si>
    <t>PERIOD</t>
  </si>
  <si>
    <t>APR YEAR</t>
  </si>
  <si>
    <t>APR STATUS</t>
  </si>
  <si>
    <t>MIN VLI RHNA</t>
  </si>
  <si>
    <t>SUM VLI PERMITS</t>
  </si>
  <si>
    <t>SUM VLI (DR) UNITS</t>
  </si>
  <si>
    <t>SUM VLI (NDR) UNITS</t>
  </si>
  <si>
    <t>MIN LI RHNA</t>
  </si>
  <si>
    <t>SUM LI PERMITS</t>
  </si>
  <si>
    <t>SUM LI (DR) UNITS</t>
  </si>
  <si>
    <t>SUM LI (NDR) UNITS</t>
  </si>
  <si>
    <t>MIN MOD RHNA</t>
  </si>
  <si>
    <t>SUM MOD PERMITS</t>
  </si>
  <si>
    <t>MIN ABOVE MOD RHNA</t>
  </si>
  <si>
    <t>SUM ABOVE MOD PERMITS</t>
  </si>
  <si>
    <t>TOTAL RHNA</t>
  </si>
  <si>
    <t>TOTAL PERMITS</t>
  </si>
  <si>
    <t>TOTAL FOR COUNTY VLI</t>
  </si>
  <si>
    <t>TOTAL FOR COUNTY LI</t>
  </si>
  <si>
    <t>TOTAL FOR COUNTY MOD</t>
  </si>
  <si>
    <t>TOTAL FOR COUNTY ABOVE</t>
  </si>
  <si>
    <t>TOTAL ALL PERMITS</t>
  </si>
  <si>
    <t>ALAMEDA COUNTY*</t>
  </si>
  <si>
    <t>01/31/2015 - 01/31/2023</t>
  </si>
  <si>
    <t>Final</t>
  </si>
  <si>
    <t>FREMONT*</t>
  </si>
  <si>
    <t>LIVERMORE*</t>
  </si>
  <si>
    <t>NEWARK*</t>
  </si>
  <si>
    <t>PLEASANTON*</t>
  </si>
  <si>
    <t>SAN LEANDRO*</t>
  </si>
  <si>
    <t>UNION CITY*</t>
  </si>
  <si>
    <t>31-JAN-15-31-JAN-23</t>
  </si>
  <si>
    <t>TOTAL</t>
  </si>
  <si>
    <t>06/30/2014 - 06/30/2019</t>
  </si>
  <si>
    <t>30-JUN-14-30-JUN-19</t>
  </si>
  <si>
    <t>06/15/2014 - 06/15/2022</t>
  </si>
  <si>
    <t>15-JUN-14-15-JUN-22</t>
  </si>
  <si>
    <t>ANTIOCH*</t>
  </si>
  <si>
    <t>BRENTWOOD*</t>
  </si>
  <si>
    <t>CONCORD*</t>
  </si>
  <si>
    <t>EL CERRITO*</t>
  </si>
  <si>
    <t>LAFAYETTE*</t>
  </si>
  <si>
    <t>MORAGA*</t>
  </si>
  <si>
    <t>ORINDA*</t>
  </si>
  <si>
    <t>PITTSBURG*</t>
  </si>
  <si>
    <t>PLEASANT HILL*</t>
  </si>
  <si>
    <t>SAN RAMON*</t>
  </si>
  <si>
    <t>EL DORADO COUNTY*</t>
  </si>
  <si>
    <t>10/31/2013 - 10/31/2021</t>
  </si>
  <si>
    <t>PLACERVILLE*</t>
  </si>
  <si>
    <t>31-OCT-13-31-OCT-21</t>
  </si>
  <si>
    <t>CLOVIS*</t>
  </si>
  <si>
    <t>COALINGA*</t>
  </si>
  <si>
    <t>FRESNO*</t>
  </si>
  <si>
    <t>FRESNO COUNTY*</t>
  </si>
  <si>
    <t>HURON*</t>
  </si>
  <si>
    <t>PARLIER*</t>
  </si>
  <si>
    <t>REEDLEY*</t>
  </si>
  <si>
    <t>SELMA*</t>
  </si>
  <si>
    <t>12/31/2015 - 12/31/2024</t>
  </si>
  <si>
    <t>31-DEC-15-31-DEC-23</t>
  </si>
  <si>
    <t>10/15/2013 - 10/15/2021</t>
  </si>
  <si>
    <t>15-OCT-13-15-OCT-21</t>
  </si>
  <si>
    <t>ARVIN*</t>
  </si>
  <si>
    <t>DELANO*</t>
  </si>
  <si>
    <t>KERN COUNTY*</t>
  </si>
  <si>
    <t>TAFT*</t>
  </si>
  <si>
    <t>WASCO*</t>
  </si>
  <si>
    <t>01/31/2016 - 01/31/2024</t>
  </si>
  <si>
    <t>31-JAN-16-31-JAN-24</t>
  </si>
  <si>
    <t>LARKSPUR*</t>
  </si>
  <si>
    <t>MARIN COUNTY*</t>
  </si>
  <si>
    <t>NOVATO*</t>
  </si>
  <si>
    <t>SAN ANSELMO*</t>
  </si>
  <si>
    <t>SAN RAFAEL*</t>
  </si>
  <si>
    <t>SAUSALITO*</t>
  </si>
  <si>
    <t>TIBURON*</t>
  </si>
  <si>
    <t>03/31/2016 - 03/31/2024</t>
  </si>
  <si>
    <t>31-MAR-16-31-MAR-24</t>
  </si>
  <si>
    <t>GONZALES*</t>
  </si>
  <si>
    <t>KING CITY*</t>
  </si>
  <si>
    <t>MARINA*</t>
  </si>
  <si>
    <t>MONTEREY*</t>
  </si>
  <si>
    <t>MONTEREY COUNTY*</t>
  </si>
  <si>
    <t>PACIFIC GROVE*</t>
  </si>
  <si>
    <t>SALINAS*</t>
  </si>
  <si>
    <t>SEASIDE*</t>
  </si>
  <si>
    <t>SOLEDAD*</t>
  </si>
  <si>
    <t>NAPA COUNTY*</t>
  </si>
  <si>
    <t>AUBURN*</t>
  </si>
  <si>
    <t>COLFAX*</t>
  </si>
  <si>
    <t>LINCOLN*</t>
  </si>
  <si>
    <t>PLACER COUNTY*</t>
  </si>
  <si>
    <t>ROCKLIN*</t>
  </si>
  <si>
    <t>ROSEVILLE*</t>
  </si>
  <si>
    <t>CITRUS HEIGHTS*</t>
  </si>
  <si>
    <t>ELK GROVE*</t>
  </si>
  <si>
    <t>FOLSOM*</t>
  </si>
  <si>
    <t>GALT*</t>
  </si>
  <si>
    <t>RANCHO CORDOVA*</t>
  </si>
  <si>
    <t>SACRAMENTO*</t>
  </si>
  <si>
    <t>SACRAMENTO COUNTY*</t>
  </si>
  <si>
    <t>HOLLISTER*</t>
  </si>
  <si>
    <t>SAN BENITO COUNTY*</t>
  </si>
  <si>
    <t>04/30/2013 - 04/30/2021</t>
  </si>
  <si>
    <t>30-APR-13-30-APR-21</t>
  </si>
  <si>
    <t>SAN JOAQUIN COUNTY*</t>
  </si>
  <si>
    <t>TRACY*</t>
  </si>
  <si>
    <t>ATHERTON*</t>
  </si>
  <si>
    <t>BELMONT*</t>
  </si>
  <si>
    <t>BRISBANE*</t>
  </si>
  <si>
    <t>BURLINGAME*</t>
  </si>
  <si>
    <t>COLMA*</t>
  </si>
  <si>
    <t>DALY CITY*</t>
  </si>
  <si>
    <t>HALF MOON BAY*</t>
  </si>
  <si>
    <t>SAN BRUNO*</t>
  </si>
  <si>
    <t>BUELLTON*</t>
  </si>
  <si>
    <t>02/15/2015 - 02/15/2023</t>
  </si>
  <si>
    <t>CARPINTERIA*</t>
  </si>
  <si>
    <t>GOLETA*</t>
  </si>
  <si>
    <t>SANTA BARBARA COUNTY*</t>
  </si>
  <si>
    <t>15-FEB-15-15-FEB-23</t>
  </si>
  <si>
    <t>LOS GATOS*</t>
  </si>
  <si>
    <t>MILPITAS*</t>
  </si>
  <si>
    <t>MONTE SERENO*</t>
  </si>
  <si>
    <t>MOUNTAIN VIEW*</t>
  </si>
  <si>
    <t>SAN JOSE*</t>
  </si>
  <si>
    <t>SANTA CLARA COUNTY*</t>
  </si>
  <si>
    <t>CAPITOLA*</t>
  </si>
  <si>
    <t>SANTA CRUZ*</t>
  </si>
  <si>
    <t>SANTA CRUZ COUNTY*</t>
  </si>
  <si>
    <t>SCOTTS VALLEY*</t>
  </si>
  <si>
    <t>\</t>
  </si>
  <si>
    <t>BENICIA*</t>
  </si>
  <si>
    <t>FAIRFIELD*</t>
  </si>
  <si>
    <t>SOLANO COUNTY*</t>
  </si>
  <si>
    <t>SUISUN CITY*</t>
  </si>
  <si>
    <t>CLOVERDALE*</t>
  </si>
  <si>
    <t>HEALDSBURG*</t>
  </si>
  <si>
    <t>ROHNERT PARK*</t>
  </si>
  <si>
    <t>SANTA ROSA*</t>
  </si>
  <si>
    <t>SEBASTOPOL*</t>
  </si>
  <si>
    <t>SONOMA COUNTY*</t>
  </si>
  <si>
    <t>WINDSOR*</t>
  </si>
  <si>
    <t>HUGHSON*</t>
  </si>
  <si>
    <t>MODESTO*</t>
  </si>
  <si>
    <t>RIVERBANK*</t>
  </si>
  <si>
    <t>STANISLAUS COUNTY*</t>
  </si>
  <si>
    <t>TURLOCK*</t>
  </si>
  <si>
    <t>LIVE OAK*</t>
  </si>
  <si>
    <t>SUTTER COUNTY*</t>
  </si>
  <si>
    <t>YUBA CITY*</t>
  </si>
  <si>
    <t>DINUBA*</t>
  </si>
  <si>
    <t>LINDSAY*</t>
  </si>
  <si>
    <t>PORTERVILLE*</t>
  </si>
  <si>
    <t>TULARE*</t>
  </si>
  <si>
    <t>TULARE COUNTY*</t>
  </si>
  <si>
    <t>VISALIA*</t>
  </si>
  <si>
    <t>WOODLAKE*</t>
  </si>
  <si>
    <t>DAVIS*</t>
  </si>
  <si>
    <t>WEST SACRAMENTO*</t>
  </si>
  <si>
    <t>WINTERS*</t>
  </si>
  <si>
    <t>WOODLAND*</t>
  </si>
  <si>
    <t>YUBA COUNTY*</t>
  </si>
  <si>
    <t>* Permits Recorded by HCD but Outside 5th cycle Period. (e.g. HCD reports data for Alameda, Contra Costa, Solano, Sonoma in 2014 even though 5th cycle starts in 2015 for those counties)</t>
  </si>
  <si>
    <t>NOTE: This Spreadsheet contains all data reported by HCD for the 5th cycle including years outside the 5th cycle (e.g. HCD reports data for Alameda, Contra Costa, Solano, Sonoma in 2014 even though 5th cycle starts in 2015 for those counties)</t>
  </si>
  <si>
    <t>TOTAL SUM VLI +LI PERMITS 2019</t>
  </si>
  <si>
    <t>FINAL VLI +LI Target</t>
  </si>
  <si>
    <t>TOTAL SUM MOD PERMITS 2019</t>
  </si>
  <si>
    <t>FINAL MOD TARGET</t>
  </si>
  <si>
    <t>TOTAL SUM ABOVE MOD PERMITS 2019</t>
  </si>
  <si>
    <t>FINAL ABOVE MOD TARGET</t>
  </si>
  <si>
    <t>TOTAL PERMITS 2019</t>
  </si>
  <si>
    <t>FINAL TOTAL TARGET</t>
  </si>
  <si>
    <t>15-OCT-13-15-OCT-22</t>
  </si>
  <si>
    <t xml:space="preserve"> </t>
  </si>
  <si>
    <t>CNTY_NAME</t>
  </si>
  <si>
    <t>JURS_NAME</t>
  </si>
  <si>
    <t>PLANNING PERIOD</t>
  </si>
  <si>
    <t>YEAR</t>
  </si>
  <si>
    <t>APR_STATUS</t>
  </si>
  <si>
    <t>RHNA VLI</t>
  </si>
  <si>
    <t>TOTAL VLI PERMITS</t>
  </si>
  <si>
    <t>VLI DEED RESTRICTED UNITS</t>
  </si>
  <si>
    <t>VLI NOT DEED RESTRICTED UNITS</t>
  </si>
  <si>
    <t>RHNA LI</t>
  </si>
  <si>
    <t>TOTAL LI PERMITS</t>
  </si>
  <si>
    <t>LI DEED RESTRICTED UNITS</t>
  </si>
  <si>
    <t>LI NOT DEED RESTRICTED UNITS</t>
  </si>
  <si>
    <t>MOD RHNA</t>
  </si>
  <si>
    <t>MOD UNITS</t>
  </si>
  <si>
    <t>ABOVE MOD RHNA</t>
  </si>
  <si>
    <t>ABOVE MOD UNITS</t>
  </si>
  <si>
    <t>RHNA TOTAL</t>
  </si>
  <si>
    <t>TOTAL UNITS YEAR SUBMITTED</t>
  </si>
  <si>
    <t>APR YEAR (In planning period)</t>
  </si>
  <si>
    <t>1ST APR</t>
  </si>
  <si>
    <t>LI (NDR) UNITS</t>
  </si>
  <si>
    <t>LI REMAINING UNITS</t>
  </si>
  <si>
    <t>Lower Permits</t>
  </si>
  <si>
    <t>Lower Remain</t>
  </si>
  <si>
    <t>LI % Complete</t>
  </si>
  <si>
    <t>% Lower Complete</t>
  </si>
  <si>
    <t>RHNA MOD</t>
  </si>
  <si>
    <t>MOD PERMITS</t>
  </si>
  <si>
    <t>MOD REMAINING UNITS</t>
  </si>
  <si>
    <t>MOD % Complete</t>
  </si>
  <si>
    <t>RHNA ABOVE MOD</t>
  </si>
  <si>
    <t>ABOVE MOD PERMITS</t>
  </si>
  <si>
    <t>ABOVE MOD REMAINING UNITS</t>
  </si>
  <si>
    <t>ABOVE MOD % Complete</t>
  </si>
  <si>
    <t>TOTAL RHNA REMAIN</t>
  </si>
  <si>
    <t>PRORATION FACTOR</t>
  </si>
  <si>
    <t>EXEMPT</t>
  </si>
  <si>
    <t>STATUS</t>
  </si>
  <si>
    <t>Exempt but for 2019 APR</t>
  </si>
  <si>
    <t>50% but for 2019 APR</t>
  </si>
  <si>
    <t>CARMEL</t>
  </si>
  <si>
    <t>31-AUG-19-31-AUG-24</t>
  </si>
  <si>
    <t>15-JUN-19-15-JUN-27</t>
  </si>
  <si>
    <t>31-AUG-19-31-AUG-27</t>
  </si>
  <si>
    <t>15-AUG-19-15-AUG-27</t>
  </si>
  <si>
    <t>Indicates where there is a discrepancy between the HCD listed allocation below and the City reported allocation in the raw data</t>
  </si>
  <si>
    <r>
      <t xml:space="preserve">California Department of Housing and Community Development - Division of Housing Policy Development
 Annual Progress Report Permit Summary - Assigned RHNA
 </t>
    </r>
    <r>
      <rPr>
        <sz val="14"/>
        <rFont val="Arial"/>
      </rPr>
      <t>The Regional Housing Needs Allocation listed in Annual Progress Reports is self-reported by jurisdictions. This spreadsheet provides the assigned RHNA for comparison purposes</t>
    </r>
    <r>
      <rPr>
        <sz val="10"/>
        <color rgb="FF000000"/>
        <rFont val="Arial"/>
      </rPr>
      <t>.</t>
    </r>
  </si>
  <si>
    <t>5th Cycle: Regional Housing Need Allocation (RHNA)</t>
  </si>
  <si>
    <t>5TH RHNA Allocations</t>
  </si>
  <si>
    <t>Cycle length</t>
  </si>
  <si>
    <t>Total Target</t>
  </si>
  <si>
    <t>Annualized Target</t>
  </si>
  <si>
    <t>Low and Very Low Target</t>
  </si>
  <si>
    <t>Annualized Low and Ver Low</t>
  </si>
  <si>
    <t>ALL JURISDICTIONS 5th Cycle</t>
  </si>
  <si>
    <t>Region/County</t>
  </si>
  <si>
    <t>Jurisdiction</t>
  </si>
  <si>
    <t>AMBAG</t>
  </si>
  <si>
    <t>Carlsbad</t>
  </si>
  <si>
    <t>San Benito COG</t>
  </si>
  <si>
    <t>Chula Vista</t>
  </si>
  <si>
    <t>FCOG</t>
  </si>
  <si>
    <t>Coronado</t>
  </si>
  <si>
    <t>KCOG</t>
  </si>
  <si>
    <t>Del Mar</t>
  </si>
  <si>
    <t>BCAG</t>
  </si>
  <si>
    <t>El Cajon</t>
  </si>
  <si>
    <t>HCOAG</t>
  </si>
  <si>
    <t>Encinitas</t>
  </si>
  <si>
    <t>KCAG</t>
  </si>
  <si>
    <t>Escondido</t>
  </si>
  <si>
    <t>Lake APC</t>
  </si>
  <si>
    <t>Imperial Beach</t>
  </si>
  <si>
    <t>MCOG</t>
  </si>
  <si>
    <t>La Mesa</t>
  </si>
  <si>
    <t>MCAG</t>
  </si>
  <si>
    <t>Lemon Grove</t>
  </si>
  <si>
    <t>SJCOG</t>
  </si>
  <si>
    <t>National City</t>
  </si>
  <si>
    <t>SLOCOG</t>
  </si>
  <si>
    <t>Oceanside</t>
  </si>
  <si>
    <t>SBCAG</t>
  </si>
  <si>
    <t>Poway</t>
  </si>
  <si>
    <t>StanCOG</t>
  </si>
  <si>
    <t>TCAG</t>
  </si>
  <si>
    <t>San Marcos</t>
  </si>
  <si>
    <t>Santee</t>
  </si>
  <si>
    <t>Solana Beach</t>
  </si>
  <si>
    <t>Vista</t>
  </si>
  <si>
    <t>Unincorporated County</t>
  </si>
  <si>
    <t>IMPERIAL CY JURISDICTIONS</t>
  </si>
  <si>
    <t>LOS ANGELES CY JURISDICTIONS</t>
  </si>
  <si>
    <t>ORANGE CY JURISDICTIONS</t>
  </si>
  <si>
    <t>Madera</t>
  </si>
  <si>
    <t>RIVERSIDE CY JURISDICTIONS</t>
  </si>
  <si>
    <t>SAN BERNARDINO CY JURISDICTIONS</t>
  </si>
  <si>
    <t>VENTURA JURISDICTIONS</t>
  </si>
  <si>
    <t>Brawley</t>
  </si>
  <si>
    <t>Calexico</t>
  </si>
  <si>
    <t>Calipatria</t>
  </si>
  <si>
    <t>El Centro</t>
  </si>
  <si>
    <t>Holtville</t>
  </si>
  <si>
    <t>Westmorland</t>
  </si>
  <si>
    <t>Agoura Hills</t>
  </si>
  <si>
    <t>Alhambra</t>
  </si>
  <si>
    <t>Arcadia</t>
  </si>
  <si>
    <t>Artesia</t>
  </si>
  <si>
    <t>Avalon</t>
  </si>
  <si>
    <t>Azusa</t>
  </si>
  <si>
    <t>Baldwin Park</t>
  </si>
  <si>
    <t>Bell</t>
  </si>
  <si>
    <t>Bell Gardens</t>
  </si>
  <si>
    <t>Bellflower</t>
  </si>
  <si>
    <t>-</t>
  </si>
  <si>
    <t>Beverly Hills</t>
  </si>
  <si>
    <t>Bradbury</t>
  </si>
  <si>
    <t>Burbank</t>
  </si>
  <si>
    <t>Calabasas</t>
  </si>
  <si>
    <t>Carson</t>
  </si>
  <si>
    <t>Cerritos</t>
  </si>
  <si>
    <t>Claremont</t>
  </si>
  <si>
    <t>Commerce</t>
  </si>
  <si>
    <t>Compton</t>
  </si>
  <si>
    <t>Covina</t>
  </si>
  <si>
    <t>Cudahy</t>
  </si>
  <si>
    <t>Culver City</t>
  </si>
  <si>
    <t>Diamond Bar</t>
  </si>
  <si>
    <t>Downey</t>
  </si>
  <si>
    <t>Duarte</t>
  </si>
  <si>
    <t>El Monte</t>
  </si>
  <si>
    <t>El Segundo</t>
  </si>
  <si>
    <t>Gardena</t>
  </si>
  <si>
    <t>Glendale</t>
  </si>
  <si>
    <t>Glendora</t>
  </si>
  <si>
    <t>Hawaiian Gardens</t>
  </si>
  <si>
    <t>Hawthorne</t>
  </si>
  <si>
    <t>Hermosa Beach</t>
  </si>
  <si>
    <t>Hidden Hills</t>
  </si>
  <si>
    <t>Huntington Park</t>
  </si>
  <si>
    <t>Industry</t>
  </si>
  <si>
    <t>Inglewood</t>
  </si>
  <si>
    <t>Irwindale</t>
  </si>
  <si>
    <t>La Canada Flintridge</t>
  </si>
  <si>
    <t>La Habra Heights</t>
  </si>
  <si>
    <t>La Mirada</t>
  </si>
  <si>
    <t>La Puente</t>
  </si>
  <si>
    <t>La Verne</t>
  </si>
  <si>
    <t>Lakewood</t>
  </si>
  <si>
    <t>Lancaster</t>
  </si>
  <si>
    <t>Lawndale</t>
  </si>
  <si>
    <t>Lomita</t>
  </si>
  <si>
    <t>Long Beach</t>
  </si>
  <si>
    <t>Lynwood</t>
  </si>
  <si>
    <t>Malibu</t>
  </si>
  <si>
    <t>Manhattan Beach</t>
  </si>
  <si>
    <t>Maywood</t>
  </si>
  <si>
    <t>Monrovia</t>
  </si>
  <si>
    <t>Montebello</t>
  </si>
  <si>
    <t>Monterey Park</t>
  </si>
  <si>
    <t>Norwalk</t>
  </si>
  <si>
    <t>Palmdale</t>
  </si>
  <si>
    <t>Palos Verdes Estates</t>
  </si>
  <si>
    <t>Paramount</t>
  </si>
  <si>
    <t>Pasadena</t>
  </si>
  <si>
    <t>Pico Rivera</t>
  </si>
  <si>
    <t>Pomona</t>
  </si>
  <si>
    <t>Rancho Palos Verdes</t>
  </si>
  <si>
    <t>Redondo Beach</t>
  </si>
  <si>
    <t>Rolling Hills</t>
  </si>
  <si>
    <t>Rolling Hills Estates</t>
  </si>
  <si>
    <t>Rosemead</t>
  </si>
  <si>
    <t>San Dimas</t>
  </si>
  <si>
    <t>San Fernando</t>
  </si>
  <si>
    <t>San Gabriel</t>
  </si>
  <si>
    <t>San Marino</t>
  </si>
  <si>
    <t>Santa Clarita</t>
  </si>
  <si>
    <t>Santa Fe Springs</t>
  </si>
  <si>
    <t>Santa Monica</t>
  </si>
  <si>
    <t>Sierra Madre</t>
  </si>
  <si>
    <t>Signal Hill</t>
  </si>
  <si>
    <t>South El Monte</t>
  </si>
  <si>
    <t>South Gate</t>
  </si>
  <si>
    <t>South Pasadena</t>
  </si>
  <si>
    <t>Temple City</t>
  </si>
  <si>
    <t>Torrance</t>
  </si>
  <si>
    <t>Vernon</t>
  </si>
  <si>
    <t>Walnut</t>
  </si>
  <si>
    <t>West Covina</t>
  </si>
  <si>
    <t>West Hollywood</t>
  </si>
  <si>
    <t>Westlake Village</t>
  </si>
  <si>
    <t>Whittier</t>
  </si>
  <si>
    <t>Aliso Viejo</t>
  </si>
  <si>
    <t>Anaheim</t>
  </si>
  <si>
    <t>Brea</t>
  </si>
  <si>
    <t>Buena Park</t>
  </si>
  <si>
    <t>Costa Mesa</t>
  </si>
  <si>
    <t>Cypress</t>
  </si>
  <si>
    <t>Dana Point</t>
  </si>
  <si>
    <t>Fountain Valley</t>
  </si>
  <si>
    <t>Fullerton</t>
  </si>
  <si>
    <t>Garden Grove</t>
  </si>
  <si>
    <t>Huntington Beach</t>
  </si>
  <si>
    <t>Irvine</t>
  </si>
  <si>
    <t>La Habra</t>
  </si>
  <si>
    <t>La Palma</t>
  </si>
  <si>
    <t>Laguna Beach</t>
  </si>
  <si>
    <t>Laguna Hills</t>
  </si>
  <si>
    <t>Laguna Niguel</t>
  </si>
  <si>
    <t>Laguna Woods</t>
  </si>
  <si>
    <t>Lake Forest</t>
  </si>
  <si>
    <t>Los Alamitos</t>
  </si>
  <si>
    <t>Mission Viejo</t>
  </si>
  <si>
    <t>Newport Beach</t>
  </si>
  <si>
    <t>Placentia</t>
  </si>
  <si>
    <t>Rancho Santa Margarita</t>
  </si>
  <si>
    <t>San Clemente</t>
  </si>
  <si>
    <t>San Juan Capistrano</t>
  </si>
  <si>
    <t>Santa Ana</t>
  </si>
  <si>
    <t>Seal Beach</t>
  </si>
  <si>
    <t>Stanton</t>
  </si>
  <si>
    <t>Tustin</t>
  </si>
  <si>
    <t>Villa Park</t>
  </si>
  <si>
    <t>Westminster</t>
  </si>
  <si>
    <t>Yorba Linda</t>
  </si>
  <si>
    <t>Banning</t>
  </si>
  <si>
    <t>Beaumont</t>
  </si>
  <si>
    <t>Blythe</t>
  </si>
  <si>
    <t>Calimesa</t>
  </si>
  <si>
    <t>Canyon Lake</t>
  </si>
  <si>
    <t>Cathedral City</t>
  </si>
  <si>
    <t>Coachella</t>
  </si>
  <si>
    <t>Corona</t>
  </si>
  <si>
    <t>Desert Hot Springs</t>
  </si>
  <si>
    <t>Eastvale (new city 2010)</t>
  </si>
  <si>
    <t>Hemet</t>
  </si>
  <si>
    <t>Indian Wells</t>
  </si>
  <si>
    <t>Indio</t>
  </si>
  <si>
    <t>Jurapa Valley</t>
  </si>
  <si>
    <t>La Quinta</t>
  </si>
  <si>
    <t>Lake Elsinore</t>
  </si>
  <si>
    <t>Menifee</t>
  </si>
  <si>
    <t>Moreno Valley</t>
  </si>
  <si>
    <t>Murrieta</t>
  </si>
  <si>
    <t>Norco</t>
  </si>
  <si>
    <t>Palm Desert</t>
  </si>
  <si>
    <t>Palm Springs</t>
  </si>
  <si>
    <t>Perris</t>
  </si>
  <si>
    <t>Rancho Mirage</t>
  </si>
  <si>
    <t>San Jacinto</t>
  </si>
  <si>
    <t>Temecula</t>
  </si>
  <si>
    <t>Wildomar (new city 2010)</t>
  </si>
  <si>
    <t>Adelanto</t>
  </si>
  <si>
    <t>Apple Valley town</t>
  </si>
  <si>
    <t>Barstow</t>
  </si>
  <si>
    <t>Big Bear Lake</t>
  </si>
  <si>
    <t>Chino</t>
  </si>
  <si>
    <t>Chino Hills</t>
  </si>
  <si>
    <t>Colton</t>
  </si>
  <si>
    <t>Fontana</t>
  </si>
  <si>
    <t>Grand Terrace</t>
  </si>
  <si>
    <t>Hesperia</t>
  </si>
  <si>
    <t>Highland</t>
  </si>
  <si>
    <t>Loma Linda</t>
  </si>
  <si>
    <t>Montclair</t>
  </si>
  <si>
    <t>Needles</t>
  </si>
  <si>
    <t>Ontario</t>
  </si>
  <si>
    <t>Rancho Cucamonga</t>
  </si>
  <si>
    <t>Redlands</t>
  </si>
  <si>
    <t>Rialto</t>
  </si>
  <si>
    <t>Twentynine Palms</t>
  </si>
  <si>
    <t>Upland</t>
  </si>
  <si>
    <t>Victorville</t>
  </si>
  <si>
    <t>Yucaipa</t>
  </si>
  <si>
    <t>Yucca Valley</t>
  </si>
  <si>
    <t>Camarillo</t>
  </si>
  <si>
    <t>Fillmore</t>
  </si>
  <si>
    <t>Moorpark</t>
  </si>
  <si>
    <t>Ojai</t>
  </si>
  <si>
    <t>Oxnard</t>
  </si>
  <si>
    <t>Port Hueneme</t>
  </si>
  <si>
    <t>San Buenaventura</t>
  </si>
  <si>
    <t>Santa Paula</t>
  </si>
  <si>
    <t>Simi Valley</t>
  </si>
  <si>
    <t>Thousand Oaks</t>
  </si>
  <si>
    <t>ALAMEDA CY JURISDICTIONS</t>
  </si>
  <si>
    <t>CONTRA COSTA CY JURISDICTIONS</t>
  </si>
  <si>
    <t>MARIN CY JURISDICTIONS</t>
  </si>
  <si>
    <t>NAPA CY JURISDICTIONS</t>
  </si>
  <si>
    <t>SAN FRANCISCO CY JURISDICTIONS</t>
  </si>
  <si>
    <t>SAN MATEO CY JURISDICTIONS</t>
  </si>
  <si>
    <t>SANTA CLARA CY JURISDICTIONS</t>
  </si>
  <si>
    <t>SOLANO CY JURISDICTIONS</t>
  </si>
  <si>
    <t>SONOMA JURISDICTIONS</t>
  </si>
  <si>
    <t>Albany</t>
  </si>
  <si>
    <t>Berkeley</t>
  </si>
  <si>
    <t>Dublin</t>
  </si>
  <si>
    <t>Emeryville</t>
  </si>
  <si>
    <t>Fremont</t>
  </si>
  <si>
    <t>Hayward</t>
  </si>
  <si>
    <t>Livermore</t>
  </si>
  <si>
    <t>Newark</t>
  </si>
  <si>
    <t>Oakland</t>
  </si>
  <si>
    <t>Piedmont</t>
  </si>
  <si>
    <t>Pleasanton</t>
  </si>
  <si>
    <t>San Leandro</t>
  </si>
  <si>
    <t>Union City</t>
  </si>
  <si>
    <t>Antioch</t>
  </si>
  <si>
    <t>Brentwood</t>
  </si>
  <si>
    <t>Clayton</t>
  </si>
  <si>
    <t>Concord</t>
  </si>
  <si>
    <t>Danville town</t>
  </si>
  <si>
    <t>El Cerrito</t>
  </si>
  <si>
    <t>Hercules</t>
  </si>
  <si>
    <t>Lafayette</t>
  </si>
  <si>
    <t>Martinez</t>
  </si>
  <si>
    <t>Moraga</t>
  </si>
  <si>
    <t>Oakley</t>
  </si>
  <si>
    <t>Orinda</t>
  </si>
  <si>
    <t>Pinole</t>
  </si>
  <si>
    <t>Pittsburg</t>
  </si>
  <si>
    <t>Pleasant Hill</t>
  </si>
  <si>
    <t>Richmond</t>
  </si>
  <si>
    <t>San Pablo</t>
  </si>
  <si>
    <t>San Ramon</t>
  </si>
  <si>
    <t>Walnut Creek</t>
  </si>
  <si>
    <t>Belvedere</t>
  </si>
  <si>
    <t>Corte Madera town</t>
  </si>
  <si>
    <t>Fairfax town</t>
  </si>
  <si>
    <t>Larkspur</t>
  </si>
  <si>
    <t>Mill Valley</t>
  </si>
  <si>
    <t>Novato</t>
  </si>
  <si>
    <t>Ross town</t>
  </si>
  <si>
    <t>San Anselmo town</t>
  </si>
  <si>
    <t>San Rafael</t>
  </si>
  <si>
    <t>Sausalito</t>
  </si>
  <si>
    <t>Tiburon town</t>
  </si>
  <si>
    <t>American Canyon</t>
  </si>
  <si>
    <t>Calistoga</t>
  </si>
  <si>
    <t>St. Helena</t>
  </si>
  <si>
    <t>Yountville town</t>
  </si>
  <si>
    <t>Atherton town</t>
  </si>
  <si>
    <t>Belmont</t>
  </si>
  <si>
    <t>Brisbane</t>
  </si>
  <si>
    <t>Burlingame</t>
  </si>
  <si>
    <t>Colma town</t>
  </si>
  <si>
    <t>Daly City</t>
  </si>
  <si>
    <t>East Palo Alto</t>
  </si>
  <si>
    <t>Foster City</t>
  </si>
  <si>
    <t>Half Moon Bay</t>
  </si>
  <si>
    <t>Hillsborough town</t>
  </si>
  <si>
    <t>Menlo Park</t>
  </si>
  <si>
    <t>Millbrae</t>
  </si>
  <si>
    <t>Pacifica</t>
  </si>
  <si>
    <t>Portola Valley town</t>
  </si>
  <si>
    <t>Redwood City</t>
  </si>
  <si>
    <t>San Bruno</t>
  </si>
  <si>
    <t>San Carlos</t>
  </si>
  <si>
    <t>South San Francisco</t>
  </si>
  <si>
    <t>Woodside town</t>
  </si>
  <si>
    <t>Campbell</t>
  </si>
  <si>
    <t>Cupertino</t>
  </si>
  <si>
    <t>Gilroy</t>
  </si>
  <si>
    <t>Los Altos</t>
  </si>
  <si>
    <t>Los Altos Hills town</t>
  </si>
  <si>
    <t>Los Gatos town</t>
  </si>
  <si>
    <t>Milpitas</t>
  </si>
  <si>
    <t>Monte Sereno</t>
  </si>
  <si>
    <t>Morgan Hill</t>
  </si>
  <si>
    <t>Mountain View</t>
  </si>
  <si>
    <t>Palo Alto</t>
  </si>
  <si>
    <t>San Jose</t>
  </si>
  <si>
    <t>Saratoga</t>
  </si>
  <si>
    <t>Sunnyvale</t>
  </si>
  <si>
    <t>Benicia</t>
  </si>
  <si>
    <t>Dixon</t>
  </si>
  <si>
    <t>Fairfield</t>
  </si>
  <si>
    <t>Rio Vista</t>
  </si>
  <si>
    <t>Suisun City</t>
  </si>
  <si>
    <t>Vacaville</t>
  </si>
  <si>
    <t>Vallejo</t>
  </si>
  <si>
    <t>Cloverdale</t>
  </si>
  <si>
    <t>Cotati</t>
  </si>
  <si>
    <t>Healdsburg</t>
  </si>
  <si>
    <t>Petaluma</t>
  </si>
  <si>
    <t>Rohnert Park</t>
  </si>
  <si>
    <t>Santa Rosa</t>
  </si>
  <si>
    <t>Sebastopol</t>
  </si>
  <si>
    <t>Windsor town</t>
  </si>
  <si>
    <t>EL DORADO CY JURISDICTIONS</t>
  </si>
  <si>
    <t>PLACER CY JURISDICTIONS</t>
  </si>
  <si>
    <t>SACRAMENTO CY JURISDICTIONS</t>
  </si>
  <si>
    <t>SUTTER CY JURISDICTIONS</t>
  </si>
  <si>
    <t>YOLO CY JURISDICTIONS</t>
  </si>
  <si>
    <t>YUBA CY JURISDICTIONS</t>
  </si>
  <si>
    <t>Placerville</t>
  </si>
  <si>
    <t>South Lake Tahoe</t>
  </si>
  <si>
    <t>Auburn</t>
  </si>
  <si>
    <t>Colfax</t>
  </si>
  <si>
    <t>Lincoln</t>
  </si>
  <si>
    <t>Loomis town</t>
  </si>
  <si>
    <t>Rocklin</t>
  </si>
  <si>
    <t>Roseville</t>
  </si>
  <si>
    <t>Citrus Heights</t>
  </si>
  <si>
    <t>Elk Grove</t>
  </si>
  <si>
    <t>Folsom</t>
  </si>
  <si>
    <t>Galt</t>
  </si>
  <si>
    <t>Isleton</t>
  </si>
  <si>
    <t>Rancho Cordova</t>
  </si>
  <si>
    <t>Live Oak</t>
  </si>
  <si>
    <t>Yuba City</t>
  </si>
  <si>
    <t>Davis</t>
  </si>
  <si>
    <t>West Sacramento</t>
  </si>
  <si>
    <t>Winters</t>
  </si>
  <si>
    <t>Woodland</t>
  </si>
  <si>
    <t>Marysville</t>
  </si>
  <si>
    <t>Wheatland</t>
  </si>
  <si>
    <t>MONTEREY CY JURISDICTIONS</t>
  </si>
  <si>
    <t>SANTA CRUZ CY JURISDICITONS</t>
  </si>
  <si>
    <t>Carmel-by-the-Sea</t>
  </si>
  <si>
    <t>Del Rey Oaks</t>
  </si>
  <si>
    <t>Gonzales</t>
  </si>
  <si>
    <t>Greenfield</t>
  </si>
  <si>
    <t>King City</t>
  </si>
  <si>
    <t>Marina</t>
  </si>
  <si>
    <t>Pacific Grove</t>
  </si>
  <si>
    <t>Salinas</t>
  </si>
  <si>
    <t>Sand City</t>
  </si>
  <si>
    <t>Seaside</t>
  </si>
  <si>
    <t>Soledad</t>
  </si>
  <si>
    <t>Capitola</t>
  </si>
  <si>
    <t>Scotts Valley</t>
  </si>
  <si>
    <t>Watsonville</t>
  </si>
  <si>
    <t>San Benito (San Benito COG)</t>
  </si>
  <si>
    <t>Hollister</t>
  </si>
  <si>
    <t>San Juan Bautista</t>
  </si>
  <si>
    <t>Fresno (FCOG)</t>
  </si>
  <si>
    <t>Clovis</t>
  </si>
  <si>
    <t>Coalinga</t>
  </si>
  <si>
    <t>Firebaugh</t>
  </si>
  <si>
    <t>Fowler</t>
  </si>
  <si>
    <t>Huron</t>
  </si>
  <si>
    <t>Kerman</t>
  </si>
  <si>
    <t>Kingsburg</t>
  </si>
  <si>
    <t>Mendota</t>
  </si>
  <si>
    <t>Orange Cove</t>
  </si>
  <si>
    <t>Parlier</t>
  </si>
  <si>
    <t>Reedley</t>
  </si>
  <si>
    <t>Sanger</t>
  </si>
  <si>
    <t>Selma</t>
  </si>
  <si>
    <t>KERN (KCOG)</t>
  </si>
  <si>
    <t>Arvin</t>
  </si>
  <si>
    <t>Bakersfield</t>
  </si>
  <si>
    <t>California City</t>
  </si>
  <si>
    <t>Delano</t>
  </si>
  <si>
    <t>Maricopa</t>
  </si>
  <si>
    <t>McFarland</t>
  </si>
  <si>
    <t>Ridgecrest</t>
  </si>
  <si>
    <t>Shafter</t>
  </si>
  <si>
    <t>Taft</t>
  </si>
  <si>
    <t>Tehachapi</t>
  </si>
  <si>
    <t>Wasco</t>
  </si>
  <si>
    <t>Butte (BCAG)</t>
  </si>
  <si>
    <t>Biggs</t>
  </si>
  <si>
    <t>Chico</t>
  </si>
  <si>
    <t>Gridley</t>
  </si>
  <si>
    <t>Oroville</t>
  </si>
  <si>
    <t>Paradise town</t>
  </si>
  <si>
    <t>Humboldt (HCOAG)</t>
  </si>
  <si>
    <t>Arcata</t>
  </si>
  <si>
    <t>Blue Lake</t>
  </si>
  <si>
    <t>Eureka</t>
  </si>
  <si>
    <t>Ferndale</t>
  </si>
  <si>
    <t>Fortuna</t>
  </si>
  <si>
    <t>Rio Dell</t>
  </si>
  <si>
    <t>Trinidad</t>
  </si>
  <si>
    <t>Kings (KCAG)</t>
  </si>
  <si>
    <t>Avenal</t>
  </si>
  <si>
    <t>Corcoran</t>
  </si>
  <si>
    <t>Hanford</t>
  </si>
  <si>
    <t>Lemoore</t>
  </si>
  <si>
    <t>Lake (Lake APC)</t>
  </si>
  <si>
    <t>Lake</t>
  </si>
  <si>
    <t>Clearlake</t>
  </si>
  <si>
    <t>Lakeport</t>
  </si>
  <si>
    <t>Mendocino (MCOG)</t>
  </si>
  <si>
    <t>Fort Bragg</t>
  </si>
  <si>
    <t>Point Arena</t>
  </si>
  <si>
    <t>Ukiah</t>
  </si>
  <si>
    <t>Willits</t>
  </si>
  <si>
    <t>Merced (MCAG)</t>
  </si>
  <si>
    <t>Atwater</t>
  </si>
  <si>
    <t>Dos Palos</t>
  </si>
  <si>
    <t>Gustine</t>
  </si>
  <si>
    <t>Livingston</t>
  </si>
  <si>
    <t>Los Banos</t>
  </si>
  <si>
    <t>San Joaquin (SJCOG)</t>
  </si>
  <si>
    <t>Escalon</t>
  </si>
  <si>
    <t>Lathrop</t>
  </si>
  <si>
    <t>Lodi</t>
  </si>
  <si>
    <t>Manteca</t>
  </si>
  <si>
    <t>Ripon</t>
  </si>
  <si>
    <t>Stockton</t>
  </si>
  <si>
    <t>Tracy</t>
  </si>
  <si>
    <t>San Luis Obispo (SLOCOG)</t>
  </si>
  <si>
    <t>Arroyo Grande</t>
  </si>
  <si>
    <t>Atascadero</t>
  </si>
  <si>
    <t>Grover Beach</t>
  </si>
  <si>
    <t>Morro Bay</t>
  </si>
  <si>
    <t>Paso Robles</t>
  </si>
  <si>
    <t>Pismo Beach</t>
  </si>
  <si>
    <t>Santa Barbara (SBCAG)</t>
  </si>
  <si>
    <t>Buellton</t>
  </si>
  <si>
    <t>Carpinteria</t>
  </si>
  <si>
    <t>Goleta</t>
  </si>
  <si>
    <t>Guadalupe</t>
  </si>
  <si>
    <t>Lompoc</t>
  </si>
  <si>
    <t>Santa Maria</t>
  </si>
  <si>
    <t>Solvang</t>
  </si>
  <si>
    <t>Stanislaus (StanCOG)</t>
  </si>
  <si>
    <t>Ceres</t>
  </si>
  <si>
    <t>Hughson</t>
  </si>
  <si>
    <t>Modesto</t>
  </si>
  <si>
    <t>Newman</t>
  </si>
  <si>
    <t>Oakdale</t>
  </si>
  <si>
    <t>Patterson</t>
  </si>
  <si>
    <t>Riverbank</t>
  </si>
  <si>
    <t>Turlock</t>
  </si>
  <si>
    <t>Waterford</t>
  </si>
  <si>
    <t>Tulare (TCAG)</t>
  </si>
  <si>
    <t>Dinuba</t>
  </si>
  <si>
    <t>Exeter</t>
  </si>
  <si>
    <t>Farmersville</t>
  </si>
  <si>
    <t>Lindsay</t>
  </si>
  <si>
    <t>Porterville</t>
  </si>
  <si>
    <t>Visalia</t>
  </si>
  <si>
    <t>Woodlake</t>
  </si>
  <si>
    <t>All Others (20) (HCD as COG)</t>
  </si>
  <si>
    <t>Alpine County</t>
  </si>
  <si>
    <t>Amador City</t>
  </si>
  <si>
    <t>Ione</t>
  </si>
  <si>
    <t>Jackson</t>
  </si>
  <si>
    <t>Plymouth</t>
  </si>
  <si>
    <t>Sutter Creek</t>
  </si>
  <si>
    <t>Angels</t>
  </si>
  <si>
    <t>Williams</t>
  </si>
  <si>
    <t>Crescent City</t>
  </si>
  <si>
    <t>Orland</t>
  </si>
  <si>
    <t>Willows</t>
  </si>
  <si>
    <t>Bishop</t>
  </si>
  <si>
    <t>Susanville</t>
  </si>
  <si>
    <t>Chowchilla</t>
  </si>
  <si>
    <t>Mariposa County</t>
  </si>
  <si>
    <t>Alturas</t>
  </si>
  <si>
    <t>Mammoth Lakes town</t>
  </si>
  <si>
    <t>Grass Valley</t>
  </si>
  <si>
    <t>Nevada City</t>
  </si>
  <si>
    <t>Truckee</t>
  </si>
  <si>
    <t>Portola</t>
  </si>
  <si>
    <t>Anderson</t>
  </si>
  <si>
    <t>Redding</t>
  </si>
  <si>
    <t>Shasta Lake</t>
  </si>
  <si>
    <t>Loyalton</t>
  </si>
  <si>
    <t>Dorris</t>
  </si>
  <si>
    <t>Dunsmuir</t>
  </si>
  <si>
    <t>Etna</t>
  </si>
  <si>
    <t>Fort Jones</t>
  </si>
  <si>
    <t>Montague</t>
  </si>
  <si>
    <t>Mount Shasta</t>
  </si>
  <si>
    <t>Tulelake</t>
  </si>
  <si>
    <t>Weed</t>
  </si>
  <si>
    <t>Yreka</t>
  </si>
  <si>
    <t>Corning</t>
  </si>
  <si>
    <t>Red Bluff</t>
  </si>
  <si>
    <t>Trinity County</t>
  </si>
  <si>
    <t>Sonora</t>
  </si>
  <si>
    <t>20 NON-COG ALL OTHER TOTAL</t>
  </si>
  <si>
    <t>Statewide 5th Cycle Total units: all jurisdictions</t>
  </si>
  <si>
    <t>Total Estimated and Projected Population for California and Counties: July 1, 2010 to July 1, 2060 in 1-year Increments</t>
  </si>
  <si>
    <t>Estimates</t>
  </si>
  <si>
    <t>Projections</t>
  </si>
  <si>
    <t>Population</t>
  </si>
  <si>
    <t>California</t>
  </si>
  <si>
    <t>Alameda County</t>
  </si>
  <si>
    <t>Amador County</t>
  </si>
  <si>
    <t>Butte County</t>
  </si>
  <si>
    <t>Calaveras County</t>
  </si>
  <si>
    <t>Colusa County</t>
  </si>
  <si>
    <t>Contra Costa County</t>
  </si>
  <si>
    <t>Del Norte County</t>
  </si>
  <si>
    <t>El Dorado County</t>
  </si>
  <si>
    <t>Fresno County</t>
  </si>
  <si>
    <t>Glenn County</t>
  </si>
  <si>
    <t>Humboldt County</t>
  </si>
  <si>
    <t>Imperial County</t>
  </si>
  <si>
    <t>Inyo County</t>
  </si>
  <si>
    <t>Kern County</t>
  </si>
  <si>
    <t>Kings County</t>
  </si>
  <si>
    <t>Lake County</t>
  </si>
  <si>
    <t>Lassen County</t>
  </si>
  <si>
    <t>Los Angeles County</t>
  </si>
  <si>
    <t>Madera County</t>
  </si>
  <si>
    <t>Marin County</t>
  </si>
  <si>
    <t>Mendocino County</t>
  </si>
  <si>
    <t>Merced County</t>
  </si>
  <si>
    <t>Modoc County</t>
  </si>
  <si>
    <t>Mono County</t>
  </si>
  <si>
    <t>Monterey County</t>
  </si>
  <si>
    <t>Napa County</t>
  </si>
  <si>
    <t>Nevada County</t>
  </si>
  <si>
    <t>Orange County</t>
  </si>
  <si>
    <t>Placer County</t>
  </si>
  <si>
    <t>Plumas County</t>
  </si>
  <si>
    <t>Riverside County</t>
  </si>
  <si>
    <t>Sacramento County</t>
  </si>
  <si>
    <t>San Benito County</t>
  </si>
  <si>
    <t>San Bernardino County</t>
  </si>
  <si>
    <t>San Diego County</t>
  </si>
  <si>
    <t>San Francisco County</t>
  </si>
  <si>
    <t>San Joaquin County</t>
  </si>
  <si>
    <t>San Luis Obispo County</t>
  </si>
  <si>
    <t>San Mateo County</t>
  </si>
  <si>
    <t>Santa Barbara County</t>
  </si>
  <si>
    <t>Santa Clara County</t>
  </si>
  <si>
    <t>Santa Cruz County</t>
  </si>
  <si>
    <t>Shasta County</t>
  </si>
  <si>
    <t>Sierra County</t>
  </si>
  <si>
    <t>Siskiyou County</t>
  </si>
  <si>
    <t>Solano County</t>
  </si>
  <si>
    <t>Sonoma County</t>
  </si>
  <si>
    <t>Stanislaus County</t>
  </si>
  <si>
    <t>Sutter County</t>
  </si>
  <si>
    <t>Tehama County</t>
  </si>
  <si>
    <t>Tulare County</t>
  </si>
  <si>
    <t>Tuolumne County</t>
  </si>
  <si>
    <t>Ventura County</t>
  </si>
  <si>
    <t>Yolo County</t>
  </si>
  <si>
    <t>Yuba County</t>
  </si>
  <si>
    <t>Projections Prepared by Demographic Research Unit, California Department of Finance, January 2020</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</si>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</sst>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
    <numFmt numFmtId="165" formatCode="0.0%"/>
    <numFmt numFmtId="166" formatCode="#,##0.000"/>
    <numFmt numFmtId="167" formatCode="#,##0.0"/>
    <numFmt numFmtId="168" formatCode="&quot;$&quot;#,##0.00"/>
  </numFmts>
  <fonts count="62">
    <font>
      <sz val="10"/>
      <color rgb="FF000000"/>
      <name val="Arial"/>
    </font>
    <font>
      <sz val="10"/>
      <color theme="1"/>
      <name val="Arial"/>
    </font>
    <font>
      <sz val="10"/>
      <name val="Arial"/>
    </font>
    <font>
      <b/>
      <sz val="18"/>
      <color theme="1"/>
      <name val="Calibri"/>
    </font>
    <font>
      <i/>
      <sz val="10"/>
      <color theme="1"/>
      <name val="Calibri"/>
    </font>
    <font>
      <b/>
      <sz val="10"/>
      <color theme="1"/>
      <name val="Calibri"/>
    </font>
    <font>
      <b/>
      <u/>
      <sz val="12"/>
      <color rgb="FF4C5266"/>
      <name val="Calibri"/>
    </font>
    <font>
      <sz val="10"/>
      <color theme="1"/>
      <name val="Calibri"/>
    </font>
    <font>
      <b/>
      <sz val="14"/>
      <color theme="1"/>
      <name val="Arial"/>
    </font>
    <font>
      <b/>
      <sz val="10"/>
      <color theme="1"/>
      <name val="Arial"/>
    </font>
    <font>
      <b/>
      <sz val="12"/>
      <color theme="1"/>
      <name val="Arial"/>
    </font>
    <font>
      <b/>
      <sz val="10"/>
      <color theme="1"/>
      <name val="Arial"/>
    </font>
    <font>
      <sz val="10"/>
      <color theme="1"/>
      <name val="Arial"/>
    </font>
    <font>
      <b/>
      <sz val="10"/>
      <color rgb="FF000000"/>
      <name val="Arial"/>
    </font>
    <font>
      <sz val="11"/>
      <color rgb="FF000000"/>
      <name val="Calibri"/>
    </font>
    <font>
      <sz val="9"/>
      <color rgb="FF000000"/>
      <name val="Arial"/>
    </font>
    <font>
      <sz val="9"/>
      <color theme="1"/>
      <name val="Arial"/>
    </font>
    <font>
      <b/>
      <sz val="12"/>
      <color theme="1"/>
      <name val="Calibri"/>
    </font>
    <font>
      <sz val="12"/>
      <color theme="1"/>
      <name val="Calibri"/>
    </font>
    <font>
      <sz val="12"/>
      <color rgb="FF000000"/>
      <name val="Calibri"/>
    </font>
    <font>
      <sz val="11"/>
      <color rgb="FF000000"/>
      <name val="Inconsolata"/>
    </font>
    <font>
      <sz val="12"/>
      <color rgb="FF000000"/>
      <name val="Arial"/>
    </font>
    <font>
      <b/>
      <sz val="9"/>
      <color rgb="FFFF0000"/>
      <name val="Arial"/>
    </font>
    <font>
      <sz val="11"/>
      <color rgb="FF000000"/>
      <name val="Arial"/>
    </font>
    <font>
      <sz val="11"/>
      <color rgb="FFF1CA3A"/>
      <name val="Inconsolata"/>
    </font>
    <font>
      <sz val="10"/>
      <color rgb="FF000000"/>
      <name val="Arial"/>
    </font>
    <font>
      <b/>
      <sz val="10"/>
      <color rgb="FFFFFFFF"/>
      <name val="Arial"/>
    </font>
    <font>
      <b/>
      <sz val="10"/>
      <color rgb="FF000000"/>
      <name val="Arial"/>
    </font>
    <font>
      <sz val="10"/>
      <color rgb="FF000000"/>
      <name val="ARIAL"/>
    </font>
    <font>
      <b/>
      <sz val="9"/>
      <color theme="1"/>
      <name val="Arial"/>
    </font>
    <font>
      <sz val="9"/>
      <color rgb="FF000000"/>
      <name val="ARIAL"/>
    </font>
    <font>
      <b/>
      <sz val="10"/>
      <color rgb="FF000000"/>
      <name val="ARIAL"/>
    </font>
    <font>
      <b/>
      <sz val="18"/>
      <color rgb="FFFFFFFF"/>
      <name val="Arial"/>
    </font>
    <font>
      <sz val="10"/>
      <color rgb="FFFFFFFF"/>
      <name val="Arial"/>
    </font>
    <font>
      <b/>
      <i/>
      <sz val="10"/>
      <color theme="1"/>
      <name val="Arial"/>
    </font>
    <font>
      <b/>
      <i/>
      <sz val="10"/>
      <color rgb="FF000000"/>
      <name val="Arial"/>
    </font>
    <font>
      <i/>
      <sz val="10"/>
      <color rgb="FF000000"/>
      <name val="Arial"/>
    </font>
    <font>
      <i/>
      <sz val="10"/>
      <color rgb="FF000000"/>
      <name val="ARIAL"/>
    </font>
    <font>
      <i/>
      <sz val="10"/>
      <color theme="1"/>
      <name val="Arial"/>
    </font>
    <font>
      <b/>
      <i/>
      <sz val="10"/>
      <color rgb="FF000000"/>
      <name val="Arial"/>
    </font>
    <font>
      <b/>
      <i/>
      <sz val="10"/>
      <color rgb="FF000000"/>
      <name val="ARIAL"/>
    </font>
    <font>
      <sz val="10"/>
      <color rgb="FF000000"/>
      <name val="ARIAL"/>
    </font>
    <font>
      <i/>
      <sz val="10"/>
      <color rgb="FF000000"/>
      <name val="Arial"/>
    </font>
    <font>
      <i/>
      <sz val="10"/>
      <color rgb="FF000000"/>
      <name val="ARIAL"/>
    </font>
    <font>
      <b/>
      <i/>
      <sz val="10"/>
      <color theme="1"/>
      <name val="Arial"/>
    </font>
    <font>
      <b/>
      <i/>
      <sz val="10"/>
      <color rgb="FF000000"/>
      <name val="ARIAL"/>
    </font>
    <font>
      <b/>
      <i/>
      <sz val="12"/>
      <color rgb="FF000000"/>
      <name val="Arial"/>
    </font>
    <font>
      <b/>
      <sz val="18"/>
      <color rgb="FF000000"/>
      <name val="Arial"/>
    </font>
    <font>
      <b/>
      <sz val="9"/>
      <color rgb="FF000000"/>
      <name val="Arial"/>
    </font>
    <font>
      <b/>
      <i/>
      <sz val="9"/>
      <color theme="1"/>
      <name val="Arial"/>
    </font>
    <font>
      <b/>
      <i/>
      <sz val="9"/>
      <color rgb="FF000000"/>
      <name val="Arial"/>
    </font>
    <font>
      <b/>
      <sz val="12"/>
      <color rgb="FFFFFFFF"/>
      <name val="Arial"/>
    </font>
    <font>
      <b/>
      <sz val="11"/>
      <color theme="1"/>
      <name val="Arial"/>
    </font>
    <font>
      <b/>
      <sz val="11"/>
      <color rgb="FF000000"/>
      <name val="Arial"/>
    </font>
    <font>
      <b/>
      <sz val="11"/>
      <color rgb="FFFF0000"/>
      <name val="Arial"/>
    </font>
    <font>
      <sz val="9"/>
      <color rgb="FFFF0000"/>
      <name val="Arial"/>
    </font>
    <font>
      <b/>
      <sz val="10"/>
      <color rgb="FFFF0000"/>
      <name val="Arial"/>
    </font>
    <font>
      <b/>
      <sz val="12"/>
      <color rgb="FFFF0000"/>
      <name val="Arial"/>
    </font>
    <font>
      <u/>
      <sz val="10"/>
      <color rgb="FF000000"/>
      <name val="Arial"/>
    </font>
    <font>
      <sz val="11"/>
      <color theme="1"/>
      <name val="Arial"/>
    </font>
    <font>
      <b/>
      <sz val="24"/>
      <name val="Arial"/>
    </font>
    <font>
      <sz val="14"/>
      <name val="Arial"/>
    </font>
  </fonts>
  <fills count="23">
    <fill>
      <patternFill patternType="none"/>
    </fill>
    <fill>
      <patternFill patternType="gray125"/>
    </fill>
    <fill>
      <patternFill patternType="solid">
        <fgColor rgb="FFFFFFFF"/>
        <bgColor rgb="FFFFFFFF"/>
      </patternFill>
    </fill>
    <fill>
      <patternFill patternType="solid">
        <fgColor rgb="FFDEFFFE"/>
        <bgColor rgb="FFDEFFFE"/>
      </patternFill>
    </fill>
    <fill>
      <patternFill patternType="solid">
        <fgColor rgb="FFD7DF23"/>
        <bgColor rgb="FFD7DF23"/>
      </patternFill>
    </fill>
    <fill>
      <patternFill patternType="solid">
        <fgColor rgb="FFE2EFDA"/>
        <bgColor rgb="FFE2EFDA"/>
      </patternFill>
    </fill>
    <fill>
      <patternFill patternType="solid">
        <fgColor rgb="FFF4F6D9"/>
        <bgColor rgb="FFF4F6D9"/>
      </patternFill>
    </fill>
    <fill>
      <patternFill patternType="solid">
        <fgColor rgb="FFFCE4D6"/>
        <bgColor rgb="FFFCE4D6"/>
      </patternFill>
    </fill>
    <fill>
      <patternFill patternType="solid">
        <fgColor rgb="FFD9E1F2"/>
        <bgColor rgb="FFD9E1F2"/>
      </patternFill>
    </fill>
    <fill>
      <patternFill patternType="solid">
        <fgColor rgb="FFDDEBF7"/>
        <bgColor rgb="FFDDEBF7"/>
      </patternFill>
    </fill>
    <fill>
      <patternFill patternType="solid">
        <fgColor rgb="FF4C5266"/>
        <bgColor rgb="FF4C5266"/>
      </patternFill>
    </fill>
    <fill>
      <patternFill patternType="solid">
        <fgColor rgb="FFD9EAD3"/>
        <bgColor rgb="FFD9EAD3"/>
      </patternFill>
    </fill>
    <fill>
      <patternFill patternType="solid">
        <fgColor rgb="FFFFF2CC"/>
        <bgColor rgb="FFFFF2CC"/>
      </patternFill>
    </fill>
    <fill>
      <patternFill patternType="solid">
        <fgColor rgb="FFFCE5CD"/>
        <bgColor rgb="FFFCE5CD"/>
      </patternFill>
    </fill>
    <fill>
      <patternFill patternType="solid">
        <fgColor rgb="FFF4CCCC"/>
        <bgColor rgb="FFF4CCCC"/>
      </patternFill>
    </fill>
    <fill>
      <patternFill patternType="solid">
        <fgColor rgb="FFE6B8AF"/>
        <bgColor rgb="FFE6B8AF"/>
      </patternFill>
    </fill>
    <fill>
      <patternFill patternType="solid">
        <fgColor rgb="FFD9D2E9"/>
        <bgColor rgb="FFD9D2E9"/>
      </patternFill>
    </fill>
    <fill>
      <patternFill patternType="solid">
        <fgColor rgb="FFC9DAF8"/>
        <bgColor rgb="FFC9DAF8"/>
      </patternFill>
    </fill>
    <fill>
      <patternFill patternType="solid">
        <fgColor rgb="FFCFE2F3"/>
        <bgColor rgb="FFCFE2F3"/>
      </patternFill>
    </fill>
    <fill>
      <patternFill patternType="solid">
        <fgColor rgb="FFE7E6E6"/>
        <bgColor rgb="FFE7E6E6"/>
      </patternFill>
    </fill>
    <fill>
      <patternFill patternType="solid">
        <fgColor rgb="FF4472C4"/>
        <bgColor rgb="FF4472C4"/>
      </patternFill>
    </fill>
    <fill>
      <patternFill patternType="solid">
        <fgColor rgb="FF8EA9DB"/>
        <bgColor rgb="FF8EA9DB"/>
      </patternFill>
    </fill>
    <fill>
      <patternFill patternType="solid">
        <fgColor rgb="FF000000"/>
        <bgColor rgb="FF000000"/>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ck">
        <color rgb="FF000000"/>
      </bottom>
      <diagonal/>
    </border>
    <border>
      <left/>
      <right/>
      <top style="thick">
        <color rgb="FF000000"/>
      </top>
      <bottom/>
      <diagonal/>
    </border>
    <border>
      <left style="thick">
        <color rgb="FF000000"/>
      </left>
      <right/>
      <top/>
      <bottom/>
      <diagonal/>
    </border>
    <border>
      <left/>
      <right style="double">
        <color rgb="FF000000"/>
      </right>
      <top/>
      <bottom/>
      <diagonal/>
    </border>
    <border>
      <left style="double">
        <color rgb="FF000000"/>
      </left>
      <right/>
      <top/>
      <bottom/>
      <diagonal/>
    </border>
    <border>
      <left/>
      <right/>
      <top/>
      <bottom style="double">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723">
    <xf numFmtId="0" fontId="0" fillId="0" borderId="0" xfId="0" applyFont="1" applyAlignment="1"/>
    <xf numFmtId="0" fontId="1" fillId="2" borderId="0" xfId="0" applyFont="1" applyFill="1" applyAlignment="1"/>
    <xf numFmtId="0" fontId="1" fillId="0" borderId="0" xfId="0" applyFont="1" applyAlignment="1"/>
    <xf numFmtId="0" fontId="1" fillId="3" borderId="1" xfId="0" applyFont="1" applyFill="1" applyBorder="1" applyAlignment="1"/>
    <xf numFmtId="0" fontId="1" fillId="3" borderId="2" xfId="0" applyFont="1" applyFill="1" applyBorder="1" applyAlignment="1"/>
    <xf numFmtId="0" fontId="1" fillId="4" borderId="4" xfId="0" applyFont="1" applyFill="1" applyBorder="1"/>
    <xf numFmtId="0" fontId="3" fillId="4" borderId="5" xfId="0" applyFont="1" applyFill="1" applyBorder="1" applyAlignment="1"/>
    <xf numFmtId="0" fontId="1" fillId="4" borderId="5" xfId="0" applyFont="1" applyFill="1" applyBorder="1"/>
    <xf numFmtId="0" fontId="1" fillId="3" borderId="7" xfId="0" applyFont="1" applyFill="1" applyBorder="1" applyAlignment="1"/>
    <xf numFmtId="0" fontId="4" fillId="3" borderId="0" xfId="0" applyFont="1" applyFill="1" applyAlignment="1"/>
    <xf numFmtId="0" fontId="1" fillId="3" borderId="0" xfId="0" applyFont="1" applyFill="1" applyAlignment="1"/>
    <xf numFmtId="0" fontId="5" fillId="3" borderId="0" xfId="0" applyFont="1" applyFill="1" applyAlignment="1"/>
    <xf numFmtId="0" fontId="5" fillId="3" borderId="0" xfId="0" applyFont="1" applyFill="1" applyAlignment="1"/>
    <xf numFmtId="0" fontId="1" fillId="3" borderId="7" xfId="0" applyFont="1" applyFill="1" applyBorder="1" applyAlignment="1">
      <alignment vertical="center"/>
    </xf>
    <xf numFmtId="0" fontId="6" fillId="3" borderId="0" xfId="0" applyFont="1" applyFill="1" applyAlignment="1">
      <alignment vertical="center"/>
    </xf>
    <xf numFmtId="0" fontId="1" fillId="3" borderId="0" xfId="0" applyFont="1" applyFill="1" applyAlignment="1">
      <alignment vertical="center" wrapText="1"/>
    </xf>
    <xf numFmtId="0" fontId="7" fillId="3" borderId="9" xfId="0" applyFont="1" applyFill="1" applyBorder="1" applyAlignment="1">
      <alignment vertical="center"/>
    </xf>
    <xf numFmtId="0" fontId="1" fillId="3" borderId="8" xfId="0" applyFont="1" applyFill="1" applyBorder="1" applyAlignment="1">
      <alignment vertical="center"/>
    </xf>
    <xf numFmtId="0" fontId="1" fillId="0" borderId="0" xfId="0" applyFont="1" applyAlignment="1">
      <alignment vertical="center"/>
    </xf>
    <xf numFmtId="0" fontId="7" fillId="3" borderId="0" xfId="0" applyFont="1" applyFill="1" applyAlignment="1">
      <alignment vertical="center" wrapText="1"/>
    </xf>
    <xf numFmtId="0" fontId="1" fillId="3" borderId="10" xfId="0" applyFont="1" applyFill="1" applyBorder="1" applyAlignment="1"/>
    <xf numFmtId="0" fontId="1" fillId="3" borderId="11" xfId="0" applyFont="1" applyFill="1" applyBorder="1"/>
    <xf numFmtId="0" fontId="1" fillId="3" borderId="11" xfId="0" applyFont="1" applyFill="1" applyBorder="1" applyAlignment="1"/>
    <xf numFmtId="0" fontId="1" fillId="3" borderId="12" xfId="0" applyFont="1" applyFill="1" applyBorder="1" applyAlignment="1"/>
    <xf numFmtId="0" fontId="1" fillId="0" borderId="0" xfId="0" applyFont="1" applyAlignment="1"/>
    <xf numFmtId="3" fontId="9" fillId="6" borderId="0" xfId="0" applyNumberFormat="1" applyFont="1" applyFill="1" applyAlignment="1">
      <alignment horizontal="center" wrapText="1"/>
    </xf>
    <xf numFmtId="0" fontId="10" fillId="8" borderId="0" xfId="0" applyFont="1" applyFill="1" applyAlignment="1">
      <alignment horizontal="center" vertical="center" wrapText="1"/>
    </xf>
    <xf numFmtId="0" fontId="1" fillId="8" borderId="0" xfId="0" applyFont="1" applyFill="1"/>
    <xf numFmtId="3" fontId="9" fillId="5" borderId="0" xfId="0" applyNumberFormat="1" applyFont="1" applyFill="1" applyAlignment="1">
      <alignment horizontal="center" wrapText="1"/>
    </xf>
    <xf numFmtId="0" fontId="9" fillId="5" borderId="0" xfId="0" applyFont="1" applyFill="1" applyAlignment="1">
      <alignment horizontal="center" wrapText="1"/>
    </xf>
    <xf numFmtId="0" fontId="9" fillId="6" borderId="0" xfId="0" applyFont="1" applyFill="1" applyAlignment="1">
      <alignment horizontal="center" wrapText="1"/>
    </xf>
    <xf numFmtId="0" fontId="9" fillId="7" borderId="0" xfId="0" applyFont="1" applyFill="1" applyAlignment="1">
      <alignment horizontal="center" wrapText="1"/>
    </xf>
    <xf numFmtId="3" fontId="9" fillId="7" borderId="0" xfId="0" applyNumberFormat="1" applyFont="1" applyFill="1" applyAlignment="1">
      <alignment horizontal="center" wrapText="1"/>
    </xf>
    <xf numFmtId="0" fontId="9" fillId="8" borderId="0" xfId="0" applyFont="1" applyFill="1" applyAlignment="1">
      <alignment horizontal="center"/>
    </xf>
    <xf numFmtId="3" fontId="9" fillId="5" borderId="11" xfId="0" applyNumberFormat="1" applyFont="1" applyFill="1" applyBorder="1" applyAlignment="1">
      <alignment horizontal="center" wrapText="1"/>
    </xf>
    <xf numFmtId="3" fontId="9" fillId="5" borderId="11" xfId="0" applyNumberFormat="1" applyFont="1" applyFill="1" applyBorder="1" applyAlignment="1">
      <alignment horizontal="center" wrapText="1"/>
    </xf>
    <xf numFmtId="0" fontId="9" fillId="5" borderId="11" xfId="0" applyFont="1" applyFill="1" applyBorder="1" applyAlignment="1">
      <alignment horizontal="center" wrapText="1"/>
    </xf>
    <xf numFmtId="3" fontId="9" fillId="6" borderId="11" xfId="0" applyNumberFormat="1" applyFont="1" applyFill="1" applyBorder="1" applyAlignment="1">
      <alignment horizontal="center" wrapText="1"/>
    </xf>
    <xf numFmtId="3" fontId="9" fillId="6" borderId="11" xfId="0" applyNumberFormat="1" applyFont="1" applyFill="1" applyBorder="1" applyAlignment="1">
      <alignment horizontal="center" wrapText="1"/>
    </xf>
    <xf numFmtId="0" fontId="9" fillId="6" borderId="11" xfId="0" applyFont="1" applyFill="1" applyBorder="1" applyAlignment="1">
      <alignment horizontal="center" wrapText="1"/>
    </xf>
    <xf numFmtId="0" fontId="9" fillId="7" borderId="11" xfId="0" applyFont="1" applyFill="1" applyBorder="1" applyAlignment="1">
      <alignment horizontal="center" wrapText="1"/>
    </xf>
    <xf numFmtId="3" fontId="9" fillId="7" borderId="11" xfId="0" applyNumberFormat="1" applyFont="1" applyFill="1" applyBorder="1" applyAlignment="1">
      <alignment horizontal="center" wrapText="1"/>
    </xf>
    <xf numFmtId="0" fontId="9" fillId="7" borderId="11" xfId="0" applyFont="1" applyFill="1" applyBorder="1" applyAlignment="1">
      <alignment horizontal="center" wrapText="1"/>
    </xf>
    <xf numFmtId="0" fontId="9" fillId="8" borderId="11" xfId="0" applyFont="1" applyFill="1" applyBorder="1" applyAlignment="1">
      <alignment horizontal="center"/>
    </xf>
    <xf numFmtId="3" fontId="9" fillId="8" borderId="11" xfId="0" applyNumberFormat="1" applyFont="1" applyFill="1" applyBorder="1" applyAlignment="1">
      <alignment horizontal="center" wrapText="1"/>
    </xf>
    <xf numFmtId="0" fontId="9" fillId="8" borderId="11" xfId="0" applyFont="1" applyFill="1" applyBorder="1" applyAlignment="1">
      <alignment horizontal="center" wrapText="1"/>
    </xf>
    <xf numFmtId="3" fontId="9" fillId="5" borderId="0" xfId="0" applyNumberFormat="1" applyFont="1" applyFill="1" applyAlignment="1">
      <alignment horizontal="center"/>
    </xf>
    <xf numFmtId="9" fontId="9" fillId="5" borderId="0" xfId="0" applyNumberFormat="1" applyFont="1" applyFill="1" applyAlignment="1">
      <alignment horizontal="center"/>
    </xf>
    <xf numFmtId="9" fontId="1" fillId="5" borderId="0" xfId="0" applyNumberFormat="1" applyFont="1" applyFill="1" applyAlignment="1">
      <alignment horizontal="center"/>
    </xf>
    <xf numFmtId="3" fontId="9" fillId="6" borderId="0" xfId="0" applyNumberFormat="1" applyFont="1" applyFill="1" applyAlignment="1">
      <alignment horizontal="center"/>
    </xf>
    <xf numFmtId="9" fontId="9" fillId="6" borderId="0" xfId="0" applyNumberFormat="1" applyFont="1" applyFill="1" applyAlignment="1">
      <alignment horizontal="center"/>
    </xf>
    <xf numFmtId="9" fontId="1" fillId="6" borderId="0" xfId="0" applyNumberFormat="1" applyFont="1" applyFill="1" applyAlignment="1">
      <alignment horizontal="center"/>
    </xf>
    <xf numFmtId="0" fontId="9" fillId="7" borderId="0" xfId="0" applyFont="1" applyFill="1" applyAlignment="1">
      <alignment horizontal="center"/>
    </xf>
    <xf numFmtId="3" fontId="9" fillId="7" borderId="0" xfId="0" applyNumberFormat="1" applyFont="1" applyFill="1" applyAlignment="1">
      <alignment horizontal="center"/>
    </xf>
    <xf numFmtId="9" fontId="9" fillId="7" borderId="0" xfId="0" applyNumberFormat="1" applyFont="1" applyFill="1" applyAlignment="1">
      <alignment horizontal="center"/>
    </xf>
    <xf numFmtId="9" fontId="1" fillId="7" borderId="0" xfId="0" applyNumberFormat="1" applyFont="1" applyFill="1" applyAlignment="1">
      <alignment horizontal="center"/>
    </xf>
    <xf numFmtId="0" fontId="1" fillId="8" borderId="0" xfId="0" applyFont="1" applyFill="1" applyAlignment="1">
      <alignment horizontal="center"/>
    </xf>
    <xf numFmtId="3" fontId="11" fillId="6" borderId="0" xfId="0" applyNumberFormat="1" applyFont="1" applyFill="1" applyAlignment="1">
      <alignment horizontal="center"/>
    </xf>
    <xf numFmtId="9" fontId="12" fillId="6" borderId="0" xfId="0" applyNumberFormat="1" applyFont="1" applyFill="1" applyAlignment="1">
      <alignment horizontal="center"/>
    </xf>
    <xf numFmtId="3" fontId="11" fillId="8" borderId="0" xfId="0" applyNumberFormat="1" applyFont="1" applyFill="1" applyAlignment="1">
      <alignment horizontal="center"/>
    </xf>
    <xf numFmtId="3" fontId="9" fillId="8" borderId="0" xfId="0" applyNumberFormat="1" applyFont="1" applyFill="1" applyAlignment="1">
      <alignment horizontal="center"/>
    </xf>
    <xf numFmtId="9" fontId="9" fillId="8" borderId="0" xfId="0" applyNumberFormat="1" applyFont="1" applyFill="1" applyAlignment="1">
      <alignment horizontal="center"/>
    </xf>
    <xf numFmtId="3" fontId="13" fillId="7" borderId="0" xfId="0" applyNumberFormat="1" applyFont="1" applyFill="1" applyAlignment="1">
      <alignment horizontal="center"/>
    </xf>
    <xf numFmtId="9" fontId="0" fillId="7" borderId="0" xfId="0" applyNumberFormat="1" applyFont="1" applyFill="1" applyAlignment="1">
      <alignment horizontal="center"/>
    </xf>
    <xf numFmtId="3" fontId="11" fillId="8" borderId="11" xfId="0" applyNumberFormat="1" applyFont="1" applyFill="1" applyBorder="1" applyAlignment="1">
      <alignment horizontal="center"/>
    </xf>
    <xf numFmtId="3" fontId="9" fillId="8" borderId="11" xfId="0" applyNumberFormat="1" applyFont="1" applyFill="1" applyBorder="1" applyAlignment="1">
      <alignment horizontal="center"/>
    </xf>
    <xf numFmtId="0" fontId="1" fillId="8" borderId="0" xfId="0" applyFont="1" applyFill="1" applyAlignment="1">
      <alignment horizontal="center"/>
    </xf>
    <xf numFmtId="0" fontId="1" fillId="0" borderId="0" xfId="0" applyFont="1" applyAlignment="1">
      <alignment horizontal="center"/>
    </xf>
    <xf numFmtId="0" fontId="9" fillId="6" borderId="0" xfId="0" applyFont="1" applyFill="1" applyAlignment="1">
      <alignment horizontal="center"/>
    </xf>
    <xf numFmtId="3" fontId="12" fillId="6" borderId="0" xfId="0" applyNumberFormat="1" applyFont="1" applyFill="1" applyAlignment="1">
      <alignment horizontal="center"/>
    </xf>
    <xf numFmtId="4" fontId="12" fillId="6" borderId="0" xfId="0" applyNumberFormat="1" applyFont="1" applyFill="1" applyAlignment="1">
      <alignment horizontal="center"/>
    </xf>
    <xf numFmtId="3" fontId="9" fillId="5" borderId="0" xfId="0" applyNumberFormat="1" applyFont="1" applyFill="1" applyAlignment="1">
      <alignment horizontal="center"/>
    </xf>
    <xf numFmtId="9" fontId="1" fillId="5" borderId="0" xfId="0" applyNumberFormat="1" applyFont="1" applyFill="1" applyAlignment="1">
      <alignment horizontal="center"/>
    </xf>
    <xf numFmtId="3" fontId="12" fillId="6" borderId="0" xfId="0" applyNumberFormat="1" applyFont="1" applyFill="1" applyAlignment="1">
      <alignment horizontal="center"/>
    </xf>
    <xf numFmtId="0" fontId="9" fillId="5" borderId="0" xfId="0" applyFont="1" applyFill="1" applyAlignment="1">
      <alignment horizontal="center"/>
    </xf>
    <xf numFmtId="9" fontId="9" fillId="5" borderId="0" xfId="0" applyNumberFormat="1" applyFont="1" applyFill="1" applyAlignment="1">
      <alignment horizontal="center"/>
    </xf>
    <xf numFmtId="3" fontId="11" fillId="7" borderId="0" xfId="0" applyNumberFormat="1" applyFont="1" applyFill="1" applyAlignment="1">
      <alignment horizontal="center"/>
    </xf>
    <xf numFmtId="0" fontId="1" fillId="6" borderId="0" xfId="0" applyFont="1" applyFill="1"/>
    <xf numFmtId="3" fontId="9" fillId="5" borderId="15" xfId="0" applyNumberFormat="1" applyFont="1" applyFill="1" applyBorder="1" applyAlignment="1">
      <alignment horizontal="center"/>
    </xf>
    <xf numFmtId="0" fontId="1" fillId="2" borderId="0" xfId="0" applyFont="1" applyFill="1" applyAlignment="1"/>
    <xf numFmtId="164" fontId="14" fillId="2" borderId="0" xfId="0" applyNumberFormat="1" applyFont="1" applyFill="1" applyAlignment="1">
      <alignment horizontal="right"/>
    </xf>
    <xf numFmtId="0" fontId="1" fillId="2" borderId="0" xfId="0" applyFont="1" applyFill="1"/>
    <xf numFmtId="3" fontId="14" fillId="2" borderId="0" xfId="0" applyNumberFormat="1" applyFont="1" applyFill="1" applyAlignment="1">
      <alignment horizontal="right"/>
    </xf>
    <xf numFmtId="3" fontId="15" fillId="2" borderId="0" xfId="0" applyNumberFormat="1" applyFont="1" applyFill="1" applyAlignment="1">
      <alignment horizontal="right"/>
    </xf>
    <xf numFmtId="0" fontId="1" fillId="2" borderId="0" xfId="0" applyFont="1" applyFill="1" applyAlignment="1">
      <alignment horizontal="center"/>
    </xf>
    <xf numFmtId="0" fontId="1" fillId="0" borderId="0" xfId="0" applyFont="1" applyAlignment="1">
      <alignment horizontal="center"/>
    </xf>
    <xf numFmtId="3" fontId="1" fillId="0" borderId="0" xfId="0" applyNumberFormat="1" applyFont="1" applyAlignment="1"/>
    <xf numFmtId="3" fontId="16" fillId="0" borderId="0" xfId="0" applyNumberFormat="1" applyFont="1" applyAlignment="1">
      <alignment horizontal="right"/>
    </xf>
    <xf numFmtId="0" fontId="9" fillId="0" borderId="0" xfId="0" applyFont="1" applyAlignment="1"/>
    <xf numFmtId="0" fontId="9" fillId="0" borderId="0" xfId="0" applyFont="1" applyAlignment="1">
      <alignment horizontal="center" wrapText="1"/>
    </xf>
    <xf numFmtId="0" fontId="9" fillId="0" borderId="0" xfId="0" applyFont="1" applyAlignment="1">
      <alignment horizontal="center"/>
    </xf>
    <xf numFmtId="3" fontId="9" fillId="0" borderId="0" xfId="0" applyNumberFormat="1" applyFont="1" applyAlignment="1">
      <alignment horizontal="center"/>
    </xf>
    <xf numFmtId="3" fontId="1" fillId="0" borderId="0" xfId="0" applyNumberFormat="1" applyFont="1"/>
    <xf numFmtId="3" fontId="10" fillId="0" borderId="0" xfId="0" applyNumberFormat="1" applyFont="1" applyAlignment="1">
      <alignment horizontal="center"/>
    </xf>
    <xf numFmtId="9" fontId="10" fillId="0" borderId="0" xfId="0" applyNumberFormat="1" applyFont="1" applyAlignment="1">
      <alignment horizontal="center"/>
    </xf>
    <xf numFmtId="0" fontId="9" fillId="0" borderId="0" xfId="0" applyFont="1" applyAlignment="1">
      <alignment horizontal="center"/>
    </xf>
    <xf numFmtId="3" fontId="12" fillId="0" borderId="0" xfId="0" applyNumberFormat="1" applyFont="1" applyAlignment="1">
      <alignment horizontal="center"/>
    </xf>
    <xf numFmtId="3" fontId="12" fillId="0" borderId="0" xfId="0" applyNumberFormat="1" applyFont="1"/>
    <xf numFmtId="3" fontId="12" fillId="2" borderId="0" xfId="0" applyNumberFormat="1" applyFont="1" applyFill="1" applyAlignment="1">
      <alignment horizontal="center"/>
    </xf>
    <xf numFmtId="3" fontId="12" fillId="0" borderId="0" xfId="0" applyNumberFormat="1" applyFont="1" applyAlignment="1">
      <alignment horizontal="center"/>
    </xf>
    <xf numFmtId="0" fontId="9" fillId="0" borderId="0" xfId="0" applyFont="1" applyAlignment="1">
      <alignment horizontal="center"/>
    </xf>
    <xf numFmtId="0" fontId="9" fillId="0" borderId="11" xfId="0" applyFont="1" applyBorder="1" applyAlignment="1"/>
    <xf numFmtId="0" fontId="17" fillId="0" borderId="11" xfId="0" applyFont="1" applyBorder="1" applyAlignment="1">
      <alignment horizontal="center" wrapText="1"/>
    </xf>
    <xf numFmtId="0" fontId="17" fillId="0" borderId="11" xfId="0" applyFont="1" applyBorder="1" applyAlignment="1">
      <alignment horizontal="center"/>
    </xf>
    <xf numFmtId="3" fontId="17" fillId="0" borderId="11" xfId="0" applyNumberFormat="1" applyFont="1" applyBorder="1" applyAlignment="1">
      <alignment horizontal="center"/>
    </xf>
    <xf numFmtId="3" fontId="18" fillId="0" borderId="11" xfId="0" applyNumberFormat="1" applyFont="1" applyBorder="1"/>
    <xf numFmtId="3" fontId="17" fillId="0" borderId="11" xfId="0" applyNumberFormat="1" applyFont="1" applyBorder="1" applyAlignment="1">
      <alignment horizontal="center" wrapText="1"/>
    </xf>
    <xf numFmtId="3" fontId="18" fillId="0" borderId="11" xfId="0" applyNumberFormat="1" applyFont="1" applyBorder="1" applyAlignment="1"/>
    <xf numFmtId="0" fontId="18" fillId="0" borderId="11" xfId="0" applyFont="1" applyBorder="1" applyAlignment="1">
      <alignment horizontal="center"/>
    </xf>
    <xf numFmtId="9" fontId="17" fillId="0" borderId="11" xfId="0" applyNumberFormat="1" applyFont="1" applyBorder="1" applyAlignment="1">
      <alignment horizontal="center" wrapText="1"/>
    </xf>
    <xf numFmtId="0" fontId="17" fillId="0" borderId="11" xfId="0" applyFont="1" applyBorder="1" applyAlignment="1">
      <alignment horizontal="center" wrapText="1"/>
    </xf>
    <xf numFmtId="0" fontId="17" fillId="0" borderId="11" xfId="0" applyFont="1" applyBorder="1" applyAlignment="1">
      <alignment horizontal="center"/>
    </xf>
    <xf numFmtId="0" fontId="18" fillId="0" borderId="11" xfId="0" applyFont="1" applyBorder="1"/>
    <xf numFmtId="3" fontId="17" fillId="0" borderId="11" xfId="0" applyNumberFormat="1" applyFont="1" applyBorder="1" applyAlignment="1">
      <alignment horizontal="center" wrapText="1"/>
    </xf>
    <xf numFmtId="3" fontId="17" fillId="2" borderId="0" xfId="0" applyNumberFormat="1" applyFont="1" applyFill="1" applyAlignment="1">
      <alignment horizontal="center" wrapText="1"/>
    </xf>
    <xf numFmtId="3" fontId="17" fillId="0" borderId="0" xfId="0" applyNumberFormat="1" applyFont="1" applyAlignment="1">
      <alignment horizontal="center" wrapText="1"/>
    </xf>
    <xf numFmtId="0" fontId="19" fillId="0" borderId="0" xfId="0" applyFont="1" applyAlignment="1"/>
    <xf numFmtId="0" fontId="19" fillId="0" borderId="0" xfId="0" applyFont="1" applyAlignment="1">
      <alignment horizontal="center" wrapText="1"/>
    </xf>
    <xf numFmtId="0" fontId="19" fillId="2" borderId="0" xfId="0" applyFont="1" applyFill="1" applyAlignment="1">
      <alignment horizontal="center"/>
    </xf>
    <xf numFmtId="0" fontId="19" fillId="0" borderId="0" xfId="0" applyFont="1" applyAlignment="1">
      <alignment horizontal="center"/>
    </xf>
    <xf numFmtId="3" fontId="19" fillId="0" borderId="0" xfId="0" applyNumberFormat="1" applyFont="1" applyAlignment="1">
      <alignment horizontal="center"/>
    </xf>
    <xf numFmtId="3" fontId="18" fillId="0" borderId="0" xfId="0" applyNumberFormat="1" applyFont="1"/>
    <xf numFmtId="3" fontId="18" fillId="0" borderId="0" xfId="0" applyNumberFormat="1" applyFont="1" applyAlignment="1">
      <alignment horizontal="center"/>
    </xf>
    <xf numFmtId="0" fontId="18" fillId="0" borderId="0" xfId="0" applyFont="1" applyAlignment="1">
      <alignment horizontal="center"/>
    </xf>
    <xf numFmtId="9" fontId="18" fillId="0" borderId="0" xfId="0" applyNumberFormat="1" applyFont="1" applyAlignment="1">
      <alignment horizontal="center"/>
    </xf>
    <xf numFmtId="0" fontId="17" fillId="0" borderId="0" xfId="0" applyFont="1" applyAlignment="1">
      <alignment horizontal="center"/>
    </xf>
    <xf numFmtId="0" fontId="18" fillId="0" borderId="0" xfId="0" applyFont="1"/>
    <xf numFmtId="3" fontId="19" fillId="2" borderId="0" xfId="0" applyNumberFormat="1" applyFont="1" applyFill="1" applyAlignment="1">
      <alignment horizontal="center"/>
    </xf>
    <xf numFmtId="3" fontId="19" fillId="2" borderId="0" xfId="0" applyNumberFormat="1" applyFont="1" applyFill="1" applyAlignment="1">
      <alignment horizontal="center"/>
    </xf>
    <xf numFmtId="0" fontId="17" fillId="0" borderId="0" xfId="0" applyFont="1" applyAlignment="1">
      <alignment horizontal="center"/>
    </xf>
    <xf numFmtId="3" fontId="20" fillId="2" borderId="0" xfId="0" applyNumberFormat="1" applyFont="1" applyFill="1" applyAlignment="1">
      <alignment horizontal="center"/>
    </xf>
    <xf numFmtId="0" fontId="19" fillId="2" borderId="0" xfId="0" applyFont="1" applyFill="1" applyAlignment="1"/>
    <xf numFmtId="0" fontId="19" fillId="2" borderId="0" xfId="0" applyFont="1" applyFill="1" applyAlignment="1">
      <alignment horizontal="center" wrapText="1"/>
    </xf>
    <xf numFmtId="3" fontId="19" fillId="2" borderId="0" xfId="0" applyNumberFormat="1" applyFont="1" applyFill="1" applyAlignment="1">
      <alignment horizontal="center"/>
    </xf>
    <xf numFmtId="3" fontId="19" fillId="2" borderId="16" xfId="0" applyNumberFormat="1" applyFont="1" applyFill="1" applyBorder="1" applyAlignment="1">
      <alignment horizontal="center"/>
    </xf>
    <xf numFmtId="3" fontId="18" fillId="2" borderId="0" xfId="0" applyNumberFormat="1" applyFont="1" applyFill="1"/>
    <xf numFmtId="3" fontId="18" fillId="2" borderId="0" xfId="0" applyNumberFormat="1" applyFont="1" applyFill="1" applyAlignment="1">
      <alignment horizontal="center"/>
    </xf>
    <xf numFmtId="3" fontId="18" fillId="2" borderId="16" xfId="0" applyNumberFormat="1" applyFont="1" applyFill="1" applyBorder="1" applyAlignment="1">
      <alignment horizontal="center"/>
    </xf>
    <xf numFmtId="3" fontId="18" fillId="2" borderId="0" xfId="0" applyNumberFormat="1" applyFont="1" applyFill="1" applyAlignment="1">
      <alignment horizontal="center"/>
    </xf>
    <xf numFmtId="0" fontId="18" fillId="2" borderId="0" xfId="0" applyFont="1" applyFill="1" applyAlignment="1">
      <alignment horizontal="center"/>
    </xf>
    <xf numFmtId="9" fontId="18" fillId="2" borderId="0" xfId="0" applyNumberFormat="1" applyFont="1" applyFill="1" applyAlignment="1">
      <alignment horizontal="center"/>
    </xf>
    <xf numFmtId="9" fontId="18" fillId="2" borderId="16" xfId="0" applyNumberFormat="1" applyFont="1" applyFill="1" applyBorder="1" applyAlignment="1">
      <alignment horizontal="center"/>
    </xf>
    <xf numFmtId="0" fontId="17" fillId="2" borderId="0" xfId="0" applyFont="1" applyFill="1" applyAlignment="1">
      <alignment horizontal="center"/>
    </xf>
    <xf numFmtId="0" fontId="18" fillId="2" borderId="0" xfId="0" applyFont="1" applyFill="1"/>
    <xf numFmtId="0" fontId="20" fillId="2" borderId="0" xfId="0" applyFont="1" applyFill="1" applyAlignment="1">
      <alignment horizontal="center"/>
    </xf>
    <xf numFmtId="10" fontId="18" fillId="2" borderId="0" xfId="0" applyNumberFormat="1" applyFont="1" applyFill="1"/>
    <xf numFmtId="0" fontId="17" fillId="2" borderId="0" xfId="0" applyFont="1" applyFill="1" applyAlignment="1">
      <alignment horizontal="center"/>
    </xf>
    <xf numFmtId="3" fontId="18" fillId="2" borderId="16" xfId="0" applyNumberFormat="1" applyFont="1" applyFill="1" applyBorder="1" applyAlignment="1">
      <alignment horizontal="center"/>
    </xf>
    <xf numFmtId="9" fontId="19" fillId="2" borderId="0" xfId="0" applyNumberFormat="1" applyFont="1" applyFill="1" applyAlignment="1">
      <alignment horizontal="center"/>
    </xf>
    <xf numFmtId="10" fontId="19" fillId="2" borderId="0" xfId="0" applyNumberFormat="1" applyFont="1" applyFill="1" applyAlignment="1">
      <alignment horizontal="center"/>
    </xf>
    <xf numFmtId="0" fontId="19" fillId="2" borderId="16" xfId="0" applyFont="1" applyFill="1" applyBorder="1" applyAlignment="1">
      <alignment horizontal="center"/>
    </xf>
    <xf numFmtId="3" fontId="19" fillId="2" borderId="8" xfId="0" applyNumberFormat="1" applyFont="1" applyFill="1" applyBorder="1" applyAlignment="1">
      <alignment horizontal="center"/>
    </xf>
    <xf numFmtId="0" fontId="21" fillId="2" borderId="0" xfId="0" applyFont="1" applyFill="1" applyAlignment="1"/>
    <xf numFmtId="9" fontId="18" fillId="2" borderId="0" xfId="0" applyNumberFormat="1" applyFont="1" applyFill="1" applyAlignment="1">
      <alignment horizontal="center"/>
    </xf>
    <xf numFmtId="3" fontId="1" fillId="2" borderId="0" xfId="0" applyNumberFormat="1" applyFont="1" applyFill="1" applyAlignment="1"/>
    <xf numFmtId="3" fontId="18" fillId="2" borderId="0" xfId="0" applyNumberFormat="1" applyFont="1" applyFill="1" applyAlignment="1">
      <alignment horizontal="center"/>
    </xf>
    <xf numFmtId="3" fontId="20" fillId="2" borderId="16" xfId="0" applyNumberFormat="1" applyFont="1" applyFill="1" applyBorder="1" applyAlignment="1">
      <alignment horizontal="center"/>
    </xf>
    <xf numFmtId="3" fontId="19" fillId="2" borderId="16" xfId="0" applyNumberFormat="1" applyFont="1" applyFill="1" applyBorder="1" applyAlignment="1">
      <alignment horizontal="center"/>
    </xf>
    <xf numFmtId="0" fontId="12" fillId="2" borderId="0" xfId="0" applyFont="1" applyFill="1"/>
    <xf numFmtId="3" fontId="22" fillId="2" borderId="0" xfId="0" applyNumberFormat="1" applyFont="1" applyFill="1" applyAlignment="1">
      <alignment horizontal="right"/>
    </xf>
    <xf numFmtId="3" fontId="22" fillId="2" borderId="16" xfId="0" applyNumberFormat="1" applyFont="1" applyFill="1" applyBorder="1" applyAlignment="1">
      <alignment horizontal="right"/>
    </xf>
    <xf numFmtId="0" fontId="19" fillId="2" borderId="0" xfId="0" applyFont="1" applyFill="1" applyAlignment="1"/>
    <xf numFmtId="0" fontId="19" fillId="2" borderId="0" xfId="0" applyFont="1" applyFill="1" applyAlignment="1">
      <alignment horizontal="center" wrapText="1"/>
    </xf>
    <xf numFmtId="0" fontId="19" fillId="2" borderId="0" xfId="0" applyFont="1" applyFill="1" applyAlignment="1">
      <alignment horizontal="center"/>
    </xf>
    <xf numFmtId="0" fontId="19" fillId="2" borderId="0" xfId="0" applyFont="1" applyFill="1" applyAlignment="1">
      <alignment horizontal="center"/>
    </xf>
    <xf numFmtId="9" fontId="18" fillId="2" borderId="16" xfId="0" applyNumberFormat="1" applyFont="1" applyFill="1" applyBorder="1" applyAlignment="1">
      <alignment horizontal="center"/>
    </xf>
    <xf numFmtId="3" fontId="18" fillId="2" borderId="17" xfId="0" applyNumberFormat="1" applyFont="1" applyFill="1" applyBorder="1" applyAlignment="1">
      <alignment horizontal="center"/>
    </xf>
    <xf numFmtId="0" fontId="18" fillId="2" borderId="0" xfId="0" applyFont="1" applyFill="1" applyAlignment="1">
      <alignment horizontal="center" wrapText="1"/>
    </xf>
    <xf numFmtId="0" fontId="18" fillId="2" borderId="0" xfId="0" applyFont="1" applyFill="1" applyAlignment="1">
      <alignment horizontal="center"/>
    </xf>
    <xf numFmtId="165" fontId="18" fillId="2" borderId="0" xfId="0" applyNumberFormat="1" applyFont="1" applyFill="1" applyAlignment="1">
      <alignment horizontal="center"/>
    </xf>
    <xf numFmtId="3" fontId="18" fillId="2" borderId="18" xfId="0" applyNumberFormat="1" applyFont="1" applyFill="1" applyBorder="1" applyAlignment="1">
      <alignment horizontal="center"/>
    </xf>
    <xf numFmtId="3" fontId="18" fillId="2" borderId="18" xfId="0" applyNumberFormat="1" applyFont="1" applyFill="1" applyBorder="1" applyAlignment="1">
      <alignment horizontal="center"/>
    </xf>
    <xf numFmtId="3" fontId="19" fillId="2" borderId="18" xfId="0" applyNumberFormat="1" applyFont="1" applyFill="1" applyBorder="1" applyAlignment="1">
      <alignment horizontal="center"/>
    </xf>
    <xf numFmtId="3" fontId="20" fillId="2" borderId="11" xfId="0" applyNumberFormat="1" applyFont="1" applyFill="1" applyBorder="1" applyAlignment="1">
      <alignment horizontal="center"/>
    </xf>
    <xf numFmtId="0" fontId="20" fillId="2" borderId="11" xfId="0" applyFont="1" applyFill="1" applyBorder="1" applyAlignment="1">
      <alignment horizontal="center"/>
    </xf>
    <xf numFmtId="3" fontId="19" fillId="2" borderId="11" xfId="0" applyNumberFormat="1" applyFont="1" applyFill="1" applyBorder="1" applyAlignment="1">
      <alignment horizontal="center"/>
    </xf>
    <xf numFmtId="0" fontId="18" fillId="2" borderId="0" xfId="0" applyFont="1" applyFill="1" applyAlignment="1">
      <alignment horizontal="center" wrapText="1"/>
    </xf>
    <xf numFmtId="3" fontId="18" fillId="0" borderId="0" xfId="0" applyNumberFormat="1" applyFont="1" applyAlignment="1">
      <alignment horizontal="center"/>
    </xf>
    <xf numFmtId="49" fontId="18" fillId="2" borderId="0" xfId="0" applyNumberFormat="1" applyFont="1" applyFill="1" applyAlignment="1">
      <alignment horizontal="center" wrapText="1"/>
    </xf>
    <xf numFmtId="0" fontId="1" fillId="2" borderId="0" xfId="0" applyFont="1" applyFill="1" applyAlignment="1">
      <alignment horizontal="center" wrapText="1"/>
    </xf>
    <xf numFmtId="0" fontId="1" fillId="2" borderId="0" xfId="0" applyFont="1" applyFill="1" applyAlignment="1">
      <alignment horizontal="center"/>
    </xf>
    <xf numFmtId="3" fontId="1" fillId="2" borderId="0" xfId="0" applyNumberFormat="1" applyFont="1" applyFill="1" applyAlignment="1">
      <alignment horizontal="center"/>
    </xf>
    <xf numFmtId="3" fontId="1" fillId="2" borderId="0" xfId="0" applyNumberFormat="1" applyFont="1" applyFill="1"/>
    <xf numFmtId="0" fontId="9" fillId="2" borderId="0" xfId="0" applyFont="1" applyFill="1" applyAlignment="1">
      <alignment horizontal="center"/>
    </xf>
    <xf numFmtId="3" fontId="12" fillId="2" borderId="0" xfId="0" applyNumberFormat="1" applyFont="1" applyFill="1"/>
    <xf numFmtId="3" fontId="23" fillId="2" borderId="0" xfId="0" applyNumberFormat="1" applyFont="1" applyFill="1" applyAlignment="1">
      <alignment horizontal="center"/>
    </xf>
    <xf numFmtId="0" fontId="1" fillId="0" borderId="0" xfId="0" applyFont="1" applyAlignment="1">
      <alignment horizontal="center" wrapText="1"/>
    </xf>
    <xf numFmtId="3" fontId="1" fillId="0" borderId="0" xfId="0" applyNumberFormat="1" applyFont="1" applyAlignment="1">
      <alignment horizontal="center"/>
    </xf>
    <xf numFmtId="10" fontId="1" fillId="0" borderId="0" xfId="0" applyNumberFormat="1" applyFont="1" applyAlignment="1">
      <alignment horizontal="center"/>
    </xf>
    <xf numFmtId="9" fontId="1" fillId="0" borderId="0" xfId="0" applyNumberFormat="1" applyFont="1" applyAlignment="1">
      <alignment horizontal="center"/>
    </xf>
    <xf numFmtId="3" fontId="12" fillId="0" borderId="18" xfId="0" applyNumberFormat="1" applyFont="1" applyBorder="1" applyAlignment="1">
      <alignment horizontal="center"/>
    </xf>
    <xf numFmtId="3" fontId="20" fillId="2" borderId="18" xfId="0" applyNumberFormat="1" applyFont="1" applyFill="1" applyBorder="1" applyAlignment="1">
      <alignment horizontal="center"/>
    </xf>
    <xf numFmtId="3" fontId="20" fillId="2" borderId="18" xfId="0" applyNumberFormat="1" applyFont="1" applyFill="1" applyBorder="1" applyAlignment="1">
      <alignment horizontal="center"/>
    </xf>
    <xf numFmtId="3" fontId="12" fillId="0" borderId="18" xfId="0" applyNumberFormat="1" applyFont="1" applyBorder="1" applyAlignment="1">
      <alignment horizontal="center"/>
    </xf>
    <xf numFmtId="10" fontId="12" fillId="0" borderId="0" xfId="0" applyNumberFormat="1" applyFont="1" applyAlignment="1">
      <alignment horizontal="center"/>
    </xf>
    <xf numFmtId="0" fontId="1" fillId="9" borderId="0" xfId="0" applyFont="1" applyFill="1"/>
    <xf numFmtId="0" fontId="1" fillId="9" borderId="0" xfId="0" applyFont="1" applyFill="1" applyAlignment="1">
      <alignment horizontal="center" wrapText="1"/>
    </xf>
    <xf numFmtId="0" fontId="9" fillId="9" borderId="0" xfId="0" applyFont="1" applyFill="1" applyAlignment="1">
      <alignment horizontal="center"/>
    </xf>
    <xf numFmtId="0" fontId="1" fillId="9" borderId="0" xfId="0" applyFont="1" applyFill="1" applyAlignment="1">
      <alignment horizontal="center"/>
    </xf>
    <xf numFmtId="3" fontId="1" fillId="9" borderId="0" xfId="0" applyNumberFormat="1" applyFont="1" applyFill="1" applyAlignment="1">
      <alignment horizontal="center"/>
    </xf>
    <xf numFmtId="3" fontId="1" fillId="9" borderId="0" xfId="0" applyNumberFormat="1" applyFont="1" applyFill="1"/>
    <xf numFmtId="9" fontId="1" fillId="9" borderId="0" xfId="0" applyNumberFormat="1" applyFont="1" applyFill="1" applyAlignment="1">
      <alignment horizontal="center"/>
    </xf>
    <xf numFmtId="0" fontId="9" fillId="9" borderId="0" xfId="0" applyFont="1" applyFill="1" applyAlignment="1">
      <alignment horizontal="center"/>
    </xf>
    <xf numFmtId="10" fontId="12" fillId="2" borderId="0" xfId="0" applyNumberFormat="1" applyFont="1" applyFill="1" applyAlignment="1">
      <alignment horizontal="center"/>
    </xf>
    <xf numFmtId="3" fontId="24" fillId="2" borderId="0" xfId="0" applyNumberFormat="1" applyFont="1" applyFill="1"/>
    <xf numFmtId="3" fontId="1" fillId="9" borderId="11" xfId="0" applyNumberFormat="1" applyFont="1" applyFill="1" applyBorder="1" applyAlignment="1">
      <alignment horizontal="center"/>
    </xf>
    <xf numFmtId="0" fontId="25" fillId="2" borderId="0" xfId="0" applyFont="1" applyFill="1" applyAlignment="1">
      <alignment horizontal="center" wrapText="1"/>
    </xf>
    <xf numFmtId="9" fontId="25" fillId="2" borderId="0" xfId="0" applyNumberFormat="1" applyFont="1" applyFill="1" applyAlignment="1">
      <alignment horizontal="center" wrapText="1"/>
    </xf>
    <xf numFmtId="0" fontId="27" fillId="8" borderId="11"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9" fillId="8" borderId="11" xfId="0" applyFont="1" applyFill="1" applyBorder="1" applyAlignment="1">
      <alignment horizontal="center" vertical="center" wrapText="1"/>
    </xf>
    <xf numFmtId="3" fontId="11" fillId="8" borderId="11" xfId="0" applyNumberFormat="1" applyFont="1" applyFill="1" applyBorder="1" applyAlignment="1">
      <alignment horizontal="center" vertical="center" wrapText="1"/>
    </xf>
    <xf numFmtId="0" fontId="9" fillId="8" borderId="11" xfId="0" applyFont="1" applyFill="1" applyBorder="1" applyAlignment="1">
      <alignment horizontal="center" vertical="center" wrapText="1"/>
    </xf>
    <xf numFmtId="9" fontId="9" fillId="8" borderId="11" xfId="0" applyNumberFormat="1" applyFont="1" applyFill="1" applyBorder="1" applyAlignment="1">
      <alignment horizontal="center" vertical="center" wrapText="1"/>
    </xf>
    <xf numFmtId="0" fontId="28" fillId="0" borderId="0" xfId="0" applyFont="1" applyAlignment="1">
      <alignment vertical="top"/>
    </xf>
    <xf numFmtId="0" fontId="28" fillId="0" borderId="0" xfId="0" applyFont="1" applyAlignment="1">
      <alignment horizontal="center" vertical="top"/>
    </xf>
    <xf numFmtId="0" fontId="1" fillId="0" borderId="0" xfId="0" applyFont="1" applyAlignment="1">
      <alignment horizontal="center"/>
    </xf>
    <xf numFmtId="3" fontId="16" fillId="2" borderId="0" xfId="0" applyNumberFormat="1" applyFont="1" applyFill="1" applyAlignment="1">
      <alignment horizontal="right"/>
    </xf>
    <xf numFmtId="0" fontId="16" fillId="0" borderId="0" xfId="0" applyFont="1" applyAlignment="1">
      <alignment horizontal="center"/>
    </xf>
    <xf numFmtId="9" fontId="16" fillId="0" borderId="0" xfId="0" applyNumberFormat="1" applyFont="1" applyAlignment="1">
      <alignment horizontal="center"/>
    </xf>
    <xf numFmtId="0" fontId="25" fillId="0" borderId="0" xfId="0" applyFont="1" applyAlignment="1">
      <alignment vertical="top"/>
    </xf>
    <xf numFmtId="0" fontId="25" fillId="0" borderId="0" xfId="0" applyFont="1" applyAlignment="1">
      <alignment horizontal="center" vertical="top"/>
    </xf>
    <xf numFmtId="3" fontId="16" fillId="0" borderId="0" xfId="0" applyNumberFormat="1" applyFont="1" applyAlignment="1">
      <alignment horizontal="right"/>
    </xf>
    <xf numFmtId="3" fontId="29" fillId="0" borderId="0" xfId="0" applyNumberFormat="1" applyFont="1" applyAlignment="1">
      <alignment horizontal="right"/>
    </xf>
    <xf numFmtId="0" fontId="28" fillId="2" borderId="0" xfId="0" applyFont="1" applyFill="1" applyAlignment="1">
      <alignment vertical="top"/>
    </xf>
    <xf numFmtId="0" fontId="28" fillId="2" borderId="0" xfId="0" applyFont="1" applyFill="1" applyAlignment="1">
      <alignment horizontal="center" vertical="top"/>
    </xf>
    <xf numFmtId="0" fontId="1" fillId="2" borderId="0" xfId="0" applyFont="1" applyFill="1" applyAlignment="1">
      <alignment horizontal="center"/>
    </xf>
    <xf numFmtId="0" fontId="16" fillId="2" borderId="0" xfId="0" applyFont="1" applyFill="1" applyAlignment="1">
      <alignment horizontal="center"/>
    </xf>
    <xf numFmtId="9" fontId="16" fillId="2" borderId="0" xfId="0" applyNumberFormat="1" applyFont="1" applyFill="1" applyAlignment="1">
      <alignment horizontal="center"/>
    </xf>
    <xf numFmtId="0" fontId="28" fillId="0" borderId="0" xfId="0" applyFont="1" applyAlignment="1">
      <alignment horizontal="center" vertical="top"/>
    </xf>
    <xf numFmtId="0" fontId="25" fillId="0" borderId="0" xfId="0" applyFont="1" applyAlignment="1">
      <alignment horizontal="center" vertical="top"/>
    </xf>
    <xf numFmtId="0" fontId="28" fillId="0" borderId="0" xfId="0" applyFont="1" applyAlignment="1">
      <alignment vertical="top"/>
    </xf>
    <xf numFmtId="0" fontId="28" fillId="0" borderId="0" xfId="0" applyFont="1" applyAlignment="1">
      <alignment horizontal="center" vertical="top"/>
    </xf>
    <xf numFmtId="0" fontId="28" fillId="0" borderId="0" xfId="0" applyFont="1" applyAlignment="1">
      <alignment horizontal="center" vertical="top"/>
    </xf>
    <xf numFmtId="3" fontId="16" fillId="0" borderId="11" xfId="0" applyNumberFormat="1" applyFont="1" applyBorder="1" applyAlignment="1">
      <alignment horizontal="right"/>
    </xf>
    <xf numFmtId="9" fontId="16" fillId="0" borderId="11" xfId="0" applyNumberFormat="1" applyFont="1" applyBorder="1" applyAlignment="1">
      <alignment horizontal="center"/>
    </xf>
    <xf numFmtId="3" fontId="16" fillId="0" borderId="0" xfId="0" applyNumberFormat="1" applyFont="1" applyAlignment="1">
      <alignment horizontal="right"/>
    </xf>
    <xf numFmtId="3" fontId="16" fillId="0" borderId="0" xfId="0" applyNumberFormat="1" applyFont="1" applyAlignment="1">
      <alignment horizontal="center"/>
    </xf>
    <xf numFmtId="3" fontId="16" fillId="0" borderId="0" xfId="0" applyNumberFormat="1" applyFont="1" applyAlignment="1">
      <alignment horizontal="center"/>
    </xf>
    <xf numFmtId="0" fontId="25" fillId="2" borderId="0" xfId="0" applyFont="1" applyFill="1" applyAlignment="1">
      <alignment vertical="top"/>
    </xf>
    <xf numFmtId="3" fontId="25" fillId="2" borderId="0" xfId="0" applyNumberFormat="1" applyFont="1" applyFill="1" applyAlignment="1">
      <alignment horizontal="center" vertical="top"/>
    </xf>
    <xf numFmtId="3" fontId="16" fillId="2" borderId="0" xfId="0" applyNumberFormat="1" applyFont="1" applyFill="1" applyAlignment="1">
      <alignment horizontal="right"/>
    </xf>
    <xf numFmtId="0" fontId="16" fillId="2" borderId="0" xfId="0" applyFont="1" applyFill="1" applyAlignment="1">
      <alignment horizontal="center"/>
    </xf>
    <xf numFmtId="0" fontId="25" fillId="2" borderId="0" xfId="0" applyFont="1" applyFill="1" applyAlignment="1">
      <alignment horizontal="center" vertical="top"/>
    </xf>
    <xf numFmtId="0" fontId="28" fillId="2" borderId="0" xfId="0" applyFont="1" applyFill="1" applyAlignment="1">
      <alignment vertical="top"/>
    </xf>
    <xf numFmtId="0" fontId="28" fillId="2" borderId="0" xfId="0" applyFont="1" applyFill="1" applyAlignment="1">
      <alignment horizontal="center" vertical="top"/>
    </xf>
    <xf numFmtId="3" fontId="16" fillId="2" borderId="11" xfId="0" applyNumberFormat="1" applyFont="1" applyFill="1" applyBorder="1" applyAlignment="1">
      <alignment horizontal="right"/>
    </xf>
    <xf numFmtId="9" fontId="16" fillId="2" borderId="11" xfId="0" applyNumberFormat="1" applyFont="1" applyFill="1" applyBorder="1" applyAlignment="1">
      <alignment horizontal="center"/>
    </xf>
    <xf numFmtId="9" fontId="16" fillId="2" borderId="2" xfId="0" applyNumberFormat="1" applyFont="1" applyFill="1" applyBorder="1" applyAlignment="1">
      <alignment horizontal="center"/>
    </xf>
    <xf numFmtId="3" fontId="16" fillId="2" borderId="0" xfId="0" applyNumberFormat="1" applyFont="1" applyFill="1" applyAlignment="1">
      <alignment horizontal="center"/>
    </xf>
    <xf numFmtId="3" fontId="16" fillId="2" borderId="0" xfId="0" applyNumberFormat="1" applyFont="1" applyFill="1" applyAlignment="1">
      <alignment horizontal="center"/>
    </xf>
    <xf numFmtId="0" fontId="28" fillId="2" borderId="0" xfId="0" applyFont="1" applyFill="1" applyAlignment="1">
      <alignment horizontal="center" vertical="top"/>
    </xf>
    <xf numFmtId="0" fontId="25" fillId="2" borderId="0" xfId="0" applyFont="1" applyFill="1" applyAlignment="1">
      <alignment horizontal="center" vertical="top"/>
    </xf>
    <xf numFmtId="0" fontId="28" fillId="2" borderId="0" xfId="0" applyFont="1" applyFill="1" applyAlignment="1">
      <alignment horizontal="center" vertical="top"/>
    </xf>
    <xf numFmtId="3" fontId="15" fillId="2" borderId="0" xfId="0" applyNumberFormat="1" applyFont="1" applyFill="1" applyAlignment="1">
      <alignment horizontal="right"/>
    </xf>
    <xf numFmtId="3" fontId="16" fillId="2" borderId="0" xfId="0" applyNumberFormat="1" applyFont="1" applyFill="1" applyAlignment="1">
      <alignment horizontal="right"/>
    </xf>
    <xf numFmtId="0" fontId="30" fillId="0" borderId="0" xfId="0" applyFont="1" applyAlignment="1">
      <alignment horizontal="right"/>
    </xf>
    <xf numFmtId="0" fontId="30" fillId="2" borderId="0" xfId="0" applyFont="1" applyFill="1" applyAlignment="1">
      <alignment horizontal="right"/>
    </xf>
    <xf numFmtId="3" fontId="16" fillId="2" borderId="0" xfId="0" applyNumberFormat="1" applyFont="1" applyFill="1" applyAlignment="1">
      <alignment horizontal="right"/>
    </xf>
    <xf numFmtId="3" fontId="16" fillId="2" borderId="11" xfId="0" applyNumberFormat="1" applyFont="1" applyFill="1" applyBorder="1" applyAlignment="1">
      <alignment horizontal="right"/>
    </xf>
    <xf numFmtId="9" fontId="16" fillId="2" borderId="0" xfId="0" applyNumberFormat="1" applyFont="1" applyFill="1" applyAlignment="1">
      <alignment horizontal="center"/>
    </xf>
    <xf numFmtId="3" fontId="29" fillId="2" borderId="0" xfId="0" applyNumberFormat="1" applyFont="1" applyFill="1" applyAlignment="1">
      <alignment horizontal="right"/>
    </xf>
    <xf numFmtId="49" fontId="16" fillId="2" borderId="0" xfId="0" applyNumberFormat="1" applyFont="1" applyFill="1" applyAlignment="1">
      <alignment horizontal="center"/>
    </xf>
    <xf numFmtId="0" fontId="15" fillId="2" borderId="0" xfId="0" applyFont="1" applyFill="1" applyAlignment="1">
      <alignment horizontal="right"/>
    </xf>
    <xf numFmtId="3" fontId="12" fillId="2" borderId="0" xfId="0" applyNumberFormat="1" applyFont="1" applyFill="1" applyAlignment="1">
      <alignment horizontal="center"/>
    </xf>
    <xf numFmtId="3" fontId="25" fillId="2" borderId="0" xfId="0" applyNumberFormat="1" applyFont="1" applyFill="1" applyAlignment="1">
      <alignment horizontal="center" vertical="top"/>
    </xf>
    <xf numFmtId="0" fontId="25" fillId="2" borderId="0" xfId="0" applyFont="1" applyFill="1" applyAlignment="1">
      <alignment vertical="top"/>
    </xf>
    <xf numFmtId="0" fontId="1" fillId="2" borderId="0" xfId="0" applyFont="1" applyFill="1" applyAlignment="1">
      <alignment horizontal="center"/>
    </xf>
    <xf numFmtId="0" fontId="16" fillId="2" borderId="0" xfId="0" applyFont="1" applyFill="1" applyAlignment="1"/>
    <xf numFmtId="9" fontId="16" fillId="2" borderId="0" xfId="0" applyNumberFormat="1" applyFont="1" applyFill="1" applyAlignment="1">
      <alignment horizontal="center"/>
    </xf>
    <xf numFmtId="0" fontId="16" fillId="0" borderId="0" xfId="0" applyFont="1" applyAlignment="1"/>
    <xf numFmtId="3" fontId="16" fillId="0" borderId="0" xfId="0" applyNumberFormat="1" applyFont="1" applyAlignment="1"/>
    <xf numFmtId="166" fontId="16" fillId="2" borderId="0" xfId="0" applyNumberFormat="1" applyFont="1" applyFill="1" applyAlignment="1">
      <alignment horizontal="center"/>
    </xf>
    <xf numFmtId="167" fontId="16" fillId="2" borderId="0" xfId="0" applyNumberFormat="1" applyFont="1" applyFill="1" applyAlignment="1">
      <alignment horizontal="center"/>
    </xf>
    <xf numFmtId="3" fontId="12" fillId="2" borderId="0" xfId="0" applyNumberFormat="1" applyFont="1" applyFill="1" applyAlignment="1">
      <alignment horizontal="right"/>
    </xf>
    <xf numFmtId="0" fontId="25" fillId="2" borderId="0" xfId="0" applyFont="1" applyFill="1" applyAlignment="1">
      <alignment vertical="top"/>
    </xf>
    <xf numFmtId="0" fontId="1" fillId="2" borderId="0" xfId="0" applyFont="1" applyFill="1" applyAlignment="1">
      <alignment horizontal="center"/>
    </xf>
    <xf numFmtId="3" fontId="12" fillId="2" borderId="11" xfId="0" applyNumberFormat="1" applyFont="1" applyFill="1" applyBorder="1" applyAlignment="1">
      <alignment horizontal="right"/>
    </xf>
    <xf numFmtId="3" fontId="12" fillId="2" borderId="0" xfId="0" applyNumberFormat="1" applyFont="1" applyFill="1" applyAlignment="1">
      <alignment horizontal="right"/>
    </xf>
    <xf numFmtId="9" fontId="16" fillId="2" borderId="11" xfId="0" applyNumberFormat="1" applyFont="1" applyFill="1" applyBorder="1" applyAlignment="1">
      <alignment horizontal="center"/>
    </xf>
    <xf numFmtId="0" fontId="16" fillId="2" borderId="11" xfId="0" applyFont="1" applyFill="1" applyBorder="1" applyAlignment="1">
      <alignment horizontal="center"/>
    </xf>
    <xf numFmtId="0" fontId="28" fillId="2" borderId="0" xfId="0" applyFont="1" applyFill="1" applyAlignment="1">
      <alignment horizontal="right"/>
    </xf>
    <xf numFmtId="0" fontId="28" fillId="2" borderId="0" xfId="0" applyFont="1" applyFill="1" applyAlignment="1">
      <alignment vertical="top"/>
    </xf>
    <xf numFmtId="0" fontId="28" fillId="0" borderId="0" xfId="0" applyFont="1" applyAlignment="1">
      <alignment vertical="top"/>
    </xf>
    <xf numFmtId="0" fontId="31" fillId="0" borderId="0" xfId="0" applyFont="1" applyAlignment="1">
      <alignment vertical="top"/>
    </xf>
    <xf numFmtId="0" fontId="31" fillId="0" borderId="0" xfId="0" applyFont="1" applyAlignment="1">
      <alignment vertical="top"/>
    </xf>
    <xf numFmtId="3" fontId="11" fillId="0" borderId="0" xfId="0" applyNumberFormat="1" applyFont="1" applyAlignment="1">
      <alignment horizontal="right"/>
    </xf>
    <xf numFmtId="9" fontId="9" fillId="0" borderId="0" xfId="0" applyNumberFormat="1" applyFont="1" applyAlignment="1">
      <alignment horizontal="center"/>
    </xf>
    <xf numFmtId="0" fontId="13" fillId="11" borderId="0" xfId="0" applyFont="1" applyFill="1" applyAlignment="1">
      <alignment horizontal="center"/>
    </xf>
    <xf numFmtId="0" fontId="13" fillId="2" borderId="0" xfId="0" applyFont="1" applyFill="1" applyAlignment="1">
      <alignment horizontal="center"/>
    </xf>
    <xf numFmtId="3" fontId="13" fillId="2" borderId="0" xfId="0" applyNumberFormat="1" applyFont="1" applyFill="1" applyAlignment="1">
      <alignment horizontal="center"/>
    </xf>
    <xf numFmtId="0" fontId="13" fillId="12" borderId="0" xfId="0" applyFont="1" applyFill="1" applyAlignment="1">
      <alignment horizontal="center"/>
    </xf>
    <xf numFmtId="0" fontId="13" fillId="13" borderId="0" xfId="0" applyFont="1" applyFill="1" applyAlignment="1">
      <alignment horizontal="center"/>
    </xf>
    <xf numFmtId="0" fontId="13" fillId="14" borderId="0" xfId="0" applyFont="1" applyFill="1" applyAlignment="1">
      <alignment horizontal="center"/>
    </xf>
    <xf numFmtId="0" fontId="13" fillId="15" borderId="0" xfId="0" applyFont="1" applyFill="1" applyAlignment="1">
      <alignment horizontal="center"/>
    </xf>
    <xf numFmtId="0" fontId="13" fillId="16" borderId="0" xfId="0" applyFont="1" applyFill="1" applyAlignment="1">
      <alignment horizontal="center"/>
    </xf>
    <xf numFmtId="0" fontId="13" fillId="17" borderId="0" xfId="0" applyFont="1" applyFill="1" applyAlignment="1">
      <alignment horizontal="left"/>
    </xf>
    <xf numFmtId="0" fontId="32" fillId="2" borderId="0" xfId="0" applyFont="1" applyFill="1" applyAlignment="1">
      <alignment horizontal="center"/>
    </xf>
    <xf numFmtId="3" fontId="33" fillId="2" borderId="0" xfId="0" applyNumberFormat="1" applyFont="1" applyFill="1"/>
    <xf numFmtId="3" fontId="33" fillId="10" borderId="0" xfId="0" applyNumberFormat="1" applyFont="1" applyFill="1"/>
    <xf numFmtId="0" fontId="27" fillId="8" borderId="19" xfId="0" applyFont="1" applyFill="1" applyBorder="1" applyAlignment="1">
      <alignment horizontal="center" wrapText="1"/>
    </xf>
    <xf numFmtId="0" fontId="31" fillId="8" borderId="19" xfId="0" applyFont="1" applyFill="1" applyBorder="1" applyAlignment="1">
      <alignment horizontal="center" wrapText="1"/>
    </xf>
    <xf numFmtId="3" fontId="31" fillId="8" borderId="19" xfId="0" applyNumberFormat="1" applyFont="1" applyFill="1" applyBorder="1" applyAlignment="1">
      <alignment horizontal="center" wrapText="1"/>
    </xf>
    <xf numFmtId="3" fontId="31" fillId="8" borderId="4" xfId="0" applyNumberFormat="1" applyFont="1" applyFill="1" applyBorder="1" applyAlignment="1">
      <alignment horizontal="center" wrapText="1"/>
    </xf>
    <xf numFmtId="3" fontId="9" fillId="8" borderId="4" xfId="0" applyNumberFormat="1" applyFont="1" applyFill="1" applyBorder="1" applyAlignment="1">
      <alignment horizontal="center" wrapText="1"/>
    </xf>
    <xf numFmtId="3" fontId="9" fillId="8" borderId="5" xfId="0" applyNumberFormat="1" applyFont="1" applyFill="1" applyBorder="1" applyAlignment="1">
      <alignment horizontal="center" wrapText="1"/>
    </xf>
    <xf numFmtId="3" fontId="9" fillId="8" borderId="6" xfId="0" applyNumberFormat="1" applyFont="1" applyFill="1" applyBorder="1" applyAlignment="1">
      <alignment horizontal="center" wrapText="1"/>
    </xf>
    <xf numFmtId="0" fontId="25" fillId="12" borderId="0" xfId="0" applyFont="1" applyFill="1" applyAlignment="1">
      <alignment vertical="top"/>
    </xf>
    <xf numFmtId="0" fontId="25" fillId="12" borderId="0" xfId="0" applyFont="1" applyFill="1" applyAlignment="1">
      <alignment horizontal="center" vertical="top"/>
    </xf>
    <xf numFmtId="3" fontId="25" fillId="12" borderId="0" xfId="0" applyNumberFormat="1" applyFont="1" applyFill="1" applyAlignment="1">
      <alignment horizontal="right" vertical="top"/>
    </xf>
    <xf numFmtId="3" fontId="28" fillId="12" borderId="0" xfId="0" applyNumberFormat="1" applyFont="1" applyFill="1" applyAlignment="1">
      <alignment horizontal="right" vertical="top"/>
    </xf>
    <xf numFmtId="3" fontId="1" fillId="12" borderId="0" xfId="0" applyNumberFormat="1" applyFont="1" applyFill="1"/>
    <xf numFmtId="0" fontId="28" fillId="12" borderId="0" xfId="0" applyFont="1" applyFill="1" applyAlignment="1">
      <alignment vertical="top"/>
    </xf>
    <xf numFmtId="0" fontId="28" fillId="12" borderId="0" xfId="0" applyFont="1" applyFill="1" applyAlignment="1">
      <alignment horizontal="center" vertical="top"/>
    </xf>
    <xf numFmtId="3" fontId="9" fillId="12" borderId="0" xfId="0" applyNumberFormat="1" applyFont="1" applyFill="1"/>
    <xf numFmtId="0" fontId="25" fillId="13" borderId="0" xfId="0" applyFont="1" applyFill="1" applyAlignment="1">
      <alignment vertical="top"/>
    </xf>
    <xf numFmtId="0" fontId="25" fillId="13" borderId="0" xfId="0" applyFont="1" applyFill="1" applyAlignment="1">
      <alignment horizontal="center" vertical="top"/>
    </xf>
    <xf numFmtId="3" fontId="25" fillId="13" borderId="0" xfId="0" applyNumberFormat="1" applyFont="1" applyFill="1" applyAlignment="1">
      <alignment horizontal="right" vertical="top"/>
    </xf>
    <xf numFmtId="3" fontId="28" fillId="13" borderId="0" xfId="0" applyNumberFormat="1" applyFont="1" applyFill="1" applyAlignment="1">
      <alignment horizontal="right" vertical="top"/>
    </xf>
    <xf numFmtId="3" fontId="1" fillId="13" borderId="0" xfId="0" applyNumberFormat="1" applyFont="1" applyFill="1"/>
    <xf numFmtId="3" fontId="25" fillId="13" borderId="0" xfId="0" applyNumberFormat="1" applyFont="1" applyFill="1" applyAlignment="1">
      <alignment horizontal="center" vertical="top"/>
    </xf>
    <xf numFmtId="0" fontId="28" fillId="13" borderId="0" xfId="0" applyFont="1" applyFill="1" applyAlignment="1">
      <alignment vertical="top"/>
    </xf>
    <xf numFmtId="0" fontId="28" fillId="13" borderId="0" xfId="0" applyFont="1" applyFill="1" applyAlignment="1">
      <alignment horizontal="center" vertical="top"/>
    </xf>
    <xf numFmtId="3" fontId="9" fillId="13" borderId="0" xfId="0" applyNumberFormat="1" applyFont="1" applyFill="1"/>
    <xf numFmtId="0" fontId="25" fillId="14" borderId="0" xfId="0" applyFont="1" applyFill="1" applyAlignment="1">
      <alignment vertical="top"/>
    </xf>
    <xf numFmtId="0" fontId="25" fillId="14" borderId="0" xfId="0" applyFont="1" applyFill="1" applyAlignment="1">
      <alignment horizontal="center" vertical="top"/>
    </xf>
    <xf numFmtId="3" fontId="25" fillId="14" borderId="0" xfId="0" applyNumberFormat="1" applyFont="1" applyFill="1" applyAlignment="1">
      <alignment horizontal="right" vertical="top"/>
    </xf>
    <xf numFmtId="3" fontId="28" fillId="14" borderId="0" xfId="0" applyNumberFormat="1" applyFont="1" applyFill="1" applyAlignment="1">
      <alignment horizontal="right" vertical="top"/>
    </xf>
    <xf numFmtId="3" fontId="1" fillId="14" borderId="0" xfId="0" applyNumberFormat="1" applyFont="1" applyFill="1"/>
    <xf numFmtId="0" fontId="28" fillId="14" borderId="0" xfId="0" applyFont="1" applyFill="1" applyAlignment="1">
      <alignment vertical="top"/>
    </xf>
    <xf numFmtId="0" fontId="28" fillId="14" borderId="0" xfId="0" applyFont="1" applyFill="1" applyAlignment="1">
      <alignment horizontal="center" vertical="top"/>
    </xf>
    <xf numFmtId="3" fontId="9" fillId="14" borderId="0" xfId="0" applyNumberFormat="1" applyFont="1" applyFill="1"/>
    <xf numFmtId="0" fontId="25" fillId="15" borderId="0" xfId="0" applyFont="1" applyFill="1" applyAlignment="1">
      <alignment vertical="top"/>
    </xf>
    <xf numFmtId="0" fontId="25" fillId="15" borderId="0" xfId="0" applyFont="1" applyFill="1" applyAlignment="1">
      <alignment horizontal="center" vertical="top"/>
    </xf>
    <xf numFmtId="3" fontId="25" fillId="15" borderId="0" xfId="0" applyNumberFormat="1" applyFont="1" applyFill="1" applyAlignment="1">
      <alignment horizontal="right" vertical="top"/>
    </xf>
    <xf numFmtId="3" fontId="28" fillId="15" borderId="0" xfId="0" applyNumberFormat="1" applyFont="1" applyFill="1" applyAlignment="1">
      <alignment horizontal="right" vertical="top"/>
    </xf>
    <xf numFmtId="3" fontId="1" fillId="15" borderId="0" xfId="0" applyNumberFormat="1" applyFont="1" applyFill="1"/>
    <xf numFmtId="0" fontId="28" fillId="15" borderId="0" xfId="0" applyFont="1" applyFill="1" applyAlignment="1">
      <alignment vertical="top"/>
    </xf>
    <xf numFmtId="0" fontId="28" fillId="15" borderId="0" xfId="0" applyFont="1" applyFill="1" applyAlignment="1">
      <alignment horizontal="center" vertical="top"/>
    </xf>
    <xf numFmtId="3" fontId="9" fillId="15" borderId="0" xfId="0" applyNumberFormat="1" applyFont="1" applyFill="1"/>
    <xf numFmtId="0" fontId="28" fillId="16" borderId="0" xfId="0" applyFont="1" applyFill="1" applyAlignment="1">
      <alignment vertical="top"/>
    </xf>
    <xf numFmtId="0" fontId="28" fillId="16" borderId="0" xfId="0" applyFont="1" applyFill="1" applyAlignment="1">
      <alignment horizontal="center" vertical="top"/>
    </xf>
    <xf numFmtId="3" fontId="28" fillId="16" borderId="0" xfId="0" applyNumberFormat="1" applyFont="1" applyFill="1" applyAlignment="1">
      <alignment horizontal="right" vertical="top"/>
    </xf>
    <xf numFmtId="3" fontId="25" fillId="16" borderId="0" xfId="0" applyNumberFormat="1" applyFont="1" applyFill="1" applyAlignment="1">
      <alignment horizontal="right" vertical="top"/>
    </xf>
    <xf numFmtId="3" fontId="1" fillId="16" borderId="0" xfId="0" applyNumberFormat="1" applyFont="1" applyFill="1"/>
    <xf numFmtId="3" fontId="9" fillId="16" borderId="0" xfId="0" applyNumberFormat="1" applyFont="1" applyFill="1"/>
    <xf numFmtId="0" fontId="0" fillId="18" borderId="0" xfId="0" applyFont="1" applyFill="1" applyAlignment="1"/>
    <xf numFmtId="0" fontId="0" fillId="18" borderId="0" xfId="0" applyFont="1" applyFill="1" applyAlignment="1">
      <alignment horizontal="center"/>
    </xf>
    <xf numFmtId="3" fontId="0" fillId="18" borderId="0" xfId="0" applyNumberFormat="1" applyFont="1" applyFill="1" applyAlignment="1">
      <alignment horizontal="right"/>
    </xf>
    <xf numFmtId="3" fontId="12" fillId="18" borderId="0" xfId="0" applyNumberFormat="1" applyFont="1" applyFill="1"/>
    <xf numFmtId="3" fontId="1" fillId="18" borderId="0" xfId="0" applyNumberFormat="1" applyFont="1" applyFill="1"/>
    <xf numFmtId="3" fontId="9" fillId="18" borderId="0" xfId="0" applyNumberFormat="1" applyFont="1" applyFill="1"/>
    <xf numFmtId="3" fontId="9" fillId="18" borderId="11" xfId="0" applyNumberFormat="1" applyFont="1" applyFill="1" applyBorder="1"/>
    <xf numFmtId="3" fontId="25" fillId="0" borderId="0" xfId="0" applyNumberFormat="1" applyFont="1" applyAlignment="1">
      <alignment horizontal="right" vertical="top"/>
    </xf>
    <xf numFmtId="3" fontId="28" fillId="0" borderId="0" xfId="0" applyNumberFormat="1" applyFont="1" applyAlignment="1">
      <alignment horizontal="right" vertical="top"/>
    </xf>
    <xf numFmtId="3" fontId="34" fillId="0" borderId="0" xfId="0" applyNumberFormat="1" applyFont="1" applyAlignment="1">
      <alignment horizontal="center"/>
    </xf>
    <xf numFmtId="3" fontId="34" fillId="0" borderId="0" xfId="0" applyNumberFormat="1" applyFont="1"/>
    <xf numFmtId="3" fontId="25" fillId="2" borderId="0" xfId="0" applyNumberFormat="1" applyFont="1" applyFill="1" applyAlignment="1">
      <alignment horizontal="right" vertical="top"/>
    </xf>
    <xf numFmtId="3" fontId="28" fillId="2" borderId="0" xfId="0" applyNumberFormat="1" applyFont="1" applyFill="1" applyAlignment="1">
      <alignment horizontal="right" vertical="top"/>
    </xf>
    <xf numFmtId="3" fontId="9" fillId="2" borderId="0" xfId="0" applyNumberFormat="1" applyFont="1" applyFill="1"/>
    <xf numFmtId="3" fontId="9" fillId="12" borderId="11" xfId="0" applyNumberFormat="1" applyFont="1" applyFill="1" applyBorder="1"/>
    <xf numFmtId="3" fontId="35" fillId="2" borderId="0" xfId="0" applyNumberFormat="1" applyFont="1" applyFill="1" applyAlignment="1">
      <alignment horizontal="right"/>
    </xf>
    <xf numFmtId="3" fontId="0" fillId="2" borderId="0" xfId="0" applyNumberFormat="1" applyFont="1" applyFill="1" applyAlignment="1">
      <alignment horizontal="right"/>
    </xf>
    <xf numFmtId="3" fontId="0" fillId="12" borderId="0" xfId="0" applyNumberFormat="1" applyFont="1" applyFill="1" applyAlignment="1">
      <alignment horizontal="right"/>
    </xf>
    <xf numFmtId="3" fontId="0" fillId="13" borderId="0" xfId="0" applyNumberFormat="1" applyFont="1" applyFill="1" applyAlignment="1">
      <alignment horizontal="right"/>
    </xf>
    <xf numFmtId="3" fontId="0" fillId="14" borderId="0" xfId="0" applyNumberFormat="1" applyFont="1" applyFill="1" applyAlignment="1">
      <alignment horizontal="right"/>
    </xf>
    <xf numFmtId="3" fontId="0" fillId="15" borderId="0" xfId="0" applyNumberFormat="1" applyFont="1" applyFill="1" applyAlignment="1">
      <alignment horizontal="right"/>
    </xf>
    <xf numFmtId="3" fontId="0" fillId="16" borderId="0" xfId="0" applyNumberFormat="1" applyFont="1" applyFill="1" applyAlignment="1">
      <alignment horizontal="right"/>
    </xf>
    <xf numFmtId="3" fontId="13" fillId="16" borderId="0" xfId="0" applyNumberFormat="1" applyFont="1" applyFill="1" applyAlignment="1">
      <alignment horizontal="right"/>
    </xf>
    <xf numFmtId="0" fontId="28" fillId="18" borderId="0" xfId="0" applyFont="1" applyFill="1" applyAlignment="1">
      <alignment vertical="top"/>
    </xf>
    <xf numFmtId="0" fontId="25" fillId="18" borderId="0" xfId="0" applyFont="1" applyFill="1" applyAlignment="1">
      <alignment horizontal="center" vertical="top"/>
    </xf>
    <xf numFmtId="3" fontId="25" fillId="18" borderId="0" xfId="0" applyNumberFormat="1" applyFont="1" applyFill="1" applyAlignment="1">
      <alignment horizontal="right" vertical="top"/>
    </xf>
    <xf numFmtId="3" fontId="28" fillId="18" borderId="0" xfId="0" applyNumberFormat="1" applyFont="1" applyFill="1" applyAlignment="1">
      <alignment horizontal="right" vertical="top"/>
    </xf>
    <xf numFmtId="3" fontId="13" fillId="18" borderId="0" xfId="0" applyNumberFormat="1" applyFont="1" applyFill="1" applyAlignment="1">
      <alignment horizontal="right"/>
    </xf>
    <xf numFmtId="3" fontId="25" fillId="12" borderId="0" xfId="0" applyNumberFormat="1" applyFont="1" applyFill="1" applyAlignment="1">
      <alignment horizontal="center" vertical="top"/>
    </xf>
    <xf numFmtId="3" fontId="25" fillId="16" borderId="0" xfId="0" applyNumberFormat="1" applyFont="1" applyFill="1" applyAlignment="1">
      <alignment vertical="top"/>
    </xf>
    <xf numFmtId="3" fontId="28" fillId="16" borderId="0" xfId="0" applyNumberFormat="1" applyFont="1" applyFill="1" applyAlignment="1">
      <alignment vertical="top"/>
    </xf>
    <xf numFmtId="0" fontId="25" fillId="11" borderId="0" xfId="0" applyFont="1" applyFill="1" applyAlignment="1">
      <alignment vertical="top"/>
    </xf>
    <xf numFmtId="0" fontId="25" fillId="11" borderId="0" xfId="0" applyFont="1" applyFill="1" applyAlignment="1">
      <alignment horizontal="center" vertical="top"/>
    </xf>
    <xf numFmtId="3" fontId="25" fillId="11" borderId="0" xfId="0" applyNumberFormat="1" applyFont="1" applyFill="1" applyAlignment="1">
      <alignment horizontal="right" vertical="top"/>
    </xf>
    <xf numFmtId="3" fontId="28" fillId="11" borderId="0" xfId="0" applyNumberFormat="1" applyFont="1" applyFill="1" applyAlignment="1">
      <alignment horizontal="right" vertical="top"/>
    </xf>
    <xf numFmtId="3" fontId="1" fillId="11" borderId="0" xfId="0" applyNumberFormat="1" applyFont="1" applyFill="1"/>
    <xf numFmtId="3" fontId="0" fillId="11" borderId="0" xfId="0" applyNumberFormat="1" applyFont="1" applyFill="1" applyAlignment="1">
      <alignment horizontal="right"/>
    </xf>
    <xf numFmtId="3" fontId="9" fillId="11" borderId="0" xfId="0" applyNumberFormat="1" applyFont="1" applyFill="1"/>
    <xf numFmtId="3" fontId="1" fillId="13" borderId="0" xfId="0" applyNumberFormat="1" applyFont="1" applyFill="1" applyAlignment="1"/>
    <xf numFmtId="3" fontId="1" fillId="14" borderId="0" xfId="0" applyNumberFormat="1" applyFont="1" applyFill="1" applyAlignment="1"/>
    <xf numFmtId="3" fontId="25" fillId="15" borderId="0" xfId="0" applyNumberFormat="1" applyFont="1" applyFill="1" applyAlignment="1">
      <alignment horizontal="center" vertical="top"/>
    </xf>
    <xf numFmtId="3" fontId="25" fillId="16" borderId="0" xfId="0" applyNumberFormat="1" applyFont="1" applyFill="1" applyAlignment="1">
      <alignment vertical="top"/>
    </xf>
    <xf numFmtId="3" fontId="28" fillId="16" borderId="0" xfId="0" applyNumberFormat="1" applyFont="1" applyFill="1" applyAlignment="1">
      <alignment vertical="top"/>
    </xf>
    <xf numFmtId="0" fontId="36" fillId="0" borderId="0" xfId="0" applyFont="1" applyAlignment="1">
      <alignment vertical="top"/>
    </xf>
    <xf numFmtId="0" fontId="36" fillId="0" borderId="0" xfId="0" applyFont="1" applyAlignment="1">
      <alignment horizontal="center" vertical="top"/>
    </xf>
    <xf numFmtId="3" fontId="36" fillId="0" borderId="0" xfId="0" applyNumberFormat="1" applyFont="1" applyAlignment="1">
      <alignment horizontal="right" vertical="top"/>
    </xf>
    <xf numFmtId="3" fontId="37" fillId="0" borderId="0" xfId="0" applyNumberFormat="1" applyFont="1" applyAlignment="1">
      <alignment horizontal="right" vertical="top"/>
    </xf>
    <xf numFmtId="3" fontId="38" fillId="2" borderId="0" xfId="0" applyNumberFormat="1" applyFont="1" applyFill="1"/>
    <xf numFmtId="0" fontId="39" fillId="0" borderId="0" xfId="0" applyFont="1" applyAlignment="1">
      <alignment vertical="top"/>
    </xf>
    <xf numFmtId="0" fontId="39" fillId="0" borderId="0" xfId="0" applyFont="1" applyAlignment="1">
      <alignment horizontal="center" vertical="top"/>
    </xf>
    <xf numFmtId="3" fontId="39" fillId="0" borderId="0" xfId="0" applyNumberFormat="1" applyFont="1" applyAlignment="1">
      <alignment horizontal="right" vertical="top"/>
    </xf>
    <xf numFmtId="3" fontId="40" fillId="0" borderId="0" xfId="0" applyNumberFormat="1" applyFont="1" applyAlignment="1">
      <alignment horizontal="right" vertical="top"/>
    </xf>
    <xf numFmtId="3" fontId="34" fillId="2" borderId="0" xfId="0" applyNumberFormat="1" applyFont="1" applyFill="1"/>
    <xf numFmtId="3" fontId="13" fillId="18" borderId="11" xfId="0" applyNumberFormat="1" applyFont="1" applyFill="1" applyBorder="1" applyAlignment="1">
      <alignment horizontal="right"/>
    </xf>
    <xf numFmtId="0" fontId="16" fillId="2" borderId="0" xfId="0" applyFont="1" applyFill="1" applyAlignment="1"/>
    <xf numFmtId="0" fontId="16" fillId="2" borderId="0" xfId="0" applyFont="1" applyFill="1" applyAlignment="1">
      <alignment horizontal="right"/>
    </xf>
    <xf numFmtId="3" fontId="11" fillId="18" borderId="0" xfId="0" applyNumberFormat="1" applyFont="1" applyFill="1"/>
    <xf numFmtId="3" fontId="1" fillId="18" borderId="11" xfId="0" applyNumberFormat="1" applyFont="1" applyFill="1" applyBorder="1"/>
    <xf numFmtId="3" fontId="9" fillId="0" borderId="0" xfId="0" applyNumberFormat="1" applyFont="1"/>
    <xf numFmtId="3" fontId="25" fillId="14" borderId="0" xfId="0" applyNumberFormat="1" applyFont="1" applyFill="1" applyAlignment="1">
      <alignment horizontal="center" vertical="top"/>
    </xf>
    <xf numFmtId="0" fontId="27" fillId="0" borderId="0" xfId="0" applyFont="1" applyAlignment="1">
      <alignment vertical="top"/>
    </xf>
    <xf numFmtId="0" fontId="27" fillId="0" borderId="0" xfId="0" applyFont="1" applyAlignment="1">
      <alignment horizontal="center" vertical="top"/>
    </xf>
    <xf numFmtId="3" fontId="27" fillId="0" borderId="0" xfId="0" applyNumberFormat="1" applyFont="1" applyAlignment="1">
      <alignment horizontal="right" vertical="top"/>
    </xf>
    <xf numFmtId="3" fontId="31" fillId="0" borderId="0" xfId="0" applyNumberFormat="1" applyFont="1" applyAlignment="1">
      <alignment horizontal="right" vertical="top"/>
    </xf>
    <xf numFmtId="3" fontId="9" fillId="18" borderId="11" xfId="0" applyNumberFormat="1" applyFont="1" applyFill="1" applyBorder="1" applyAlignment="1">
      <alignment horizontal="right"/>
    </xf>
    <xf numFmtId="3" fontId="9" fillId="12" borderId="0" xfId="0" applyNumberFormat="1" applyFont="1" applyFill="1" applyAlignment="1">
      <alignment horizontal="right"/>
    </xf>
    <xf numFmtId="3" fontId="13" fillId="13" borderId="0" xfId="0" applyNumberFormat="1" applyFont="1" applyFill="1" applyAlignment="1">
      <alignment horizontal="right"/>
    </xf>
    <xf numFmtId="3" fontId="9" fillId="14" borderId="0" xfId="0" applyNumberFormat="1" applyFont="1" applyFill="1" applyAlignment="1">
      <alignment horizontal="right"/>
    </xf>
    <xf numFmtId="3" fontId="9" fillId="15" borderId="0" xfId="0" applyNumberFormat="1" applyFont="1" applyFill="1" applyAlignment="1">
      <alignment horizontal="right"/>
    </xf>
    <xf numFmtId="3" fontId="13" fillId="14" borderId="0" xfId="0" applyNumberFormat="1" applyFont="1" applyFill="1" applyAlignment="1">
      <alignment horizontal="right"/>
    </xf>
    <xf numFmtId="3" fontId="13" fillId="15" borderId="0" xfId="0" applyNumberFormat="1" applyFont="1" applyFill="1" applyAlignment="1">
      <alignment horizontal="right"/>
    </xf>
    <xf numFmtId="0" fontId="0" fillId="12" borderId="0" xfId="0" applyFont="1" applyFill="1" applyAlignment="1">
      <alignment vertical="top"/>
    </xf>
    <xf numFmtId="0" fontId="0" fillId="12" borderId="0" xfId="0" applyFont="1" applyFill="1" applyAlignment="1">
      <alignment horizontal="center" vertical="top"/>
    </xf>
    <xf numFmtId="3" fontId="0" fillId="12" borderId="0" xfId="0" applyNumberFormat="1" applyFont="1" applyFill="1" applyAlignment="1">
      <alignment horizontal="right" vertical="top"/>
    </xf>
    <xf numFmtId="3" fontId="41" fillId="12" borderId="0" xfId="0" applyNumberFormat="1" applyFont="1" applyFill="1" applyAlignment="1">
      <alignment horizontal="right" vertical="top"/>
    </xf>
    <xf numFmtId="3" fontId="12" fillId="12" borderId="0" xfId="0" applyNumberFormat="1" applyFont="1" applyFill="1"/>
    <xf numFmtId="0" fontId="0" fillId="13" borderId="0" xfId="0" applyFont="1" applyFill="1" applyAlignment="1">
      <alignment vertical="top"/>
    </xf>
    <xf numFmtId="0" fontId="0" fillId="13" borderId="0" xfId="0" applyFont="1" applyFill="1" applyAlignment="1">
      <alignment horizontal="center" vertical="top"/>
    </xf>
    <xf numFmtId="3" fontId="0" fillId="13" borderId="0" xfId="0" applyNumberFormat="1" applyFont="1" applyFill="1" applyAlignment="1">
      <alignment horizontal="right" vertical="top"/>
    </xf>
    <xf numFmtId="3" fontId="41" fillId="13" borderId="0" xfId="0" applyNumberFormat="1" applyFont="1" applyFill="1" applyAlignment="1">
      <alignment horizontal="right" vertical="top"/>
    </xf>
    <xf numFmtId="3" fontId="12" fillId="13" borderId="0" xfId="0" applyNumberFormat="1" applyFont="1" applyFill="1"/>
    <xf numFmtId="3" fontId="9" fillId="13" borderId="0" xfId="0" applyNumberFormat="1" applyFont="1" applyFill="1" applyAlignment="1">
      <alignment horizontal="right"/>
    </xf>
    <xf numFmtId="0" fontId="0" fillId="14" borderId="0" xfId="0" applyFont="1" applyFill="1" applyAlignment="1">
      <alignment vertical="top"/>
    </xf>
    <xf numFmtId="0" fontId="0" fillId="14" borderId="0" xfId="0" applyFont="1" applyFill="1" applyAlignment="1">
      <alignment horizontal="center" vertical="top"/>
    </xf>
    <xf numFmtId="3" fontId="0" fillId="14" borderId="0" xfId="0" applyNumberFormat="1" applyFont="1" applyFill="1" applyAlignment="1">
      <alignment horizontal="right" vertical="top"/>
    </xf>
    <xf numFmtId="3" fontId="41" fillId="14" borderId="0" xfId="0" applyNumberFormat="1" applyFont="1" applyFill="1" applyAlignment="1">
      <alignment horizontal="right" vertical="top"/>
    </xf>
    <xf numFmtId="3" fontId="12" fillId="14" borderId="0" xfId="0" applyNumberFormat="1" applyFont="1" applyFill="1"/>
    <xf numFmtId="0" fontId="0" fillId="15" borderId="0" xfId="0" applyFont="1" applyFill="1" applyAlignment="1">
      <alignment vertical="top"/>
    </xf>
    <xf numFmtId="0" fontId="0" fillId="15" borderId="0" xfId="0" applyFont="1" applyFill="1" applyAlignment="1">
      <alignment horizontal="center" vertical="top"/>
    </xf>
    <xf numFmtId="3" fontId="0" fillId="15" borderId="0" xfId="0" applyNumberFormat="1" applyFont="1" applyFill="1" applyAlignment="1">
      <alignment horizontal="right" vertical="top"/>
    </xf>
    <xf numFmtId="3" fontId="41" fillId="15" borderId="0" xfId="0" applyNumberFormat="1" applyFont="1" applyFill="1" applyAlignment="1">
      <alignment horizontal="right" vertical="top"/>
    </xf>
    <xf numFmtId="3" fontId="12" fillId="15" borderId="0" xfId="0" applyNumberFormat="1" applyFont="1" applyFill="1"/>
    <xf numFmtId="0" fontId="41" fillId="16" borderId="0" xfId="0" applyFont="1" applyFill="1" applyAlignment="1">
      <alignment vertical="top"/>
    </xf>
    <xf numFmtId="0" fontId="41" fillId="16" borderId="0" xfId="0" applyFont="1" applyFill="1" applyAlignment="1">
      <alignment horizontal="center" vertical="top"/>
    </xf>
    <xf numFmtId="3" fontId="41" fillId="16" borderId="0" xfId="0" applyNumberFormat="1" applyFont="1" applyFill="1" applyAlignment="1">
      <alignment horizontal="right" vertical="top"/>
    </xf>
    <xf numFmtId="3" fontId="0" fillId="16" borderId="0" xfId="0" applyNumberFormat="1" applyFont="1" applyFill="1" applyAlignment="1">
      <alignment horizontal="right" vertical="top"/>
    </xf>
    <xf numFmtId="3" fontId="12" fillId="16" borderId="0" xfId="0" applyNumberFormat="1" applyFont="1" applyFill="1"/>
    <xf numFmtId="3" fontId="9" fillId="16" borderId="0" xfId="0" applyNumberFormat="1" applyFont="1" applyFill="1" applyAlignment="1">
      <alignment horizontal="right"/>
    </xf>
    <xf numFmtId="0" fontId="42" fillId="0" borderId="0" xfId="0" applyFont="1" applyAlignment="1">
      <alignment vertical="top"/>
    </xf>
    <xf numFmtId="0" fontId="42" fillId="0" borderId="0" xfId="0" applyFont="1" applyAlignment="1">
      <alignment horizontal="center" vertical="top"/>
    </xf>
    <xf numFmtId="3" fontId="42" fillId="0" borderId="0" xfId="0" applyNumberFormat="1" applyFont="1" applyAlignment="1">
      <alignment horizontal="right" vertical="top"/>
    </xf>
    <xf numFmtId="3" fontId="43" fillId="0" borderId="0" xfId="0" applyNumberFormat="1" applyFont="1" applyAlignment="1">
      <alignment horizontal="right" vertical="top"/>
    </xf>
    <xf numFmtId="3" fontId="44" fillId="0" borderId="0" xfId="0" applyNumberFormat="1" applyFont="1"/>
    <xf numFmtId="0" fontId="0" fillId="0" borderId="0" xfId="0" applyFont="1" applyAlignment="1">
      <alignment vertical="top"/>
    </xf>
    <xf numFmtId="0" fontId="0" fillId="0" borderId="0" xfId="0" applyFont="1" applyAlignment="1">
      <alignment horizontal="center" vertical="top"/>
    </xf>
    <xf numFmtId="3" fontId="0" fillId="0" borderId="0" xfId="0" applyNumberFormat="1" applyFont="1" applyAlignment="1">
      <alignment horizontal="right" vertical="top"/>
    </xf>
    <xf numFmtId="3" fontId="41" fillId="0" borderId="0" xfId="0" applyNumberFormat="1" applyFont="1" applyAlignment="1">
      <alignment horizontal="right" vertical="top"/>
    </xf>
    <xf numFmtId="3" fontId="0" fillId="15" borderId="0" xfId="0" applyNumberFormat="1" applyFont="1" applyFill="1" applyAlignment="1">
      <alignment horizontal="center" vertical="top"/>
    </xf>
    <xf numFmtId="3" fontId="0" fillId="16" borderId="0" xfId="0" applyNumberFormat="1" applyFont="1" applyFill="1" applyAlignment="1">
      <alignment vertical="top"/>
    </xf>
    <xf numFmtId="3" fontId="41" fillId="16" borderId="0" xfId="0" applyNumberFormat="1" applyFont="1" applyFill="1" applyAlignment="1">
      <alignment vertical="top"/>
    </xf>
    <xf numFmtId="3" fontId="13" fillId="2" borderId="0" xfId="0" applyNumberFormat="1" applyFont="1" applyFill="1" applyAlignment="1">
      <alignment horizontal="right"/>
    </xf>
    <xf numFmtId="0" fontId="41" fillId="13" borderId="0" xfId="0" applyFont="1" applyFill="1" applyAlignment="1">
      <alignment vertical="top"/>
    </xf>
    <xf numFmtId="0" fontId="41" fillId="13" borderId="0" xfId="0" applyFont="1" applyFill="1" applyAlignment="1">
      <alignment horizontal="center" vertical="top"/>
    </xf>
    <xf numFmtId="0" fontId="41" fillId="14" borderId="0" xfId="0" applyFont="1" applyFill="1" applyAlignment="1">
      <alignment vertical="top"/>
    </xf>
    <xf numFmtId="0" fontId="41" fillId="14" borderId="0" xfId="0" applyFont="1" applyFill="1" applyAlignment="1">
      <alignment horizontal="center" vertical="top"/>
    </xf>
    <xf numFmtId="0" fontId="41" fillId="15" borderId="0" xfId="0" applyFont="1" applyFill="1" applyAlignment="1">
      <alignment vertical="top"/>
    </xf>
    <xf numFmtId="0" fontId="41" fillId="15" borderId="0" xfId="0" applyFont="1" applyFill="1" applyAlignment="1">
      <alignment horizontal="center" vertical="top"/>
    </xf>
    <xf numFmtId="3" fontId="0" fillId="12" borderId="0" xfId="0" applyNumberFormat="1" applyFont="1" applyFill="1" applyAlignment="1">
      <alignment horizontal="center" vertical="top"/>
    </xf>
    <xf numFmtId="0" fontId="41" fillId="12" borderId="0" xfId="0" applyFont="1" applyFill="1" applyAlignment="1">
      <alignment vertical="top"/>
    </xf>
    <xf numFmtId="0" fontId="41" fillId="12" borderId="0" xfId="0" applyFont="1" applyFill="1" applyAlignment="1">
      <alignment horizontal="center" vertical="top"/>
    </xf>
    <xf numFmtId="3" fontId="11" fillId="0" borderId="0" xfId="0" applyNumberFormat="1" applyFont="1"/>
    <xf numFmtId="0" fontId="0" fillId="11" borderId="0" xfId="0" applyFont="1" applyFill="1" applyAlignment="1">
      <alignment vertical="top"/>
    </xf>
    <xf numFmtId="0" fontId="0" fillId="11" borderId="0" xfId="0" applyFont="1" applyFill="1" applyAlignment="1">
      <alignment horizontal="center" vertical="top"/>
    </xf>
    <xf numFmtId="3" fontId="0" fillId="11" borderId="0" xfId="0" applyNumberFormat="1" applyFont="1" applyFill="1" applyAlignment="1">
      <alignment horizontal="right" vertical="top"/>
    </xf>
    <xf numFmtId="3" fontId="41" fillId="11" borderId="0" xfId="0" applyNumberFormat="1" applyFont="1" applyFill="1" applyAlignment="1">
      <alignment horizontal="right" vertical="top"/>
    </xf>
    <xf numFmtId="3" fontId="12" fillId="11" borderId="0" xfId="0" applyNumberFormat="1" applyFont="1" applyFill="1"/>
    <xf numFmtId="3" fontId="9" fillId="11" borderId="0" xfId="0" applyNumberFormat="1" applyFont="1" applyFill="1" applyAlignment="1">
      <alignment horizontal="right"/>
    </xf>
    <xf numFmtId="3" fontId="0" fillId="13" borderId="0" xfId="0" applyNumberFormat="1" applyFont="1" applyFill="1" applyAlignment="1">
      <alignment horizontal="center" vertical="top"/>
    </xf>
    <xf numFmtId="0" fontId="0" fillId="2" borderId="0" xfId="0" applyFont="1" applyFill="1" applyAlignment="1">
      <alignment vertical="top"/>
    </xf>
    <xf numFmtId="0" fontId="0" fillId="2" borderId="0" xfId="0" applyFont="1" applyFill="1" applyAlignment="1">
      <alignment horizontal="center" vertical="top"/>
    </xf>
    <xf numFmtId="3" fontId="0" fillId="2" borderId="0" xfId="0" applyNumberFormat="1" applyFont="1" applyFill="1" applyAlignment="1">
      <alignment horizontal="right" vertical="top"/>
    </xf>
    <xf numFmtId="3" fontId="41" fillId="2" borderId="0" xfId="0" applyNumberFormat="1" applyFont="1" applyFill="1" applyAlignment="1">
      <alignment horizontal="right" vertical="top"/>
    </xf>
    <xf numFmtId="3" fontId="11" fillId="2" borderId="0" xfId="0" applyNumberFormat="1" applyFont="1" applyFill="1"/>
    <xf numFmtId="3" fontId="12" fillId="12" borderId="0" xfId="0" applyNumberFormat="1" applyFont="1" applyFill="1" applyAlignment="1"/>
    <xf numFmtId="3" fontId="0" fillId="14" borderId="0" xfId="0" applyNumberFormat="1" applyFont="1" applyFill="1" applyAlignment="1">
      <alignment horizontal="center" vertical="top"/>
    </xf>
    <xf numFmtId="3" fontId="1" fillId="15" borderId="0" xfId="0" applyNumberFormat="1" applyFont="1" applyFill="1" applyAlignment="1"/>
    <xf numFmtId="3" fontId="1" fillId="16" borderId="0" xfId="0" applyNumberFormat="1" applyFont="1" applyFill="1" applyAlignment="1"/>
    <xf numFmtId="0" fontId="0" fillId="16" borderId="0" xfId="0" applyFont="1" applyFill="1" applyAlignment="1"/>
    <xf numFmtId="0" fontId="0" fillId="16" borderId="0" xfId="0" applyFont="1" applyFill="1" applyAlignment="1">
      <alignment horizontal="center"/>
    </xf>
    <xf numFmtId="3" fontId="0" fillId="16" borderId="0" xfId="0" applyNumberFormat="1" applyFont="1" applyFill="1" applyAlignment="1">
      <alignment vertical="top"/>
    </xf>
    <xf numFmtId="3" fontId="41" fillId="16" borderId="0" xfId="0" applyNumberFormat="1" applyFont="1" applyFill="1" applyAlignment="1">
      <alignment vertical="top"/>
    </xf>
    <xf numFmtId="3" fontId="0" fillId="11" borderId="0" xfId="0" applyNumberFormat="1" applyFont="1" applyFill="1" applyAlignment="1">
      <alignment horizontal="center" vertical="top"/>
    </xf>
    <xf numFmtId="0" fontId="41" fillId="11" borderId="0" xfId="0" applyFont="1" applyFill="1" applyAlignment="1">
      <alignment vertical="top"/>
    </xf>
    <xf numFmtId="0" fontId="41" fillId="11" borderId="0" xfId="0" applyFont="1" applyFill="1" applyAlignment="1">
      <alignment horizontal="center" vertical="top"/>
    </xf>
    <xf numFmtId="3" fontId="11" fillId="12" borderId="0" xfId="0" applyNumberFormat="1" applyFont="1" applyFill="1"/>
    <xf numFmtId="3" fontId="11" fillId="13" borderId="0" xfId="0" applyNumberFormat="1" applyFont="1" applyFill="1"/>
    <xf numFmtId="3" fontId="11" fillId="14" borderId="0" xfId="0" applyNumberFormat="1" applyFont="1" applyFill="1"/>
    <xf numFmtId="3" fontId="11" fillId="15" borderId="0" xfId="0" applyNumberFormat="1" applyFont="1" applyFill="1"/>
    <xf numFmtId="3" fontId="11" fillId="16" borderId="0" xfId="0" applyNumberFormat="1" applyFont="1" applyFill="1"/>
    <xf numFmtId="0" fontId="0" fillId="8" borderId="0" xfId="0" applyFont="1" applyFill="1" applyAlignment="1"/>
    <xf numFmtId="0" fontId="0" fillId="8" borderId="0" xfId="0" applyFont="1" applyFill="1" applyAlignment="1">
      <alignment horizontal="center"/>
    </xf>
    <xf numFmtId="3" fontId="0" fillId="8" borderId="0" xfId="0" applyNumberFormat="1" applyFont="1" applyFill="1" applyAlignment="1">
      <alignment horizontal="right"/>
    </xf>
    <xf numFmtId="3" fontId="11" fillId="18" borderId="11" xfId="0" applyNumberFormat="1" applyFont="1" applyFill="1" applyBorder="1"/>
    <xf numFmtId="3" fontId="38" fillId="2" borderId="0" xfId="0" applyNumberFormat="1" applyFont="1" applyFill="1" applyAlignment="1"/>
    <xf numFmtId="3" fontId="1" fillId="2" borderId="0" xfId="0" applyNumberFormat="1" applyFont="1" applyFill="1" applyAlignment="1"/>
    <xf numFmtId="0" fontId="35" fillId="0" borderId="0" xfId="0" applyFont="1" applyAlignment="1">
      <alignment vertical="top"/>
    </xf>
    <xf numFmtId="0" fontId="35" fillId="0" borderId="0" xfId="0" applyFont="1" applyAlignment="1">
      <alignment horizontal="center" vertical="top"/>
    </xf>
    <xf numFmtId="3" fontId="35" fillId="0" borderId="0" xfId="0" applyNumberFormat="1" applyFont="1" applyAlignment="1">
      <alignment horizontal="right" vertical="top"/>
    </xf>
    <xf numFmtId="3" fontId="45" fillId="0" borderId="0" xfId="0" applyNumberFormat="1" applyFont="1" applyAlignment="1">
      <alignment horizontal="right" vertical="top"/>
    </xf>
    <xf numFmtId="3" fontId="44" fillId="2" borderId="0" xfId="0" applyNumberFormat="1" applyFont="1" applyFill="1"/>
    <xf numFmtId="3" fontId="11" fillId="11" borderId="0" xfId="0" applyNumberFormat="1" applyFont="1" applyFill="1"/>
    <xf numFmtId="0" fontId="35" fillId="2" borderId="0" xfId="0" applyFont="1" applyFill="1" applyAlignment="1"/>
    <xf numFmtId="0" fontId="35" fillId="2" borderId="0" xfId="0" applyFont="1" applyFill="1" applyAlignment="1">
      <alignment horizontal="center"/>
    </xf>
    <xf numFmtId="0" fontId="0" fillId="2" borderId="0" xfId="0" applyFont="1" applyFill="1" applyAlignment="1"/>
    <xf numFmtId="0" fontId="0" fillId="2" borderId="0" xfId="0" applyFont="1" applyFill="1" applyAlignment="1">
      <alignment horizontal="center"/>
    </xf>
    <xf numFmtId="3" fontId="45" fillId="2" borderId="0" xfId="0" applyNumberFormat="1" applyFont="1" applyFill="1" applyAlignment="1">
      <alignment horizontal="right" vertical="top"/>
    </xf>
    <xf numFmtId="0" fontId="45" fillId="2" borderId="0" xfId="0" applyFont="1" applyFill="1" applyAlignment="1">
      <alignment vertical="top"/>
    </xf>
    <xf numFmtId="0" fontId="45" fillId="2" borderId="0" xfId="0" applyFont="1" applyFill="1" applyAlignment="1">
      <alignment horizontal="center" vertical="top"/>
    </xf>
    <xf numFmtId="3" fontId="35" fillId="2" borderId="0" xfId="0" applyNumberFormat="1" applyFont="1" applyFill="1" applyAlignment="1">
      <alignment horizontal="right" vertical="top"/>
    </xf>
    <xf numFmtId="0" fontId="41" fillId="2" borderId="0" xfId="0" applyFont="1" applyFill="1" applyAlignment="1">
      <alignment vertical="top"/>
    </xf>
    <xf numFmtId="0" fontId="41" fillId="2" borderId="0" xfId="0" applyFont="1" applyFill="1" applyAlignment="1">
      <alignment horizontal="center" vertical="top"/>
    </xf>
    <xf numFmtId="3" fontId="12" fillId="18" borderId="11" xfId="0" applyNumberFormat="1" applyFont="1" applyFill="1" applyBorder="1"/>
    <xf numFmtId="0" fontId="0" fillId="2" borderId="0" xfId="0" applyFont="1" applyFill="1" applyAlignment="1"/>
    <xf numFmtId="0" fontId="13" fillId="2" borderId="0" xfId="0" applyFont="1" applyFill="1" applyAlignment="1">
      <alignment horizontal="left"/>
    </xf>
    <xf numFmtId="0" fontId="0" fillId="2" borderId="0" xfId="0" applyFont="1" applyFill="1" applyAlignment="1">
      <alignment horizontal="center"/>
    </xf>
    <xf numFmtId="3" fontId="0" fillId="2" borderId="0" xfId="0" applyNumberFormat="1" applyFont="1" applyFill="1" applyAlignment="1">
      <alignment horizontal="right"/>
    </xf>
    <xf numFmtId="3" fontId="35" fillId="2" borderId="0" xfId="0" applyNumberFormat="1" applyFont="1" applyFill="1" applyAlignment="1">
      <alignment horizontal="right"/>
    </xf>
    <xf numFmtId="0" fontId="46" fillId="2" borderId="0" xfId="0" applyFont="1" applyFill="1" applyAlignment="1"/>
    <xf numFmtId="0" fontId="46" fillId="2" borderId="0" xfId="0" applyFont="1" applyFill="1" applyAlignment="1">
      <alignment horizontal="left"/>
    </xf>
    <xf numFmtId="0" fontId="46" fillId="2" borderId="0" xfId="0" applyFont="1" applyFill="1" applyAlignment="1">
      <alignment horizontal="center"/>
    </xf>
    <xf numFmtId="3" fontId="46" fillId="2" borderId="0" xfId="0" applyNumberFormat="1" applyFont="1" applyFill="1" applyAlignment="1">
      <alignment horizontal="right"/>
    </xf>
    <xf numFmtId="0" fontId="0" fillId="2" borderId="0" xfId="0" applyFont="1" applyFill="1" applyAlignment="1">
      <alignment horizontal="left"/>
    </xf>
    <xf numFmtId="0" fontId="21" fillId="2" borderId="0" xfId="0" applyFont="1" applyFill="1" applyAlignment="1">
      <alignment horizontal="center"/>
    </xf>
    <xf numFmtId="3" fontId="21" fillId="2" borderId="0" xfId="0" applyNumberFormat="1" applyFont="1" applyFill="1" applyAlignment="1">
      <alignment horizontal="right"/>
    </xf>
    <xf numFmtId="0" fontId="13" fillId="2" borderId="0" xfId="0" applyFont="1" applyFill="1" applyAlignment="1">
      <alignment horizontal="left"/>
    </xf>
    <xf numFmtId="0" fontId="47" fillId="2" borderId="0" xfId="0" applyFont="1" applyFill="1" applyAlignment="1">
      <alignment horizontal="center"/>
    </xf>
    <xf numFmtId="14" fontId="47" fillId="2" borderId="0" xfId="0" applyNumberFormat="1" applyFont="1" applyFill="1" applyAlignment="1">
      <alignment horizontal="center"/>
    </xf>
    <xf numFmtId="3" fontId="48" fillId="2" borderId="0" xfId="0" applyNumberFormat="1" applyFont="1" applyFill="1" applyAlignment="1">
      <alignment horizontal="center"/>
    </xf>
    <xf numFmtId="3" fontId="16" fillId="0" borderId="0" xfId="0" applyNumberFormat="1" applyFont="1" applyAlignment="1">
      <alignment horizontal="center"/>
    </xf>
    <xf numFmtId="3" fontId="16" fillId="0" borderId="0" xfId="0" applyNumberFormat="1" applyFont="1" applyAlignment="1"/>
    <xf numFmtId="3" fontId="29" fillId="0" borderId="11" xfId="0" applyNumberFormat="1" applyFont="1" applyBorder="1" applyAlignment="1">
      <alignment horizontal="center" wrapText="1"/>
    </xf>
    <xf numFmtId="0" fontId="9" fillId="0" borderId="0" xfId="0" applyFont="1" applyAlignment="1">
      <alignment horizontal="center" vertical="center" wrapText="1"/>
    </xf>
    <xf numFmtId="0" fontId="25" fillId="19" borderId="20" xfId="0" applyFont="1" applyFill="1" applyBorder="1" applyAlignment="1">
      <alignment horizontal="center" wrapText="1"/>
    </xf>
    <xf numFmtId="0" fontId="28" fillId="19" borderId="20" xfId="0" applyFont="1" applyFill="1" applyBorder="1" applyAlignment="1">
      <alignment horizontal="center" wrapText="1"/>
    </xf>
    <xf numFmtId="14" fontId="28" fillId="19" borderId="20" xfId="0" applyNumberFormat="1" applyFont="1" applyFill="1" applyBorder="1" applyAlignment="1">
      <alignment horizontal="center" wrapText="1"/>
    </xf>
    <xf numFmtId="3" fontId="15" fillId="5" borderId="20" xfId="0" applyNumberFormat="1" applyFont="1" applyFill="1" applyBorder="1" applyAlignment="1">
      <alignment horizontal="center" wrapText="1"/>
    </xf>
    <xf numFmtId="3" fontId="15" fillId="9" borderId="20" xfId="0" applyNumberFormat="1" applyFont="1" applyFill="1" applyBorder="1" applyAlignment="1">
      <alignment horizontal="center" wrapText="1"/>
    </xf>
    <xf numFmtId="3" fontId="15" fillId="6" borderId="20" xfId="0" applyNumberFormat="1" applyFont="1" applyFill="1" applyBorder="1" applyAlignment="1">
      <alignment horizontal="center" wrapText="1"/>
    </xf>
    <xf numFmtId="3" fontId="15" fillId="7" borderId="20" xfId="0" applyNumberFormat="1" applyFont="1" applyFill="1" applyBorder="1" applyAlignment="1">
      <alignment horizontal="center" wrapText="1"/>
    </xf>
    <xf numFmtId="3" fontId="15" fillId="2" borderId="20" xfId="0" applyNumberFormat="1" applyFont="1" applyFill="1" applyBorder="1" applyAlignment="1">
      <alignment horizontal="center" wrapText="1"/>
    </xf>
    <xf numFmtId="0" fontId="28" fillId="2" borderId="0" xfId="0" applyFont="1" applyFill="1" applyAlignment="1">
      <alignment horizontal="center" wrapText="1"/>
    </xf>
    <xf numFmtId="0" fontId="15" fillId="2" borderId="0" xfId="0" applyFont="1" applyFill="1" applyAlignment="1"/>
    <xf numFmtId="14" fontId="15" fillId="2" borderId="0" xfId="0" applyNumberFormat="1" applyFont="1" applyFill="1" applyAlignment="1"/>
    <xf numFmtId="0" fontId="15" fillId="2" borderId="0" xfId="0" applyFont="1" applyFill="1" applyAlignment="1">
      <alignment horizontal="center"/>
    </xf>
    <xf numFmtId="3" fontId="15" fillId="2" borderId="0" xfId="0" applyNumberFormat="1" applyFont="1" applyFill="1" applyAlignment="1">
      <alignment horizontal="right"/>
    </xf>
    <xf numFmtId="3" fontId="16" fillId="2" borderId="0" xfId="0" applyNumberFormat="1" applyFont="1" applyFill="1" applyAlignment="1">
      <alignment horizontal="center"/>
    </xf>
    <xf numFmtId="3" fontId="16" fillId="2" borderId="0" xfId="0" applyNumberFormat="1" applyFont="1" applyFill="1" applyAlignment="1"/>
    <xf numFmtId="0" fontId="16" fillId="2" borderId="0" xfId="0" applyFont="1" applyFill="1"/>
    <xf numFmtId="3" fontId="15" fillId="2" borderId="0" xfId="0" applyNumberFormat="1" applyFont="1" applyFill="1" applyAlignment="1"/>
    <xf numFmtId="3" fontId="15" fillId="2" borderId="0" xfId="0" applyNumberFormat="1" applyFont="1" applyFill="1" applyAlignment="1"/>
    <xf numFmtId="3" fontId="16" fillId="2" borderId="11" xfId="0" applyNumberFormat="1" applyFont="1" applyFill="1" applyBorder="1" applyAlignment="1"/>
    <xf numFmtId="3" fontId="15" fillId="2" borderId="11" xfId="0" applyNumberFormat="1" applyFont="1" applyFill="1" applyBorder="1" applyAlignment="1"/>
    <xf numFmtId="3" fontId="49" fillId="2" borderId="0" xfId="0" applyNumberFormat="1" applyFont="1" applyFill="1" applyAlignment="1"/>
    <xf numFmtId="3" fontId="49" fillId="2" borderId="0" xfId="0" applyNumberFormat="1" applyFont="1" applyFill="1" applyAlignment="1"/>
    <xf numFmtId="3" fontId="50" fillId="2" borderId="0" xfId="0" applyNumberFormat="1" applyFont="1" applyFill="1" applyAlignment="1"/>
    <xf numFmtId="3" fontId="16" fillId="2" borderId="11" xfId="0" applyNumberFormat="1" applyFont="1" applyFill="1" applyBorder="1" applyAlignment="1">
      <alignment horizontal="right"/>
    </xf>
    <xf numFmtId="3" fontId="15" fillId="2" borderId="11" xfId="0" applyNumberFormat="1" applyFont="1" applyFill="1" applyBorder="1" applyAlignment="1">
      <alignment horizontal="right"/>
    </xf>
    <xf numFmtId="3" fontId="29" fillId="2" borderId="0" xfId="0" applyNumberFormat="1" applyFont="1" applyFill="1" applyAlignment="1"/>
    <xf numFmtId="3" fontId="15" fillId="2" borderId="0" xfId="0" applyNumberFormat="1" applyFont="1" applyFill="1" applyAlignment="1"/>
    <xf numFmtId="0" fontId="15" fillId="0" borderId="0" xfId="0" applyFont="1" applyAlignment="1"/>
    <xf numFmtId="14" fontId="15" fillId="0" borderId="0" xfId="0" applyNumberFormat="1" applyFont="1" applyAlignment="1"/>
    <xf numFmtId="0" fontId="15" fillId="0" borderId="0" xfId="0" applyFont="1" applyAlignment="1">
      <alignment horizontal="center"/>
    </xf>
    <xf numFmtId="3" fontId="15" fillId="0" borderId="0" xfId="0" applyNumberFormat="1" applyFont="1" applyAlignment="1">
      <alignment horizontal="right"/>
    </xf>
    <xf numFmtId="3" fontId="16" fillId="2" borderId="0" xfId="0" applyNumberFormat="1" applyFont="1" applyFill="1" applyAlignment="1">
      <alignment horizontal="center"/>
    </xf>
    <xf numFmtId="3" fontId="15" fillId="0" borderId="0" xfId="0" applyNumberFormat="1" applyFont="1" applyAlignment="1">
      <alignment horizontal="center"/>
    </xf>
    <xf numFmtId="0" fontId="28" fillId="0" borderId="0" xfId="0" applyFont="1" applyAlignment="1">
      <alignment horizontal="right"/>
    </xf>
    <xf numFmtId="0" fontId="28" fillId="2" borderId="0" xfId="0" applyFont="1" applyFill="1" applyAlignment="1">
      <alignment horizontal="right"/>
    </xf>
    <xf numFmtId="3" fontId="16" fillId="2" borderId="0" xfId="0" applyNumberFormat="1" applyFont="1" applyFill="1" applyAlignment="1"/>
    <xf numFmtId="3" fontId="15" fillId="2" borderId="0" xfId="0" applyNumberFormat="1" applyFont="1" applyFill="1" applyAlignment="1">
      <alignment horizontal="center"/>
    </xf>
    <xf numFmtId="3" fontId="48" fillId="2" borderId="0" xfId="0" applyNumberFormat="1" applyFont="1" applyFill="1" applyAlignment="1"/>
    <xf numFmtId="168" fontId="15" fillId="2" borderId="0" xfId="0" applyNumberFormat="1" applyFont="1" applyFill="1" applyAlignment="1"/>
    <xf numFmtId="168" fontId="15" fillId="2" borderId="0" xfId="0" applyNumberFormat="1" applyFont="1" applyFill="1" applyAlignment="1">
      <alignment horizontal="center"/>
    </xf>
    <xf numFmtId="168" fontId="16" fillId="2" borderId="0" xfId="0" applyNumberFormat="1" applyFont="1" applyFill="1"/>
    <xf numFmtId="3" fontId="29" fillId="2" borderId="0" xfId="0" applyNumberFormat="1" applyFont="1" applyFill="1" applyAlignment="1">
      <alignment horizontal="right"/>
    </xf>
    <xf numFmtId="3" fontId="16" fillId="2" borderId="0" xfId="0" applyNumberFormat="1" applyFont="1" applyFill="1" applyAlignment="1">
      <alignment horizontal="right"/>
    </xf>
    <xf numFmtId="0" fontId="28" fillId="2" borderId="0" xfId="0" applyFont="1" applyFill="1" applyAlignment="1"/>
    <xf numFmtId="14" fontId="28" fillId="2" borderId="0" xfId="0" applyNumberFormat="1" applyFont="1" applyFill="1" applyAlignment="1"/>
    <xf numFmtId="0" fontId="28" fillId="2" borderId="0" xfId="0" applyFont="1" applyFill="1" applyAlignment="1">
      <alignment horizontal="center"/>
    </xf>
    <xf numFmtId="0" fontId="51" fillId="20" borderId="19" xfId="0" applyFont="1" applyFill="1" applyBorder="1" applyAlignment="1"/>
    <xf numFmtId="0" fontId="51" fillId="20" borderId="19" xfId="0" applyFont="1" applyFill="1" applyBorder="1" applyAlignment="1">
      <alignment wrapText="1"/>
    </xf>
    <xf numFmtId="9" fontId="51" fillId="20" borderId="19" xfId="0" applyNumberFormat="1" applyFont="1" applyFill="1" applyBorder="1" applyAlignment="1">
      <alignment wrapText="1"/>
    </xf>
    <xf numFmtId="0" fontId="21" fillId="8" borderId="19" xfId="0" applyFont="1" applyFill="1" applyBorder="1" applyAlignment="1"/>
    <xf numFmtId="0" fontId="21" fillId="8" borderId="19" xfId="0" applyFont="1" applyFill="1" applyBorder="1" applyAlignment="1">
      <alignment horizontal="right"/>
    </xf>
    <xf numFmtId="0" fontId="21" fillId="2" borderId="0" xfId="0" applyFont="1" applyFill="1" applyAlignment="1">
      <alignment horizontal="right"/>
    </xf>
    <xf numFmtId="0" fontId="21" fillId="0" borderId="19" xfId="0" applyFont="1" applyBorder="1" applyAlignment="1"/>
    <xf numFmtId="0" fontId="21" fillId="0" borderId="12" xfId="0" applyFont="1" applyBorder="1" applyAlignment="1"/>
    <xf numFmtId="0" fontId="21" fillId="0" borderId="12" xfId="0" applyFont="1" applyBorder="1" applyAlignment="1">
      <alignment horizontal="right"/>
    </xf>
    <xf numFmtId="0" fontId="21" fillId="0" borderId="19" xfId="0" applyFont="1" applyBorder="1" applyAlignment="1">
      <alignment horizontal="right"/>
    </xf>
    <xf numFmtId="3" fontId="16" fillId="12" borderId="19" xfId="0" applyNumberFormat="1" applyFont="1" applyFill="1" applyBorder="1" applyAlignment="1"/>
    <xf numFmtId="0" fontId="48" fillId="2" borderId="0" xfId="0" applyFont="1" applyFill="1" applyAlignment="1">
      <alignment horizontal="left"/>
    </xf>
    <xf numFmtId="3" fontId="9" fillId="0" borderId="0" xfId="0" applyNumberFormat="1" applyFont="1" applyAlignment="1">
      <alignment horizontal="center"/>
    </xf>
    <xf numFmtId="0" fontId="47" fillId="2" borderId="4" xfId="0" applyFont="1" applyFill="1" applyBorder="1" applyAlignment="1">
      <alignment horizontal="center"/>
    </xf>
    <xf numFmtId="3" fontId="9" fillId="2" borderId="0" xfId="0" applyNumberFormat="1" applyFont="1" applyFill="1" applyAlignment="1">
      <alignment horizontal="center"/>
    </xf>
    <xf numFmtId="0" fontId="15" fillId="0" borderId="0" xfId="0" applyFont="1" applyAlignment="1">
      <alignment horizontal="center"/>
    </xf>
    <xf numFmtId="0" fontId="16" fillId="0" borderId="0" xfId="0" applyFont="1" applyAlignment="1"/>
    <xf numFmtId="0" fontId="16" fillId="21" borderId="19" xfId="0" applyFont="1" applyFill="1" applyBorder="1" applyAlignment="1"/>
    <xf numFmtId="0" fontId="16" fillId="21" borderId="11" xfId="0" applyFont="1" applyFill="1" applyBorder="1" applyAlignment="1"/>
    <xf numFmtId="0" fontId="29" fillId="0" borderId="0" xfId="0" applyFont="1" applyAlignment="1">
      <alignment horizontal="center"/>
    </xf>
    <xf numFmtId="3" fontId="29" fillId="0" borderId="0" xfId="0" applyNumberFormat="1" applyFont="1" applyAlignment="1">
      <alignment horizontal="center"/>
    </xf>
    <xf numFmtId="0" fontId="16" fillId="0" borderId="0" xfId="0" applyFont="1"/>
    <xf numFmtId="0" fontId="29" fillId="0" borderId="0" xfId="0" applyFont="1" applyAlignment="1"/>
    <xf numFmtId="0" fontId="22" fillId="0" borderId="0" xfId="0" applyFont="1" applyAlignment="1"/>
    <xf numFmtId="0" fontId="29" fillId="21" borderId="19" xfId="0" applyFont="1" applyFill="1" applyBorder="1" applyAlignment="1">
      <alignment horizontal="center"/>
    </xf>
    <xf numFmtId="0" fontId="29" fillId="21" borderId="11" xfId="0" applyFont="1" applyFill="1" applyBorder="1" applyAlignment="1">
      <alignment horizontal="center"/>
    </xf>
    <xf numFmtId="3" fontId="9" fillId="0" borderId="0" xfId="0" applyNumberFormat="1" applyFont="1" applyAlignment="1">
      <alignment horizontal="center"/>
    </xf>
    <xf numFmtId="1" fontId="9" fillId="0" borderId="0" xfId="0" applyNumberFormat="1" applyFont="1" applyAlignment="1">
      <alignment horizontal="center"/>
    </xf>
    <xf numFmtId="0" fontId="29" fillId="0" borderId="0" xfId="0" applyFont="1" applyAlignment="1"/>
    <xf numFmtId="3" fontId="29" fillId="21" borderId="19" xfId="0" applyNumberFormat="1" applyFont="1" applyFill="1" applyBorder="1" applyAlignment="1">
      <alignment horizontal="right"/>
    </xf>
    <xf numFmtId="0" fontId="15" fillId="0" borderId="11" xfId="0" applyFont="1" applyBorder="1" applyAlignment="1">
      <alignment horizontal="center"/>
    </xf>
    <xf numFmtId="0" fontId="29" fillId="0" borderId="11" xfId="0" applyFont="1" applyBorder="1" applyAlignment="1"/>
    <xf numFmtId="0" fontId="29" fillId="0" borderId="19" xfId="0" applyFont="1" applyBorder="1" applyAlignment="1"/>
    <xf numFmtId="0" fontId="53" fillId="0" borderId="0" xfId="0" applyFont="1" applyAlignment="1"/>
    <xf numFmtId="3" fontId="22" fillId="0" borderId="19" xfId="0" applyNumberFormat="1" applyFont="1" applyBorder="1" applyAlignment="1">
      <alignment horizontal="right"/>
    </xf>
    <xf numFmtId="0" fontId="22" fillId="0" borderId="0" xfId="0" applyFont="1" applyAlignment="1"/>
    <xf numFmtId="0" fontId="22" fillId="0" borderId="0" xfId="0" applyFont="1" applyAlignment="1">
      <alignment horizontal="right"/>
    </xf>
    <xf numFmtId="0" fontId="22" fillId="0" borderId="19" xfId="0" applyFont="1" applyBorder="1" applyAlignment="1"/>
    <xf numFmtId="0" fontId="16" fillId="0" borderId="19" xfId="0" applyFont="1" applyBorder="1" applyAlignment="1"/>
    <xf numFmtId="3" fontId="16" fillId="0" borderId="19" xfId="0" applyNumberFormat="1" applyFont="1" applyBorder="1" applyAlignment="1"/>
    <xf numFmtId="3" fontId="16" fillId="21" borderId="19" xfId="0" applyNumberFormat="1" applyFont="1" applyFill="1" applyBorder="1" applyAlignment="1">
      <alignment horizontal="right"/>
    </xf>
    <xf numFmtId="0" fontId="16" fillId="21" borderId="19" xfId="0" applyFont="1" applyFill="1" applyBorder="1" applyAlignment="1">
      <alignment horizontal="right"/>
    </xf>
    <xf numFmtId="0" fontId="52" fillId="0" borderId="1" xfId="0" applyFont="1" applyBorder="1" applyAlignment="1"/>
    <xf numFmtId="0" fontId="22" fillId="0" borderId="2" xfId="0" applyFont="1" applyBorder="1" applyAlignment="1"/>
    <xf numFmtId="0" fontId="54" fillId="0" borderId="7" xfId="0" applyFont="1" applyBorder="1" applyAlignment="1"/>
    <xf numFmtId="0" fontId="55" fillId="0" borderId="0" xfId="0" applyFont="1" applyAlignment="1">
      <alignment horizontal="right"/>
    </xf>
    <xf numFmtId="3" fontId="55" fillId="0" borderId="19" xfId="0" applyNumberFormat="1" applyFont="1" applyBorder="1" applyAlignment="1">
      <alignment horizontal="right"/>
    </xf>
    <xf numFmtId="0" fontId="54" fillId="0" borderId="10" xfId="0" applyFont="1" applyBorder="1" applyAlignment="1"/>
    <xf numFmtId="0" fontId="55" fillId="0" borderId="11" xfId="0" applyFont="1" applyBorder="1" applyAlignment="1">
      <alignment horizontal="right"/>
    </xf>
    <xf numFmtId="3" fontId="9" fillId="0" borderId="18" xfId="0" applyNumberFormat="1" applyFont="1" applyBorder="1" applyAlignment="1">
      <alignment horizontal="center"/>
    </xf>
    <xf numFmtId="3" fontId="9" fillId="0" borderId="18" xfId="0" applyNumberFormat="1" applyFont="1" applyBorder="1" applyAlignment="1">
      <alignment horizontal="center"/>
    </xf>
    <xf numFmtId="0" fontId="1" fillId="0" borderId="18" xfId="0" applyFont="1" applyBorder="1" applyAlignment="1">
      <alignment horizontal="center"/>
    </xf>
    <xf numFmtId="1" fontId="1" fillId="0" borderId="18" xfId="0" applyNumberFormat="1" applyFont="1" applyBorder="1" applyAlignment="1">
      <alignment horizontal="center"/>
    </xf>
    <xf numFmtId="0" fontId="16" fillId="12" borderId="19" xfId="0" applyFont="1" applyFill="1" applyBorder="1" applyAlignment="1"/>
    <xf numFmtId="0" fontId="22" fillId="0" borderId="2" xfId="0" applyFont="1" applyBorder="1" applyAlignment="1">
      <alignment horizontal="left"/>
    </xf>
    <xf numFmtId="3" fontId="56" fillId="0" borderId="19" xfId="0" applyNumberFormat="1" applyFont="1" applyBorder="1" applyAlignment="1">
      <alignment horizontal="right"/>
    </xf>
    <xf numFmtId="0" fontId="57" fillId="0" borderId="7" xfId="0" applyFont="1" applyBorder="1" applyAlignment="1"/>
    <xf numFmtId="0" fontId="55" fillId="0" borderId="19" xfId="0" applyFont="1" applyBorder="1" applyAlignment="1">
      <alignment horizontal="right"/>
    </xf>
    <xf numFmtId="0" fontId="57" fillId="0" borderId="10" xfId="0" applyFont="1" applyBorder="1" applyAlignment="1"/>
    <xf numFmtId="0" fontId="58" fillId="0" borderId="0" xfId="0" applyFont="1" applyAlignment="1">
      <alignment horizontal="center"/>
    </xf>
    <xf numFmtId="0" fontId="22" fillId="0" borderId="19" xfId="0" applyFont="1" applyBorder="1" applyAlignment="1">
      <alignment horizontal="right"/>
    </xf>
    <xf numFmtId="3" fontId="22" fillId="0" borderId="19" xfId="0" applyNumberFormat="1" applyFont="1" applyBorder="1" applyAlignment="1"/>
    <xf numFmtId="0" fontId="16" fillId="0" borderId="7" xfId="0" applyFont="1" applyBorder="1" applyAlignment="1"/>
    <xf numFmtId="0" fontId="16" fillId="0" borderId="10" xfId="0" applyFont="1" applyBorder="1" applyAlignment="1"/>
    <xf numFmtId="0" fontId="22" fillId="0" borderId="7" xfId="0" applyFont="1" applyBorder="1" applyAlignment="1"/>
    <xf numFmtId="0" fontId="22" fillId="0" borderId="10" xfId="0" applyFont="1" applyBorder="1" applyAlignment="1"/>
    <xf numFmtId="0" fontId="28" fillId="0" borderId="19" xfId="0" applyFont="1" applyBorder="1" applyAlignment="1">
      <alignment horizontal="right"/>
    </xf>
    <xf numFmtId="0" fontId="28" fillId="21" borderId="19" xfId="0" applyFont="1" applyFill="1" applyBorder="1" applyAlignment="1">
      <alignment horizontal="right"/>
    </xf>
    <xf numFmtId="0" fontId="48" fillId="0" borderId="0" xfId="0" applyFont="1" applyAlignment="1"/>
    <xf numFmtId="3" fontId="28" fillId="0" borderId="19" xfId="0" applyNumberFormat="1" applyFont="1" applyBorder="1" applyAlignment="1">
      <alignment horizontal="right"/>
    </xf>
    <xf numFmtId="0" fontId="16" fillId="0" borderId="19" xfId="0" applyFont="1" applyBorder="1" applyAlignment="1">
      <alignment horizontal="right"/>
    </xf>
    <xf numFmtId="3" fontId="16" fillId="0" borderId="19" xfId="0" applyNumberFormat="1" applyFont="1" applyBorder="1" applyAlignment="1">
      <alignment horizontal="right"/>
    </xf>
    <xf numFmtId="0" fontId="16" fillId="2" borderId="19" xfId="0" applyFont="1" applyFill="1" applyBorder="1" applyAlignment="1"/>
    <xf numFmtId="3" fontId="16" fillId="2" borderId="19" xfId="0" applyNumberFormat="1" applyFont="1" applyFill="1" applyBorder="1" applyAlignment="1"/>
    <xf numFmtId="0" fontId="28" fillId="0" borderId="19" xfId="0" applyFont="1" applyBorder="1" applyAlignment="1">
      <alignment horizontal="right"/>
    </xf>
    <xf numFmtId="0" fontId="16" fillId="22" borderId="0" xfId="0" applyFont="1" applyFill="1" applyAlignment="1"/>
    <xf numFmtId="0" fontId="16" fillId="22" borderId="0" xfId="0" applyFont="1" applyFill="1" applyAlignment="1">
      <alignment horizontal="right"/>
    </xf>
    <xf numFmtId="0" fontId="15" fillId="22" borderId="19" xfId="0" applyFont="1" applyFill="1" applyBorder="1" applyAlignment="1"/>
    <xf numFmtId="0" fontId="48" fillId="22" borderId="19" xfId="0" applyFont="1" applyFill="1" applyBorder="1" applyAlignment="1"/>
    <xf numFmtId="0" fontId="16" fillId="0" borderId="19" xfId="0" applyFont="1" applyBorder="1" applyAlignment="1"/>
    <xf numFmtId="0" fontId="22" fillId="0" borderId="19" xfId="0" applyFont="1" applyBorder="1" applyAlignment="1"/>
    <xf numFmtId="0" fontId="22" fillId="2" borderId="0" xfId="0" applyFont="1" applyFill="1" applyAlignment="1"/>
    <xf numFmtId="0" fontId="15" fillId="0" borderId="19" xfId="0" applyFont="1" applyBorder="1" applyAlignment="1">
      <alignment horizontal="right"/>
    </xf>
    <xf numFmtId="3" fontId="15" fillId="0" borderId="19" xfId="0" applyNumberFormat="1" applyFont="1" applyBorder="1" applyAlignment="1">
      <alignment horizontal="right"/>
    </xf>
    <xf numFmtId="0" fontId="22" fillId="2" borderId="19" xfId="0" applyFont="1" applyFill="1" applyBorder="1" applyAlignment="1"/>
    <xf numFmtId="0" fontId="29" fillId="0" borderId="0" xfId="0" applyFont="1" applyAlignment="1">
      <alignment horizontal="right"/>
    </xf>
    <xf numFmtId="3" fontId="29" fillId="21" borderId="21" xfId="0" applyNumberFormat="1" applyFont="1" applyFill="1" applyBorder="1" applyAlignment="1">
      <alignment horizontal="right"/>
    </xf>
    <xf numFmtId="3" fontId="29" fillId="21" borderId="8" xfId="0" applyNumberFormat="1" applyFont="1" applyFill="1" applyBorder="1" applyAlignment="1">
      <alignment horizontal="right"/>
    </xf>
    <xf numFmtId="0" fontId="59" fillId="2" borderId="0" xfId="0" applyFont="1" applyFill="1" applyAlignment="1">
      <alignment vertical="top"/>
    </xf>
    <xf numFmtId="0" fontId="53" fillId="2" borderId="20" xfId="0" applyFont="1" applyFill="1" applyBorder="1" applyAlignment="1"/>
    <xf numFmtId="0" fontId="52" fillId="2" borderId="22" xfId="0" applyFont="1" applyFill="1" applyBorder="1" applyAlignment="1"/>
    <xf numFmtId="0" fontId="53" fillId="2" borderId="12" xfId="0" applyFont="1" applyFill="1" applyBorder="1" applyAlignment="1"/>
    <xf numFmtId="0" fontId="53" fillId="2" borderId="19" xfId="0" applyFont="1" applyFill="1" applyBorder="1" applyAlignment="1"/>
    <xf numFmtId="0" fontId="52" fillId="2" borderId="19" xfId="0" applyFont="1" applyFill="1" applyBorder="1" applyAlignment="1"/>
    <xf numFmtId="3" fontId="59" fillId="2" borderId="12" xfId="0" applyNumberFormat="1" applyFont="1" applyFill="1" applyBorder="1" applyAlignment="1">
      <alignment horizontal="right"/>
    </xf>
    <xf numFmtId="3" fontId="59" fillId="2" borderId="19" xfId="0" applyNumberFormat="1" applyFont="1" applyFill="1" applyBorder="1" applyAlignment="1">
      <alignment horizontal="right"/>
    </xf>
    <xf numFmtId="0" fontId="52" fillId="2" borderId="21" xfId="0" applyFont="1" applyFill="1" applyBorder="1" applyAlignment="1"/>
    <xf numFmtId="3" fontId="59" fillId="2" borderId="8" xfId="0" applyNumberFormat="1" applyFont="1" applyFill="1" applyBorder="1" applyAlignment="1">
      <alignment horizontal="right"/>
    </xf>
    <xf numFmtId="1" fontId="1" fillId="0" borderId="0" xfId="0" applyNumberFormat="1" applyFont="1"/>
    <xf numFmtId="0" fontId="1" fillId="0" borderId="0" xfId="0" applyFont="1"/>
    <xf numFmtId="0" fontId="52" fillId="2" borderId="20" xfId="0" applyFont="1" applyFill="1" applyBorder="1" applyAlignment="1"/>
    <xf numFmtId="0" fontId="36" fillId="2" borderId="0" xfId="0" applyFont="1" applyFill="1" applyAlignment="1"/>
    <xf numFmtId="0" fontId="59" fillId="2" borderId="0" xfId="0" applyFont="1" applyFill="1" applyAlignment="1"/>
    <xf numFmtId="0" fontId="1" fillId="2" borderId="0" xfId="0" applyFont="1" applyFill="1" applyAlignment="1"/>
    <xf numFmtId="0" fontId="0" fillId="0" borderId="0" xfId="0" applyFont="1" applyAlignment="1"/>
    <xf numFmtId="0" fontId="1" fillId="0" borderId="0" xfId="0" applyFont="1" applyAlignment="1"/>
    <xf numFmtId="0" fontId="1" fillId="3" borderId="2" xfId="0" applyFont="1" applyFill="1" applyBorder="1" applyAlignment="1"/>
    <xf numFmtId="0" fontId="2" fillId="0" borderId="3" xfId="0" applyFont="1" applyBorder="1"/>
    <xf numFmtId="0" fontId="1" fillId="4" borderId="5" xfId="0" applyFont="1" applyFill="1" applyBorder="1"/>
    <xf numFmtId="0" fontId="2" fillId="0" borderId="6" xfId="0" applyFont="1" applyBorder="1"/>
    <xf numFmtId="0" fontId="1" fillId="3" borderId="0" xfId="0" applyFont="1" applyFill="1" applyAlignment="1"/>
    <xf numFmtId="0" fontId="2" fillId="0" borderId="8" xfId="0" applyFont="1" applyBorder="1"/>
    <xf numFmtId="0" fontId="5" fillId="3" borderId="0" xfId="0" applyFont="1" applyFill="1" applyAlignment="1"/>
    <xf numFmtId="0" fontId="8" fillId="7" borderId="0" xfId="0" applyFont="1" applyFill="1" applyAlignment="1">
      <alignment horizontal="center" wrapText="1"/>
    </xf>
    <xf numFmtId="0" fontId="8" fillId="8" borderId="0" xfId="0" applyFont="1" applyFill="1" applyAlignment="1">
      <alignment horizontal="center" wrapText="1"/>
    </xf>
    <xf numFmtId="0" fontId="2" fillId="0" borderId="13" xfId="0" applyFont="1" applyBorder="1"/>
    <xf numFmtId="3" fontId="9" fillId="5" borderId="0" xfId="0" applyNumberFormat="1" applyFont="1" applyFill="1" applyAlignment="1">
      <alignment horizontal="center" wrapText="1"/>
    </xf>
    <xf numFmtId="3" fontId="9" fillId="6" borderId="0" xfId="0" applyNumberFormat="1" applyFont="1" applyFill="1" applyAlignment="1">
      <alignment horizontal="center" wrapText="1"/>
    </xf>
    <xf numFmtId="0" fontId="1" fillId="8" borderId="0" xfId="0" applyFont="1" applyFill="1" applyAlignment="1">
      <alignment horizontal="left"/>
    </xf>
    <xf numFmtId="0" fontId="1" fillId="0" borderId="0" xfId="0" applyFont="1" applyAlignment="1">
      <alignment horizontal="center"/>
    </xf>
    <xf numFmtId="0" fontId="8" fillId="5" borderId="0" xfId="0" applyFont="1" applyFill="1" applyAlignment="1">
      <alignment horizontal="center" wrapText="1"/>
    </xf>
    <xf numFmtId="0" fontId="8" fillId="6" borderId="0" xfId="0" applyFont="1" applyFill="1" applyAlignment="1">
      <alignment horizontal="center" wrapText="1"/>
    </xf>
    <xf numFmtId="0" fontId="9" fillId="7" borderId="14" xfId="0" applyFont="1" applyFill="1" applyBorder="1" applyAlignment="1">
      <alignment horizontal="center" wrapText="1"/>
    </xf>
    <xf numFmtId="0" fontId="2" fillId="0" borderId="14" xfId="0" applyFont="1" applyBorder="1"/>
    <xf numFmtId="3" fontId="10" fillId="0" borderId="11" xfId="0" applyNumberFormat="1" applyFont="1" applyBorder="1" applyAlignment="1">
      <alignment horizontal="center"/>
    </xf>
    <xf numFmtId="0" fontId="2" fillId="0" borderId="11" xfId="0" applyFont="1" applyBorder="1"/>
    <xf numFmtId="9" fontId="10" fillId="0" borderId="11" xfId="0" applyNumberFormat="1" applyFont="1" applyBorder="1" applyAlignment="1">
      <alignment horizontal="center"/>
    </xf>
    <xf numFmtId="0" fontId="26" fillId="10" borderId="4" xfId="0" applyFont="1" applyFill="1" applyBorder="1" applyAlignment="1">
      <alignment horizontal="center" wrapText="1"/>
    </xf>
    <xf numFmtId="0" fontId="2" fillId="0" borderId="5" xfId="0" applyFont="1" applyBorder="1"/>
    <xf numFmtId="0" fontId="32" fillId="10" borderId="11" xfId="0" applyFont="1" applyFill="1" applyBorder="1" applyAlignment="1">
      <alignment horizontal="center"/>
    </xf>
    <xf numFmtId="0" fontId="47" fillId="2" borderId="11" xfId="0" applyFont="1" applyFill="1" applyBorder="1" applyAlignment="1">
      <alignment horizontal="center"/>
    </xf>
    <xf numFmtId="0" fontId="47" fillId="8" borderId="4" xfId="0" applyFont="1" applyFill="1" applyBorder="1" applyAlignment="1">
      <alignment horizontal="center"/>
    </xf>
    <xf numFmtId="0" fontId="52" fillId="0" borderId="0" xfId="0" applyFont="1" applyAlignment="1"/>
    <xf numFmtId="0" fontId="29" fillId="21" borderId="4" xfId="0" applyFont="1" applyFill="1" applyBorder="1" applyAlignment="1">
      <alignment horizontal="center"/>
    </xf>
    <xf numFmtId="0" fontId="29" fillId="0" borderId="0" xfId="0" applyFont="1" applyAlignment="1"/>
    <xf numFmtId="0" fontId="59" fillId="2" borderId="0" xfId="0" applyFont="1" applyFill="1" applyAlignment="1">
      <alignment vertical="top"/>
    </xf>
    <xf numFmtId="0" fontId="53" fillId="2" borderId="4" xfId="0" applyFont="1" applyFill="1" applyBorder="1" applyAlignment="1">
      <alignment horizontal="center"/>
    </xf>
    <xf numFmtId="0" fontId="53" fillId="2" borderId="5" xfId="0" applyFont="1" applyFill="1" applyBorder="1" applyAlignment="1">
      <alignment horizontal="center"/>
    </xf>
    <xf numFmtId="0" fontId="39" fillId="2" borderId="0" xfId="0"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74"/>
  <sheetViews>
    <sheetView tabSelected="1" workbookViewId="0">
      <selection activeCell="A2" sqref="A2:A19"/>
    </sheetView>
  </sheetViews>
  <sheetFormatPr defaultColWidth="14.42578125" defaultRowHeight="15.75" customHeight="1"/>
  <cols>
    <col min="1" max="1" width="4.7109375" customWidth="1"/>
    <col min="2" max="2" width="5.42578125" customWidth="1"/>
    <col min="3" max="3" width="57.28515625" customWidth="1"/>
    <col min="4" max="4" width="66.140625" customWidth="1"/>
    <col min="5" max="5" width="95.42578125" customWidth="1"/>
    <col min="6" max="6" width="7.28515625" customWidth="1"/>
  </cols>
  <sheetData>
    <row r="1" spans="1:26" ht="12.75">
      <c r="A1" s="687"/>
      <c r="B1" s="688"/>
      <c r="C1" s="688"/>
      <c r="D1" s="688"/>
      <c r="E1" s="688"/>
      <c r="F1" s="688"/>
      <c r="G1" s="689"/>
    </row>
    <row r="2" spans="1:26" ht="12.75">
      <c r="A2" s="689"/>
      <c r="B2" s="3"/>
      <c r="C2" s="4"/>
      <c r="D2" s="4"/>
      <c r="E2" s="690"/>
      <c r="F2" s="691"/>
      <c r="G2" s="688"/>
    </row>
    <row r="3" spans="1:26" ht="23.25">
      <c r="A3" s="688"/>
      <c r="B3" s="5"/>
      <c r="C3" s="6" t="s">
        <v>0</v>
      </c>
      <c r="D3" s="7"/>
      <c r="E3" s="692"/>
      <c r="F3" s="693"/>
      <c r="G3" s="688"/>
    </row>
    <row r="4" spans="1:26" ht="12.75">
      <c r="A4" s="688"/>
      <c r="B4" s="8"/>
      <c r="C4" s="9" t="s">
        <v>1</v>
      </c>
      <c r="D4" s="10"/>
      <c r="E4" s="694"/>
      <c r="F4" s="695"/>
      <c r="G4" s="688"/>
    </row>
    <row r="5" spans="1:26" ht="12.75">
      <c r="A5" s="688"/>
      <c r="B5" s="8"/>
      <c r="C5" s="11" t="s">
        <v>2</v>
      </c>
      <c r="D5" s="12" t="s">
        <v>3</v>
      </c>
      <c r="E5" s="696" t="s">
        <v>4</v>
      </c>
      <c r="F5" s="695"/>
      <c r="G5" s="688"/>
    </row>
    <row r="6" spans="1:26" ht="27" customHeight="1">
      <c r="A6" s="688"/>
      <c r="B6" s="13"/>
      <c r="C6" s="14" t="s">
        <v>5</v>
      </c>
      <c r="D6" s="15"/>
      <c r="E6" s="16" t="s">
        <v>6</v>
      </c>
      <c r="F6" s="17"/>
      <c r="G6" s="688"/>
      <c r="H6" s="18"/>
      <c r="I6" s="18"/>
      <c r="J6" s="18"/>
      <c r="K6" s="18"/>
      <c r="L6" s="18"/>
      <c r="M6" s="18"/>
      <c r="N6" s="18"/>
      <c r="O6" s="18"/>
      <c r="P6" s="18"/>
      <c r="Q6" s="18"/>
      <c r="R6" s="18"/>
      <c r="S6" s="18"/>
      <c r="T6" s="18"/>
      <c r="U6" s="18"/>
      <c r="V6" s="18"/>
      <c r="W6" s="18"/>
      <c r="X6" s="18"/>
      <c r="Y6" s="18"/>
      <c r="Z6" s="18"/>
    </row>
    <row r="7" spans="1:26" ht="27" customHeight="1">
      <c r="A7" s="688"/>
      <c r="B7" s="13"/>
      <c r="C7" s="14"/>
      <c r="D7" s="15"/>
      <c r="E7" s="16"/>
      <c r="F7" s="17"/>
      <c r="G7" s="688"/>
      <c r="H7" s="18"/>
      <c r="I7" s="18"/>
      <c r="J7" s="18"/>
      <c r="K7" s="18"/>
      <c r="L7" s="18"/>
      <c r="M7" s="18"/>
      <c r="N7" s="18"/>
      <c r="O7" s="18"/>
      <c r="P7" s="18"/>
      <c r="Q7" s="18"/>
      <c r="R7" s="18"/>
      <c r="S7" s="18"/>
      <c r="T7" s="18"/>
      <c r="U7" s="18"/>
      <c r="V7" s="18"/>
      <c r="W7" s="18"/>
      <c r="X7" s="18"/>
      <c r="Y7" s="18"/>
      <c r="Z7" s="18"/>
    </row>
    <row r="8" spans="1:26" ht="27" customHeight="1">
      <c r="A8" s="688"/>
      <c r="B8" s="13"/>
      <c r="C8" s="14" t="s">
        <v>7</v>
      </c>
      <c r="D8" s="15"/>
      <c r="E8" s="16" t="s">
        <v>8</v>
      </c>
      <c r="F8" s="17"/>
      <c r="G8" s="688"/>
      <c r="H8" s="18"/>
      <c r="I8" s="18"/>
      <c r="J8" s="18"/>
      <c r="K8" s="18"/>
      <c r="L8" s="18"/>
      <c r="M8" s="18"/>
      <c r="N8" s="18"/>
      <c r="O8" s="18"/>
      <c r="P8" s="18"/>
      <c r="Q8" s="18"/>
      <c r="R8" s="18"/>
      <c r="S8" s="18"/>
      <c r="T8" s="18"/>
      <c r="U8" s="18"/>
      <c r="V8" s="18"/>
      <c r="W8" s="18"/>
      <c r="X8" s="18"/>
      <c r="Y8" s="18"/>
      <c r="Z8" s="18"/>
    </row>
    <row r="9" spans="1:26" ht="27" customHeight="1">
      <c r="A9" s="688"/>
      <c r="B9" s="13"/>
      <c r="C9" s="14"/>
      <c r="D9" s="15"/>
      <c r="E9" s="16"/>
      <c r="F9" s="17"/>
      <c r="G9" s="688"/>
      <c r="H9" s="18"/>
      <c r="I9" s="18"/>
      <c r="J9" s="18"/>
      <c r="K9" s="18"/>
      <c r="L9" s="18"/>
      <c r="M9" s="18"/>
      <c r="N9" s="18"/>
      <c r="O9" s="18"/>
      <c r="P9" s="18"/>
      <c r="Q9" s="18"/>
      <c r="R9" s="18"/>
      <c r="S9" s="18"/>
      <c r="T9" s="18"/>
      <c r="U9" s="18"/>
      <c r="V9" s="18"/>
      <c r="W9" s="18"/>
      <c r="X9" s="18"/>
      <c r="Y9" s="18"/>
      <c r="Z9" s="18"/>
    </row>
    <row r="10" spans="1:26" ht="27" customHeight="1">
      <c r="A10" s="688"/>
      <c r="B10" s="13"/>
      <c r="C10" s="14" t="s">
        <v>9</v>
      </c>
      <c r="D10" s="15"/>
      <c r="E10" s="16" t="s">
        <v>10</v>
      </c>
      <c r="F10" s="17"/>
      <c r="G10" s="688"/>
      <c r="H10" s="18"/>
      <c r="I10" s="18"/>
      <c r="J10" s="18"/>
      <c r="K10" s="18"/>
      <c r="L10" s="18"/>
      <c r="M10" s="18"/>
      <c r="N10" s="18"/>
      <c r="O10" s="18"/>
      <c r="P10" s="18"/>
      <c r="Q10" s="18"/>
      <c r="R10" s="18"/>
      <c r="S10" s="18"/>
      <c r="T10" s="18"/>
      <c r="U10" s="18"/>
      <c r="V10" s="18"/>
      <c r="W10" s="18"/>
      <c r="X10" s="18"/>
      <c r="Y10" s="18"/>
      <c r="Z10" s="18"/>
    </row>
    <row r="11" spans="1:26" ht="27" customHeight="1">
      <c r="A11" s="688"/>
      <c r="B11" s="13"/>
      <c r="C11" s="14"/>
      <c r="D11" s="15"/>
      <c r="E11" s="16"/>
      <c r="F11" s="17"/>
      <c r="G11" s="688"/>
      <c r="H11" s="18"/>
      <c r="I11" s="18"/>
      <c r="J11" s="18"/>
      <c r="K11" s="18"/>
      <c r="L11" s="18"/>
      <c r="M11" s="18"/>
      <c r="N11" s="18"/>
      <c r="O11" s="18"/>
      <c r="P11" s="18"/>
      <c r="Q11" s="18"/>
      <c r="R11" s="18"/>
      <c r="S11" s="18"/>
      <c r="T11" s="18"/>
      <c r="U11" s="18"/>
      <c r="V11" s="18"/>
      <c r="W11" s="18"/>
      <c r="X11" s="18"/>
      <c r="Y11" s="18"/>
      <c r="Z11" s="18"/>
    </row>
    <row r="12" spans="1:26" ht="27" customHeight="1">
      <c r="A12" s="688"/>
      <c r="B12" s="13"/>
      <c r="C12" s="14" t="s">
        <v>11</v>
      </c>
      <c r="D12" s="15"/>
      <c r="E12" s="16" t="s">
        <v>12</v>
      </c>
      <c r="F12" s="17"/>
      <c r="G12" s="688"/>
      <c r="H12" s="18"/>
      <c r="I12" s="18"/>
      <c r="J12" s="18"/>
      <c r="K12" s="18"/>
      <c r="L12" s="18"/>
      <c r="M12" s="18"/>
      <c r="N12" s="18"/>
      <c r="O12" s="18"/>
      <c r="P12" s="18"/>
      <c r="Q12" s="18"/>
      <c r="R12" s="18"/>
      <c r="S12" s="18"/>
      <c r="T12" s="18"/>
      <c r="U12" s="18"/>
      <c r="V12" s="18"/>
      <c r="W12" s="18"/>
      <c r="X12" s="18"/>
      <c r="Y12" s="18"/>
      <c r="Z12" s="18"/>
    </row>
    <row r="13" spans="1:26" ht="27" customHeight="1">
      <c r="A13" s="688"/>
      <c r="B13" s="13"/>
      <c r="C13" s="14"/>
      <c r="D13" s="15"/>
      <c r="E13" s="16"/>
      <c r="F13" s="17"/>
      <c r="G13" s="688"/>
      <c r="H13" s="18"/>
      <c r="I13" s="18"/>
      <c r="J13" s="18"/>
      <c r="K13" s="18"/>
      <c r="L13" s="18"/>
      <c r="M13" s="18"/>
      <c r="N13" s="18"/>
      <c r="O13" s="18"/>
      <c r="P13" s="18"/>
      <c r="Q13" s="18"/>
      <c r="R13" s="18"/>
      <c r="S13" s="18"/>
      <c r="T13" s="18"/>
      <c r="U13" s="18"/>
      <c r="V13" s="18"/>
      <c r="W13" s="18"/>
      <c r="X13" s="18"/>
      <c r="Y13" s="18"/>
      <c r="Z13" s="18"/>
    </row>
    <row r="14" spans="1:26" ht="27" customHeight="1">
      <c r="A14" s="688"/>
      <c r="B14" s="13"/>
      <c r="C14" s="14" t="s">
        <v>13</v>
      </c>
      <c r="D14" s="15"/>
      <c r="E14" s="16" t="s">
        <v>14</v>
      </c>
      <c r="F14" s="17"/>
      <c r="G14" s="688"/>
      <c r="H14" s="18"/>
      <c r="I14" s="18"/>
      <c r="J14" s="18"/>
      <c r="K14" s="18"/>
      <c r="L14" s="18"/>
      <c r="M14" s="18"/>
      <c r="N14" s="18"/>
      <c r="O14" s="18"/>
      <c r="P14" s="18"/>
      <c r="Q14" s="18"/>
      <c r="R14" s="18"/>
      <c r="S14" s="18"/>
      <c r="T14" s="18"/>
      <c r="U14" s="18"/>
      <c r="V14" s="18"/>
      <c r="W14" s="18"/>
      <c r="X14" s="18"/>
      <c r="Y14" s="18"/>
      <c r="Z14" s="18"/>
    </row>
    <row r="15" spans="1:26" ht="27" customHeight="1">
      <c r="A15" s="688"/>
      <c r="B15" s="13"/>
      <c r="C15" s="14"/>
      <c r="D15" s="19"/>
      <c r="E15" s="16"/>
      <c r="F15" s="17"/>
      <c r="G15" s="688"/>
      <c r="H15" s="18"/>
      <c r="I15" s="18"/>
      <c r="J15" s="18"/>
      <c r="K15" s="18"/>
      <c r="L15" s="18"/>
      <c r="M15" s="18"/>
      <c r="N15" s="18"/>
      <c r="O15" s="18"/>
      <c r="P15" s="18"/>
      <c r="Q15" s="18"/>
      <c r="R15" s="18"/>
      <c r="S15" s="18"/>
      <c r="T15" s="18"/>
      <c r="U15" s="18"/>
      <c r="V15" s="18"/>
      <c r="W15" s="18"/>
      <c r="X15" s="18"/>
      <c r="Y15" s="18"/>
      <c r="Z15" s="18"/>
    </row>
    <row r="16" spans="1:26" ht="27" customHeight="1">
      <c r="A16" s="688"/>
      <c r="B16" s="13"/>
      <c r="C16" s="14" t="s">
        <v>15</v>
      </c>
      <c r="D16" s="19" t="s">
        <v>16</v>
      </c>
      <c r="E16" s="16"/>
      <c r="F16" s="17"/>
      <c r="G16" s="688"/>
      <c r="H16" s="18"/>
      <c r="I16" s="18"/>
      <c r="J16" s="18"/>
      <c r="K16" s="18"/>
      <c r="L16" s="18"/>
      <c r="M16" s="18"/>
      <c r="N16" s="18"/>
      <c r="O16" s="18"/>
      <c r="P16" s="18"/>
      <c r="Q16" s="18"/>
      <c r="R16" s="18"/>
      <c r="S16" s="18"/>
      <c r="T16" s="18"/>
      <c r="U16" s="18"/>
      <c r="V16" s="18"/>
      <c r="W16" s="18"/>
      <c r="X16" s="18"/>
      <c r="Y16" s="18"/>
      <c r="Z16" s="18"/>
    </row>
    <row r="17" spans="1:26" ht="27" customHeight="1">
      <c r="A17" s="688"/>
      <c r="B17" s="13"/>
      <c r="C17" s="14"/>
      <c r="D17" s="19"/>
      <c r="E17" s="16"/>
      <c r="F17" s="17"/>
      <c r="G17" s="688"/>
      <c r="H17" s="18"/>
      <c r="I17" s="18"/>
      <c r="J17" s="18"/>
      <c r="K17" s="18"/>
      <c r="L17" s="18"/>
      <c r="M17" s="18"/>
      <c r="N17" s="18"/>
      <c r="O17" s="18"/>
      <c r="P17" s="18"/>
      <c r="Q17" s="18"/>
      <c r="R17" s="18"/>
      <c r="S17" s="18"/>
      <c r="T17" s="18"/>
      <c r="U17" s="18"/>
      <c r="V17" s="18"/>
      <c r="W17" s="18"/>
      <c r="X17" s="18"/>
      <c r="Y17" s="18"/>
      <c r="Z17" s="18"/>
    </row>
    <row r="18" spans="1:26" ht="27" customHeight="1">
      <c r="A18" s="688"/>
      <c r="B18" s="13"/>
      <c r="C18" s="14" t="s">
        <v>17</v>
      </c>
      <c r="D18" s="19" t="s">
        <v>18</v>
      </c>
      <c r="E18" s="16"/>
      <c r="F18" s="17"/>
      <c r="G18" s="688"/>
      <c r="H18" s="18"/>
      <c r="I18" s="18"/>
      <c r="J18" s="18"/>
      <c r="K18" s="18"/>
      <c r="L18" s="18"/>
      <c r="M18" s="18"/>
      <c r="N18" s="18"/>
      <c r="O18" s="18"/>
      <c r="P18" s="18"/>
      <c r="Q18" s="18"/>
      <c r="R18" s="18"/>
      <c r="S18" s="18"/>
      <c r="T18" s="18"/>
      <c r="U18" s="18"/>
      <c r="V18" s="18"/>
      <c r="W18" s="18"/>
      <c r="X18" s="18"/>
      <c r="Y18" s="18"/>
      <c r="Z18" s="18"/>
    </row>
    <row r="19" spans="1:26" ht="12.75">
      <c r="A19" s="688"/>
      <c r="B19" s="20"/>
      <c r="C19" s="21"/>
      <c r="D19" s="22"/>
      <c r="E19" s="22"/>
      <c r="F19" s="23"/>
      <c r="G19" s="688"/>
    </row>
    <row r="20" spans="1:26" ht="12.75">
      <c r="A20" s="689"/>
      <c r="B20" s="688"/>
      <c r="C20" s="688"/>
      <c r="D20" s="688"/>
      <c r="E20" s="688"/>
      <c r="F20" s="688"/>
      <c r="G20" s="688"/>
    </row>
    <row r="21" spans="1:26" ht="15.75" customHeight="1">
      <c r="A21" s="688"/>
      <c r="B21" s="688"/>
      <c r="C21" s="688"/>
      <c r="D21" s="688"/>
      <c r="E21" s="688"/>
      <c r="F21" s="688"/>
      <c r="G21" s="688"/>
    </row>
    <row r="22" spans="1:26" ht="15.75" customHeight="1">
      <c r="A22" s="688"/>
      <c r="B22" s="688"/>
      <c r="C22" s="688"/>
      <c r="D22" s="688"/>
      <c r="E22" s="688"/>
      <c r="F22" s="688"/>
      <c r="G22" s="688"/>
    </row>
    <row r="23" spans="1:26" ht="15.75" customHeight="1">
      <c r="A23" s="688"/>
      <c r="B23" s="688"/>
      <c r="C23" s="688"/>
      <c r="D23" s="688"/>
      <c r="E23" s="688"/>
      <c r="F23" s="688"/>
      <c r="G23" s="688"/>
    </row>
    <row r="24" spans="1:26" ht="15.75" customHeight="1">
      <c r="A24" s="688"/>
      <c r="B24" s="688"/>
      <c r="C24" s="688"/>
      <c r="D24" s="688"/>
      <c r="E24" s="688"/>
      <c r="F24" s="688"/>
      <c r="G24" s="688"/>
    </row>
    <row r="25" spans="1:26" ht="15.75" customHeight="1">
      <c r="A25" s="688"/>
      <c r="B25" s="688"/>
      <c r="C25" s="688"/>
      <c r="D25" s="688"/>
      <c r="E25" s="688"/>
      <c r="F25" s="688"/>
      <c r="G25" s="688"/>
    </row>
    <row r="26" spans="1:26" ht="15.75" customHeight="1">
      <c r="A26" s="688"/>
      <c r="B26" s="688"/>
      <c r="C26" s="688"/>
      <c r="D26" s="688"/>
      <c r="E26" s="688"/>
      <c r="F26" s="688"/>
      <c r="G26" s="688"/>
    </row>
    <row r="27" spans="1:26" ht="15.75" customHeight="1">
      <c r="A27" s="688"/>
      <c r="B27" s="688"/>
      <c r="C27" s="688"/>
      <c r="D27" s="688"/>
      <c r="E27" s="688"/>
      <c r="F27" s="688"/>
      <c r="G27" s="688"/>
    </row>
    <row r="28" spans="1:26" ht="15.75" customHeight="1">
      <c r="A28" s="688"/>
      <c r="B28" s="688"/>
      <c r="C28" s="688"/>
      <c r="D28" s="688"/>
      <c r="E28" s="688"/>
      <c r="F28" s="688"/>
      <c r="G28" s="688"/>
    </row>
    <row r="29" spans="1:26" ht="15.75" customHeight="1">
      <c r="A29" s="688"/>
      <c r="B29" s="688"/>
      <c r="C29" s="688"/>
      <c r="D29" s="688"/>
      <c r="E29" s="688"/>
      <c r="F29" s="688"/>
      <c r="G29" s="688"/>
    </row>
    <row r="30" spans="1:26" ht="15.75" customHeight="1">
      <c r="A30" s="688"/>
      <c r="B30" s="688"/>
      <c r="C30" s="688"/>
      <c r="D30" s="688"/>
      <c r="E30" s="688"/>
      <c r="F30" s="688"/>
      <c r="G30" s="688"/>
    </row>
    <row r="31" spans="1:26" ht="15.75" customHeight="1">
      <c r="A31" s="688"/>
      <c r="B31" s="688"/>
      <c r="C31" s="688"/>
      <c r="D31" s="688"/>
      <c r="E31" s="688"/>
      <c r="F31" s="688"/>
      <c r="G31" s="688"/>
    </row>
    <row r="32" spans="1:26" ht="15.75" customHeight="1">
      <c r="A32" s="688"/>
      <c r="B32" s="688"/>
      <c r="C32" s="688"/>
      <c r="D32" s="688"/>
      <c r="E32" s="688"/>
      <c r="F32" s="688"/>
      <c r="G32" s="688"/>
    </row>
    <row r="33" spans="1:7" ht="15.75" customHeight="1">
      <c r="A33" s="688"/>
      <c r="B33" s="688"/>
      <c r="C33" s="688"/>
      <c r="D33" s="688"/>
      <c r="E33" s="688"/>
      <c r="F33" s="688"/>
      <c r="G33" s="688"/>
    </row>
    <row r="34" spans="1:7" ht="15.75" customHeight="1">
      <c r="A34" s="688"/>
      <c r="B34" s="688"/>
      <c r="C34" s="688"/>
      <c r="D34" s="688"/>
      <c r="E34" s="688"/>
      <c r="F34" s="688"/>
      <c r="G34" s="688"/>
    </row>
    <row r="35" spans="1:7" ht="15.75" customHeight="1">
      <c r="A35" s="688"/>
      <c r="B35" s="688"/>
      <c r="C35" s="688"/>
      <c r="D35" s="688"/>
      <c r="E35" s="688"/>
      <c r="F35" s="688"/>
      <c r="G35" s="688"/>
    </row>
    <row r="36" spans="1:7" ht="15.75" customHeight="1">
      <c r="A36" s="688"/>
      <c r="B36" s="688"/>
      <c r="C36" s="688"/>
      <c r="D36" s="688"/>
      <c r="E36" s="688"/>
      <c r="F36" s="688"/>
      <c r="G36" s="688"/>
    </row>
    <row r="37" spans="1:7" ht="15.75" customHeight="1">
      <c r="A37" s="688"/>
      <c r="B37" s="688"/>
      <c r="C37" s="688"/>
      <c r="D37" s="688"/>
      <c r="E37" s="688"/>
      <c r="F37" s="688"/>
      <c r="G37" s="688"/>
    </row>
    <row r="38" spans="1:7" ht="12.75">
      <c r="A38" s="2"/>
      <c r="B38" s="2"/>
      <c r="C38" s="2"/>
      <c r="D38" s="2"/>
      <c r="E38" s="2"/>
      <c r="F38" s="2"/>
      <c r="G38" s="2"/>
    </row>
    <row r="39" spans="1:7" ht="12.75">
      <c r="A39" s="2"/>
      <c r="B39" s="2"/>
      <c r="C39" s="2"/>
      <c r="D39" s="2"/>
      <c r="E39" s="2"/>
      <c r="F39" s="2"/>
      <c r="G39" s="2"/>
    </row>
    <row r="40" spans="1:7" ht="12.75">
      <c r="A40" s="2"/>
      <c r="B40" s="2"/>
      <c r="C40" s="2"/>
      <c r="D40" s="2"/>
      <c r="E40" s="2"/>
      <c r="F40" s="2"/>
      <c r="G40" s="2"/>
    </row>
    <row r="41" spans="1:7" ht="12.75">
      <c r="A41" s="2"/>
      <c r="B41" s="2"/>
      <c r="C41" s="2"/>
      <c r="D41" s="2"/>
      <c r="E41" s="2"/>
      <c r="F41" s="2"/>
      <c r="G41" s="2"/>
    </row>
    <row r="42" spans="1:7" ht="12.75">
      <c r="A42" s="2"/>
      <c r="B42" s="2"/>
      <c r="C42" s="2"/>
      <c r="D42" s="2"/>
      <c r="E42" s="2"/>
      <c r="F42" s="2"/>
      <c r="G42" s="2"/>
    </row>
    <row r="43" spans="1:7" ht="12.75">
      <c r="A43" s="2"/>
      <c r="B43" s="2"/>
      <c r="C43" s="2"/>
      <c r="D43" s="2"/>
      <c r="E43" s="2"/>
      <c r="F43" s="2"/>
      <c r="G43" s="2"/>
    </row>
    <row r="44" spans="1:7" ht="12.75">
      <c r="A44" s="2"/>
      <c r="B44" s="2"/>
      <c r="C44" s="2"/>
      <c r="D44" s="2"/>
      <c r="E44" s="2"/>
      <c r="F44" s="2"/>
      <c r="G44" s="2"/>
    </row>
    <row r="45" spans="1:7" ht="12.75">
      <c r="A45" s="2"/>
      <c r="B45" s="2"/>
      <c r="C45" s="2"/>
      <c r="D45" s="2"/>
      <c r="E45" s="2"/>
      <c r="F45" s="2"/>
      <c r="G45" s="2"/>
    </row>
    <row r="46" spans="1:7" ht="12.75">
      <c r="A46" s="2"/>
      <c r="B46" s="2"/>
      <c r="C46" s="2"/>
      <c r="D46" s="2"/>
      <c r="E46" s="2"/>
      <c r="F46" s="2"/>
      <c r="G46" s="2"/>
    </row>
    <row r="47" spans="1:7" ht="12.75">
      <c r="A47" s="2"/>
      <c r="B47" s="2"/>
      <c r="C47" s="2"/>
      <c r="D47" s="2"/>
      <c r="E47" s="2"/>
      <c r="F47" s="2"/>
      <c r="G47" s="2"/>
    </row>
    <row r="48" spans="1:7" ht="12.75">
      <c r="A48" s="2"/>
      <c r="B48" s="2"/>
      <c r="C48" s="2"/>
      <c r="D48" s="2"/>
      <c r="E48" s="2"/>
      <c r="F48" s="2"/>
      <c r="G48" s="2"/>
    </row>
    <row r="49" spans="1:7" ht="12.75">
      <c r="A49" s="2"/>
      <c r="B49" s="2"/>
      <c r="C49" s="2"/>
      <c r="D49" s="2"/>
      <c r="E49" s="2"/>
      <c r="F49" s="2"/>
      <c r="G49" s="2"/>
    </row>
    <row r="50" spans="1:7" ht="12.75">
      <c r="A50" s="2"/>
      <c r="B50" s="2"/>
      <c r="C50" s="2"/>
      <c r="D50" s="2"/>
      <c r="E50" s="2"/>
      <c r="F50" s="2"/>
      <c r="G50" s="2"/>
    </row>
    <row r="51" spans="1:7" ht="12.75">
      <c r="A51" s="2"/>
      <c r="B51" s="2"/>
      <c r="C51" s="2"/>
      <c r="D51" s="2"/>
      <c r="E51" s="2"/>
      <c r="F51" s="2"/>
      <c r="G51" s="2"/>
    </row>
    <row r="52" spans="1:7" ht="12.75">
      <c r="A52" s="2"/>
      <c r="B52" s="2"/>
      <c r="C52" s="2"/>
      <c r="D52" s="2"/>
      <c r="E52" s="2"/>
      <c r="F52" s="2"/>
      <c r="G52" s="2"/>
    </row>
    <row r="53" spans="1:7" ht="12.75">
      <c r="A53" s="2"/>
      <c r="B53" s="2"/>
      <c r="C53" s="2"/>
      <c r="D53" s="2"/>
      <c r="E53" s="2"/>
      <c r="F53" s="2"/>
      <c r="G53" s="2"/>
    </row>
    <row r="54" spans="1:7" ht="12.75">
      <c r="A54" s="2"/>
      <c r="B54" s="2"/>
      <c r="C54" s="2"/>
      <c r="D54" s="2"/>
      <c r="E54" s="2"/>
      <c r="F54" s="2"/>
      <c r="G54" s="2"/>
    </row>
    <row r="55" spans="1:7" ht="12.75">
      <c r="A55" s="2"/>
      <c r="B55" s="2"/>
      <c r="C55" s="2"/>
      <c r="D55" s="2"/>
      <c r="E55" s="2"/>
      <c r="F55" s="2"/>
      <c r="G55" s="2"/>
    </row>
    <row r="56" spans="1:7" ht="12.75">
      <c r="A56" s="2"/>
      <c r="B56" s="2"/>
      <c r="C56" s="2"/>
      <c r="D56" s="2"/>
      <c r="E56" s="2"/>
      <c r="F56" s="2"/>
      <c r="G56" s="2"/>
    </row>
    <row r="57" spans="1:7" ht="12.75">
      <c r="A57" s="2"/>
      <c r="B57" s="2"/>
      <c r="C57" s="2"/>
      <c r="D57" s="2"/>
      <c r="E57" s="2"/>
      <c r="F57" s="2"/>
      <c r="G57" s="2"/>
    </row>
    <row r="58" spans="1:7" ht="12.75">
      <c r="A58" s="2"/>
      <c r="B58" s="2"/>
      <c r="C58" s="2"/>
      <c r="D58" s="2"/>
      <c r="E58" s="2"/>
      <c r="F58" s="2"/>
      <c r="G58" s="2"/>
    </row>
    <row r="59" spans="1:7" ht="12.75">
      <c r="A59" s="2"/>
      <c r="B59" s="2"/>
      <c r="C59" s="2"/>
      <c r="D59" s="2"/>
      <c r="E59" s="2"/>
      <c r="F59" s="2"/>
      <c r="G59" s="2"/>
    </row>
    <row r="60" spans="1:7" ht="12.75">
      <c r="A60" s="2"/>
      <c r="B60" s="2"/>
      <c r="C60" s="2"/>
      <c r="D60" s="2"/>
      <c r="E60" s="2"/>
      <c r="F60" s="2"/>
      <c r="G60" s="2"/>
    </row>
    <row r="61" spans="1:7" ht="12.75">
      <c r="A61" s="2"/>
      <c r="B61" s="2"/>
      <c r="C61" s="2"/>
      <c r="D61" s="2"/>
      <c r="E61" s="2"/>
      <c r="F61" s="2"/>
      <c r="G61" s="2"/>
    </row>
    <row r="62" spans="1:7" ht="12.75">
      <c r="A62" s="2"/>
      <c r="B62" s="2"/>
      <c r="C62" s="2"/>
      <c r="D62" s="2"/>
      <c r="E62" s="2"/>
      <c r="F62" s="2"/>
      <c r="G62" s="2"/>
    </row>
    <row r="63" spans="1:7" ht="12.75">
      <c r="A63" s="2"/>
      <c r="B63" s="2"/>
      <c r="C63" s="2"/>
      <c r="D63" s="2"/>
      <c r="E63" s="2"/>
      <c r="F63" s="2"/>
      <c r="G63" s="2"/>
    </row>
    <row r="64" spans="1:7" ht="12.75">
      <c r="A64" s="2"/>
      <c r="B64" s="2"/>
      <c r="C64" s="2"/>
      <c r="D64" s="2"/>
      <c r="E64" s="2"/>
      <c r="F64" s="2"/>
      <c r="G64" s="2"/>
    </row>
    <row r="65" spans="1:7" ht="12.75">
      <c r="A65" s="2"/>
      <c r="B65" s="2"/>
      <c r="C65" s="2"/>
      <c r="D65" s="2"/>
      <c r="E65" s="2"/>
      <c r="F65" s="2"/>
      <c r="G65" s="2"/>
    </row>
    <row r="66" spans="1:7" ht="12.75">
      <c r="A66" s="2"/>
      <c r="B66" s="2"/>
      <c r="C66" s="2"/>
      <c r="D66" s="2"/>
      <c r="E66" s="2"/>
      <c r="F66" s="2"/>
      <c r="G66" s="2"/>
    </row>
    <row r="67" spans="1:7" ht="12.75">
      <c r="A67" s="2"/>
      <c r="B67" s="2"/>
      <c r="C67" s="2"/>
      <c r="D67" s="2"/>
      <c r="E67" s="2"/>
      <c r="F67" s="2"/>
      <c r="G67" s="2"/>
    </row>
    <row r="68" spans="1:7" ht="12.75">
      <c r="A68" s="2"/>
      <c r="B68" s="2"/>
      <c r="C68" s="2"/>
      <c r="D68" s="2"/>
      <c r="E68" s="2"/>
      <c r="F68" s="2"/>
      <c r="G68" s="2"/>
    </row>
    <row r="69" spans="1:7" ht="12.75">
      <c r="A69" s="2"/>
      <c r="B69" s="2"/>
      <c r="C69" s="2"/>
      <c r="D69" s="2"/>
      <c r="E69" s="2"/>
      <c r="F69" s="2"/>
      <c r="G69" s="2"/>
    </row>
    <row r="70" spans="1:7" ht="12.75">
      <c r="A70" s="2"/>
      <c r="B70" s="2"/>
      <c r="C70" s="2"/>
      <c r="D70" s="2"/>
      <c r="E70" s="2"/>
      <c r="F70" s="2"/>
      <c r="G70" s="2"/>
    </row>
    <row r="71" spans="1:7" ht="12.75">
      <c r="A71" s="2"/>
      <c r="B71" s="2"/>
      <c r="C71" s="2"/>
      <c r="D71" s="2"/>
      <c r="E71" s="2"/>
      <c r="F71" s="2"/>
      <c r="G71" s="2"/>
    </row>
    <row r="72" spans="1:7" ht="12.75">
      <c r="A72" s="2"/>
      <c r="B72" s="2"/>
      <c r="C72" s="2"/>
      <c r="D72" s="2"/>
      <c r="E72" s="2"/>
      <c r="F72" s="2"/>
      <c r="G72" s="2"/>
    </row>
    <row r="73" spans="1:7" ht="12.75">
      <c r="A73" s="2"/>
      <c r="B73" s="2"/>
      <c r="C73" s="2"/>
      <c r="D73" s="2"/>
      <c r="E73" s="2"/>
      <c r="F73" s="2"/>
      <c r="G73" s="2"/>
    </row>
    <row r="74" spans="1:7" ht="12.75">
      <c r="A74" s="2"/>
      <c r="B74" s="2"/>
      <c r="C74" s="2"/>
      <c r="D74" s="2"/>
      <c r="E74" s="2"/>
      <c r="F74" s="2"/>
      <c r="G74" s="2"/>
    </row>
  </sheetData>
  <mergeCells count="8">
    <mergeCell ref="A20:G37"/>
    <mergeCell ref="A1:F1"/>
    <mergeCell ref="G1:G19"/>
    <mergeCell ref="A2:A19"/>
    <mergeCell ref="E2:F2"/>
    <mergeCell ref="E3:F3"/>
    <mergeCell ref="E4:F4"/>
    <mergeCell ref="E5:F5"/>
  </mergeCells>
  <hyperlinks>
    <hyperlink ref="C6" location="Summary of County Progress re H!A1" display="1. Summary of County Progress re Housing Goals" xr:uid="{00000000-0004-0000-0000-000000000000}"/>
    <hyperlink ref="C8" location="Prorated Housing Progress by Co!A1" display="2. Prorated Housing Progress by County 2014 to 2019" xr:uid="{00000000-0004-0000-0000-000001000000}"/>
    <hyperlink ref="C10" location="Prorated Housing Progress by Ci!A1" display="3. Prorated Housing Progress by City thru 2019" xr:uid="{00000000-0004-0000-0000-000002000000}"/>
    <hyperlink ref="C12" location="5th Cycle Permits thru 2019 by !A1" display="4. 5th Cycle Permits thru 2019 by County and Year" xr:uid="{00000000-0004-0000-0000-000003000000}"/>
    <hyperlink ref="C14" location="HCD permit data thru 2019 - cle!A1" display="5. HCD permit data thru 2019 - cleaned" xr:uid="{00000000-0004-0000-0000-000004000000}"/>
    <hyperlink ref="C16" location="HCD 5th Cycle Raw Permit Data t!A1" display="6. HCD 5th cycle Raw Permit Data thru 2019" xr:uid="{00000000-0004-0000-0000-000005000000}"/>
    <hyperlink ref="C18" location="HCD Assigned 5th Cycle RHNA!A1" display="7. HCD Assigned 5th Cycle RHNA" xr:uid="{00000000-0004-0000-0000-000006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CEFAB"/>
    <outlinePr summaryBelow="0" summaryRight="0"/>
    <pageSetUpPr fitToPage="1"/>
  </sheetPr>
  <dimension ref="A1:AG937"/>
  <sheetViews>
    <sheetView workbookViewId="0"/>
  </sheetViews>
  <sheetFormatPr defaultColWidth="14.42578125" defaultRowHeight="15.75" customHeight="1"/>
  <cols>
    <col min="2" max="2" width="19.5703125" customWidth="1"/>
    <col min="4" max="4" width="18" customWidth="1"/>
    <col min="5" max="5" width="14.85546875" customWidth="1"/>
    <col min="9" max="9" width="6" customWidth="1"/>
    <col min="10" max="10" width="22.85546875" customWidth="1"/>
    <col min="17" max="17" width="6.42578125" customWidth="1"/>
    <col min="18" max="18" width="22.85546875" customWidth="1"/>
    <col min="25" max="25" width="8" customWidth="1"/>
    <col min="26" max="26" width="22.140625" customWidth="1"/>
    <col min="27" max="27" width="15.140625" customWidth="1"/>
    <col min="28" max="28" width="16.7109375" customWidth="1"/>
  </cols>
  <sheetData>
    <row r="1" spans="1:33">
      <c r="A1" s="688"/>
      <c r="B1" s="689" t="s">
        <v>19</v>
      </c>
      <c r="C1" s="688"/>
      <c r="D1" s="688"/>
      <c r="E1" s="688"/>
      <c r="F1" s="688"/>
      <c r="G1" s="688"/>
      <c r="H1" s="688"/>
      <c r="I1" s="688"/>
      <c r="J1" s="688"/>
      <c r="K1" s="688"/>
      <c r="L1" s="688"/>
      <c r="M1" s="688"/>
      <c r="N1" s="688"/>
      <c r="O1" s="688"/>
      <c r="P1" s="688"/>
      <c r="Q1" s="688"/>
      <c r="R1" s="688"/>
      <c r="S1" s="688"/>
      <c r="T1" s="688"/>
      <c r="U1" s="688"/>
      <c r="V1" s="688"/>
      <c r="W1" s="688"/>
      <c r="X1" s="688"/>
      <c r="Y1" s="688"/>
      <c r="Z1" s="688"/>
      <c r="AA1" s="688"/>
      <c r="AB1" s="688"/>
      <c r="AC1" s="688"/>
      <c r="AD1" s="688"/>
      <c r="AE1" s="688"/>
      <c r="AF1" s="688"/>
    </row>
    <row r="2" spans="1:33" ht="15.75" customHeight="1">
      <c r="A2" s="688"/>
      <c r="B2" s="688"/>
      <c r="C2" s="688"/>
      <c r="D2" s="688"/>
      <c r="E2" s="688"/>
      <c r="F2" s="688"/>
      <c r="G2" s="688"/>
      <c r="H2" s="688"/>
      <c r="I2" s="688"/>
      <c r="J2" s="688"/>
      <c r="K2" s="688"/>
      <c r="L2" s="688"/>
      <c r="M2" s="688"/>
      <c r="N2" s="688"/>
      <c r="O2" s="688"/>
      <c r="P2" s="688"/>
      <c r="Q2" s="688"/>
      <c r="R2" s="688"/>
      <c r="S2" s="688"/>
      <c r="T2" s="688"/>
      <c r="U2" s="688"/>
      <c r="V2" s="688"/>
      <c r="W2" s="688"/>
      <c r="X2" s="688"/>
      <c r="Y2" s="688"/>
      <c r="Z2" s="688"/>
      <c r="AA2" s="688"/>
      <c r="AB2" s="688"/>
      <c r="AC2" s="688"/>
      <c r="AD2" s="688"/>
      <c r="AE2" s="688"/>
      <c r="AF2" s="688"/>
    </row>
    <row r="3" spans="1:33" ht="15.75" customHeight="1">
      <c r="A3" s="688"/>
      <c r="B3" s="688"/>
      <c r="C3" s="688"/>
      <c r="D3" s="688"/>
      <c r="E3" s="688"/>
      <c r="F3" s="688"/>
      <c r="G3" s="688"/>
      <c r="H3" s="688"/>
      <c r="I3" s="688"/>
      <c r="J3" s="688"/>
      <c r="K3" s="688"/>
      <c r="L3" s="688"/>
      <c r="M3" s="688"/>
      <c r="N3" s="688"/>
      <c r="O3" s="688"/>
      <c r="P3" s="688"/>
      <c r="Q3" s="688"/>
      <c r="R3" s="688"/>
      <c r="S3" s="688"/>
      <c r="T3" s="688"/>
      <c r="U3" s="688"/>
      <c r="V3" s="688"/>
      <c r="W3" s="688"/>
      <c r="X3" s="688"/>
      <c r="Y3" s="688"/>
      <c r="Z3" s="688"/>
      <c r="AA3" s="688"/>
      <c r="AB3" s="688"/>
      <c r="AC3" s="688"/>
      <c r="AD3" s="688"/>
      <c r="AE3" s="688"/>
      <c r="AF3" s="688"/>
    </row>
    <row r="4" spans="1:33">
      <c r="A4" s="688"/>
      <c r="B4" s="704" t="s">
        <v>20</v>
      </c>
      <c r="C4" s="688"/>
      <c r="D4" s="688"/>
      <c r="E4" s="688"/>
      <c r="F4" s="688"/>
      <c r="G4" s="688"/>
      <c r="H4" s="688"/>
      <c r="I4" s="688"/>
      <c r="J4" s="705" t="s">
        <v>21</v>
      </c>
      <c r="K4" s="688"/>
      <c r="L4" s="688"/>
      <c r="M4" s="688"/>
      <c r="N4" s="688"/>
      <c r="O4" s="688"/>
      <c r="P4" s="688"/>
      <c r="Q4" s="688"/>
      <c r="R4" s="697" t="s">
        <v>22</v>
      </c>
      <c r="S4" s="688"/>
      <c r="T4" s="688"/>
      <c r="U4" s="688"/>
      <c r="V4" s="688"/>
      <c r="W4" s="688"/>
      <c r="X4" s="688"/>
      <c r="Y4" s="688"/>
      <c r="Z4" s="698" t="s">
        <v>23</v>
      </c>
      <c r="AA4" s="688"/>
      <c r="AB4" s="688"/>
      <c r="AC4" s="688"/>
      <c r="AD4" s="688"/>
      <c r="AE4" s="688"/>
      <c r="AF4" s="688"/>
    </row>
    <row r="5" spans="1:33" ht="15.75" customHeight="1">
      <c r="A5" s="688"/>
      <c r="B5" s="688"/>
      <c r="C5" s="688"/>
      <c r="D5" s="688"/>
      <c r="E5" s="688"/>
      <c r="F5" s="688"/>
      <c r="G5" s="688"/>
      <c r="H5" s="688"/>
      <c r="I5" s="688"/>
      <c r="J5" s="688"/>
      <c r="K5" s="688"/>
      <c r="L5" s="688"/>
      <c r="M5" s="688"/>
      <c r="N5" s="688"/>
      <c r="O5" s="688"/>
      <c r="P5" s="688"/>
      <c r="Q5" s="688"/>
      <c r="R5" s="688"/>
      <c r="S5" s="688"/>
      <c r="T5" s="688"/>
      <c r="U5" s="688"/>
      <c r="V5" s="688"/>
      <c r="W5" s="688"/>
      <c r="X5" s="688"/>
      <c r="Y5" s="688"/>
      <c r="Z5" s="688"/>
      <c r="AA5" s="688"/>
      <c r="AB5" s="688"/>
      <c r="AC5" s="688"/>
      <c r="AD5" s="688"/>
      <c r="AE5" s="688"/>
      <c r="AF5" s="688"/>
    </row>
    <row r="6" spans="1:33">
      <c r="A6" s="688"/>
      <c r="B6" s="699"/>
      <c r="C6" s="699"/>
      <c r="D6" s="699"/>
      <c r="E6" s="699"/>
      <c r="F6" s="699"/>
      <c r="G6" s="699"/>
      <c r="H6" s="699"/>
      <c r="I6" s="688"/>
      <c r="J6" s="699"/>
      <c r="K6" s="699"/>
      <c r="L6" s="699"/>
      <c r="M6" s="699"/>
      <c r="N6" s="699"/>
      <c r="O6" s="699"/>
      <c r="P6" s="699"/>
      <c r="Q6" s="688"/>
      <c r="R6" s="688"/>
      <c r="S6" s="688"/>
      <c r="T6" s="688"/>
      <c r="U6" s="688"/>
      <c r="V6" s="688"/>
      <c r="W6" s="688"/>
      <c r="X6" s="688"/>
      <c r="Y6" s="688"/>
      <c r="Z6" s="699"/>
      <c r="AA6" s="699"/>
      <c r="AB6" s="699"/>
      <c r="AC6" s="699"/>
      <c r="AD6" s="699"/>
      <c r="AE6" s="699"/>
      <c r="AF6" s="699"/>
    </row>
    <row r="7" spans="1:33">
      <c r="A7" s="688"/>
      <c r="B7" s="700" t="s">
        <v>24</v>
      </c>
      <c r="C7" s="688"/>
      <c r="D7" s="688"/>
      <c r="E7" s="688"/>
      <c r="F7" s="688"/>
      <c r="G7" s="688"/>
      <c r="H7" s="688"/>
      <c r="I7" s="688"/>
      <c r="J7" s="701"/>
      <c r="K7" s="688"/>
      <c r="L7" s="688"/>
      <c r="M7" s="25"/>
      <c r="N7" s="25"/>
      <c r="O7" s="25"/>
      <c r="P7" s="25"/>
      <c r="Q7" s="688"/>
      <c r="R7" s="706" t="s">
        <v>25</v>
      </c>
      <c r="S7" s="707"/>
      <c r="T7" s="707"/>
      <c r="U7" s="707"/>
      <c r="V7" s="707"/>
      <c r="W7" s="707"/>
      <c r="X7" s="707"/>
      <c r="Y7" s="688"/>
      <c r="Z7" s="26"/>
      <c r="AA7" s="27"/>
      <c r="AB7" s="27"/>
      <c r="AC7" s="27"/>
      <c r="AD7" s="27"/>
      <c r="AE7" s="27"/>
      <c r="AF7" s="27"/>
    </row>
    <row r="8" spans="1:33">
      <c r="A8" s="688"/>
      <c r="B8" s="28"/>
      <c r="C8" s="28"/>
      <c r="D8" s="29"/>
      <c r="E8" s="29"/>
      <c r="F8" s="29"/>
      <c r="G8" s="29"/>
      <c r="H8" s="29"/>
      <c r="I8" s="688"/>
      <c r="J8" s="25"/>
      <c r="K8" s="25"/>
      <c r="L8" s="30"/>
      <c r="M8" s="30"/>
      <c r="N8" s="30"/>
      <c r="O8" s="30"/>
      <c r="P8" s="30"/>
      <c r="Q8" s="688"/>
      <c r="R8" s="31"/>
      <c r="S8" s="32"/>
      <c r="T8" s="31"/>
      <c r="U8" s="31"/>
      <c r="V8" s="31"/>
      <c r="W8" s="31"/>
      <c r="X8" s="31"/>
      <c r="Y8" s="688"/>
      <c r="Z8" s="33"/>
      <c r="AA8" s="27"/>
      <c r="AB8" s="27"/>
      <c r="AC8" s="27"/>
      <c r="AD8" s="27"/>
      <c r="AE8" s="27"/>
      <c r="AF8" s="27"/>
    </row>
    <row r="9" spans="1:33">
      <c r="A9" s="688"/>
      <c r="B9" s="34" t="s">
        <v>26</v>
      </c>
      <c r="C9" s="35" t="s">
        <v>27</v>
      </c>
      <c r="D9" s="36" t="s">
        <v>28</v>
      </c>
      <c r="E9" s="36" t="s">
        <v>29</v>
      </c>
      <c r="F9" s="36" t="s">
        <v>30</v>
      </c>
      <c r="G9" s="36" t="s">
        <v>31</v>
      </c>
      <c r="H9" s="36" t="s">
        <v>32</v>
      </c>
      <c r="I9" s="688"/>
      <c r="J9" s="37" t="s">
        <v>26</v>
      </c>
      <c r="K9" s="38" t="s">
        <v>27</v>
      </c>
      <c r="L9" s="39" t="s">
        <v>28</v>
      </c>
      <c r="M9" s="39" t="s">
        <v>29</v>
      </c>
      <c r="N9" s="39" t="s">
        <v>30</v>
      </c>
      <c r="O9" s="39" t="s">
        <v>31</v>
      </c>
      <c r="P9" s="39" t="s">
        <v>32</v>
      </c>
      <c r="Q9" s="688"/>
      <c r="R9" s="40" t="s">
        <v>26</v>
      </c>
      <c r="S9" s="41" t="s">
        <v>27</v>
      </c>
      <c r="T9" s="42" t="s">
        <v>28</v>
      </c>
      <c r="U9" s="42" t="s">
        <v>29</v>
      </c>
      <c r="V9" s="42" t="s">
        <v>30</v>
      </c>
      <c r="W9" s="42" t="s">
        <v>31</v>
      </c>
      <c r="X9" s="42" t="s">
        <v>32</v>
      </c>
      <c r="Y9" s="688"/>
      <c r="Z9" s="43" t="s">
        <v>33</v>
      </c>
      <c r="AA9" s="44" t="s">
        <v>27</v>
      </c>
      <c r="AB9" s="45" t="s">
        <v>28</v>
      </c>
      <c r="AC9" s="45" t="s">
        <v>34</v>
      </c>
      <c r="AD9" s="45" t="s">
        <v>29</v>
      </c>
      <c r="AE9" s="45" t="s">
        <v>30</v>
      </c>
      <c r="AF9" s="45" t="s">
        <v>32</v>
      </c>
      <c r="AG9" s="688"/>
    </row>
    <row r="10" spans="1:33">
      <c r="A10" s="688"/>
      <c r="B10" s="46" t="s">
        <v>35</v>
      </c>
      <c r="C10" s="46">
        <f>'Prorated Housing Progress by Co'!S132</f>
        <v>141158</v>
      </c>
      <c r="D10" s="46">
        <f>'Prorated Housing Progress by Co'!N132</f>
        <v>134910</v>
      </c>
      <c r="E10" s="47">
        <f t="shared" ref="E10:E32" si="0">C10/D10</f>
        <v>1.0463123563857386</v>
      </c>
      <c r="F10" s="48">
        <f>'Prorated Housing Progress by Co'!W132</f>
        <v>2.1697263655644798</v>
      </c>
      <c r="G10" s="48">
        <f>'Prorated Housing Progress by Co'!V132</f>
        <v>0.15645805592543274</v>
      </c>
      <c r="H10" s="48">
        <f>'Prorated Housing Progress by Co'!U132</f>
        <v>0.23380363848481533</v>
      </c>
      <c r="I10" s="688"/>
      <c r="J10" s="49" t="s">
        <v>36</v>
      </c>
      <c r="K10" s="49">
        <f>'Prorated Housing Progress by Co'!S255</f>
        <v>73578</v>
      </c>
      <c r="L10" s="49">
        <f>'Prorated Housing Progress by Co'!N255</f>
        <v>141736</v>
      </c>
      <c r="M10" s="50">
        <f t="shared" ref="M10:M22" si="1">K10/L10</f>
        <v>0.51912005418524576</v>
      </c>
      <c r="N10" s="51">
        <f>'Prorated Housing Progress by Co'!W255</f>
        <v>1.053824314445521</v>
      </c>
      <c r="O10" s="51">
        <f>'Prorated Housing Progress by Co'!V255</f>
        <v>0.10044059442909417</v>
      </c>
      <c r="P10" s="51">
        <f>'Prorated Housing Progress by Co'!U255</f>
        <v>0.15856982523649191</v>
      </c>
      <c r="Q10" s="688"/>
      <c r="R10" s="52" t="s">
        <v>37</v>
      </c>
      <c r="S10" s="53">
        <f>'Prorated Housing Progress by Co'!S226</f>
        <v>33956</v>
      </c>
      <c r="T10" s="53">
        <f>'Prorated Housing Progress by Co'!N226</f>
        <v>76032</v>
      </c>
      <c r="U10" s="54">
        <f t="shared" ref="U10:U29" si="2">S10/T10</f>
        <v>0.44660143097643096</v>
      </c>
      <c r="V10" s="55">
        <f>'Prorated Housing Progress by Co'!W226</f>
        <v>0.8419648462021343</v>
      </c>
      <c r="W10" s="55">
        <f>'Prorated Housing Progress by Co'!V226</f>
        <v>0.40817800895824302</v>
      </c>
      <c r="X10" s="55">
        <f>'Prorated Housing Progress by Co'!U226</f>
        <v>4.8829541707879988E-2</v>
      </c>
      <c r="Y10" s="688"/>
      <c r="Z10" s="33"/>
      <c r="AA10" s="56"/>
      <c r="AB10" s="56"/>
      <c r="AC10" s="56"/>
      <c r="AD10" s="56"/>
      <c r="AE10" s="56"/>
      <c r="AF10" s="56"/>
      <c r="AG10" s="688"/>
    </row>
    <row r="11" spans="1:33">
      <c r="A11" s="688"/>
      <c r="B11" s="46" t="s">
        <v>38</v>
      </c>
      <c r="C11" s="46">
        <f>'Prorated Housing Progress by Co'!S296</f>
        <v>39581</v>
      </c>
      <c r="D11" s="46">
        <f>'Prorated Housing Progress by Co'!N296</f>
        <v>36775</v>
      </c>
      <c r="E11" s="47">
        <f t="shared" si="0"/>
        <v>1.0763018354860638</v>
      </c>
      <c r="F11" s="48">
        <f>'Prorated Housing Progress by Co'!W296</f>
        <v>2.1741201564166373</v>
      </c>
      <c r="G11" s="48">
        <f>'Prorated Housing Progress by Co'!V296</f>
        <v>0.87082706766917295</v>
      </c>
      <c r="H11" s="48">
        <f>'Prorated Housing Progress by Co'!U296</f>
        <v>0.20796632124352332</v>
      </c>
      <c r="I11" s="688"/>
      <c r="J11" s="57" t="s">
        <v>39</v>
      </c>
      <c r="K11" s="57">
        <f>'Prorated Housing Progress by Co'!S234</f>
        <v>25852</v>
      </c>
      <c r="L11" s="57">
        <f>'Prorated Housing Progress by Co'!N234</f>
        <v>43788</v>
      </c>
      <c r="M11" s="50">
        <f t="shared" si="1"/>
        <v>0.59039006120398285</v>
      </c>
      <c r="N11" s="58">
        <f>'Prorated Housing Progress by Co'!W234</f>
        <v>0.84394566486257028</v>
      </c>
      <c r="O11" s="58">
        <f>'Prorated Housing Progress by Co'!V234</f>
        <v>1.0470400393023827</v>
      </c>
      <c r="P11" s="58">
        <f>'Prorated Housing Progress by Co'!U234</f>
        <v>8.4642857142857145E-2</v>
      </c>
      <c r="Q11" s="688"/>
      <c r="R11" s="52" t="s">
        <v>40</v>
      </c>
      <c r="S11" s="53">
        <f>'Prorated Housing Progress by Co'!S108</f>
        <v>12347</v>
      </c>
      <c r="T11" s="53">
        <f>'Prorated Housing Progress by Co'!N108</f>
        <v>33836</v>
      </c>
      <c r="U11" s="54">
        <f t="shared" si="2"/>
        <v>0.36490719943255706</v>
      </c>
      <c r="V11" s="55">
        <f>'Prorated Housing Progress by Co'!W108</f>
        <v>0.45604849820887294</v>
      </c>
      <c r="W11" s="55">
        <f>'Prorated Housing Progress by Co'!V108</f>
        <v>0.90135327635327633</v>
      </c>
      <c r="X11" s="55">
        <f>'Prorated Housing Progress by Co'!U108</f>
        <v>4.8525977816695855E-2</v>
      </c>
      <c r="Y11" s="688"/>
      <c r="Z11" s="33" t="s">
        <v>41</v>
      </c>
      <c r="AA11" s="59">
        <f>'Prorated Housing Progress by Co'!S405</f>
        <v>146928</v>
      </c>
      <c r="AB11" s="60">
        <f>'Prorated Housing Progress by Co'!N405</f>
        <v>117500</v>
      </c>
      <c r="AC11" s="60">
        <f>'Prorated Housing Progress by Co'!R11+'Prorated Housing Progress by Co'!R53+'Prorated Housing Progress by Co'!R146+'Prorated Housing Progress by Co'!R192+'Prorated Housing Progress by Co'!R262+'Prorated Housing Progress by Co'!R282+'Prorated Housing Progress by Co'!R296+'Prorated Housing Progress by Co'!R330+'Prorated Housing Progress by Co'!R337</f>
        <v>116570</v>
      </c>
      <c r="AD11" s="61">
        <f>AA11/AB11</f>
        <v>1.2504510638297872</v>
      </c>
      <c r="AE11" s="61">
        <f>'Prorated Housing Progress by Co'!W405</f>
        <v>2.3621073961499492</v>
      </c>
      <c r="AF11" s="61">
        <f>'Prorated Housing Progress by Co'!U405</f>
        <v>0.36964304855825919</v>
      </c>
      <c r="AG11" s="688"/>
    </row>
    <row r="12" spans="1:33">
      <c r="A12" s="688"/>
      <c r="B12" s="46" t="s">
        <v>42</v>
      </c>
      <c r="C12" s="46">
        <f>'Prorated Housing Progress by Co'!S206</f>
        <v>65518</v>
      </c>
      <c r="D12" s="46">
        <f>'Prorated Housing Progress by Co'!N206</f>
        <v>28476</v>
      </c>
      <c r="E12" s="47">
        <f t="shared" si="0"/>
        <v>2.3008147211687033</v>
      </c>
      <c r="F12" s="48">
        <f>'Prorated Housing Progress by Co'!W206</f>
        <v>3.8061105561105562</v>
      </c>
      <c r="G12" s="48">
        <f>'Prorated Housing Progress by Co'!V206</f>
        <v>2.9990432453119018</v>
      </c>
      <c r="H12" s="48">
        <f>'Prorated Housing Progress by Co'!U206</f>
        <v>0.36288478452066841</v>
      </c>
      <c r="I12" s="688"/>
      <c r="J12" s="57" t="s">
        <v>43</v>
      </c>
      <c r="K12" s="57">
        <f>'Prorated Housing Progress by Co'!S247</f>
        <v>23419</v>
      </c>
      <c r="L12" s="57">
        <f>'Prorated Housing Progress by Co'!N247</f>
        <v>42906</v>
      </c>
      <c r="M12" s="50">
        <f t="shared" si="1"/>
        <v>0.54582109728243133</v>
      </c>
      <c r="N12" s="58">
        <f>'Prorated Housing Progress by Co'!W247</f>
        <v>0.96934929608690834</v>
      </c>
      <c r="O12" s="58">
        <f>'Prorated Housing Progress by Co'!V247</f>
        <v>0.51881515382659549</v>
      </c>
      <c r="P12" s="58">
        <f>'Prorated Housing Progress by Co'!U247</f>
        <v>0.10877750323567478</v>
      </c>
      <c r="Q12" s="688"/>
      <c r="R12" s="52" t="s">
        <v>44</v>
      </c>
      <c r="S12" s="53">
        <f>'Prorated Housing Progress by Co'!S268</f>
        <v>9414</v>
      </c>
      <c r="T12" s="53">
        <f>'Prorated Housing Progress by Co'!N268</f>
        <v>20180</v>
      </c>
      <c r="U12" s="54">
        <f t="shared" si="2"/>
        <v>0.46650148662041624</v>
      </c>
      <c r="V12" s="55">
        <f>'Prorated Housing Progress by Co'!W268</f>
        <v>0.84034195933456557</v>
      </c>
      <c r="W12" s="55">
        <f>'Prorated Housing Progress by Co'!V268</f>
        <v>4.8655343241330501E-2</v>
      </c>
      <c r="X12" s="55">
        <f>'Prorated Housing Progress by Co'!U268</f>
        <v>9.5720720720720714E-2</v>
      </c>
      <c r="Y12" s="688"/>
      <c r="Z12" s="33"/>
      <c r="AA12" s="59">
        <f>'Prorated Housing Progress by Co'!S406</f>
        <v>0</v>
      </c>
      <c r="AB12" s="60">
        <f>'Prorated Housing Progress by Co'!N406</f>
        <v>0</v>
      </c>
      <c r="AC12" s="61"/>
      <c r="AD12" s="61"/>
      <c r="AE12" s="61">
        <f>'Prorated Housing Progress by Co'!W406</f>
        <v>0</v>
      </c>
      <c r="AF12" s="61">
        <f>'Prorated Housing Progress by Co'!U406</f>
        <v>0</v>
      </c>
      <c r="AG12" s="688"/>
    </row>
    <row r="13" spans="1:33">
      <c r="A13" s="688"/>
      <c r="B13" s="46" t="s">
        <v>45</v>
      </c>
      <c r="C13" s="46">
        <f>'Prorated Housing Progress by Co'!S11</f>
        <v>40715</v>
      </c>
      <c r="D13" s="46">
        <f>'Prorated Housing Progress by Co'!N11</f>
        <v>27525</v>
      </c>
      <c r="E13" s="47">
        <f t="shared" si="0"/>
        <v>1.4792007266121707</v>
      </c>
      <c r="F13" s="48">
        <f>'Prorated Housing Progress by Co'!W11</f>
        <v>2.9424489795918367</v>
      </c>
      <c r="G13" s="48">
        <f>'Prorated Housing Progress by Co'!V11</f>
        <v>0.21291624621594349</v>
      </c>
      <c r="H13" s="48">
        <f>'Prorated Housing Progress by Co'!U11</f>
        <v>0.35012106537530269</v>
      </c>
      <c r="I13" s="688"/>
      <c r="J13" s="57" t="s">
        <v>46</v>
      </c>
      <c r="K13" s="57">
        <f>'Prorated Housing Progress by Co'!S74</f>
        <v>17416</v>
      </c>
      <c r="L13" s="57">
        <f>'Prorated Housing Progress by Co'!N74</f>
        <v>20736</v>
      </c>
      <c r="M13" s="50">
        <f t="shared" si="1"/>
        <v>0.83989197530864201</v>
      </c>
      <c r="N13" s="58">
        <f>'Prorated Housing Progress by Co'!W74</f>
        <v>1.2927321668909826</v>
      </c>
      <c r="O13" s="58">
        <f>'Prorated Housing Progress by Co'!V74</f>
        <v>1.3404704463208685</v>
      </c>
      <c r="P13" s="58">
        <f>'Prorated Housing Progress by Co'!U74</f>
        <v>0.1699200376293509</v>
      </c>
      <c r="Q13" s="688"/>
      <c r="R13" s="52" t="s">
        <v>47</v>
      </c>
      <c r="S13" s="53">
        <f>'Prorated Housing Progress by Co'!S165</f>
        <v>3461</v>
      </c>
      <c r="T13" s="53">
        <f>'Prorated Housing Progress by Co'!N165</f>
        <v>7924</v>
      </c>
      <c r="U13" s="54">
        <f t="shared" si="2"/>
        <v>0.43677435638566381</v>
      </c>
      <c r="V13" s="55">
        <f>'Prorated Housing Progress by Co'!W165</f>
        <v>0.91498216409036859</v>
      </c>
      <c r="W13" s="55">
        <f>'Prorated Housing Progress by Co'!V165</f>
        <v>0.21687697160883282</v>
      </c>
      <c r="X13" s="55">
        <f>'Prorated Housing Progress by Co'!U165</f>
        <v>3.2766990291262135E-2</v>
      </c>
      <c r="Y13" s="688"/>
      <c r="Z13" s="33" t="s">
        <v>48</v>
      </c>
      <c r="AA13" s="59">
        <f>'Prorated Housing Progress by Co'!S407</f>
        <v>273899</v>
      </c>
      <c r="AB13" s="60">
        <f>'Prorated Housing Progress by Co'!N407</f>
        <v>304254</v>
      </c>
      <c r="AC13" s="60">
        <f>'Prorated Housing Progress by Co'!R94+'Prorated Housing Progress by Co'!R132+'Prorated Housing Progress by Co'!R206+'Prorated Housing Progress by Co'!R226+'Prorated Housing Progress by Co'!R247+'Prorated Housing Progress by Co'!R385</f>
        <v>219574</v>
      </c>
      <c r="AD13" s="61">
        <f>AA13/AB13</f>
        <v>0.90023138561859495</v>
      </c>
      <c r="AE13" s="61">
        <f>'Prorated Housing Progress by Co'!W407</f>
        <v>1.7056109609469661</v>
      </c>
      <c r="AF13" s="61">
        <f>'Prorated Housing Progress by Co'!U407</f>
        <v>0.18535138051100977</v>
      </c>
      <c r="AG13" s="688"/>
    </row>
    <row r="14" spans="1:33">
      <c r="A14" s="688"/>
      <c r="B14" s="46" t="s">
        <v>49</v>
      </c>
      <c r="C14" s="46">
        <f>'Prorated Housing Progress by Co'!S262</f>
        <v>26929</v>
      </c>
      <c r="D14" s="46">
        <f>'Prorated Housing Progress by Co'!N262</f>
        <v>18045</v>
      </c>
      <c r="E14" s="47">
        <f t="shared" si="0"/>
        <v>1.4923247436963147</v>
      </c>
      <c r="F14" s="48">
        <f>'Prorated Housing Progress by Co'!W262</f>
        <v>2.5269942565411614</v>
      </c>
      <c r="G14" s="48">
        <f>'Prorated Housing Progress by Co'!V262</f>
        <v>0.55080527086383602</v>
      </c>
      <c r="H14" s="48">
        <f>'Prorated Housing Progress by Co'!U262</f>
        <v>0.77247976453274469</v>
      </c>
      <c r="I14" s="688"/>
      <c r="J14" s="57" t="s">
        <v>50</v>
      </c>
      <c r="K14" s="57">
        <f>'Prorated Housing Progress by Co'!S371</f>
        <v>7575</v>
      </c>
      <c r="L14" s="57">
        <f>'Prorated Housing Progress by Co'!N371</f>
        <v>13456</v>
      </c>
      <c r="M14" s="50">
        <f t="shared" si="1"/>
        <v>0.56294589774078474</v>
      </c>
      <c r="N14" s="58">
        <f>'Prorated Housing Progress by Co'!W371</f>
        <v>0.73674110258199577</v>
      </c>
      <c r="O14" s="58">
        <f>'Prorated Housing Progress by Co'!V371</f>
        <v>0.78671328671328666</v>
      </c>
      <c r="P14" s="58">
        <f>'Prorated Housing Progress by Co'!U371</f>
        <v>0.28550404709345106</v>
      </c>
      <c r="Q14" s="688"/>
      <c r="R14" s="52" t="s">
        <v>51</v>
      </c>
      <c r="S14" s="62">
        <f>'Prorated Housing Progress by Co'!S32</f>
        <v>3428</v>
      </c>
      <c r="T14" s="62">
        <f>'Prorated Housing Progress by Co'!N32</f>
        <v>7740</v>
      </c>
      <c r="U14" s="54">
        <f t="shared" si="2"/>
        <v>0.44289405684754524</v>
      </c>
      <c r="V14" s="63">
        <f>'Prorated Housing Progress by Co'!W32</f>
        <v>0.83515482695810561</v>
      </c>
      <c r="W14" s="63">
        <f>'Prorated Housing Progress by Co'!V32</f>
        <v>0.38473520249221183</v>
      </c>
      <c r="X14" s="63">
        <f>'Prorated Housing Progress by Co'!U32</f>
        <v>5.7874762808349148E-2</v>
      </c>
      <c r="Y14" s="688"/>
      <c r="Z14" s="33"/>
      <c r="AA14" s="59">
        <f>'Prorated Housing Progress by Co'!S408</f>
        <v>0</v>
      </c>
      <c r="AB14" s="60">
        <f>'Prorated Housing Progress by Co'!N408</f>
        <v>0</v>
      </c>
      <c r="AC14" s="61"/>
      <c r="AD14" s="61"/>
      <c r="AE14" s="61">
        <f>'Prorated Housing Progress by Co'!W408</f>
        <v>0</v>
      </c>
      <c r="AF14" s="61">
        <f>'Prorated Housing Progress by Co'!U408</f>
        <v>0</v>
      </c>
      <c r="AG14" s="688"/>
    </row>
    <row r="15" spans="1:33">
      <c r="A15" s="688"/>
      <c r="B15" s="46" t="s">
        <v>52</v>
      </c>
      <c r="C15" s="46">
        <f>'Prorated Housing Progress by Co'!S214</f>
        <v>13963</v>
      </c>
      <c r="D15" s="46">
        <f>'Prorated Housing Progress by Co'!N214</f>
        <v>16218</v>
      </c>
      <c r="E15" s="47">
        <f t="shared" si="0"/>
        <v>0.8609569614009126</v>
      </c>
      <c r="F15" s="48">
        <f>'Prorated Housing Progress by Co'!W214</f>
        <v>1.619120654396728</v>
      </c>
      <c r="G15" s="48">
        <f>'Prorated Housing Progress by Co'!V214</f>
        <v>1.3727634194831013</v>
      </c>
      <c r="H15" s="48">
        <f>'Prorated Housing Progress by Co'!U214</f>
        <v>4.3507910529187122E-2</v>
      </c>
      <c r="I15" s="688"/>
      <c r="J15" s="57" t="s">
        <v>53</v>
      </c>
      <c r="K15" s="57">
        <f>'Prorated Housing Progress by Co'!S385</f>
        <v>7808</v>
      </c>
      <c r="L15" s="57">
        <f>'Prorated Housing Progress by Co'!N385</f>
        <v>14370</v>
      </c>
      <c r="M15" s="50">
        <f t="shared" si="1"/>
        <v>0.5433542101600557</v>
      </c>
      <c r="N15" s="58">
        <f>'Prorated Housing Progress by Co'!W385</f>
        <v>0.749</v>
      </c>
      <c r="O15" s="58">
        <f>'Prorated Housing Progress by Co'!V385</f>
        <v>0.61700526711813397</v>
      </c>
      <c r="P15" s="58">
        <f>'Prorated Housing Progress by Co'!U385</f>
        <v>0.29337539432176657</v>
      </c>
      <c r="Q15" s="688"/>
      <c r="R15" s="52" t="s">
        <v>54</v>
      </c>
      <c r="S15" s="53">
        <f>'Prorated Housing Progress by Co'!S343</f>
        <v>3276</v>
      </c>
      <c r="T15" s="53">
        <f>'Prorated Housing Progress by Co'!N343</f>
        <v>10664</v>
      </c>
      <c r="U15" s="54">
        <f t="shared" si="2"/>
        <v>0.30720180045011253</v>
      </c>
      <c r="V15" s="55">
        <f>'Prorated Housing Progress by Co'!W343</f>
        <v>0.39392605633802819</v>
      </c>
      <c r="W15" s="55">
        <f>'Prorated Housing Progress by Co'!V343</f>
        <v>0.55119825708060999</v>
      </c>
      <c r="X15" s="55">
        <f>'Prorated Housing Progress by Co'!U343</f>
        <v>0.11054104477611941</v>
      </c>
      <c r="Y15" s="688"/>
      <c r="Z15" s="33" t="s">
        <v>55</v>
      </c>
      <c r="AA15" s="59">
        <f>'Prorated Housing Progress by Co'!S409</f>
        <v>73578</v>
      </c>
      <c r="AB15" s="60">
        <f>'Prorated Housing Progress by Co'!N409</f>
        <v>141736</v>
      </c>
      <c r="AC15" s="60">
        <f>'Prorated Housing Progress by Co'!R255</f>
        <v>61987</v>
      </c>
      <c r="AD15" s="61">
        <f>AA15/AB15</f>
        <v>0.51912005418524576</v>
      </c>
      <c r="AE15" s="61">
        <f>'Prorated Housing Progress by Co'!W409</f>
        <v>1.053824314445521</v>
      </c>
      <c r="AF15" s="61">
        <f>'Prorated Housing Progress by Co'!U409</f>
        <v>0.15856982523649191</v>
      </c>
      <c r="AG15" s="688"/>
    </row>
    <row r="16" spans="1:33">
      <c r="A16" s="688"/>
      <c r="B16" s="46" t="s">
        <v>56</v>
      </c>
      <c r="C16" s="46">
        <f>'Prorated Housing Progress by Co'!S53</f>
        <v>14532</v>
      </c>
      <c r="D16" s="46">
        <f>'Prorated Housing Progress by Co'!N53</f>
        <v>12895</v>
      </c>
      <c r="E16" s="47">
        <f t="shared" si="0"/>
        <v>1.1269484296238852</v>
      </c>
      <c r="F16" s="48">
        <f>'Prorated Housing Progress by Co'!W53</f>
        <v>2.1136612021857926</v>
      </c>
      <c r="G16" s="48">
        <f>'Prorated Housing Progress by Co'!V53</f>
        <v>0.68375286041189931</v>
      </c>
      <c r="H16" s="48">
        <f>'Prorated Housing Progress by Co'!U53</f>
        <v>0.27471264367816089</v>
      </c>
      <c r="I16" s="688"/>
      <c r="J16" s="57" t="s">
        <v>57</v>
      </c>
      <c r="K16" s="57">
        <f>'Prorated Housing Progress by Co'!S393</f>
        <v>4353</v>
      </c>
      <c r="L16" s="57">
        <f>'Prorated Housing Progress by Co'!N393</f>
        <v>8346</v>
      </c>
      <c r="M16" s="50">
        <f t="shared" si="1"/>
        <v>0.52156721782890003</v>
      </c>
      <c r="N16" s="58">
        <f>'Prorated Housing Progress by Co'!W393</f>
        <v>0.61502732240437163</v>
      </c>
      <c r="O16" s="58">
        <f>'Prorated Housing Progress by Co'!V393</f>
        <v>0.88481338481338478</v>
      </c>
      <c r="P16" s="58">
        <f>'Prorated Housing Progress by Co'!U393</f>
        <v>0.23167622689611217</v>
      </c>
      <c r="Q16" s="688"/>
      <c r="R16" s="52" t="s">
        <v>58</v>
      </c>
      <c r="S16" s="53">
        <f>'Prorated Housing Progress by Co'!S95</f>
        <v>2040</v>
      </c>
      <c r="T16" s="53">
        <f>'Prorated Housing Progress by Co'!N95</f>
        <v>7560</v>
      </c>
      <c r="U16" s="54">
        <f t="shared" si="2"/>
        <v>0.26984126984126983</v>
      </c>
      <c r="V16" s="55">
        <f>'Prorated Housing Progress by Co'!W95</f>
        <v>7.85024154589372E-2</v>
      </c>
      <c r="W16" s="55">
        <f>'Prorated Housing Progress by Co'!V95</f>
        <v>0.91450777202072542</v>
      </c>
      <c r="X16" s="55">
        <f>'Prorated Housing Progress by Co'!U95</f>
        <v>0.23378728923476005</v>
      </c>
      <c r="Y16" s="688"/>
      <c r="Z16" s="33"/>
      <c r="AA16" s="59">
        <f>'Prorated Housing Progress by Co'!S410</f>
        <v>0</v>
      </c>
      <c r="AB16" s="60">
        <f>'Prorated Housing Progress by Co'!N410</f>
        <v>0</v>
      </c>
      <c r="AC16" s="61"/>
      <c r="AD16" s="61"/>
      <c r="AE16" s="61">
        <f>'Prorated Housing Progress by Co'!W410</f>
        <v>0</v>
      </c>
      <c r="AF16" s="61">
        <f>'Prorated Housing Progress by Co'!U410</f>
        <v>0</v>
      </c>
      <c r="AG16" s="688"/>
    </row>
    <row r="17" spans="1:33">
      <c r="A17" s="688"/>
      <c r="B17" s="46" t="s">
        <v>59</v>
      </c>
      <c r="C17" s="46">
        <f>'Prorated Housing Progress by Co'!S282</f>
        <v>10087</v>
      </c>
      <c r="D17" s="46">
        <f>'Prorated Housing Progress by Co'!N282</f>
        <v>10260</v>
      </c>
      <c r="E17" s="47">
        <f t="shared" si="0"/>
        <v>0.9831384015594542</v>
      </c>
      <c r="F17" s="48">
        <f>'Prorated Housing Progress by Co'!W282</f>
        <v>1.9265104808877929</v>
      </c>
      <c r="G17" s="48">
        <f>'Prorated Housing Progress by Co'!V282</f>
        <v>0.32429378531073444</v>
      </c>
      <c r="H17" s="48">
        <f>'Prorated Housing Progress by Co'!U282</f>
        <v>0.38310810810810808</v>
      </c>
      <c r="I17" s="688"/>
      <c r="J17" s="57" t="s">
        <v>60</v>
      </c>
      <c r="K17" s="57">
        <f>'Prorated Housing Progress by Co'!S185</f>
        <v>3132</v>
      </c>
      <c r="L17" s="57">
        <f>'Prorated Housing Progress by Co'!N185</f>
        <v>4615</v>
      </c>
      <c r="M17" s="50">
        <f t="shared" si="1"/>
        <v>0.67865655471289277</v>
      </c>
      <c r="N17" s="58">
        <f>'Prorated Housing Progress by Co'!W185</f>
        <v>1.2583979328165376</v>
      </c>
      <c r="O17" s="58">
        <f>'Prorated Housing Progress by Co'!V185</f>
        <v>0.23550295857988165</v>
      </c>
      <c r="P17" s="58">
        <f>'Prorated Housing Progress by Co'!U185</f>
        <v>0.27065217391304347</v>
      </c>
      <c r="Q17" s="688"/>
      <c r="R17" s="52" t="s">
        <v>61</v>
      </c>
      <c r="S17" s="53">
        <f>'Prorated Housing Progress by Co'!S398</f>
        <v>794</v>
      </c>
      <c r="T17" s="53">
        <f>'Prorated Housing Progress by Co'!N398</f>
        <v>3924</v>
      </c>
      <c r="U17" s="54">
        <f t="shared" si="2"/>
        <v>0.20234454638124363</v>
      </c>
      <c r="V17" s="55">
        <f>'Prorated Housing Progress by Co'!W398</f>
        <v>0.45396270396270394</v>
      </c>
      <c r="W17" s="55">
        <f>'Prorated Housing Progress by Co'!V398</f>
        <v>1.366120218579235E-3</v>
      </c>
      <c r="X17" s="55">
        <f>'Prorated Housing Progress by Co'!U398</f>
        <v>1.8547959724430313E-3</v>
      </c>
      <c r="Y17" s="688"/>
      <c r="Z17" s="33" t="s">
        <v>62</v>
      </c>
      <c r="AA17" s="64">
        <f>'Prorated Housing Progress by Co'!S411</f>
        <v>50083</v>
      </c>
      <c r="AB17" s="65">
        <f>'Prorated Housing Progress by Co'!N411</f>
        <v>78726</v>
      </c>
      <c r="AC17" s="65">
        <f>'Prorated Housing Progress by Co'!R214+'Prorated Housing Progress by Co'!R234+'Prorated Housing Progress by Co'!R351+'Prorated Housing Progress by Co'!R393+'Prorated Housing Progress by Co'!R68</f>
        <v>32027</v>
      </c>
      <c r="AD17" s="61">
        <f>AA17/AB17</f>
        <v>0.63616848309326013</v>
      </c>
      <c r="AE17" s="61">
        <f>'Prorated Housing Progress by Co'!W411</f>
        <v>1.0015875923551323</v>
      </c>
      <c r="AF17" s="61">
        <f>'Prorated Housing Progress by Co'!U411</f>
        <v>7.7412456562416465E-2</v>
      </c>
      <c r="AG17" s="688"/>
    </row>
    <row r="18" spans="1:33">
      <c r="A18" s="688"/>
      <c r="B18" s="46" t="s">
        <v>63</v>
      </c>
      <c r="C18" s="46">
        <f>'Prorated Housing Progress by Co'!S337</f>
        <v>6321</v>
      </c>
      <c r="D18" s="46">
        <f>'Prorated Housing Progress by Co'!N337</f>
        <v>5280</v>
      </c>
      <c r="E18" s="47">
        <f t="shared" si="0"/>
        <v>1.197159090909091</v>
      </c>
      <c r="F18" s="48">
        <f>'Prorated Housing Progress by Co'!W337</f>
        <v>1.7597701149425287</v>
      </c>
      <c r="G18" s="48">
        <f>'Prorated Housing Progress by Co'!V337</f>
        <v>0.81065088757396453</v>
      </c>
      <c r="H18" s="48">
        <f>'Prorated Housing Progress by Co'!U337</f>
        <v>0.57307692307692304</v>
      </c>
      <c r="I18" s="688"/>
      <c r="J18" s="57" t="s">
        <v>64</v>
      </c>
      <c r="K18" s="57">
        <f>'Prorated Housing Progress by Co'!S199</f>
        <v>1551</v>
      </c>
      <c r="L18" s="57">
        <f>'Prorated Housing Progress by Co'!N199</f>
        <v>1840</v>
      </c>
      <c r="M18" s="50">
        <f t="shared" si="1"/>
        <v>0.8429347826086957</v>
      </c>
      <c r="N18" s="58">
        <f>'Prorated Housing Progress by Co'!W199</f>
        <v>1.2428571428571429</v>
      </c>
      <c r="O18" s="58">
        <f>'Prorated Housing Progress by Co'!V199</f>
        <v>0.61739130434782608</v>
      </c>
      <c r="P18" s="58">
        <f>'Prorated Housing Progress by Co'!U199</f>
        <v>0.52551724137931033</v>
      </c>
      <c r="Q18" s="688"/>
      <c r="R18" s="52" t="s">
        <v>65</v>
      </c>
      <c r="S18" s="53">
        <f>'Prorated Housing Progress by Co'!S112</f>
        <v>721</v>
      </c>
      <c r="T18" s="53">
        <f>'Prorated Housing Progress by Co'!N112</f>
        <v>3834</v>
      </c>
      <c r="U18" s="54">
        <f t="shared" si="2"/>
        <v>0.18805425143453314</v>
      </c>
      <c r="V18" s="55">
        <f>'Prorated Housing Progress by Co'!W112</f>
        <v>0.34378843788437885</v>
      </c>
      <c r="W18" s="55">
        <f>'Prorated Housing Progress by Co'!V112</f>
        <v>0.1339155749636099</v>
      </c>
      <c r="X18" s="55">
        <f>'Prorated Housing Progress by Co'!U112</f>
        <v>4.6022353714661408E-2</v>
      </c>
      <c r="Y18" s="688"/>
      <c r="Z18" s="66"/>
      <c r="AA18" s="59">
        <f t="shared" ref="AA18:AC18" si="3">AA11+AA13+AA15+AA17</f>
        <v>544488</v>
      </c>
      <c r="AB18" s="59">
        <f t="shared" si="3"/>
        <v>642216</v>
      </c>
      <c r="AC18" s="59">
        <f t="shared" si="3"/>
        <v>430158</v>
      </c>
      <c r="AD18" s="27"/>
      <c r="AE18" s="27"/>
      <c r="AF18" s="27"/>
      <c r="AG18" s="688"/>
    </row>
    <row r="19" spans="1:33">
      <c r="A19" s="688"/>
      <c r="B19" s="46" t="s">
        <v>66</v>
      </c>
      <c r="C19" s="46">
        <f>'Prorated Housing Progress by Co'!S330</f>
        <v>5601</v>
      </c>
      <c r="D19" s="46">
        <f>'Prorated Housing Progress by Co'!N330</f>
        <v>4360</v>
      </c>
      <c r="E19" s="47">
        <f t="shared" si="0"/>
        <v>1.2846330275229358</v>
      </c>
      <c r="F19" s="48">
        <f>'Prorated Housing Progress by Co'!W330</f>
        <v>1.9821256038647344</v>
      </c>
      <c r="G19" s="48">
        <f>'Prorated Housing Progress by Co'!V330</f>
        <v>1.8333333333333333</v>
      </c>
      <c r="H19" s="48">
        <f>'Prorated Housing Progress by Co'!U330</f>
        <v>0.1761467889908257</v>
      </c>
      <c r="I19" s="688"/>
      <c r="J19" s="57" t="s">
        <v>67</v>
      </c>
      <c r="K19" s="57">
        <f>'Prorated Housing Progress by Co'!S88</f>
        <v>1200</v>
      </c>
      <c r="L19" s="57">
        <f>'Prorated Housing Progress by Co'!N88</f>
        <v>2060</v>
      </c>
      <c r="M19" s="50">
        <f t="shared" si="1"/>
        <v>0.58252427184466016</v>
      </c>
      <c r="N19" s="58">
        <f>'Prorated Housing Progress by Co'!W88</f>
        <v>0.42471910112359551</v>
      </c>
      <c r="O19" s="58">
        <f>'Prorated Housing Progress by Co'!V88</f>
        <v>1.5628571428571429</v>
      </c>
      <c r="P19" s="58">
        <f>'Prorated Housing Progress by Co'!U88</f>
        <v>0.33536585365853661</v>
      </c>
      <c r="Q19" s="688"/>
      <c r="R19" s="52" t="s">
        <v>68</v>
      </c>
      <c r="S19" s="53">
        <f>'Prorated Housing Progress by Co'!S351</f>
        <v>545</v>
      </c>
      <c r="T19" s="53">
        <f>'Prorated Housing Progress by Co'!N351</f>
        <v>2598</v>
      </c>
      <c r="U19" s="54">
        <f t="shared" si="2"/>
        <v>0.20977675134719015</v>
      </c>
      <c r="V19" s="55">
        <f>'Prorated Housing Progress by Co'!W351</f>
        <v>0.26666666666666666</v>
      </c>
      <c r="W19" s="55">
        <f>'Prorated Housing Progress by Co'!V351</f>
        <v>0.32708333333333334</v>
      </c>
      <c r="X19" s="55">
        <f>'Prorated Housing Progress by Co'!U351</f>
        <v>9.6339113680154145E-2</v>
      </c>
      <c r="Y19" s="688"/>
      <c r="Z19" s="66"/>
      <c r="AA19" s="27"/>
      <c r="AB19" s="27"/>
      <c r="AC19" s="27"/>
      <c r="AD19" s="27"/>
      <c r="AE19" s="27"/>
      <c r="AF19" s="27"/>
      <c r="AG19" s="688"/>
    </row>
    <row r="20" spans="1:33">
      <c r="A20" s="688"/>
      <c r="B20" s="46" t="s">
        <v>69</v>
      </c>
      <c r="C20" s="46">
        <f>'Prorated Housing Progress by Co'!S289</f>
        <v>5908</v>
      </c>
      <c r="D20" s="46">
        <f>'Prorated Housing Progress by Co'!N289</f>
        <v>6895</v>
      </c>
      <c r="E20" s="47">
        <f t="shared" si="0"/>
        <v>0.85685279187817254</v>
      </c>
      <c r="F20" s="48">
        <f>'Prorated Housing Progress by Co'!W289</f>
        <v>1.3204225352112675</v>
      </c>
      <c r="G20" s="48">
        <f>'Prorated Housing Progress by Co'!V289</f>
        <v>0.95</v>
      </c>
      <c r="H20" s="48">
        <f>'Prorated Housing Progress by Co'!U289</f>
        <v>0.33945945945945943</v>
      </c>
      <c r="I20" s="688"/>
      <c r="J20" s="57" t="s">
        <v>70</v>
      </c>
      <c r="K20" s="57">
        <f>'Prorated Housing Progress by Co'!S39</f>
        <v>732</v>
      </c>
      <c r="L20" s="57">
        <f>'Prorated Housing Progress by Co'!N39</f>
        <v>1240</v>
      </c>
      <c r="M20" s="50">
        <f t="shared" si="1"/>
        <v>0.5903225806451613</v>
      </c>
      <c r="N20" s="58">
        <f>'Prorated Housing Progress by Co'!W39</f>
        <v>0.58518518518518514</v>
      </c>
      <c r="O20" s="58">
        <f>'Prorated Housing Progress by Co'!V39</f>
        <v>1.0136363636363637</v>
      </c>
      <c r="P20" s="58">
        <f>'Prorated Housing Progress by Co'!U39</f>
        <v>0.40208333333333335</v>
      </c>
      <c r="Q20" s="688"/>
      <c r="R20" s="52" t="s">
        <v>71</v>
      </c>
      <c r="S20" s="53">
        <f>'Prorated Housing Progress by Co'!S358</f>
        <v>390</v>
      </c>
      <c r="T20" s="53">
        <f>'Prorated Housing Progress by Co'!N358</f>
        <v>995</v>
      </c>
      <c r="U20" s="54">
        <f t="shared" si="2"/>
        <v>0.39195979899497485</v>
      </c>
      <c r="V20" s="55">
        <f>'Prorated Housing Progress by Co'!W358</f>
        <v>0.2635294117647059</v>
      </c>
      <c r="W20" s="55">
        <f>'Prorated Housing Progress by Co'!V358</f>
        <v>0.63783783783783787</v>
      </c>
      <c r="X20" s="55">
        <f>'Prorated Housing Progress by Co'!U358</f>
        <v>0.41558441558441561</v>
      </c>
      <c r="Y20" s="688"/>
      <c r="Z20" s="33" t="s">
        <v>72</v>
      </c>
      <c r="AA20" s="60">
        <f>'Prorated Housing Progress by Co'!S401</f>
        <v>630291</v>
      </c>
      <c r="AB20" s="60">
        <f>'Prorated Housing Progress by Co'!N401</f>
        <v>807234</v>
      </c>
      <c r="AC20" s="60">
        <f>'Prorated Housing Progress by Co'!R401</f>
        <v>486977</v>
      </c>
      <c r="AD20" s="27"/>
      <c r="AE20" s="27"/>
      <c r="AF20" s="27"/>
      <c r="AG20" s="688"/>
    </row>
    <row r="21" spans="1:33">
      <c r="A21" s="688"/>
      <c r="B21" s="46" t="s">
        <v>73</v>
      </c>
      <c r="C21" s="46">
        <f>'Prorated Housing Progress by Co'!S275</f>
        <v>5703</v>
      </c>
      <c r="D21" s="46">
        <f>'Prorated Housing Progress by Co'!N275</f>
        <v>4090</v>
      </c>
      <c r="E21" s="47">
        <f t="shared" si="0"/>
        <v>1.3943765281173595</v>
      </c>
      <c r="F21" s="48">
        <f>'Prorated Housing Progress by Co'!W275</f>
        <v>2.4994152046783626</v>
      </c>
      <c r="G21" s="48">
        <f>'Prorated Housing Progress by Co'!V275</f>
        <v>0.85277777777777775</v>
      </c>
      <c r="H21" s="48">
        <f>'Prorated Housing Progress by Co'!U275</f>
        <v>0.49096385542168675</v>
      </c>
      <c r="I21" s="688"/>
      <c r="J21" s="57" t="s">
        <v>74</v>
      </c>
      <c r="K21" s="57">
        <f>'Prorated Housing Progress by Co'!S60</f>
        <v>225</v>
      </c>
      <c r="L21" s="57">
        <f>'Prorated Housing Progress by Co'!N60</f>
        <v>310</v>
      </c>
      <c r="M21" s="50">
        <f t="shared" si="1"/>
        <v>0.72580645161290325</v>
      </c>
      <c r="N21" s="58">
        <f>'Prorated Housing Progress by Co'!W60</f>
        <v>0.77142857142857146</v>
      </c>
      <c r="O21" s="58">
        <f>'Prorated Housing Progress by Co'!V60</f>
        <v>0.95</v>
      </c>
      <c r="P21" s="58">
        <f>'Prorated Housing Progress by Co'!U60</f>
        <v>0.60769230769230764</v>
      </c>
      <c r="Q21" s="688"/>
      <c r="R21" s="52" t="s">
        <v>75</v>
      </c>
      <c r="S21" s="53">
        <f>'Prorated Housing Progress by Co'!S153</f>
        <v>306</v>
      </c>
      <c r="T21" s="53">
        <f>'Prorated Housing Progress by Co'!N153</f>
        <v>995</v>
      </c>
      <c r="U21" s="54">
        <f t="shared" si="2"/>
        <v>0.30753768844221108</v>
      </c>
      <c r="V21" s="55">
        <f>'Prorated Housing Progress by Co'!W153</f>
        <v>0.42857142857142855</v>
      </c>
      <c r="W21" s="55">
        <f>'Prorated Housing Progress by Co'!V153</f>
        <v>0.7</v>
      </c>
      <c r="X21" s="55">
        <f>'Prorated Housing Progress by Co'!U153</f>
        <v>0</v>
      </c>
      <c r="Y21" s="688"/>
      <c r="Z21" s="702" t="s">
        <v>76</v>
      </c>
      <c r="AA21" s="688"/>
      <c r="AB21" s="688"/>
      <c r="AC21" s="688"/>
      <c r="AD21" s="688"/>
      <c r="AE21" s="688"/>
      <c r="AF21" s="688"/>
      <c r="AG21" s="688"/>
    </row>
    <row r="22" spans="1:33">
      <c r="A22" s="688"/>
      <c r="B22" s="46" t="s">
        <v>77</v>
      </c>
      <c r="C22" s="46">
        <f>'Prorated Housing Progress by Co'!S68</f>
        <v>4576</v>
      </c>
      <c r="D22" s="46">
        <f>'Prorated Housing Progress by Co'!N68</f>
        <v>3852</v>
      </c>
      <c r="E22" s="47">
        <f t="shared" si="0"/>
        <v>1.1879543094496365</v>
      </c>
      <c r="F22" s="48">
        <f>'Prorated Housing Progress by Co'!W68</f>
        <v>2.577020202020202</v>
      </c>
      <c r="G22" s="48">
        <f>'Prorated Housing Progress by Co'!V68</f>
        <v>0.25210084033613445</v>
      </c>
      <c r="H22" s="48">
        <f>'Prorated Housing Progress by Co'!U68</f>
        <v>0.20205920205920205</v>
      </c>
      <c r="I22" s="688"/>
      <c r="J22" s="57" t="s">
        <v>78</v>
      </c>
      <c r="K22" s="57">
        <f>'Prorated Housing Progress by Co'!S18</f>
        <v>19</v>
      </c>
      <c r="L22" s="57">
        <f>'Prorated Housing Progress by Co'!N18</f>
        <v>30</v>
      </c>
      <c r="M22" s="50">
        <f t="shared" si="1"/>
        <v>0.6333333333333333</v>
      </c>
      <c r="N22" s="58">
        <f>'Prorated Housing Progress by Co'!W18</f>
        <v>1</v>
      </c>
      <c r="O22" s="58">
        <f>'Prorated Housing Progress by Co'!V18</f>
        <v>0.8</v>
      </c>
      <c r="P22" s="58">
        <f>'Prorated Housing Progress by Co'!U18</f>
        <v>0.33333333333333331</v>
      </c>
      <c r="Q22" s="688"/>
      <c r="R22" s="52" t="s">
        <v>79</v>
      </c>
      <c r="S22" s="53">
        <f>'Prorated Housing Progress by Co'!S378</f>
        <v>161</v>
      </c>
      <c r="T22" s="53">
        <f>'Prorated Housing Progress by Co'!N378</f>
        <v>550</v>
      </c>
      <c r="U22" s="54">
        <f t="shared" si="2"/>
        <v>0.29272727272727272</v>
      </c>
      <c r="V22" s="55">
        <f>'Prorated Housing Progress by Co'!W378</f>
        <v>0.5787234042553191</v>
      </c>
      <c r="W22" s="55">
        <f>'Prorated Housing Progress by Co'!V378</f>
        <v>0.09</v>
      </c>
      <c r="X22" s="55">
        <f>'Prorated Housing Progress by Co'!U378</f>
        <v>7.441860465116279E-2</v>
      </c>
      <c r="Y22" s="688"/>
      <c r="Z22" s="688"/>
      <c r="AA22" s="688"/>
      <c r="AB22" s="688"/>
      <c r="AC22" s="688"/>
      <c r="AD22" s="688"/>
      <c r="AE22" s="688"/>
      <c r="AF22" s="688"/>
      <c r="AG22" s="688"/>
    </row>
    <row r="23" spans="1:33">
      <c r="A23" s="688"/>
      <c r="B23" s="46" t="s">
        <v>80</v>
      </c>
      <c r="C23" s="46">
        <f>'Prorated Housing Progress by Co'!S309</f>
        <v>2241</v>
      </c>
      <c r="D23" s="46">
        <f>'Prorated Housing Progress by Co'!N309</f>
        <v>2200</v>
      </c>
      <c r="E23" s="47">
        <f t="shared" si="0"/>
        <v>1.0186363636363636</v>
      </c>
      <c r="F23" s="48">
        <f>'Prorated Housing Progress by Co'!W309</f>
        <v>1.4978723404255319</v>
      </c>
      <c r="G23" s="48">
        <f>'Prorated Housing Progress by Co'!V309</f>
        <v>1.1499999999999999</v>
      </c>
      <c r="H23" s="48">
        <f>'Prorated Housing Progress by Co'!U309</f>
        <v>0.45</v>
      </c>
      <c r="I23" s="688"/>
      <c r="J23" s="57"/>
      <c r="K23" s="57"/>
      <c r="L23" s="57"/>
      <c r="M23" s="57"/>
      <c r="N23" s="57"/>
      <c r="O23" s="57"/>
      <c r="P23" s="57"/>
      <c r="Q23" s="688"/>
      <c r="R23" s="52" t="s">
        <v>81</v>
      </c>
      <c r="S23" s="53">
        <f>'Prorated Housing Progress by Co'!S46</f>
        <v>140</v>
      </c>
      <c r="T23" s="53">
        <f>'Prorated Housing Progress by Co'!N46</f>
        <v>1160</v>
      </c>
      <c r="U23" s="54">
        <f t="shared" si="2"/>
        <v>0.1206896551724138</v>
      </c>
      <c r="V23" s="55">
        <f>'Prorated Housing Progress by Co'!W46</f>
        <v>0.10612244897959183</v>
      </c>
      <c r="W23" s="55">
        <f>'Prorated Housing Progress by Co'!V46</f>
        <v>0.34285714285714286</v>
      </c>
      <c r="X23" s="55">
        <f>'Prorated Housing Progress by Co'!U46</f>
        <v>3.4782608695652174E-2</v>
      </c>
      <c r="Y23" s="688"/>
      <c r="Z23" s="703"/>
      <c r="AA23" s="688"/>
      <c r="AB23" s="688"/>
      <c r="AC23" s="688"/>
      <c r="AD23" s="688"/>
      <c r="AE23" s="688"/>
      <c r="AF23" s="688"/>
      <c r="AG23" s="688"/>
    </row>
    <row r="24" spans="1:33">
      <c r="A24" s="688"/>
      <c r="B24" s="46" t="s">
        <v>82</v>
      </c>
      <c r="C24" s="46">
        <f>'Prorated Housing Progress by Co'!S302</f>
        <v>1656</v>
      </c>
      <c r="D24" s="46">
        <f>'Prorated Housing Progress by Co'!N302</f>
        <v>1905</v>
      </c>
      <c r="E24" s="47">
        <f t="shared" si="0"/>
        <v>0.86929133858267715</v>
      </c>
      <c r="F24" s="48">
        <f>'Prorated Housing Progress by Co'!W302</f>
        <v>1.0792452830188679</v>
      </c>
      <c r="G24" s="48">
        <f>'Prorated Housing Progress by Co'!V302</f>
        <v>1.3565217391304347</v>
      </c>
      <c r="H24" s="48">
        <f>'Prorated Housing Progress by Co'!U302</f>
        <v>0.43421052631578949</v>
      </c>
      <c r="I24" s="688"/>
      <c r="J24" s="57"/>
      <c r="K24" s="57"/>
      <c r="L24" s="57"/>
      <c r="M24" s="57"/>
      <c r="N24" s="57"/>
      <c r="O24" s="57"/>
      <c r="P24" s="57"/>
      <c r="Q24" s="688"/>
      <c r="R24" s="52" t="s">
        <v>83</v>
      </c>
      <c r="S24" s="53">
        <f>'Prorated Housing Progress by Co'!S102</f>
        <v>59</v>
      </c>
      <c r="T24" s="53">
        <f>'Prorated Housing Progress by Co'!N102</f>
        <v>270</v>
      </c>
      <c r="U24" s="54">
        <f t="shared" si="2"/>
        <v>0.21851851851851853</v>
      </c>
      <c r="V24" s="55">
        <f>'Prorated Housing Progress by Co'!W102</f>
        <v>0.375</v>
      </c>
      <c r="W24" s="55">
        <f>'Prorated Housing Progress by Co'!V102</f>
        <v>0.16666666666666666</v>
      </c>
      <c r="X24" s="55">
        <f>'Prorated Housing Progress by Co'!U102</f>
        <v>5.8823529411764705E-2</v>
      </c>
      <c r="Y24" s="688"/>
      <c r="Z24" s="688"/>
      <c r="AA24" s="688"/>
      <c r="AB24" s="688"/>
      <c r="AC24" s="688"/>
      <c r="AD24" s="688"/>
      <c r="AE24" s="688"/>
      <c r="AF24" s="688"/>
      <c r="AG24" s="688"/>
    </row>
    <row r="25" spans="1:33">
      <c r="A25" s="688"/>
      <c r="B25" s="46" t="s">
        <v>84</v>
      </c>
      <c r="C25" s="46">
        <f>'Prorated Housing Progress by Co'!S192</f>
        <v>1653</v>
      </c>
      <c r="D25" s="46">
        <f>'Prorated Housing Progress by Co'!N192</f>
        <v>925</v>
      </c>
      <c r="E25" s="47">
        <f t="shared" si="0"/>
        <v>1.787027027027027</v>
      </c>
      <c r="F25" s="48">
        <f>'Prorated Housing Progress by Co'!W192</f>
        <v>2.6952380952380954</v>
      </c>
      <c r="G25" s="48">
        <f>'Prorated Housing Progress by Co'!V192</f>
        <v>1.7666666666666666</v>
      </c>
      <c r="H25" s="48">
        <f>'Prorated Housing Progress by Co'!U192</f>
        <v>0.72112676056338032</v>
      </c>
      <c r="I25" s="688"/>
      <c r="J25" s="57"/>
      <c r="K25" s="49"/>
      <c r="L25" s="68"/>
      <c r="M25" s="68"/>
      <c r="N25" s="68"/>
      <c r="O25" s="68"/>
      <c r="P25" s="68"/>
      <c r="Q25" s="688"/>
      <c r="R25" s="52" t="s">
        <v>85</v>
      </c>
      <c r="S25" s="53">
        <f>'Prorated Housing Progress by Co'!S323</f>
        <v>32</v>
      </c>
      <c r="T25" s="53">
        <f>'Prorated Housing Progress by Co'!N323</f>
        <v>530</v>
      </c>
      <c r="U25" s="54">
        <f t="shared" si="2"/>
        <v>6.0377358490566038E-2</v>
      </c>
      <c r="V25" s="55">
        <f>'Prorated Housing Progress by Co'!W323</f>
        <v>9.8654708520179366E-2</v>
      </c>
      <c r="W25" s="55">
        <f>'Prorated Housing Progress by Co'!V323</f>
        <v>0.1</v>
      </c>
      <c r="X25" s="55">
        <f>'Prorated Housing Progress by Co'!U323</f>
        <v>4.5454545454545452E-3</v>
      </c>
      <c r="Y25" s="688"/>
      <c r="Z25" s="688"/>
      <c r="AA25" s="688"/>
      <c r="AB25" s="688"/>
      <c r="AC25" s="688"/>
      <c r="AD25" s="688"/>
      <c r="AE25" s="688"/>
      <c r="AF25" s="688"/>
      <c r="AG25" s="688"/>
    </row>
    <row r="26" spans="1:33">
      <c r="A26" s="688"/>
      <c r="B26" s="46" t="s">
        <v>86</v>
      </c>
      <c r="C26" s="46">
        <f>'Prorated Housing Progress by Co'!S146</f>
        <v>1509</v>
      </c>
      <c r="D26" s="46">
        <f>'Prorated Housing Progress by Co'!N146</f>
        <v>1435</v>
      </c>
      <c r="E26" s="47">
        <f t="shared" si="0"/>
        <v>1.0515679442508712</v>
      </c>
      <c r="F26" s="48">
        <f>'Prorated Housing Progress by Co'!W146</f>
        <v>1.6270270270270271</v>
      </c>
      <c r="G26" s="48">
        <f>'Prorated Housing Progress by Co'!V146</f>
        <v>0.60754716981132073</v>
      </c>
      <c r="H26" s="48">
        <f>'Prorated Housing Progress by Co'!U146</f>
        <v>0.72357723577235777</v>
      </c>
      <c r="I26" s="688"/>
      <c r="J26" s="69"/>
      <c r="K26" s="69"/>
      <c r="L26" s="69"/>
      <c r="M26" s="69"/>
      <c r="N26" s="69"/>
      <c r="O26" s="69"/>
      <c r="P26" s="69"/>
      <c r="Q26" s="688"/>
      <c r="R26" s="52" t="s">
        <v>87</v>
      </c>
      <c r="S26" s="53">
        <f>'Prorated Housing Progress by Co'!S125</f>
        <v>9</v>
      </c>
      <c r="T26" s="53">
        <f>'Prorated Housing Progress by Co'!N125</f>
        <v>70</v>
      </c>
      <c r="U26" s="54">
        <f t="shared" si="2"/>
        <v>0.12857142857142856</v>
      </c>
      <c r="V26" s="55">
        <f>'Prorated Housing Progress by Co'!W125</f>
        <v>0</v>
      </c>
      <c r="W26" s="55">
        <f>'Prorated Housing Progress by Co'!V125</f>
        <v>0.6</v>
      </c>
      <c r="X26" s="55">
        <f>'Prorated Housing Progress by Co'!U125</f>
        <v>0</v>
      </c>
      <c r="Y26" s="688"/>
      <c r="Z26" s="688"/>
      <c r="AA26" s="688"/>
      <c r="AB26" s="688"/>
      <c r="AC26" s="688"/>
      <c r="AD26" s="688"/>
      <c r="AE26" s="688"/>
      <c r="AF26" s="688"/>
      <c r="AG26" s="688"/>
    </row>
    <row r="27" spans="1:33">
      <c r="A27" s="688"/>
      <c r="B27" s="46" t="s">
        <v>88</v>
      </c>
      <c r="C27" s="46">
        <f>'Prorated Housing Progress by Co'!S240</f>
        <v>1300</v>
      </c>
      <c r="D27" s="46">
        <f>'Prorated Housing Progress by Co'!N240</f>
        <v>1096</v>
      </c>
      <c r="E27" s="47">
        <f t="shared" si="0"/>
        <v>1.1861313868613139</v>
      </c>
      <c r="F27" s="48">
        <f>'Prorated Housing Progress by Co'!W240</f>
        <v>2.5711206896551726</v>
      </c>
      <c r="G27" s="48">
        <f>'Prorated Housing Progress by Co'!V240</f>
        <v>0.49537037037037035</v>
      </c>
      <c r="H27" s="48">
        <f>'Prorated Housing Progress by Co'!U240</f>
        <v>0</v>
      </c>
      <c r="I27" s="688"/>
      <c r="J27" s="69"/>
      <c r="K27" s="69"/>
      <c r="L27" s="69"/>
      <c r="M27" s="69"/>
      <c r="N27" s="69"/>
      <c r="O27" s="69"/>
      <c r="P27" s="69"/>
      <c r="Q27" s="688"/>
      <c r="R27" s="52" t="s">
        <v>89</v>
      </c>
      <c r="S27" s="53">
        <f>'Prorated Housing Progress by Co'!S172</f>
        <v>6</v>
      </c>
      <c r="T27" s="53">
        <f>'Prorated Housing Progress by Co'!N172</f>
        <v>15</v>
      </c>
      <c r="U27" s="54">
        <f t="shared" si="2"/>
        <v>0.4</v>
      </c>
      <c r="V27" s="55">
        <f>'Prorated Housing Progress by Co'!W172</f>
        <v>0</v>
      </c>
      <c r="W27" s="55">
        <f>'Prorated Housing Progress by Co'!V172</f>
        <v>2</v>
      </c>
      <c r="X27" s="55">
        <f>'Prorated Housing Progress by Co'!U172</f>
        <v>0.4</v>
      </c>
      <c r="Y27" s="688"/>
      <c r="Z27" s="688"/>
      <c r="AA27" s="688"/>
      <c r="AB27" s="688"/>
      <c r="AC27" s="688"/>
      <c r="AD27" s="688"/>
      <c r="AE27" s="688"/>
      <c r="AF27" s="688"/>
      <c r="AG27" s="688"/>
    </row>
    <row r="28" spans="1:33">
      <c r="A28" s="688"/>
      <c r="B28" s="46" t="s">
        <v>90</v>
      </c>
      <c r="C28" s="46">
        <f>'Prorated Housing Progress by Co'!S25</f>
        <v>424</v>
      </c>
      <c r="D28" s="46">
        <f>'Prorated Housing Progress by Co'!N25</f>
        <v>100</v>
      </c>
      <c r="E28" s="47">
        <f t="shared" si="0"/>
        <v>4.24</v>
      </c>
      <c r="F28" s="48">
        <f>'Prorated Housing Progress by Co'!W25</f>
        <v>5.0232558139534884</v>
      </c>
      <c r="G28" s="48">
        <f>'Prorated Housing Progress by Co'!V25</f>
        <v>10.526315789473685</v>
      </c>
      <c r="H28" s="48">
        <f>'Prorated Housing Progress by Co'!U25</f>
        <v>0.21052631578947367</v>
      </c>
      <c r="I28" s="688"/>
      <c r="J28" s="70"/>
      <c r="K28" s="69"/>
      <c r="L28" s="69"/>
      <c r="M28" s="69"/>
      <c r="N28" s="69"/>
      <c r="O28" s="69"/>
      <c r="P28" s="69"/>
      <c r="Q28" s="688"/>
      <c r="R28" s="52" t="s">
        <v>91</v>
      </c>
      <c r="S28" s="53">
        <f>'Prorated Housing Progress by Co'!S365</f>
        <v>0</v>
      </c>
      <c r="T28" s="53">
        <f>'Prorated Housing Progress by Co'!N365</f>
        <v>11</v>
      </c>
      <c r="U28" s="54">
        <f t="shared" si="2"/>
        <v>0</v>
      </c>
      <c r="V28" s="55">
        <f>'Prorated Housing Progress by Co'!W365</f>
        <v>0</v>
      </c>
      <c r="W28" s="55">
        <f>'Prorated Housing Progress by Co'!V365</f>
        <v>0</v>
      </c>
      <c r="X28" s="55">
        <f>'Prorated Housing Progress by Co'!U365</f>
        <v>0</v>
      </c>
      <c r="Y28" s="688"/>
      <c r="Z28" s="688"/>
      <c r="AA28" s="688"/>
      <c r="AB28" s="688"/>
      <c r="AC28" s="688"/>
      <c r="AD28" s="688"/>
      <c r="AE28" s="688"/>
      <c r="AF28" s="688"/>
      <c r="AG28" s="688"/>
    </row>
    <row r="29" spans="1:33">
      <c r="A29" s="688"/>
      <c r="B29" s="46" t="s">
        <v>92</v>
      </c>
      <c r="C29" s="46">
        <f>'Prorated Housing Progress by Co'!S160</f>
        <v>399</v>
      </c>
      <c r="D29" s="46">
        <f>'Prorated Housing Progress by Co'!N160</f>
        <v>250</v>
      </c>
      <c r="E29" s="47">
        <f t="shared" si="0"/>
        <v>1.5960000000000001</v>
      </c>
      <c r="F29" s="48">
        <f>'Prorated Housing Progress by Co'!W160</f>
        <v>1.7454545454545454</v>
      </c>
      <c r="G29" s="48">
        <f>'Prorated Housing Progress by Co'!V160</f>
        <v>3</v>
      </c>
      <c r="H29" s="48">
        <f>'Prorated Housing Progress by Co'!U160</f>
        <v>0.87</v>
      </c>
      <c r="I29" s="688"/>
      <c r="J29" s="68"/>
      <c r="K29" s="49"/>
      <c r="L29" s="68"/>
      <c r="M29" s="68"/>
      <c r="N29" s="68"/>
      <c r="O29" s="68"/>
      <c r="P29" s="68"/>
      <c r="Q29" s="688"/>
      <c r="R29" s="52" t="s">
        <v>93</v>
      </c>
      <c r="S29" s="53">
        <f>'Prorated Housing Progress by Co'!S316</f>
        <v>0</v>
      </c>
      <c r="T29" s="53">
        <f>'Prorated Housing Progress by Co'!N316</f>
        <v>6</v>
      </c>
      <c r="U29" s="54">
        <f t="shared" si="2"/>
        <v>0</v>
      </c>
      <c r="V29" s="55">
        <f>'Prorated Housing Progress by Co'!W316</f>
        <v>0</v>
      </c>
      <c r="W29" s="55">
        <f>'Prorated Housing Progress by Co'!V316</f>
        <v>0</v>
      </c>
      <c r="X29" s="55">
        <f>'Prorated Housing Progress by Co'!U316</f>
        <v>0</v>
      </c>
      <c r="Y29" s="688"/>
      <c r="Z29" s="688"/>
      <c r="AA29" s="688"/>
      <c r="AB29" s="688"/>
      <c r="AC29" s="688"/>
      <c r="AD29" s="688"/>
      <c r="AE29" s="688"/>
      <c r="AF29" s="688"/>
      <c r="AG29" s="688"/>
    </row>
    <row r="30" spans="1:33">
      <c r="A30" s="688"/>
      <c r="B30" s="46" t="s">
        <v>94</v>
      </c>
      <c r="C30" s="46">
        <f>'Prorated Housing Progress by Co'!S179</f>
        <v>288</v>
      </c>
      <c r="D30" s="46">
        <f>'Prorated Housing Progress by Co'!N179</f>
        <v>120</v>
      </c>
      <c r="E30" s="47">
        <f t="shared" si="0"/>
        <v>2.4</v>
      </c>
      <c r="F30" s="48">
        <f>'Prorated Housing Progress by Co'!W179</f>
        <v>3.94</v>
      </c>
      <c r="G30" s="48">
        <f>'Prorated Housing Progress by Co'!V179</f>
        <v>2.6956521739130435</v>
      </c>
      <c r="H30" s="48">
        <f>'Prorated Housing Progress by Co'!U179</f>
        <v>0.64444444444444449</v>
      </c>
      <c r="I30" s="688"/>
      <c r="J30" s="68"/>
      <c r="K30" s="49"/>
      <c r="L30" s="68"/>
      <c r="M30" s="68"/>
      <c r="N30" s="68"/>
      <c r="O30" s="68"/>
      <c r="P30" s="68"/>
      <c r="Q30" s="688"/>
      <c r="R30" s="52"/>
      <c r="S30" s="53"/>
      <c r="T30" s="53"/>
      <c r="U30" s="53"/>
      <c r="V30" s="53"/>
      <c r="W30" s="53"/>
      <c r="X30" s="53"/>
      <c r="Y30" s="688"/>
      <c r="Z30" s="688"/>
      <c r="AA30" s="688"/>
      <c r="AB30" s="688"/>
      <c r="AC30" s="688"/>
      <c r="AD30" s="688"/>
      <c r="AE30" s="688"/>
      <c r="AF30" s="688"/>
      <c r="AG30" s="688"/>
    </row>
    <row r="31" spans="1:33">
      <c r="A31" s="688"/>
      <c r="B31" s="46" t="s">
        <v>95</v>
      </c>
      <c r="C31" s="46">
        <f>'Prorated Housing Progress by Co'!S81</f>
        <v>282</v>
      </c>
      <c r="D31" s="46">
        <f>'Prorated Housing Progress by Co'!N81</f>
        <v>260</v>
      </c>
      <c r="E31" s="47">
        <f t="shared" si="0"/>
        <v>1.0846153846153845</v>
      </c>
      <c r="F31" s="48">
        <f>'Prorated Housing Progress by Co'!W81</f>
        <v>0.43636363636363634</v>
      </c>
      <c r="G31" s="48">
        <f>'Prorated Housing Progress by Co'!V81</f>
        <v>1.56</v>
      </c>
      <c r="H31" s="48">
        <f>'Prorated Housing Progress by Co'!U81</f>
        <v>1.56</v>
      </c>
      <c r="I31" s="688"/>
      <c r="J31" s="49"/>
      <c r="K31" s="49"/>
      <c r="L31" s="68"/>
      <c r="M31" s="68"/>
      <c r="N31" s="68"/>
      <c r="O31" s="68"/>
      <c r="P31" s="68"/>
      <c r="Q31" s="688"/>
      <c r="R31" s="52"/>
      <c r="S31" s="53"/>
      <c r="T31" s="53"/>
      <c r="U31" s="53"/>
      <c r="V31" s="53"/>
      <c r="W31" s="53"/>
      <c r="X31" s="53"/>
      <c r="Y31" s="688"/>
      <c r="Z31" s="688"/>
      <c r="AA31" s="688"/>
      <c r="AB31" s="688"/>
      <c r="AC31" s="688"/>
      <c r="AD31" s="688"/>
      <c r="AE31" s="688"/>
      <c r="AF31" s="688"/>
      <c r="AG31" s="688"/>
    </row>
    <row r="32" spans="1:33">
      <c r="A32" s="688"/>
      <c r="B32" s="46" t="s">
        <v>96</v>
      </c>
      <c r="C32" s="46">
        <f>'Prorated Housing Progress by Co'!S219</f>
        <v>177</v>
      </c>
      <c r="D32" s="71">
        <f>'Prorated Housing Progress by Co'!N219</f>
        <v>70</v>
      </c>
      <c r="E32" s="47">
        <f t="shared" si="0"/>
        <v>2.5285714285714285</v>
      </c>
      <c r="F32" s="72">
        <f>'Prorated Housing Progress by Co'!W219</f>
        <v>4.333333333333333</v>
      </c>
      <c r="G32" s="72">
        <f>'Prorated Housing Progress by Co'!V219</f>
        <v>3.0666666666666669</v>
      </c>
      <c r="H32" s="72">
        <f>'Prorated Housing Progress by Co'!U219</f>
        <v>0.04</v>
      </c>
      <c r="I32" s="688"/>
      <c r="J32" s="69"/>
      <c r="K32" s="73"/>
      <c r="L32" s="73"/>
      <c r="M32" s="73"/>
      <c r="N32" s="73"/>
      <c r="O32" s="73"/>
      <c r="P32" s="73"/>
      <c r="Q32" s="688"/>
      <c r="R32" s="52"/>
      <c r="S32" s="53"/>
      <c r="T32" s="53"/>
      <c r="U32" s="53"/>
      <c r="V32" s="53"/>
      <c r="W32" s="53"/>
      <c r="X32" s="53"/>
      <c r="Y32" s="688"/>
      <c r="Z32" s="688"/>
      <c r="AA32" s="688"/>
      <c r="AB32" s="688"/>
      <c r="AC32" s="688"/>
      <c r="AD32" s="688"/>
      <c r="AE32" s="688"/>
      <c r="AF32" s="688"/>
      <c r="AG32" s="688"/>
    </row>
    <row r="33" spans="1:33">
      <c r="A33" s="688"/>
      <c r="B33" s="46"/>
      <c r="C33" s="46"/>
      <c r="D33" s="74"/>
      <c r="E33" s="47"/>
      <c r="F33" s="75"/>
      <c r="G33" s="75"/>
      <c r="H33" s="75"/>
      <c r="I33" s="688"/>
      <c r="J33" s="69"/>
      <c r="K33" s="73"/>
      <c r="L33" s="73"/>
      <c r="M33" s="73"/>
      <c r="N33" s="73"/>
      <c r="O33" s="73"/>
      <c r="P33" s="73"/>
      <c r="Q33" s="688"/>
      <c r="R33" s="76"/>
      <c r="S33" s="76"/>
      <c r="T33" s="53"/>
      <c r="U33" s="53"/>
      <c r="V33" s="53"/>
      <c r="W33" s="53"/>
      <c r="X33" s="53"/>
      <c r="Y33" s="688"/>
      <c r="Z33" s="688"/>
      <c r="AA33" s="688"/>
      <c r="AB33" s="688"/>
      <c r="AC33" s="688"/>
      <c r="AD33" s="688"/>
      <c r="AE33" s="688"/>
      <c r="AF33" s="688"/>
      <c r="AG33" s="688"/>
    </row>
    <row r="34" spans="1:33">
      <c r="A34" s="688"/>
      <c r="B34" s="46"/>
      <c r="C34" s="46"/>
      <c r="D34" s="74"/>
      <c r="E34" s="74"/>
      <c r="F34" s="74"/>
      <c r="G34" s="74"/>
      <c r="H34" s="74"/>
      <c r="I34" s="688"/>
      <c r="J34" s="77"/>
      <c r="K34" s="77"/>
      <c r="L34" s="77"/>
      <c r="M34" s="77"/>
      <c r="N34" s="77"/>
      <c r="O34" s="77"/>
      <c r="P34" s="77"/>
      <c r="Q34" s="688"/>
      <c r="R34" s="76"/>
      <c r="S34" s="76"/>
      <c r="T34" s="76"/>
      <c r="U34" s="76"/>
      <c r="V34" s="76"/>
      <c r="W34" s="76"/>
      <c r="X34" s="76"/>
      <c r="Y34" s="688"/>
      <c r="Z34" s="688"/>
      <c r="AA34" s="688"/>
      <c r="AB34" s="688"/>
      <c r="AC34" s="688"/>
      <c r="AD34" s="688"/>
      <c r="AE34" s="688"/>
      <c r="AF34" s="688"/>
      <c r="AG34" s="688"/>
    </row>
    <row r="35" spans="1:33">
      <c r="A35" s="688"/>
      <c r="B35" s="78"/>
      <c r="C35" s="46"/>
      <c r="D35" s="74"/>
      <c r="E35" s="74"/>
      <c r="F35" s="74"/>
      <c r="G35" s="74"/>
      <c r="H35" s="74"/>
      <c r="I35" s="688"/>
      <c r="J35" s="77"/>
      <c r="K35" s="77"/>
      <c r="L35" s="77"/>
      <c r="M35" s="77"/>
      <c r="N35" s="77"/>
      <c r="O35" s="77"/>
      <c r="P35" s="77"/>
      <c r="Q35" s="688"/>
      <c r="R35" s="76"/>
      <c r="S35" s="76"/>
      <c r="T35" s="76"/>
      <c r="U35" s="76"/>
      <c r="V35" s="76"/>
      <c r="W35" s="76"/>
      <c r="X35" s="76"/>
      <c r="Y35" s="688"/>
      <c r="Z35" s="688"/>
      <c r="AA35" s="688"/>
      <c r="AB35" s="688"/>
      <c r="AC35" s="688"/>
      <c r="AD35" s="688"/>
      <c r="AE35" s="688"/>
      <c r="AF35" s="688"/>
      <c r="AG35" s="688"/>
    </row>
    <row r="36" spans="1:33" ht="15.75" customHeight="1">
      <c r="A36" s="688"/>
      <c r="B36" s="688"/>
      <c r="C36" s="688"/>
      <c r="D36" s="688"/>
      <c r="E36" s="688"/>
      <c r="F36" s="688"/>
      <c r="G36" s="688"/>
      <c r="H36" s="688"/>
      <c r="I36" s="688"/>
      <c r="J36" s="688"/>
      <c r="K36" s="688"/>
      <c r="L36" s="688"/>
      <c r="M36" s="688"/>
      <c r="N36" s="688"/>
      <c r="O36" s="688"/>
      <c r="P36" s="688"/>
      <c r="Q36" s="688"/>
      <c r="R36" s="688"/>
      <c r="S36" s="688"/>
      <c r="T36" s="688"/>
      <c r="U36" s="688"/>
      <c r="V36" s="688"/>
      <c r="W36" s="688"/>
      <c r="X36" s="688"/>
      <c r="Y36" s="688"/>
      <c r="Z36" s="688"/>
      <c r="AA36" s="688"/>
      <c r="AB36" s="688"/>
      <c r="AC36" s="688"/>
      <c r="AD36" s="688"/>
      <c r="AE36" s="688"/>
      <c r="AF36" s="688"/>
      <c r="AG36" s="688"/>
    </row>
    <row r="37" spans="1:33" ht="15.75" customHeight="1">
      <c r="A37" s="688"/>
      <c r="B37" s="688"/>
      <c r="C37" s="688"/>
      <c r="D37" s="688"/>
      <c r="E37" s="688"/>
      <c r="F37" s="688"/>
      <c r="G37" s="688"/>
      <c r="H37" s="688"/>
      <c r="I37" s="688"/>
      <c r="J37" s="688"/>
      <c r="K37" s="688"/>
      <c r="L37" s="688"/>
      <c r="M37" s="688"/>
      <c r="N37" s="688"/>
      <c r="O37" s="688"/>
      <c r="P37" s="688"/>
      <c r="Q37" s="688"/>
      <c r="R37" s="688"/>
      <c r="S37" s="688"/>
      <c r="T37" s="688"/>
      <c r="U37" s="688"/>
      <c r="V37" s="688"/>
      <c r="W37" s="688"/>
      <c r="X37" s="688"/>
      <c r="Y37" s="688"/>
      <c r="Z37" s="688"/>
      <c r="AA37" s="688"/>
      <c r="AB37" s="688"/>
      <c r="AC37" s="688"/>
      <c r="AD37" s="688"/>
      <c r="AE37" s="688"/>
      <c r="AF37" s="688"/>
      <c r="AG37" s="688"/>
    </row>
    <row r="38" spans="1:33" ht="15.75" customHeight="1">
      <c r="A38" s="688"/>
      <c r="B38" s="688"/>
      <c r="C38" s="688"/>
      <c r="D38" s="688"/>
      <c r="E38" s="688"/>
      <c r="F38" s="688"/>
      <c r="G38" s="688"/>
      <c r="H38" s="688"/>
      <c r="I38" s="688"/>
      <c r="J38" s="688"/>
      <c r="K38" s="688"/>
      <c r="L38" s="688"/>
      <c r="M38" s="688"/>
      <c r="N38" s="688"/>
      <c r="O38" s="688"/>
      <c r="P38" s="688"/>
      <c r="Q38" s="688"/>
      <c r="R38" s="688"/>
      <c r="S38" s="688"/>
      <c r="T38" s="688"/>
      <c r="U38" s="688"/>
      <c r="V38" s="688"/>
      <c r="W38" s="688"/>
      <c r="X38" s="688"/>
      <c r="Y38" s="688"/>
      <c r="Z38" s="688"/>
      <c r="AA38" s="688"/>
      <c r="AB38" s="688"/>
      <c r="AC38" s="688"/>
      <c r="AD38" s="688"/>
      <c r="AE38" s="688"/>
      <c r="AF38" s="688"/>
      <c r="AG38" s="688"/>
    </row>
    <row r="39" spans="1:33" ht="15.75" customHeight="1">
      <c r="A39" s="688"/>
      <c r="B39" s="688"/>
      <c r="C39" s="688"/>
      <c r="D39" s="688"/>
      <c r="E39" s="688"/>
      <c r="F39" s="688"/>
      <c r="G39" s="688"/>
      <c r="H39" s="688"/>
      <c r="I39" s="688"/>
      <c r="J39" s="688"/>
      <c r="K39" s="688"/>
      <c r="L39" s="688"/>
      <c r="M39" s="688"/>
      <c r="N39" s="688"/>
      <c r="O39" s="688"/>
      <c r="P39" s="688"/>
      <c r="Q39" s="688"/>
      <c r="R39" s="688"/>
      <c r="S39" s="688"/>
      <c r="T39" s="688"/>
      <c r="U39" s="688"/>
      <c r="V39" s="688"/>
      <c r="W39" s="688"/>
      <c r="X39" s="688"/>
      <c r="Y39" s="688"/>
      <c r="Z39" s="688"/>
      <c r="AA39" s="688"/>
      <c r="AB39" s="688"/>
      <c r="AC39" s="688"/>
      <c r="AD39" s="688"/>
      <c r="AE39" s="688"/>
      <c r="AF39" s="688"/>
      <c r="AG39" s="688"/>
    </row>
    <row r="40" spans="1:33" ht="15.75" customHeight="1">
      <c r="B40" s="79"/>
      <c r="C40" s="79"/>
      <c r="D40" s="80"/>
      <c r="E40" s="80"/>
      <c r="F40" s="80"/>
      <c r="G40" s="80"/>
      <c r="H40" s="80"/>
      <c r="I40" s="81"/>
      <c r="J40" s="82"/>
      <c r="K40" s="83"/>
      <c r="L40" s="82"/>
      <c r="M40" s="82"/>
      <c r="N40" s="82"/>
      <c r="O40" s="82"/>
      <c r="P40" s="82"/>
      <c r="Q40" s="81"/>
      <c r="R40" s="79"/>
      <c r="S40" s="84"/>
      <c r="T40" s="79"/>
      <c r="U40" s="79"/>
      <c r="V40" s="79"/>
      <c r="W40" s="79"/>
      <c r="X40" s="79"/>
      <c r="Z40" s="85"/>
    </row>
    <row r="41" spans="1:33" ht="15.75" customHeight="1">
      <c r="B41" s="79"/>
      <c r="C41" s="79"/>
      <c r="D41" s="80"/>
      <c r="E41" s="80"/>
      <c r="F41" s="80"/>
      <c r="G41" s="80"/>
      <c r="H41" s="80"/>
      <c r="I41" s="81"/>
      <c r="J41" s="82"/>
      <c r="K41" s="83"/>
      <c r="L41" s="82"/>
      <c r="M41" s="82"/>
      <c r="N41" s="82"/>
      <c r="O41" s="82"/>
      <c r="P41" s="82"/>
      <c r="Q41" s="81"/>
      <c r="R41" s="79"/>
      <c r="S41" s="84"/>
      <c r="T41" s="79"/>
      <c r="U41" s="79"/>
      <c r="V41" s="79"/>
      <c r="W41" s="79"/>
      <c r="X41" s="79"/>
      <c r="Z41" s="85"/>
    </row>
    <row r="42" spans="1:33" ht="15.75" customHeight="1">
      <c r="B42" s="79"/>
      <c r="C42" s="79"/>
      <c r="D42" s="80"/>
      <c r="E42" s="80"/>
      <c r="F42" s="80"/>
      <c r="G42" s="80"/>
      <c r="H42" s="80"/>
      <c r="I42" s="81"/>
      <c r="J42" s="82"/>
      <c r="K42" s="83"/>
      <c r="L42" s="82"/>
      <c r="M42" s="82"/>
      <c r="N42" s="82"/>
      <c r="O42" s="82"/>
      <c r="P42" s="82"/>
      <c r="Q42" s="81"/>
      <c r="R42" s="79"/>
      <c r="S42" s="84"/>
      <c r="T42" s="79"/>
      <c r="U42" s="79"/>
      <c r="V42" s="79"/>
      <c r="W42" s="79"/>
      <c r="X42" s="79"/>
      <c r="Z42" s="85"/>
    </row>
    <row r="43" spans="1:33" ht="15.75" customHeight="1">
      <c r="B43" s="79"/>
      <c r="C43" s="79"/>
      <c r="D43" s="80"/>
      <c r="E43" s="80"/>
      <c r="F43" s="80"/>
      <c r="G43" s="80"/>
      <c r="H43" s="80"/>
      <c r="I43" s="81"/>
      <c r="J43" s="82"/>
      <c r="K43" s="83"/>
      <c r="L43" s="82"/>
      <c r="M43" s="82"/>
      <c r="N43" s="82"/>
      <c r="O43" s="82"/>
      <c r="P43" s="82"/>
      <c r="Q43" s="81"/>
      <c r="R43" s="79"/>
      <c r="S43" s="84"/>
      <c r="T43" s="79"/>
      <c r="U43" s="79"/>
      <c r="V43" s="79"/>
      <c r="W43" s="79"/>
      <c r="X43" s="79"/>
      <c r="Z43" s="85"/>
    </row>
    <row r="44" spans="1:33" ht="15.75" customHeight="1">
      <c r="B44" s="79"/>
      <c r="C44" s="79"/>
      <c r="D44" s="80"/>
      <c r="E44" s="80"/>
      <c r="F44" s="80"/>
      <c r="G44" s="80"/>
      <c r="H44" s="80"/>
      <c r="I44" s="81"/>
      <c r="J44" s="82"/>
      <c r="K44" s="83"/>
      <c r="L44" s="82"/>
      <c r="M44" s="82"/>
      <c r="N44" s="82"/>
      <c r="O44" s="82"/>
      <c r="P44" s="82"/>
      <c r="Q44" s="81"/>
      <c r="R44" s="79"/>
      <c r="S44" s="84"/>
      <c r="T44" s="79"/>
      <c r="U44" s="79"/>
      <c r="V44" s="79"/>
      <c r="W44" s="79"/>
      <c r="X44" s="79"/>
      <c r="Z44" s="85"/>
    </row>
    <row r="45" spans="1:33" ht="15.75" customHeight="1">
      <c r="B45" s="79"/>
      <c r="C45" s="79"/>
      <c r="D45" s="80"/>
      <c r="E45" s="80"/>
      <c r="F45" s="80"/>
      <c r="G45" s="80"/>
      <c r="H45" s="80"/>
      <c r="I45" s="81"/>
      <c r="J45" s="82"/>
      <c r="K45" s="83"/>
      <c r="L45" s="82"/>
      <c r="M45" s="82"/>
      <c r="N45" s="82"/>
      <c r="O45" s="82"/>
      <c r="P45" s="82"/>
      <c r="Q45" s="81"/>
      <c r="R45" s="79"/>
      <c r="S45" s="84"/>
      <c r="T45" s="79"/>
      <c r="U45" s="79"/>
      <c r="V45" s="79"/>
      <c r="W45" s="79"/>
      <c r="X45" s="79"/>
      <c r="Z45" s="85"/>
    </row>
    <row r="46" spans="1:33" ht="15.75" customHeight="1">
      <c r="B46" s="79"/>
      <c r="C46" s="79"/>
      <c r="D46" s="80"/>
      <c r="E46" s="80"/>
      <c r="F46" s="80"/>
      <c r="G46" s="80"/>
      <c r="H46" s="80"/>
      <c r="I46" s="81"/>
      <c r="J46" s="82"/>
      <c r="K46" s="83"/>
      <c r="L46" s="82"/>
      <c r="M46" s="82"/>
      <c r="N46" s="82"/>
      <c r="O46" s="82"/>
      <c r="P46" s="82"/>
      <c r="Q46" s="81"/>
      <c r="R46" s="79"/>
      <c r="S46" s="84"/>
      <c r="T46" s="79"/>
      <c r="U46" s="79"/>
      <c r="V46" s="79"/>
      <c r="W46" s="79"/>
      <c r="X46" s="79"/>
      <c r="Z46" s="85"/>
    </row>
    <row r="47" spans="1:33" ht="15.75" customHeight="1">
      <c r="B47" s="79"/>
      <c r="C47" s="79"/>
      <c r="D47" s="80"/>
      <c r="E47" s="80"/>
      <c r="F47" s="80"/>
      <c r="G47" s="80"/>
      <c r="H47" s="80"/>
      <c r="I47" s="81"/>
      <c r="J47" s="82"/>
      <c r="K47" s="83"/>
      <c r="L47" s="82"/>
      <c r="M47" s="82"/>
      <c r="N47" s="82"/>
      <c r="O47" s="82"/>
      <c r="P47" s="82"/>
      <c r="Q47" s="81"/>
      <c r="R47" s="79"/>
      <c r="S47" s="84"/>
      <c r="T47" s="79"/>
      <c r="U47" s="79"/>
      <c r="V47" s="79"/>
      <c r="W47" s="79"/>
      <c r="X47" s="79"/>
      <c r="Z47" s="85"/>
    </row>
    <row r="48" spans="1:33" ht="15.75" customHeight="1">
      <c r="B48" s="79"/>
      <c r="C48" s="79"/>
      <c r="D48" s="80"/>
      <c r="E48" s="80"/>
      <c r="F48" s="80"/>
      <c r="G48" s="80"/>
      <c r="H48" s="80"/>
      <c r="I48" s="81"/>
      <c r="J48" s="82"/>
      <c r="K48" s="83"/>
      <c r="L48" s="82"/>
      <c r="M48" s="82"/>
      <c r="N48" s="82"/>
      <c r="O48" s="82"/>
      <c r="P48" s="82"/>
      <c r="Q48" s="81"/>
      <c r="R48" s="79"/>
      <c r="S48" s="84"/>
      <c r="T48" s="79"/>
      <c r="U48" s="79"/>
      <c r="V48" s="79"/>
      <c r="W48" s="79"/>
      <c r="X48" s="79"/>
      <c r="Z48" s="85"/>
    </row>
    <row r="49" spans="2:26" ht="15.75" customHeight="1">
      <c r="B49" s="79"/>
      <c r="C49" s="79"/>
      <c r="D49" s="80"/>
      <c r="E49" s="80"/>
      <c r="F49" s="80"/>
      <c r="G49" s="80"/>
      <c r="H49" s="80"/>
      <c r="I49" s="81"/>
      <c r="J49" s="82"/>
      <c r="K49" s="83"/>
      <c r="L49" s="82"/>
      <c r="M49" s="82"/>
      <c r="N49" s="82"/>
      <c r="O49" s="82"/>
      <c r="P49" s="82"/>
      <c r="Q49" s="81"/>
      <c r="R49" s="79"/>
      <c r="S49" s="84"/>
      <c r="T49" s="79"/>
      <c r="U49" s="79"/>
      <c r="V49" s="79"/>
      <c r="W49" s="79"/>
      <c r="X49" s="79"/>
      <c r="Z49" s="85"/>
    </row>
    <row r="50" spans="2:26" ht="15.75" customHeight="1">
      <c r="B50" s="79"/>
      <c r="C50" s="79"/>
      <c r="D50" s="80"/>
      <c r="E50" s="80"/>
      <c r="F50" s="80"/>
      <c r="G50" s="80"/>
      <c r="H50" s="80"/>
      <c r="I50" s="81"/>
      <c r="J50" s="82"/>
      <c r="K50" s="83"/>
      <c r="L50" s="82"/>
      <c r="M50" s="82"/>
      <c r="N50" s="82"/>
      <c r="O50" s="82"/>
      <c r="P50" s="82"/>
      <c r="Q50" s="81"/>
      <c r="R50" s="79"/>
      <c r="S50" s="84"/>
      <c r="T50" s="79"/>
      <c r="U50" s="79"/>
      <c r="V50" s="79"/>
      <c r="W50" s="79"/>
      <c r="X50" s="79"/>
      <c r="Z50" s="85"/>
    </row>
    <row r="51" spans="2:26" ht="15.75" customHeight="1">
      <c r="B51" s="79"/>
      <c r="C51" s="79"/>
      <c r="D51" s="80"/>
      <c r="E51" s="80"/>
      <c r="F51" s="80"/>
      <c r="G51" s="80"/>
      <c r="H51" s="80"/>
      <c r="I51" s="81"/>
      <c r="J51" s="82"/>
      <c r="K51" s="83"/>
      <c r="L51" s="82"/>
      <c r="M51" s="82"/>
      <c r="N51" s="82"/>
      <c r="O51" s="82"/>
      <c r="P51" s="82"/>
      <c r="Q51" s="81"/>
      <c r="R51" s="79"/>
      <c r="S51" s="84"/>
      <c r="T51" s="79"/>
      <c r="U51" s="79"/>
      <c r="V51" s="79"/>
      <c r="W51" s="79"/>
      <c r="X51" s="79"/>
      <c r="Z51" s="85"/>
    </row>
    <row r="52" spans="2:26" ht="15.75" customHeight="1">
      <c r="B52" s="79"/>
      <c r="C52" s="79"/>
      <c r="D52" s="80"/>
      <c r="E52" s="80"/>
      <c r="F52" s="80"/>
      <c r="G52" s="80"/>
      <c r="H52" s="80"/>
      <c r="I52" s="81"/>
      <c r="J52" s="82"/>
      <c r="K52" s="83"/>
      <c r="L52" s="82"/>
      <c r="M52" s="82"/>
      <c r="N52" s="82"/>
      <c r="O52" s="82"/>
      <c r="P52" s="82"/>
      <c r="Q52" s="81"/>
      <c r="R52" s="79"/>
      <c r="S52" s="84"/>
      <c r="T52" s="79"/>
      <c r="U52" s="79"/>
      <c r="V52" s="79"/>
      <c r="W52" s="79"/>
      <c r="X52" s="79"/>
      <c r="Z52" s="85"/>
    </row>
    <row r="53" spans="2:26" ht="15.75" customHeight="1">
      <c r="B53" s="79"/>
      <c r="C53" s="79"/>
      <c r="D53" s="80"/>
      <c r="E53" s="80"/>
      <c r="F53" s="80"/>
      <c r="G53" s="80"/>
      <c r="H53" s="80"/>
      <c r="I53" s="81"/>
      <c r="J53" s="82"/>
      <c r="K53" s="83"/>
      <c r="L53" s="82"/>
      <c r="M53" s="82"/>
      <c r="N53" s="82"/>
      <c r="O53" s="82"/>
      <c r="P53" s="82"/>
      <c r="Q53" s="81"/>
      <c r="R53" s="79"/>
      <c r="S53" s="84"/>
      <c r="T53" s="79"/>
      <c r="U53" s="79"/>
      <c r="V53" s="79"/>
      <c r="W53" s="79"/>
      <c r="X53" s="79"/>
      <c r="Z53" s="85"/>
    </row>
    <row r="54" spans="2:26" ht="15.75" customHeight="1">
      <c r="B54" s="79"/>
      <c r="C54" s="79"/>
      <c r="D54" s="80"/>
      <c r="E54" s="80"/>
      <c r="F54" s="80"/>
      <c r="G54" s="80"/>
      <c r="H54" s="80"/>
      <c r="I54" s="81"/>
      <c r="J54" s="82"/>
      <c r="K54" s="83"/>
      <c r="L54" s="82"/>
      <c r="M54" s="82"/>
      <c r="N54" s="82"/>
      <c r="O54" s="82"/>
      <c r="P54" s="82"/>
      <c r="Q54" s="81"/>
      <c r="R54" s="79"/>
      <c r="S54" s="84"/>
      <c r="T54" s="79"/>
      <c r="U54" s="79"/>
      <c r="V54" s="79"/>
      <c r="W54" s="79"/>
      <c r="X54" s="79"/>
      <c r="Z54" s="85"/>
    </row>
    <row r="55" spans="2:26" ht="15.75" customHeight="1">
      <c r="B55" s="79"/>
      <c r="C55" s="79"/>
      <c r="D55" s="80"/>
      <c r="E55" s="80"/>
      <c r="F55" s="80"/>
      <c r="G55" s="80"/>
      <c r="H55" s="80"/>
      <c r="I55" s="81"/>
      <c r="J55" s="82"/>
      <c r="K55" s="83"/>
      <c r="L55" s="82"/>
      <c r="M55" s="82"/>
      <c r="N55" s="82"/>
      <c r="O55" s="82"/>
      <c r="P55" s="82"/>
      <c r="Q55" s="81"/>
      <c r="R55" s="79"/>
      <c r="S55" s="84"/>
      <c r="T55" s="79"/>
      <c r="U55" s="79"/>
      <c r="V55" s="79"/>
      <c r="W55" s="79"/>
      <c r="X55" s="79"/>
      <c r="Z55" s="85"/>
    </row>
    <row r="56" spans="2:26" ht="15.75" customHeight="1">
      <c r="B56" s="79"/>
      <c r="C56" s="79"/>
      <c r="D56" s="80"/>
      <c r="E56" s="80"/>
      <c r="F56" s="80"/>
      <c r="G56" s="80"/>
      <c r="H56" s="80"/>
      <c r="I56" s="81"/>
      <c r="J56" s="82"/>
      <c r="K56" s="83"/>
      <c r="L56" s="82"/>
      <c r="M56" s="82"/>
      <c r="N56" s="82"/>
      <c r="O56" s="82"/>
      <c r="P56" s="82"/>
      <c r="Q56" s="81"/>
      <c r="R56" s="79"/>
      <c r="S56" s="84"/>
      <c r="T56" s="79"/>
      <c r="U56" s="79"/>
      <c r="V56" s="79"/>
      <c r="W56" s="79"/>
      <c r="X56" s="79"/>
      <c r="Z56" s="85"/>
    </row>
    <row r="57" spans="2:26" ht="15.75" customHeight="1">
      <c r="B57" s="79"/>
      <c r="C57" s="79"/>
      <c r="D57" s="80"/>
      <c r="E57" s="80"/>
      <c r="F57" s="80"/>
      <c r="G57" s="80"/>
      <c r="H57" s="80"/>
      <c r="I57" s="81"/>
      <c r="J57" s="82"/>
      <c r="K57" s="83"/>
      <c r="L57" s="82"/>
      <c r="M57" s="82"/>
      <c r="N57" s="82"/>
      <c r="O57" s="82"/>
      <c r="P57" s="82"/>
      <c r="Q57" s="81"/>
      <c r="R57" s="79"/>
      <c r="S57" s="84"/>
      <c r="T57" s="79"/>
      <c r="U57" s="79"/>
      <c r="V57" s="79"/>
      <c r="W57" s="79"/>
      <c r="X57" s="79"/>
      <c r="Z57" s="85"/>
    </row>
    <row r="58" spans="2:26" ht="15.75" customHeight="1">
      <c r="B58" s="79"/>
      <c r="C58" s="79"/>
      <c r="D58" s="80"/>
      <c r="E58" s="80"/>
      <c r="F58" s="80"/>
      <c r="G58" s="80"/>
      <c r="H58" s="80"/>
      <c r="I58" s="81"/>
      <c r="J58" s="82"/>
      <c r="K58" s="83"/>
      <c r="L58" s="82"/>
      <c r="M58" s="82"/>
      <c r="N58" s="82"/>
      <c r="O58" s="82"/>
      <c r="P58" s="82"/>
      <c r="Q58" s="81"/>
      <c r="R58" s="79"/>
      <c r="S58" s="84"/>
      <c r="T58" s="79"/>
      <c r="U58" s="79"/>
      <c r="V58" s="79"/>
      <c r="W58" s="79"/>
      <c r="X58" s="79"/>
      <c r="Z58" s="85"/>
    </row>
    <row r="59" spans="2:26" ht="15.75" customHeight="1">
      <c r="B59" s="79"/>
      <c r="C59" s="79"/>
      <c r="D59" s="80"/>
      <c r="E59" s="80"/>
      <c r="F59" s="80"/>
      <c r="G59" s="80"/>
      <c r="H59" s="80"/>
      <c r="I59" s="81"/>
      <c r="J59" s="82"/>
      <c r="K59" s="83"/>
      <c r="L59" s="82"/>
      <c r="M59" s="82"/>
      <c r="N59" s="82"/>
      <c r="O59" s="82"/>
      <c r="P59" s="82"/>
      <c r="Q59" s="81"/>
      <c r="R59" s="79"/>
      <c r="S59" s="84"/>
      <c r="T59" s="79"/>
      <c r="U59" s="79"/>
      <c r="V59" s="79"/>
      <c r="W59" s="79"/>
      <c r="X59" s="79"/>
      <c r="Z59" s="85"/>
    </row>
    <row r="60" spans="2:26" ht="15.75" customHeight="1">
      <c r="B60" s="79"/>
      <c r="C60" s="79"/>
      <c r="D60" s="80"/>
      <c r="E60" s="80"/>
      <c r="F60" s="80"/>
      <c r="G60" s="80"/>
      <c r="H60" s="80"/>
      <c r="I60" s="81"/>
      <c r="J60" s="82"/>
      <c r="K60" s="83"/>
      <c r="L60" s="82"/>
      <c r="M60" s="82"/>
      <c r="N60" s="82"/>
      <c r="O60" s="82"/>
      <c r="P60" s="82"/>
      <c r="Q60" s="81"/>
      <c r="R60" s="79"/>
      <c r="S60" s="84"/>
      <c r="T60" s="79"/>
      <c r="U60" s="79"/>
      <c r="V60" s="79"/>
      <c r="W60" s="79"/>
      <c r="X60" s="79"/>
      <c r="Z60" s="85"/>
    </row>
    <row r="61" spans="2:26" ht="15.75" customHeight="1">
      <c r="B61" s="79"/>
      <c r="C61" s="79"/>
      <c r="D61" s="80"/>
      <c r="E61" s="80"/>
      <c r="F61" s="80"/>
      <c r="G61" s="80"/>
      <c r="H61" s="80"/>
      <c r="I61" s="81"/>
      <c r="J61" s="82"/>
      <c r="K61" s="83"/>
      <c r="L61" s="82"/>
      <c r="M61" s="82"/>
      <c r="N61" s="82"/>
      <c r="O61" s="82"/>
      <c r="P61" s="82"/>
      <c r="Q61" s="81"/>
      <c r="R61" s="79"/>
      <c r="S61" s="84"/>
      <c r="T61" s="79"/>
      <c r="U61" s="79"/>
      <c r="V61" s="79"/>
      <c r="W61" s="79"/>
      <c r="X61" s="79"/>
      <c r="Z61" s="85"/>
    </row>
    <row r="62" spans="2:26" ht="15.75" customHeight="1">
      <c r="B62" s="79"/>
      <c r="C62" s="79"/>
      <c r="D62" s="80"/>
      <c r="E62" s="80"/>
      <c r="F62" s="80"/>
      <c r="G62" s="80"/>
      <c r="H62" s="80"/>
      <c r="I62" s="81"/>
      <c r="J62" s="82"/>
      <c r="K62" s="83"/>
      <c r="L62" s="82"/>
      <c r="M62" s="82"/>
      <c r="N62" s="82"/>
      <c r="O62" s="82"/>
      <c r="P62" s="82"/>
      <c r="Q62" s="81"/>
      <c r="R62" s="79"/>
      <c r="S62" s="84"/>
      <c r="T62" s="79"/>
      <c r="U62" s="79"/>
      <c r="V62" s="79"/>
      <c r="W62" s="79"/>
      <c r="X62" s="79"/>
      <c r="Z62" s="85"/>
    </row>
    <row r="63" spans="2:26">
      <c r="K63" s="86"/>
      <c r="L63" s="86"/>
      <c r="M63" s="86"/>
      <c r="N63" s="86"/>
      <c r="O63" s="86"/>
      <c r="P63" s="86"/>
      <c r="Z63" s="85"/>
    </row>
    <row r="64" spans="2:26">
      <c r="Z64" s="85"/>
    </row>
    <row r="65" spans="11:26">
      <c r="K65" s="87"/>
      <c r="L65" s="87"/>
      <c r="M65" s="87"/>
      <c r="N65" s="87"/>
      <c r="O65" s="87"/>
      <c r="P65" s="87"/>
      <c r="Z65" s="85"/>
    </row>
    <row r="66" spans="11:26">
      <c r="Z66" s="85"/>
    </row>
    <row r="67" spans="11:26">
      <c r="Z67" s="85"/>
    </row>
    <row r="68" spans="11:26">
      <c r="Z68" s="85"/>
    </row>
    <row r="69" spans="11:26">
      <c r="Z69" s="85"/>
    </row>
    <row r="70" spans="11:26">
      <c r="Z70" s="85"/>
    </row>
    <row r="71" spans="11:26">
      <c r="Z71" s="85"/>
    </row>
    <row r="72" spans="11:26">
      <c r="Z72" s="85"/>
    </row>
    <row r="73" spans="11:26">
      <c r="Z73" s="85"/>
    </row>
    <row r="74" spans="11:26">
      <c r="Z74" s="85"/>
    </row>
    <row r="75" spans="11:26">
      <c r="Z75" s="85"/>
    </row>
    <row r="76" spans="11:26">
      <c r="Z76" s="85"/>
    </row>
    <row r="77" spans="11:26">
      <c r="Z77" s="85"/>
    </row>
    <row r="78" spans="11:26">
      <c r="Z78" s="85"/>
    </row>
    <row r="79" spans="11:26">
      <c r="Z79" s="85"/>
    </row>
    <row r="80" spans="11:26">
      <c r="Z80" s="85"/>
    </row>
    <row r="81" spans="26:26">
      <c r="Z81" s="85"/>
    </row>
    <row r="82" spans="26:26">
      <c r="Z82" s="85"/>
    </row>
    <row r="83" spans="26:26">
      <c r="Z83" s="85"/>
    </row>
    <row r="84" spans="26:26">
      <c r="Z84" s="85"/>
    </row>
    <row r="85" spans="26:26">
      <c r="Z85" s="85"/>
    </row>
    <row r="86" spans="26:26">
      <c r="Z86" s="85"/>
    </row>
    <row r="87" spans="26:26">
      <c r="Z87" s="85"/>
    </row>
    <row r="88" spans="26:26">
      <c r="Z88" s="85"/>
    </row>
    <row r="89" spans="26:26">
      <c r="Z89" s="85"/>
    </row>
    <row r="90" spans="26:26">
      <c r="Z90" s="85"/>
    </row>
    <row r="91" spans="26:26">
      <c r="Z91" s="85"/>
    </row>
    <row r="92" spans="26:26">
      <c r="Z92" s="85"/>
    </row>
    <row r="93" spans="26:26">
      <c r="Z93" s="85"/>
    </row>
    <row r="94" spans="26:26">
      <c r="Z94" s="85"/>
    </row>
    <row r="95" spans="26:26">
      <c r="Z95" s="85"/>
    </row>
    <row r="96" spans="26:26">
      <c r="Z96" s="85"/>
    </row>
    <row r="97" spans="26:26">
      <c r="Z97" s="85"/>
    </row>
    <row r="98" spans="26:26">
      <c r="Z98" s="85"/>
    </row>
    <row r="99" spans="26:26">
      <c r="Z99" s="85"/>
    </row>
    <row r="100" spans="26:26">
      <c r="Z100" s="85"/>
    </row>
    <row r="101" spans="26:26">
      <c r="Z101" s="85"/>
    </row>
    <row r="102" spans="26:26">
      <c r="Z102" s="85"/>
    </row>
    <row r="103" spans="26:26">
      <c r="Z103" s="85"/>
    </row>
    <row r="104" spans="26:26">
      <c r="Z104" s="85"/>
    </row>
    <row r="105" spans="26:26">
      <c r="Z105" s="85"/>
    </row>
    <row r="106" spans="26:26">
      <c r="Z106" s="85"/>
    </row>
    <row r="107" spans="26:26">
      <c r="Z107" s="85"/>
    </row>
    <row r="108" spans="26:26">
      <c r="Z108" s="85"/>
    </row>
    <row r="109" spans="26:26">
      <c r="Z109" s="85"/>
    </row>
    <row r="110" spans="26:26">
      <c r="Z110" s="85"/>
    </row>
    <row r="111" spans="26:26">
      <c r="Z111" s="85"/>
    </row>
    <row r="112" spans="26:26">
      <c r="Z112" s="85"/>
    </row>
    <row r="113" spans="26:26">
      <c r="Z113" s="85"/>
    </row>
    <row r="114" spans="26:26">
      <c r="Z114" s="85"/>
    </row>
    <row r="115" spans="26:26">
      <c r="Z115" s="85"/>
    </row>
    <row r="116" spans="26:26">
      <c r="Z116" s="85"/>
    </row>
    <row r="117" spans="26:26">
      <c r="Z117" s="85"/>
    </row>
    <row r="118" spans="26:26">
      <c r="Z118" s="85"/>
    </row>
    <row r="119" spans="26:26">
      <c r="Z119" s="85"/>
    </row>
    <row r="120" spans="26:26">
      <c r="Z120" s="85"/>
    </row>
    <row r="121" spans="26:26">
      <c r="Z121" s="85"/>
    </row>
    <row r="122" spans="26:26">
      <c r="Z122" s="85"/>
    </row>
    <row r="123" spans="26:26">
      <c r="Z123" s="85"/>
    </row>
    <row r="124" spans="26:26">
      <c r="Z124" s="85"/>
    </row>
    <row r="125" spans="26:26">
      <c r="Z125" s="85"/>
    </row>
    <row r="126" spans="26:26">
      <c r="Z126" s="85"/>
    </row>
    <row r="127" spans="26:26">
      <c r="Z127" s="85"/>
    </row>
    <row r="128" spans="26:26">
      <c r="Z128" s="85"/>
    </row>
    <row r="129" spans="26:26">
      <c r="Z129" s="85"/>
    </row>
    <row r="130" spans="26:26">
      <c r="Z130" s="85"/>
    </row>
    <row r="131" spans="26:26">
      <c r="Z131" s="85"/>
    </row>
    <row r="132" spans="26:26">
      <c r="Z132" s="85"/>
    </row>
    <row r="133" spans="26:26">
      <c r="Z133" s="85"/>
    </row>
    <row r="134" spans="26:26">
      <c r="Z134" s="85"/>
    </row>
    <row r="135" spans="26:26">
      <c r="Z135" s="85"/>
    </row>
    <row r="136" spans="26:26">
      <c r="Z136" s="85"/>
    </row>
    <row r="137" spans="26:26">
      <c r="Z137" s="85"/>
    </row>
    <row r="138" spans="26:26">
      <c r="Z138" s="85"/>
    </row>
    <row r="139" spans="26:26">
      <c r="Z139" s="85"/>
    </row>
    <row r="140" spans="26:26">
      <c r="Z140" s="85"/>
    </row>
    <row r="141" spans="26:26">
      <c r="Z141" s="85"/>
    </row>
    <row r="142" spans="26:26">
      <c r="Z142" s="85"/>
    </row>
    <row r="143" spans="26:26">
      <c r="Z143" s="85"/>
    </row>
    <row r="144" spans="26:26">
      <c r="Z144" s="85"/>
    </row>
    <row r="145" spans="26:26">
      <c r="Z145" s="85"/>
    </row>
    <row r="146" spans="26:26">
      <c r="Z146" s="85"/>
    </row>
    <row r="147" spans="26:26">
      <c r="Z147" s="85"/>
    </row>
    <row r="148" spans="26:26">
      <c r="Z148" s="85"/>
    </row>
    <row r="149" spans="26:26">
      <c r="Z149" s="85"/>
    </row>
    <row r="150" spans="26:26">
      <c r="Z150" s="85"/>
    </row>
    <row r="151" spans="26:26">
      <c r="Z151" s="85"/>
    </row>
    <row r="152" spans="26:26">
      <c r="Z152" s="85"/>
    </row>
    <row r="153" spans="26:26">
      <c r="Z153" s="85"/>
    </row>
    <row r="154" spans="26:26">
      <c r="Z154" s="85"/>
    </row>
    <row r="155" spans="26:26">
      <c r="Z155" s="85"/>
    </row>
    <row r="156" spans="26:26">
      <c r="Z156" s="85"/>
    </row>
    <row r="157" spans="26:26">
      <c r="Z157" s="85"/>
    </row>
    <row r="158" spans="26:26">
      <c r="Z158" s="85"/>
    </row>
    <row r="159" spans="26:26">
      <c r="Z159" s="85"/>
    </row>
    <row r="160" spans="26:26">
      <c r="Z160" s="85"/>
    </row>
    <row r="161" spans="26:26">
      <c r="Z161" s="85"/>
    </row>
    <row r="162" spans="26:26">
      <c r="Z162" s="85"/>
    </row>
    <row r="163" spans="26:26">
      <c r="Z163" s="85"/>
    </row>
    <row r="164" spans="26:26">
      <c r="Z164" s="85"/>
    </row>
    <row r="165" spans="26:26">
      <c r="Z165" s="85"/>
    </row>
    <row r="166" spans="26:26">
      <c r="Z166" s="85"/>
    </row>
    <row r="167" spans="26:26">
      <c r="Z167" s="85"/>
    </row>
    <row r="168" spans="26:26">
      <c r="Z168" s="85"/>
    </row>
    <row r="169" spans="26:26">
      <c r="Z169" s="85"/>
    </row>
    <row r="170" spans="26:26">
      <c r="Z170" s="85"/>
    </row>
    <row r="171" spans="26:26">
      <c r="Z171" s="85"/>
    </row>
    <row r="172" spans="26:26">
      <c r="Z172" s="85"/>
    </row>
    <row r="173" spans="26:26">
      <c r="Z173" s="85"/>
    </row>
    <row r="174" spans="26:26">
      <c r="Z174" s="85"/>
    </row>
    <row r="175" spans="26:26">
      <c r="Z175" s="85"/>
    </row>
    <row r="176" spans="26:26">
      <c r="Z176" s="85"/>
    </row>
    <row r="177" spans="26:26">
      <c r="Z177" s="85"/>
    </row>
    <row r="178" spans="26:26">
      <c r="Z178" s="85"/>
    </row>
    <row r="179" spans="26:26">
      <c r="Z179" s="85"/>
    </row>
    <row r="180" spans="26:26">
      <c r="Z180" s="85"/>
    </row>
    <row r="181" spans="26:26">
      <c r="Z181" s="85"/>
    </row>
    <row r="182" spans="26:26">
      <c r="Z182" s="85"/>
    </row>
    <row r="183" spans="26:26">
      <c r="Z183" s="85"/>
    </row>
    <row r="184" spans="26:26">
      <c r="Z184" s="85"/>
    </row>
    <row r="185" spans="26:26">
      <c r="Z185" s="85"/>
    </row>
    <row r="186" spans="26:26">
      <c r="Z186" s="85"/>
    </row>
    <row r="187" spans="26:26">
      <c r="Z187" s="85"/>
    </row>
    <row r="188" spans="26:26">
      <c r="Z188" s="85"/>
    </row>
    <row r="189" spans="26:26">
      <c r="Z189" s="85"/>
    </row>
    <row r="190" spans="26:26">
      <c r="Z190" s="85"/>
    </row>
    <row r="191" spans="26:26">
      <c r="Z191" s="85"/>
    </row>
    <row r="192" spans="26:26">
      <c r="Z192" s="85"/>
    </row>
    <row r="193" spans="26:26">
      <c r="Z193" s="85"/>
    </row>
    <row r="194" spans="26:26">
      <c r="Z194" s="85"/>
    </row>
    <row r="195" spans="26:26">
      <c r="Z195" s="85"/>
    </row>
    <row r="196" spans="26:26">
      <c r="Z196" s="85"/>
    </row>
    <row r="197" spans="26:26">
      <c r="Z197" s="85"/>
    </row>
    <row r="198" spans="26:26">
      <c r="Z198" s="85"/>
    </row>
    <row r="199" spans="26:26">
      <c r="Z199" s="85"/>
    </row>
    <row r="200" spans="26:26">
      <c r="Z200" s="85"/>
    </row>
    <row r="201" spans="26:26">
      <c r="Z201" s="85"/>
    </row>
    <row r="202" spans="26:26">
      <c r="Z202" s="85"/>
    </row>
    <row r="203" spans="26:26">
      <c r="Z203" s="85"/>
    </row>
    <row r="204" spans="26:26">
      <c r="Z204" s="85"/>
    </row>
    <row r="205" spans="26:26">
      <c r="Z205" s="85"/>
    </row>
    <row r="206" spans="26:26">
      <c r="Z206" s="85"/>
    </row>
    <row r="207" spans="26:26">
      <c r="Z207" s="85"/>
    </row>
    <row r="208" spans="26:26">
      <c r="Z208" s="85"/>
    </row>
    <row r="209" spans="26:26">
      <c r="Z209" s="85"/>
    </row>
    <row r="210" spans="26:26">
      <c r="Z210" s="85"/>
    </row>
    <row r="211" spans="26:26">
      <c r="Z211" s="85"/>
    </row>
    <row r="212" spans="26:26">
      <c r="Z212" s="85"/>
    </row>
    <row r="213" spans="26:26">
      <c r="Z213" s="85"/>
    </row>
    <row r="214" spans="26:26">
      <c r="Z214" s="85"/>
    </row>
    <row r="215" spans="26:26">
      <c r="Z215" s="85"/>
    </row>
    <row r="216" spans="26:26">
      <c r="Z216" s="85"/>
    </row>
    <row r="217" spans="26:26">
      <c r="Z217" s="85"/>
    </row>
    <row r="218" spans="26:26">
      <c r="Z218" s="85"/>
    </row>
    <row r="219" spans="26:26">
      <c r="Z219" s="85"/>
    </row>
    <row r="220" spans="26:26">
      <c r="Z220" s="85"/>
    </row>
    <row r="221" spans="26:26">
      <c r="Z221" s="85"/>
    </row>
    <row r="222" spans="26:26">
      <c r="Z222" s="85"/>
    </row>
    <row r="223" spans="26:26">
      <c r="Z223" s="85"/>
    </row>
    <row r="224" spans="26:26">
      <c r="Z224" s="85"/>
    </row>
    <row r="225" spans="26:26">
      <c r="Z225" s="85"/>
    </row>
    <row r="226" spans="26:26">
      <c r="Z226" s="85"/>
    </row>
    <row r="227" spans="26:26">
      <c r="Z227" s="85"/>
    </row>
    <row r="228" spans="26:26">
      <c r="Z228" s="85"/>
    </row>
    <row r="229" spans="26:26">
      <c r="Z229" s="85"/>
    </row>
    <row r="230" spans="26:26">
      <c r="Z230" s="85"/>
    </row>
    <row r="231" spans="26:26">
      <c r="Z231" s="85"/>
    </row>
    <row r="232" spans="26:26">
      <c r="Z232" s="85"/>
    </row>
    <row r="233" spans="26:26">
      <c r="Z233" s="85"/>
    </row>
    <row r="234" spans="26:26">
      <c r="Z234" s="85"/>
    </row>
    <row r="235" spans="26:26">
      <c r="Z235" s="85"/>
    </row>
    <row r="236" spans="26:26">
      <c r="Z236" s="85"/>
    </row>
    <row r="237" spans="26:26">
      <c r="Z237" s="85"/>
    </row>
    <row r="238" spans="26:26">
      <c r="Z238" s="85"/>
    </row>
    <row r="239" spans="26:26">
      <c r="Z239" s="85"/>
    </row>
    <row r="240" spans="26:26">
      <c r="Z240" s="85"/>
    </row>
    <row r="241" spans="26:26">
      <c r="Z241" s="85"/>
    </row>
    <row r="242" spans="26:26">
      <c r="Z242" s="85"/>
    </row>
    <row r="243" spans="26:26">
      <c r="Z243" s="85"/>
    </row>
    <row r="244" spans="26:26">
      <c r="Z244" s="85"/>
    </row>
    <row r="245" spans="26:26">
      <c r="Z245" s="85"/>
    </row>
    <row r="246" spans="26:26">
      <c r="Z246" s="85"/>
    </row>
    <row r="247" spans="26:26">
      <c r="Z247" s="85"/>
    </row>
    <row r="248" spans="26:26">
      <c r="Z248" s="85"/>
    </row>
    <row r="249" spans="26:26">
      <c r="Z249" s="85"/>
    </row>
    <row r="250" spans="26:26">
      <c r="Z250" s="85"/>
    </row>
    <row r="251" spans="26:26">
      <c r="Z251" s="85"/>
    </row>
    <row r="252" spans="26:26">
      <c r="Z252" s="85"/>
    </row>
    <row r="253" spans="26:26">
      <c r="Z253" s="85"/>
    </row>
    <row r="254" spans="26:26">
      <c r="Z254" s="85"/>
    </row>
    <row r="255" spans="26:26">
      <c r="Z255" s="85"/>
    </row>
    <row r="256" spans="26:26">
      <c r="Z256" s="85"/>
    </row>
    <row r="257" spans="26:26">
      <c r="Z257" s="85"/>
    </row>
    <row r="258" spans="26:26">
      <c r="Z258" s="85"/>
    </row>
    <row r="259" spans="26:26">
      <c r="Z259" s="85"/>
    </row>
    <row r="260" spans="26:26">
      <c r="Z260" s="85"/>
    </row>
    <row r="261" spans="26:26">
      <c r="Z261" s="85"/>
    </row>
    <row r="262" spans="26:26">
      <c r="Z262" s="85"/>
    </row>
    <row r="263" spans="26:26">
      <c r="Z263" s="85"/>
    </row>
    <row r="264" spans="26:26">
      <c r="Z264" s="85"/>
    </row>
    <row r="265" spans="26:26">
      <c r="Z265" s="85"/>
    </row>
    <row r="266" spans="26:26">
      <c r="Z266" s="85"/>
    </row>
    <row r="267" spans="26:26">
      <c r="Z267" s="85"/>
    </row>
    <row r="268" spans="26:26">
      <c r="Z268" s="85"/>
    </row>
    <row r="269" spans="26:26">
      <c r="Z269" s="85"/>
    </row>
    <row r="270" spans="26:26">
      <c r="Z270" s="85"/>
    </row>
    <row r="271" spans="26:26">
      <c r="Z271" s="85"/>
    </row>
    <row r="272" spans="26:26">
      <c r="Z272" s="85"/>
    </row>
    <row r="273" spans="26:26">
      <c r="Z273" s="85"/>
    </row>
    <row r="274" spans="26:26">
      <c r="Z274" s="85"/>
    </row>
    <row r="275" spans="26:26">
      <c r="Z275" s="85"/>
    </row>
    <row r="276" spans="26:26">
      <c r="Z276" s="85"/>
    </row>
    <row r="277" spans="26:26">
      <c r="Z277" s="85"/>
    </row>
    <row r="278" spans="26:26">
      <c r="Z278" s="85"/>
    </row>
    <row r="279" spans="26:26">
      <c r="Z279" s="85"/>
    </row>
    <row r="280" spans="26:26">
      <c r="Z280" s="85"/>
    </row>
    <row r="281" spans="26:26">
      <c r="Z281" s="85"/>
    </row>
    <row r="282" spans="26:26">
      <c r="Z282" s="85"/>
    </row>
    <row r="283" spans="26:26">
      <c r="Z283" s="85"/>
    </row>
    <row r="284" spans="26:26">
      <c r="Z284" s="85"/>
    </row>
    <row r="285" spans="26:26">
      <c r="Z285" s="85"/>
    </row>
    <row r="286" spans="26:26">
      <c r="Z286" s="85"/>
    </row>
    <row r="287" spans="26:26">
      <c r="Z287" s="85"/>
    </row>
    <row r="288" spans="26:26">
      <c r="Z288" s="85"/>
    </row>
    <row r="289" spans="26:26">
      <c r="Z289" s="85"/>
    </row>
    <row r="290" spans="26:26">
      <c r="Z290" s="85"/>
    </row>
    <row r="291" spans="26:26">
      <c r="Z291" s="85"/>
    </row>
    <row r="292" spans="26:26">
      <c r="Z292" s="85"/>
    </row>
    <row r="293" spans="26:26">
      <c r="Z293" s="85"/>
    </row>
    <row r="294" spans="26:26">
      <c r="Z294" s="85"/>
    </row>
    <row r="295" spans="26:26">
      <c r="Z295" s="85"/>
    </row>
    <row r="296" spans="26:26">
      <c r="Z296" s="85"/>
    </row>
    <row r="297" spans="26:26">
      <c r="Z297" s="85"/>
    </row>
    <row r="298" spans="26:26">
      <c r="Z298" s="85"/>
    </row>
    <row r="299" spans="26:26">
      <c r="Z299" s="85"/>
    </row>
    <row r="300" spans="26:26">
      <c r="Z300" s="85"/>
    </row>
    <row r="301" spans="26:26">
      <c r="Z301" s="85"/>
    </row>
    <row r="302" spans="26:26">
      <c r="Z302" s="85"/>
    </row>
    <row r="303" spans="26:26">
      <c r="Z303" s="85"/>
    </row>
    <row r="304" spans="26:26">
      <c r="Z304" s="85"/>
    </row>
    <row r="305" spans="26:26">
      <c r="Z305" s="85"/>
    </row>
    <row r="306" spans="26:26">
      <c r="Z306" s="85"/>
    </row>
    <row r="307" spans="26:26">
      <c r="Z307" s="85"/>
    </row>
    <row r="308" spans="26:26">
      <c r="Z308" s="85"/>
    </row>
    <row r="309" spans="26:26">
      <c r="Z309" s="85"/>
    </row>
    <row r="310" spans="26:26">
      <c r="Z310" s="85"/>
    </row>
    <row r="311" spans="26:26">
      <c r="Z311" s="85"/>
    </row>
    <row r="312" spans="26:26">
      <c r="Z312" s="85"/>
    </row>
    <row r="313" spans="26:26">
      <c r="Z313" s="85"/>
    </row>
    <row r="314" spans="26:26">
      <c r="Z314" s="85"/>
    </row>
    <row r="315" spans="26:26">
      <c r="Z315" s="85"/>
    </row>
    <row r="316" spans="26:26">
      <c r="Z316" s="85"/>
    </row>
    <row r="317" spans="26:26">
      <c r="Z317" s="85"/>
    </row>
    <row r="318" spans="26:26">
      <c r="Z318" s="85"/>
    </row>
    <row r="319" spans="26:26">
      <c r="Z319" s="85"/>
    </row>
    <row r="320" spans="26:26">
      <c r="Z320" s="85"/>
    </row>
    <row r="321" spans="26:26">
      <c r="Z321" s="85"/>
    </row>
    <row r="322" spans="26:26">
      <c r="Z322" s="85"/>
    </row>
    <row r="323" spans="26:26">
      <c r="Z323" s="85"/>
    </row>
    <row r="324" spans="26:26">
      <c r="Z324" s="85"/>
    </row>
    <row r="325" spans="26:26">
      <c r="Z325" s="85"/>
    </row>
    <row r="326" spans="26:26">
      <c r="Z326" s="85"/>
    </row>
    <row r="327" spans="26:26">
      <c r="Z327" s="85"/>
    </row>
    <row r="328" spans="26:26">
      <c r="Z328" s="85"/>
    </row>
    <row r="329" spans="26:26">
      <c r="Z329" s="85"/>
    </row>
    <row r="330" spans="26:26">
      <c r="Z330" s="85"/>
    </row>
    <row r="331" spans="26:26">
      <c r="Z331" s="85"/>
    </row>
    <row r="332" spans="26:26">
      <c r="Z332" s="85"/>
    </row>
    <row r="333" spans="26:26">
      <c r="Z333" s="85"/>
    </row>
    <row r="334" spans="26:26">
      <c r="Z334" s="85"/>
    </row>
    <row r="335" spans="26:26">
      <c r="Z335" s="85"/>
    </row>
    <row r="336" spans="26:26">
      <c r="Z336" s="85"/>
    </row>
    <row r="337" spans="26:26">
      <c r="Z337" s="85"/>
    </row>
    <row r="338" spans="26:26">
      <c r="Z338" s="85"/>
    </row>
    <row r="339" spans="26:26">
      <c r="Z339" s="85"/>
    </row>
    <row r="340" spans="26:26">
      <c r="Z340" s="85"/>
    </row>
    <row r="341" spans="26:26">
      <c r="Z341" s="85"/>
    </row>
    <row r="342" spans="26:26">
      <c r="Z342" s="85"/>
    </row>
    <row r="343" spans="26:26">
      <c r="Z343" s="85"/>
    </row>
    <row r="344" spans="26:26">
      <c r="Z344" s="85"/>
    </row>
    <row r="345" spans="26:26">
      <c r="Z345" s="85"/>
    </row>
    <row r="346" spans="26:26">
      <c r="Z346" s="85"/>
    </row>
    <row r="347" spans="26:26">
      <c r="Z347" s="85"/>
    </row>
    <row r="348" spans="26:26">
      <c r="Z348" s="85"/>
    </row>
    <row r="349" spans="26:26">
      <c r="Z349" s="85"/>
    </row>
    <row r="350" spans="26:26">
      <c r="Z350" s="85"/>
    </row>
    <row r="351" spans="26:26">
      <c r="Z351" s="85"/>
    </row>
    <row r="352" spans="26:26">
      <c r="Z352" s="85"/>
    </row>
    <row r="353" spans="26:26">
      <c r="Z353" s="85"/>
    </row>
    <row r="354" spans="26:26">
      <c r="Z354" s="85"/>
    </row>
    <row r="355" spans="26:26">
      <c r="Z355" s="85"/>
    </row>
    <row r="356" spans="26:26">
      <c r="Z356" s="85"/>
    </row>
    <row r="357" spans="26:26">
      <c r="Z357" s="85"/>
    </row>
    <row r="358" spans="26:26">
      <c r="Z358" s="85"/>
    </row>
    <row r="359" spans="26:26">
      <c r="Z359" s="85"/>
    </row>
    <row r="360" spans="26:26">
      <c r="Z360" s="85"/>
    </row>
    <row r="361" spans="26:26">
      <c r="Z361" s="85"/>
    </row>
    <row r="362" spans="26:26">
      <c r="Z362" s="85"/>
    </row>
    <row r="363" spans="26:26">
      <c r="Z363" s="85"/>
    </row>
    <row r="364" spans="26:26">
      <c r="Z364" s="85"/>
    </row>
    <row r="365" spans="26:26">
      <c r="Z365" s="85"/>
    </row>
    <row r="366" spans="26:26">
      <c r="Z366" s="85"/>
    </row>
    <row r="367" spans="26:26">
      <c r="Z367" s="85"/>
    </row>
    <row r="368" spans="26:26">
      <c r="Z368" s="85"/>
    </row>
    <row r="369" spans="26:26">
      <c r="Z369" s="85"/>
    </row>
    <row r="370" spans="26:26">
      <c r="Z370" s="85"/>
    </row>
    <row r="371" spans="26:26">
      <c r="Z371" s="85"/>
    </row>
    <row r="372" spans="26:26">
      <c r="Z372" s="85"/>
    </row>
    <row r="373" spans="26:26">
      <c r="Z373" s="85"/>
    </row>
    <row r="374" spans="26:26">
      <c r="Z374" s="85"/>
    </row>
    <row r="375" spans="26:26">
      <c r="Z375" s="85"/>
    </row>
    <row r="376" spans="26:26">
      <c r="Z376" s="85"/>
    </row>
    <row r="377" spans="26:26">
      <c r="Z377" s="85"/>
    </row>
    <row r="378" spans="26:26">
      <c r="Z378" s="85"/>
    </row>
    <row r="379" spans="26:26">
      <c r="Z379" s="85"/>
    </row>
    <row r="380" spans="26:26">
      <c r="Z380" s="85"/>
    </row>
    <row r="381" spans="26:26">
      <c r="Z381" s="85"/>
    </row>
    <row r="382" spans="26:26">
      <c r="Z382" s="85"/>
    </row>
    <row r="383" spans="26:26">
      <c r="Z383" s="85"/>
    </row>
    <row r="384" spans="26:26">
      <c r="Z384" s="85"/>
    </row>
    <row r="385" spans="26:26">
      <c r="Z385" s="85"/>
    </row>
    <row r="386" spans="26:26">
      <c r="Z386" s="85"/>
    </row>
    <row r="387" spans="26:26">
      <c r="Z387" s="85"/>
    </row>
    <row r="388" spans="26:26">
      <c r="Z388" s="85"/>
    </row>
    <row r="389" spans="26:26">
      <c r="Z389" s="85"/>
    </row>
    <row r="390" spans="26:26">
      <c r="Z390" s="85"/>
    </row>
    <row r="391" spans="26:26">
      <c r="Z391" s="85"/>
    </row>
    <row r="392" spans="26:26">
      <c r="Z392" s="85"/>
    </row>
    <row r="393" spans="26:26">
      <c r="Z393" s="85"/>
    </row>
    <row r="394" spans="26:26">
      <c r="Z394" s="85"/>
    </row>
    <row r="395" spans="26:26">
      <c r="Z395" s="85"/>
    </row>
    <row r="396" spans="26:26">
      <c r="Z396" s="85"/>
    </row>
    <row r="397" spans="26:26">
      <c r="Z397" s="85"/>
    </row>
    <row r="398" spans="26:26">
      <c r="Z398" s="85"/>
    </row>
    <row r="399" spans="26:26">
      <c r="Z399" s="85"/>
    </row>
    <row r="400" spans="26:26">
      <c r="Z400" s="85"/>
    </row>
    <row r="401" spans="26:26">
      <c r="Z401" s="85"/>
    </row>
    <row r="402" spans="26:26">
      <c r="Z402" s="85"/>
    </row>
    <row r="403" spans="26:26">
      <c r="Z403" s="85"/>
    </row>
    <row r="404" spans="26:26">
      <c r="Z404" s="85"/>
    </row>
    <row r="405" spans="26:26">
      <c r="Z405" s="85"/>
    </row>
    <row r="406" spans="26:26">
      <c r="Z406" s="85"/>
    </row>
    <row r="407" spans="26:26">
      <c r="Z407" s="85"/>
    </row>
    <row r="408" spans="26:26">
      <c r="Z408" s="85"/>
    </row>
    <row r="409" spans="26:26">
      <c r="Z409" s="85"/>
    </row>
    <row r="410" spans="26:26">
      <c r="Z410" s="85"/>
    </row>
    <row r="411" spans="26:26">
      <c r="Z411" s="85"/>
    </row>
    <row r="412" spans="26:26">
      <c r="Z412" s="85"/>
    </row>
    <row r="413" spans="26:26">
      <c r="Z413" s="85"/>
    </row>
    <row r="414" spans="26:26">
      <c r="Z414" s="85"/>
    </row>
    <row r="415" spans="26:26">
      <c r="Z415" s="85"/>
    </row>
    <row r="416" spans="26:26">
      <c r="Z416" s="85"/>
    </row>
    <row r="417" spans="26:26">
      <c r="Z417" s="85"/>
    </row>
    <row r="418" spans="26:26">
      <c r="Z418" s="85"/>
    </row>
    <row r="419" spans="26:26">
      <c r="Z419" s="85"/>
    </row>
    <row r="420" spans="26:26">
      <c r="Z420" s="85"/>
    </row>
    <row r="421" spans="26:26">
      <c r="Z421" s="85"/>
    </row>
    <row r="422" spans="26:26">
      <c r="Z422" s="85"/>
    </row>
    <row r="423" spans="26:26">
      <c r="Z423" s="85"/>
    </row>
    <row r="424" spans="26:26">
      <c r="Z424" s="85"/>
    </row>
    <row r="425" spans="26:26">
      <c r="Z425" s="85"/>
    </row>
    <row r="426" spans="26:26">
      <c r="Z426" s="85"/>
    </row>
    <row r="427" spans="26:26">
      <c r="Z427" s="85"/>
    </row>
    <row r="428" spans="26:26">
      <c r="Z428" s="85"/>
    </row>
    <row r="429" spans="26:26">
      <c r="Z429" s="85"/>
    </row>
    <row r="430" spans="26:26">
      <c r="Z430" s="85"/>
    </row>
    <row r="431" spans="26:26">
      <c r="Z431" s="85"/>
    </row>
    <row r="432" spans="26:26">
      <c r="Z432" s="85"/>
    </row>
    <row r="433" spans="26:26">
      <c r="Z433" s="85"/>
    </row>
    <row r="434" spans="26:26">
      <c r="Z434" s="85"/>
    </row>
    <row r="435" spans="26:26">
      <c r="Z435" s="85"/>
    </row>
    <row r="436" spans="26:26">
      <c r="Z436" s="85"/>
    </row>
    <row r="437" spans="26:26">
      <c r="Z437" s="85"/>
    </row>
    <row r="438" spans="26:26">
      <c r="Z438" s="85"/>
    </row>
    <row r="439" spans="26:26">
      <c r="Z439" s="85"/>
    </row>
    <row r="440" spans="26:26">
      <c r="Z440" s="85"/>
    </row>
    <row r="441" spans="26:26">
      <c r="Z441" s="85"/>
    </row>
    <row r="442" spans="26:26">
      <c r="Z442" s="85"/>
    </row>
    <row r="443" spans="26:26">
      <c r="Z443" s="85"/>
    </row>
    <row r="444" spans="26:26">
      <c r="Z444" s="85"/>
    </row>
    <row r="445" spans="26:26">
      <c r="Z445" s="85"/>
    </row>
    <row r="446" spans="26:26">
      <c r="Z446" s="85"/>
    </row>
    <row r="447" spans="26:26">
      <c r="Z447" s="85"/>
    </row>
    <row r="448" spans="26:26">
      <c r="Z448" s="85"/>
    </row>
    <row r="449" spans="26:26">
      <c r="Z449" s="85"/>
    </row>
    <row r="450" spans="26:26">
      <c r="Z450" s="85"/>
    </row>
    <row r="451" spans="26:26">
      <c r="Z451" s="85"/>
    </row>
    <row r="452" spans="26:26">
      <c r="Z452" s="85"/>
    </row>
    <row r="453" spans="26:26">
      <c r="Z453" s="85"/>
    </row>
    <row r="454" spans="26:26">
      <c r="Z454" s="85"/>
    </row>
    <row r="455" spans="26:26">
      <c r="Z455" s="85"/>
    </row>
    <row r="456" spans="26:26">
      <c r="Z456" s="85"/>
    </row>
    <row r="457" spans="26:26">
      <c r="Z457" s="85"/>
    </row>
    <row r="458" spans="26:26">
      <c r="Z458" s="85"/>
    </row>
    <row r="459" spans="26:26">
      <c r="Z459" s="85"/>
    </row>
    <row r="460" spans="26:26">
      <c r="Z460" s="85"/>
    </row>
    <row r="461" spans="26:26">
      <c r="Z461" s="85"/>
    </row>
    <row r="462" spans="26:26">
      <c r="Z462" s="85"/>
    </row>
    <row r="463" spans="26:26">
      <c r="Z463" s="85"/>
    </row>
    <row r="464" spans="26:26">
      <c r="Z464" s="85"/>
    </row>
    <row r="465" spans="26:26">
      <c r="Z465" s="85"/>
    </row>
    <row r="466" spans="26:26">
      <c r="Z466" s="85"/>
    </row>
    <row r="467" spans="26:26">
      <c r="Z467" s="85"/>
    </row>
    <row r="468" spans="26:26">
      <c r="Z468" s="85"/>
    </row>
    <row r="469" spans="26:26">
      <c r="Z469" s="85"/>
    </row>
    <row r="470" spans="26:26">
      <c r="Z470" s="85"/>
    </row>
    <row r="471" spans="26:26">
      <c r="Z471" s="85"/>
    </row>
    <row r="472" spans="26:26">
      <c r="Z472" s="85"/>
    </row>
    <row r="473" spans="26:26">
      <c r="Z473" s="85"/>
    </row>
    <row r="474" spans="26:26">
      <c r="Z474" s="85"/>
    </row>
    <row r="475" spans="26:26">
      <c r="Z475" s="85"/>
    </row>
    <row r="476" spans="26:26">
      <c r="Z476" s="85"/>
    </row>
    <row r="477" spans="26:26">
      <c r="Z477" s="85"/>
    </row>
    <row r="478" spans="26:26">
      <c r="Z478" s="85"/>
    </row>
    <row r="479" spans="26:26">
      <c r="Z479" s="85"/>
    </row>
    <row r="480" spans="26:26">
      <c r="Z480" s="85"/>
    </row>
    <row r="481" spans="26:26">
      <c r="Z481" s="85"/>
    </row>
    <row r="482" spans="26:26">
      <c r="Z482" s="85"/>
    </row>
    <row r="483" spans="26:26">
      <c r="Z483" s="85"/>
    </row>
    <row r="484" spans="26:26">
      <c r="Z484" s="85"/>
    </row>
    <row r="485" spans="26:26">
      <c r="Z485" s="85"/>
    </row>
    <row r="486" spans="26:26">
      <c r="Z486" s="85"/>
    </row>
    <row r="487" spans="26:26">
      <c r="Z487" s="85"/>
    </row>
    <row r="488" spans="26:26">
      <c r="Z488" s="85"/>
    </row>
    <row r="489" spans="26:26">
      <c r="Z489" s="85"/>
    </row>
    <row r="490" spans="26:26">
      <c r="Z490" s="85"/>
    </row>
    <row r="491" spans="26:26">
      <c r="Z491" s="85"/>
    </row>
    <row r="492" spans="26:26">
      <c r="Z492" s="85"/>
    </row>
    <row r="493" spans="26:26">
      <c r="Z493" s="85"/>
    </row>
    <row r="494" spans="26:26">
      <c r="Z494" s="85"/>
    </row>
    <row r="495" spans="26:26">
      <c r="Z495" s="85"/>
    </row>
    <row r="496" spans="26:26">
      <c r="Z496" s="85"/>
    </row>
    <row r="497" spans="26:26">
      <c r="Z497" s="85"/>
    </row>
    <row r="498" spans="26:26">
      <c r="Z498" s="85"/>
    </row>
    <row r="499" spans="26:26">
      <c r="Z499" s="85"/>
    </row>
    <row r="500" spans="26:26">
      <c r="Z500" s="85"/>
    </row>
    <row r="501" spans="26:26">
      <c r="Z501" s="85"/>
    </row>
    <row r="502" spans="26:26">
      <c r="Z502" s="85"/>
    </row>
    <row r="503" spans="26:26">
      <c r="Z503" s="85"/>
    </row>
    <row r="504" spans="26:26">
      <c r="Z504" s="85"/>
    </row>
    <row r="505" spans="26:26">
      <c r="Z505" s="85"/>
    </row>
    <row r="506" spans="26:26">
      <c r="Z506" s="85"/>
    </row>
    <row r="507" spans="26:26">
      <c r="Z507" s="85"/>
    </row>
    <row r="508" spans="26:26">
      <c r="Z508" s="85"/>
    </row>
    <row r="509" spans="26:26">
      <c r="Z509" s="85"/>
    </row>
    <row r="510" spans="26:26">
      <c r="Z510" s="85"/>
    </row>
    <row r="511" spans="26:26">
      <c r="Z511" s="85"/>
    </row>
    <row r="512" spans="26:26">
      <c r="Z512" s="85"/>
    </row>
    <row r="513" spans="26:26">
      <c r="Z513" s="85"/>
    </row>
    <row r="514" spans="26:26">
      <c r="Z514" s="85"/>
    </row>
    <row r="515" spans="26:26">
      <c r="Z515" s="85"/>
    </row>
    <row r="516" spans="26:26">
      <c r="Z516" s="85"/>
    </row>
    <row r="517" spans="26:26">
      <c r="Z517" s="85"/>
    </row>
    <row r="518" spans="26:26">
      <c r="Z518" s="85"/>
    </row>
    <row r="519" spans="26:26">
      <c r="Z519" s="85"/>
    </row>
    <row r="520" spans="26:26">
      <c r="Z520" s="85"/>
    </row>
    <row r="521" spans="26:26">
      <c r="Z521" s="85"/>
    </row>
    <row r="522" spans="26:26">
      <c r="Z522" s="85"/>
    </row>
    <row r="523" spans="26:26">
      <c r="Z523" s="85"/>
    </row>
    <row r="524" spans="26:26">
      <c r="Z524" s="85"/>
    </row>
    <row r="525" spans="26:26">
      <c r="Z525" s="85"/>
    </row>
    <row r="526" spans="26:26">
      <c r="Z526" s="85"/>
    </row>
    <row r="527" spans="26:26">
      <c r="Z527" s="85"/>
    </row>
    <row r="528" spans="26:26">
      <c r="Z528" s="85"/>
    </row>
    <row r="529" spans="26:26">
      <c r="Z529" s="85"/>
    </row>
    <row r="530" spans="26:26">
      <c r="Z530" s="85"/>
    </row>
    <row r="531" spans="26:26">
      <c r="Z531" s="85"/>
    </row>
    <row r="532" spans="26:26">
      <c r="Z532" s="85"/>
    </row>
    <row r="533" spans="26:26">
      <c r="Z533" s="85"/>
    </row>
    <row r="534" spans="26:26">
      <c r="Z534" s="85"/>
    </row>
    <row r="535" spans="26:26">
      <c r="Z535" s="85"/>
    </row>
    <row r="536" spans="26:26">
      <c r="Z536" s="85"/>
    </row>
    <row r="537" spans="26:26">
      <c r="Z537" s="85"/>
    </row>
    <row r="538" spans="26:26">
      <c r="Z538" s="85"/>
    </row>
    <row r="539" spans="26:26">
      <c r="Z539" s="85"/>
    </row>
    <row r="540" spans="26:26">
      <c r="Z540" s="85"/>
    </row>
    <row r="541" spans="26:26">
      <c r="Z541" s="85"/>
    </row>
    <row r="542" spans="26:26">
      <c r="Z542" s="85"/>
    </row>
    <row r="543" spans="26:26">
      <c r="Z543" s="85"/>
    </row>
    <row r="544" spans="26:26">
      <c r="Z544" s="85"/>
    </row>
    <row r="545" spans="26:26">
      <c r="Z545" s="85"/>
    </row>
    <row r="546" spans="26:26">
      <c r="Z546" s="85"/>
    </row>
    <row r="547" spans="26:26">
      <c r="Z547" s="85"/>
    </row>
    <row r="548" spans="26:26">
      <c r="Z548" s="85"/>
    </row>
    <row r="549" spans="26:26">
      <c r="Z549" s="85"/>
    </row>
    <row r="550" spans="26:26">
      <c r="Z550" s="85"/>
    </row>
    <row r="551" spans="26:26">
      <c r="Z551" s="85"/>
    </row>
    <row r="552" spans="26:26">
      <c r="Z552" s="85"/>
    </row>
    <row r="553" spans="26:26">
      <c r="Z553" s="85"/>
    </row>
    <row r="554" spans="26:26">
      <c r="Z554" s="85"/>
    </row>
    <row r="555" spans="26:26">
      <c r="Z555" s="85"/>
    </row>
    <row r="556" spans="26:26">
      <c r="Z556" s="85"/>
    </row>
    <row r="557" spans="26:26">
      <c r="Z557" s="85"/>
    </row>
    <row r="558" spans="26:26">
      <c r="Z558" s="85"/>
    </row>
    <row r="559" spans="26:26">
      <c r="Z559" s="85"/>
    </row>
    <row r="560" spans="26:26">
      <c r="Z560" s="85"/>
    </row>
    <row r="561" spans="26:26">
      <c r="Z561" s="85"/>
    </row>
    <row r="562" spans="26:26">
      <c r="Z562" s="85"/>
    </row>
    <row r="563" spans="26:26">
      <c r="Z563" s="85"/>
    </row>
    <row r="564" spans="26:26">
      <c r="Z564" s="85"/>
    </row>
    <row r="565" spans="26:26">
      <c r="Z565" s="85"/>
    </row>
    <row r="566" spans="26:26">
      <c r="Z566" s="85"/>
    </row>
    <row r="567" spans="26:26">
      <c r="Z567" s="85"/>
    </row>
    <row r="568" spans="26:26">
      <c r="Z568" s="85"/>
    </row>
    <row r="569" spans="26:26">
      <c r="Z569" s="85"/>
    </row>
    <row r="570" spans="26:26">
      <c r="Z570" s="85"/>
    </row>
    <row r="571" spans="26:26">
      <c r="Z571" s="85"/>
    </row>
    <row r="572" spans="26:26">
      <c r="Z572" s="85"/>
    </row>
    <row r="573" spans="26:26">
      <c r="Z573" s="85"/>
    </row>
    <row r="574" spans="26:26">
      <c r="Z574" s="85"/>
    </row>
    <row r="575" spans="26:26">
      <c r="Z575" s="85"/>
    </row>
    <row r="576" spans="26:26">
      <c r="Z576" s="85"/>
    </row>
    <row r="577" spans="26:26">
      <c r="Z577" s="85"/>
    </row>
    <row r="578" spans="26:26">
      <c r="Z578" s="85"/>
    </row>
    <row r="579" spans="26:26">
      <c r="Z579" s="85"/>
    </row>
    <row r="580" spans="26:26">
      <c r="Z580" s="85"/>
    </row>
    <row r="581" spans="26:26">
      <c r="Z581" s="85"/>
    </row>
    <row r="582" spans="26:26">
      <c r="Z582" s="85"/>
    </row>
    <row r="583" spans="26:26">
      <c r="Z583" s="85"/>
    </row>
    <row r="584" spans="26:26">
      <c r="Z584" s="85"/>
    </row>
    <row r="585" spans="26:26">
      <c r="Z585" s="85"/>
    </row>
    <row r="586" spans="26:26">
      <c r="Z586" s="85"/>
    </row>
    <row r="587" spans="26:26">
      <c r="Z587" s="85"/>
    </row>
    <row r="588" spans="26:26">
      <c r="Z588" s="85"/>
    </row>
    <row r="589" spans="26:26">
      <c r="Z589" s="85"/>
    </row>
    <row r="590" spans="26:26">
      <c r="Z590" s="85"/>
    </row>
    <row r="591" spans="26:26">
      <c r="Z591" s="85"/>
    </row>
    <row r="592" spans="26:26">
      <c r="Z592" s="85"/>
    </row>
    <row r="593" spans="26:26">
      <c r="Z593" s="85"/>
    </row>
    <row r="594" spans="26:26">
      <c r="Z594" s="85"/>
    </row>
    <row r="595" spans="26:26">
      <c r="Z595" s="85"/>
    </row>
    <row r="596" spans="26:26">
      <c r="Z596" s="85"/>
    </row>
    <row r="597" spans="26:26">
      <c r="Z597" s="85"/>
    </row>
    <row r="598" spans="26:26">
      <c r="Z598" s="85"/>
    </row>
    <row r="599" spans="26:26">
      <c r="Z599" s="85"/>
    </row>
    <row r="600" spans="26:26">
      <c r="Z600" s="85"/>
    </row>
    <row r="601" spans="26:26">
      <c r="Z601" s="85"/>
    </row>
    <row r="602" spans="26:26">
      <c r="Z602" s="85"/>
    </row>
    <row r="603" spans="26:26">
      <c r="Z603" s="85"/>
    </row>
    <row r="604" spans="26:26">
      <c r="Z604" s="85"/>
    </row>
    <row r="605" spans="26:26">
      <c r="Z605" s="85"/>
    </row>
    <row r="606" spans="26:26">
      <c r="Z606" s="85"/>
    </row>
    <row r="607" spans="26:26">
      <c r="Z607" s="85"/>
    </row>
    <row r="608" spans="26:26">
      <c r="Z608" s="85"/>
    </row>
    <row r="609" spans="26:26">
      <c r="Z609" s="85"/>
    </row>
    <row r="610" spans="26:26">
      <c r="Z610" s="85"/>
    </row>
    <row r="611" spans="26:26">
      <c r="Z611" s="85"/>
    </row>
    <row r="612" spans="26:26">
      <c r="Z612" s="85"/>
    </row>
    <row r="613" spans="26:26">
      <c r="Z613" s="85"/>
    </row>
    <row r="614" spans="26:26">
      <c r="Z614" s="85"/>
    </row>
    <row r="615" spans="26:26">
      <c r="Z615" s="85"/>
    </row>
    <row r="616" spans="26:26">
      <c r="Z616" s="85"/>
    </row>
    <row r="617" spans="26:26">
      <c r="Z617" s="85"/>
    </row>
    <row r="618" spans="26:26">
      <c r="Z618" s="85"/>
    </row>
    <row r="619" spans="26:26">
      <c r="Z619" s="85"/>
    </row>
    <row r="620" spans="26:26">
      <c r="Z620" s="85"/>
    </row>
    <row r="621" spans="26:26">
      <c r="Z621" s="85"/>
    </row>
    <row r="622" spans="26:26">
      <c r="Z622" s="85"/>
    </row>
    <row r="623" spans="26:26">
      <c r="Z623" s="85"/>
    </row>
    <row r="624" spans="26:26">
      <c r="Z624" s="85"/>
    </row>
    <row r="625" spans="26:26">
      <c r="Z625" s="85"/>
    </row>
    <row r="626" spans="26:26">
      <c r="Z626" s="85"/>
    </row>
    <row r="627" spans="26:26">
      <c r="Z627" s="85"/>
    </row>
    <row r="628" spans="26:26">
      <c r="Z628" s="85"/>
    </row>
    <row r="629" spans="26:26">
      <c r="Z629" s="85"/>
    </row>
    <row r="630" spans="26:26">
      <c r="Z630" s="85"/>
    </row>
    <row r="631" spans="26:26">
      <c r="Z631" s="85"/>
    </row>
    <row r="632" spans="26:26">
      <c r="Z632" s="85"/>
    </row>
    <row r="633" spans="26:26">
      <c r="Z633" s="85"/>
    </row>
    <row r="634" spans="26:26">
      <c r="Z634" s="85"/>
    </row>
    <row r="635" spans="26:26">
      <c r="Z635" s="85"/>
    </row>
    <row r="636" spans="26:26">
      <c r="Z636" s="85"/>
    </row>
    <row r="637" spans="26:26">
      <c r="Z637" s="85"/>
    </row>
    <row r="638" spans="26:26">
      <c r="Z638" s="85"/>
    </row>
    <row r="639" spans="26:26">
      <c r="Z639" s="85"/>
    </row>
    <row r="640" spans="26:26">
      <c r="Z640" s="85"/>
    </row>
    <row r="641" spans="26:26">
      <c r="Z641" s="85"/>
    </row>
    <row r="642" spans="26:26">
      <c r="Z642" s="85"/>
    </row>
    <row r="643" spans="26:26">
      <c r="Z643" s="85"/>
    </row>
    <row r="644" spans="26:26">
      <c r="Z644" s="85"/>
    </row>
    <row r="645" spans="26:26">
      <c r="Z645" s="85"/>
    </row>
    <row r="646" spans="26:26">
      <c r="Z646" s="85"/>
    </row>
    <row r="647" spans="26:26">
      <c r="Z647" s="85"/>
    </row>
    <row r="648" spans="26:26">
      <c r="Z648" s="85"/>
    </row>
    <row r="649" spans="26:26">
      <c r="Z649" s="85"/>
    </row>
    <row r="650" spans="26:26">
      <c r="Z650" s="85"/>
    </row>
    <row r="651" spans="26:26">
      <c r="Z651" s="85"/>
    </row>
    <row r="652" spans="26:26">
      <c r="Z652" s="85"/>
    </row>
    <row r="653" spans="26:26">
      <c r="Z653" s="85"/>
    </row>
    <row r="654" spans="26:26">
      <c r="Z654" s="85"/>
    </row>
    <row r="655" spans="26:26">
      <c r="Z655" s="85"/>
    </row>
    <row r="656" spans="26:26">
      <c r="Z656" s="85"/>
    </row>
    <row r="657" spans="26:26">
      <c r="Z657" s="85"/>
    </row>
    <row r="658" spans="26:26">
      <c r="Z658" s="85"/>
    </row>
    <row r="659" spans="26:26">
      <c r="Z659" s="85"/>
    </row>
    <row r="660" spans="26:26">
      <c r="Z660" s="85"/>
    </row>
    <row r="661" spans="26:26">
      <c r="Z661" s="85"/>
    </row>
    <row r="662" spans="26:26">
      <c r="Z662" s="85"/>
    </row>
    <row r="663" spans="26:26">
      <c r="Z663" s="85"/>
    </row>
    <row r="664" spans="26:26">
      <c r="Z664" s="85"/>
    </row>
    <row r="665" spans="26:26">
      <c r="Z665" s="85"/>
    </row>
    <row r="666" spans="26:26">
      <c r="Z666" s="85"/>
    </row>
    <row r="667" spans="26:26">
      <c r="Z667" s="85"/>
    </row>
    <row r="668" spans="26:26">
      <c r="Z668" s="85"/>
    </row>
    <row r="669" spans="26:26">
      <c r="Z669" s="85"/>
    </row>
    <row r="670" spans="26:26">
      <c r="Z670" s="85"/>
    </row>
    <row r="671" spans="26:26">
      <c r="Z671" s="85"/>
    </row>
    <row r="672" spans="26:26">
      <c r="Z672" s="85"/>
    </row>
    <row r="673" spans="26:26">
      <c r="Z673" s="85"/>
    </row>
    <row r="674" spans="26:26">
      <c r="Z674" s="85"/>
    </row>
    <row r="675" spans="26:26">
      <c r="Z675" s="85"/>
    </row>
    <row r="676" spans="26:26">
      <c r="Z676" s="85"/>
    </row>
    <row r="677" spans="26:26">
      <c r="Z677" s="85"/>
    </row>
    <row r="678" spans="26:26">
      <c r="Z678" s="85"/>
    </row>
    <row r="679" spans="26:26">
      <c r="Z679" s="85"/>
    </row>
    <row r="680" spans="26:26">
      <c r="Z680" s="85"/>
    </row>
    <row r="681" spans="26:26">
      <c r="Z681" s="85"/>
    </row>
    <row r="682" spans="26:26">
      <c r="Z682" s="85"/>
    </row>
    <row r="683" spans="26:26">
      <c r="Z683" s="85"/>
    </row>
    <row r="684" spans="26:26">
      <c r="Z684" s="85"/>
    </row>
    <row r="685" spans="26:26">
      <c r="Z685" s="85"/>
    </row>
    <row r="686" spans="26:26">
      <c r="Z686" s="85"/>
    </row>
    <row r="687" spans="26:26">
      <c r="Z687" s="85"/>
    </row>
    <row r="688" spans="26:26">
      <c r="Z688" s="85"/>
    </row>
    <row r="689" spans="26:26">
      <c r="Z689" s="85"/>
    </row>
    <row r="690" spans="26:26">
      <c r="Z690" s="85"/>
    </row>
    <row r="691" spans="26:26">
      <c r="Z691" s="85"/>
    </row>
    <row r="692" spans="26:26">
      <c r="Z692" s="85"/>
    </row>
    <row r="693" spans="26:26">
      <c r="Z693" s="85"/>
    </row>
    <row r="694" spans="26:26">
      <c r="Z694" s="85"/>
    </row>
    <row r="695" spans="26:26">
      <c r="Z695" s="85"/>
    </row>
    <row r="696" spans="26:26">
      <c r="Z696" s="85"/>
    </row>
    <row r="697" spans="26:26">
      <c r="Z697" s="85"/>
    </row>
    <row r="698" spans="26:26">
      <c r="Z698" s="85"/>
    </row>
    <row r="699" spans="26:26">
      <c r="Z699" s="85"/>
    </row>
    <row r="700" spans="26:26">
      <c r="Z700" s="85"/>
    </row>
    <row r="701" spans="26:26">
      <c r="Z701" s="85"/>
    </row>
    <row r="702" spans="26:26">
      <c r="Z702" s="85"/>
    </row>
    <row r="703" spans="26:26">
      <c r="Z703" s="85"/>
    </row>
    <row r="704" spans="26:26">
      <c r="Z704" s="85"/>
    </row>
    <row r="705" spans="26:26">
      <c r="Z705" s="85"/>
    </row>
    <row r="706" spans="26:26">
      <c r="Z706" s="85"/>
    </row>
    <row r="707" spans="26:26">
      <c r="Z707" s="85"/>
    </row>
    <row r="708" spans="26:26">
      <c r="Z708" s="85"/>
    </row>
    <row r="709" spans="26:26">
      <c r="Z709" s="85"/>
    </row>
    <row r="710" spans="26:26">
      <c r="Z710" s="85"/>
    </row>
    <row r="711" spans="26:26">
      <c r="Z711" s="85"/>
    </row>
    <row r="712" spans="26:26">
      <c r="Z712" s="85"/>
    </row>
    <row r="713" spans="26:26">
      <c r="Z713" s="85"/>
    </row>
    <row r="714" spans="26:26">
      <c r="Z714" s="85"/>
    </row>
    <row r="715" spans="26:26">
      <c r="Z715" s="85"/>
    </row>
    <row r="716" spans="26:26">
      <c r="Z716" s="85"/>
    </row>
    <row r="717" spans="26:26">
      <c r="Z717" s="85"/>
    </row>
    <row r="718" spans="26:26">
      <c r="Z718" s="85"/>
    </row>
    <row r="719" spans="26:26">
      <c r="Z719" s="85"/>
    </row>
    <row r="720" spans="26:26">
      <c r="Z720" s="85"/>
    </row>
    <row r="721" spans="26:26">
      <c r="Z721" s="85"/>
    </row>
    <row r="722" spans="26:26">
      <c r="Z722" s="85"/>
    </row>
    <row r="723" spans="26:26">
      <c r="Z723" s="85"/>
    </row>
    <row r="724" spans="26:26">
      <c r="Z724" s="85"/>
    </row>
    <row r="725" spans="26:26">
      <c r="Z725" s="85"/>
    </row>
    <row r="726" spans="26:26">
      <c r="Z726" s="85"/>
    </row>
    <row r="727" spans="26:26">
      <c r="Z727" s="85"/>
    </row>
    <row r="728" spans="26:26">
      <c r="Z728" s="85"/>
    </row>
    <row r="729" spans="26:26">
      <c r="Z729" s="85"/>
    </row>
    <row r="730" spans="26:26">
      <c r="Z730" s="85"/>
    </row>
    <row r="731" spans="26:26">
      <c r="Z731" s="85"/>
    </row>
    <row r="732" spans="26:26">
      <c r="Z732" s="85"/>
    </row>
    <row r="733" spans="26:26">
      <c r="Z733" s="85"/>
    </row>
    <row r="734" spans="26:26">
      <c r="Z734" s="85"/>
    </row>
    <row r="735" spans="26:26">
      <c r="Z735" s="85"/>
    </row>
    <row r="736" spans="26:26">
      <c r="Z736" s="85"/>
    </row>
    <row r="737" spans="26:26">
      <c r="Z737" s="85"/>
    </row>
    <row r="738" spans="26:26">
      <c r="Z738" s="85"/>
    </row>
    <row r="739" spans="26:26">
      <c r="Z739" s="85"/>
    </row>
    <row r="740" spans="26:26">
      <c r="Z740" s="85"/>
    </row>
    <row r="741" spans="26:26">
      <c r="Z741" s="85"/>
    </row>
    <row r="742" spans="26:26">
      <c r="Z742" s="85"/>
    </row>
    <row r="743" spans="26:26">
      <c r="Z743" s="85"/>
    </row>
    <row r="744" spans="26:26">
      <c r="Z744" s="85"/>
    </row>
    <row r="745" spans="26:26">
      <c r="Z745" s="85"/>
    </row>
    <row r="746" spans="26:26">
      <c r="Z746" s="85"/>
    </row>
    <row r="747" spans="26:26">
      <c r="Z747" s="85"/>
    </row>
    <row r="748" spans="26:26">
      <c r="Z748" s="85"/>
    </row>
    <row r="749" spans="26:26">
      <c r="Z749" s="85"/>
    </row>
    <row r="750" spans="26:26">
      <c r="Z750" s="85"/>
    </row>
    <row r="751" spans="26:26">
      <c r="Z751" s="85"/>
    </row>
    <row r="752" spans="26:26">
      <c r="Z752" s="85"/>
    </row>
    <row r="753" spans="26:26">
      <c r="Z753" s="85"/>
    </row>
    <row r="754" spans="26:26">
      <c r="Z754" s="85"/>
    </row>
    <row r="755" spans="26:26">
      <c r="Z755" s="85"/>
    </row>
    <row r="756" spans="26:26">
      <c r="Z756" s="85"/>
    </row>
    <row r="757" spans="26:26">
      <c r="Z757" s="85"/>
    </row>
    <row r="758" spans="26:26">
      <c r="Z758" s="85"/>
    </row>
    <row r="759" spans="26:26">
      <c r="Z759" s="85"/>
    </row>
    <row r="760" spans="26:26">
      <c r="Z760" s="85"/>
    </row>
    <row r="761" spans="26:26">
      <c r="Z761" s="85"/>
    </row>
    <row r="762" spans="26:26">
      <c r="Z762" s="85"/>
    </row>
    <row r="763" spans="26:26">
      <c r="Z763" s="85"/>
    </row>
    <row r="764" spans="26:26">
      <c r="Z764" s="85"/>
    </row>
    <row r="765" spans="26:26">
      <c r="Z765" s="85"/>
    </row>
    <row r="766" spans="26:26">
      <c r="Z766" s="85"/>
    </row>
    <row r="767" spans="26:26">
      <c r="Z767" s="85"/>
    </row>
    <row r="768" spans="26:26">
      <c r="Z768" s="85"/>
    </row>
    <row r="769" spans="26:26">
      <c r="Z769" s="85"/>
    </row>
    <row r="770" spans="26:26">
      <c r="Z770" s="85"/>
    </row>
    <row r="771" spans="26:26">
      <c r="Z771" s="85"/>
    </row>
    <row r="772" spans="26:26">
      <c r="Z772" s="85"/>
    </row>
    <row r="773" spans="26:26">
      <c r="Z773" s="85"/>
    </row>
    <row r="774" spans="26:26">
      <c r="Z774" s="85"/>
    </row>
    <row r="775" spans="26:26">
      <c r="Z775" s="85"/>
    </row>
    <row r="776" spans="26:26">
      <c r="Z776" s="85"/>
    </row>
    <row r="777" spans="26:26">
      <c r="Z777" s="85"/>
    </row>
    <row r="778" spans="26:26">
      <c r="Z778" s="85"/>
    </row>
    <row r="779" spans="26:26">
      <c r="Z779" s="85"/>
    </row>
    <row r="780" spans="26:26">
      <c r="Z780" s="85"/>
    </row>
    <row r="781" spans="26:26">
      <c r="Z781" s="85"/>
    </row>
    <row r="782" spans="26:26">
      <c r="Z782" s="85"/>
    </row>
    <row r="783" spans="26:26">
      <c r="Z783" s="85"/>
    </row>
    <row r="784" spans="26:26">
      <c r="Z784" s="85"/>
    </row>
    <row r="785" spans="26:26">
      <c r="Z785" s="85"/>
    </row>
    <row r="786" spans="26:26">
      <c r="Z786" s="85"/>
    </row>
    <row r="787" spans="26:26">
      <c r="Z787" s="85"/>
    </row>
    <row r="788" spans="26:26">
      <c r="Z788" s="85"/>
    </row>
    <row r="789" spans="26:26">
      <c r="Z789" s="85"/>
    </row>
    <row r="790" spans="26:26">
      <c r="Z790" s="85"/>
    </row>
    <row r="791" spans="26:26">
      <c r="Z791" s="85"/>
    </row>
    <row r="792" spans="26:26">
      <c r="Z792" s="85"/>
    </row>
    <row r="793" spans="26:26">
      <c r="Z793" s="85"/>
    </row>
    <row r="794" spans="26:26">
      <c r="Z794" s="85"/>
    </row>
    <row r="795" spans="26:26">
      <c r="Z795" s="85"/>
    </row>
    <row r="796" spans="26:26">
      <c r="Z796" s="85"/>
    </row>
    <row r="797" spans="26:26">
      <c r="Z797" s="85"/>
    </row>
    <row r="798" spans="26:26">
      <c r="Z798" s="85"/>
    </row>
    <row r="799" spans="26:26">
      <c r="Z799" s="85"/>
    </row>
    <row r="800" spans="26:26">
      <c r="Z800" s="85"/>
    </row>
    <row r="801" spans="26:26">
      <c r="Z801" s="85"/>
    </row>
    <row r="802" spans="26:26">
      <c r="Z802" s="85"/>
    </row>
    <row r="803" spans="26:26">
      <c r="Z803" s="85"/>
    </row>
    <row r="804" spans="26:26">
      <c r="Z804" s="85"/>
    </row>
    <row r="805" spans="26:26">
      <c r="Z805" s="85"/>
    </row>
    <row r="806" spans="26:26">
      <c r="Z806" s="85"/>
    </row>
    <row r="807" spans="26:26">
      <c r="Z807" s="85"/>
    </row>
    <row r="808" spans="26:26">
      <c r="Z808" s="85"/>
    </row>
    <row r="809" spans="26:26">
      <c r="Z809" s="85"/>
    </row>
    <row r="810" spans="26:26">
      <c r="Z810" s="85"/>
    </row>
    <row r="811" spans="26:26">
      <c r="Z811" s="85"/>
    </row>
    <row r="812" spans="26:26">
      <c r="Z812" s="85"/>
    </row>
    <row r="813" spans="26:26">
      <c r="Z813" s="85"/>
    </row>
    <row r="814" spans="26:26">
      <c r="Z814" s="85"/>
    </row>
    <row r="815" spans="26:26">
      <c r="Z815" s="85"/>
    </row>
    <row r="816" spans="26:26">
      <c r="Z816" s="85"/>
    </row>
    <row r="817" spans="26:26">
      <c r="Z817" s="85"/>
    </row>
    <row r="818" spans="26:26">
      <c r="Z818" s="85"/>
    </row>
    <row r="819" spans="26:26">
      <c r="Z819" s="85"/>
    </row>
    <row r="820" spans="26:26">
      <c r="Z820" s="85"/>
    </row>
    <row r="821" spans="26:26">
      <c r="Z821" s="85"/>
    </row>
    <row r="822" spans="26:26">
      <c r="Z822" s="85"/>
    </row>
    <row r="823" spans="26:26">
      <c r="Z823" s="85"/>
    </row>
    <row r="824" spans="26:26">
      <c r="Z824" s="85"/>
    </row>
    <row r="825" spans="26:26">
      <c r="Z825" s="85"/>
    </row>
    <row r="826" spans="26:26">
      <c r="Z826" s="85"/>
    </row>
    <row r="827" spans="26:26">
      <c r="Z827" s="85"/>
    </row>
    <row r="828" spans="26:26">
      <c r="Z828" s="85"/>
    </row>
    <row r="829" spans="26:26">
      <c r="Z829" s="85"/>
    </row>
    <row r="830" spans="26:26">
      <c r="Z830" s="85"/>
    </row>
    <row r="831" spans="26:26">
      <c r="Z831" s="85"/>
    </row>
    <row r="832" spans="26:26">
      <c r="Z832" s="85"/>
    </row>
    <row r="833" spans="26:26">
      <c r="Z833" s="85"/>
    </row>
    <row r="834" spans="26:26">
      <c r="Z834" s="85"/>
    </row>
    <row r="835" spans="26:26">
      <c r="Z835" s="85"/>
    </row>
    <row r="836" spans="26:26">
      <c r="Z836" s="85"/>
    </row>
    <row r="837" spans="26:26">
      <c r="Z837" s="85"/>
    </row>
    <row r="838" spans="26:26">
      <c r="Z838" s="85"/>
    </row>
    <row r="839" spans="26:26">
      <c r="Z839" s="85"/>
    </row>
    <row r="840" spans="26:26">
      <c r="Z840" s="85"/>
    </row>
    <row r="841" spans="26:26">
      <c r="Z841" s="85"/>
    </row>
    <row r="842" spans="26:26">
      <c r="Z842" s="85"/>
    </row>
    <row r="843" spans="26:26">
      <c r="Z843" s="85"/>
    </row>
    <row r="844" spans="26:26">
      <c r="Z844" s="85"/>
    </row>
    <row r="845" spans="26:26">
      <c r="Z845" s="85"/>
    </row>
    <row r="846" spans="26:26">
      <c r="Z846" s="85"/>
    </row>
    <row r="847" spans="26:26">
      <c r="Z847" s="85"/>
    </row>
    <row r="848" spans="26:26">
      <c r="Z848" s="85"/>
    </row>
    <row r="849" spans="26:26">
      <c r="Z849" s="85"/>
    </row>
    <row r="850" spans="26:26">
      <c r="Z850" s="85"/>
    </row>
    <row r="851" spans="26:26">
      <c r="Z851" s="85"/>
    </row>
    <row r="852" spans="26:26">
      <c r="Z852" s="85"/>
    </row>
    <row r="853" spans="26:26">
      <c r="Z853" s="85"/>
    </row>
    <row r="854" spans="26:26">
      <c r="Z854" s="85"/>
    </row>
    <row r="855" spans="26:26">
      <c r="Z855" s="85"/>
    </row>
    <row r="856" spans="26:26">
      <c r="Z856" s="85"/>
    </row>
    <row r="857" spans="26:26">
      <c r="Z857" s="85"/>
    </row>
    <row r="858" spans="26:26">
      <c r="Z858" s="85"/>
    </row>
    <row r="859" spans="26:26">
      <c r="Z859" s="85"/>
    </row>
    <row r="860" spans="26:26">
      <c r="Z860" s="85"/>
    </row>
    <row r="861" spans="26:26">
      <c r="Z861" s="85"/>
    </row>
    <row r="862" spans="26:26">
      <c r="Z862" s="85"/>
    </row>
    <row r="863" spans="26:26">
      <c r="Z863" s="85"/>
    </row>
    <row r="864" spans="26:26">
      <c r="Z864" s="85"/>
    </row>
    <row r="865" spans="26:26">
      <c r="Z865" s="85"/>
    </row>
    <row r="866" spans="26:26">
      <c r="Z866" s="85"/>
    </row>
    <row r="867" spans="26:26">
      <c r="Z867" s="85"/>
    </row>
    <row r="868" spans="26:26">
      <c r="Z868" s="85"/>
    </row>
    <row r="869" spans="26:26">
      <c r="Z869" s="85"/>
    </row>
    <row r="870" spans="26:26">
      <c r="Z870" s="85"/>
    </row>
    <row r="871" spans="26:26">
      <c r="Z871" s="85"/>
    </row>
    <row r="872" spans="26:26">
      <c r="Z872" s="85"/>
    </row>
    <row r="873" spans="26:26">
      <c r="Z873" s="85"/>
    </row>
    <row r="874" spans="26:26">
      <c r="Z874" s="85"/>
    </row>
    <row r="875" spans="26:26">
      <c r="Z875" s="85"/>
    </row>
    <row r="876" spans="26:26">
      <c r="Z876" s="85"/>
    </row>
    <row r="877" spans="26:26">
      <c r="Z877" s="85"/>
    </row>
    <row r="878" spans="26:26">
      <c r="Z878" s="85"/>
    </row>
    <row r="879" spans="26:26">
      <c r="Z879" s="85"/>
    </row>
    <row r="880" spans="26:26">
      <c r="Z880" s="85"/>
    </row>
    <row r="881" spans="26:26">
      <c r="Z881" s="85"/>
    </row>
    <row r="882" spans="26:26">
      <c r="Z882" s="85"/>
    </row>
    <row r="883" spans="26:26">
      <c r="Z883" s="85"/>
    </row>
    <row r="884" spans="26:26">
      <c r="Z884" s="85"/>
    </row>
    <row r="885" spans="26:26">
      <c r="Z885" s="85"/>
    </row>
    <row r="886" spans="26:26">
      <c r="Z886" s="85"/>
    </row>
    <row r="887" spans="26:26">
      <c r="Z887" s="85"/>
    </row>
    <row r="888" spans="26:26">
      <c r="Z888" s="85"/>
    </row>
    <row r="889" spans="26:26">
      <c r="Z889" s="85"/>
    </row>
    <row r="890" spans="26:26">
      <c r="Z890" s="85"/>
    </row>
    <row r="891" spans="26:26">
      <c r="Z891" s="85"/>
    </row>
    <row r="892" spans="26:26">
      <c r="Z892" s="85"/>
    </row>
    <row r="893" spans="26:26">
      <c r="Z893" s="85"/>
    </row>
    <row r="894" spans="26:26">
      <c r="Z894" s="85"/>
    </row>
    <row r="895" spans="26:26">
      <c r="Z895" s="85"/>
    </row>
    <row r="896" spans="26:26">
      <c r="Z896" s="85"/>
    </row>
    <row r="897" spans="26:26">
      <c r="Z897" s="85"/>
    </row>
    <row r="898" spans="26:26">
      <c r="Z898" s="85"/>
    </row>
    <row r="899" spans="26:26">
      <c r="Z899" s="85"/>
    </row>
    <row r="900" spans="26:26">
      <c r="Z900" s="85"/>
    </row>
    <row r="901" spans="26:26">
      <c r="Z901" s="85"/>
    </row>
    <row r="902" spans="26:26">
      <c r="Z902" s="85"/>
    </row>
    <row r="903" spans="26:26">
      <c r="Z903" s="85"/>
    </row>
    <row r="904" spans="26:26">
      <c r="Z904" s="85"/>
    </row>
    <row r="905" spans="26:26">
      <c r="Z905" s="85"/>
    </row>
    <row r="906" spans="26:26">
      <c r="Z906" s="85"/>
    </row>
    <row r="907" spans="26:26">
      <c r="Z907" s="85"/>
    </row>
    <row r="908" spans="26:26">
      <c r="Z908" s="85"/>
    </row>
    <row r="909" spans="26:26">
      <c r="Z909" s="85"/>
    </row>
    <row r="910" spans="26:26">
      <c r="Z910" s="85"/>
    </row>
    <row r="911" spans="26:26">
      <c r="Z911" s="85"/>
    </row>
    <row r="912" spans="26:26">
      <c r="Z912" s="85"/>
    </row>
    <row r="913" spans="26:26">
      <c r="Z913" s="85"/>
    </row>
    <row r="914" spans="26:26">
      <c r="Z914" s="85"/>
    </row>
    <row r="915" spans="26:26">
      <c r="Z915" s="85"/>
    </row>
    <row r="916" spans="26:26">
      <c r="Z916" s="85"/>
    </row>
    <row r="917" spans="26:26">
      <c r="Z917" s="85"/>
    </row>
    <row r="918" spans="26:26">
      <c r="Z918" s="85"/>
    </row>
    <row r="919" spans="26:26">
      <c r="Z919" s="85"/>
    </row>
    <row r="920" spans="26:26">
      <c r="Z920" s="85"/>
    </row>
    <row r="921" spans="26:26">
      <c r="Z921" s="85"/>
    </row>
    <row r="922" spans="26:26">
      <c r="Z922" s="85"/>
    </row>
    <row r="923" spans="26:26">
      <c r="Z923" s="85"/>
    </row>
    <row r="924" spans="26:26">
      <c r="Z924" s="85"/>
    </row>
    <row r="925" spans="26:26">
      <c r="Z925" s="85"/>
    </row>
    <row r="926" spans="26:26">
      <c r="Z926" s="85"/>
    </row>
    <row r="927" spans="26:26">
      <c r="Z927" s="85"/>
    </row>
    <row r="928" spans="26:26">
      <c r="Z928" s="85"/>
    </row>
    <row r="929" spans="26:26">
      <c r="Z929" s="85"/>
    </row>
    <row r="930" spans="26:26">
      <c r="Z930" s="85"/>
    </row>
    <row r="931" spans="26:26">
      <c r="Z931" s="85"/>
    </row>
    <row r="932" spans="26:26">
      <c r="Z932" s="85"/>
    </row>
    <row r="933" spans="26:26">
      <c r="Z933" s="85"/>
    </row>
    <row r="934" spans="26:26">
      <c r="Z934" s="85"/>
    </row>
    <row r="935" spans="26:26">
      <c r="Z935" s="85"/>
    </row>
    <row r="936" spans="26:26">
      <c r="Z936" s="85"/>
    </row>
    <row r="937" spans="26:26">
      <c r="Z937" s="85"/>
    </row>
  </sheetData>
  <mergeCells count="16">
    <mergeCell ref="AG9:AG39"/>
    <mergeCell ref="Z21:AF22"/>
    <mergeCell ref="Z23:AF39"/>
    <mergeCell ref="A1:A39"/>
    <mergeCell ref="B1:AF3"/>
    <mergeCell ref="B4:H6"/>
    <mergeCell ref="I4:I35"/>
    <mergeCell ref="J4:P6"/>
    <mergeCell ref="Q4:Q35"/>
    <mergeCell ref="R7:X7"/>
    <mergeCell ref="B36:Y39"/>
    <mergeCell ref="R4:X6"/>
    <mergeCell ref="Z4:AF6"/>
    <mergeCell ref="B7:H7"/>
    <mergeCell ref="J7:L7"/>
    <mergeCell ref="Y4:Y35"/>
  </mergeCells>
  <printOptions horizontalCentered="1" gridLines="1"/>
  <pageMargins left="0.7" right="0.7" top="0.75" bottom="0.75" header="0" footer="0"/>
  <pageSetup fitToHeight="0" pageOrder="overThenDown" orientation="landscape" cellComments="atEn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CEFAB"/>
    <outlinePr summaryBelow="0" summaryRight="0"/>
  </sheetPr>
  <dimension ref="A1:AP1137"/>
  <sheetViews>
    <sheetView workbookViewId="0"/>
  </sheetViews>
  <sheetFormatPr defaultColWidth="14.42578125" defaultRowHeight="15.75" customHeight="1"/>
  <cols>
    <col min="1" max="1" width="26.42578125" customWidth="1"/>
    <col min="2" max="2" width="9.42578125" customWidth="1"/>
    <col min="3" max="3" width="23.7109375" customWidth="1"/>
    <col min="4" max="4" width="11" customWidth="1"/>
    <col min="5" max="5" width="12.42578125" customWidth="1"/>
    <col min="6" max="6" width="11.85546875" customWidth="1"/>
    <col min="7" max="7" width="11.5703125" customWidth="1"/>
    <col min="10" max="10" width="12.140625" customWidth="1"/>
    <col min="11" max="11" width="17.85546875" customWidth="1"/>
    <col min="12" max="13" width="18.28515625" customWidth="1"/>
    <col min="14" max="14" width="17.7109375" customWidth="1"/>
    <col min="15" max="15" width="3.5703125" customWidth="1"/>
    <col min="16" max="18" width="19.5703125" customWidth="1"/>
    <col min="19" max="19" width="17.28515625" customWidth="1"/>
    <col min="20" max="20" width="4.5703125" customWidth="1"/>
    <col min="21" max="21" width="19.7109375" customWidth="1"/>
    <col min="22" max="23" width="18.5703125" customWidth="1"/>
    <col min="24" max="24" width="18" customWidth="1"/>
    <col min="25" max="25" width="18.5703125" customWidth="1"/>
    <col min="26" max="26" width="4.42578125" customWidth="1"/>
    <col min="27" max="28" width="21" customWidth="1"/>
    <col min="29" max="29" width="19.7109375" customWidth="1"/>
    <col min="30" max="30" width="4" customWidth="1"/>
    <col min="31" max="31" width="20.7109375" customWidth="1"/>
    <col min="32" max="32" width="7.140625" customWidth="1"/>
    <col min="33" max="42" width="20.7109375" customWidth="1"/>
  </cols>
  <sheetData>
    <row r="1" spans="1:42">
      <c r="A1" s="88"/>
      <c r="B1" s="89"/>
      <c r="C1" s="90"/>
      <c r="D1" s="90"/>
      <c r="E1" s="91"/>
      <c r="F1" s="91"/>
      <c r="G1" s="91"/>
      <c r="H1" s="91"/>
      <c r="I1" s="91"/>
      <c r="J1" s="92"/>
      <c r="K1" s="93"/>
      <c r="L1" s="93"/>
      <c r="M1" s="93"/>
      <c r="N1" s="93"/>
      <c r="O1" s="92"/>
      <c r="P1" s="93"/>
      <c r="Q1" s="93"/>
      <c r="R1" s="93"/>
      <c r="S1" s="93"/>
      <c r="T1" s="85"/>
      <c r="U1" s="94"/>
      <c r="V1" s="94"/>
      <c r="W1" s="94"/>
      <c r="X1" s="94"/>
      <c r="Y1" s="95"/>
      <c r="AA1" s="96"/>
      <c r="AB1" s="96"/>
      <c r="AC1" s="96"/>
      <c r="AD1" s="97"/>
      <c r="AE1" s="96"/>
      <c r="AF1" s="98"/>
      <c r="AG1" s="96"/>
      <c r="AH1" s="96"/>
      <c r="AI1" s="96"/>
      <c r="AJ1" s="96"/>
      <c r="AK1" s="96"/>
      <c r="AL1" s="99"/>
      <c r="AM1" s="99"/>
      <c r="AN1" s="99"/>
      <c r="AO1" s="99"/>
      <c r="AP1" s="99"/>
    </row>
    <row r="2" spans="1:42">
      <c r="A2" s="88"/>
      <c r="B2" s="89"/>
      <c r="C2" s="90"/>
      <c r="D2" s="90"/>
      <c r="E2" s="91"/>
      <c r="F2" s="91"/>
      <c r="G2" s="91"/>
      <c r="H2" s="91"/>
      <c r="I2" s="91"/>
      <c r="J2" s="92"/>
      <c r="K2" s="708" t="s">
        <v>97</v>
      </c>
      <c r="L2" s="709"/>
      <c r="M2" s="709"/>
      <c r="N2" s="709"/>
      <c r="O2" s="92"/>
      <c r="P2" s="708" t="s">
        <v>98</v>
      </c>
      <c r="Q2" s="709"/>
      <c r="R2" s="709"/>
      <c r="S2" s="709"/>
      <c r="T2" s="85"/>
      <c r="U2" s="710" t="s">
        <v>99</v>
      </c>
      <c r="V2" s="709"/>
      <c r="W2" s="709"/>
      <c r="X2" s="709"/>
      <c r="Y2" s="100"/>
      <c r="AA2" s="96"/>
      <c r="AB2" s="96"/>
      <c r="AC2" s="96"/>
      <c r="AD2" s="97"/>
      <c r="AE2" s="96"/>
      <c r="AF2" s="98"/>
      <c r="AG2" s="96"/>
      <c r="AH2" s="96"/>
      <c r="AI2" s="96"/>
      <c r="AJ2" s="96"/>
      <c r="AK2" s="96"/>
      <c r="AL2" s="99"/>
      <c r="AM2" s="99"/>
      <c r="AN2" s="99"/>
      <c r="AO2" s="99"/>
      <c r="AP2" s="99"/>
    </row>
    <row r="3" spans="1:42" ht="63">
      <c r="A3" s="101" t="s">
        <v>100</v>
      </c>
      <c r="B3" s="102" t="s">
        <v>101</v>
      </c>
      <c r="C3" s="103" t="s">
        <v>102</v>
      </c>
      <c r="D3" s="103" t="s">
        <v>103</v>
      </c>
      <c r="E3" s="104" t="s">
        <v>104</v>
      </c>
      <c r="F3" s="104" t="s">
        <v>105</v>
      </c>
      <c r="G3" s="104" t="s">
        <v>106</v>
      </c>
      <c r="H3" s="104" t="s">
        <v>107</v>
      </c>
      <c r="I3" s="104" t="s">
        <v>108</v>
      </c>
      <c r="J3" s="105"/>
      <c r="K3" s="106" t="s">
        <v>109</v>
      </c>
      <c r="L3" s="106" t="s">
        <v>106</v>
      </c>
      <c r="M3" s="106" t="s">
        <v>107</v>
      </c>
      <c r="N3" s="106" t="s">
        <v>110</v>
      </c>
      <c r="O3" s="107"/>
      <c r="P3" s="106" t="s">
        <v>109</v>
      </c>
      <c r="Q3" s="106" t="s">
        <v>106</v>
      </c>
      <c r="R3" s="106" t="s">
        <v>111</v>
      </c>
      <c r="S3" s="106" t="s">
        <v>108</v>
      </c>
      <c r="T3" s="108"/>
      <c r="U3" s="109" t="s">
        <v>109</v>
      </c>
      <c r="V3" s="110" t="s">
        <v>106</v>
      </c>
      <c r="W3" s="109" t="s">
        <v>111</v>
      </c>
      <c r="X3" s="109" t="s">
        <v>108</v>
      </c>
      <c r="Y3" s="111" t="s">
        <v>100</v>
      </c>
      <c r="Z3" s="112"/>
      <c r="AA3" s="106" t="s">
        <v>112</v>
      </c>
      <c r="AB3" s="106" t="s">
        <v>113</v>
      </c>
      <c r="AC3" s="106" t="s">
        <v>114</v>
      </c>
      <c r="AD3" s="113"/>
      <c r="AE3" s="106" t="s">
        <v>115</v>
      </c>
      <c r="AF3" s="114"/>
      <c r="AG3" s="115"/>
      <c r="AH3" s="106" t="s">
        <v>116</v>
      </c>
      <c r="AI3" s="106" t="s">
        <v>117</v>
      </c>
      <c r="AJ3" s="106" t="s">
        <v>118</v>
      </c>
      <c r="AK3" s="106" t="s">
        <v>119</v>
      </c>
      <c r="AL3" s="106" t="s">
        <v>120</v>
      </c>
      <c r="AM3" s="106" t="s">
        <v>121</v>
      </c>
      <c r="AN3" s="106" t="s">
        <v>122</v>
      </c>
      <c r="AO3" s="115"/>
      <c r="AP3" s="115"/>
    </row>
    <row r="4" spans="1:42">
      <c r="A4" s="116" t="s">
        <v>123</v>
      </c>
      <c r="B4" s="117"/>
      <c r="C4" s="118"/>
      <c r="D4" s="119"/>
      <c r="E4" s="120"/>
      <c r="F4" s="120"/>
      <c r="G4" s="120"/>
      <c r="H4" s="120"/>
      <c r="I4" s="120"/>
      <c r="J4" s="121"/>
      <c r="K4" s="122">
        <f t="shared" ref="K4:S4" si="0">K401</f>
        <v>329011</v>
      </c>
      <c r="L4" s="122">
        <f t="shared" si="0"/>
        <v>168559</v>
      </c>
      <c r="M4" s="122">
        <f t="shared" si="0"/>
        <v>339992</v>
      </c>
      <c r="N4" s="122">
        <f t="shared" si="0"/>
        <v>807234</v>
      </c>
      <c r="O4" s="122">
        <f t="shared" si="0"/>
        <v>0</v>
      </c>
      <c r="P4" s="122">
        <f t="shared" si="0"/>
        <v>61782</v>
      </c>
      <c r="Q4" s="122">
        <f t="shared" si="0"/>
        <v>81532</v>
      </c>
      <c r="R4" s="122">
        <f t="shared" si="0"/>
        <v>486977</v>
      </c>
      <c r="S4" s="122">
        <f t="shared" si="0"/>
        <v>630291</v>
      </c>
      <c r="T4" s="123"/>
      <c r="U4" s="124">
        <f t="shared" ref="U4:X4" si="1">P4/K4</f>
        <v>0.1877809556519387</v>
      </c>
      <c r="V4" s="124">
        <f t="shared" si="1"/>
        <v>0.4837000694118973</v>
      </c>
      <c r="W4" s="124">
        <f t="shared" si="1"/>
        <v>1.4323189957410762</v>
      </c>
      <c r="X4" s="124">
        <f t="shared" si="1"/>
        <v>0.7808033358357056</v>
      </c>
      <c r="Y4" s="125" t="s">
        <v>124</v>
      </c>
      <c r="Z4" s="126"/>
      <c r="AA4" s="122"/>
      <c r="AB4" s="122"/>
      <c r="AC4" s="122"/>
      <c r="AD4" s="121"/>
      <c r="AE4" s="127"/>
      <c r="AF4" s="127"/>
      <c r="AG4" s="127"/>
      <c r="AH4" s="127"/>
      <c r="AI4" s="127"/>
      <c r="AJ4" s="127"/>
      <c r="AK4" s="128"/>
      <c r="AL4" s="128"/>
      <c r="AM4" s="128"/>
      <c r="AN4" s="128"/>
      <c r="AO4" s="128"/>
      <c r="AP4" s="128"/>
    </row>
    <row r="5" spans="1:42">
      <c r="A5" s="116"/>
      <c r="B5" s="117"/>
      <c r="C5" s="118"/>
      <c r="D5" s="119"/>
      <c r="E5" s="120"/>
      <c r="F5" s="120"/>
      <c r="G5" s="120"/>
      <c r="H5" s="120"/>
      <c r="I5" s="120"/>
      <c r="J5" s="121"/>
      <c r="K5" s="122">
        <f t="shared" ref="K5:P5" si="2">K402</f>
        <v>0</v>
      </c>
      <c r="L5" s="122">
        <f t="shared" si="2"/>
        <v>0</v>
      </c>
      <c r="M5" s="122">
        <f t="shared" si="2"/>
        <v>0</v>
      </c>
      <c r="N5" s="122">
        <f t="shared" si="2"/>
        <v>0</v>
      </c>
      <c r="O5" s="122">
        <f t="shared" si="2"/>
        <v>0</v>
      </c>
      <c r="P5" s="122">
        <f t="shared" si="2"/>
        <v>0</v>
      </c>
      <c r="Q5" s="122"/>
      <c r="R5" s="122"/>
      <c r="S5" s="122"/>
      <c r="T5" s="123"/>
      <c r="U5" s="124"/>
      <c r="V5" s="124"/>
      <c r="W5" s="124"/>
      <c r="X5" s="124"/>
      <c r="Y5" s="129"/>
      <c r="Z5" s="126"/>
      <c r="AA5" s="122"/>
      <c r="AB5" s="122"/>
      <c r="AC5" s="122"/>
      <c r="AD5" s="121"/>
      <c r="AE5" s="127"/>
      <c r="AF5" s="127"/>
      <c r="AG5" s="130"/>
      <c r="AH5" s="130" t="str">
        <f t="shared" ref="AH5:AH47" si="3">IF(D5=2013, E5+F5, " ")</f>
        <v xml:space="preserve"> </v>
      </c>
      <c r="AI5" s="130" t="str">
        <f t="shared" ref="AI5:AI47" si="4">IF(D5=2014, E5+F5, " ")</f>
        <v xml:space="preserve"> </v>
      </c>
      <c r="AJ5" s="127"/>
      <c r="AK5" s="128"/>
      <c r="AL5" s="128"/>
      <c r="AM5" s="128"/>
      <c r="AN5" s="128"/>
      <c r="AO5" s="128"/>
      <c r="AP5" s="128"/>
    </row>
    <row r="6" spans="1:42">
      <c r="A6" s="131" t="s">
        <v>125</v>
      </c>
      <c r="B6" s="132">
        <v>8</v>
      </c>
      <c r="C6" s="118" t="s">
        <v>126</v>
      </c>
      <c r="D6" s="118">
        <v>2014</v>
      </c>
      <c r="E6" s="133">
        <v>38</v>
      </c>
      <c r="F6" s="133">
        <v>4</v>
      </c>
      <c r="G6" s="133">
        <v>35</v>
      </c>
      <c r="H6" s="134">
        <v>528</v>
      </c>
      <c r="I6" s="133">
        <f t="shared" ref="I6:I11" si="5">E6+F6+G6+H6</f>
        <v>605</v>
      </c>
      <c r="J6" s="135"/>
      <c r="K6" s="136"/>
      <c r="L6" s="136"/>
      <c r="M6" s="137"/>
      <c r="N6" s="138"/>
      <c r="O6" s="135"/>
      <c r="P6" s="136">
        <f>E6+F6</f>
        <v>42</v>
      </c>
      <c r="Q6" s="136">
        <f t="shared" ref="Q6:S6" si="6">G6</f>
        <v>35</v>
      </c>
      <c r="R6" s="137">
        <f t="shared" si="6"/>
        <v>528</v>
      </c>
      <c r="S6" s="136">
        <f t="shared" si="6"/>
        <v>605</v>
      </c>
      <c r="T6" s="139"/>
      <c r="U6" s="140"/>
      <c r="V6" s="140"/>
      <c r="W6" s="141"/>
      <c r="X6" s="140"/>
      <c r="Y6" s="142"/>
      <c r="Z6" s="143"/>
      <c r="AA6" s="136"/>
      <c r="AB6" s="136"/>
      <c r="AC6" s="136"/>
      <c r="AD6" s="135"/>
      <c r="AE6" s="127"/>
      <c r="AF6" s="127"/>
      <c r="AG6" s="130"/>
      <c r="AH6" s="130" t="str">
        <f t="shared" si="3"/>
        <v xml:space="preserve"> </v>
      </c>
      <c r="AI6" s="130">
        <f t="shared" si="4"/>
        <v>42</v>
      </c>
      <c r="AJ6" s="144" t="str">
        <f t="shared" ref="AJ6:AJ47" si="7">IF(D6=2015, E6+F6, " ")</f>
        <v xml:space="preserve"> </v>
      </c>
      <c r="AK6" s="128"/>
      <c r="AL6" s="128"/>
      <c r="AM6" s="128"/>
      <c r="AN6" s="128"/>
      <c r="AO6" s="128"/>
      <c r="AP6" s="128"/>
    </row>
    <row r="7" spans="1:42">
      <c r="A7" s="131" t="s">
        <v>125</v>
      </c>
      <c r="B7" s="132">
        <v>8</v>
      </c>
      <c r="C7" s="118" t="s">
        <v>126</v>
      </c>
      <c r="D7" s="118">
        <v>2015</v>
      </c>
      <c r="E7" s="133">
        <v>442</v>
      </c>
      <c r="F7" s="133">
        <v>222</v>
      </c>
      <c r="G7" s="133">
        <v>232</v>
      </c>
      <c r="H7" s="134">
        <v>4258</v>
      </c>
      <c r="I7" s="133">
        <f t="shared" si="5"/>
        <v>5154</v>
      </c>
      <c r="J7" s="135"/>
      <c r="K7" s="136">
        <v>2065</v>
      </c>
      <c r="L7" s="136">
        <f>ROUND('HCD Assigned 5th Cycle RHNA'!F250/8,0)</f>
        <v>991</v>
      </c>
      <c r="M7" s="137">
        <f>ROUND('HCD Assigned 5th Cycle RHNA'!G250/8,0)</f>
        <v>2450</v>
      </c>
      <c r="N7" s="138">
        <f>ROUND('HCD Assigned 5th Cycle RHNA'!H250/8,0)</f>
        <v>5505</v>
      </c>
      <c r="O7" s="135"/>
      <c r="P7" s="136">
        <f t="shared" ref="P7:P11" si="8">E7+F7+P6</f>
        <v>706</v>
      </c>
      <c r="Q7" s="136">
        <f t="shared" ref="Q7:S7" si="9">G7+Q6</f>
        <v>267</v>
      </c>
      <c r="R7" s="137">
        <f t="shared" si="9"/>
        <v>4786</v>
      </c>
      <c r="S7" s="136">
        <f t="shared" si="9"/>
        <v>5759</v>
      </c>
      <c r="T7" s="139"/>
      <c r="U7" s="140">
        <f t="shared" ref="U7:X7" si="10">P7/K7</f>
        <v>0.34188861985472158</v>
      </c>
      <c r="V7" s="140">
        <f t="shared" si="10"/>
        <v>0.26942482341069629</v>
      </c>
      <c r="W7" s="141">
        <f t="shared" si="10"/>
        <v>1.9534693877551021</v>
      </c>
      <c r="X7" s="140">
        <f t="shared" si="10"/>
        <v>1.0461398728428701</v>
      </c>
      <c r="Y7" s="142"/>
      <c r="Z7" s="143"/>
      <c r="AA7" s="136"/>
      <c r="AB7" s="136"/>
      <c r="AC7" s="136"/>
      <c r="AD7" s="135"/>
      <c r="AE7" s="127"/>
      <c r="AF7" s="127"/>
      <c r="AG7" s="130"/>
      <c r="AH7" s="130" t="str">
        <f t="shared" si="3"/>
        <v xml:space="preserve"> </v>
      </c>
      <c r="AI7" s="130" t="str">
        <f t="shared" si="4"/>
        <v xml:space="preserve"> </v>
      </c>
      <c r="AJ7" s="130">
        <f t="shared" si="7"/>
        <v>664</v>
      </c>
      <c r="AK7" s="128" t="str">
        <f t="shared" ref="AK7:AK47" si="11">IF(D7=2016, E7+F7, " ")</f>
        <v xml:space="preserve"> </v>
      </c>
      <c r="AL7" s="128" t="str">
        <f t="shared" ref="AL7:AL47" si="12">IF(D7=2017, E7+F7, " ")</f>
        <v xml:space="preserve"> </v>
      </c>
      <c r="AM7" s="128" t="str">
        <f t="shared" ref="AM7:AM47" si="13">IF(D7=2018, E7+F7, " ")</f>
        <v xml:space="preserve"> </v>
      </c>
      <c r="AN7" s="130" t="str">
        <f t="shared" ref="AN7:AN47" si="14">IF(D7=2019, E7+F7, " ")</f>
        <v xml:space="preserve"> </v>
      </c>
      <c r="AO7" s="130"/>
      <c r="AP7" s="130"/>
    </row>
    <row r="8" spans="1:42">
      <c r="A8" s="131" t="s">
        <v>125</v>
      </c>
      <c r="B8" s="132">
        <v>8</v>
      </c>
      <c r="C8" s="118" t="s">
        <v>126</v>
      </c>
      <c r="D8" s="118">
        <v>2016</v>
      </c>
      <c r="E8" s="133">
        <v>276</v>
      </c>
      <c r="F8" s="133">
        <v>72</v>
      </c>
      <c r="G8" s="133">
        <v>415</v>
      </c>
      <c r="H8" s="134">
        <v>4090</v>
      </c>
      <c r="I8" s="133">
        <f t="shared" si="5"/>
        <v>4853</v>
      </c>
      <c r="J8" s="135"/>
      <c r="K8" s="136">
        <f t="shared" ref="K8:N8" si="15">K7*2</f>
        <v>4130</v>
      </c>
      <c r="L8" s="136">
        <f t="shared" si="15"/>
        <v>1982</v>
      </c>
      <c r="M8" s="137">
        <f t="shared" si="15"/>
        <v>4900</v>
      </c>
      <c r="N8" s="136">
        <f t="shared" si="15"/>
        <v>11010</v>
      </c>
      <c r="O8" s="135"/>
      <c r="P8" s="136">
        <f t="shared" si="8"/>
        <v>1054</v>
      </c>
      <c r="Q8" s="136">
        <f t="shared" ref="Q8:S8" si="16">G8+Q7</f>
        <v>682</v>
      </c>
      <c r="R8" s="137">
        <f t="shared" si="16"/>
        <v>8876</v>
      </c>
      <c r="S8" s="136">
        <f t="shared" si="16"/>
        <v>10612</v>
      </c>
      <c r="T8" s="139"/>
      <c r="U8" s="140">
        <f t="shared" ref="U8:X8" si="17">P8/K8</f>
        <v>0.25520581113801455</v>
      </c>
      <c r="V8" s="140">
        <f t="shared" si="17"/>
        <v>0.34409687184661958</v>
      </c>
      <c r="W8" s="141">
        <f t="shared" si="17"/>
        <v>1.8114285714285714</v>
      </c>
      <c r="X8" s="140">
        <f t="shared" si="17"/>
        <v>0.96385104450499548</v>
      </c>
      <c r="Y8" s="142"/>
      <c r="Z8" s="143"/>
      <c r="AA8" s="136"/>
      <c r="AB8" s="136"/>
      <c r="AC8" s="136"/>
      <c r="AD8" s="135"/>
      <c r="AE8" s="127" t="s">
        <v>1566</v>
      </c>
      <c r="AF8" s="127"/>
      <c r="AG8" s="130"/>
      <c r="AH8" s="130" t="str">
        <f t="shared" si="3"/>
        <v xml:space="preserve"> </v>
      </c>
      <c r="AI8" s="130" t="str">
        <f t="shared" si="4"/>
        <v xml:space="preserve"> </v>
      </c>
      <c r="AJ8" s="144" t="str">
        <f t="shared" si="7"/>
        <v xml:space="preserve"> </v>
      </c>
      <c r="AK8" s="128">
        <f t="shared" si="11"/>
        <v>348</v>
      </c>
      <c r="AL8" s="128" t="str">
        <f t="shared" si="12"/>
        <v xml:space="preserve"> </v>
      </c>
      <c r="AM8" s="128" t="str">
        <f t="shared" si="13"/>
        <v xml:space="preserve"> </v>
      </c>
      <c r="AN8" s="130" t="str">
        <f t="shared" si="14"/>
        <v xml:space="preserve"> </v>
      </c>
      <c r="AO8" s="130"/>
      <c r="AP8" s="130"/>
    </row>
    <row r="9" spans="1:42">
      <c r="A9" s="131" t="s">
        <v>125</v>
      </c>
      <c r="B9" s="132">
        <v>8</v>
      </c>
      <c r="C9" s="118" t="s">
        <v>126</v>
      </c>
      <c r="D9" s="118">
        <v>2017</v>
      </c>
      <c r="E9" s="133">
        <v>693</v>
      </c>
      <c r="F9" s="133">
        <v>447</v>
      </c>
      <c r="G9" s="133">
        <v>69</v>
      </c>
      <c r="H9" s="134">
        <v>8220</v>
      </c>
      <c r="I9" s="133">
        <f t="shared" si="5"/>
        <v>9429</v>
      </c>
      <c r="J9" s="135"/>
      <c r="K9" s="136">
        <f t="shared" ref="K9:N9" si="18">K7*3</f>
        <v>6195</v>
      </c>
      <c r="L9" s="136">
        <f t="shared" si="18"/>
        <v>2973</v>
      </c>
      <c r="M9" s="137">
        <f t="shared" si="18"/>
        <v>7350</v>
      </c>
      <c r="N9" s="136">
        <f t="shared" si="18"/>
        <v>16515</v>
      </c>
      <c r="O9" s="135"/>
      <c r="P9" s="136">
        <f t="shared" si="8"/>
        <v>2194</v>
      </c>
      <c r="Q9" s="136">
        <f t="shared" ref="Q9:S9" si="19">G9+Q8</f>
        <v>751</v>
      </c>
      <c r="R9" s="137">
        <f t="shared" si="19"/>
        <v>17096</v>
      </c>
      <c r="S9" s="136">
        <f t="shared" si="19"/>
        <v>20041</v>
      </c>
      <c r="T9" s="139"/>
      <c r="U9" s="140">
        <f t="shared" ref="U9:X9" si="20">P9/K9</f>
        <v>0.35415657788539145</v>
      </c>
      <c r="V9" s="140">
        <f t="shared" si="20"/>
        <v>0.2526067944836865</v>
      </c>
      <c r="W9" s="141">
        <f t="shared" si="20"/>
        <v>2.3259863945578232</v>
      </c>
      <c r="X9" s="140">
        <f t="shared" si="20"/>
        <v>1.2135028761731759</v>
      </c>
      <c r="Y9" s="142"/>
      <c r="Z9" s="143"/>
      <c r="AA9" s="136"/>
      <c r="AB9" s="136"/>
      <c r="AC9" s="136"/>
      <c r="AD9" s="135"/>
      <c r="AE9" s="127" t="s">
        <v>1566</v>
      </c>
      <c r="AF9" s="127"/>
      <c r="AG9" s="130"/>
      <c r="AH9" s="130" t="str">
        <f t="shared" si="3"/>
        <v xml:space="preserve"> </v>
      </c>
      <c r="AI9" s="130" t="str">
        <f t="shared" si="4"/>
        <v xml:space="preserve"> </v>
      </c>
      <c r="AJ9" s="144" t="str">
        <f t="shared" si="7"/>
        <v xml:space="preserve"> </v>
      </c>
      <c r="AK9" s="128" t="str">
        <f t="shared" si="11"/>
        <v xml:space="preserve"> </v>
      </c>
      <c r="AL9" s="128">
        <f t="shared" si="12"/>
        <v>1140</v>
      </c>
      <c r="AM9" s="128" t="str">
        <f t="shared" si="13"/>
        <v xml:space="preserve"> </v>
      </c>
      <c r="AN9" s="130" t="str">
        <f t="shared" si="14"/>
        <v xml:space="preserve"> </v>
      </c>
      <c r="AO9" s="130"/>
      <c r="AP9" s="130"/>
    </row>
    <row r="10" spans="1:42">
      <c r="A10" s="131" t="s">
        <v>125</v>
      </c>
      <c r="B10" s="132">
        <v>8</v>
      </c>
      <c r="C10" s="118" t="s">
        <v>126</v>
      </c>
      <c r="D10" s="118">
        <v>2018</v>
      </c>
      <c r="E10" s="133">
        <v>466</v>
      </c>
      <c r="F10" s="133">
        <v>527</v>
      </c>
      <c r="G10" s="133">
        <v>155</v>
      </c>
      <c r="H10" s="134">
        <v>13050</v>
      </c>
      <c r="I10" s="133">
        <f t="shared" si="5"/>
        <v>14198</v>
      </c>
      <c r="J10" s="135"/>
      <c r="K10" s="136">
        <f t="shared" ref="K10:N10" si="21">K7*4</f>
        <v>8260</v>
      </c>
      <c r="L10" s="136">
        <f t="shared" si="21"/>
        <v>3964</v>
      </c>
      <c r="M10" s="137">
        <f t="shared" si="21"/>
        <v>9800</v>
      </c>
      <c r="N10" s="136">
        <f t="shared" si="21"/>
        <v>22020</v>
      </c>
      <c r="O10" s="145"/>
      <c r="P10" s="136">
        <f t="shared" si="8"/>
        <v>3187</v>
      </c>
      <c r="Q10" s="136">
        <f t="shared" ref="Q10:S10" si="22">G10+Q9</f>
        <v>906</v>
      </c>
      <c r="R10" s="137">
        <f t="shared" si="22"/>
        <v>30146</v>
      </c>
      <c r="S10" s="136">
        <f t="shared" si="22"/>
        <v>34239</v>
      </c>
      <c r="T10" s="139"/>
      <c r="U10" s="140">
        <f t="shared" ref="U10:X10" si="23">P10/K10</f>
        <v>0.38583535108958839</v>
      </c>
      <c r="V10" s="140">
        <f t="shared" si="23"/>
        <v>0.22855701311806256</v>
      </c>
      <c r="W10" s="141">
        <f t="shared" si="23"/>
        <v>3.076122448979592</v>
      </c>
      <c r="X10" s="140">
        <f t="shared" si="23"/>
        <v>1.5549046321525886</v>
      </c>
      <c r="Y10" s="146"/>
      <c r="Z10" s="143"/>
      <c r="AA10" s="138"/>
      <c r="AB10" s="136" t="s">
        <v>1566</v>
      </c>
      <c r="AC10" s="128" t="s">
        <v>1566</v>
      </c>
      <c r="AD10" s="135"/>
      <c r="AE10" s="127" t="s">
        <v>1566</v>
      </c>
      <c r="AF10" s="127"/>
      <c r="AG10" s="130"/>
      <c r="AH10" s="130" t="str">
        <f t="shared" si="3"/>
        <v xml:space="preserve"> </v>
      </c>
      <c r="AI10" s="130" t="str">
        <f t="shared" si="4"/>
        <v xml:space="preserve"> </v>
      </c>
      <c r="AJ10" s="144" t="str">
        <f t="shared" si="7"/>
        <v xml:space="preserve"> </v>
      </c>
      <c r="AK10" s="128" t="str">
        <f t="shared" si="11"/>
        <v xml:space="preserve"> </v>
      </c>
      <c r="AL10" s="128" t="str">
        <f t="shared" si="12"/>
        <v xml:space="preserve"> </v>
      </c>
      <c r="AM10" s="128">
        <f t="shared" si="13"/>
        <v>993</v>
      </c>
      <c r="AN10" s="130" t="str">
        <f t="shared" si="14"/>
        <v xml:space="preserve"> </v>
      </c>
      <c r="AO10" s="130"/>
      <c r="AP10" s="130"/>
    </row>
    <row r="11" spans="1:42">
      <c r="A11" s="131" t="s">
        <v>125</v>
      </c>
      <c r="B11" s="132">
        <v>8</v>
      </c>
      <c r="C11" s="118" t="s">
        <v>126</v>
      </c>
      <c r="D11" s="118">
        <v>2019</v>
      </c>
      <c r="E11" s="133">
        <v>274</v>
      </c>
      <c r="F11" s="133">
        <v>154</v>
      </c>
      <c r="G11" s="133">
        <v>149</v>
      </c>
      <c r="H11" s="134">
        <v>5899</v>
      </c>
      <c r="I11" s="133">
        <f t="shared" si="5"/>
        <v>6476</v>
      </c>
      <c r="J11" s="135"/>
      <c r="K11" s="136">
        <f t="shared" ref="K11:N11" si="24">K7*5</f>
        <v>10325</v>
      </c>
      <c r="L11" s="136">
        <f t="shared" si="24"/>
        <v>4955</v>
      </c>
      <c r="M11" s="137">
        <f t="shared" si="24"/>
        <v>12250</v>
      </c>
      <c r="N11" s="136">
        <f t="shared" si="24"/>
        <v>27525</v>
      </c>
      <c r="O11" s="145"/>
      <c r="P11" s="136">
        <f t="shared" si="8"/>
        <v>3615</v>
      </c>
      <c r="Q11" s="136">
        <f t="shared" ref="Q11:S11" si="25">G11+Q10</f>
        <v>1055</v>
      </c>
      <c r="R11" s="137">
        <f t="shared" si="25"/>
        <v>36045</v>
      </c>
      <c r="S11" s="136">
        <f t="shared" si="25"/>
        <v>40715</v>
      </c>
      <c r="T11" s="139"/>
      <c r="U11" s="140">
        <f t="shared" ref="U11:X11" si="26">P11/K11</f>
        <v>0.35012106537530269</v>
      </c>
      <c r="V11" s="140">
        <f t="shared" si="26"/>
        <v>0.21291624621594349</v>
      </c>
      <c r="W11" s="141">
        <f t="shared" si="26"/>
        <v>2.9424489795918367</v>
      </c>
      <c r="X11" s="140">
        <f t="shared" si="26"/>
        <v>1.4792007266121707</v>
      </c>
      <c r="Y11" s="146" t="s">
        <v>125</v>
      </c>
      <c r="Z11" s="143"/>
      <c r="AA11" s="138">
        <v>44036</v>
      </c>
      <c r="AB11" s="136">
        <v>27525</v>
      </c>
      <c r="AC11" s="128">
        <v>40715</v>
      </c>
      <c r="AD11" s="135"/>
      <c r="AE11" s="127">
        <f>N7</f>
        <v>5505</v>
      </c>
      <c r="AF11" s="127"/>
      <c r="AG11" s="130"/>
      <c r="AH11" s="130" t="str">
        <f t="shared" si="3"/>
        <v xml:space="preserve"> </v>
      </c>
      <c r="AI11" s="130" t="str">
        <f t="shared" si="4"/>
        <v xml:space="preserve"> </v>
      </c>
      <c r="AJ11" s="144" t="str">
        <f t="shared" si="7"/>
        <v xml:space="preserve"> </v>
      </c>
      <c r="AK11" s="128" t="str">
        <f t="shared" si="11"/>
        <v xml:space="preserve"> </v>
      </c>
      <c r="AL11" s="128" t="str">
        <f t="shared" si="12"/>
        <v xml:space="preserve"> </v>
      </c>
      <c r="AM11" s="128" t="str">
        <f t="shared" si="13"/>
        <v xml:space="preserve"> </v>
      </c>
      <c r="AN11" s="130">
        <f t="shared" si="14"/>
        <v>428</v>
      </c>
      <c r="AO11" s="130"/>
      <c r="AP11" s="130"/>
    </row>
    <row r="12" spans="1:42">
      <c r="A12" s="131"/>
      <c r="B12" s="132"/>
      <c r="C12" s="118"/>
      <c r="D12" s="118"/>
      <c r="E12" s="133"/>
      <c r="F12" s="133"/>
      <c r="G12" s="133"/>
      <c r="H12" s="134"/>
      <c r="I12" s="133"/>
      <c r="J12" s="135"/>
      <c r="K12" s="136"/>
      <c r="L12" s="136"/>
      <c r="M12" s="137"/>
      <c r="N12" s="136"/>
      <c r="O12" s="145"/>
      <c r="P12" s="136"/>
      <c r="Q12" s="136"/>
      <c r="R12" s="137"/>
      <c r="S12" s="136"/>
      <c r="T12" s="139"/>
      <c r="U12" s="140"/>
      <c r="V12" s="140"/>
      <c r="W12" s="141"/>
      <c r="X12" s="140"/>
      <c r="Y12" s="142"/>
      <c r="Z12" s="143"/>
      <c r="AA12" s="136"/>
      <c r="AB12" s="136" t="s">
        <v>1566</v>
      </c>
      <c r="AC12" s="128" t="s">
        <v>1566</v>
      </c>
      <c r="AD12" s="135"/>
      <c r="AE12" s="127" t="s">
        <v>1566</v>
      </c>
      <c r="AF12" s="127"/>
      <c r="AG12" s="130"/>
      <c r="AH12" s="130" t="str">
        <f t="shared" si="3"/>
        <v xml:space="preserve"> </v>
      </c>
      <c r="AI12" s="130" t="str">
        <f t="shared" si="4"/>
        <v xml:space="preserve"> </v>
      </c>
      <c r="AJ12" s="144" t="str">
        <f t="shared" si="7"/>
        <v xml:space="preserve"> </v>
      </c>
      <c r="AK12" s="128" t="str">
        <f t="shared" si="11"/>
        <v xml:space="preserve"> </v>
      </c>
      <c r="AL12" s="128" t="str">
        <f t="shared" si="12"/>
        <v xml:space="preserve"> </v>
      </c>
      <c r="AM12" s="128" t="str">
        <f t="shared" si="13"/>
        <v xml:space="preserve"> </v>
      </c>
      <c r="AN12" s="130" t="str">
        <f t="shared" si="14"/>
        <v xml:space="preserve"> </v>
      </c>
      <c r="AO12" s="130"/>
      <c r="AP12" s="130"/>
    </row>
    <row r="13" spans="1:42">
      <c r="A13" s="131" t="s">
        <v>127</v>
      </c>
      <c r="B13" s="132">
        <v>5</v>
      </c>
      <c r="C13" s="118" t="s">
        <v>128</v>
      </c>
      <c r="D13" s="118">
        <v>2014</v>
      </c>
      <c r="E13" s="133">
        <v>0</v>
      </c>
      <c r="F13" s="133">
        <v>0</v>
      </c>
      <c r="G13" s="133">
        <v>1</v>
      </c>
      <c r="H13" s="134">
        <v>1</v>
      </c>
      <c r="I13" s="133">
        <v>2</v>
      </c>
      <c r="J13" s="135"/>
      <c r="K13" s="136">
        <f>ROUND((7+6)/5,0)</f>
        <v>3</v>
      </c>
      <c r="L13" s="136">
        <f>ROUND('HCD Assigned 5th Cycle RHNA'!F557/B13,0)</f>
        <v>1</v>
      </c>
      <c r="M13" s="137">
        <f>ROUND(11/5,0)</f>
        <v>2</v>
      </c>
      <c r="N13" s="136">
        <f>ROUND(30/5,0)</f>
        <v>6</v>
      </c>
      <c r="O13" s="145"/>
      <c r="P13" s="136">
        <f>E13+F13</f>
        <v>0</v>
      </c>
      <c r="Q13" s="136">
        <f t="shared" ref="Q13:S13" si="27">G13</f>
        <v>1</v>
      </c>
      <c r="R13" s="137">
        <f t="shared" si="27"/>
        <v>1</v>
      </c>
      <c r="S13" s="136">
        <f t="shared" si="27"/>
        <v>2</v>
      </c>
      <c r="T13" s="139"/>
      <c r="U13" s="140">
        <f t="shared" ref="U13:X13" si="28">P13/K13</f>
        <v>0</v>
      </c>
      <c r="V13" s="140">
        <f t="shared" si="28"/>
        <v>1</v>
      </c>
      <c r="W13" s="141">
        <f t="shared" si="28"/>
        <v>0.5</v>
      </c>
      <c r="X13" s="140">
        <f t="shared" si="28"/>
        <v>0.33333333333333331</v>
      </c>
      <c r="Y13" s="142"/>
      <c r="Z13" s="143"/>
      <c r="AA13" s="136"/>
      <c r="AB13" s="136" t="s">
        <v>1566</v>
      </c>
      <c r="AC13" s="128" t="s">
        <v>1566</v>
      </c>
      <c r="AD13" s="135"/>
      <c r="AE13" s="127"/>
      <c r="AF13" s="127"/>
      <c r="AG13" s="130"/>
      <c r="AH13" s="130" t="str">
        <f t="shared" si="3"/>
        <v xml:space="preserve"> </v>
      </c>
      <c r="AI13" s="130">
        <f t="shared" si="4"/>
        <v>0</v>
      </c>
      <c r="AJ13" s="144" t="str">
        <f t="shared" si="7"/>
        <v xml:space="preserve"> </v>
      </c>
      <c r="AK13" s="128" t="str">
        <f t="shared" si="11"/>
        <v xml:space="preserve"> </v>
      </c>
      <c r="AL13" s="128" t="str">
        <f t="shared" si="12"/>
        <v xml:space="preserve"> </v>
      </c>
      <c r="AM13" s="128" t="str">
        <f t="shared" si="13"/>
        <v xml:space="preserve"> </v>
      </c>
      <c r="AN13" s="130" t="str">
        <f t="shared" si="14"/>
        <v xml:space="preserve"> </v>
      </c>
      <c r="AO13" s="130"/>
      <c r="AP13" s="130"/>
    </row>
    <row r="14" spans="1:42">
      <c r="A14" s="131" t="s">
        <v>127</v>
      </c>
      <c r="B14" s="132">
        <v>5</v>
      </c>
      <c r="C14" s="118" t="s">
        <v>128</v>
      </c>
      <c r="D14" s="118">
        <v>2015</v>
      </c>
      <c r="E14" s="133">
        <v>0</v>
      </c>
      <c r="F14" s="133">
        <v>0</v>
      </c>
      <c r="G14" s="133">
        <v>0</v>
      </c>
      <c r="H14" s="134">
        <v>4</v>
      </c>
      <c r="I14" s="133">
        <v>4</v>
      </c>
      <c r="J14" s="135"/>
      <c r="K14" s="136">
        <f t="shared" ref="K14:N14" si="29">K13*2</f>
        <v>6</v>
      </c>
      <c r="L14" s="136">
        <f t="shared" si="29"/>
        <v>2</v>
      </c>
      <c r="M14" s="137">
        <f t="shared" si="29"/>
        <v>4</v>
      </c>
      <c r="N14" s="136">
        <f t="shared" si="29"/>
        <v>12</v>
      </c>
      <c r="O14" s="145"/>
      <c r="P14" s="136">
        <f t="shared" ref="P14:P18" si="30">E14+F14+P13</f>
        <v>0</v>
      </c>
      <c r="Q14" s="136">
        <f t="shared" ref="Q14:S14" si="31">G14+Q13</f>
        <v>1</v>
      </c>
      <c r="R14" s="137">
        <f t="shared" si="31"/>
        <v>5</v>
      </c>
      <c r="S14" s="136">
        <f t="shared" si="31"/>
        <v>6</v>
      </c>
      <c r="T14" s="139"/>
      <c r="U14" s="140">
        <f t="shared" ref="U14:X14" si="32">P14/K14</f>
        <v>0</v>
      </c>
      <c r="V14" s="140">
        <f t="shared" si="32"/>
        <v>0.5</v>
      </c>
      <c r="W14" s="141">
        <f t="shared" si="32"/>
        <v>1.25</v>
      </c>
      <c r="X14" s="140">
        <f t="shared" si="32"/>
        <v>0.5</v>
      </c>
      <c r="Y14" s="142"/>
      <c r="Z14" s="143"/>
      <c r="AA14" s="136"/>
      <c r="AB14" s="136" t="s">
        <v>1566</v>
      </c>
      <c r="AC14" s="128" t="s">
        <v>1566</v>
      </c>
      <c r="AD14" s="135"/>
      <c r="AE14" s="127"/>
      <c r="AF14" s="127"/>
      <c r="AG14" s="130"/>
      <c r="AH14" s="130" t="str">
        <f t="shared" si="3"/>
        <v xml:space="preserve"> </v>
      </c>
      <c r="AI14" s="130" t="str">
        <f t="shared" si="4"/>
        <v xml:space="preserve"> </v>
      </c>
      <c r="AJ14" s="130">
        <f t="shared" si="7"/>
        <v>0</v>
      </c>
      <c r="AK14" s="128" t="str">
        <f t="shared" si="11"/>
        <v xml:space="preserve"> </v>
      </c>
      <c r="AL14" s="128" t="str">
        <f t="shared" si="12"/>
        <v xml:space="preserve"> </v>
      </c>
      <c r="AM14" s="128" t="str">
        <f t="shared" si="13"/>
        <v xml:space="preserve"> </v>
      </c>
      <c r="AN14" s="130" t="str">
        <f t="shared" si="14"/>
        <v xml:space="preserve"> </v>
      </c>
      <c r="AO14" s="130"/>
      <c r="AP14" s="130"/>
    </row>
    <row r="15" spans="1:42">
      <c r="A15" s="131" t="s">
        <v>127</v>
      </c>
      <c r="B15" s="132">
        <v>5</v>
      </c>
      <c r="C15" s="118" t="s">
        <v>128</v>
      </c>
      <c r="D15" s="118">
        <v>2016</v>
      </c>
      <c r="E15" s="133">
        <v>0</v>
      </c>
      <c r="F15" s="133">
        <v>0</v>
      </c>
      <c r="G15" s="133">
        <v>0</v>
      </c>
      <c r="H15" s="134">
        <v>2</v>
      </c>
      <c r="I15" s="133">
        <v>2</v>
      </c>
      <c r="J15" s="135"/>
      <c r="K15" s="136">
        <f t="shared" ref="K15:N15" si="33">K13*3</f>
        <v>9</v>
      </c>
      <c r="L15" s="136">
        <f t="shared" si="33"/>
        <v>3</v>
      </c>
      <c r="M15" s="137">
        <f t="shared" si="33"/>
        <v>6</v>
      </c>
      <c r="N15" s="136">
        <f t="shared" si="33"/>
        <v>18</v>
      </c>
      <c r="O15" s="145"/>
      <c r="P15" s="136">
        <f t="shared" si="30"/>
        <v>0</v>
      </c>
      <c r="Q15" s="136">
        <f t="shared" ref="Q15:S15" si="34">G15+Q14</f>
        <v>1</v>
      </c>
      <c r="R15" s="137">
        <f t="shared" si="34"/>
        <v>7</v>
      </c>
      <c r="S15" s="136">
        <f t="shared" si="34"/>
        <v>8</v>
      </c>
      <c r="T15" s="139"/>
      <c r="U15" s="140">
        <f t="shared" ref="U15:X15" si="35">P15/K15</f>
        <v>0</v>
      </c>
      <c r="V15" s="140">
        <f t="shared" si="35"/>
        <v>0.33333333333333331</v>
      </c>
      <c r="W15" s="141">
        <f t="shared" si="35"/>
        <v>1.1666666666666667</v>
      </c>
      <c r="X15" s="140">
        <f t="shared" si="35"/>
        <v>0.44444444444444442</v>
      </c>
      <c r="Y15" s="142"/>
      <c r="Z15" s="143"/>
      <c r="AA15" s="136"/>
      <c r="AB15" s="136" t="s">
        <v>1566</v>
      </c>
      <c r="AC15" s="128" t="s">
        <v>1566</v>
      </c>
      <c r="AD15" s="135"/>
      <c r="AE15" s="127" t="s">
        <v>1566</v>
      </c>
      <c r="AF15" s="127"/>
      <c r="AG15" s="130"/>
      <c r="AH15" s="130" t="str">
        <f t="shared" si="3"/>
        <v xml:space="preserve"> </v>
      </c>
      <c r="AI15" s="130" t="str">
        <f t="shared" si="4"/>
        <v xml:space="preserve"> </v>
      </c>
      <c r="AJ15" s="144" t="str">
        <f t="shared" si="7"/>
        <v xml:space="preserve"> </v>
      </c>
      <c r="AK15" s="128">
        <f t="shared" si="11"/>
        <v>0</v>
      </c>
      <c r="AL15" s="128" t="str">
        <f t="shared" si="12"/>
        <v xml:space="preserve"> </v>
      </c>
      <c r="AM15" s="128" t="str">
        <f t="shared" si="13"/>
        <v xml:space="preserve"> </v>
      </c>
      <c r="AN15" s="130" t="str">
        <f t="shared" si="14"/>
        <v xml:space="preserve"> </v>
      </c>
      <c r="AO15" s="130"/>
      <c r="AP15" s="130"/>
    </row>
    <row r="16" spans="1:42">
      <c r="A16" s="131" t="s">
        <v>127</v>
      </c>
      <c r="B16" s="132">
        <v>5</v>
      </c>
      <c r="C16" s="118" t="s">
        <v>128</v>
      </c>
      <c r="D16" s="118">
        <v>2017</v>
      </c>
      <c r="E16" s="133">
        <v>0</v>
      </c>
      <c r="F16" s="133">
        <v>2</v>
      </c>
      <c r="G16" s="133">
        <v>3</v>
      </c>
      <c r="H16" s="134">
        <v>3</v>
      </c>
      <c r="I16" s="133">
        <v>8</v>
      </c>
      <c r="J16" s="135"/>
      <c r="K16" s="136">
        <f>$K$13*4</f>
        <v>12</v>
      </c>
      <c r="L16" s="136">
        <f>L13*4</f>
        <v>4</v>
      </c>
      <c r="M16" s="137">
        <f t="shared" ref="M16:N16" si="36">$K$13*4</f>
        <v>12</v>
      </c>
      <c r="N16" s="136">
        <f t="shared" si="36"/>
        <v>12</v>
      </c>
      <c r="O16" s="145"/>
      <c r="P16" s="136">
        <f t="shared" si="30"/>
        <v>2</v>
      </c>
      <c r="Q16" s="136">
        <f t="shared" ref="Q16:S16" si="37">G16+Q15</f>
        <v>4</v>
      </c>
      <c r="R16" s="137">
        <f t="shared" si="37"/>
        <v>10</v>
      </c>
      <c r="S16" s="136">
        <f t="shared" si="37"/>
        <v>16</v>
      </c>
      <c r="T16" s="139"/>
      <c r="U16" s="140">
        <f t="shared" ref="U16:X16" si="38">P16/K16</f>
        <v>0.16666666666666666</v>
      </c>
      <c r="V16" s="140">
        <f t="shared" si="38"/>
        <v>1</v>
      </c>
      <c r="W16" s="141">
        <f t="shared" si="38"/>
        <v>0.83333333333333337</v>
      </c>
      <c r="X16" s="140">
        <f t="shared" si="38"/>
        <v>1.3333333333333333</v>
      </c>
      <c r="Y16" s="142"/>
      <c r="Z16" s="143"/>
      <c r="AA16" s="136"/>
      <c r="AB16" s="136" t="s">
        <v>1566</v>
      </c>
      <c r="AC16" s="128" t="s">
        <v>1566</v>
      </c>
      <c r="AD16" s="135"/>
      <c r="AE16" s="127" t="s">
        <v>1566</v>
      </c>
      <c r="AF16" s="127"/>
      <c r="AG16" s="130"/>
      <c r="AH16" s="130" t="str">
        <f t="shared" si="3"/>
        <v xml:space="preserve"> </v>
      </c>
      <c r="AI16" s="130" t="str">
        <f t="shared" si="4"/>
        <v xml:space="preserve"> </v>
      </c>
      <c r="AJ16" s="144" t="str">
        <f t="shared" si="7"/>
        <v xml:space="preserve"> </v>
      </c>
      <c r="AK16" s="128" t="str">
        <f t="shared" si="11"/>
        <v xml:space="preserve"> </v>
      </c>
      <c r="AL16" s="128">
        <f t="shared" si="12"/>
        <v>2</v>
      </c>
      <c r="AM16" s="128" t="str">
        <f t="shared" si="13"/>
        <v xml:space="preserve"> </v>
      </c>
      <c r="AN16" s="130" t="str">
        <f t="shared" si="14"/>
        <v xml:space="preserve"> </v>
      </c>
      <c r="AO16" s="130"/>
      <c r="AP16" s="130"/>
    </row>
    <row r="17" spans="1:42">
      <c r="A17" s="131" t="s">
        <v>127</v>
      </c>
      <c r="B17" s="132">
        <v>5</v>
      </c>
      <c r="C17" s="118" t="s">
        <v>128</v>
      </c>
      <c r="D17" s="118">
        <v>2018</v>
      </c>
      <c r="E17" s="133">
        <v>0</v>
      </c>
      <c r="F17" s="133">
        <v>1</v>
      </c>
      <c r="G17" s="133">
        <v>0</v>
      </c>
      <c r="H17" s="134">
        <v>0</v>
      </c>
      <c r="I17" s="133">
        <v>1</v>
      </c>
      <c r="J17" s="135"/>
      <c r="K17" s="136">
        <f t="shared" ref="K17:N17" si="39">K13*5</f>
        <v>15</v>
      </c>
      <c r="L17" s="136">
        <f t="shared" si="39"/>
        <v>5</v>
      </c>
      <c r="M17" s="137">
        <f t="shared" si="39"/>
        <v>10</v>
      </c>
      <c r="N17" s="136">
        <f t="shared" si="39"/>
        <v>30</v>
      </c>
      <c r="O17" s="145"/>
      <c r="P17" s="136">
        <f t="shared" si="30"/>
        <v>3</v>
      </c>
      <c r="Q17" s="136">
        <f t="shared" ref="Q17:S17" si="40">G17+Q16</f>
        <v>4</v>
      </c>
      <c r="R17" s="137">
        <f t="shared" si="40"/>
        <v>10</v>
      </c>
      <c r="S17" s="136">
        <f t="shared" si="40"/>
        <v>17</v>
      </c>
      <c r="T17" s="139"/>
      <c r="U17" s="140">
        <f t="shared" ref="U17:X17" si="41">P17/K17</f>
        <v>0.2</v>
      </c>
      <c r="V17" s="140">
        <f t="shared" si="41"/>
        <v>0.8</v>
      </c>
      <c r="W17" s="141">
        <f t="shared" si="41"/>
        <v>1</v>
      </c>
      <c r="X17" s="140">
        <f t="shared" si="41"/>
        <v>0.56666666666666665</v>
      </c>
      <c r="Y17" s="142"/>
      <c r="Z17" s="143"/>
      <c r="AA17" s="136"/>
      <c r="AB17" s="136" t="s">
        <v>1566</v>
      </c>
      <c r="AC17" s="128" t="s">
        <v>1566</v>
      </c>
      <c r="AD17" s="135"/>
      <c r="AE17" s="127" t="s">
        <v>1566</v>
      </c>
      <c r="AF17" s="127"/>
      <c r="AG17" s="130"/>
      <c r="AH17" s="130" t="str">
        <f t="shared" si="3"/>
        <v xml:space="preserve"> </v>
      </c>
      <c r="AI17" s="130" t="str">
        <f t="shared" si="4"/>
        <v xml:space="preserve"> </v>
      </c>
      <c r="AJ17" s="144" t="str">
        <f t="shared" si="7"/>
        <v xml:space="preserve"> </v>
      </c>
      <c r="AK17" s="128" t="str">
        <f t="shared" si="11"/>
        <v xml:space="preserve"> </v>
      </c>
      <c r="AL17" s="128" t="str">
        <f t="shared" si="12"/>
        <v xml:space="preserve"> </v>
      </c>
      <c r="AM17" s="128">
        <f t="shared" si="13"/>
        <v>1</v>
      </c>
      <c r="AN17" s="130" t="str">
        <f t="shared" si="14"/>
        <v xml:space="preserve"> </v>
      </c>
      <c r="AO17" s="130"/>
      <c r="AP17" s="130"/>
    </row>
    <row r="18" spans="1:42">
      <c r="A18" s="131" t="s">
        <v>127</v>
      </c>
      <c r="B18" s="132">
        <v>5</v>
      </c>
      <c r="C18" s="118" t="s">
        <v>129</v>
      </c>
      <c r="D18" s="118">
        <v>2019</v>
      </c>
      <c r="E18" s="133">
        <v>0</v>
      </c>
      <c r="F18" s="133">
        <v>2</v>
      </c>
      <c r="G18" s="133">
        <v>0</v>
      </c>
      <c r="H18" s="134">
        <v>0</v>
      </c>
      <c r="I18" s="133">
        <v>2</v>
      </c>
      <c r="J18" s="135"/>
      <c r="K18" s="138">
        <v>15</v>
      </c>
      <c r="L18" s="138">
        <v>5</v>
      </c>
      <c r="M18" s="147">
        <v>10</v>
      </c>
      <c r="N18" s="138">
        <v>30</v>
      </c>
      <c r="O18" s="145"/>
      <c r="P18" s="136">
        <f t="shared" si="30"/>
        <v>5</v>
      </c>
      <c r="Q18" s="136">
        <f t="shared" ref="Q18:S18" si="42">G18+Q17</f>
        <v>4</v>
      </c>
      <c r="R18" s="137">
        <f t="shared" si="42"/>
        <v>10</v>
      </c>
      <c r="S18" s="136">
        <f t="shared" si="42"/>
        <v>19</v>
      </c>
      <c r="T18" s="139"/>
      <c r="U18" s="140">
        <f t="shared" ref="U18:X18" si="43">P18/K18</f>
        <v>0.33333333333333331</v>
      </c>
      <c r="V18" s="140">
        <f t="shared" si="43"/>
        <v>0.8</v>
      </c>
      <c r="W18" s="141">
        <f t="shared" si="43"/>
        <v>1</v>
      </c>
      <c r="X18" s="140">
        <f t="shared" si="43"/>
        <v>0.6333333333333333</v>
      </c>
      <c r="Y18" s="146" t="s">
        <v>127</v>
      </c>
      <c r="Z18" s="143"/>
      <c r="AA18" s="138">
        <v>30</v>
      </c>
      <c r="AB18" s="136">
        <v>30</v>
      </c>
      <c r="AC18" s="128">
        <v>19</v>
      </c>
      <c r="AD18" s="135"/>
      <c r="AE18" s="127">
        <f>N13</f>
        <v>6</v>
      </c>
      <c r="AF18" s="127"/>
      <c r="AG18" s="130"/>
      <c r="AH18" s="130" t="str">
        <f t="shared" si="3"/>
        <v xml:space="preserve"> </v>
      </c>
      <c r="AI18" s="130" t="str">
        <f t="shared" si="4"/>
        <v xml:space="preserve"> </v>
      </c>
      <c r="AJ18" s="144" t="str">
        <f t="shared" si="7"/>
        <v xml:space="preserve"> </v>
      </c>
      <c r="AK18" s="128" t="str">
        <f t="shared" si="11"/>
        <v xml:space="preserve"> </v>
      </c>
      <c r="AL18" s="128" t="str">
        <f t="shared" si="12"/>
        <v xml:space="preserve"> </v>
      </c>
      <c r="AM18" s="128" t="str">
        <f t="shared" si="13"/>
        <v xml:space="preserve"> </v>
      </c>
      <c r="AN18" s="130">
        <f t="shared" si="14"/>
        <v>2</v>
      </c>
      <c r="AO18" s="130"/>
      <c r="AP18" s="130"/>
    </row>
    <row r="19" spans="1:42">
      <c r="A19" s="131"/>
      <c r="B19" s="132"/>
      <c r="C19" s="118"/>
      <c r="D19" s="118"/>
      <c r="E19" s="133"/>
      <c r="F19" s="133"/>
      <c r="G19" s="133"/>
      <c r="H19" s="134"/>
      <c r="I19" s="133"/>
      <c r="J19" s="135"/>
      <c r="K19" s="136"/>
      <c r="L19" s="136"/>
      <c r="M19" s="137"/>
      <c r="N19" s="136"/>
      <c r="O19" s="145"/>
      <c r="P19" s="136"/>
      <c r="Q19" s="136"/>
      <c r="R19" s="137"/>
      <c r="S19" s="136"/>
      <c r="T19" s="139"/>
      <c r="U19" s="140"/>
      <c r="V19" s="148"/>
      <c r="W19" s="141"/>
      <c r="X19" s="140"/>
      <c r="Y19" s="142"/>
      <c r="Z19" s="143"/>
      <c r="AA19" s="136"/>
      <c r="AB19" s="136" t="s">
        <v>1566</v>
      </c>
      <c r="AC19" s="128" t="s">
        <v>1566</v>
      </c>
      <c r="AD19" s="135"/>
      <c r="AE19" s="127" t="s">
        <v>1566</v>
      </c>
      <c r="AF19" s="127"/>
      <c r="AG19" s="130"/>
      <c r="AH19" s="130" t="str">
        <f t="shared" si="3"/>
        <v xml:space="preserve"> </v>
      </c>
      <c r="AI19" s="130" t="str">
        <f t="shared" si="4"/>
        <v xml:space="preserve"> </v>
      </c>
      <c r="AJ19" s="144" t="str">
        <f t="shared" si="7"/>
        <v xml:space="preserve"> </v>
      </c>
      <c r="AK19" s="128" t="str">
        <f t="shared" si="11"/>
        <v xml:space="preserve"> </v>
      </c>
      <c r="AL19" s="128" t="str">
        <f t="shared" si="12"/>
        <v xml:space="preserve"> </v>
      </c>
      <c r="AM19" s="128" t="str">
        <f t="shared" si="13"/>
        <v xml:space="preserve"> </v>
      </c>
      <c r="AN19" s="130" t="str">
        <f t="shared" si="14"/>
        <v xml:space="preserve"> </v>
      </c>
      <c r="AO19" s="130"/>
      <c r="AP19" s="130"/>
    </row>
    <row r="20" spans="1:42">
      <c r="A20" s="131" t="s">
        <v>130</v>
      </c>
      <c r="B20" s="132">
        <v>5</v>
      </c>
      <c r="C20" s="118" t="s">
        <v>128</v>
      </c>
      <c r="D20" s="118">
        <v>2014</v>
      </c>
      <c r="E20" s="133">
        <v>0</v>
      </c>
      <c r="F20" s="133">
        <v>0</v>
      </c>
      <c r="G20" s="133">
        <v>2</v>
      </c>
      <c r="H20" s="134">
        <v>0</v>
      </c>
      <c r="I20" s="133">
        <v>2</v>
      </c>
      <c r="J20" s="135"/>
      <c r="K20" s="136">
        <f>ROUND(('HCD Assigned 5th Cycle RHNA'!D558+'HCD Assigned 5th Cycle RHNA'!E558)/5,0)</f>
        <v>8</v>
      </c>
      <c r="L20" s="136">
        <f>ROUND('HCD Assigned 5th Cycle RHNA'!F558/B20,0)</f>
        <v>4</v>
      </c>
      <c r="M20" s="137">
        <f>ROUND('HCD Assigned 5th Cycle RHNA'!G558/5,0)</f>
        <v>9</v>
      </c>
      <c r="N20" s="136">
        <f>ROUND(100/5,0)</f>
        <v>20</v>
      </c>
      <c r="O20" s="145"/>
      <c r="P20" s="136">
        <f>E20+F20</f>
        <v>0</v>
      </c>
      <c r="Q20" s="136">
        <f t="shared" ref="Q20:S20" si="44">G20</f>
        <v>2</v>
      </c>
      <c r="R20" s="137">
        <f t="shared" si="44"/>
        <v>0</v>
      </c>
      <c r="S20" s="136">
        <f t="shared" si="44"/>
        <v>2</v>
      </c>
      <c r="T20" s="139"/>
      <c r="U20" s="140">
        <f t="shared" ref="U20:X20" si="45">P20/K20</f>
        <v>0</v>
      </c>
      <c r="V20" s="148">
        <f t="shared" si="45"/>
        <v>0.5</v>
      </c>
      <c r="W20" s="141">
        <f t="shared" si="45"/>
        <v>0</v>
      </c>
      <c r="X20" s="140">
        <f t="shared" si="45"/>
        <v>0.1</v>
      </c>
      <c r="Y20" s="142"/>
      <c r="Z20" s="143"/>
      <c r="AA20" s="136"/>
      <c r="AB20" s="136" t="s">
        <v>1566</v>
      </c>
      <c r="AC20" s="128" t="s">
        <v>1566</v>
      </c>
      <c r="AD20" s="135"/>
      <c r="AE20" s="127"/>
      <c r="AF20" s="127"/>
      <c r="AG20" s="130"/>
      <c r="AH20" s="130" t="str">
        <f t="shared" si="3"/>
        <v xml:space="preserve"> </v>
      </c>
      <c r="AI20" s="130">
        <f t="shared" si="4"/>
        <v>0</v>
      </c>
      <c r="AJ20" s="144" t="str">
        <f t="shared" si="7"/>
        <v xml:space="preserve"> </v>
      </c>
      <c r="AK20" s="128" t="str">
        <f t="shared" si="11"/>
        <v xml:space="preserve"> </v>
      </c>
      <c r="AL20" s="128" t="str">
        <f t="shared" si="12"/>
        <v xml:space="preserve"> </v>
      </c>
      <c r="AM20" s="128" t="str">
        <f t="shared" si="13"/>
        <v xml:space="preserve"> </v>
      </c>
      <c r="AN20" s="130" t="str">
        <f t="shared" si="14"/>
        <v xml:space="preserve"> </v>
      </c>
      <c r="AO20" s="130"/>
      <c r="AP20" s="130"/>
    </row>
    <row r="21" spans="1:42">
      <c r="A21" s="131" t="s">
        <v>130</v>
      </c>
      <c r="B21" s="132">
        <v>5</v>
      </c>
      <c r="C21" s="118" t="s">
        <v>128</v>
      </c>
      <c r="D21" s="118">
        <v>2015</v>
      </c>
      <c r="E21" s="133">
        <v>0</v>
      </c>
      <c r="F21" s="133">
        <v>0</v>
      </c>
      <c r="G21" s="133">
        <v>12</v>
      </c>
      <c r="H21" s="134">
        <v>0</v>
      </c>
      <c r="I21" s="133">
        <v>12</v>
      </c>
      <c r="J21" s="135"/>
      <c r="K21" s="136">
        <f t="shared" ref="K21:N21" si="46">K20*2</f>
        <v>16</v>
      </c>
      <c r="L21" s="136">
        <f t="shared" si="46"/>
        <v>8</v>
      </c>
      <c r="M21" s="137">
        <f t="shared" si="46"/>
        <v>18</v>
      </c>
      <c r="N21" s="136">
        <f t="shared" si="46"/>
        <v>40</v>
      </c>
      <c r="O21" s="145"/>
      <c r="P21" s="136">
        <f t="shared" ref="P21:P25" si="47">E21+F21+P20</f>
        <v>0</v>
      </c>
      <c r="Q21" s="136">
        <f t="shared" ref="Q21:S21" si="48">G21+Q20</f>
        <v>14</v>
      </c>
      <c r="R21" s="137">
        <f t="shared" si="48"/>
        <v>0</v>
      </c>
      <c r="S21" s="136">
        <f t="shared" si="48"/>
        <v>14</v>
      </c>
      <c r="T21" s="139"/>
      <c r="U21" s="140">
        <f t="shared" ref="U21:X21" si="49">P21/K21</f>
        <v>0</v>
      </c>
      <c r="V21" s="148">
        <f t="shared" si="49"/>
        <v>1.75</v>
      </c>
      <c r="W21" s="141">
        <f t="shared" si="49"/>
        <v>0</v>
      </c>
      <c r="X21" s="140">
        <f t="shared" si="49"/>
        <v>0.35</v>
      </c>
      <c r="Y21" s="142"/>
      <c r="Z21" s="143"/>
      <c r="AA21" s="136"/>
      <c r="AB21" s="136" t="s">
        <v>1566</v>
      </c>
      <c r="AC21" s="128" t="s">
        <v>1566</v>
      </c>
      <c r="AD21" s="135"/>
      <c r="AE21" s="127"/>
      <c r="AF21" s="127"/>
      <c r="AG21" s="130"/>
      <c r="AH21" s="130" t="str">
        <f t="shared" si="3"/>
        <v xml:space="preserve"> </v>
      </c>
      <c r="AI21" s="130" t="str">
        <f t="shared" si="4"/>
        <v xml:space="preserve"> </v>
      </c>
      <c r="AJ21" s="130">
        <f t="shared" si="7"/>
        <v>0</v>
      </c>
      <c r="AK21" s="128" t="str">
        <f t="shared" si="11"/>
        <v xml:space="preserve"> </v>
      </c>
      <c r="AL21" s="128" t="str">
        <f t="shared" si="12"/>
        <v xml:space="preserve"> </v>
      </c>
      <c r="AM21" s="128" t="str">
        <f t="shared" si="13"/>
        <v xml:space="preserve"> </v>
      </c>
      <c r="AN21" s="130" t="str">
        <f t="shared" si="14"/>
        <v xml:space="preserve"> </v>
      </c>
      <c r="AO21" s="130"/>
      <c r="AP21" s="130"/>
    </row>
    <row r="22" spans="1:42">
      <c r="A22" s="131" t="s">
        <v>130</v>
      </c>
      <c r="B22" s="132">
        <v>5</v>
      </c>
      <c r="C22" s="118" t="s">
        <v>128</v>
      </c>
      <c r="D22" s="118">
        <v>2016</v>
      </c>
      <c r="E22" s="133">
        <v>0</v>
      </c>
      <c r="F22" s="133">
        <v>0</v>
      </c>
      <c r="G22" s="133">
        <v>5</v>
      </c>
      <c r="H22" s="134">
        <v>13</v>
      </c>
      <c r="I22" s="133">
        <v>18</v>
      </c>
      <c r="J22" s="135"/>
      <c r="K22" s="136">
        <f t="shared" ref="K22:N22" si="50">K20*3</f>
        <v>24</v>
      </c>
      <c r="L22" s="136">
        <f t="shared" si="50"/>
        <v>12</v>
      </c>
      <c r="M22" s="137">
        <f t="shared" si="50"/>
        <v>27</v>
      </c>
      <c r="N22" s="136">
        <f t="shared" si="50"/>
        <v>60</v>
      </c>
      <c r="O22" s="145"/>
      <c r="P22" s="136">
        <f t="shared" si="47"/>
        <v>0</v>
      </c>
      <c r="Q22" s="136">
        <f t="shared" ref="Q22:S22" si="51">G22+Q21</f>
        <v>19</v>
      </c>
      <c r="R22" s="137">
        <f t="shared" si="51"/>
        <v>13</v>
      </c>
      <c r="S22" s="136">
        <f t="shared" si="51"/>
        <v>32</v>
      </c>
      <c r="T22" s="139"/>
      <c r="U22" s="140">
        <f t="shared" ref="U22:X22" si="52">P22/K22</f>
        <v>0</v>
      </c>
      <c r="V22" s="148">
        <f t="shared" si="52"/>
        <v>1.5833333333333333</v>
      </c>
      <c r="W22" s="141">
        <f t="shared" si="52"/>
        <v>0.48148148148148145</v>
      </c>
      <c r="X22" s="140">
        <f t="shared" si="52"/>
        <v>0.53333333333333333</v>
      </c>
      <c r="Y22" s="142"/>
      <c r="Z22" s="143"/>
      <c r="AA22" s="136"/>
      <c r="AB22" s="136" t="s">
        <v>1566</v>
      </c>
      <c r="AC22" s="128" t="s">
        <v>1566</v>
      </c>
      <c r="AD22" s="135"/>
      <c r="AE22" s="127" t="s">
        <v>1566</v>
      </c>
      <c r="AF22" s="127"/>
      <c r="AG22" s="130"/>
      <c r="AH22" s="130" t="str">
        <f t="shared" si="3"/>
        <v xml:space="preserve"> </v>
      </c>
      <c r="AI22" s="130" t="str">
        <f t="shared" si="4"/>
        <v xml:space="preserve"> </v>
      </c>
      <c r="AJ22" s="144" t="str">
        <f t="shared" si="7"/>
        <v xml:space="preserve"> </v>
      </c>
      <c r="AK22" s="128">
        <f t="shared" si="11"/>
        <v>0</v>
      </c>
      <c r="AL22" s="128" t="str">
        <f t="shared" si="12"/>
        <v xml:space="preserve"> </v>
      </c>
      <c r="AM22" s="128" t="str">
        <f t="shared" si="13"/>
        <v xml:space="preserve"> </v>
      </c>
      <c r="AN22" s="130" t="str">
        <f t="shared" si="14"/>
        <v xml:space="preserve"> </v>
      </c>
      <c r="AO22" s="130"/>
      <c r="AP22" s="130"/>
    </row>
    <row r="23" spans="1:42">
      <c r="A23" s="131" t="s">
        <v>130</v>
      </c>
      <c r="B23" s="132">
        <v>5</v>
      </c>
      <c r="C23" s="118" t="s">
        <v>128</v>
      </c>
      <c r="D23" s="118">
        <v>2017</v>
      </c>
      <c r="E23" s="133">
        <v>0</v>
      </c>
      <c r="F23" s="133">
        <v>2</v>
      </c>
      <c r="G23" s="133">
        <v>44</v>
      </c>
      <c r="H23" s="134">
        <v>68</v>
      </c>
      <c r="I23" s="133">
        <v>114</v>
      </c>
      <c r="J23" s="135"/>
      <c r="K23" s="136">
        <f t="shared" ref="K23:N23" si="53">K20*4</f>
        <v>32</v>
      </c>
      <c r="L23" s="136">
        <f t="shared" si="53"/>
        <v>16</v>
      </c>
      <c r="M23" s="137">
        <f t="shared" si="53"/>
        <v>36</v>
      </c>
      <c r="N23" s="136">
        <f t="shared" si="53"/>
        <v>80</v>
      </c>
      <c r="O23" s="145"/>
      <c r="P23" s="136">
        <f t="shared" si="47"/>
        <v>2</v>
      </c>
      <c r="Q23" s="136">
        <f t="shared" ref="Q23:S23" si="54">G23+Q22</f>
        <v>63</v>
      </c>
      <c r="R23" s="137">
        <f t="shared" si="54"/>
        <v>81</v>
      </c>
      <c r="S23" s="136">
        <f t="shared" si="54"/>
        <v>146</v>
      </c>
      <c r="T23" s="139"/>
      <c r="U23" s="140">
        <f t="shared" ref="U23:X23" si="55">P23/K23</f>
        <v>6.25E-2</v>
      </c>
      <c r="V23" s="148">
        <f t="shared" si="55"/>
        <v>3.9375</v>
      </c>
      <c r="W23" s="141">
        <f t="shared" si="55"/>
        <v>2.25</v>
      </c>
      <c r="X23" s="140">
        <f t="shared" si="55"/>
        <v>1.825</v>
      </c>
      <c r="Y23" s="142"/>
      <c r="Z23" s="143"/>
      <c r="AA23" s="136"/>
      <c r="AB23" s="136" t="s">
        <v>1566</v>
      </c>
      <c r="AC23" s="128" t="s">
        <v>1566</v>
      </c>
      <c r="AD23" s="135"/>
      <c r="AE23" s="127" t="s">
        <v>1566</v>
      </c>
      <c r="AF23" s="127"/>
      <c r="AG23" s="130"/>
      <c r="AH23" s="130" t="str">
        <f t="shared" si="3"/>
        <v xml:space="preserve"> </v>
      </c>
      <c r="AI23" s="130" t="str">
        <f t="shared" si="4"/>
        <v xml:space="preserve"> </v>
      </c>
      <c r="AJ23" s="144" t="str">
        <f t="shared" si="7"/>
        <v xml:space="preserve"> </v>
      </c>
      <c r="AK23" s="128" t="str">
        <f t="shared" si="11"/>
        <v xml:space="preserve"> </v>
      </c>
      <c r="AL23" s="128">
        <f t="shared" si="12"/>
        <v>2</v>
      </c>
      <c r="AM23" s="128" t="str">
        <f t="shared" si="13"/>
        <v xml:space="preserve"> </v>
      </c>
      <c r="AN23" s="130" t="str">
        <f t="shared" si="14"/>
        <v xml:space="preserve"> </v>
      </c>
      <c r="AO23" s="130"/>
      <c r="AP23" s="130"/>
    </row>
    <row r="24" spans="1:42">
      <c r="A24" s="131" t="s">
        <v>130</v>
      </c>
      <c r="B24" s="132">
        <v>5</v>
      </c>
      <c r="C24" s="118" t="s">
        <v>128</v>
      </c>
      <c r="D24" s="118">
        <v>2018</v>
      </c>
      <c r="E24" s="133">
        <v>1</v>
      </c>
      <c r="F24" s="133">
        <v>4</v>
      </c>
      <c r="G24" s="133">
        <v>86</v>
      </c>
      <c r="H24" s="134">
        <v>86</v>
      </c>
      <c r="I24" s="133">
        <v>177</v>
      </c>
      <c r="J24" s="135"/>
      <c r="K24" s="138">
        <v>38</v>
      </c>
      <c r="L24" s="138">
        <v>19</v>
      </c>
      <c r="M24" s="147">
        <v>43</v>
      </c>
      <c r="N24" s="136">
        <f t="shared" ref="N24:N25" si="56">K24+L24+M24</f>
        <v>100</v>
      </c>
      <c r="O24" s="145"/>
      <c r="P24" s="136">
        <f t="shared" si="47"/>
        <v>7</v>
      </c>
      <c r="Q24" s="136">
        <f t="shared" ref="Q24:S24" si="57">G24+Q23</f>
        <v>149</v>
      </c>
      <c r="R24" s="137">
        <f t="shared" si="57"/>
        <v>167</v>
      </c>
      <c r="S24" s="136">
        <f t="shared" si="57"/>
        <v>323</v>
      </c>
      <c r="T24" s="139"/>
      <c r="U24" s="140">
        <f t="shared" ref="U24:X24" si="58">P24/K24</f>
        <v>0.18421052631578946</v>
      </c>
      <c r="V24" s="148">
        <f t="shared" si="58"/>
        <v>7.8421052631578947</v>
      </c>
      <c r="W24" s="141">
        <f t="shared" si="58"/>
        <v>3.8837209302325579</v>
      </c>
      <c r="X24" s="140">
        <f t="shared" si="58"/>
        <v>3.23</v>
      </c>
      <c r="Y24" s="142"/>
      <c r="Z24" s="143"/>
      <c r="AA24" s="136"/>
      <c r="AB24" s="136" t="s">
        <v>1566</v>
      </c>
      <c r="AC24" s="128" t="s">
        <v>1566</v>
      </c>
      <c r="AD24" s="135"/>
      <c r="AE24" s="127" t="s">
        <v>1566</v>
      </c>
      <c r="AF24" s="127"/>
      <c r="AG24" s="130"/>
      <c r="AH24" s="130" t="str">
        <f t="shared" si="3"/>
        <v xml:space="preserve"> </v>
      </c>
      <c r="AI24" s="130" t="str">
        <f t="shared" si="4"/>
        <v xml:space="preserve"> </v>
      </c>
      <c r="AJ24" s="144" t="str">
        <f t="shared" si="7"/>
        <v xml:space="preserve"> </v>
      </c>
      <c r="AK24" s="128" t="str">
        <f t="shared" si="11"/>
        <v xml:space="preserve"> </v>
      </c>
      <c r="AL24" s="128" t="str">
        <f t="shared" si="12"/>
        <v xml:space="preserve"> </v>
      </c>
      <c r="AM24" s="128">
        <f t="shared" si="13"/>
        <v>5</v>
      </c>
      <c r="AN24" s="130" t="str">
        <f t="shared" si="14"/>
        <v xml:space="preserve"> </v>
      </c>
      <c r="AO24" s="130"/>
      <c r="AP24" s="130"/>
    </row>
    <row r="25" spans="1:42">
      <c r="A25" s="131" t="s">
        <v>130</v>
      </c>
      <c r="B25" s="132">
        <v>5</v>
      </c>
      <c r="C25" s="118" t="s">
        <v>129</v>
      </c>
      <c r="D25" s="118">
        <v>2019</v>
      </c>
      <c r="E25" s="133">
        <v>0</v>
      </c>
      <c r="F25" s="133">
        <v>1</v>
      </c>
      <c r="G25" s="133">
        <v>51</v>
      </c>
      <c r="H25" s="134">
        <v>49</v>
      </c>
      <c r="I25" s="133">
        <f>E25+F25+G25+H25</f>
        <v>101</v>
      </c>
      <c r="J25" s="135"/>
      <c r="K25" s="138">
        <v>38</v>
      </c>
      <c r="L25" s="138">
        <v>19</v>
      </c>
      <c r="M25" s="147">
        <v>43</v>
      </c>
      <c r="N25" s="136">
        <f t="shared" si="56"/>
        <v>100</v>
      </c>
      <c r="O25" s="145"/>
      <c r="P25" s="136">
        <f t="shared" si="47"/>
        <v>8</v>
      </c>
      <c r="Q25" s="136">
        <f t="shared" ref="Q25:S25" si="59">G25+Q24</f>
        <v>200</v>
      </c>
      <c r="R25" s="137">
        <f t="shared" si="59"/>
        <v>216</v>
      </c>
      <c r="S25" s="136">
        <f t="shared" si="59"/>
        <v>424</v>
      </c>
      <c r="T25" s="139"/>
      <c r="U25" s="140">
        <f t="shared" ref="U25:X25" si="60">P25/K25</f>
        <v>0.21052631578947367</v>
      </c>
      <c r="V25" s="148">
        <f t="shared" si="60"/>
        <v>10.526315789473685</v>
      </c>
      <c r="W25" s="141">
        <f t="shared" si="60"/>
        <v>5.0232558139534884</v>
      </c>
      <c r="X25" s="140">
        <f t="shared" si="60"/>
        <v>4.24</v>
      </c>
      <c r="Y25" s="146" t="s">
        <v>130</v>
      </c>
      <c r="Z25" s="143"/>
      <c r="AA25" s="138">
        <v>100</v>
      </c>
      <c r="AB25" s="136">
        <v>100</v>
      </c>
      <c r="AC25" s="128">
        <v>424</v>
      </c>
      <c r="AD25" s="135"/>
      <c r="AE25" s="127">
        <f>N20</f>
        <v>20</v>
      </c>
      <c r="AF25" s="127"/>
      <c r="AG25" s="130"/>
      <c r="AH25" s="130" t="str">
        <f t="shared" si="3"/>
        <v xml:space="preserve"> </v>
      </c>
      <c r="AI25" s="130" t="str">
        <f t="shared" si="4"/>
        <v xml:space="preserve"> </v>
      </c>
      <c r="AJ25" s="144" t="str">
        <f t="shared" si="7"/>
        <v xml:space="preserve"> </v>
      </c>
      <c r="AK25" s="128" t="str">
        <f t="shared" si="11"/>
        <v xml:space="preserve"> </v>
      </c>
      <c r="AL25" s="128" t="str">
        <f t="shared" si="12"/>
        <v xml:space="preserve"> </v>
      </c>
      <c r="AM25" s="128" t="str">
        <f t="shared" si="13"/>
        <v xml:space="preserve"> </v>
      </c>
      <c r="AN25" s="130">
        <f t="shared" si="14"/>
        <v>1</v>
      </c>
      <c r="AO25" s="130"/>
      <c r="AP25" s="130"/>
    </row>
    <row r="26" spans="1:42">
      <c r="A26" s="131"/>
      <c r="B26" s="132"/>
      <c r="C26" s="118"/>
      <c r="D26" s="118"/>
      <c r="E26" s="133"/>
      <c r="F26" s="133"/>
      <c r="G26" s="133"/>
      <c r="H26" s="134"/>
      <c r="I26" s="133"/>
      <c r="J26" s="135"/>
      <c r="K26" s="136"/>
      <c r="L26" s="136"/>
      <c r="M26" s="137"/>
      <c r="N26" s="136"/>
      <c r="O26" s="145"/>
      <c r="P26" s="136"/>
      <c r="Q26" s="136"/>
      <c r="R26" s="137"/>
      <c r="S26" s="136"/>
      <c r="T26" s="139"/>
      <c r="U26" s="140"/>
      <c r="V26" s="148"/>
      <c r="W26" s="141"/>
      <c r="X26" s="140"/>
      <c r="Y26" s="142"/>
      <c r="Z26" s="143"/>
      <c r="AA26" s="136"/>
      <c r="AB26" s="136" t="s">
        <v>1566</v>
      </c>
      <c r="AC26" s="128" t="s">
        <v>1566</v>
      </c>
      <c r="AD26" s="135"/>
      <c r="AE26" s="127" t="s">
        <v>1566</v>
      </c>
      <c r="AF26" s="127"/>
      <c r="AG26" s="130"/>
      <c r="AH26" s="130" t="str">
        <f t="shared" si="3"/>
        <v xml:space="preserve"> </v>
      </c>
      <c r="AI26" s="130" t="str">
        <f t="shared" si="4"/>
        <v xml:space="preserve"> </v>
      </c>
      <c r="AJ26" s="144" t="str">
        <f t="shared" si="7"/>
        <v xml:space="preserve"> </v>
      </c>
      <c r="AK26" s="128" t="str">
        <f t="shared" si="11"/>
        <v xml:space="preserve"> </v>
      </c>
      <c r="AL26" s="128" t="str">
        <f t="shared" si="12"/>
        <v xml:space="preserve"> </v>
      </c>
      <c r="AM26" s="128" t="str">
        <f t="shared" si="13"/>
        <v xml:space="preserve"> </v>
      </c>
      <c r="AN26" s="130" t="str">
        <f t="shared" si="14"/>
        <v xml:space="preserve"> </v>
      </c>
      <c r="AO26" s="130"/>
      <c r="AP26" s="130"/>
    </row>
    <row r="27" spans="1:42">
      <c r="A27" s="131" t="s">
        <v>131</v>
      </c>
      <c r="B27" s="132">
        <v>8</v>
      </c>
      <c r="C27" s="118" t="s">
        <v>132</v>
      </c>
      <c r="D27" s="118">
        <v>2014</v>
      </c>
      <c r="E27" s="133">
        <v>0</v>
      </c>
      <c r="F27" s="133">
        <v>58</v>
      </c>
      <c r="G27" s="133">
        <v>4</v>
      </c>
      <c r="H27" s="134">
        <v>31</v>
      </c>
      <c r="I27" s="133">
        <v>93</v>
      </c>
      <c r="J27" s="135"/>
      <c r="K27" s="136">
        <f>ROUND((2495+1720)/8,0)</f>
        <v>527</v>
      </c>
      <c r="L27" s="136">
        <f>ROUND('HCD Assigned 5th Cycle RHNA'!F466/B27,0)</f>
        <v>214</v>
      </c>
      <c r="M27" s="137">
        <f>ROUND(4395/8,0)</f>
        <v>549</v>
      </c>
      <c r="N27" s="136">
        <f>ROUND(10320/8,0)</f>
        <v>1290</v>
      </c>
      <c r="O27" s="145"/>
      <c r="P27" s="136">
        <f>E27+F27</f>
        <v>58</v>
      </c>
      <c r="Q27" s="136">
        <f t="shared" ref="Q27:S27" si="61">G27</f>
        <v>4</v>
      </c>
      <c r="R27" s="137">
        <f t="shared" si="61"/>
        <v>31</v>
      </c>
      <c r="S27" s="136">
        <f t="shared" si="61"/>
        <v>93</v>
      </c>
      <c r="T27" s="139"/>
      <c r="U27" s="140">
        <f t="shared" ref="U27:X27" si="62">P27/K27</f>
        <v>0.11005692599620494</v>
      </c>
      <c r="V27" s="148">
        <f t="shared" si="62"/>
        <v>1.8691588785046728E-2</v>
      </c>
      <c r="W27" s="141">
        <f t="shared" si="62"/>
        <v>5.6466302367941715E-2</v>
      </c>
      <c r="X27" s="140">
        <f t="shared" si="62"/>
        <v>7.2093023255813959E-2</v>
      </c>
      <c r="Y27" s="142"/>
      <c r="Z27" s="143"/>
      <c r="AA27" s="136"/>
      <c r="AB27" s="136" t="s">
        <v>1566</v>
      </c>
      <c r="AC27" s="128" t="s">
        <v>1566</v>
      </c>
      <c r="AD27" s="135"/>
      <c r="AE27" s="127"/>
      <c r="AF27" s="127"/>
      <c r="AG27" s="130"/>
      <c r="AH27" s="130" t="str">
        <f t="shared" si="3"/>
        <v xml:space="preserve"> </v>
      </c>
      <c r="AI27" s="130">
        <f t="shared" si="4"/>
        <v>58</v>
      </c>
      <c r="AJ27" s="144" t="str">
        <f t="shared" si="7"/>
        <v xml:space="preserve"> </v>
      </c>
      <c r="AK27" s="128" t="str">
        <f t="shared" si="11"/>
        <v xml:space="preserve"> </v>
      </c>
      <c r="AL27" s="128" t="str">
        <f t="shared" si="12"/>
        <v xml:space="preserve"> </v>
      </c>
      <c r="AM27" s="128" t="str">
        <f t="shared" si="13"/>
        <v xml:space="preserve"> </v>
      </c>
      <c r="AN27" s="130" t="str">
        <f t="shared" si="14"/>
        <v xml:space="preserve"> </v>
      </c>
      <c r="AO27" s="130"/>
      <c r="AP27" s="130"/>
    </row>
    <row r="28" spans="1:42">
      <c r="A28" s="131" t="s">
        <v>131</v>
      </c>
      <c r="B28" s="132">
        <v>8</v>
      </c>
      <c r="C28" s="118" t="s">
        <v>132</v>
      </c>
      <c r="D28" s="118">
        <v>2015</v>
      </c>
      <c r="E28" s="133">
        <v>28</v>
      </c>
      <c r="F28" s="133">
        <v>36</v>
      </c>
      <c r="G28" s="133">
        <v>0</v>
      </c>
      <c r="H28" s="134">
        <v>536</v>
      </c>
      <c r="I28" s="133">
        <v>600</v>
      </c>
      <c r="J28" s="135"/>
      <c r="K28" s="136">
        <f t="shared" ref="K28:N28" si="63">K27*2</f>
        <v>1054</v>
      </c>
      <c r="L28" s="136">
        <f t="shared" si="63"/>
        <v>428</v>
      </c>
      <c r="M28" s="137">
        <f t="shared" si="63"/>
        <v>1098</v>
      </c>
      <c r="N28" s="136">
        <f t="shared" si="63"/>
        <v>2580</v>
      </c>
      <c r="O28" s="145"/>
      <c r="P28" s="136">
        <f t="shared" ref="P28:P32" si="64">E28+F28+P27</f>
        <v>122</v>
      </c>
      <c r="Q28" s="136">
        <f t="shared" ref="Q28:S28" si="65">G28+Q27</f>
        <v>4</v>
      </c>
      <c r="R28" s="137">
        <f t="shared" si="65"/>
        <v>567</v>
      </c>
      <c r="S28" s="136">
        <f t="shared" si="65"/>
        <v>693</v>
      </c>
      <c r="T28" s="139"/>
      <c r="U28" s="140">
        <f t="shared" ref="U28:X28" si="66">P28/K28</f>
        <v>0.1157495256166983</v>
      </c>
      <c r="V28" s="148">
        <f t="shared" si="66"/>
        <v>9.3457943925233638E-3</v>
      </c>
      <c r="W28" s="141">
        <f t="shared" si="66"/>
        <v>0.51639344262295084</v>
      </c>
      <c r="X28" s="140">
        <f t="shared" si="66"/>
        <v>0.2686046511627907</v>
      </c>
      <c r="Y28" s="142"/>
      <c r="Z28" s="143"/>
      <c r="AA28" s="136"/>
      <c r="AB28" s="136" t="s">
        <v>1566</v>
      </c>
      <c r="AC28" s="128" t="s">
        <v>1566</v>
      </c>
      <c r="AD28" s="135"/>
      <c r="AE28" s="127"/>
      <c r="AF28" s="127"/>
      <c r="AG28" s="130"/>
      <c r="AH28" s="130" t="str">
        <f t="shared" si="3"/>
        <v xml:space="preserve"> </v>
      </c>
      <c r="AI28" s="130" t="str">
        <f t="shared" si="4"/>
        <v xml:space="preserve"> </v>
      </c>
      <c r="AJ28" s="130">
        <f t="shared" si="7"/>
        <v>64</v>
      </c>
      <c r="AK28" s="128" t="str">
        <f t="shared" si="11"/>
        <v xml:space="preserve"> </v>
      </c>
      <c r="AL28" s="128" t="str">
        <f t="shared" si="12"/>
        <v xml:space="preserve"> </v>
      </c>
      <c r="AM28" s="128" t="str">
        <f t="shared" si="13"/>
        <v xml:space="preserve"> </v>
      </c>
      <c r="AN28" s="130" t="str">
        <f t="shared" si="14"/>
        <v xml:space="preserve"> </v>
      </c>
      <c r="AO28" s="130"/>
      <c r="AP28" s="130"/>
    </row>
    <row r="29" spans="1:42">
      <c r="A29" s="131" t="s">
        <v>131</v>
      </c>
      <c r="B29" s="132">
        <v>8</v>
      </c>
      <c r="C29" s="118" t="s">
        <v>132</v>
      </c>
      <c r="D29" s="118">
        <v>2016</v>
      </c>
      <c r="E29" s="133">
        <v>23</v>
      </c>
      <c r="F29" s="133">
        <v>14</v>
      </c>
      <c r="G29" s="133">
        <v>75</v>
      </c>
      <c r="H29" s="134">
        <v>559</v>
      </c>
      <c r="I29" s="133">
        <v>671</v>
      </c>
      <c r="J29" s="135"/>
      <c r="K29" s="136">
        <f t="shared" ref="K29:N29" si="67">K27*3</f>
        <v>1581</v>
      </c>
      <c r="L29" s="136">
        <f t="shared" si="67"/>
        <v>642</v>
      </c>
      <c r="M29" s="137">
        <f t="shared" si="67"/>
        <v>1647</v>
      </c>
      <c r="N29" s="136">
        <f t="shared" si="67"/>
        <v>3870</v>
      </c>
      <c r="O29" s="145"/>
      <c r="P29" s="136">
        <f t="shared" si="64"/>
        <v>159</v>
      </c>
      <c r="Q29" s="136">
        <f t="shared" ref="Q29:S29" si="68">G29+Q28</f>
        <v>79</v>
      </c>
      <c r="R29" s="137">
        <f t="shared" si="68"/>
        <v>1126</v>
      </c>
      <c r="S29" s="136">
        <f t="shared" si="68"/>
        <v>1364</v>
      </c>
      <c r="T29" s="139"/>
      <c r="U29" s="140">
        <f t="shared" ref="U29:X29" si="69">P29/K29</f>
        <v>0.10056925996204934</v>
      </c>
      <c r="V29" s="148">
        <f t="shared" si="69"/>
        <v>0.12305295950155763</v>
      </c>
      <c r="W29" s="141">
        <f t="shared" si="69"/>
        <v>0.68366727383120829</v>
      </c>
      <c r="X29" s="140">
        <f t="shared" si="69"/>
        <v>0.35245478036175709</v>
      </c>
      <c r="Y29" s="142"/>
      <c r="Z29" s="143"/>
      <c r="AA29" s="136"/>
      <c r="AB29" s="136" t="s">
        <v>1566</v>
      </c>
      <c r="AC29" s="128" t="s">
        <v>1566</v>
      </c>
      <c r="AD29" s="135"/>
      <c r="AE29" s="127" t="s">
        <v>1566</v>
      </c>
      <c r="AF29" s="127"/>
      <c r="AG29" s="130"/>
      <c r="AH29" s="130" t="str">
        <f t="shared" si="3"/>
        <v xml:space="preserve"> </v>
      </c>
      <c r="AI29" s="130" t="str">
        <f t="shared" si="4"/>
        <v xml:space="preserve"> </v>
      </c>
      <c r="AJ29" s="144" t="str">
        <f t="shared" si="7"/>
        <v xml:space="preserve"> </v>
      </c>
      <c r="AK29" s="128">
        <f t="shared" si="11"/>
        <v>37</v>
      </c>
      <c r="AL29" s="128" t="str">
        <f t="shared" si="12"/>
        <v xml:space="preserve"> </v>
      </c>
      <c r="AM29" s="128" t="str">
        <f t="shared" si="13"/>
        <v xml:space="preserve"> </v>
      </c>
      <c r="AN29" s="130" t="str">
        <f t="shared" si="14"/>
        <v xml:space="preserve"> </v>
      </c>
      <c r="AO29" s="130"/>
      <c r="AP29" s="130"/>
    </row>
    <row r="30" spans="1:42">
      <c r="A30" s="131" t="s">
        <v>131</v>
      </c>
      <c r="B30" s="132">
        <v>8</v>
      </c>
      <c r="C30" s="118" t="s">
        <v>132</v>
      </c>
      <c r="D30" s="118">
        <v>2017</v>
      </c>
      <c r="E30" s="133">
        <v>0</v>
      </c>
      <c r="F30" s="133">
        <v>12</v>
      </c>
      <c r="G30" s="133">
        <v>287</v>
      </c>
      <c r="H30" s="134">
        <v>531</v>
      </c>
      <c r="I30" s="133">
        <v>830</v>
      </c>
      <c r="J30" s="135"/>
      <c r="K30" s="136">
        <f t="shared" ref="K30:N30" si="70">K27*4</f>
        <v>2108</v>
      </c>
      <c r="L30" s="136">
        <f t="shared" si="70"/>
        <v>856</v>
      </c>
      <c r="M30" s="137">
        <f t="shared" si="70"/>
        <v>2196</v>
      </c>
      <c r="N30" s="136">
        <f t="shared" si="70"/>
        <v>5160</v>
      </c>
      <c r="O30" s="145"/>
      <c r="P30" s="136">
        <f t="shared" si="64"/>
        <v>171</v>
      </c>
      <c r="Q30" s="136">
        <f t="shared" ref="Q30:S30" si="71">G30+Q29</f>
        <v>366</v>
      </c>
      <c r="R30" s="137">
        <f t="shared" si="71"/>
        <v>1657</v>
      </c>
      <c r="S30" s="136">
        <f t="shared" si="71"/>
        <v>2194</v>
      </c>
      <c r="T30" s="139"/>
      <c r="U30" s="140">
        <f t="shared" ref="U30:X30" si="72">P30/K30</f>
        <v>8.1119544592030357E-2</v>
      </c>
      <c r="V30" s="148">
        <f t="shared" si="72"/>
        <v>0.42757009345794394</v>
      </c>
      <c r="W30" s="141">
        <f t="shared" si="72"/>
        <v>0.75455373406193083</v>
      </c>
      <c r="X30" s="140">
        <f t="shared" si="72"/>
        <v>0.42519379844961241</v>
      </c>
      <c r="Y30" s="142"/>
      <c r="Z30" s="143"/>
      <c r="AA30" s="136"/>
      <c r="AB30" s="136" t="s">
        <v>1566</v>
      </c>
      <c r="AC30" s="128" t="s">
        <v>1566</v>
      </c>
      <c r="AD30" s="135"/>
      <c r="AE30" s="127" t="s">
        <v>1566</v>
      </c>
      <c r="AF30" s="127"/>
      <c r="AG30" s="130"/>
      <c r="AH30" s="130" t="str">
        <f t="shared" si="3"/>
        <v xml:space="preserve"> </v>
      </c>
      <c r="AI30" s="130" t="str">
        <f t="shared" si="4"/>
        <v xml:space="preserve"> </v>
      </c>
      <c r="AJ30" s="144" t="str">
        <f t="shared" si="7"/>
        <v xml:space="preserve"> </v>
      </c>
      <c r="AK30" s="128" t="str">
        <f t="shared" si="11"/>
        <v xml:space="preserve"> </v>
      </c>
      <c r="AL30" s="128">
        <f t="shared" si="12"/>
        <v>12</v>
      </c>
      <c r="AM30" s="128" t="str">
        <f t="shared" si="13"/>
        <v xml:space="preserve"> </v>
      </c>
      <c r="AN30" s="130" t="str">
        <f t="shared" si="14"/>
        <v xml:space="preserve"> </v>
      </c>
      <c r="AO30" s="130"/>
      <c r="AP30" s="130"/>
    </row>
    <row r="31" spans="1:42">
      <c r="A31" s="131" t="s">
        <v>131</v>
      </c>
      <c r="B31" s="132">
        <v>8</v>
      </c>
      <c r="C31" s="118" t="s">
        <v>132</v>
      </c>
      <c r="D31" s="118">
        <v>2018</v>
      </c>
      <c r="E31" s="133">
        <v>0</v>
      </c>
      <c r="F31" s="133">
        <v>11</v>
      </c>
      <c r="G31" s="133">
        <v>72</v>
      </c>
      <c r="H31" s="134">
        <v>197</v>
      </c>
      <c r="I31" s="133">
        <v>280</v>
      </c>
      <c r="J31" s="135"/>
      <c r="K31" s="136">
        <f t="shared" ref="K31:N31" si="73">K27*5</f>
        <v>2635</v>
      </c>
      <c r="L31" s="136">
        <f t="shared" si="73"/>
        <v>1070</v>
      </c>
      <c r="M31" s="137">
        <f t="shared" si="73"/>
        <v>2745</v>
      </c>
      <c r="N31" s="136">
        <f t="shared" si="73"/>
        <v>6450</v>
      </c>
      <c r="O31" s="145"/>
      <c r="P31" s="136">
        <f t="shared" si="64"/>
        <v>182</v>
      </c>
      <c r="Q31" s="136">
        <f t="shared" ref="Q31:S31" si="74">G31+Q30</f>
        <v>438</v>
      </c>
      <c r="R31" s="137">
        <f t="shared" si="74"/>
        <v>1854</v>
      </c>
      <c r="S31" s="136">
        <f t="shared" si="74"/>
        <v>2474</v>
      </c>
      <c r="T31" s="139"/>
      <c r="U31" s="140">
        <f t="shared" ref="U31:X31" si="75">P31/K31</f>
        <v>6.9070208728652757E-2</v>
      </c>
      <c r="V31" s="148">
        <f t="shared" si="75"/>
        <v>0.40934579439252339</v>
      </c>
      <c r="W31" s="141">
        <f t="shared" si="75"/>
        <v>0.67540983606557381</v>
      </c>
      <c r="X31" s="140">
        <f t="shared" si="75"/>
        <v>0.38356589147286824</v>
      </c>
      <c r="Y31" s="142"/>
      <c r="Z31" s="143"/>
      <c r="AA31" s="136"/>
      <c r="AB31" s="136" t="s">
        <v>1566</v>
      </c>
      <c r="AC31" s="128" t="s">
        <v>1566</v>
      </c>
      <c r="AD31" s="135"/>
      <c r="AE31" s="127" t="s">
        <v>1566</v>
      </c>
      <c r="AF31" s="127"/>
      <c r="AG31" s="130"/>
      <c r="AH31" s="130" t="str">
        <f t="shared" si="3"/>
        <v xml:space="preserve"> </v>
      </c>
      <c r="AI31" s="130" t="str">
        <f t="shared" si="4"/>
        <v xml:space="preserve"> </v>
      </c>
      <c r="AJ31" s="144" t="str">
        <f t="shared" si="7"/>
        <v xml:space="preserve"> </v>
      </c>
      <c r="AK31" s="128" t="str">
        <f t="shared" si="11"/>
        <v xml:space="preserve"> </v>
      </c>
      <c r="AL31" s="128" t="str">
        <f t="shared" si="12"/>
        <v xml:space="preserve"> </v>
      </c>
      <c r="AM31" s="128">
        <f t="shared" si="13"/>
        <v>11</v>
      </c>
      <c r="AN31" s="130" t="str">
        <f t="shared" si="14"/>
        <v xml:space="preserve"> </v>
      </c>
      <c r="AO31" s="130"/>
      <c r="AP31" s="130"/>
    </row>
    <row r="32" spans="1:42">
      <c r="A32" s="131" t="s">
        <v>131</v>
      </c>
      <c r="B32" s="132">
        <v>8</v>
      </c>
      <c r="C32" s="118" t="s">
        <v>133</v>
      </c>
      <c r="D32" s="118">
        <v>2019</v>
      </c>
      <c r="E32" s="133">
        <v>0</v>
      </c>
      <c r="F32" s="133">
        <v>1</v>
      </c>
      <c r="G32" s="133">
        <v>56</v>
      </c>
      <c r="H32" s="134">
        <v>897</v>
      </c>
      <c r="I32" s="133">
        <f>E32+F32+G32+H32</f>
        <v>954</v>
      </c>
      <c r="J32" s="135"/>
      <c r="K32" s="136">
        <f t="shared" ref="K32:N32" si="76">K27*6</f>
        <v>3162</v>
      </c>
      <c r="L32" s="136">
        <f t="shared" si="76"/>
        <v>1284</v>
      </c>
      <c r="M32" s="137">
        <f t="shared" si="76"/>
        <v>3294</v>
      </c>
      <c r="N32" s="136">
        <f t="shared" si="76"/>
        <v>7740</v>
      </c>
      <c r="O32" s="145"/>
      <c r="P32" s="136">
        <f t="shared" si="64"/>
        <v>183</v>
      </c>
      <c r="Q32" s="136">
        <f t="shared" ref="Q32:S32" si="77">G32+Q31</f>
        <v>494</v>
      </c>
      <c r="R32" s="137">
        <f t="shared" si="77"/>
        <v>2751</v>
      </c>
      <c r="S32" s="136">
        <f t="shared" si="77"/>
        <v>3428</v>
      </c>
      <c r="T32" s="139"/>
      <c r="U32" s="140">
        <f t="shared" ref="U32:X32" si="78">P32/K32</f>
        <v>5.7874762808349148E-2</v>
      </c>
      <c r="V32" s="140">
        <f t="shared" si="78"/>
        <v>0.38473520249221183</v>
      </c>
      <c r="W32" s="141">
        <f t="shared" si="78"/>
        <v>0.83515482695810561</v>
      </c>
      <c r="X32" s="140">
        <f t="shared" si="78"/>
        <v>0.44289405684754524</v>
      </c>
      <c r="Y32" s="146" t="s">
        <v>131</v>
      </c>
      <c r="Z32" s="143"/>
      <c r="AA32" s="138">
        <v>10320</v>
      </c>
      <c r="AB32" s="136">
        <v>7740</v>
      </c>
      <c r="AC32" s="128">
        <v>3428</v>
      </c>
      <c r="AD32" s="135"/>
      <c r="AE32" s="127">
        <f>N27</f>
        <v>1290</v>
      </c>
      <c r="AF32" s="127"/>
      <c r="AG32" s="130"/>
      <c r="AH32" s="130" t="str">
        <f t="shared" si="3"/>
        <v xml:space="preserve"> </v>
      </c>
      <c r="AI32" s="130" t="str">
        <f t="shared" si="4"/>
        <v xml:space="preserve"> </v>
      </c>
      <c r="AJ32" s="144" t="str">
        <f t="shared" si="7"/>
        <v xml:space="preserve"> </v>
      </c>
      <c r="AK32" s="128" t="str">
        <f t="shared" si="11"/>
        <v xml:space="preserve"> </v>
      </c>
      <c r="AL32" s="128" t="str">
        <f t="shared" si="12"/>
        <v xml:space="preserve"> </v>
      </c>
      <c r="AM32" s="128" t="str">
        <f t="shared" si="13"/>
        <v xml:space="preserve"> </v>
      </c>
      <c r="AN32" s="130">
        <f t="shared" si="14"/>
        <v>1</v>
      </c>
      <c r="AO32" s="130"/>
      <c r="AP32" s="130"/>
    </row>
    <row r="33" spans="1:42">
      <c r="A33" s="131"/>
      <c r="B33" s="132"/>
      <c r="C33" s="118"/>
      <c r="D33" s="118"/>
      <c r="E33" s="133"/>
      <c r="F33" s="133"/>
      <c r="G33" s="133"/>
      <c r="H33" s="134"/>
      <c r="I33" s="133"/>
      <c r="J33" s="135"/>
      <c r="K33" s="136"/>
      <c r="L33" s="136"/>
      <c r="M33" s="137"/>
      <c r="N33" s="136"/>
      <c r="O33" s="145"/>
      <c r="P33" s="136"/>
      <c r="Q33" s="136"/>
      <c r="R33" s="137"/>
      <c r="S33" s="136"/>
      <c r="T33" s="139"/>
      <c r="U33" s="140"/>
      <c r="V33" s="148"/>
      <c r="W33" s="141"/>
      <c r="X33" s="140"/>
      <c r="Y33" s="142"/>
      <c r="Z33" s="143"/>
      <c r="AA33" s="136"/>
      <c r="AB33" s="136" t="s">
        <v>1566</v>
      </c>
      <c r="AC33" s="128" t="s">
        <v>1566</v>
      </c>
      <c r="AD33" s="135"/>
      <c r="AE33" s="127" t="s">
        <v>1566</v>
      </c>
      <c r="AF33" s="127"/>
      <c r="AG33" s="130"/>
      <c r="AH33" s="130" t="str">
        <f t="shared" si="3"/>
        <v xml:space="preserve"> </v>
      </c>
      <c r="AI33" s="130" t="str">
        <f t="shared" si="4"/>
        <v xml:space="preserve"> </v>
      </c>
      <c r="AJ33" s="144" t="str">
        <f t="shared" si="7"/>
        <v xml:space="preserve"> </v>
      </c>
      <c r="AK33" s="128" t="str">
        <f t="shared" si="11"/>
        <v xml:space="preserve"> </v>
      </c>
      <c r="AL33" s="128" t="str">
        <f t="shared" si="12"/>
        <v xml:space="preserve"> </v>
      </c>
      <c r="AM33" s="128" t="str">
        <f t="shared" si="13"/>
        <v xml:space="preserve"> </v>
      </c>
      <c r="AN33" s="130" t="str">
        <f t="shared" si="14"/>
        <v xml:space="preserve"> </v>
      </c>
      <c r="AO33" s="130"/>
      <c r="AP33" s="130"/>
    </row>
    <row r="34" spans="1:42">
      <c r="A34" s="131" t="s">
        <v>134</v>
      </c>
      <c r="B34" s="132">
        <v>5</v>
      </c>
      <c r="C34" s="118" t="s">
        <v>128</v>
      </c>
      <c r="D34" s="118">
        <v>2014</v>
      </c>
      <c r="E34" s="133">
        <v>6</v>
      </c>
      <c r="F34" s="133">
        <v>13</v>
      </c>
      <c r="G34" s="133">
        <v>17</v>
      </c>
      <c r="H34" s="134">
        <v>38</v>
      </c>
      <c r="I34" s="133">
        <v>74</v>
      </c>
      <c r="J34" s="135"/>
      <c r="K34" s="136">
        <f>ROUND((280+200)/5,0)</f>
        <v>96</v>
      </c>
      <c r="L34" s="136">
        <v>44</v>
      </c>
      <c r="M34" s="137">
        <f>ROUND(540/5,0)</f>
        <v>108</v>
      </c>
      <c r="N34" s="136">
        <f>ROUND(1240/5,0)</f>
        <v>248</v>
      </c>
      <c r="O34" s="145"/>
      <c r="P34" s="136">
        <f>E34+F34</f>
        <v>19</v>
      </c>
      <c r="Q34" s="136">
        <f t="shared" ref="Q34:S34" si="79">G34</f>
        <v>17</v>
      </c>
      <c r="R34" s="137">
        <f t="shared" si="79"/>
        <v>38</v>
      </c>
      <c r="S34" s="136">
        <f t="shared" si="79"/>
        <v>74</v>
      </c>
      <c r="T34" s="139"/>
      <c r="U34" s="140">
        <f t="shared" ref="U34:X34" si="80">P34/K34</f>
        <v>0.19791666666666666</v>
      </c>
      <c r="V34" s="148">
        <f t="shared" si="80"/>
        <v>0.38636363636363635</v>
      </c>
      <c r="W34" s="141">
        <f t="shared" si="80"/>
        <v>0.35185185185185186</v>
      </c>
      <c r="X34" s="140">
        <f t="shared" si="80"/>
        <v>0.29838709677419356</v>
      </c>
      <c r="Y34" s="142"/>
      <c r="Z34" s="143"/>
      <c r="AA34" s="136"/>
      <c r="AB34" s="136" t="s">
        <v>1566</v>
      </c>
      <c r="AC34" s="128" t="s">
        <v>1566</v>
      </c>
      <c r="AD34" s="135"/>
      <c r="AE34" s="127"/>
      <c r="AF34" s="127"/>
      <c r="AG34" s="130"/>
      <c r="AH34" s="130" t="str">
        <f t="shared" si="3"/>
        <v xml:space="preserve"> </v>
      </c>
      <c r="AI34" s="130">
        <f t="shared" si="4"/>
        <v>19</v>
      </c>
      <c r="AJ34" s="144" t="str">
        <f t="shared" si="7"/>
        <v xml:space="preserve"> </v>
      </c>
      <c r="AK34" s="128" t="str">
        <f t="shared" si="11"/>
        <v xml:space="preserve"> </v>
      </c>
      <c r="AL34" s="128" t="str">
        <f t="shared" si="12"/>
        <v xml:space="preserve"> </v>
      </c>
      <c r="AM34" s="128" t="str">
        <f t="shared" si="13"/>
        <v xml:space="preserve"> </v>
      </c>
      <c r="AN34" s="130" t="str">
        <f t="shared" si="14"/>
        <v xml:space="preserve"> </v>
      </c>
      <c r="AO34" s="130"/>
      <c r="AP34" s="130"/>
    </row>
    <row r="35" spans="1:42">
      <c r="A35" s="131" t="s">
        <v>134</v>
      </c>
      <c r="B35" s="132">
        <v>5</v>
      </c>
      <c r="C35" s="118" t="s">
        <v>128</v>
      </c>
      <c r="D35" s="118">
        <v>2015</v>
      </c>
      <c r="E35" s="133">
        <v>8</v>
      </c>
      <c r="F35" s="133">
        <v>15</v>
      </c>
      <c r="G35" s="133">
        <v>45</v>
      </c>
      <c r="H35" s="134">
        <v>49</v>
      </c>
      <c r="I35" s="133">
        <v>117</v>
      </c>
      <c r="J35" s="135"/>
      <c r="K35" s="136">
        <f t="shared" ref="K35:N35" si="81">K34*2</f>
        <v>192</v>
      </c>
      <c r="L35" s="136">
        <f t="shared" si="81"/>
        <v>88</v>
      </c>
      <c r="M35" s="137">
        <f t="shared" si="81"/>
        <v>216</v>
      </c>
      <c r="N35" s="136">
        <f t="shared" si="81"/>
        <v>496</v>
      </c>
      <c r="O35" s="145"/>
      <c r="P35" s="136">
        <f t="shared" ref="P35:P39" si="82">E35+F35+P34</f>
        <v>42</v>
      </c>
      <c r="Q35" s="136">
        <f t="shared" ref="Q35:S35" si="83">G35+Q34</f>
        <v>62</v>
      </c>
      <c r="R35" s="137">
        <f t="shared" si="83"/>
        <v>87</v>
      </c>
      <c r="S35" s="136">
        <f t="shared" si="83"/>
        <v>191</v>
      </c>
      <c r="T35" s="139"/>
      <c r="U35" s="140">
        <f t="shared" ref="U35:X35" si="84">P35/K35</f>
        <v>0.21875</v>
      </c>
      <c r="V35" s="148">
        <f t="shared" si="84"/>
        <v>0.70454545454545459</v>
      </c>
      <c r="W35" s="141">
        <f t="shared" si="84"/>
        <v>0.40277777777777779</v>
      </c>
      <c r="X35" s="140">
        <f t="shared" si="84"/>
        <v>0.38508064516129031</v>
      </c>
      <c r="Y35" s="142"/>
      <c r="Z35" s="143"/>
      <c r="AA35" s="136"/>
      <c r="AB35" s="136" t="s">
        <v>1566</v>
      </c>
      <c r="AC35" s="128" t="s">
        <v>1566</v>
      </c>
      <c r="AD35" s="135"/>
      <c r="AE35" s="127"/>
      <c r="AF35" s="127"/>
      <c r="AG35" s="130"/>
      <c r="AH35" s="130" t="str">
        <f t="shared" si="3"/>
        <v xml:space="preserve"> </v>
      </c>
      <c r="AI35" s="130" t="str">
        <f t="shared" si="4"/>
        <v xml:space="preserve"> </v>
      </c>
      <c r="AJ35" s="130">
        <f t="shared" si="7"/>
        <v>23</v>
      </c>
      <c r="AK35" s="128" t="str">
        <f t="shared" si="11"/>
        <v xml:space="preserve"> </v>
      </c>
      <c r="AL35" s="128" t="str">
        <f t="shared" si="12"/>
        <v xml:space="preserve"> </v>
      </c>
      <c r="AM35" s="128" t="str">
        <f t="shared" si="13"/>
        <v xml:space="preserve"> </v>
      </c>
      <c r="AN35" s="130" t="str">
        <f t="shared" si="14"/>
        <v xml:space="preserve"> </v>
      </c>
      <c r="AO35" s="130"/>
      <c r="AP35" s="130"/>
    </row>
    <row r="36" spans="1:42">
      <c r="A36" s="131" t="s">
        <v>134</v>
      </c>
      <c r="B36" s="132">
        <v>5</v>
      </c>
      <c r="C36" s="118" t="s">
        <v>128</v>
      </c>
      <c r="D36" s="118">
        <v>2016</v>
      </c>
      <c r="E36" s="133">
        <v>60</v>
      </c>
      <c r="F36" s="133">
        <v>36</v>
      </c>
      <c r="G36" s="133">
        <v>104</v>
      </c>
      <c r="H36" s="134">
        <v>48</v>
      </c>
      <c r="I36" s="133">
        <v>248</v>
      </c>
      <c r="J36" s="135"/>
      <c r="K36" s="136">
        <f t="shared" ref="K36:N36" si="85">K34*3</f>
        <v>288</v>
      </c>
      <c r="L36" s="136">
        <f t="shared" si="85"/>
        <v>132</v>
      </c>
      <c r="M36" s="137">
        <f t="shared" si="85"/>
        <v>324</v>
      </c>
      <c r="N36" s="136">
        <f t="shared" si="85"/>
        <v>744</v>
      </c>
      <c r="O36" s="145"/>
      <c r="P36" s="136">
        <f t="shared" si="82"/>
        <v>138</v>
      </c>
      <c r="Q36" s="136">
        <f t="shared" ref="Q36:S36" si="86">G36+Q35</f>
        <v>166</v>
      </c>
      <c r="R36" s="137">
        <f t="shared" si="86"/>
        <v>135</v>
      </c>
      <c r="S36" s="136">
        <f t="shared" si="86"/>
        <v>439</v>
      </c>
      <c r="T36" s="139"/>
      <c r="U36" s="140">
        <f t="shared" ref="U36:X36" si="87">P36/K36</f>
        <v>0.47916666666666669</v>
      </c>
      <c r="V36" s="148">
        <f t="shared" si="87"/>
        <v>1.2575757575757576</v>
      </c>
      <c r="W36" s="141">
        <f t="shared" si="87"/>
        <v>0.41666666666666669</v>
      </c>
      <c r="X36" s="140">
        <f t="shared" si="87"/>
        <v>0.59005376344086025</v>
      </c>
      <c r="Y36" s="142"/>
      <c r="Z36" s="143"/>
      <c r="AA36" s="136"/>
      <c r="AB36" s="136" t="s">
        <v>1566</v>
      </c>
      <c r="AC36" s="128" t="s">
        <v>1566</v>
      </c>
      <c r="AD36" s="135"/>
      <c r="AE36" s="127" t="s">
        <v>1566</v>
      </c>
      <c r="AF36" s="127"/>
      <c r="AG36" s="130"/>
      <c r="AH36" s="130" t="str">
        <f t="shared" si="3"/>
        <v xml:space="preserve"> </v>
      </c>
      <c r="AI36" s="130" t="str">
        <f t="shared" si="4"/>
        <v xml:space="preserve"> </v>
      </c>
      <c r="AJ36" s="144" t="str">
        <f t="shared" si="7"/>
        <v xml:space="preserve"> </v>
      </c>
      <c r="AK36" s="128">
        <f t="shared" si="11"/>
        <v>96</v>
      </c>
      <c r="AL36" s="128" t="str">
        <f t="shared" si="12"/>
        <v xml:space="preserve"> </v>
      </c>
      <c r="AM36" s="128" t="str">
        <f t="shared" si="13"/>
        <v xml:space="preserve"> </v>
      </c>
      <c r="AN36" s="130" t="str">
        <f t="shared" si="14"/>
        <v xml:space="preserve"> </v>
      </c>
      <c r="AO36" s="130"/>
      <c r="AP36" s="130"/>
    </row>
    <row r="37" spans="1:42">
      <c r="A37" s="131" t="s">
        <v>134</v>
      </c>
      <c r="B37" s="132">
        <v>5</v>
      </c>
      <c r="C37" s="118" t="s">
        <v>128</v>
      </c>
      <c r="D37" s="118">
        <v>2017</v>
      </c>
      <c r="E37" s="133">
        <v>25</v>
      </c>
      <c r="F37" s="133">
        <v>27</v>
      </c>
      <c r="G37" s="133">
        <v>29</v>
      </c>
      <c r="H37" s="134">
        <v>77</v>
      </c>
      <c r="I37" s="133">
        <v>158</v>
      </c>
      <c r="J37" s="135"/>
      <c r="K37" s="136">
        <f t="shared" ref="K37:N37" si="88">K34*4</f>
        <v>384</v>
      </c>
      <c r="L37" s="136">
        <f t="shared" si="88"/>
        <v>176</v>
      </c>
      <c r="M37" s="137">
        <f t="shared" si="88"/>
        <v>432</v>
      </c>
      <c r="N37" s="136">
        <f t="shared" si="88"/>
        <v>992</v>
      </c>
      <c r="O37" s="145"/>
      <c r="P37" s="136">
        <f t="shared" si="82"/>
        <v>190</v>
      </c>
      <c r="Q37" s="136">
        <f t="shared" ref="Q37:S37" si="89">G37+Q36</f>
        <v>195</v>
      </c>
      <c r="R37" s="137">
        <f t="shared" si="89"/>
        <v>212</v>
      </c>
      <c r="S37" s="136">
        <f t="shared" si="89"/>
        <v>597</v>
      </c>
      <c r="T37" s="139"/>
      <c r="U37" s="140">
        <f t="shared" ref="U37:X37" si="90">P37/K37</f>
        <v>0.49479166666666669</v>
      </c>
      <c r="V37" s="148">
        <f t="shared" si="90"/>
        <v>1.1079545454545454</v>
      </c>
      <c r="W37" s="141">
        <f t="shared" si="90"/>
        <v>0.49074074074074076</v>
      </c>
      <c r="X37" s="140">
        <f t="shared" si="90"/>
        <v>0.60181451612903225</v>
      </c>
      <c r="Y37" s="142"/>
      <c r="Z37" s="143"/>
      <c r="AA37" s="136"/>
      <c r="AB37" s="136" t="s">
        <v>1566</v>
      </c>
      <c r="AC37" s="128" t="s">
        <v>1566</v>
      </c>
      <c r="AD37" s="135"/>
      <c r="AE37" s="127" t="s">
        <v>1566</v>
      </c>
      <c r="AF37" s="127"/>
      <c r="AG37" s="130"/>
      <c r="AH37" s="130" t="str">
        <f t="shared" si="3"/>
        <v xml:space="preserve"> </v>
      </c>
      <c r="AI37" s="130" t="str">
        <f t="shared" si="4"/>
        <v xml:space="preserve"> </v>
      </c>
      <c r="AJ37" s="144" t="str">
        <f t="shared" si="7"/>
        <v xml:space="preserve"> </v>
      </c>
      <c r="AK37" s="128" t="str">
        <f t="shared" si="11"/>
        <v xml:space="preserve"> </v>
      </c>
      <c r="AL37" s="128">
        <f t="shared" si="12"/>
        <v>52</v>
      </c>
      <c r="AM37" s="128" t="str">
        <f t="shared" si="13"/>
        <v xml:space="preserve"> </v>
      </c>
      <c r="AN37" s="130" t="str">
        <f t="shared" si="14"/>
        <v xml:space="preserve"> </v>
      </c>
      <c r="AO37" s="130"/>
      <c r="AP37" s="130"/>
    </row>
    <row r="38" spans="1:42">
      <c r="A38" s="131" t="s">
        <v>134</v>
      </c>
      <c r="B38" s="132">
        <v>5</v>
      </c>
      <c r="C38" s="118" t="s">
        <v>128</v>
      </c>
      <c r="D38" s="118">
        <v>2018</v>
      </c>
      <c r="E38" s="133">
        <v>2</v>
      </c>
      <c r="F38" s="133">
        <v>0</v>
      </c>
      <c r="G38" s="133">
        <v>24</v>
      </c>
      <c r="H38" s="134">
        <v>39</v>
      </c>
      <c r="I38" s="133">
        <v>65</v>
      </c>
      <c r="J38" s="135"/>
      <c r="K38" s="136">
        <f t="shared" ref="K38:N38" si="91">K34*5</f>
        <v>480</v>
      </c>
      <c r="L38" s="136">
        <f t="shared" si="91"/>
        <v>220</v>
      </c>
      <c r="M38" s="137">
        <f t="shared" si="91"/>
        <v>540</v>
      </c>
      <c r="N38" s="136">
        <f t="shared" si="91"/>
        <v>1240</v>
      </c>
      <c r="O38" s="145"/>
      <c r="P38" s="136">
        <f t="shared" si="82"/>
        <v>192</v>
      </c>
      <c r="Q38" s="136">
        <f t="shared" ref="Q38:S38" si="92">G38+Q37</f>
        <v>219</v>
      </c>
      <c r="R38" s="137">
        <f t="shared" si="92"/>
        <v>251</v>
      </c>
      <c r="S38" s="136">
        <f t="shared" si="92"/>
        <v>662</v>
      </c>
      <c r="T38" s="139"/>
      <c r="U38" s="140">
        <f t="shared" ref="U38:X38" si="93">P38/K38</f>
        <v>0.4</v>
      </c>
      <c r="V38" s="148">
        <f t="shared" si="93"/>
        <v>0.99545454545454548</v>
      </c>
      <c r="W38" s="141">
        <f t="shared" si="93"/>
        <v>0.46481481481481479</v>
      </c>
      <c r="X38" s="140">
        <f t="shared" si="93"/>
        <v>0.53387096774193543</v>
      </c>
      <c r="Y38" s="142"/>
      <c r="Z38" s="143"/>
      <c r="AA38" s="136"/>
      <c r="AB38" s="136" t="s">
        <v>1566</v>
      </c>
      <c r="AC38" s="128" t="s">
        <v>1566</v>
      </c>
      <c r="AD38" s="135"/>
      <c r="AE38" s="127" t="s">
        <v>1566</v>
      </c>
      <c r="AF38" s="127"/>
      <c r="AG38" s="130"/>
      <c r="AH38" s="130" t="str">
        <f t="shared" si="3"/>
        <v xml:space="preserve"> </v>
      </c>
      <c r="AI38" s="130" t="str">
        <f t="shared" si="4"/>
        <v xml:space="preserve"> </v>
      </c>
      <c r="AJ38" s="144" t="str">
        <f t="shared" si="7"/>
        <v xml:space="preserve"> </v>
      </c>
      <c r="AK38" s="128" t="str">
        <f t="shared" si="11"/>
        <v xml:space="preserve"> </v>
      </c>
      <c r="AL38" s="128" t="str">
        <f t="shared" si="12"/>
        <v xml:space="preserve"> </v>
      </c>
      <c r="AM38" s="128">
        <f t="shared" si="13"/>
        <v>2</v>
      </c>
      <c r="AN38" s="130" t="str">
        <f t="shared" si="14"/>
        <v xml:space="preserve"> </v>
      </c>
      <c r="AO38" s="130"/>
      <c r="AP38" s="130"/>
    </row>
    <row r="39" spans="1:42">
      <c r="A39" s="131" t="s">
        <v>134</v>
      </c>
      <c r="B39" s="132">
        <v>5</v>
      </c>
      <c r="C39" s="118" t="s">
        <v>128</v>
      </c>
      <c r="D39" s="118">
        <v>2019</v>
      </c>
      <c r="E39" s="133">
        <v>0</v>
      </c>
      <c r="F39" s="133">
        <v>1</v>
      </c>
      <c r="G39" s="133">
        <v>4</v>
      </c>
      <c r="H39" s="134">
        <v>65</v>
      </c>
      <c r="I39" s="133">
        <f>E39+F39+G39+H39</f>
        <v>70</v>
      </c>
      <c r="J39" s="135"/>
      <c r="K39" s="138">
        <v>480</v>
      </c>
      <c r="L39" s="138">
        <v>220</v>
      </c>
      <c r="M39" s="147">
        <v>540</v>
      </c>
      <c r="N39" s="138">
        <v>1240</v>
      </c>
      <c r="O39" s="145"/>
      <c r="P39" s="136">
        <f t="shared" si="82"/>
        <v>193</v>
      </c>
      <c r="Q39" s="136">
        <f t="shared" ref="Q39:S39" si="94">G39+Q38</f>
        <v>223</v>
      </c>
      <c r="R39" s="137">
        <f t="shared" si="94"/>
        <v>316</v>
      </c>
      <c r="S39" s="136">
        <f t="shared" si="94"/>
        <v>732</v>
      </c>
      <c r="T39" s="139"/>
      <c r="U39" s="140">
        <f t="shared" ref="U39:X39" si="95">P39/K39</f>
        <v>0.40208333333333335</v>
      </c>
      <c r="V39" s="148">
        <f t="shared" si="95"/>
        <v>1.0136363636363637</v>
      </c>
      <c r="W39" s="141">
        <f t="shared" si="95"/>
        <v>0.58518518518518514</v>
      </c>
      <c r="X39" s="140">
        <f t="shared" si="95"/>
        <v>0.5903225806451613</v>
      </c>
      <c r="Y39" s="146" t="s">
        <v>134</v>
      </c>
      <c r="Z39" s="143"/>
      <c r="AA39" s="138">
        <v>1240</v>
      </c>
      <c r="AB39" s="136">
        <v>1240</v>
      </c>
      <c r="AC39" s="128">
        <v>732</v>
      </c>
      <c r="AD39" s="135"/>
      <c r="AE39" s="127">
        <f>N34</f>
        <v>248</v>
      </c>
      <c r="AF39" s="127"/>
      <c r="AG39" s="130"/>
      <c r="AH39" s="130" t="str">
        <f t="shared" si="3"/>
        <v xml:space="preserve"> </v>
      </c>
      <c r="AI39" s="130" t="str">
        <f t="shared" si="4"/>
        <v xml:space="preserve"> </v>
      </c>
      <c r="AJ39" s="144" t="str">
        <f t="shared" si="7"/>
        <v xml:space="preserve"> </v>
      </c>
      <c r="AK39" s="128" t="str">
        <f t="shared" si="11"/>
        <v xml:space="preserve"> </v>
      </c>
      <c r="AL39" s="128" t="str">
        <f t="shared" si="12"/>
        <v xml:space="preserve"> </v>
      </c>
      <c r="AM39" s="128" t="str">
        <f t="shared" si="13"/>
        <v xml:space="preserve"> </v>
      </c>
      <c r="AN39" s="130">
        <f t="shared" si="14"/>
        <v>1</v>
      </c>
      <c r="AO39" s="130"/>
      <c r="AP39" s="130"/>
    </row>
    <row r="40" spans="1:42">
      <c r="A40" s="131"/>
      <c r="B40" s="132"/>
      <c r="C40" s="118"/>
      <c r="D40" s="118"/>
      <c r="E40" s="133"/>
      <c r="F40" s="133"/>
      <c r="G40" s="133"/>
      <c r="H40" s="134"/>
      <c r="I40" s="133"/>
      <c r="J40" s="135"/>
      <c r="K40" s="136"/>
      <c r="L40" s="136"/>
      <c r="M40" s="137"/>
      <c r="N40" s="136"/>
      <c r="O40" s="145"/>
      <c r="P40" s="136"/>
      <c r="Q40" s="136"/>
      <c r="R40" s="137"/>
      <c r="S40" s="136"/>
      <c r="T40" s="139"/>
      <c r="U40" s="140"/>
      <c r="V40" s="148"/>
      <c r="W40" s="141"/>
      <c r="X40" s="140"/>
      <c r="Y40" s="142"/>
      <c r="Z40" s="143"/>
      <c r="AA40" s="136"/>
      <c r="AB40" s="136" t="s">
        <v>1566</v>
      </c>
      <c r="AC40" s="128" t="s">
        <v>1566</v>
      </c>
      <c r="AD40" s="135"/>
      <c r="AE40" s="127" t="s">
        <v>1566</v>
      </c>
      <c r="AF40" s="127"/>
      <c r="AG40" s="130"/>
      <c r="AH40" s="130" t="str">
        <f t="shared" si="3"/>
        <v xml:space="preserve"> </v>
      </c>
      <c r="AI40" s="130" t="str">
        <f t="shared" si="4"/>
        <v xml:space="preserve"> </v>
      </c>
      <c r="AJ40" s="144" t="str">
        <f t="shared" si="7"/>
        <v xml:space="preserve"> </v>
      </c>
      <c r="AK40" s="128" t="str">
        <f t="shared" si="11"/>
        <v xml:space="preserve"> </v>
      </c>
      <c r="AL40" s="128" t="str">
        <f t="shared" si="12"/>
        <v xml:space="preserve"> </v>
      </c>
      <c r="AM40" s="128" t="str">
        <f t="shared" si="13"/>
        <v xml:space="preserve"> </v>
      </c>
      <c r="AN40" s="130" t="str">
        <f t="shared" si="14"/>
        <v xml:space="preserve"> </v>
      </c>
      <c r="AO40" s="130"/>
      <c r="AP40" s="130"/>
    </row>
    <row r="41" spans="1:42">
      <c r="A41" s="131" t="s">
        <v>135</v>
      </c>
      <c r="B41" s="132">
        <v>5</v>
      </c>
      <c r="C41" s="118" t="s">
        <v>128</v>
      </c>
      <c r="D41" s="118">
        <v>2014</v>
      </c>
      <c r="E41" s="133">
        <v>2</v>
      </c>
      <c r="F41" s="133">
        <v>1</v>
      </c>
      <c r="G41" s="133">
        <v>32</v>
      </c>
      <c r="H41" s="134">
        <v>25</v>
      </c>
      <c r="I41" s="133">
        <v>60</v>
      </c>
      <c r="J41" s="135"/>
      <c r="K41" s="136">
        <f>ROUND((255+205)/5,0)</f>
        <v>92</v>
      </c>
      <c r="L41" s="136">
        <v>42</v>
      </c>
      <c r="M41" s="137">
        <f>ROUND(490/5,0)</f>
        <v>98</v>
      </c>
      <c r="N41" s="136">
        <f>ROUND(1160/5,0)</f>
        <v>232</v>
      </c>
      <c r="O41" s="145"/>
      <c r="P41" s="136">
        <f>E41+F41</f>
        <v>3</v>
      </c>
      <c r="Q41" s="136">
        <f t="shared" ref="Q41:S41" si="96">G41</f>
        <v>32</v>
      </c>
      <c r="R41" s="137">
        <f t="shared" si="96"/>
        <v>25</v>
      </c>
      <c r="S41" s="136">
        <f t="shared" si="96"/>
        <v>60</v>
      </c>
      <c r="T41" s="139"/>
      <c r="U41" s="140">
        <f t="shared" ref="U41:X41" si="97">P41/K41</f>
        <v>3.2608695652173912E-2</v>
      </c>
      <c r="V41" s="148">
        <f t="shared" si="97"/>
        <v>0.76190476190476186</v>
      </c>
      <c r="W41" s="141">
        <f t="shared" si="97"/>
        <v>0.25510204081632654</v>
      </c>
      <c r="X41" s="140">
        <f t="shared" si="97"/>
        <v>0.25862068965517243</v>
      </c>
      <c r="Y41" s="142"/>
      <c r="Z41" s="143"/>
      <c r="AA41" s="136"/>
      <c r="AB41" s="136" t="s">
        <v>1566</v>
      </c>
      <c r="AC41" s="128" t="s">
        <v>1566</v>
      </c>
      <c r="AD41" s="135"/>
      <c r="AE41" s="127"/>
      <c r="AF41" s="127"/>
      <c r="AG41" s="130"/>
      <c r="AH41" s="130" t="str">
        <f t="shared" si="3"/>
        <v xml:space="preserve"> </v>
      </c>
      <c r="AI41" s="130">
        <f t="shared" si="4"/>
        <v>3</v>
      </c>
      <c r="AJ41" s="144" t="str">
        <f t="shared" si="7"/>
        <v xml:space="preserve"> </v>
      </c>
      <c r="AK41" s="128" t="str">
        <f t="shared" si="11"/>
        <v xml:space="preserve"> </v>
      </c>
      <c r="AL41" s="128" t="str">
        <f t="shared" si="12"/>
        <v xml:space="preserve"> </v>
      </c>
      <c r="AM41" s="128" t="str">
        <f t="shared" si="13"/>
        <v xml:space="preserve"> </v>
      </c>
      <c r="AN41" s="130" t="str">
        <f t="shared" si="14"/>
        <v xml:space="preserve"> </v>
      </c>
      <c r="AO41" s="130"/>
      <c r="AP41" s="130"/>
    </row>
    <row r="42" spans="1:42">
      <c r="A42" s="131" t="s">
        <v>135</v>
      </c>
      <c r="B42" s="132">
        <v>5</v>
      </c>
      <c r="C42" s="118" t="s">
        <v>128</v>
      </c>
      <c r="D42" s="118">
        <v>2015</v>
      </c>
      <c r="E42" s="133">
        <v>1</v>
      </c>
      <c r="F42" s="133">
        <v>1</v>
      </c>
      <c r="G42" s="133">
        <v>30</v>
      </c>
      <c r="H42" s="134">
        <v>13</v>
      </c>
      <c r="I42" s="133">
        <v>45</v>
      </c>
      <c r="J42" s="135"/>
      <c r="K42" s="136">
        <f t="shared" ref="K42:N42" si="98">K41*2</f>
        <v>184</v>
      </c>
      <c r="L42" s="136">
        <f t="shared" si="98"/>
        <v>84</v>
      </c>
      <c r="M42" s="137">
        <f t="shared" si="98"/>
        <v>196</v>
      </c>
      <c r="N42" s="136">
        <f t="shared" si="98"/>
        <v>464</v>
      </c>
      <c r="O42" s="145"/>
      <c r="P42" s="136">
        <f t="shared" ref="P42:P46" si="99">E42+F42+P41</f>
        <v>5</v>
      </c>
      <c r="Q42" s="136">
        <f t="shared" ref="Q42:S42" si="100">G42+Q41</f>
        <v>62</v>
      </c>
      <c r="R42" s="137">
        <f t="shared" si="100"/>
        <v>38</v>
      </c>
      <c r="S42" s="136">
        <f t="shared" si="100"/>
        <v>105</v>
      </c>
      <c r="T42" s="139"/>
      <c r="U42" s="140">
        <f t="shared" ref="U42:X42" si="101">P42/K42</f>
        <v>2.717391304347826E-2</v>
      </c>
      <c r="V42" s="148">
        <f t="shared" si="101"/>
        <v>0.73809523809523814</v>
      </c>
      <c r="W42" s="141">
        <f t="shared" si="101"/>
        <v>0.19387755102040816</v>
      </c>
      <c r="X42" s="140">
        <f t="shared" si="101"/>
        <v>0.22629310344827586</v>
      </c>
      <c r="Y42" s="142"/>
      <c r="Z42" s="143"/>
      <c r="AA42" s="136"/>
      <c r="AB42" s="136" t="s">
        <v>1566</v>
      </c>
      <c r="AC42" s="128" t="s">
        <v>1566</v>
      </c>
      <c r="AD42" s="135"/>
      <c r="AE42" s="127"/>
      <c r="AF42" s="127"/>
      <c r="AG42" s="130"/>
      <c r="AH42" s="130" t="str">
        <f t="shared" si="3"/>
        <v xml:space="preserve"> </v>
      </c>
      <c r="AI42" s="130" t="str">
        <f t="shared" si="4"/>
        <v xml:space="preserve"> </v>
      </c>
      <c r="AJ42" s="130">
        <f t="shared" si="7"/>
        <v>2</v>
      </c>
      <c r="AK42" s="128" t="str">
        <f t="shared" si="11"/>
        <v xml:space="preserve"> </v>
      </c>
      <c r="AL42" s="128" t="str">
        <f t="shared" si="12"/>
        <v xml:space="preserve"> </v>
      </c>
      <c r="AM42" s="128" t="str">
        <f t="shared" si="13"/>
        <v xml:space="preserve"> </v>
      </c>
      <c r="AN42" s="130" t="str">
        <f t="shared" si="14"/>
        <v xml:space="preserve"> </v>
      </c>
      <c r="AO42" s="130"/>
      <c r="AP42" s="130"/>
    </row>
    <row r="43" spans="1:42">
      <c r="A43" s="131" t="s">
        <v>135</v>
      </c>
      <c r="B43" s="132">
        <v>5</v>
      </c>
      <c r="C43" s="118" t="s">
        <v>128</v>
      </c>
      <c r="D43" s="118">
        <v>2016</v>
      </c>
      <c r="E43" s="133">
        <v>0</v>
      </c>
      <c r="F43" s="133">
        <v>2</v>
      </c>
      <c r="G43" s="133">
        <v>7</v>
      </c>
      <c r="H43" s="134">
        <v>2</v>
      </c>
      <c r="I43" s="133">
        <v>11</v>
      </c>
      <c r="J43" s="135"/>
      <c r="K43" s="136">
        <f t="shared" ref="K43:N43" si="102">K41*3</f>
        <v>276</v>
      </c>
      <c r="L43" s="136">
        <f t="shared" si="102"/>
        <v>126</v>
      </c>
      <c r="M43" s="137">
        <f t="shared" si="102"/>
        <v>294</v>
      </c>
      <c r="N43" s="136">
        <f t="shared" si="102"/>
        <v>696</v>
      </c>
      <c r="O43" s="145"/>
      <c r="P43" s="136">
        <f t="shared" si="99"/>
        <v>7</v>
      </c>
      <c r="Q43" s="136">
        <f t="shared" ref="Q43:S43" si="103">G43+Q42</f>
        <v>69</v>
      </c>
      <c r="R43" s="137">
        <f t="shared" si="103"/>
        <v>40</v>
      </c>
      <c r="S43" s="136">
        <f t="shared" si="103"/>
        <v>116</v>
      </c>
      <c r="T43" s="139"/>
      <c r="U43" s="140">
        <f t="shared" ref="U43:X43" si="104">P43/K43</f>
        <v>2.5362318840579712E-2</v>
      </c>
      <c r="V43" s="148">
        <f t="shared" si="104"/>
        <v>0.54761904761904767</v>
      </c>
      <c r="W43" s="141">
        <f t="shared" si="104"/>
        <v>0.1360544217687075</v>
      </c>
      <c r="X43" s="140">
        <f t="shared" si="104"/>
        <v>0.16666666666666666</v>
      </c>
      <c r="Y43" s="142"/>
      <c r="Z43" s="143"/>
      <c r="AA43" s="136"/>
      <c r="AB43" s="136" t="s">
        <v>1566</v>
      </c>
      <c r="AC43" s="128" t="s">
        <v>1566</v>
      </c>
      <c r="AD43" s="135"/>
      <c r="AE43" s="127" t="s">
        <v>1566</v>
      </c>
      <c r="AF43" s="127"/>
      <c r="AG43" s="130"/>
      <c r="AH43" s="130" t="str">
        <f t="shared" si="3"/>
        <v xml:space="preserve"> </v>
      </c>
      <c r="AI43" s="130" t="str">
        <f t="shared" si="4"/>
        <v xml:space="preserve"> </v>
      </c>
      <c r="AJ43" s="144" t="str">
        <f t="shared" si="7"/>
        <v xml:space="preserve"> </v>
      </c>
      <c r="AK43" s="128">
        <f t="shared" si="11"/>
        <v>2</v>
      </c>
      <c r="AL43" s="128" t="str">
        <f t="shared" si="12"/>
        <v xml:space="preserve"> </v>
      </c>
      <c r="AM43" s="128" t="str">
        <f t="shared" si="13"/>
        <v xml:space="preserve"> </v>
      </c>
      <c r="AN43" s="130" t="str">
        <f t="shared" si="14"/>
        <v xml:space="preserve"> </v>
      </c>
      <c r="AO43" s="130"/>
      <c r="AP43" s="130"/>
    </row>
    <row r="44" spans="1:42">
      <c r="A44" s="131" t="s">
        <v>135</v>
      </c>
      <c r="B44" s="132">
        <v>5</v>
      </c>
      <c r="C44" s="118" t="s">
        <v>128</v>
      </c>
      <c r="D44" s="118">
        <v>2017</v>
      </c>
      <c r="E44" s="133">
        <v>2</v>
      </c>
      <c r="F44" s="133">
        <v>1</v>
      </c>
      <c r="G44" s="133">
        <v>0</v>
      </c>
      <c r="H44" s="134">
        <v>6</v>
      </c>
      <c r="I44" s="133">
        <v>9</v>
      </c>
      <c r="J44" s="135"/>
      <c r="K44" s="136">
        <f t="shared" ref="K44:N44" si="105">K41*4</f>
        <v>368</v>
      </c>
      <c r="L44" s="136">
        <f t="shared" si="105"/>
        <v>168</v>
      </c>
      <c r="M44" s="137">
        <f t="shared" si="105"/>
        <v>392</v>
      </c>
      <c r="N44" s="136">
        <f t="shared" si="105"/>
        <v>928</v>
      </c>
      <c r="O44" s="145"/>
      <c r="P44" s="136">
        <f t="shared" si="99"/>
        <v>10</v>
      </c>
      <c r="Q44" s="136">
        <f t="shared" ref="Q44:S44" si="106">G44+Q43</f>
        <v>69</v>
      </c>
      <c r="R44" s="137">
        <f t="shared" si="106"/>
        <v>46</v>
      </c>
      <c r="S44" s="136">
        <f t="shared" si="106"/>
        <v>125</v>
      </c>
      <c r="T44" s="139"/>
      <c r="U44" s="140">
        <f t="shared" ref="U44:X44" si="107">P44/K44</f>
        <v>2.717391304347826E-2</v>
      </c>
      <c r="V44" s="148">
        <f t="shared" si="107"/>
        <v>0.4107142857142857</v>
      </c>
      <c r="W44" s="141">
        <f t="shared" si="107"/>
        <v>0.11734693877551021</v>
      </c>
      <c r="X44" s="140">
        <f t="shared" si="107"/>
        <v>0.13469827586206898</v>
      </c>
      <c r="Y44" s="142"/>
      <c r="Z44" s="143"/>
      <c r="AA44" s="136"/>
      <c r="AB44" s="136" t="s">
        <v>1566</v>
      </c>
      <c r="AC44" s="128" t="s">
        <v>1566</v>
      </c>
      <c r="AD44" s="135"/>
      <c r="AE44" s="127" t="s">
        <v>1566</v>
      </c>
      <c r="AF44" s="127"/>
      <c r="AG44" s="130"/>
      <c r="AH44" s="130" t="str">
        <f t="shared" si="3"/>
        <v xml:space="preserve"> </v>
      </c>
      <c r="AI44" s="130" t="str">
        <f t="shared" si="4"/>
        <v xml:space="preserve"> </v>
      </c>
      <c r="AJ44" s="144" t="str">
        <f t="shared" si="7"/>
        <v xml:space="preserve"> </v>
      </c>
      <c r="AK44" s="128" t="str">
        <f t="shared" si="11"/>
        <v xml:space="preserve"> </v>
      </c>
      <c r="AL44" s="128">
        <f t="shared" si="12"/>
        <v>3</v>
      </c>
      <c r="AM44" s="128" t="str">
        <f t="shared" si="13"/>
        <v xml:space="preserve"> </v>
      </c>
      <c r="AN44" s="130" t="str">
        <f t="shared" si="14"/>
        <v xml:space="preserve"> </v>
      </c>
      <c r="AO44" s="130"/>
      <c r="AP44" s="130"/>
    </row>
    <row r="45" spans="1:42">
      <c r="A45" s="131" t="s">
        <v>135</v>
      </c>
      <c r="B45" s="132">
        <v>5</v>
      </c>
      <c r="C45" s="118" t="s">
        <v>128</v>
      </c>
      <c r="D45" s="118">
        <v>2018</v>
      </c>
      <c r="E45" s="133">
        <v>3</v>
      </c>
      <c r="F45" s="133">
        <v>0</v>
      </c>
      <c r="G45" s="133">
        <v>2</v>
      </c>
      <c r="H45" s="134">
        <v>6</v>
      </c>
      <c r="I45" s="133">
        <v>11</v>
      </c>
      <c r="J45" s="135"/>
      <c r="K45" s="136">
        <f t="shared" ref="K45:N45" si="108">K41*5</f>
        <v>460</v>
      </c>
      <c r="L45" s="136">
        <f t="shared" si="108"/>
        <v>210</v>
      </c>
      <c r="M45" s="137">
        <f t="shared" si="108"/>
        <v>490</v>
      </c>
      <c r="N45" s="136">
        <f t="shared" si="108"/>
        <v>1160</v>
      </c>
      <c r="O45" s="145"/>
      <c r="P45" s="136">
        <f t="shared" si="99"/>
        <v>13</v>
      </c>
      <c r="Q45" s="136">
        <f t="shared" ref="Q45:S45" si="109">G45+Q44</f>
        <v>71</v>
      </c>
      <c r="R45" s="137">
        <f t="shared" si="109"/>
        <v>52</v>
      </c>
      <c r="S45" s="136">
        <f t="shared" si="109"/>
        <v>136</v>
      </c>
      <c r="T45" s="139"/>
      <c r="U45" s="140">
        <f t="shared" ref="U45:X45" si="110">P45/K45</f>
        <v>2.8260869565217391E-2</v>
      </c>
      <c r="V45" s="148">
        <f t="shared" si="110"/>
        <v>0.33809523809523812</v>
      </c>
      <c r="W45" s="141">
        <f t="shared" si="110"/>
        <v>0.10612244897959183</v>
      </c>
      <c r="X45" s="140">
        <f t="shared" si="110"/>
        <v>0.11724137931034483</v>
      </c>
      <c r="Y45" s="142"/>
      <c r="Z45" s="143"/>
      <c r="AA45" s="136"/>
      <c r="AB45" s="136" t="s">
        <v>1566</v>
      </c>
      <c r="AC45" s="128" t="s">
        <v>1566</v>
      </c>
      <c r="AD45" s="135"/>
      <c r="AE45" s="127" t="s">
        <v>1566</v>
      </c>
      <c r="AF45" s="127"/>
      <c r="AG45" s="130"/>
      <c r="AH45" s="130" t="str">
        <f t="shared" si="3"/>
        <v xml:space="preserve"> </v>
      </c>
      <c r="AI45" s="130" t="str">
        <f t="shared" si="4"/>
        <v xml:space="preserve"> </v>
      </c>
      <c r="AJ45" s="144" t="str">
        <f t="shared" si="7"/>
        <v xml:space="preserve"> </v>
      </c>
      <c r="AK45" s="128" t="str">
        <f t="shared" si="11"/>
        <v xml:space="preserve"> </v>
      </c>
      <c r="AL45" s="128" t="str">
        <f t="shared" si="12"/>
        <v xml:space="preserve"> </v>
      </c>
      <c r="AM45" s="128">
        <f t="shared" si="13"/>
        <v>3</v>
      </c>
      <c r="AN45" s="130" t="str">
        <f t="shared" si="14"/>
        <v xml:space="preserve"> </v>
      </c>
      <c r="AO45" s="130"/>
      <c r="AP45" s="130"/>
    </row>
    <row r="46" spans="1:42">
      <c r="A46" s="131" t="s">
        <v>135</v>
      </c>
      <c r="B46" s="132">
        <v>5</v>
      </c>
      <c r="C46" s="118" t="s">
        <v>129</v>
      </c>
      <c r="D46" s="118">
        <v>2019</v>
      </c>
      <c r="E46" s="133">
        <v>2</v>
      </c>
      <c r="F46" s="133">
        <v>1</v>
      </c>
      <c r="G46" s="133">
        <v>1</v>
      </c>
      <c r="H46" s="134">
        <v>0</v>
      </c>
      <c r="I46" s="133">
        <f>E46+F46+G46+H46</f>
        <v>4</v>
      </c>
      <c r="J46" s="135"/>
      <c r="K46" s="138">
        <v>460</v>
      </c>
      <c r="L46" s="138">
        <v>210</v>
      </c>
      <c r="M46" s="147">
        <v>490</v>
      </c>
      <c r="N46" s="138">
        <v>1160</v>
      </c>
      <c r="O46" s="145"/>
      <c r="P46" s="136">
        <f t="shared" si="99"/>
        <v>16</v>
      </c>
      <c r="Q46" s="136">
        <f t="shared" ref="Q46:S46" si="111">G46+Q45</f>
        <v>72</v>
      </c>
      <c r="R46" s="137">
        <f t="shared" si="111"/>
        <v>52</v>
      </c>
      <c r="S46" s="136">
        <f t="shared" si="111"/>
        <v>140</v>
      </c>
      <c r="T46" s="139"/>
      <c r="U46" s="140">
        <f t="shared" ref="U46:X46" si="112">P46/K46</f>
        <v>3.4782608695652174E-2</v>
      </c>
      <c r="V46" s="148">
        <f t="shared" si="112"/>
        <v>0.34285714285714286</v>
      </c>
      <c r="W46" s="141">
        <f t="shared" si="112"/>
        <v>0.10612244897959183</v>
      </c>
      <c r="X46" s="140">
        <f t="shared" si="112"/>
        <v>0.1206896551724138</v>
      </c>
      <c r="Y46" s="146" t="s">
        <v>135</v>
      </c>
      <c r="Z46" s="143"/>
      <c r="AA46" s="138">
        <v>1160</v>
      </c>
      <c r="AB46" s="136">
        <v>1160</v>
      </c>
      <c r="AC46" s="128">
        <v>140</v>
      </c>
      <c r="AD46" s="135"/>
      <c r="AE46" s="127">
        <f>N41</f>
        <v>232</v>
      </c>
      <c r="AF46" s="127"/>
      <c r="AG46" s="130"/>
      <c r="AH46" s="130" t="str">
        <f t="shared" si="3"/>
        <v xml:space="preserve"> </v>
      </c>
      <c r="AI46" s="130" t="str">
        <f t="shared" si="4"/>
        <v xml:space="preserve"> </v>
      </c>
      <c r="AJ46" s="144" t="str">
        <f t="shared" si="7"/>
        <v xml:space="preserve"> </v>
      </c>
      <c r="AK46" s="128" t="str">
        <f t="shared" si="11"/>
        <v xml:space="preserve"> </v>
      </c>
      <c r="AL46" s="128" t="str">
        <f t="shared" si="12"/>
        <v xml:space="preserve"> </v>
      </c>
      <c r="AM46" s="128" t="str">
        <f t="shared" si="13"/>
        <v xml:space="preserve"> </v>
      </c>
      <c r="AN46" s="130">
        <f t="shared" si="14"/>
        <v>3</v>
      </c>
      <c r="AO46" s="130"/>
      <c r="AP46" s="130"/>
    </row>
    <row r="47" spans="1:42">
      <c r="A47" s="131"/>
      <c r="B47" s="132"/>
      <c r="C47" s="118"/>
      <c r="D47" s="118"/>
      <c r="E47" s="133"/>
      <c r="F47" s="133"/>
      <c r="G47" s="133"/>
      <c r="H47" s="134"/>
      <c r="I47" s="133"/>
      <c r="J47" s="135"/>
      <c r="K47" s="136"/>
      <c r="L47" s="136"/>
      <c r="M47" s="137"/>
      <c r="N47" s="136"/>
      <c r="O47" s="145"/>
      <c r="P47" s="136"/>
      <c r="Q47" s="136"/>
      <c r="R47" s="137"/>
      <c r="S47" s="136"/>
      <c r="T47" s="139"/>
      <c r="U47" s="140"/>
      <c r="V47" s="148"/>
      <c r="W47" s="141"/>
      <c r="X47" s="140"/>
      <c r="Y47" s="142"/>
      <c r="Z47" s="143"/>
      <c r="AA47" s="136"/>
      <c r="AB47" s="136" t="s">
        <v>1566</v>
      </c>
      <c r="AC47" s="128" t="s">
        <v>1566</v>
      </c>
      <c r="AD47" s="135"/>
      <c r="AE47" s="127" t="s">
        <v>1566</v>
      </c>
      <c r="AF47" s="127"/>
      <c r="AG47" s="130"/>
      <c r="AH47" s="130" t="str">
        <f t="shared" si="3"/>
        <v xml:space="preserve"> </v>
      </c>
      <c r="AI47" s="130" t="str">
        <f t="shared" si="4"/>
        <v xml:space="preserve"> </v>
      </c>
      <c r="AJ47" s="144" t="str">
        <f t="shared" si="7"/>
        <v xml:space="preserve"> </v>
      </c>
      <c r="AK47" s="128" t="str">
        <f t="shared" si="11"/>
        <v xml:space="preserve"> </v>
      </c>
      <c r="AL47" s="128" t="str">
        <f t="shared" si="12"/>
        <v xml:space="preserve"> </v>
      </c>
      <c r="AM47" s="128" t="str">
        <f t="shared" si="13"/>
        <v xml:space="preserve"> </v>
      </c>
      <c r="AN47" s="130" t="str">
        <f t="shared" si="14"/>
        <v xml:space="preserve"> </v>
      </c>
      <c r="AO47" s="130"/>
      <c r="AP47" s="130"/>
    </row>
    <row r="48" spans="1:42">
      <c r="A48" s="131" t="s">
        <v>136</v>
      </c>
      <c r="B48" s="132">
        <v>8</v>
      </c>
      <c r="C48" s="118" t="s">
        <v>137</v>
      </c>
      <c r="D48" s="118">
        <v>2014</v>
      </c>
      <c r="E48" s="133">
        <v>57</v>
      </c>
      <c r="F48" s="133">
        <v>2</v>
      </c>
      <c r="G48" s="133">
        <v>318</v>
      </c>
      <c r="H48" s="134">
        <v>1118</v>
      </c>
      <c r="I48" s="133">
        <f t="shared" ref="I48:I53" si="113">E48+F48+G48+H48</f>
        <v>1495</v>
      </c>
      <c r="J48" s="135"/>
      <c r="K48" s="136"/>
      <c r="L48" s="136"/>
      <c r="M48" s="137"/>
      <c r="N48" s="136"/>
      <c r="O48" s="145"/>
      <c r="P48" s="136">
        <f>E48+F48</f>
        <v>59</v>
      </c>
      <c r="Q48" s="138">
        <v>318</v>
      </c>
      <c r="R48" s="137">
        <f t="shared" ref="R48:S48" si="114">H48</f>
        <v>1118</v>
      </c>
      <c r="S48" s="136">
        <f t="shared" si="114"/>
        <v>1495</v>
      </c>
      <c r="T48" s="139"/>
      <c r="U48" s="140"/>
      <c r="V48" s="148"/>
      <c r="W48" s="141"/>
      <c r="X48" s="140"/>
      <c r="Y48" s="142"/>
      <c r="Z48" s="143"/>
      <c r="AA48" s="136"/>
      <c r="AB48" s="136"/>
      <c r="AC48" s="128"/>
      <c r="AD48" s="135"/>
      <c r="AE48" s="127"/>
      <c r="AF48" s="127"/>
      <c r="AG48" s="130"/>
      <c r="AH48" s="130"/>
      <c r="AI48" s="130"/>
      <c r="AJ48" s="144"/>
      <c r="AK48" s="128"/>
      <c r="AL48" s="128"/>
      <c r="AM48" s="128"/>
      <c r="AN48" s="130"/>
      <c r="AO48" s="130"/>
      <c r="AP48" s="130"/>
    </row>
    <row r="49" spans="1:42">
      <c r="A49" s="131" t="s">
        <v>136</v>
      </c>
      <c r="B49" s="132">
        <v>8</v>
      </c>
      <c r="C49" s="118" t="s">
        <v>137</v>
      </c>
      <c r="D49" s="118">
        <v>2015</v>
      </c>
      <c r="E49" s="133">
        <v>1</v>
      </c>
      <c r="F49" s="133">
        <v>101</v>
      </c>
      <c r="G49" s="133">
        <v>355</v>
      </c>
      <c r="H49" s="134">
        <v>2325</v>
      </c>
      <c r="I49" s="133">
        <f t="shared" si="113"/>
        <v>2782</v>
      </c>
      <c r="J49" s="135"/>
      <c r="K49" s="136">
        <f>ROUND((5264+3086)/8,0)</f>
        <v>1044</v>
      </c>
      <c r="L49" s="136">
        <f>ROUND('HCD Assigned 5th Cycle RHNA'!F266/B49,0)</f>
        <v>437</v>
      </c>
      <c r="M49" s="137">
        <f>ROUND(8784/8,0)</f>
        <v>1098</v>
      </c>
      <c r="N49" s="136">
        <f>ROUND(20630/8,0)</f>
        <v>2579</v>
      </c>
      <c r="O49" s="145"/>
      <c r="P49" s="136">
        <f t="shared" ref="P49:P53" si="115">E49+F49+P48</f>
        <v>161</v>
      </c>
      <c r="Q49" s="136">
        <f t="shared" ref="Q49:S49" si="116">G49+Q48</f>
        <v>673</v>
      </c>
      <c r="R49" s="137">
        <f t="shared" si="116"/>
        <v>3443</v>
      </c>
      <c r="S49" s="136">
        <f t="shared" si="116"/>
        <v>4277</v>
      </c>
      <c r="T49" s="139"/>
      <c r="U49" s="140">
        <f t="shared" ref="U49:X49" si="117">P49/K49</f>
        <v>0.15421455938697318</v>
      </c>
      <c r="V49" s="148">
        <f t="shared" si="117"/>
        <v>1.5400457665903891</v>
      </c>
      <c r="W49" s="141">
        <f t="shared" si="117"/>
        <v>3.1357012750455375</v>
      </c>
      <c r="X49" s="140">
        <f t="shared" si="117"/>
        <v>1.658394726638232</v>
      </c>
      <c r="Y49" s="142"/>
      <c r="Z49" s="143"/>
      <c r="AA49" s="136"/>
      <c r="AB49" s="136" t="s">
        <v>1566</v>
      </c>
      <c r="AC49" s="128" t="s">
        <v>1566</v>
      </c>
      <c r="AD49" s="135"/>
      <c r="AE49" s="127"/>
      <c r="AF49" s="127"/>
      <c r="AG49" s="130"/>
      <c r="AH49" s="130" t="str">
        <f t="shared" ref="AH49:AH398" si="118">IF(D49=2013, E49+F49, " ")</f>
        <v xml:space="preserve"> </v>
      </c>
      <c r="AI49" s="130" t="str">
        <f t="shared" ref="AI49:AI398" si="119">IF(D49=2014, E49+F49, " ")</f>
        <v xml:space="preserve"> </v>
      </c>
      <c r="AJ49" s="130">
        <f t="shared" ref="AJ49:AJ398" si="120">IF(D49=2015, E49+F49, " ")</f>
        <v>102</v>
      </c>
      <c r="AK49" s="128" t="str">
        <f t="shared" ref="AK49:AK398" si="121">IF(D49=2016, E49+F49, " ")</f>
        <v xml:space="preserve"> </v>
      </c>
      <c r="AL49" s="128" t="str">
        <f t="shared" ref="AL49:AL398" si="122">IF(D49=2017, E49+F49, " ")</f>
        <v xml:space="preserve"> </v>
      </c>
      <c r="AM49" s="128" t="str">
        <f t="shared" ref="AM49:AM398" si="123">IF(D49=2018, E49+F49, " ")</f>
        <v xml:space="preserve"> </v>
      </c>
      <c r="AN49" s="130" t="str">
        <f t="shared" ref="AN49:AN398" si="124">IF(D49=2019, E49+F49, " ")</f>
        <v xml:space="preserve"> </v>
      </c>
      <c r="AO49" s="130"/>
      <c r="AP49" s="130"/>
    </row>
    <row r="50" spans="1:42">
      <c r="A50" s="131" t="s">
        <v>136</v>
      </c>
      <c r="B50" s="132">
        <v>8</v>
      </c>
      <c r="C50" s="118" t="s">
        <v>137</v>
      </c>
      <c r="D50" s="118">
        <v>2016</v>
      </c>
      <c r="E50" s="133">
        <v>190</v>
      </c>
      <c r="F50" s="133">
        <v>321</v>
      </c>
      <c r="G50" s="133">
        <v>314</v>
      </c>
      <c r="H50" s="134">
        <v>2568</v>
      </c>
      <c r="I50" s="133">
        <f t="shared" si="113"/>
        <v>3393</v>
      </c>
      <c r="J50" s="135"/>
      <c r="K50" s="136">
        <f t="shared" ref="K50:N50" si="125">K49*2</f>
        <v>2088</v>
      </c>
      <c r="L50" s="136">
        <f t="shared" si="125"/>
        <v>874</v>
      </c>
      <c r="M50" s="137">
        <f t="shared" si="125"/>
        <v>2196</v>
      </c>
      <c r="N50" s="136">
        <f t="shared" si="125"/>
        <v>5158</v>
      </c>
      <c r="O50" s="145"/>
      <c r="P50" s="136">
        <f t="shared" si="115"/>
        <v>672</v>
      </c>
      <c r="Q50" s="136">
        <f t="shared" ref="Q50:S50" si="126">G50+Q49</f>
        <v>987</v>
      </c>
      <c r="R50" s="137">
        <f t="shared" si="126"/>
        <v>6011</v>
      </c>
      <c r="S50" s="136">
        <f t="shared" si="126"/>
        <v>7670</v>
      </c>
      <c r="T50" s="139"/>
      <c r="U50" s="140">
        <f t="shared" ref="U50:X50" si="127">P50/K50</f>
        <v>0.32183908045977011</v>
      </c>
      <c r="V50" s="148">
        <f t="shared" si="127"/>
        <v>1.1292906178489703</v>
      </c>
      <c r="W50" s="141">
        <f t="shared" si="127"/>
        <v>2.7372495446265939</v>
      </c>
      <c r="X50" s="140">
        <f t="shared" si="127"/>
        <v>1.4870104691740984</v>
      </c>
      <c r="Y50" s="142"/>
      <c r="Z50" s="143"/>
      <c r="AA50" s="136"/>
      <c r="AB50" s="136" t="s">
        <v>1566</v>
      </c>
      <c r="AC50" s="128" t="s">
        <v>1566</v>
      </c>
      <c r="AD50" s="135"/>
      <c r="AE50" s="127" t="s">
        <v>1566</v>
      </c>
      <c r="AF50" s="127"/>
      <c r="AG50" s="130"/>
      <c r="AH50" s="130" t="str">
        <f t="shared" si="118"/>
        <v xml:space="preserve"> </v>
      </c>
      <c r="AI50" s="130" t="str">
        <f t="shared" si="119"/>
        <v xml:space="preserve"> </v>
      </c>
      <c r="AJ50" s="144" t="str">
        <f t="shared" si="120"/>
        <v xml:space="preserve"> </v>
      </c>
      <c r="AK50" s="128">
        <f t="shared" si="121"/>
        <v>511</v>
      </c>
      <c r="AL50" s="128" t="str">
        <f t="shared" si="122"/>
        <v xml:space="preserve"> </v>
      </c>
      <c r="AM50" s="128" t="str">
        <f t="shared" si="123"/>
        <v xml:space="preserve"> </v>
      </c>
      <c r="AN50" s="130" t="str">
        <f t="shared" si="124"/>
        <v xml:space="preserve"> </v>
      </c>
      <c r="AO50" s="130"/>
      <c r="AP50" s="130"/>
    </row>
    <row r="51" spans="1:42">
      <c r="A51" s="131" t="s">
        <v>136</v>
      </c>
      <c r="B51" s="132">
        <v>8</v>
      </c>
      <c r="C51" s="118" t="s">
        <v>137</v>
      </c>
      <c r="D51" s="118">
        <v>2017</v>
      </c>
      <c r="E51" s="133">
        <v>153</v>
      </c>
      <c r="F51" s="133">
        <v>82</v>
      </c>
      <c r="G51" s="133">
        <v>121</v>
      </c>
      <c r="H51" s="134">
        <v>1667</v>
      </c>
      <c r="I51" s="133">
        <f t="shared" si="113"/>
        <v>2023</v>
      </c>
      <c r="J51" s="135"/>
      <c r="K51" s="136">
        <f t="shared" ref="K51:N51" si="128">K49*3</f>
        <v>3132</v>
      </c>
      <c r="L51" s="136">
        <f t="shared" si="128"/>
        <v>1311</v>
      </c>
      <c r="M51" s="137">
        <f t="shared" si="128"/>
        <v>3294</v>
      </c>
      <c r="N51" s="136">
        <f t="shared" si="128"/>
        <v>7737</v>
      </c>
      <c r="O51" s="145"/>
      <c r="P51" s="136">
        <f t="shared" si="115"/>
        <v>907</v>
      </c>
      <c r="Q51" s="136">
        <f t="shared" ref="Q51:S51" si="129">G51+Q50</f>
        <v>1108</v>
      </c>
      <c r="R51" s="137">
        <f t="shared" si="129"/>
        <v>7678</v>
      </c>
      <c r="S51" s="136">
        <f t="shared" si="129"/>
        <v>9693</v>
      </c>
      <c r="T51" s="139"/>
      <c r="U51" s="140">
        <f t="shared" ref="U51:X51" si="130">P51/K51</f>
        <v>0.2895913154533844</v>
      </c>
      <c r="V51" s="148">
        <f t="shared" si="130"/>
        <v>0.84515636918382919</v>
      </c>
      <c r="W51" s="141">
        <f t="shared" si="130"/>
        <v>2.3309046751669702</v>
      </c>
      <c r="X51" s="140">
        <f t="shared" si="130"/>
        <v>1.2528111671190383</v>
      </c>
      <c r="Y51" s="142"/>
      <c r="Z51" s="143"/>
      <c r="AA51" s="136"/>
      <c r="AB51" s="136" t="s">
        <v>1566</v>
      </c>
      <c r="AC51" s="128" t="s">
        <v>1566</v>
      </c>
      <c r="AD51" s="135"/>
      <c r="AE51" s="127" t="s">
        <v>1566</v>
      </c>
      <c r="AF51" s="127"/>
      <c r="AG51" s="130"/>
      <c r="AH51" s="130" t="str">
        <f t="shared" si="118"/>
        <v xml:space="preserve"> </v>
      </c>
      <c r="AI51" s="130" t="str">
        <f t="shared" si="119"/>
        <v xml:space="preserve"> </v>
      </c>
      <c r="AJ51" s="144" t="str">
        <f t="shared" si="120"/>
        <v xml:space="preserve"> </v>
      </c>
      <c r="AK51" s="128" t="str">
        <f t="shared" si="121"/>
        <v xml:space="preserve"> </v>
      </c>
      <c r="AL51" s="128">
        <f t="shared" si="122"/>
        <v>235</v>
      </c>
      <c r="AM51" s="128" t="str">
        <f t="shared" si="123"/>
        <v xml:space="preserve"> </v>
      </c>
      <c r="AN51" s="130" t="str">
        <f t="shared" si="124"/>
        <v xml:space="preserve"> </v>
      </c>
      <c r="AO51" s="130"/>
      <c r="AP51" s="130"/>
    </row>
    <row r="52" spans="1:42">
      <c r="A52" s="131" t="s">
        <v>136</v>
      </c>
      <c r="B52" s="132">
        <v>8</v>
      </c>
      <c r="C52" s="118" t="s">
        <v>137</v>
      </c>
      <c r="D52" s="118">
        <v>2018</v>
      </c>
      <c r="E52" s="133">
        <v>87</v>
      </c>
      <c r="F52" s="133">
        <v>384</v>
      </c>
      <c r="G52" s="133">
        <v>75</v>
      </c>
      <c r="H52" s="134">
        <v>1551</v>
      </c>
      <c r="I52" s="133">
        <f t="shared" si="113"/>
        <v>2097</v>
      </c>
      <c r="J52" s="135"/>
      <c r="K52" s="136">
        <f t="shared" ref="K52:N52" si="131">K49*4</f>
        <v>4176</v>
      </c>
      <c r="L52" s="136">
        <f t="shared" si="131"/>
        <v>1748</v>
      </c>
      <c r="M52" s="137">
        <f t="shared" si="131"/>
        <v>4392</v>
      </c>
      <c r="N52" s="136">
        <f t="shared" si="131"/>
        <v>10316</v>
      </c>
      <c r="O52" s="145"/>
      <c r="P52" s="136">
        <f t="shared" si="115"/>
        <v>1378</v>
      </c>
      <c r="Q52" s="136">
        <f t="shared" ref="Q52:S52" si="132">G52+Q51</f>
        <v>1183</v>
      </c>
      <c r="R52" s="137">
        <f t="shared" si="132"/>
        <v>9229</v>
      </c>
      <c r="S52" s="136">
        <f t="shared" si="132"/>
        <v>11790</v>
      </c>
      <c r="T52" s="139"/>
      <c r="U52" s="140">
        <f t="shared" ref="U52:X52" si="133">P52/K52</f>
        <v>0.3299808429118774</v>
      </c>
      <c r="V52" s="148">
        <f t="shared" si="133"/>
        <v>0.67677345537757438</v>
      </c>
      <c r="W52" s="141">
        <f t="shared" si="133"/>
        <v>2.10132058287796</v>
      </c>
      <c r="X52" s="140">
        <f t="shared" si="133"/>
        <v>1.1428848390849167</v>
      </c>
      <c r="Y52" s="142"/>
      <c r="Z52" s="143"/>
      <c r="AA52" s="136"/>
      <c r="AB52" s="136" t="s">
        <v>1566</v>
      </c>
      <c r="AC52" s="128" t="s">
        <v>1566</v>
      </c>
      <c r="AD52" s="135"/>
      <c r="AE52" s="127" t="s">
        <v>1566</v>
      </c>
      <c r="AF52" s="127"/>
      <c r="AG52" s="130"/>
      <c r="AH52" s="130" t="str">
        <f t="shared" si="118"/>
        <v xml:space="preserve"> </v>
      </c>
      <c r="AI52" s="130" t="str">
        <f t="shared" si="119"/>
        <v xml:space="preserve"> </v>
      </c>
      <c r="AJ52" s="144" t="str">
        <f t="shared" si="120"/>
        <v xml:space="preserve"> </v>
      </c>
      <c r="AK52" s="128" t="str">
        <f t="shared" si="121"/>
        <v xml:space="preserve"> </v>
      </c>
      <c r="AL52" s="128" t="str">
        <f t="shared" si="122"/>
        <v xml:space="preserve"> </v>
      </c>
      <c r="AM52" s="128">
        <f t="shared" si="123"/>
        <v>471</v>
      </c>
      <c r="AN52" s="130" t="str">
        <f t="shared" si="124"/>
        <v xml:space="preserve"> </v>
      </c>
      <c r="AO52" s="130"/>
      <c r="AP52" s="130"/>
    </row>
    <row r="53" spans="1:42">
      <c r="A53" s="131" t="s">
        <v>136</v>
      </c>
      <c r="B53" s="132">
        <v>8</v>
      </c>
      <c r="C53" s="118" t="s">
        <v>137</v>
      </c>
      <c r="D53" s="118">
        <v>2019</v>
      </c>
      <c r="E53" s="133">
        <v>12</v>
      </c>
      <c r="F53" s="133">
        <v>44</v>
      </c>
      <c r="G53" s="133">
        <v>311</v>
      </c>
      <c r="H53" s="134">
        <v>2375</v>
      </c>
      <c r="I53" s="133">
        <f t="shared" si="113"/>
        <v>2742</v>
      </c>
      <c r="J53" s="135"/>
      <c r="K53" s="136">
        <f t="shared" ref="K53:N53" si="134">K49*5</f>
        <v>5220</v>
      </c>
      <c r="L53" s="136">
        <f t="shared" si="134"/>
        <v>2185</v>
      </c>
      <c r="M53" s="137">
        <f t="shared" si="134"/>
        <v>5490</v>
      </c>
      <c r="N53" s="136">
        <f t="shared" si="134"/>
        <v>12895</v>
      </c>
      <c r="O53" s="145"/>
      <c r="P53" s="136">
        <f t="shared" si="115"/>
        <v>1434</v>
      </c>
      <c r="Q53" s="136">
        <f t="shared" ref="Q53:S53" si="135">G53+Q52</f>
        <v>1494</v>
      </c>
      <c r="R53" s="137">
        <f t="shared" si="135"/>
        <v>11604</v>
      </c>
      <c r="S53" s="136">
        <f t="shared" si="135"/>
        <v>14532</v>
      </c>
      <c r="T53" s="139"/>
      <c r="U53" s="140">
        <f t="shared" ref="U53:X53" si="136">P53/K53</f>
        <v>0.27471264367816089</v>
      </c>
      <c r="V53" s="140">
        <f t="shared" si="136"/>
        <v>0.68375286041189931</v>
      </c>
      <c r="W53" s="141">
        <f t="shared" si="136"/>
        <v>2.1136612021857926</v>
      </c>
      <c r="X53" s="140">
        <f t="shared" si="136"/>
        <v>1.1269484296238852</v>
      </c>
      <c r="Y53" s="146" t="s">
        <v>136</v>
      </c>
      <c r="Z53" s="143"/>
      <c r="AA53" s="138">
        <v>20630</v>
      </c>
      <c r="AB53" s="136">
        <v>12895</v>
      </c>
      <c r="AC53" s="128">
        <v>14532</v>
      </c>
      <c r="AD53" s="135"/>
      <c r="AE53" s="127">
        <f>N49</f>
        <v>2579</v>
      </c>
      <c r="AF53" s="127"/>
      <c r="AG53" s="130"/>
      <c r="AH53" s="130" t="str">
        <f t="shared" si="118"/>
        <v xml:space="preserve"> </v>
      </c>
      <c r="AI53" s="130" t="str">
        <f t="shared" si="119"/>
        <v xml:space="preserve"> </v>
      </c>
      <c r="AJ53" s="144" t="str">
        <f t="shared" si="120"/>
        <v xml:space="preserve"> </v>
      </c>
      <c r="AK53" s="128" t="str">
        <f t="shared" si="121"/>
        <v xml:space="preserve"> </v>
      </c>
      <c r="AL53" s="128" t="str">
        <f t="shared" si="122"/>
        <v xml:space="preserve"> </v>
      </c>
      <c r="AM53" s="128" t="str">
        <f t="shared" si="123"/>
        <v xml:space="preserve"> </v>
      </c>
      <c r="AN53" s="130">
        <f t="shared" si="124"/>
        <v>56</v>
      </c>
      <c r="AO53" s="130"/>
      <c r="AP53" s="130"/>
    </row>
    <row r="54" spans="1:42">
      <c r="A54" s="131"/>
      <c r="B54" s="132"/>
      <c r="C54" s="118"/>
      <c r="D54" s="118"/>
      <c r="E54" s="133"/>
      <c r="F54" s="133"/>
      <c r="G54" s="133"/>
      <c r="H54" s="134"/>
      <c r="I54" s="133"/>
      <c r="J54" s="135"/>
      <c r="K54" s="136"/>
      <c r="L54" s="136"/>
      <c r="M54" s="137"/>
      <c r="N54" s="136"/>
      <c r="O54" s="145"/>
      <c r="P54" s="136"/>
      <c r="Q54" s="136"/>
      <c r="R54" s="137"/>
      <c r="S54" s="136"/>
      <c r="T54" s="139"/>
      <c r="U54" s="140"/>
      <c r="V54" s="140"/>
      <c r="W54" s="141"/>
      <c r="X54" s="140"/>
      <c r="Y54" s="142"/>
      <c r="Z54" s="143"/>
      <c r="AA54" s="136"/>
      <c r="AB54" s="136" t="s">
        <v>1566</v>
      </c>
      <c r="AC54" s="128" t="s">
        <v>1566</v>
      </c>
      <c r="AD54" s="135"/>
      <c r="AE54" s="127" t="s">
        <v>1566</v>
      </c>
      <c r="AF54" s="127"/>
      <c r="AG54" s="130"/>
      <c r="AH54" s="130" t="str">
        <f t="shared" si="118"/>
        <v xml:space="preserve"> </v>
      </c>
      <c r="AI54" s="130" t="str">
        <f t="shared" si="119"/>
        <v xml:space="preserve"> </v>
      </c>
      <c r="AJ54" s="144" t="str">
        <f t="shared" si="120"/>
        <v xml:space="preserve"> </v>
      </c>
      <c r="AK54" s="128" t="str">
        <f t="shared" si="121"/>
        <v xml:space="preserve"> </v>
      </c>
      <c r="AL54" s="128" t="str">
        <f t="shared" si="122"/>
        <v xml:space="preserve"> </v>
      </c>
      <c r="AM54" s="128" t="str">
        <f t="shared" si="123"/>
        <v xml:space="preserve"> </v>
      </c>
      <c r="AN54" s="130" t="str">
        <f t="shared" si="124"/>
        <v xml:space="preserve"> </v>
      </c>
      <c r="AO54" s="130"/>
      <c r="AP54" s="130"/>
    </row>
    <row r="55" spans="1:42">
      <c r="A55" s="131" t="s">
        <v>138</v>
      </c>
      <c r="B55" s="132">
        <v>5</v>
      </c>
      <c r="C55" s="118" t="s">
        <v>128</v>
      </c>
      <c r="D55" s="118">
        <v>2014</v>
      </c>
      <c r="E55" s="133">
        <v>3</v>
      </c>
      <c r="F55" s="133">
        <v>1</v>
      </c>
      <c r="G55" s="133">
        <v>3</v>
      </c>
      <c r="H55" s="134">
        <v>4</v>
      </c>
      <c r="I55" s="133">
        <v>11</v>
      </c>
      <c r="J55" s="135"/>
      <c r="K55" s="136">
        <f>ROUND((80+50)/5,0)</f>
        <v>26</v>
      </c>
      <c r="L55" s="136">
        <f>SUM('HCD Assigned 5th Cycle RHNA'!F572/5,0)</f>
        <v>8</v>
      </c>
      <c r="M55" s="137">
        <f>ROUND(140/5,0)</f>
        <v>28</v>
      </c>
      <c r="N55" s="136">
        <f>ROUND(310/5,0)</f>
        <v>62</v>
      </c>
      <c r="O55" s="145"/>
      <c r="P55" s="136">
        <f>E55+F55</f>
        <v>4</v>
      </c>
      <c r="Q55" s="136">
        <f t="shared" ref="Q55:S55" si="137">G55</f>
        <v>3</v>
      </c>
      <c r="R55" s="137">
        <f t="shared" si="137"/>
        <v>4</v>
      </c>
      <c r="S55" s="136">
        <f t="shared" si="137"/>
        <v>11</v>
      </c>
      <c r="T55" s="139"/>
      <c r="U55" s="140">
        <f t="shared" ref="U55:X55" si="138">P55/K55</f>
        <v>0.15384615384615385</v>
      </c>
      <c r="V55" s="140">
        <f t="shared" si="138"/>
        <v>0.375</v>
      </c>
      <c r="W55" s="141">
        <f t="shared" si="138"/>
        <v>0.14285714285714285</v>
      </c>
      <c r="X55" s="140">
        <f t="shared" si="138"/>
        <v>0.17741935483870969</v>
      </c>
      <c r="Y55" s="142"/>
      <c r="Z55" s="143"/>
      <c r="AA55" s="136"/>
      <c r="AB55" s="136" t="s">
        <v>1566</v>
      </c>
      <c r="AC55" s="128" t="s">
        <v>1566</v>
      </c>
      <c r="AD55" s="135"/>
      <c r="AE55" s="127"/>
      <c r="AF55" s="127"/>
      <c r="AG55" s="130"/>
      <c r="AH55" s="130" t="str">
        <f t="shared" si="118"/>
        <v xml:space="preserve"> </v>
      </c>
      <c r="AI55" s="130">
        <f t="shared" si="119"/>
        <v>4</v>
      </c>
      <c r="AJ55" s="144" t="str">
        <f t="shared" si="120"/>
        <v xml:space="preserve"> </v>
      </c>
      <c r="AK55" s="128" t="str">
        <f t="shared" si="121"/>
        <v xml:space="preserve"> </v>
      </c>
      <c r="AL55" s="128" t="str">
        <f t="shared" si="122"/>
        <v xml:space="preserve"> </v>
      </c>
      <c r="AM55" s="128" t="str">
        <f t="shared" si="123"/>
        <v xml:space="preserve"> </v>
      </c>
      <c r="AN55" s="130" t="str">
        <f t="shared" si="124"/>
        <v xml:space="preserve"> </v>
      </c>
      <c r="AO55" s="130"/>
      <c r="AP55" s="130"/>
    </row>
    <row r="56" spans="1:42">
      <c r="A56" s="131" t="s">
        <v>138</v>
      </c>
      <c r="B56" s="132">
        <v>5</v>
      </c>
      <c r="C56" s="118" t="s">
        <v>128</v>
      </c>
      <c r="D56" s="118">
        <v>2015</v>
      </c>
      <c r="E56" s="133">
        <v>4</v>
      </c>
      <c r="F56" s="133">
        <v>4</v>
      </c>
      <c r="G56" s="133">
        <v>4</v>
      </c>
      <c r="H56" s="134">
        <v>17</v>
      </c>
      <c r="I56" s="133">
        <v>29</v>
      </c>
      <c r="J56" s="135"/>
      <c r="K56" s="136">
        <f t="shared" ref="K56:N56" si="139">K55*2</f>
        <v>52</v>
      </c>
      <c r="L56" s="136">
        <f t="shared" si="139"/>
        <v>16</v>
      </c>
      <c r="M56" s="137">
        <f t="shared" si="139"/>
        <v>56</v>
      </c>
      <c r="N56" s="136">
        <f t="shared" si="139"/>
        <v>124</v>
      </c>
      <c r="O56" s="145"/>
      <c r="P56" s="136">
        <f t="shared" ref="P56:P60" si="140">E56+F56+P55</f>
        <v>12</v>
      </c>
      <c r="Q56" s="136">
        <f t="shared" ref="Q56:S56" si="141">G56+Q55</f>
        <v>7</v>
      </c>
      <c r="R56" s="137">
        <f t="shared" si="141"/>
        <v>21</v>
      </c>
      <c r="S56" s="136">
        <f t="shared" si="141"/>
        <v>40</v>
      </c>
      <c r="T56" s="139"/>
      <c r="U56" s="140">
        <f t="shared" ref="U56:X56" si="142">P56/K56</f>
        <v>0.23076923076923078</v>
      </c>
      <c r="V56" s="140">
        <f t="shared" si="142"/>
        <v>0.4375</v>
      </c>
      <c r="W56" s="141">
        <f t="shared" si="142"/>
        <v>0.375</v>
      </c>
      <c r="X56" s="140">
        <f t="shared" si="142"/>
        <v>0.32258064516129031</v>
      </c>
      <c r="Y56" s="142"/>
      <c r="Z56" s="143"/>
      <c r="AA56" s="136"/>
      <c r="AB56" s="136" t="s">
        <v>1566</v>
      </c>
      <c r="AC56" s="128" t="s">
        <v>1566</v>
      </c>
      <c r="AD56" s="135"/>
      <c r="AE56" s="127"/>
      <c r="AF56" s="127"/>
      <c r="AG56" s="130"/>
      <c r="AH56" s="130" t="str">
        <f t="shared" si="118"/>
        <v xml:space="preserve"> </v>
      </c>
      <c r="AI56" s="130" t="str">
        <f t="shared" si="119"/>
        <v xml:space="preserve"> </v>
      </c>
      <c r="AJ56" s="130">
        <f t="shared" si="120"/>
        <v>8</v>
      </c>
      <c r="AK56" s="128" t="str">
        <f t="shared" si="121"/>
        <v xml:space="preserve"> </v>
      </c>
      <c r="AL56" s="128" t="str">
        <f t="shared" si="122"/>
        <v xml:space="preserve"> </v>
      </c>
      <c r="AM56" s="128" t="str">
        <f t="shared" si="123"/>
        <v xml:space="preserve"> </v>
      </c>
      <c r="AN56" s="130" t="str">
        <f t="shared" si="124"/>
        <v xml:space="preserve"> </v>
      </c>
      <c r="AO56" s="130"/>
      <c r="AP56" s="130"/>
    </row>
    <row r="57" spans="1:42">
      <c r="A57" s="131" t="s">
        <v>138</v>
      </c>
      <c r="B57" s="132">
        <v>5</v>
      </c>
      <c r="C57" s="118" t="s">
        <v>128</v>
      </c>
      <c r="D57" s="118">
        <v>2016</v>
      </c>
      <c r="E57" s="133">
        <v>3</v>
      </c>
      <c r="F57" s="133">
        <v>0</v>
      </c>
      <c r="G57" s="133">
        <v>4</v>
      </c>
      <c r="H57" s="134">
        <v>17</v>
      </c>
      <c r="I57" s="133">
        <v>24</v>
      </c>
      <c r="J57" s="135"/>
      <c r="K57" s="136">
        <f t="shared" ref="K57:N57" si="143">K55*3</f>
        <v>78</v>
      </c>
      <c r="L57" s="136">
        <f t="shared" si="143"/>
        <v>24</v>
      </c>
      <c r="M57" s="137">
        <f t="shared" si="143"/>
        <v>84</v>
      </c>
      <c r="N57" s="136">
        <f t="shared" si="143"/>
        <v>186</v>
      </c>
      <c r="O57" s="145"/>
      <c r="P57" s="136">
        <f t="shared" si="140"/>
        <v>15</v>
      </c>
      <c r="Q57" s="136">
        <f t="shared" ref="Q57:S57" si="144">G57+Q56</f>
        <v>11</v>
      </c>
      <c r="R57" s="137">
        <f t="shared" si="144"/>
        <v>38</v>
      </c>
      <c r="S57" s="136">
        <f t="shared" si="144"/>
        <v>64</v>
      </c>
      <c r="T57" s="139"/>
      <c r="U57" s="140">
        <f t="shared" ref="U57:X57" si="145">P57/K57</f>
        <v>0.19230769230769232</v>
      </c>
      <c r="V57" s="140">
        <f t="shared" si="145"/>
        <v>0.45833333333333331</v>
      </c>
      <c r="W57" s="141">
        <f t="shared" si="145"/>
        <v>0.45238095238095238</v>
      </c>
      <c r="X57" s="140">
        <f t="shared" si="145"/>
        <v>0.34408602150537637</v>
      </c>
      <c r="Y57" s="142"/>
      <c r="Z57" s="143"/>
      <c r="AA57" s="136"/>
      <c r="AB57" s="136" t="s">
        <v>1566</v>
      </c>
      <c r="AC57" s="128" t="s">
        <v>1566</v>
      </c>
      <c r="AD57" s="135"/>
      <c r="AE57" s="127" t="s">
        <v>1566</v>
      </c>
      <c r="AF57" s="127"/>
      <c r="AG57" s="130"/>
      <c r="AH57" s="130" t="str">
        <f t="shared" si="118"/>
        <v xml:space="preserve"> </v>
      </c>
      <c r="AI57" s="130" t="str">
        <f t="shared" si="119"/>
        <v xml:space="preserve"> </v>
      </c>
      <c r="AJ57" s="144" t="str">
        <f t="shared" si="120"/>
        <v xml:space="preserve"> </v>
      </c>
      <c r="AK57" s="128">
        <f t="shared" si="121"/>
        <v>3</v>
      </c>
      <c r="AL57" s="128" t="str">
        <f t="shared" si="122"/>
        <v xml:space="preserve"> </v>
      </c>
      <c r="AM57" s="128" t="str">
        <f t="shared" si="123"/>
        <v xml:space="preserve"> </v>
      </c>
      <c r="AN57" s="130" t="str">
        <f t="shared" si="124"/>
        <v xml:space="preserve"> </v>
      </c>
      <c r="AO57" s="130"/>
      <c r="AP57" s="130"/>
    </row>
    <row r="58" spans="1:42">
      <c r="A58" s="131" t="s">
        <v>138</v>
      </c>
      <c r="B58" s="132">
        <v>5</v>
      </c>
      <c r="C58" s="118" t="s">
        <v>128</v>
      </c>
      <c r="D58" s="118">
        <v>2017</v>
      </c>
      <c r="E58" s="133">
        <v>9</v>
      </c>
      <c r="F58" s="133">
        <v>8</v>
      </c>
      <c r="G58" s="133">
        <v>3</v>
      </c>
      <c r="H58" s="134">
        <v>14</v>
      </c>
      <c r="I58" s="133">
        <v>34</v>
      </c>
      <c r="J58" s="135"/>
      <c r="K58" s="136">
        <f t="shared" ref="K58:N58" si="146">K55*4</f>
        <v>104</v>
      </c>
      <c r="L58" s="136">
        <f t="shared" si="146"/>
        <v>32</v>
      </c>
      <c r="M58" s="137">
        <f t="shared" si="146"/>
        <v>112</v>
      </c>
      <c r="N58" s="136">
        <f t="shared" si="146"/>
        <v>248</v>
      </c>
      <c r="O58" s="145"/>
      <c r="P58" s="136">
        <f t="shared" si="140"/>
        <v>32</v>
      </c>
      <c r="Q58" s="136">
        <f t="shared" ref="Q58:S58" si="147">G58+Q57</f>
        <v>14</v>
      </c>
      <c r="R58" s="137">
        <f t="shared" si="147"/>
        <v>52</v>
      </c>
      <c r="S58" s="136">
        <f t="shared" si="147"/>
        <v>98</v>
      </c>
      <c r="T58" s="139"/>
      <c r="U58" s="140">
        <f t="shared" ref="U58:X58" si="148">P58/K58</f>
        <v>0.30769230769230771</v>
      </c>
      <c r="V58" s="140">
        <f t="shared" si="148"/>
        <v>0.4375</v>
      </c>
      <c r="W58" s="141">
        <f t="shared" si="148"/>
        <v>0.4642857142857143</v>
      </c>
      <c r="X58" s="140">
        <f t="shared" si="148"/>
        <v>0.39516129032258063</v>
      </c>
      <c r="Y58" s="142"/>
      <c r="Z58" s="143"/>
      <c r="AA58" s="136"/>
      <c r="AB58" s="136" t="s">
        <v>1566</v>
      </c>
      <c r="AC58" s="128" t="s">
        <v>1566</v>
      </c>
      <c r="AD58" s="135"/>
      <c r="AE58" s="127" t="s">
        <v>1566</v>
      </c>
      <c r="AF58" s="127"/>
      <c r="AG58" s="130"/>
      <c r="AH58" s="130" t="str">
        <f t="shared" si="118"/>
        <v xml:space="preserve"> </v>
      </c>
      <c r="AI58" s="130" t="str">
        <f t="shared" si="119"/>
        <v xml:space="preserve"> </v>
      </c>
      <c r="AJ58" s="144" t="str">
        <f t="shared" si="120"/>
        <v xml:space="preserve"> </v>
      </c>
      <c r="AK58" s="128" t="str">
        <f t="shared" si="121"/>
        <v xml:space="preserve"> </v>
      </c>
      <c r="AL58" s="128">
        <f t="shared" si="122"/>
        <v>17</v>
      </c>
      <c r="AM58" s="128" t="str">
        <f t="shared" si="123"/>
        <v xml:space="preserve"> </v>
      </c>
      <c r="AN58" s="130" t="str">
        <f t="shared" si="124"/>
        <v xml:space="preserve"> </v>
      </c>
      <c r="AO58" s="130"/>
      <c r="AP58" s="130"/>
    </row>
    <row r="59" spans="1:42">
      <c r="A59" s="131" t="s">
        <v>138</v>
      </c>
      <c r="B59" s="132">
        <v>5</v>
      </c>
      <c r="C59" s="118" t="s">
        <v>128</v>
      </c>
      <c r="D59" s="118">
        <v>2018</v>
      </c>
      <c r="E59" s="133">
        <v>3</v>
      </c>
      <c r="F59" s="133">
        <v>9</v>
      </c>
      <c r="G59" s="133">
        <v>8</v>
      </c>
      <c r="H59" s="134">
        <v>24</v>
      </c>
      <c r="I59" s="133">
        <v>44</v>
      </c>
      <c r="J59" s="135"/>
      <c r="K59" s="136">
        <f t="shared" ref="K59:N59" si="149">K55*5</f>
        <v>130</v>
      </c>
      <c r="L59" s="136">
        <f t="shared" si="149"/>
        <v>40</v>
      </c>
      <c r="M59" s="137">
        <f t="shared" si="149"/>
        <v>140</v>
      </c>
      <c r="N59" s="136">
        <f t="shared" si="149"/>
        <v>310</v>
      </c>
      <c r="O59" s="145"/>
      <c r="P59" s="136">
        <f t="shared" si="140"/>
        <v>44</v>
      </c>
      <c r="Q59" s="136">
        <f t="shared" ref="Q59:S59" si="150">G59+Q58</f>
        <v>22</v>
      </c>
      <c r="R59" s="137">
        <f t="shared" si="150"/>
        <v>76</v>
      </c>
      <c r="S59" s="136">
        <f t="shared" si="150"/>
        <v>142</v>
      </c>
      <c r="T59" s="139"/>
      <c r="U59" s="140">
        <f t="shared" ref="U59:X59" si="151">P59/K59</f>
        <v>0.33846153846153848</v>
      </c>
      <c r="V59" s="140">
        <f t="shared" si="151"/>
        <v>0.55000000000000004</v>
      </c>
      <c r="W59" s="141">
        <f t="shared" si="151"/>
        <v>0.54285714285714282</v>
      </c>
      <c r="X59" s="140">
        <f t="shared" si="151"/>
        <v>0.45806451612903226</v>
      </c>
      <c r="Y59" s="142"/>
      <c r="Z59" s="143"/>
      <c r="AA59" s="136"/>
      <c r="AB59" s="136" t="s">
        <v>1566</v>
      </c>
      <c r="AC59" s="128" t="s">
        <v>1566</v>
      </c>
      <c r="AD59" s="135"/>
      <c r="AE59" s="127" t="s">
        <v>1566</v>
      </c>
      <c r="AF59" s="127"/>
      <c r="AG59" s="130"/>
      <c r="AH59" s="130" t="str">
        <f t="shared" si="118"/>
        <v xml:space="preserve"> </v>
      </c>
      <c r="AI59" s="130" t="str">
        <f t="shared" si="119"/>
        <v xml:space="preserve"> </v>
      </c>
      <c r="AJ59" s="144" t="str">
        <f t="shared" si="120"/>
        <v xml:space="preserve"> </v>
      </c>
      <c r="AK59" s="128" t="str">
        <f t="shared" si="121"/>
        <v xml:space="preserve"> </v>
      </c>
      <c r="AL59" s="128" t="str">
        <f t="shared" si="122"/>
        <v xml:space="preserve"> </v>
      </c>
      <c r="AM59" s="128">
        <f t="shared" si="123"/>
        <v>12</v>
      </c>
      <c r="AN59" s="130" t="str">
        <f t="shared" si="124"/>
        <v xml:space="preserve"> </v>
      </c>
      <c r="AO59" s="130"/>
      <c r="AP59" s="130"/>
    </row>
    <row r="60" spans="1:42">
      <c r="A60" s="131" t="s">
        <v>138</v>
      </c>
      <c r="B60" s="132">
        <v>5</v>
      </c>
      <c r="C60" s="118" t="s">
        <v>128</v>
      </c>
      <c r="D60" s="118">
        <v>2019</v>
      </c>
      <c r="E60" s="133">
        <v>26</v>
      </c>
      <c r="F60" s="133">
        <v>9</v>
      </c>
      <c r="G60" s="133">
        <v>16</v>
      </c>
      <c r="H60" s="134">
        <v>32</v>
      </c>
      <c r="I60" s="133">
        <f>E60+F60+G60+H60</f>
        <v>83</v>
      </c>
      <c r="J60" s="135"/>
      <c r="K60" s="136">
        <f>130</f>
        <v>130</v>
      </c>
      <c r="L60" s="138">
        <v>40</v>
      </c>
      <c r="M60" s="147">
        <v>140</v>
      </c>
      <c r="N60" s="138">
        <v>310</v>
      </c>
      <c r="O60" s="145"/>
      <c r="P60" s="136">
        <f t="shared" si="140"/>
        <v>79</v>
      </c>
      <c r="Q60" s="136">
        <f t="shared" ref="Q60:S60" si="152">G60+Q59</f>
        <v>38</v>
      </c>
      <c r="R60" s="137">
        <f t="shared" si="152"/>
        <v>108</v>
      </c>
      <c r="S60" s="136">
        <f t="shared" si="152"/>
        <v>225</v>
      </c>
      <c r="T60" s="139"/>
      <c r="U60" s="140">
        <f t="shared" ref="U60:X60" si="153">P60/K60</f>
        <v>0.60769230769230764</v>
      </c>
      <c r="V60" s="140">
        <f t="shared" si="153"/>
        <v>0.95</v>
      </c>
      <c r="W60" s="141">
        <f t="shared" si="153"/>
        <v>0.77142857142857146</v>
      </c>
      <c r="X60" s="140">
        <f t="shared" si="153"/>
        <v>0.72580645161290325</v>
      </c>
      <c r="Y60" s="146" t="s">
        <v>138</v>
      </c>
      <c r="Z60" s="143"/>
      <c r="AA60" s="138">
        <v>310</v>
      </c>
      <c r="AB60" s="136">
        <v>310</v>
      </c>
      <c r="AC60" s="128">
        <v>225</v>
      </c>
      <c r="AD60" s="135"/>
      <c r="AE60" s="127">
        <f>N55</f>
        <v>62</v>
      </c>
      <c r="AF60" s="127"/>
      <c r="AG60" s="130"/>
      <c r="AH60" s="130" t="str">
        <f t="shared" si="118"/>
        <v xml:space="preserve"> </v>
      </c>
      <c r="AI60" s="130" t="str">
        <f t="shared" si="119"/>
        <v xml:space="preserve"> </v>
      </c>
      <c r="AJ60" s="144" t="str">
        <f t="shared" si="120"/>
        <v xml:space="preserve"> </v>
      </c>
      <c r="AK60" s="128" t="str">
        <f t="shared" si="121"/>
        <v xml:space="preserve"> </v>
      </c>
      <c r="AL60" s="128" t="str">
        <f t="shared" si="122"/>
        <v xml:space="preserve"> </v>
      </c>
      <c r="AM60" s="128" t="str">
        <f t="shared" si="123"/>
        <v xml:space="preserve"> </v>
      </c>
      <c r="AN60" s="130">
        <f t="shared" si="124"/>
        <v>35</v>
      </c>
      <c r="AO60" s="130"/>
      <c r="AP60" s="130"/>
    </row>
    <row r="61" spans="1:42">
      <c r="A61" s="131"/>
      <c r="B61" s="132"/>
      <c r="C61" s="118"/>
      <c r="D61" s="118"/>
      <c r="E61" s="133"/>
      <c r="F61" s="133"/>
      <c r="G61" s="133"/>
      <c r="H61" s="134"/>
      <c r="I61" s="133"/>
      <c r="J61" s="135"/>
      <c r="K61" s="136"/>
      <c r="L61" s="136"/>
      <c r="M61" s="137"/>
      <c r="N61" s="136"/>
      <c r="O61" s="145"/>
      <c r="P61" s="136"/>
      <c r="Q61" s="136"/>
      <c r="R61" s="137"/>
      <c r="S61" s="136"/>
      <c r="T61" s="139"/>
      <c r="U61" s="140"/>
      <c r="V61" s="140"/>
      <c r="W61" s="141"/>
      <c r="X61" s="140"/>
      <c r="Y61" s="142"/>
      <c r="Z61" s="143"/>
      <c r="AA61" s="136"/>
      <c r="AB61" s="136" t="s">
        <v>1566</v>
      </c>
      <c r="AC61" s="128" t="s">
        <v>1566</v>
      </c>
      <c r="AD61" s="135"/>
      <c r="AE61" s="127" t="s">
        <v>1566</v>
      </c>
      <c r="AF61" s="127"/>
      <c r="AG61" s="130"/>
      <c r="AH61" s="130" t="str">
        <f t="shared" si="118"/>
        <v xml:space="preserve"> </v>
      </c>
      <c r="AI61" s="130" t="str">
        <f t="shared" si="119"/>
        <v xml:space="preserve"> </v>
      </c>
      <c r="AJ61" s="144" t="str">
        <f t="shared" si="120"/>
        <v xml:space="preserve"> </v>
      </c>
      <c r="AK61" s="128" t="str">
        <f t="shared" si="121"/>
        <v xml:space="preserve"> </v>
      </c>
      <c r="AL61" s="128" t="str">
        <f t="shared" si="122"/>
        <v xml:space="preserve"> </v>
      </c>
      <c r="AM61" s="128" t="str">
        <f t="shared" si="123"/>
        <v xml:space="preserve"> </v>
      </c>
      <c r="AN61" s="130" t="str">
        <f t="shared" si="124"/>
        <v xml:space="preserve"> </v>
      </c>
      <c r="AO61" s="130"/>
      <c r="AP61" s="130"/>
    </row>
    <row r="62" spans="1:42">
      <c r="A62" s="131" t="s">
        <v>139</v>
      </c>
      <c r="B62" s="132">
        <v>8</v>
      </c>
      <c r="C62" s="118" t="s">
        <v>140</v>
      </c>
      <c r="D62" s="118">
        <v>2013</v>
      </c>
      <c r="E62" s="133">
        <v>42</v>
      </c>
      <c r="F62" s="133">
        <v>29</v>
      </c>
      <c r="G62" s="133">
        <v>12</v>
      </c>
      <c r="H62" s="134">
        <v>732</v>
      </c>
      <c r="I62" s="133">
        <f>E62+F62+G62+H62</f>
        <v>815</v>
      </c>
      <c r="J62" s="135"/>
      <c r="K62" s="136"/>
      <c r="L62" s="136"/>
      <c r="M62" s="137"/>
      <c r="N62" s="136"/>
      <c r="O62" s="145"/>
      <c r="P62" s="136">
        <f>E62+F62</f>
        <v>71</v>
      </c>
      <c r="Q62" s="136">
        <f t="shared" ref="Q62:S62" si="154">G62</f>
        <v>12</v>
      </c>
      <c r="R62" s="137">
        <f t="shared" si="154"/>
        <v>732</v>
      </c>
      <c r="S62" s="136">
        <f t="shared" si="154"/>
        <v>815</v>
      </c>
      <c r="T62" s="139"/>
      <c r="U62" s="140">
        <f t="shared" ref="U62:X62" si="155">P62/K63</f>
        <v>0.27413127413127414</v>
      </c>
      <c r="V62" s="140">
        <f t="shared" si="155"/>
        <v>0.10084033613445378</v>
      </c>
      <c r="W62" s="141">
        <f t="shared" si="155"/>
        <v>2.7727272727272729</v>
      </c>
      <c r="X62" s="140">
        <f t="shared" si="155"/>
        <v>1.2694704049844237</v>
      </c>
      <c r="Y62" s="142"/>
      <c r="Z62" s="143"/>
      <c r="AA62" s="136"/>
      <c r="AB62" s="136"/>
      <c r="AC62" s="128"/>
      <c r="AD62" s="135"/>
      <c r="AE62" s="127"/>
      <c r="AF62" s="127"/>
      <c r="AG62" s="130"/>
      <c r="AH62" s="130">
        <f t="shared" si="118"/>
        <v>71</v>
      </c>
      <c r="AI62" s="130" t="str">
        <f t="shared" si="119"/>
        <v xml:space="preserve"> </v>
      </c>
      <c r="AJ62" s="144" t="str">
        <f t="shared" si="120"/>
        <v xml:space="preserve"> </v>
      </c>
      <c r="AK62" s="128" t="str">
        <f t="shared" si="121"/>
        <v xml:space="preserve"> </v>
      </c>
      <c r="AL62" s="128" t="str">
        <f t="shared" si="122"/>
        <v xml:space="preserve"> </v>
      </c>
      <c r="AM62" s="128" t="str">
        <f t="shared" si="123"/>
        <v xml:space="preserve"> </v>
      </c>
      <c r="AN62" s="130" t="str">
        <f t="shared" si="124"/>
        <v xml:space="preserve"> </v>
      </c>
      <c r="AO62" s="130"/>
      <c r="AP62" s="130"/>
    </row>
    <row r="63" spans="1:42">
      <c r="A63" s="131" t="s">
        <v>139</v>
      </c>
      <c r="B63" s="132">
        <v>8</v>
      </c>
      <c r="C63" s="118" t="s">
        <v>140</v>
      </c>
      <c r="D63" s="118">
        <v>2014</v>
      </c>
      <c r="E63" s="133">
        <v>1</v>
      </c>
      <c r="F63" s="133">
        <v>55</v>
      </c>
      <c r="G63" s="133">
        <v>22</v>
      </c>
      <c r="H63" s="134">
        <v>344</v>
      </c>
      <c r="I63" s="133">
        <v>422</v>
      </c>
      <c r="J63" s="135"/>
      <c r="K63" s="136">
        <f>ROUND((1218+855)/8,0)</f>
        <v>259</v>
      </c>
      <c r="L63" s="136">
        <f>ROUND('HCD Assigned 5th Cycle RHNA'!F374/B63,0)</f>
        <v>119</v>
      </c>
      <c r="M63" s="137">
        <f>ROUND(2108/8,0)</f>
        <v>264</v>
      </c>
      <c r="N63" s="136">
        <f>ROUND(5136/8,0)</f>
        <v>642</v>
      </c>
      <c r="O63" s="145"/>
      <c r="P63" s="136">
        <f t="shared" ref="P63:P68" si="156">E63+F63+P62</f>
        <v>127</v>
      </c>
      <c r="Q63" s="136">
        <f t="shared" ref="Q63:S63" si="157">G63+Q62</f>
        <v>34</v>
      </c>
      <c r="R63" s="137">
        <f t="shared" si="157"/>
        <v>1076</v>
      </c>
      <c r="S63" s="136">
        <f t="shared" si="157"/>
        <v>1237</v>
      </c>
      <c r="T63" s="139"/>
      <c r="U63" s="140">
        <f t="shared" ref="U63:X63" si="158">P63/K63</f>
        <v>0.49034749034749037</v>
      </c>
      <c r="V63" s="140">
        <f t="shared" si="158"/>
        <v>0.2857142857142857</v>
      </c>
      <c r="W63" s="141">
        <f t="shared" si="158"/>
        <v>4.0757575757575761</v>
      </c>
      <c r="X63" s="140">
        <f t="shared" si="158"/>
        <v>1.9267912772585669</v>
      </c>
      <c r="Y63" s="142"/>
      <c r="Z63" s="143"/>
      <c r="AA63" s="136"/>
      <c r="AB63" s="136" t="s">
        <v>1566</v>
      </c>
      <c r="AC63" s="128" t="s">
        <v>1566</v>
      </c>
      <c r="AD63" s="135"/>
      <c r="AE63" s="127"/>
      <c r="AF63" s="127"/>
      <c r="AG63" s="130"/>
      <c r="AH63" s="130" t="str">
        <f t="shared" si="118"/>
        <v xml:space="preserve"> </v>
      </c>
      <c r="AI63" s="130">
        <f t="shared" si="119"/>
        <v>56</v>
      </c>
      <c r="AJ63" s="144" t="str">
        <f t="shared" si="120"/>
        <v xml:space="preserve"> </v>
      </c>
      <c r="AK63" s="128" t="str">
        <f t="shared" si="121"/>
        <v xml:space="preserve"> </v>
      </c>
      <c r="AL63" s="128" t="str">
        <f t="shared" si="122"/>
        <v xml:space="preserve"> </v>
      </c>
      <c r="AM63" s="128" t="str">
        <f t="shared" si="123"/>
        <v xml:space="preserve"> </v>
      </c>
      <c r="AN63" s="130" t="str">
        <f t="shared" si="124"/>
        <v xml:space="preserve"> </v>
      </c>
      <c r="AO63" s="130"/>
      <c r="AP63" s="130"/>
    </row>
    <row r="64" spans="1:42">
      <c r="A64" s="131" t="s">
        <v>139</v>
      </c>
      <c r="B64" s="132">
        <v>8</v>
      </c>
      <c r="C64" s="118" t="s">
        <v>140</v>
      </c>
      <c r="D64" s="118">
        <v>2015</v>
      </c>
      <c r="E64" s="133">
        <v>0</v>
      </c>
      <c r="F64" s="133">
        <v>53</v>
      </c>
      <c r="G64" s="133">
        <v>4</v>
      </c>
      <c r="H64" s="134">
        <v>532</v>
      </c>
      <c r="I64" s="133">
        <v>589</v>
      </c>
      <c r="J64" s="135"/>
      <c r="K64" s="136">
        <f t="shared" ref="K64:N64" si="159">K63*2</f>
        <v>518</v>
      </c>
      <c r="L64" s="136">
        <f t="shared" si="159"/>
        <v>238</v>
      </c>
      <c r="M64" s="137">
        <f t="shared" si="159"/>
        <v>528</v>
      </c>
      <c r="N64" s="136">
        <f t="shared" si="159"/>
        <v>1284</v>
      </c>
      <c r="O64" s="145"/>
      <c r="P64" s="136">
        <f t="shared" si="156"/>
        <v>180</v>
      </c>
      <c r="Q64" s="136">
        <f t="shared" ref="Q64:S64" si="160">G64+Q63</f>
        <v>38</v>
      </c>
      <c r="R64" s="137">
        <f t="shared" si="160"/>
        <v>1608</v>
      </c>
      <c r="S64" s="136">
        <f t="shared" si="160"/>
        <v>1826</v>
      </c>
      <c r="T64" s="139"/>
      <c r="U64" s="140">
        <f t="shared" ref="U64:X64" si="161">P64/K64</f>
        <v>0.34749034749034752</v>
      </c>
      <c r="V64" s="140">
        <f t="shared" si="161"/>
        <v>0.15966386554621848</v>
      </c>
      <c r="W64" s="141">
        <f t="shared" si="161"/>
        <v>3.0454545454545454</v>
      </c>
      <c r="X64" s="140">
        <f t="shared" si="161"/>
        <v>1.4221183800623054</v>
      </c>
      <c r="Y64" s="142"/>
      <c r="Z64" s="143"/>
      <c r="AA64" s="136"/>
      <c r="AB64" s="136" t="s">
        <v>1566</v>
      </c>
      <c r="AC64" s="128" t="s">
        <v>1566</v>
      </c>
      <c r="AD64" s="135"/>
      <c r="AE64" s="127"/>
      <c r="AF64" s="127"/>
      <c r="AG64" s="130"/>
      <c r="AH64" s="130" t="str">
        <f t="shared" si="118"/>
        <v xml:space="preserve"> </v>
      </c>
      <c r="AI64" s="130" t="str">
        <f t="shared" si="119"/>
        <v xml:space="preserve"> </v>
      </c>
      <c r="AJ64" s="130">
        <f t="shared" si="120"/>
        <v>53</v>
      </c>
      <c r="AK64" s="128" t="str">
        <f t="shared" si="121"/>
        <v xml:space="preserve"> </v>
      </c>
      <c r="AL64" s="128" t="str">
        <f t="shared" si="122"/>
        <v xml:space="preserve"> </v>
      </c>
      <c r="AM64" s="128" t="str">
        <f t="shared" si="123"/>
        <v xml:space="preserve"> </v>
      </c>
      <c r="AN64" s="130" t="str">
        <f t="shared" si="124"/>
        <v xml:space="preserve"> </v>
      </c>
      <c r="AO64" s="130"/>
      <c r="AP64" s="130"/>
    </row>
    <row r="65" spans="1:42">
      <c r="A65" s="131" t="s">
        <v>139</v>
      </c>
      <c r="B65" s="132">
        <v>8</v>
      </c>
      <c r="C65" s="118" t="s">
        <v>140</v>
      </c>
      <c r="D65" s="118">
        <v>2016</v>
      </c>
      <c r="E65" s="133">
        <v>0</v>
      </c>
      <c r="F65" s="133">
        <v>57</v>
      </c>
      <c r="G65" s="133">
        <v>27</v>
      </c>
      <c r="H65" s="134">
        <v>709</v>
      </c>
      <c r="I65" s="133">
        <v>793</v>
      </c>
      <c r="J65" s="135"/>
      <c r="K65" s="136">
        <f t="shared" ref="K65:N65" si="162">K63*3</f>
        <v>777</v>
      </c>
      <c r="L65" s="136">
        <f t="shared" si="162"/>
        <v>357</v>
      </c>
      <c r="M65" s="137">
        <f t="shared" si="162"/>
        <v>792</v>
      </c>
      <c r="N65" s="136">
        <f t="shared" si="162"/>
        <v>1926</v>
      </c>
      <c r="O65" s="145"/>
      <c r="P65" s="136">
        <f t="shared" si="156"/>
        <v>237</v>
      </c>
      <c r="Q65" s="136">
        <f t="shared" ref="Q65:S65" si="163">G65+Q64</f>
        <v>65</v>
      </c>
      <c r="R65" s="137">
        <f t="shared" si="163"/>
        <v>2317</v>
      </c>
      <c r="S65" s="136">
        <f t="shared" si="163"/>
        <v>2619</v>
      </c>
      <c r="T65" s="139"/>
      <c r="U65" s="140">
        <f t="shared" ref="U65:X65" si="164">P65/K65</f>
        <v>0.30501930501930502</v>
      </c>
      <c r="V65" s="140">
        <f t="shared" si="164"/>
        <v>0.18207282913165265</v>
      </c>
      <c r="W65" s="141">
        <f t="shared" si="164"/>
        <v>2.9255050505050506</v>
      </c>
      <c r="X65" s="140">
        <f t="shared" si="164"/>
        <v>1.3598130841121496</v>
      </c>
      <c r="Y65" s="142"/>
      <c r="Z65" s="143"/>
      <c r="AA65" s="136"/>
      <c r="AB65" s="136" t="s">
        <v>1566</v>
      </c>
      <c r="AC65" s="128" t="s">
        <v>1566</v>
      </c>
      <c r="AD65" s="135"/>
      <c r="AE65" s="127" t="s">
        <v>1566</v>
      </c>
      <c r="AF65" s="127"/>
      <c r="AG65" s="130"/>
      <c r="AH65" s="130" t="str">
        <f t="shared" si="118"/>
        <v xml:space="preserve"> </v>
      </c>
      <c r="AI65" s="130" t="str">
        <f t="shared" si="119"/>
        <v xml:space="preserve"> </v>
      </c>
      <c r="AJ65" s="144" t="str">
        <f t="shared" si="120"/>
        <v xml:space="preserve"> </v>
      </c>
      <c r="AK65" s="128">
        <f t="shared" si="121"/>
        <v>57</v>
      </c>
      <c r="AL65" s="128" t="str">
        <f t="shared" si="122"/>
        <v xml:space="preserve"> </v>
      </c>
      <c r="AM65" s="128" t="str">
        <f t="shared" si="123"/>
        <v xml:space="preserve"> </v>
      </c>
      <c r="AN65" s="130" t="str">
        <f t="shared" si="124"/>
        <v xml:space="preserve"> </v>
      </c>
      <c r="AO65" s="130"/>
      <c r="AP65" s="130"/>
    </row>
    <row r="66" spans="1:42">
      <c r="A66" s="131" t="s">
        <v>139</v>
      </c>
      <c r="B66" s="132">
        <v>8</v>
      </c>
      <c r="C66" s="118" t="s">
        <v>140</v>
      </c>
      <c r="D66" s="118">
        <v>2017</v>
      </c>
      <c r="E66" s="133">
        <v>16</v>
      </c>
      <c r="F66" s="133">
        <v>59</v>
      </c>
      <c r="G66" s="133">
        <v>37</v>
      </c>
      <c r="H66" s="134">
        <v>733</v>
      </c>
      <c r="I66" s="133">
        <v>845</v>
      </c>
      <c r="J66" s="135"/>
      <c r="K66" s="136">
        <f t="shared" ref="K66:N66" si="165">K63*4</f>
        <v>1036</v>
      </c>
      <c r="L66" s="136">
        <f t="shared" si="165"/>
        <v>476</v>
      </c>
      <c r="M66" s="137">
        <f t="shared" si="165"/>
        <v>1056</v>
      </c>
      <c r="N66" s="136">
        <f t="shared" si="165"/>
        <v>2568</v>
      </c>
      <c r="O66" s="145"/>
      <c r="P66" s="136">
        <f t="shared" si="156"/>
        <v>312</v>
      </c>
      <c r="Q66" s="136">
        <f t="shared" ref="Q66:S66" si="166">G66+Q65</f>
        <v>102</v>
      </c>
      <c r="R66" s="137">
        <f t="shared" si="166"/>
        <v>3050</v>
      </c>
      <c r="S66" s="136">
        <f t="shared" si="166"/>
        <v>3464</v>
      </c>
      <c r="T66" s="139"/>
      <c r="U66" s="140">
        <f t="shared" ref="U66:X66" si="167">P66/K66</f>
        <v>0.30115830115830117</v>
      </c>
      <c r="V66" s="140">
        <f t="shared" si="167"/>
        <v>0.21428571428571427</v>
      </c>
      <c r="W66" s="141">
        <f t="shared" si="167"/>
        <v>2.8882575757575757</v>
      </c>
      <c r="X66" s="140">
        <f t="shared" si="167"/>
        <v>1.3489096573208723</v>
      </c>
      <c r="Y66" s="142"/>
      <c r="Z66" s="143"/>
      <c r="AA66" s="136"/>
      <c r="AB66" s="136" t="s">
        <v>1566</v>
      </c>
      <c r="AC66" s="128" t="s">
        <v>1566</v>
      </c>
      <c r="AD66" s="135"/>
      <c r="AE66" s="127" t="s">
        <v>1566</v>
      </c>
      <c r="AF66" s="127"/>
      <c r="AG66" s="130"/>
      <c r="AH66" s="130" t="str">
        <f t="shared" si="118"/>
        <v xml:space="preserve"> </v>
      </c>
      <c r="AI66" s="130" t="str">
        <f t="shared" si="119"/>
        <v xml:space="preserve"> </v>
      </c>
      <c r="AJ66" s="144" t="str">
        <f t="shared" si="120"/>
        <v xml:space="preserve"> </v>
      </c>
      <c r="AK66" s="128" t="str">
        <f t="shared" si="121"/>
        <v xml:space="preserve"> </v>
      </c>
      <c r="AL66" s="128">
        <f t="shared" si="122"/>
        <v>75</v>
      </c>
      <c r="AM66" s="128" t="str">
        <f t="shared" si="123"/>
        <v xml:space="preserve"> </v>
      </c>
      <c r="AN66" s="130" t="str">
        <f t="shared" si="124"/>
        <v xml:space="preserve"> </v>
      </c>
      <c r="AO66" s="130"/>
      <c r="AP66" s="130"/>
    </row>
    <row r="67" spans="1:42">
      <c r="A67" s="131" t="s">
        <v>139</v>
      </c>
      <c r="B67" s="132">
        <v>8</v>
      </c>
      <c r="C67" s="118" t="s">
        <v>140</v>
      </c>
      <c r="D67" s="118">
        <v>2018</v>
      </c>
      <c r="E67" s="133">
        <v>0</v>
      </c>
      <c r="F67" s="133">
        <v>0</v>
      </c>
      <c r="G67" s="133">
        <v>7</v>
      </c>
      <c r="H67" s="134">
        <v>525</v>
      </c>
      <c r="I67" s="133">
        <v>532</v>
      </c>
      <c r="J67" s="135"/>
      <c r="K67" s="136">
        <f t="shared" ref="K67:N67" si="168">K63*5</f>
        <v>1295</v>
      </c>
      <c r="L67" s="136">
        <f t="shared" si="168"/>
        <v>595</v>
      </c>
      <c r="M67" s="137">
        <f t="shared" si="168"/>
        <v>1320</v>
      </c>
      <c r="N67" s="136">
        <f t="shared" si="168"/>
        <v>3210</v>
      </c>
      <c r="O67" s="145"/>
      <c r="P67" s="136">
        <f t="shared" si="156"/>
        <v>312</v>
      </c>
      <c r="Q67" s="136">
        <f t="shared" ref="Q67:S67" si="169">G67+Q66</f>
        <v>109</v>
      </c>
      <c r="R67" s="137">
        <f t="shared" si="169"/>
        <v>3575</v>
      </c>
      <c r="S67" s="136">
        <f t="shared" si="169"/>
        <v>3996</v>
      </c>
      <c r="T67" s="139"/>
      <c r="U67" s="140">
        <f t="shared" ref="U67:X67" si="170">P67/K67</f>
        <v>0.24092664092664093</v>
      </c>
      <c r="V67" s="140">
        <f t="shared" si="170"/>
        <v>0.18319327731092436</v>
      </c>
      <c r="W67" s="141">
        <f t="shared" si="170"/>
        <v>2.7083333333333335</v>
      </c>
      <c r="X67" s="140">
        <f t="shared" si="170"/>
        <v>1.2448598130841122</v>
      </c>
      <c r="Y67" s="142"/>
      <c r="Z67" s="143"/>
      <c r="AA67" s="138"/>
      <c r="AB67" s="136" t="s">
        <v>1566</v>
      </c>
      <c r="AC67" s="128" t="s">
        <v>1566</v>
      </c>
      <c r="AD67" s="135"/>
      <c r="AE67" s="127" t="s">
        <v>1566</v>
      </c>
      <c r="AF67" s="127"/>
      <c r="AG67" s="130"/>
      <c r="AH67" s="130" t="str">
        <f t="shared" si="118"/>
        <v xml:space="preserve"> </v>
      </c>
      <c r="AI67" s="130" t="str">
        <f t="shared" si="119"/>
        <v xml:space="preserve"> </v>
      </c>
      <c r="AJ67" s="144" t="str">
        <f t="shared" si="120"/>
        <v xml:space="preserve"> </v>
      </c>
      <c r="AK67" s="128" t="str">
        <f t="shared" si="121"/>
        <v xml:space="preserve"> </v>
      </c>
      <c r="AL67" s="128" t="str">
        <f t="shared" si="122"/>
        <v xml:space="preserve"> </v>
      </c>
      <c r="AM67" s="128">
        <f t="shared" si="123"/>
        <v>0</v>
      </c>
      <c r="AN67" s="130" t="str">
        <f t="shared" si="124"/>
        <v xml:space="preserve"> </v>
      </c>
      <c r="AO67" s="130"/>
      <c r="AP67" s="130"/>
    </row>
    <row r="68" spans="1:42">
      <c r="A68" s="131" t="s">
        <v>139</v>
      </c>
      <c r="B68" s="132">
        <v>8</v>
      </c>
      <c r="C68" s="118" t="s">
        <v>140</v>
      </c>
      <c r="D68" s="118">
        <v>2019</v>
      </c>
      <c r="E68" s="133">
        <v>0</v>
      </c>
      <c r="F68" s="133">
        <v>2</v>
      </c>
      <c r="G68" s="133">
        <v>71</v>
      </c>
      <c r="H68" s="134">
        <v>507</v>
      </c>
      <c r="I68" s="133">
        <f>E68+F68+G68+H68</f>
        <v>580</v>
      </c>
      <c r="J68" s="135"/>
      <c r="K68" s="136">
        <f t="shared" ref="K68:N68" si="171">K63*6</f>
        <v>1554</v>
      </c>
      <c r="L68" s="136">
        <f t="shared" si="171"/>
        <v>714</v>
      </c>
      <c r="M68" s="137">
        <f t="shared" si="171"/>
        <v>1584</v>
      </c>
      <c r="N68" s="136">
        <f t="shared" si="171"/>
        <v>3852</v>
      </c>
      <c r="O68" s="145"/>
      <c r="P68" s="136">
        <f t="shared" si="156"/>
        <v>314</v>
      </c>
      <c r="Q68" s="136">
        <f t="shared" ref="Q68:S68" si="172">G68+Q67</f>
        <v>180</v>
      </c>
      <c r="R68" s="137">
        <f t="shared" si="172"/>
        <v>4082</v>
      </c>
      <c r="S68" s="136">
        <f t="shared" si="172"/>
        <v>4576</v>
      </c>
      <c r="T68" s="139"/>
      <c r="U68" s="140">
        <f t="shared" ref="U68:X68" si="173">P68/K68</f>
        <v>0.20205920205920205</v>
      </c>
      <c r="V68" s="140">
        <f t="shared" si="173"/>
        <v>0.25210084033613445</v>
      </c>
      <c r="W68" s="141">
        <f t="shared" si="173"/>
        <v>2.577020202020202</v>
      </c>
      <c r="X68" s="140">
        <f t="shared" si="173"/>
        <v>1.1879543094496365</v>
      </c>
      <c r="Y68" s="146" t="s">
        <v>139</v>
      </c>
      <c r="Z68" s="143"/>
      <c r="AA68" s="138">
        <v>5136</v>
      </c>
      <c r="AB68" s="136">
        <v>3852</v>
      </c>
      <c r="AC68" s="128">
        <v>4576</v>
      </c>
      <c r="AD68" s="135"/>
      <c r="AE68" s="127">
        <f>N63</f>
        <v>642</v>
      </c>
      <c r="AF68" s="127"/>
      <c r="AG68" s="130"/>
      <c r="AH68" s="130" t="str">
        <f t="shared" si="118"/>
        <v xml:space="preserve"> </v>
      </c>
      <c r="AI68" s="130" t="str">
        <f t="shared" si="119"/>
        <v xml:space="preserve"> </v>
      </c>
      <c r="AJ68" s="144" t="str">
        <f t="shared" si="120"/>
        <v xml:space="preserve"> </v>
      </c>
      <c r="AK68" s="128" t="str">
        <f t="shared" si="121"/>
        <v xml:space="preserve"> </v>
      </c>
      <c r="AL68" s="128" t="str">
        <f t="shared" si="122"/>
        <v xml:space="preserve"> </v>
      </c>
      <c r="AM68" s="128" t="str">
        <f t="shared" si="123"/>
        <v xml:space="preserve"> </v>
      </c>
      <c r="AN68" s="130">
        <f t="shared" si="124"/>
        <v>2</v>
      </c>
      <c r="AO68" s="130"/>
      <c r="AP68" s="130"/>
    </row>
    <row r="69" spans="1:42">
      <c r="A69" s="131"/>
      <c r="B69" s="132"/>
      <c r="C69" s="118"/>
      <c r="D69" s="118"/>
      <c r="E69" s="133"/>
      <c r="F69" s="133"/>
      <c r="G69" s="133"/>
      <c r="H69" s="134"/>
      <c r="I69" s="133"/>
      <c r="J69" s="135"/>
      <c r="K69" s="136"/>
      <c r="L69" s="136"/>
      <c r="M69" s="137"/>
      <c r="N69" s="136"/>
      <c r="O69" s="145"/>
      <c r="P69" s="136"/>
      <c r="Q69" s="136"/>
      <c r="R69" s="137"/>
      <c r="S69" s="136"/>
      <c r="T69" s="139"/>
      <c r="U69" s="140"/>
      <c r="V69" s="140"/>
      <c r="W69" s="141"/>
      <c r="X69" s="140"/>
      <c r="Y69" s="142"/>
      <c r="Z69" s="143"/>
      <c r="AA69" s="136"/>
      <c r="AB69" s="136" t="s">
        <v>1566</v>
      </c>
      <c r="AC69" s="128" t="s">
        <v>1566</v>
      </c>
      <c r="AD69" s="135"/>
      <c r="AE69" s="127" t="s">
        <v>1566</v>
      </c>
      <c r="AF69" s="127"/>
      <c r="AG69" s="130"/>
      <c r="AH69" s="130" t="str">
        <f t="shared" si="118"/>
        <v xml:space="preserve"> </v>
      </c>
      <c r="AI69" s="130" t="str">
        <f t="shared" si="119"/>
        <v xml:space="preserve"> </v>
      </c>
      <c r="AJ69" s="144" t="str">
        <f t="shared" si="120"/>
        <v xml:space="preserve"> </v>
      </c>
      <c r="AK69" s="128" t="str">
        <f t="shared" si="121"/>
        <v xml:space="preserve"> </v>
      </c>
      <c r="AL69" s="128" t="str">
        <f t="shared" si="122"/>
        <v xml:space="preserve"> </v>
      </c>
      <c r="AM69" s="128" t="str">
        <f t="shared" si="123"/>
        <v xml:space="preserve"> </v>
      </c>
      <c r="AN69" s="130" t="str">
        <f t="shared" si="124"/>
        <v xml:space="preserve"> </v>
      </c>
      <c r="AO69" s="130"/>
      <c r="AP69" s="130"/>
    </row>
    <row r="70" spans="1:42">
      <c r="A70" s="131" t="s">
        <v>141</v>
      </c>
      <c r="B70" s="132">
        <v>8</v>
      </c>
      <c r="C70" s="118" t="s">
        <v>142</v>
      </c>
      <c r="D70" s="118">
        <v>2015</v>
      </c>
      <c r="E70" s="133">
        <v>471</v>
      </c>
      <c r="F70" s="133">
        <v>312</v>
      </c>
      <c r="G70" s="133">
        <v>991</v>
      </c>
      <c r="H70" s="134">
        <v>3806</v>
      </c>
      <c r="I70" s="133">
        <f>E70+F70+G70+H70</f>
        <v>5580</v>
      </c>
      <c r="J70" s="135"/>
      <c r="K70" s="128"/>
      <c r="L70" s="136"/>
      <c r="M70" s="137"/>
      <c r="N70" s="128"/>
      <c r="O70" s="145"/>
      <c r="P70" s="136">
        <f>E70+F70</f>
        <v>783</v>
      </c>
      <c r="Q70" s="136">
        <f t="shared" ref="Q70:S70" si="174">G70</f>
        <v>991</v>
      </c>
      <c r="R70" s="137">
        <f t="shared" si="174"/>
        <v>3806</v>
      </c>
      <c r="S70" s="136">
        <f t="shared" si="174"/>
        <v>5580</v>
      </c>
      <c r="T70" s="139"/>
      <c r="U70" s="140">
        <f t="shared" ref="U70:X70" si="175">P70/K71</f>
        <v>0.36829727187206018</v>
      </c>
      <c r="V70" s="140">
        <f t="shared" si="175"/>
        <v>1.195416164053076</v>
      </c>
      <c r="W70" s="141">
        <f t="shared" si="175"/>
        <v>1.7074921489457155</v>
      </c>
      <c r="X70" s="140">
        <f t="shared" si="175"/>
        <v>1.0763888888888888</v>
      </c>
      <c r="Y70" s="142"/>
      <c r="Z70" s="143"/>
      <c r="AA70" s="136"/>
      <c r="AB70" s="136"/>
      <c r="AC70" s="128"/>
      <c r="AD70" s="135"/>
      <c r="AE70" s="127"/>
      <c r="AF70" s="127"/>
      <c r="AG70" s="130"/>
      <c r="AH70" s="130" t="str">
        <f t="shared" si="118"/>
        <v xml:space="preserve"> </v>
      </c>
      <c r="AI70" s="130" t="str">
        <f t="shared" si="119"/>
        <v xml:space="preserve"> </v>
      </c>
      <c r="AJ70" s="130">
        <f t="shared" si="120"/>
        <v>783</v>
      </c>
      <c r="AK70" s="128" t="str">
        <f t="shared" si="121"/>
        <v xml:space="preserve"> </v>
      </c>
      <c r="AL70" s="128" t="str">
        <f t="shared" si="122"/>
        <v xml:space="preserve"> </v>
      </c>
      <c r="AM70" s="128" t="str">
        <f t="shared" si="123"/>
        <v xml:space="preserve"> </v>
      </c>
      <c r="AN70" s="130" t="str">
        <f t="shared" si="124"/>
        <v xml:space="preserve"> </v>
      </c>
      <c r="AO70" s="130"/>
      <c r="AP70" s="130"/>
    </row>
    <row r="71" spans="1:42">
      <c r="A71" s="131" t="s">
        <v>141</v>
      </c>
      <c r="B71" s="132">
        <v>8</v>
      </c>
      <c r="C71" s="118" t="s">
        <v>142</v>
      </c>
      <c r="D71" s="118">
        <v>2016</v>
      </c>
      <c r="E71" s="133">
        <v>97</v>
      </c>
      <c r="F71" s="133">
        <v>68</v>
      </c>
      <c r="G71" s="133">
        <v>838</v>
      </c>
      <c r="H71" s="134">
        <v>1650</v>
      </c>
      <c r="I71" s="133">
        <v>2653</v>
      </c>
      <c r="J71" s="135"/>
      <c r="K71" s="128">
        <f>ROUND((10535+6470)/8,0)</f>
        <v>2126</v>
      </c>
      <c r="L71" s="136">
        <f>ROUND('HCD Assigned 5th Cycle RHNA'!F436/B71,0)</f>
        <v>829</v>
      </c>
      <c r="M71" s="137">
        <f>ROUND(17830/8,0)</f>
        <v>2229</v>
      </c>
      <c r="N71" s="128">
        <f>ROUND(41470/8,0)</f>
        <v>5184</v>
      </c>
      <c r="O71" s="145"/>
      <c r="P71" s="136">
        <f t="shared" ref="P71:P74" si="176">E71+F71+P70</f>
        <v>948</v>
      </c>
      <c r="Q71" s="136">
        <f t="shared" ref="Q71:S71" si="177">G71+Q70</f>
        <v>1829</v>
      </c>
      <c r="R71" s="137">
        <f t="shared" si="177"/>
        <v>5456</v>
      </c>
      <c r="S71" s="136">
        <f t="shared" si="177"/>
        <v>8233</v>
      </c>
      <c r="T71" s="139"/>
      <c r="U71" s="140">
        <f t="shared" ref="U71:X71" si="178">P71/K71</f>
        <v>0.44590780809031044</v>
      </c>
      <c r="V71" s="140">
        <f t="shared" si="178"/>
        <v>2.2062726176115803</v>
      </c>
      <c r="W71" s="141">
        <f t="shared" si="178"/>
        <v>2.4477344100493497</v>
      </c>
      <c r="X71" s="140">
        <f t="shared" si="178"/>
        <v>1.5881558641975309</v>
      </c>
      <c r="Y71" s="142"/>
      <c r="Z71" s="143"/>
      <c r="AA71" s="136"/>
      <c r="AB71" s="136" t="s">
        <v>1566</v>
      </c>
      <c r="AC71" s="128" t="s">
        <v>1566</v>
      </c>
      <c r="AD71" s="135"/>
      <c r="AE71" s="127" t="s">
        <v>1566</v>
      </c>
      <c r="AF71" s="127"/>
      <c r="AG71" s="130"/>
      <c r="AH71" s="130" t="str">
        <f t="shared" si="118"/>
        <v xml:space="preserve"> </v>
      </c>
      <c r="AI71" s="130" t="str">
        <f t="shared" si="119"/>
        <v xml:space="preserve"> </v>
      </c>
      <c r="AJ71" s="144" t="str">
        <f t="shared" si="120"/>
        <v xml:space="preserve"> </v>
      </c>
      <c r="AK71" s="128">
        <f t="shared" si="121"/>
        <v>165</v>
      </c>
      <c r="AL71" s="128" t="str">
        <f t="shared" si="122"/>
        <v xml:space="preserve"> </v>
      </c>
      <c r="AM71" s="128" t="str">
        <f t="shared" si="123"/>
        <v xml:space="preserve"> </v>
      </c>
      <c r="AN71" s="130" t="str">
        <f t="shared" si="124"/>
        <v xml:space="preserve"> </v>
      </c>
      <c r="AO71" s="130"/>
      <c r="AP71" s="130"/>
    </row>
    <row r="72" spans="1:42">
      <c r="A72" s="131" t="s">
        <v>141</v>
      </c>
      <c r="B72" s="132">
        <v>8</v>
      </c>
      <c r="C72" s="118" t="s">
        <v>142</v>
      </c>
      <c r="D72" s="118">
        <v>2017</v>
      </c>
      <c r="E72" s="133">
        <v>22</v>
      </c>
      <c r="F72" s="133">
        <v>71</v>
      </c>
      <c r="G72" s="133">
        <v>1446</v>
      </c>
      <c r="H72" s="134">
        <v>1345</v>
      </c>
      <c r="I72" s="133">
        <f>E72+F72+G72+H72</f>
        <v>2884</v>
      </c>
      <c r="J72" s="135"/>
      <c r="K72" s="136">
        <f t="shared" ref="K72:N72" si="179">K71*2</f>
        <v>4252</v>
      </c>
      <c r="L72" s="136">
        <f t="shared" si="179"/>
        <v>1658</v>
      </c>
      <c r="M72" s="137">
        <f t="shared" si="179"/>
        <v>4458</v>
      </c>
      <c r="N72" s="136">
        <f t="shared" si="179"/>
        <v>10368</v>
      </c>
      <c r="O72" s="145"/>
      <c r="P72" s="136">
        <f t="shared" si="176"/>
        <v>1041</v>
      </c>
      <c r="Q72" s="136">
        <f t="shared" ref="Q72:S72" si="180">G72+Q71</f>
        <v>3275</v>
      </c>
      <c r="R72" s="137">
        <f t="shared" si="180"/>
        <v>6801</v>
      </c>
      <c r="S72" s="136">
        <f t="shared" si="180"/>
        <v>11117</v>
      </c>
      <c r="T72" s="139"/>
      <c r="U72" s="140">
        <f t="shared" ref="U72:X72" si="181">P72/K72</f>
        <v>0.24482596425211664</v>
      </c>
      <c r="V72" s="140">
        <f t="shared" si="181"/>
        <v>1.9752714113389627</v>
      </c>
      <c r="W72" s="141">
        <f t="shared" si="181"/>
        <v>1.5255720053835802</v>
      </c>
      <c r="X72" s="140">
        <f t="shared" si="181"/>
        <v>1.072241512345679</v>
      </c>
      <c r="Y72" s="142"/>
      <c r="Z72" s="143"/>
      <c r="AA72" s="136"/>
      <c r="AB72" s="136" t="s">
        <v>1566</v>
      </c>
      <c r="AC72" s="128" t="s">
        <v>1566</v>
      </c>
      <c r="AD72" s="135"/>
      <c r="AE72" s="127" t="s">
        <v>1566</v>
      </c>
      <c r="AF72" s="149"/>
      <c r="AG72" s="130"/>
      <c r="AH72" s="130" t="str">
        <f t="shared" si="118"/>
        <v xml:space="preserve"> </v>
      </c>
      <c r="AI72" s="130" t="str">
        <f t="shared" si="119"/>
        <v xml:space="preserve"> </v>
      </c>
      <c r="AJ72" s="144" t="str">
        <f t="shared" si="120"/>
        <v xml:space="preserve"> </v>
      </c>
      <c r="AK72" s="128" t="str">
        <f t="shared" si="121"/>
        <v xml:space="preserve"> </v>
      </c>
      <c r="AL72" s="128">
        <f t="shared" si="122"/>
        <v>93</v>
      </c>
      <c r="AM72" s="128" t="str">
        <f t="shared" si="123"/>
        <v xml:space="preserve"> </v>
      </c>
      <c r="AN72" s="130" t="str">
        <f t="shared" si="124"/>
        <v xml:space="preserve"> </v>
      </c>
      <c r="AO72" s="130"/>
      <c r="AP72" s="130"/>
    </row>
    <row r="73" spans="1:42">
      <c r="A73" s="131" t="s">
        <v>141</v>
      </c>
      <c r="B73" s="132">
        <v>8</v>
      </c>
      <c r="C73" s="118" t="s">
        <v>142</v>
      </c>
      <c r="D73" s="118">
        <v>2018</v>
      </c>
      <c r="E73" s="133">
        <v>163</v>
      </c>
      <c r="F73" s="133">
        <v>14</v>
      </c>
      <c r="G73" s="133">
        <v>502</v>
      </c>
      <c r="H73" s="134">
        <v>1985</v>
      </c>
      <c r="I73" s="133">
        <v>2664</v>
      </c>
      <c r="J73" s="135"/>
      <c r="K73" s="136">
        <f t="shared" ref="K73:N73" si="182">K71*3</f>
        <v>6378</v>
      </c>
      <c r="L73" s="136">
        <f t="shared" si="182"/>
        <v>2487</v>
      </c>
      <c r="M73" s="137">
        <f t="shared" si="182"/>
        <v>6687</v>
      </c>
      <c r="N73" s="136">
        <f t="shared" si="182"/>
        <v>15552</v>
      </c>
      <c r="O73" s="145"/>
      <c r="P73" s="136">
        <f t="shared" si="176"/>
        <v>1218</v>
      </c>
      <c r="Q73" s="136">
        <f t="shared" ref="Q73:S73" si="183">G73+Q72</f>
        <v>3777</v>
      </c>
      <c r="R73" s="137">
        <f t="shared" si="183"/>
        <v>8786</v>
      </c>
      <c r="S73" s="136">
        <f t="shared" si="183"/>
        <v>13781</v>
      </c>
      <c r="T73" s="139"/>
      <c r="U73" s="140">
        <f t="shared" ref="U73:X73" si="184">P73/K73</f>
        <v>0.19096895578551271</v>
      </c>
      <c r="V73" s="140">
        <f t="shared" si="184"/>
        <v>1.5186972255729796</v>
      </c>
      <c r="W73" s="141">
        <f t="shared" si="184"/>
        <v>1.3138926274861671</v>
      </c>
      <c r="X73" s="140">
        <f t="shared" si="184"/>
        <v>0.88612397119341568</v>
      </c>
      <c r="Y73" s="142"/>
      <c r="Z73" s="143"/>
      <c r="AA73" s="138"/>
      <c r="AB73" s="136" t="s">
        <v>1566</v>
      </c>
      <c r="AC73" s="128" t="s">
        <v>1566</v>
      </c>
      <c r="AD73" s="135"/>
      <c r="AE73" s="127" t="s">
        <v>1566</v>
      </c>
      <c r="AF73" s="127"/>
      <c r="AG73" s="130"/>
      <c r="AH73" s="130" t="str">
        <f t="shared" si="118"/>
        <v xml:space="preserve"> </v>
      </c>
      <c r="AI73" s="130" t="str">
        <f t="shared" si="119"/>
        <v xml:space="preserve"> </v>
      </c>
      <c r="AJ73" s="144" t="str">
        <f t="shared" si="120"/>
        <v xml:space="preserve"> </v>
      </c>
      <c r="AK73" s="128" t="str">
        <f t="shared" si="121"/>
        <v xml:space="preserve"> </v>
      </c>
      <c r="AL73" s="128" t="str">
        <f t="shared" si="122"/>
        <v xml:space="preserve"> </v>
      </c>
      <c r="AM73" s="128">
        <f t="shared" si="123"/>
        <v>177</v>
      </c>
      <c r="AN73" s="130" t="str">
        <f t="shared" si="124"/>
        <v xml:space="preserve"> </v>
      </c>
      <c r="AO73" s="130"/>
      <c r="AP73" s="130"/>
    </row>
    <row r="74" spans="1:42">
      <c r="A74" s="131" t="s">
        <v>141</v>
      </c>
      <c r="B74" s="132">
        <v>8</v>
      </c>
      <c r="C74" s="118" t="s">
        <v>143</v>
      </c>
      <c r="D74" s="118">
        <v>2019</v>
      </c>
      <c r="E74" s="133">
        <v>74</v>
      </c>
      <c r="F74" s="133">
        <v>153</v>
      </c>
      <c r="G74" s="133">
        <v>668</v>
      </c>
      <c r="H74" s="134">
        <v>2740</v>
      </c>
      <c r="I74" s="133">
        <f>E74+F74+G74+H74</f>
        <v>3635</v>
      </c>
      <c r="J74" s="135"/>
      <c r="K74" s="136">
        <f t="shared" ref="K74:N74" si="185">K71*4</f>
        <v>8504</v>
      </c>
      <c r="L74" s="136">
        <f t="shared" si="185"/>
        <v>3316</v>
      </c>
      <c r="M74" s="137">
        <f t="shared" si="185"/>
        <v>8916</v>
      </c>
      <c r="N74" s="136">
        <f t="shared" si="185"/>
        <v>20736</v>
      </c>
      <c r="O74" s="145"/>
      <c r="P74" s="136">
        <f t="shared" si="176"/>
        <v>1445</v>
      </c>
      <c r="Q74" s="136">
        <f t="shared" ref="Q74:S74" si="186">G74+Q73</f>
        <v>4445</v>
      </c>
      <c r="R74" s="137">
        <f t="shared" si="186"/>
        <v>11526</v>
      </c>
      <c r="S74" s="136">
        <f t="shared" si="186"/>
        <v>17416</v>
      </c>
      <c r="T74" s="139"/>
      <c r="U74" s="140">
        <f t="shared" ref="U74:X74" si="187">P74/K74</f>
        <v>0.1699200376293509</v>
      </c>
      <c r="V74" s="140">
        <f t="shared" si="187"/>
        <v>1.3404704463208685</v>
      </c>
      <c r="W74" s="141">
        <f t="shared" si="187"/>
        <v>1.2927321668909826</v>
      </c>
      <c r="X74" s="140">
        <f t="shared" si="187"/>
        <v>0.83989197530864201</v>
      </c>
      <c r="Y74" s="146" t="s">
        <v>141</v>
      </c>
      <c r="Z74" s="143"/>
      <c r="AA74" s="138">
        <v>41470</v>
      </c>
      <c r="AB74" s="136">
        <v>20736</v>
      </c>
      <c r="AC74" s="128">
        <v>17416</v>
      </c>
      <c r="AD74" s="135"/>
      <c r="AE74" s="127">
        <f>N71</f>
        <v>5184</v>
      </c>
      <c r="AF74" s="127"/>
      <c r="AG74" s="130"/>
      <c r="AH74" s="130" t="str">
        <f t="shared" si="118"/>
        <v xml:space="preserve"> </v>
      </c>
      <c r="AI74" s="130" t="str">
        <f t="shared" si="119"/>
        <v xml:space="preserve"> </v>
      </c>
      <c r="AJ74" s="144" t="str">
        <f t="shared" si="120"/>
        <v xml:space="preserve"> </v>
      </c>
      <c r="AK74" s="128" t="str">
        <f t="shared" si="121"/>
        <v xml:space="preserve"> </v>
      </c>
      <c r="AL74" s="128" t="str">
        <f t="shared" si="122"/>
        <v xml:space="preserve"> </v>
      </c>
      <c r="AM74" s="128" t="str">
        <f t="shared" si="123"/>
        <v xml:space="preserve"> </v>
      </c>
      <c r="AN74" s="130">
        <f t="shared" si="124"/>
        <v>227</v>
      </c>
      <c r="AO74" s="130"/>
      <c r="AP74" s="130"/>
    </row>
    <row r="75" spans="1:42">
      <c r="A75" s="131"/>
      <c r="B75" s="132"/>
      <c r="C75" s="118"/>
      <c r="D75" s="118"/>
      <c r="E75" s="133"/>
      <c r="F75" s="133"/>
      <c r="G75" s="133"/>
      <c r="H75" s="134"/>
      <c r="I75" s="133"/>
      <c r="J75" s="135"/>
      <c r="K75" s="136"/>
      <c r="L75" s="136"/>
      <c r="M75" s="137"/>
      <c r="N75" s="136"/>
      <c r="O75" s="145"/>
      <c r="P75" s="136"/>
      <c r="Q75" s="136"/>
      <c r="R75" s="137"/>
      <c r="S75" s="136"/>
      <c r="T75" s="139"/>
      <c r="U75" s="140"/>
      <c r="V75" s="140"/>
      <c r="W75" s="141"/>
      <c r="X75" s="140"/>
      <c r="Y75" s="142"/>
      <c r="Z75" s="143"/>
      <c r="AA75" s="136"/>
      <c r="AB75" s="136" t="s">
        <v>1566</v>
      </c>
      <c r="AC75" s="128" t="s">
        <v>1566</v>
      </c>
      <c r="AD75" s="135"/>
      <c r="AE75" s="127" t="s">
        <v>1566</v>
      </c>
      <c r="AF75" s="127"/>
      <c r="AG75" s="130"/>
      <c r="AH75" s="130" t="str">
        <f t="shared" si="118"/>
        <v xml:space="preserve"> </v>
      </c>
      <c r="AI75" s="130" t="str">
        <f t="shared" si="119"/>
        <v xml:space="preserve"> </v>
      </c>
      <c r="AJ75" s="144" t="str">
        <f t="shared" si="120"/>
        <v xml:space="preserve"> </v>
      </c>
      <c r="AK75" s="128" t="str">
        <f t="shared" si="121"/>
        <v xml:space="preserve"> </v>
      </c>
      <c r="AL75" s="128" t="str">
        <f t="shared" si="122"/>
        <v xml:space="preserve"> </v>
      </c>
      <c r="AM75" s="128" t="str">
        <f t="shared" si="123"/>
        <v xml:space="preserve"> </v>
      </c>
      <c r="AN75" s="130" t="str">
        <f t="shared" si="124"/>
        <v xml:space="preserve"> </v>
      </c>
      <c r="AO75" s="130"/>
      <c r="AP75" s="130"/>
    </row>
    <row r="76" spans="1:42">
      <c r="A76" s="131" t="s">
        <v>144</v>
      </c>
      <c r="B76" s="132">
        <v>5</v>
      </c>
      <c r="C76" s="118" t="s">
        <v>128</v>
      </c>
      <c r="D76" s="118">
        <v>2014</v>
      </c>
      <c r="E76" s="133">
        <v>1</v>
      </c>
      <c r="F76" s="133">
        <v>3</v>
      </c>
      <c r="G76" s="133">
        <v>1</v>
      </c>
      <c r="H76" s="134">
        <v>4</v>
      </c>
      <c r="I76" s="133">
        <v>9</v>
      </c>
      <c r="J76" s="135"/>
      <c r="K76" s="136">
        <f>ROUND((60+40)/5,0)</f>
        <v>20</v>
      </c>
      <c r="L76" s="136">
        <f>ROUND('HCD Assigned 5th Cycle RHNA'!F575/B76,0)</f>
        <v>10</v>
      </c>
      <c r="M76" s="137">
        <v>22</v>
      </c>
      <c r="N76" s="136">
        <f>ROUND(260/5,0)</f>
        <v>52</v>
      </c>
      <c r="O76" s="145"/>
      <c r="P76" s="136">
        <f>E76+F76</f>
        <v>4</v>
      </c>
      <c r="Q76" s="136">
        <f t="shared" ref="Q76:S76" si="188">G76</f>
        <v>1</v>
      </c>
      <c r="R76" s="137">
        <f t="shared" si="188"/>
        <v>4</v>
      </c>
      <c r="S76" s="136">
        <f t="shared" si="188"/>
        <v>9</v>
      </c>
      <c r="T76" s="139"/>
      <c r="U76" s="140">
        <f t="shared" ref="U76:X76" si="189">P76/K76</f>
        <v>0.2</v>
      </c>
      <c r="V76" s="140">
        <f t="shared" si="189"/>
        <v>0.1</v>
      </c>
      <c r="W76" s="141">
        <f t="shared" si="189"/>
        <v>0.18181818181818182</v>
      </c>
      <c r="X76" s="140">
        <f t="shared" si="189"/>
        <v>0.17307692307692307</v>
      </c>
      <c r="Y76" s="142"/>
      <c r="Z76" s="143"/>
      <c r="AA76" s="136"/>
      <c r="AB76" s="136" t="s">
        <v>1566</v>
      </c>
      <c r="AC76" s="128" t="s">
        <v>1566</v>
      </c>
      <c r="AD76" s="135"/>
      <c r="AE76" s="127"/>
      <c r="AF76" s="127"/>
      <c r="AG76" s="130"/>
      <c r="AH76" s="130" t="str">
        <f t="shared" si="118"/>
        <v xml:space="preserve"> </v>
      </c>
      <c r="AI76" s="130">
        <f t="shared" si="119"/>
        <v>4</v>
      </c>
      <c r="AJ76" s="144" t="str">
        <f t="shared" si="120"/>
        <v xml:space="preserve"> </v>
      </c>
      <c r="AK76" s="128" t="str">
        <f t="shared" si="121"/>
        <v xml:space="preserve"> </v>
      </c>
      <c r="AL76" s="128" t="str">
        <f t="shared" si="122"/>
        <v xml:space="preserve"> </v>
      </c>
      <c r="AM76" s="128" t="str">
        <f t="shared" si="123"/>
        <v xml:space="preserve"> </v>
      </c>
      <c r="AN76" s="130" t="str">
        <f t="shared" si="124"/>
        <v xml:space="preserve"> </v>
      </c>
      <c r="AO76" s="130"/>
      <c r="AP76" s="130"/>
    </row>
    <row r="77" spans="1:42">
      <c r="A77" s="131" t="s">
        <v>144</v>
      </c>
      <c r="B77" s="132">
        <v>5</v>
      </c>
      <c r="C77" s="118" t="s">
        <v>128</v>
      </c>
      <c r="D77" s="118">
        <v>2015</v>
      </c>
      <c r="E77" s="133">
        <v>53</v>
      </c>
      <c r="F77" s="133">
        <v>1</v>
      </c>
      <c r="G77" s="133">
        <v>11</v>
      </c>
      <c r="H77" s="134">
        <v>6</v>
      </c>
      <c r="I77" s="133">
        <v>71</v>
      </c>
      <c r="J77" s="135"/>
      <c r="K77" s="136">
        <f t="shared" ref="K77:N77" si="190">K76*2</f>
        <v>40</v>
      </c>
      <c r="L77" s="136">
        <f t="shared" si="190"/>
        <v>20</v>
      </c>
      <c r="M77" s="137">
        <f t="shared" si="190"/>
        <v>44</v>
      </c>
      <c r="N77" s="136">
        <f t="shared" si="190"/>
        <v>104</v>
      </c>
      <c r="O77" s="145"/>
      <c r="P77" s="136">
        <f t="shared" ref="P77:P81" si="191">E77+F77+P76</f>
        <v>58</v>
      </c>
      <c r="Q77" s="136">
        <f t="shared" ref="Q77:S77" si="192">G77+Q76</f>
        <v>12</v>
      </c>
      <c r="R77" s="137">
        <f t="shared" si="192"/>
        <v>10</v>
      </c>
      <c r="S77" s="136">
        <f t="shared" si="192"/>
        <v>80</v>
      </c>
      <c r="T77" s="139"/>
      <c r="U77" s="140">
        <f t="shared" ref="U77:X77" si="193">P77/K77</f>
        <v>1.45</v>
      </c>
      <c r="V77" s="140">
        <f t="shared" si="193"/>
        <v>0.6</v>
      </c>
      <c r="W77" s="141">
        <f t="shared" si="193"/>
        <v>0.22727272727272727</v>
      </c>
      <c r="X77" s="140">
        <f t="shared" si="193"/>
        <v>0.76923076923076927</v>
      </c>
      <c r="Y77" s="142"/>
      <c r="Z77" s="143"/>
      <c r="AA77" s="136"/>
      <c r="AB77" s="136" t="s">
        <v>1566</v>
      </c>
      <c r="AC77" s="128" t="s">
        <v>1566</v>
      </c>
      <c r="AD77" s="135"/>
      <c r="AE77" s="127"/>
      <c r="AF77" s="127"/>
      <c r="AG77" s="130"/>
      <c r="AH77" s="130" t="str">
        <f t="shared" si="118"/>
        <v xml:space="preserve"> </v>
      </c>
      <c r="AI77" s="130" t="str">
        <f t="shared" si="119"/>
        <v xml:space="preserve"> </v>
      </c>
      <c r="AJ77" s="130">
        <f t="shared" si="120"/>
        <v>54</v>
      </c>
      <c r="AK77" s="128" t="str">
        <f t="shared" si="121"/>
        <v xml:space="preserve"> </v>
      </c>
      <c r="AL77" s="128" t="str">
        <f t="shared" si="122"/>
        <v xml:space="preserve"> </v>
      </c>
      <c r="AM77" s="128" t="str">
        <f t="shared" si="123"/>
        <v xml:space="preserve"> </v>
      </c>
      <c r="AN77" s="130" t="str">
        <f t="shared" si="124"/>
        <v xml:space="preserve"> </v>
      </c>
      <c r="AO77" s="130"/>
      <c r="AP77" s="130"/>
    </row>
    <row r="78" spans="1:42">
      <c r="A78" s="131" t="s">
        <v>144</v>
      </c>
      <c r="B78" s="132">
        <v>5</v>
      </c>
      <c r="C78" s="118" t="s">
        <v>128</v>
      </c>
      <c r="D78" s="118">
        <v>2016</v>
      </c>
      <c r="E78" s="133">
        <v>1</v>
      </c>
      <c r="F78" s="133">
        <v>44</v>
      </c>
      <c r="G78" s="133">
        <v>8</v>
      </c>
      <c r="H78" s="134">
        <v>7</v>
      </c>
      <c r="I78" s="133">
        <v>60</v>
      </c>
      <c r="J78" s="135"/>
      <c r="K78" s="136">
        <f t="shared" ref="K78:N78" si="194">K76*3</f>
        <v>60</v>
      </c>
      <c r="L78" s="136">
        <f t="shared" si="194"/>
        <v>30</v>
      </c>
      <c r="M78" s="137">
        <f t="shared" si="194"/>
        <v>66</v>
      </c>
      <c r="N78" s="136">
        <f t="shared" si="194"/>
        <v>156</v>
      </c>
      <c r="O78" s="145"/>
      <c r="P78" s="136">
        <f t="shared" si="191"/>
        <v>103</v>
      </c>
      <c r="Q78" s="136">
        <f t="shared" ref="Q78:S78" si="195">G78+Q77</f>
        <v>20</v>
      </c>
      <c r="R78" s="137">
        <f t="shared" si="195"/>
        <v>17</v>
      </c>
      <c r="S78" s="136">
        <f t="shared" si="195"/>
        <v>140</v>
      </c>
      <c r="T78" s="139"/>
      <c r="U78" s="140">
        <f t="shared" ref="U78:X78" si="196">P78/K78</f>
        <v>1.7166666666666666</v>
      </c>
      <c r="V78" s="140">
        <f t="shared" si="196"/>
        <v>0.66666666666666663</v>
      </c>
      <c r="W78" s="141">
        <f t="shared" si="196"/>
        <v>0.25757575757575757</v>
      </c>
      <c r="X78" s="140">
        <f t="shared" si="196"/>
        <v>0.89743589743589747</v>
      </c>
      <c r="Y78" s="142"/>
      <c r="Z78" s="143"/>
      <c r="AA78" s="136"/>
      <c r="AB78" s="136" t="s">
        <v>1566</v>
      </c>
      <c r="AC78" s="128" t="s">
        <v>1566</v>
      </c>
      <c r="AD78" s="135"/>
      <c r="AE78" s="127" t="s">
        <v>1566</v>
      </c>
      <c r="AF78" s="127"/>
      <c r="AG78" s="130"/>
      <c r="AH78" s="130" t="str">
        <f t="shared" si="118"/>
        <v xml:space="preserve"> </v>
      </c>
      <c r="AI78" s="130" t="str">
        <f t="shared" si="119"/>
        <v xml:space="preserve"> </v>
      </c>
      <c r="AJ78" s="144" t="str">
        <f t="shared" si="120"/>
        <v xml:space="preserve"> </v>
      </c>
      <c r="AK78" s="128">
        <f t="shared" si="121"/>
        <v>45</v>
      </c>
      <c r="AL78" s="128" t="str">
        <f t="shared" si="122"/>
        <v xml:space="preserve"> </v>
      </c>
      <c r="AM78" s="128" t="str">
        <f t="shared" si="123"/>
        <v xml:space="preserve"> </v>
      </c>
      <c r="AN78" s="130" t="str">
        <f t="shared" si="124"/>
        <v xml:space="preserve"> </v>
      </c>
      <c r="AO78" s="130"/>
      <c r="AP78" s="130"/>
    </row>
    <row r="79" spans="1:42">
      <c r="A79" s="131" t="s">
        <v>144</v>
      </c>
      <c r="B79" s="132">
        <v>5</v>
      </c>
      <c r="C79" s="118" t="s">
        <v>128</v>
      </c>
      <c r="D79" s="118">
        <v>2017</v>
      </c>
      <c r="E79" s="133">
        <v>4</v>
      </c>
      <c r="F79" s="133">
        <v>3</v>
      </c>
      <c r="G79" s="133">
        <v>12</v>
      </c>
      <c r="H79" s="134">
        <v>15</v>
      </c>
      <c r="I79" s="133">
        <v>34</v>
      </c>
      <c r="J79" s="135"/>
      <c r="K79" s="136">
        <f t="shared" ref="K79:N79" si="197">K76*4</f>
        <v>80</v>
      </c>
      <c r="L79" s="136">
        <f t="shared" si="197"/>
        <v>40</v>
      </c>
      <c r="M79" s="137">
        <f t="shared" si="197"/>
        <v>88</v>
      </c>
      <c r="N79" s="136">
        <f t="shared" si="197"/>
        <v>208</v>
      </c>
      <c r="O79" s="145"/>
      <c r="P79" s="136">
        <f t="shared" si="191"/>
        <v>110</v>
      </c>
      <c r="Q79" s="136">
        <f t="shared" ref="Q79:S79" si="198">G79+Q78</f>
        <v>32</v>
      </c>
      <c r="R79" s="137">
        <f t="shared" si="198"/>
        <v>32</v>
      </c>
      <c r="S79" s="136">
        <f t="shared" si="198"/>
        <v>174</v>
      </c>
      <c r="T79" s="139"/>
      <c r="U79" s="140">
        <f t="shared" ref="U79:X79" si="199">P79/K79</f>
        <v>1.375</v>
      </c>
      <c r="V79" s="140">
        <f t="shared" si="199"/>
        <v>0.8</v>
      </c>
      <c r="W79" s="141">
        <f t="shared" si="199"/>
        <v>0.36363636363636365</v>
      </c>
      <c r="X79" s="140">
        <f t="shared" si="199"/>
        <v>0.83653846153846156</v>
      </c>
      <c r="Y79" s="142"/>
      <c r="Z79" s="143"/>
      <c r="AA79" s="136"/>
      <c r="AB79" s="136" t="s">
        <v>1566</v>
      </c>
      <c r="AC79" s="128" t="s">
        <v>1566</v>
      </c>
      <c r="AD79" s="135"/>
      <c r="AE79" s="127" t="s">
        <v>1566</v>
      </c>
      <c r="AF79" s="127"/>
      <c r="AG79" s="130"/>
      <c r="AH79" s="130" t="str">
        <f t="shared" si="118"/>
        <v xml:space="preserve"> </v>
      </c>
      <c r="AI79" s="130" t="str">
        <f t="shared" si="119"/>
        <v xml:space="preserve"> </v>
      </c>
      <c r="AJ79" s="144" t="str">
        <f t="shared" si="120"/>
        <v xml:space="preserve"> </v>
      </c>
      <c r="AK79" s="128" t="str">
        <f t="shared" si="121"/>
        <v xml:space="preserve"> </v>
      </c>
      <c r="AL79" s="128">
        <f t="shared" si="122"/>
        <v>7</v>
      </c>
      <c r="AM79" s="128" t="str">
        <f t="shared" si="123"/>
        <v xml:space="preserve"> </v>
      </c>
      <c r="AN79" s="130" t="str">
        <f t="shared" si="124"/>
        <v xml:space="preserve"> </v>
      </c>
      <c r="AO79" s="130"/>
      <c r="AP79" s="130"/>
    </row>
    <row r="80" spans="1:42">
      <c r="A80" s="131" t="s">
        <v>144</v>
      </c>
      <c r="B80" s="132">
        <v>5</v>
      </c>
      <c r="C80" s="118" t="s">
        <v>128</v>
      </c>
      <c r="D80" s="118">
        <v>2018</v>
      </c>
      <c r="E80" s="133">
        <v>0</v>
      </c>
      <c r="F80" s="133">
        <v>33</v>
      </c>
      <c r="G80" s="133">
        <v>13</v>
      </c>
      <c r="H80" s="134">
        <v>0</v>
      </c>
      <c r="I80" s="133">
        <v>46</v>
      </c>
      <c r="J80" s="135"/>
      <c r="K80" s="136">
        <f t="shared" ref="K80:N80" si="200">K76*5</f>
        <v>100</v>
      </c>
      <c r="L80" s="136">
        <f t="shared" si="200"/>
        <v>50</v>
      </c>
      <c r="M80" s="137">
        <f t="shared" si="200"/>
        <v>110</v>
      </c>
      <c r="N80" s="136">
        <f t="shared" si="200"/>
        <v>260</v>
      </c>
      <c r="O80" s="145"/>
      <c r="P80" s="136">
        <f t="shared" si="191"/>
        <v>143</v>
      </c>
      <c r="Q80" s="136">
        <f t="shared" ref="Q80:S80" si="201">G80+Q79</f>
        <v>45</v>
      </c>
      <c r="R80" s="137">
        <f t="shared" si="201"/>
        <v>32</v>
      </c>
      <c r="S80" s="136">
        <f t="shared" si="201"/>
        <v>220</v>
      </c>
      <c r="T80" s="139"/>
      <c r="U80" s="140">
        <f t="shared" ref="U80:X80" si="202">P80/K80</f>
        <v>1.43</v>
      </c>
      <c r="V80" s="140">
        <f t="shared" si="202"/>
        <v>0.9</v>
      </c>
      <c r="W80" s="141">
        <f t="shared" si="202"/>
        <v>0.29090909090909089</v>
      </c>
      <c r="X80" s="140">
        <f t="shared" si="202"/>
        <v>0.84615384615384615</v>
      </c>
      <c r="Y80" s="142"/>
      <c r="Z80" s="143"/>
      <c r="AA80" s="136"/>
      <c r="AB80" s="136" t="s">
        <v>1566</v>
      </c>
      <c r="AC80" s="128" t="s">
        <v>1566</v>
      </c>
      <c r="AD80" s="135"/>
      <c r="AE80" s="127" t="s">
        <v>1566</v>
      </c>
      <c r="AF80" s="127"/>
      <c r="AG80" s="130"/>
      <c r="AH80" s="130" t="str">
        <f t="shared" si="118"/>
        <v xml:space="preserve"> </v>
      </c>
      <c r="AI80" s="130" t="str">
        <f t="shared" si="119"/>
        <v xml:space="preserve"> </v>
      </c>
      <c r="AJ80" s="144" t="str">
        <f t="shared" si="120"/>
        <v xml:space="preserve"> </v>
      </c>
      <c r="AK80" s="128" t="str">
        <f t="shared" si="121"/>
        <v xml:space="preserve"> </v>
      </c>
      <c r="AL80" s="128" t="str">
        <f t="shared" si="122"/>
        <v xml:space="preserve"> </v>
      </c>
      <c r="AM80" s="128">
        <f t="shared" si="123"/>
        <v>33</v>
      </c>
      <c r="AN80" s="130" t="str">
        <f t="shared" si="124"/>
        <v xml:space="preserve"> </v>
      </c>
      <c r="AO80" s="130"/>
      <c r="AP80" s="130"/>
    </row>
    <row r="81" spans="1:42">
      <c r="A81" s="131" t="s">
        <v>144</v>
      </c>
      <c r="B81" s="132">
        <v>5</v>
      </c>
      <c r="C81" s="118" t="s">
        <v>128</v>
      </c>
      <c r="D81" s="118">
        <v>2019</v>
      </c>
      <c r="E81" s="133">
        <v>0</v>
      </c>
      <c r="F81" s="133">
        <v>13</v>
      </c>
      <c r="G81" s="133">
        <v>33</v>
      </c>
      <c r="H81" s="134">
        <v>16</v>
      </c>
      <c r="I81" s="133">
        <f>E81+F81+G81+H80:H81</f>
        <v>62</v>
      </c>
      <c r="J81" s="135"/>
      <c r="K81" s="138">
        <v>100</v>
      </c>
      <c r="L81" s="138">
        <v>50</v>
      </c>
      <c r="M81" s="147">
        <v>110</v>
      </c>
      <c r="N81" s="138">
        <v>260</v>
      </c>
      <c r="O81" s="145"/>
      <c r="P81" s="136">
        <f t="shared" si="191"/>
        <v>156</v>
      </c>
      <c r="Q81" s="136">
        <f t="shared" ref="Q81:S81" si="203">G81+Q80</f>
        <v>78</v>
      </c>
      <c r="R81" s="137">
        <f t="shared" si="203"/>
        <v>48</v>
      </c>
      <c r="S81" s="136">
        <f t="shared" si="203"/>
        <v>282</v>
      </c>
      <c r="T81" s="139"/>
      <c r="U81" s="140">
        <f t="shared" ref="U81:X81" si="204">P81/K81</f>
        <v>1.56</v>
      </c>
      <c r="V81" s="140">
        <f t="shared" si="204"/>
        <v>1.56</v>
      </c>
      <c r="W81" s="141">
        <f t="shared" si="204"/>
        <v>0.43636363636363634</v>
      </c>
      <c r="X81" s="140">
        <f t="shared" si="204"/>
        <v>1.0846153846153845</v>
      </c>
      <c r="Y81" s="146" t="s">
        <v>144</v>
      </c>
      <c r="Z81" s="143"/>
      <c r="AA81" s="138">
        <v>260</v>
      </c>
      <c r="AB81" s="136">
        <v>260</v>
      </c>
      <c r="AC81" s="128">
        <v>282</v>
      </c>
      <c r="AD81" s="135"/>
      <c r="AE81" s="127">
        <f>N76</f>
        <v>52</v>
      </c>
      <c r="AF81" s="127"/>
      <c r="AG81" s="130"/>
      <c r="AH81" s="130" t="str">
        <f t="shared" si="118"/>
        <v xml:space="preserve"> </v>
      </c>
      <c r="AI81" s="130" t="str">
        <f t="shared" si="119"/>
        <v xml:space="preserve"> </v>
      </c>
      <c r="AJ81" s="144" t="str">
        <f t="shared" si="120"/>
        <v xml:space="preserve"> </v>
      </c>
      <c r="AK81" s="128" t="str">
        <f t="shared" si="121"/>
        <v xml:space="preserve"> </v>
      </c>
      <c r="AL81" s="128" t="str">
        <f t="shared" si="122"/>
        <v xml:space="preserve"> </v>
      </c>
      <c r="AM81" s="128" t="str">
        <f t="shared" si="123"/>
        <v xml:space="preserve"> </v>
      </c>
      <c r="AN81" s="130">
        <f t="shared" si="124"/>
        <v>13</v>
      </c>
      <c r="AO81" s="130"/>
      <c r="AP81" s="130"/>
    </row>
    <row r="82" spans="1:42">
      <c r="A82" s="131"/>
      <c r="B82" s="132"/>
      <c r="C82" s="118"/>
      <c r="D82" s="118"/>
      <c r="E82" s="133"/>
      <c r="F82" s="133"/>
      <c r="G82" s="133"/>
      <c r="H82" s="134"/>
      <c r="I82" s="133"/>
      <c r="J82" s="135"/>
      <c r="K82" s="136"/>
      <c r="L82" s="136"/>
      <c r="M82" s="137"/>
      <c r="N82" s="136"/>
      <c r="O82" s="145"/>
      <c r="P82" s="136"/>
      <c r="Q82" s="136"/>
      <c r="R82" s="137"/>
      <c r="S82" s="136"/>
      <c r="T82" s="139"/>
      <c r="U82" s="140"/>
      <c r="V82" s="140"/>
      <c r="W82" s="141"/>
      <c r="X82" s="140"/>
      <c r="Y82" s="142"/>
      <c r="Z82" s="143"/>
      <c r="AA82" s="136"/>
      <c r="AB82" s="136" t="s">
        <v>1566</v>
      </c>
      <c r="AC82" s="128" t="s">
        <v>1566</v>
      </c>
      <c r="AD82" s="135"/>
      <c r="AE82" s="127" t="s">
        <v>1566</v>
      </c>
      <c r="AF82" s="127"/>
      <c r="AG82" s="130"/>
      <c r="AH82" s="130" t="str">
        <f t="shared" si="118"/>
        <v xml:space="preserve"> </v>
      </c>
      <c r="AI82" s="130" t="str">
        <f t="shared" si="119"/>
        <v xml:space="preserve"> </v>
      </c>
      <c r="AJ82" s="144" t="str">
        <f t="shared" si="120"/>
        <v xml:space="preserve"> </v>
      </c>
      <c r="AK82" s="128" t="str">
        <f t="shared" si="121"/>
        <v xml:space="preserve"> </v>
      </c>
      <c r="AL82" s="128" t="str">
        <f t="shared" si="122"/>
        <v xml:space="preserve"> </v>
      </c>
      <c r="AM82" s="128" t="str">
        <f t="shared" si="123"/>
        <v xml:space="preserve"> </v>
      </c>
      <c r="AN82" s="130" t="str">
        <f t="shared" si="124"/>
        <v xml:space="preserve"> </v>
      </c>
      <c r="AO82" s="130"/>
      <c r="AP82" s="130"/>
    </row>
    <row r="83" spans="1:42">
      <c r="A83" s="131" t="s">
        <v>145</v>
      </c>
      <c r="B83" s="132">
        <v>5</v>
      </c>
      <c r="C83" s="118" t="s">
        <v>128</v>
      </c>
      <c r="D83" s="118">
        <v>2014</v>
      </c>
      <c r="E83" s="133">
        <v>42</v>
      </c>
      <c r="F83" s="133">
        <v>18</v>
      </c>
      <c r="G83" s="133">
        <v>34</v>
      </c>
      <c r="H83" s="134">
        <v>97</v>
      </c>
      <c r="I83" s="133">
        <v>191</v>
      </c>
      <c r="J83" s="135"/>
      <c r="K83" s="136">
        <v>164</v>
      </c>
      <c r="L83" s="136">
        <f>ROUND('HCD Assigned 5th Cycle RHNA'!F473/B83,0)</f>
        <v>70</v>
      </c>
      <c r="M83" s="137">
        <f>ROUND(890/5,0)</f>
        <v>178</v>
      </c>
      <c r="N83" s="136">
        <v>412</v>
      </c>
      <c r="O83" s="145"/>
      <c r="P83" s="136">
        <f>E83+F83</f>
        <v>60</v>
      </c>
      <c r="Q83" s="136">
        <f t="shared" ref="Q83:S83" si="205">G83</f>
        <v>34</v>
      </c>
      <c r="R83" s="137">
        <f t="shared" si="205"/>
        <v>97</v>
      </c>
      <c r="S83" s="136">
        <f t="shared" si="205"/>
        <v>191</v>
      </c>
      <c r="T83" s="139"/>
      <c r="U83" s="140">
        <f t="shared" ref="U83:X83" si="206">P83/K83</f>
        <v>0.36585365853658536</v>
      </c>
      <c r="V83" s="140">
        <f t="shared" si="206"/>
        <v>0.48571428571428571</v>
      </c>
      <c r="W83" s="141">
        <f t="shared" si="206"/>
        <v>0.5449438202247191</v>
      </c>
      <c r="X83" s="140">
        <f t="shared" si="206"/>
        <v>0.46359223300970875</v>
      </c>
      <c r="Y83" s="142"/>
      <c r="Z83" s="143"/>
      <c r="AA83" s="136"/>
      <c r="AB83" s="136" t="s">
        <v>1566</v>
      </c>
      <c r="AC83" s="128" t="s">
        <v>1566</v>
      </c>
      <c r="AD83" s="135"/>
      <c r="AE83" s="127"/>
      <c r="AF83" s="127"/>
      <c r="AG83" s="130"/>
      <c r="AH83" s="130" t="str">
        <f t="shared" si="118"/>
        <v xml:space="preserve"> </v>
      </c>
      <c r="AI83" s="130">
        <f t="shared" si="119"/>
        <v>60</v>
      </c>
      <c r="AJ83" s="144" t="str">
        <f t="shared" si="120"/>
        <v xml:space="preserve"> </v>
      </c>
      <c r="AK83" s="128" t="str">
        <f t="shared" si="121"/>
        <v xml:space="preserve"> </v>
      </c>
      <c r="AL83" s="128" t="str">
        <f t="shared" si="122"/>
        <v xml:space="preserve"> </v>
      </c>
      <c r="AM83" s="128" t="str">
        <f t="shared" si="123"/>
        <v xml:space="preserve"> </v>
      </c>
      <c r="AN83" s="130" t="str">
        <f t="shared" si="124"/>
        <v xml:space="preserve"> </v>
      </c>
      <c r="AO83" s="130"/>
      <c r="AP83" s="130"/>
    </row>
    <row r="84" spans="1:42">
      <c r="A84" s="131" t="s">
        <v>145</v>
      </c>
      <c r="B84" s="132">
        <v>5</v>
      </c>
      <c r="C84" s="118" t="s">
        <v>128</v>
      </c>
      <c r="D84" s="118">
        <v>2015</v>
      </c>
      <c r="E84" s="133">
        <v>22</v>
      </c>
      <c r="F84" s="133">
        <v>59</v>
      </c>
      <c r="G84" s="133">
        <v>64</v>
      </c>
      <c r="H84" s="134">
        <v>55</v>
      </c>
      <c r="I84" s="133">
        <v>200</v>
      </c>
      <c r="J84" s="135"/>
      <c r="K84" s="136">
        <f t="shared" ref="K84:N84" si="207">K83*2</f>
        <v>328</v>
      </c>
      <c r="L84" s="136">
        <f t="shared" si="207"/>
        <v>140</v>
      </c>
      <c r="M84" s="137">
        <f t="shared" si="207"/>
        <v>356</v>
      </c>
      <c r="N84" s="136">
        <f t="shared" si="207"/>
        <v>824</v>
      </c>
      <c r="O84" s="145"/>
      <c r="P84" s="136">
        <f t="shared" ref="P84:P87" si="208">E84+F84+P83</f>
        <v>141</v>
      </c>
      <c r="Q84" s="136">
        <f t="shared" ref="Q84:S84" si="209">G84+Q83</f>
        <v>98</v>
      </c>
      <c r="R84" s="137">
        <f t="shared" si="209"/>
        <v>152</v>
      </c>
      <c r="S84" s="136">
        <f t="shared" si="209"/>
        <v>391</v>
      </c>
      <c r="T84" s="139"/>
      <c r="U84" s="140">
        <f t="shared" ref="U84:X84" si="210">P84/K84</f>
        <v>0.4298780487804878</v>
      </c>
      <c r="V84" s="140">
        <f t="shared" si="210"/>
        <v>0.7</v>
      </c>
      <c r="W84" s="141">
        <f t="shared" si="210"/>
        <v>0.42696629213483145</v>
      </c>
      <c r="X84" s="140">
        <f t="shared" si="210"/>
        <v>0.47451456310679613</v>
      </c>
      <c r="Y84" s="142"/>
      <c r="Z84" s="143"/>
      <c r="AA84" s="136"/>
      <c r="AB84" s="136" t="s">
        <v>1566</v>
      </c>
      <c r="AC84" s="128" t="s">
        <v>1566</v>
      </c>
      <c r="AD84" s="135"/>
      <c r="AE84" s="127"/>
      <c r="AF84" s="127"/>
      <c r="AG84" s="130"/>
      <c r="AH84" s="130" t="str">
        <f t="shared" si="118"/>
        <v xml:space="preserve"> </v>
      </c>
      <c r="AI84" s="130" t="str">
        <f t="shared" si="119"/>
        <v xml:space="preserve"> </v>
      </c>
      <c r="AJ84" s="130">
        <f t="shared" si="120"/>
        <v>81</v>
      </c>
      <c r="AK84" s="128" t="str">
        <f t="shared" si="121"/>
        <v xml:space="preserve"> </v>
      </c>
      <c r="AL84" s="128" t="str">
        <f t="shared" si="122"/>
        <v xml:space="preserve"> </v>
      </c>
      <c r="AM84" s="128" t="str">
        <f t="shared" si="123"/>
        <v xml:space="preserve"> </v>
      </c>
      <c r="AN84" s="130" t="str">
        <f t="shared" si="124"/>
        <v xml:space="preserve"> </v>
      </c>
      <c r="AO84" s="130"/>
      <c r="AP84" s="130"/>
    </row>
    <row r="85" spans="1:42">
      <c r="A85" s="131" t="s">
        <v>145</v>
      </c>
      <c r="B85" s="132">
        <v>5</v>
      </c>
      <c r="C85" s="118" t="s">
        <v>128</v>
      </c>
      <c r="D85" s="118">
        <v>2016</v>
      </c>
      <c r="E85" s="133">
        <v>3</v>
      </c>
      <c r="F85" s="133">
        <v>11</v>
      </c>
      <c r="G85" s="133">
        <v>73</v>
      </c>
      <c r="H85" s="134">
        <v>38</v>
      </c>
      <c r="I85" s="133">
        <v>125</v>
      </c>
      <c r="J85" s="135"/>
      <c r="K85" s="136">
        <f t="shared" ref="K85:N85" si="211">K83*3</f>
        <v>492</v>
      </c>
      <c r="L85" s="136">
        <f t="shared" si="211"/>
        <v>210</v>
      </c>
      <c r="M85" s="137">
        <f t="shared" si="211"/>
        <v>534</v>
      </c>
      <c r="N85" s="136">
        <f t="shared" si="211"/>
        <v>1236</v>
      </c>
      <c r="O85" s="145"/>
      <c r="P85" s="136">
        <f t="shared" si="208"/>
        <v>155</v>
      </c>
      <c r="Q85" s="136">
        <f t="shared" ref="Q85:S85" si="212">G85+Q84</f>
        <v>171</v>
      </c>
      <c r="R85" s="137">
        <f t="shared" si="212"/>
        <v>190</v>
      </c>
      <c r="S85" s="136">
        <f t="shared" si="212"/>
        <v>516</v>
      </c>
      <c r="T85" s="139"/>
      <c r="U85" s="140">
        <f t="shared" ref="U85:X85" si="213">P85/K85</f>
        <v>0.31504065040650409</v>
      </c>
      <c r="V85" s="140">
        <f t="shared" si="213"/>
        <v>0.81428571428571428</v>
      </c>
      <c r="W85" s="141">
        <f t="shared" si="213"/>
        <v>0.35580524344569286</v>
      </c>
      <c r="X85" s="140">
        <f t="shared" si="213"/>
        <v>0.41747572815533979</v>
      </c>
      <c r="Y85" s="142"/>
      <c r="Z85" s="143"/>
      <c r="AA85" s="136"/>
      <c r="AB85" s="136" t="s">
        <v>1566</v>
      </c>
      <c r="AC85" s="128" t="s">
        <v>1566</v>
      </c>
      <c r="AD85" s="135"/>
      <c r="AE85" s="127" t="s">
        <v>1566</v>
      </c>
      <c r="AF85" s="127"/>
      <c r="AG85" s="130"/>
      <c r="AH85" s="130" t="str">
        <f t="shared" si="118"/>
        <v xml:space="preserve"> </v>
      </c>
      <c r="AI85" s="130" t="str">
        <f t="shared" si="119"/>
        <v xml:space="preserve"> </v>
      </c>
      <c r="AJ85" s="144" t="str">
        <f t="shared" si="120"/>
        <v xml:space="preserve"> </v>
      </c>
      <c r="AK85" s="128">
        <f t="shared" si="121"/>
        <v>14</v>
      </c>
      <c r="AL85" s="128" t="str">
        <f t="shared" si="122"/>
        <v xml:space="preserve"> </v>
      </c>
      <c r="AM85" s="128" t="str">
        <f t="shared" si="123"/>
        <v xml:space="preserve"> </v>
      </c>
      <c r="AN85" s="130" t="str">
        <f t="shared" si="124"/>
        <v xml:space="preserve"> </v>
      </c>
      <c r="AO85" s="130"/>
      <c r="AP85" s="130"/>
    </row>
    <row r="86" spans="1:42">
      <c r="A86" s="131" t="s">
        <v>145</v>
      </c>
      <c r="B86" s="132">
        <v>5</v>
      </c>
      <c r="C86" s="118" t="s">
        <v>128</v>
      </c>
      <c r="D86" s="118">
        <v>2017</v>
      </c>
      <c r="E86" s="133">
        <v>7</v>
      </c>
      <c r="F86" s="133">
        <v>15</v>
      </c>
      <c r="G86" s="133">
        <v>254</v>
      </c>
      <c r="H86" s="134">
        <v>38</v>
      </c>
      <c r="I86" s="133">
        <v>314</v>
      </c>
      <c r="J86" s="135"/>
      <c r="K86" s="136">
        <f t="shared" ref="K86:N86" si="214">K83*4</f>
        <v>656</v>
      </c>
      <c r="L86" s="136">
        <f t="shared" si="214"/>
        <v>280</v>
      </c>
      <c r="M86" s="137">
        <f t="shared" si="214"/>
        <v>712</v>
      </c>
      <c r="N86" s="136">
        <f t="shared" si="214"/>
        <v>1648</v>
      </c>
      <c r="O86" s="145"/>
      <c r="P86" s="136">
        <f t="shared" si="208"/>
        <v>177</v>
      </c>
      <c r="Q86" s="136">
        <f t="shared" ref="Q86:S86" si="215">G86+Q85</f>
        <v>425</v>
      </c>
      <c r="R86" s="137">
        <f t="shared" si="215"/>
        <v>228</v>
      </c>
      <c r="S86" s="136">
        <f t="shared" si="215"/>
        <v>830</v>
      </c>
      <c r="T86" s="139"/>
      <c r="U86" s="140">
        <f t="shared" ref="U86:X86" si="216">P86/K86</f>
        <v>0.26981707317073172</v>
      </c>
      <c r="V86" s="140">
        <f t="shared" si="216"/>
        <v>1.5178571428571428</v>
      </c>
      <c r="W86" s="141">
        <f t="shared" si="216"/>
        <v>0.3202247191011236</v>
      </c>
      <c r="X86" s="140">
        <f t="shared" si="216"/>
        <v>0.50364077669902918</v>
      </c>
      <c r="Y86" s="142"/>
      <c r="Z86" s="143"/>
      <c r="AA86" s="136"/>
      <c r="AB86" s="136" t="s">
        <v>1566</v>
      </c>
      <c r="AC86" s="128" t="s">
        <v>1566</v>
      </c>
      <c r="AD86" s="135"/>
      <c r="AE86" s="127" t="s">
        <v>1566</v>
      </c>
      <c r="AF86" s="127"/>
      <c r="AG86" s="130"/>
      <c r="AH86" s="130" t="str">
        <f t="shared" si="118"/>
        <v xml:space="preserve"> </v>
      </c>
      <c r="AI86" s="130" t="str">
        <f t="shared" si="119"/>
        <v xml:space="preserve"> </v>
      </c>
      <c r="AJ86" s="144" t="str">
        <f t="shared" si="120"/>
        <v xml:space="preserve"> </v>
      </c>
      <c r="AK86" s="128" t="str">
        <f t="shared" si="121"/>
        <v xml:space="preserve"> </v>
      </c>
      <c r="AL86" s="128">
        <f t="shared" si="122"/>
        <v>22</v>
      </c>
      <c r="AM86" s="128" t="str">
        <f t="shared" si="123"/>
        <v xml:space="preserve"> </v>
      </c>
      <c r="AN86" s="130" t="str">
        <f t="shared" si="124"/>
        <v xml:space="preserve"> </v>
      </c>
      <c r="AO86" s="130"/>
      <c r="AP86" s="130"/>
    </row>
    <row r="87" spans="1:42">
      <c r="A87" s="131" t="s">
        <v>145</v>
      </c>
      <c r="B87" s="132">
        <v>5</v>
      </c>
      <c r="C87" s="118" t="s">
        <v>128</v>
      </c>
      <c r="D87" s="118">
        <v>2018</v>
      </c>
      <c r="E87" s="133">
        <v>40</v>
      </c>
      <c r="F87" s="133">
        <v>13</v>
      </c>
      <c r="G87" s="133">
        <v>87</v>
      </c>
      <c r="H87" s="134">
        <v>123</v>
      </c>
      <c r="I87" s="133">
        <v>263</v>
      </c>
      <c r="J87" s="135"/>
      <c r="K87" s="136">
        <f t="shared" ref="K87:N87" si="217">K83*5</f>
        <v>820</v>
      </c>
      <c r="L87" s="136">
        <f t="shared" si="217"/>
        <v>350</v>
      </c>
      <c r="M87" s="137">
        <f t="shared" si="217"/>
        <v>890</v>
      </c>
      <c r="N87" s="136">
        <f t="shared" si="217"/>
        <v>2060</v>
      </c>
      <c r="O87" s="145"/>
      <c r="P87" s="136">
        <f t="shared" si="208"/>
        <v>230</v>
      </c>
      <c r="Q87" s="136">
        <f t="shared" ref="Q87:S87" si="218">G87+Q86</f>
        <v>512</v>
      </c>
      <c r="R87" s="137">
        <f t="shared" si="218"/>
        <v>351</v>
      </c>
      <c r="S87" s="136">
        <f t="shared" si="218"/>
        <v>1093</v>
      </c>
      <c r="T87" s="139"/>
      <c r="U87" s="140">
        <f t="shared" ref="U87:X87" si="219">P87/K87</f>
        <v>0.28048780487804881</v>
      </c>
      <c r="V87" s="140">
        <f t="shared" si="219"/>
        <v>1.4628571428571429</v>
      </c>
      <c r="W87" s="141">
        <f t="shared" si="219"/>
        <v>0.39438202247191012</v>
      </c>
      <c r="X87" s="140">
        <f t="shared" si="219"/>
        <v>0.53058252427184471</v>
      </c>
      <c r="Y87" s="142"/>
      <c r="Z87" s="143"/>
      <c r="AA87" s="136"/>
      <c r="AB87" s="136" t="s">
        <v>1566</v>
      </c>
      <c r="AC87" s="128" t="s">
        <v>1566</v>
      </c>
      <c r="AD87" s="135"/>
      <c r="AE87" s="127" t="s">
        <v>1566</v>
      </c>
      <c r="AF87" s="127"/>
      <c r="AG87" s="130"/>
      <c r="AH87" s="130" t="str">
        <f t="shared" si="118"/>
        <v xml:space="preserve"> </v>
      </c>
      <c r="AI87" s="130" t="str">
        <f t="shared" si="119"/>
        <v xml:space="preserve"> </v>
      </c>
      <c r="AJ87" s="144" t="str">
        <f t="shared" si="120"/>
        <v xml:space="preserve"> </v>
      </c>
      <c r="AK87" s="128" t="str">
        <f t="shared" si="121"/>
        <v xml:space="preserve"> </v>
      </c>
      <c r="AL87" s="128" t="str">
        <f t="shared" si="122"/>
        <v xml:space="preserve"> </v>
      </c>
      <c r="AM87" s="128">
        <f t="shared" si="123"/>
        <v>53</v>
      </c>
      <c r="AN87" s="130" t="str">
        <f t="shared" si="124"/>
        <v xml:space="preserve"> </v>
      </c>
      <c r="AO87" s="130"/>
      <c r="AP87" s="130"/>
    </row>
    <row r="88" spans="1:42">
      <c r="A88" s="131" t="s">
        <v>145</v>
      </c>
      <c r="B88" s="132">
        <v>5</v>
      </c>
      <c r="C88" s="118" t="s">
        <v>129</v>
      </c>
      <c r="D88" s="118">
        <v>2019</v>
      </c>
      <c r="E88" s="133">
        <v>25</v>
      </c>
      <c r="F88" s="133">
        <v>20</v>
      </c>
      <c r="G88" s="133">
        <v>35</v>
      </c>
      <c r="H88" s="134">
        <v>27</v>
      </c>
      <c r="I88" s="133">
        <f>E88+F88+G88+H88</f>
        <v>107</v>
      </c>
      <c r="J88" s="135"/>
      <c r="K88" s="138">
        <v>820</v>
      </c>
      <c r="L88" s="138">
        <v>350</v>
      </c>
      <c r="M88" s="147">
        <v>890</v>
      </c>
      <c r="N88" s="138">
        <v>2060</v>
      </c>
      <c r="O88" s="145"/>
      <c r="P88" s="136">
        <f>P87+E88+F88</f>
        <v>275</v>
      </c>
      <c r="Q88" s="136">
        <f t="shared" ref="Q88:S88" si="220">G88+Q87</f>
        <v>547</v>
      </c>
      <c r="R88" s="137">
        <f t="shared" si="220"/>
        <v>378</v>
      </c>
      <c r="S88" s="136">
        <f t="shared" si="220"/>
        <v>1200</v>
      </c>
      <c r="T88" s="139"/>
      <c r="U88" s="140">
        <f t="shared" ref="U88:X88" si="221">P88/K88</f>
        <v>0.33536585365853661</v>
      </c>
      <c r="V88" s="140">
        <f t="shared" si="221"/>
        <v>1.5628571428571429</v>
      </c>
      <c r="W88" s="141">
        <f t="shared" si="221"/>
        <v>0.42471910112359551</v>
      </c>
      <c r="X88" s="140">
        <f t="shared" si="221"/>
        <v>0.58252427184466016</v>
      </c>
      <c r="Y88" s="146" t="s">
        <v>145</v>
      </c>
      <c r="Z88" s="143"/>
      <c r="AA88" s="138">
        <v>2060</v>
      </c>
      <c r="AB88" s="136">
        <v>2060</v>
      </c>
      <c r="AC88" s="128">
        <v>1200</v>
      </c>
      <c r="AD88" s="135"/>
      <c r="AE88" s="127">
        <f>N83</f>
        <v>412</v>
      </c>
      <c r="AF88" s="127"/>
      <c r="AG88" s="130"/>
      <c r="AH88" s="130" t="str">
        <f t="shared" si="118"/>
        <v xml:space="preserve"> </v>
      </c>
      <c r="AI88" s="130" t="str">
        <f t="shared" si="119"/>
        <v xml:space="preserve"> </v>
      </c>
      <c r="AJ88" s="144" t="str">
        <f t="shared" si="120"/>
        <v xml:space="preserve"> </v>
      </c>
      <c r="AK88" s="128" t="str">
        <f t="shared" si="121"/>
        <v xml:space="preserve"> </v>
      </c>
      <c r="AL88" s="128" t="str">
        <f t="shared" si="122"/>
        <v xml:space="preserve"> </v>
      </c>
      <c r="AM88" s="128" t="str">
        <f t="shared" si="123"/>
        <v xml:space="preserve"> </v>
      </c>
      <c r="AN88" s="130">
        <f t="shared" si="124"/>
        <v>45</v>
      </c>
      <c r="AO88" s="130"/>
      <c r="AP88" s="130"/>
    </row>
    <row r="89" spans="1:42">
      <c r="A89" s="131"/>
      <c r="B89" s="132"/>
      <c r="C89" s="118"/>
      <c r="D89" s="118"/>
      <c r="E89" s="133"/>
      <c r="F89" s="133"/>
      <c r="G89" s="133"/>
      <c r="H89" s="134"/>
      <c r="I89" s="133"/>
      <c r="J89" s="135"/>
      <c r="K89" s="136"/>
      <c r="L89" s="136"/>
      <c r="M89" s="137"/>
      <c r="N89" s="136"/>
      <c r="O89" s="145"/>
      <c r="P89" s="136"/>
      <c r="Q89" s="136"/>
      <c r="R89" s="137"/>
      <c r="S89" s="136"/>
      <c r="T89" s="139"/>
      <c r="U89" s="140"/>
      <c r="V89" s="140"/>
      <c r="W89" s="141"/>
      <c r="X89" s="140"/>
      <c r="Y89" s="142"/>
      <c r="Z89" s="143"/>
      <c r="AA89" s="136"/>
      <c r="AB89" s="136" t="s">
        <v>1566</v>
      </c>
      <c r="AC89" s="128" t="s">
        <v>1566</v>
      </c>
      <c r="AD89" s="135"/>
      <c r="AE89" s="127" t="s">
        <v>1566</v>
      </c>
      <c r="AF89" s="127"/>
      <c r="AG89" s="130"/>
      <c r="AH89" s="130" t="str">
        <f t="shared" si="118"/>
        <v xml:space="preserve"> </v>
      </c>
      <c r="AI89" s="130" t="str">
        <f t="shared" si="119"/>
        <v xml:space="preserve"> </v>
      </c>
      <c r="AJ89" s="144" t="str">
        <f t="shared" si="120"/>
        <v xml:space="preserve"> </v>
      </c>
      <c r="AK89" s="128" t="str">
        <f t="shared" si="121"/>
        <v xml:space="preserve"> </v>
      </c>
      <c r="AL89" s="128" t="str">
        <f t="shared" si="122"/>
        <v xml:space="preserve"> </v>
      </c>
      <c r="AM89" s="128" t="str">
        <f t="shared" si="123"/>
        <v xml:space="preserve"> </v>
      </c>
      <c r="AN89" s="130" t="str">
        <f t="shared" si="124"/>
        <v xml:space="preserve"> </v>
      </c>
      <c r="AO89" s="130"/>
      <c r="AP89" s="130"/>
    </row>
    <row r="90" spans="1:42">
      <c r="A90" s="131" t="s">
        <v>146</v>
      </c>
      <c r="B90" s="132">
        <v>8</v>
      </c>
      <c r="C90" s="118" t="s">
        <v>140</v>
      </c>
      <c r="D90" s="118">
        <v>2014</v>
      </c>
      <c r="E90" s="133">
        <v>130</v>
      </c>
      <c r="F90" s="133">
        <v>18</v>
      </c>
      <c r="G90" s="133">
        <v>85</v>
      </c>
      <c r="H90" s="134">
        <v>65</v>
      </c>
      <c r="I90" s="133">
        <v>298</v>
      </c>
      <c r="J90" s="135"/>
      <c r="K90" s="136">
        <f>ROUND((2561+1552)/8,0)</f>
        <v>514</v>
      </c>
      <c r="L90" s="136">
        <f>ROUND('HCD Assigned 5th Cycle RHNA'!F37/B90,0)</f>
        <v>193</v>
      </c>
      <c r="M90" s="137">
        <f>ROUND(4419/8,0)</f>
        <v>552</v>
      </c>
      <c r="N90" s="136">
        <f>ROUND(10077/8,0)</f>
        <v>1260</v>
      </c>
      <c r="O90" s="145"/>
      <c r="P90" s="136">
        <f>E90+F90</f>
        <v>148</v>
      </c>
      <c r="Q90" s="136">
        <f t="shared" ref="Q90:S90" si="222">G90</f>
        <v>85</v>
      </c>
      <c r="R90" s="137">
        <f t="shared" si="222"/>
        <v>65</v>
      </c>
      <c r="S90" s="136">
        <f t="shared" si="222"/>
        <v>298</v>
      </c>
      <c r="T90" s="139"/>
      <c r="U90" s="140">
        <f t="shared" ref="U90:X90" si="223">P90/K90</f>
        <v>0.28793774319066145</v>
      </c>
      <c r="V90" s="140">
        <f t="shared" si="223"/>
        <v>0.44041450777202074</v>
      </c>
      <c r="W90" s="141">
        <f t="shared" si="223"/>
        <v>0.11775362318840579</v>
      </c>
      <c r="X90" s="140">
        <f t="shared" si="223"/>
        <v>0.2365079365079365</v>
      </c>
      <c r="Y90" s="142"/>
      <c r="Z90" s="143"/>
      <c r="AA90" s="136"/>
      <c r="AB90" s="136" t="s">
        <v>1566</v>
      </c>
      <c r="AC90" s="128" t="s">
        <v>1566</v>
      </c>
      <c r="AD90" s="135"/>
      <c r="AE90" s="127"/>
      <c r="AF90" s="127"/>
      <c r="AG90" s="130"/>
      <c r="AH90" s="130" t="str">
        <f t="shared" si="118"/>
        <v xml:space="preserve"> </v>
      </c>
      <c r="AI90" s="130">
        <f t="shared" si="119"/>
        <v>148</v>
      </c>
      <c r="AJ90" s="144" t="str">
        <f t="shared" si="120"/>
        <v xml:space="preserve"> </v>
      </c>
      <c r="AK90" s="128" t="str">
        <f t="shared" si="121"/>
        <v xml:space="preserve"> </v>
      </c>
      <c r="AL90" s="128" t="str">
        <f t="shared" si="122"/>
        <v xml:space="preserve"> </v>
      </c>
      <c r="AM90" s="128" t="str">
        <f t="shared" si="123"/>
        <v xml:space="preserve"> </v>
      </c>
      <c r="AN90" s="130" t="str">
        <f t="shared" si="124"/>
        <v xml:space="preserve"> </v>
      </c>
      <c r="AO90" s="130"/>
      <c r="AP90" s="130"/>
    </row>
    <row r="91" spans="1:42">
      <c r="A91" s="131" t="s">
        <v>146</v>
      </c>
      <c r="B91" s="132">
        <v>8</v>
      </c>
      <c r="C91" s="118" t="s">
        <v>140</v>
      </c>
      <c r="D91" s="118">
        <v>2015</v>
      </c>
      <c r="E91" s="133">
        <v>20</v>
      </c>
      <c r="F91" s="133">
        <v>42</v>
      </c>
      <c r="G91" s="133">
        <v>171</v>
      </c>
      <c r="H91" s="134">
        <v>30</v>
      </c>
      <c r="I91" s="133">
        <v>263</v>
      </c>
      <c r="J91" s="135"/>
      <c r="K91" s="136">
        <f t="shared" ref="K91:N91" si="224">K90*2</f>
        <v>1028</v>
      </c>
      <c r="L91" s="136">
        <f t="shared" si="224"/>
        <v>386</v>
      </c>
      <c r="M91" s="137">
        <f t="shared" si="224"/>
        <v>1104</v>
      </c>
      <c r="N91" s="136">
        <f t="shared" si="224"/>
        <v>2520</v>
      </c>
      <c r="O91" s="145"/>
      <c r="P91" s="136">
        <f t="shared" ref="P91:P95" si="225">E91+F91+P90</f>
        <v>210</v>
      </c>
      <c r="Q91" s="136">
        <f t="shared" ref="Q91:S91" si="226">G91+Q90</f>
        <v>256</v>
      </c>
      <c r="R91" s="137">
        <f t="shared" si="226"/>
        <v>95</v>
      </c>
      <c r="S91" s="136">
        <f t="shared" si="226"/>
        <v>561</v>
      </c>
      <c r="T91" s="139"/>
      <c r="U91" s="140">
        <f t="shared" ref="U91:X91" si="227">P91/K91</f>
        <v>0.20428015564202334</v>
      </c>
      <c r="V91" s="140">
        <f t="shared" si="227"/>
        <v>0.66321243523316065</v>
      </c>
      <c r="W91" s="141">
        <f t="shared" si="227"/>
        <v>8.6050724637681153E-2</v>
      </c>
      <c r="X91" s="140">
        <f t="shared" si="227"/>
        <v>0.22261904761904761</v>
      </c>
      <c r="Y91" s="142"/>
      <c r="Z91" s="143"/>
      <c r="AA91" s="136"/>
      <c r="AB91" s="136" t="s">
        <v>1566</v>
      </c>
      <c r="AC91" s="128" t="s">
        <v>1566</v>
      </c>
      <c r="AD91" s="135"/>
      <c r="AE91" s="127"/>
      <c r="AF91" s="127"/>
      <c r="AG91" s="130"/>
      <c r="AH91" s="130" t="str">
        <f t="shared" si="118"/>
        <v xml:space="preserve"> </v>
      </c>
      <c r="AI91" s="130" t="str">
        <f t="shared" si="119"/>
        <v xml:space="preserve"> </v>
      </c>
      <c r="AJ91" s="130">
        <f t="shared" si="120"/>
        <v>62</v>
      </c>
      <c r="AK91" s="128" t="str">
        <f t="shared" si="121"/>
        <v xml:space="preserve"> </v>
      </c>
      <c r="AL91" s="128" t="str">
        <f t="shared" si="122"/>
        <v xml:space="preserve"> </v>
      </c>
      <c r="AM91" s="128" t="str">
        <f t="shared" si="123"/>
        <v xml:space="preserve"> </v>
      </c>
      <c r="AN91" s="130" t="str">
        <f t="shared" si="124"/>
        <v xml:space="preserve"> </v>
      </c>
      <c r="AO91" s="130"/>
      <c r="AP91" s="130"/>
    </row>
    <row r="92" spans="1:42">
      <c r="A92" s="131" t="s">
        <v>146</v>
      </c>
      <c r="B92" s="132">
        <v>8</v>
      </c>
      <c r="C92" s="118" t="s">
        <v>140</v>
      </c>
      <c r="D92" s="118">
        <v>2016</v>
      </c>
      <c r="E92" s="133">
        <v>5</v>
      </c>
      <c r="F92" s="133">
        <v>13</v>
      </c>
      <c r="G92" s="133">
        <v>307</v>
      </c>
      <c r="H92" s="134">
        <v>44</v>
      </c>
      <c r="I92" s="133">
        <v>369</v>
      </c>
      <c r="J92" s="135"/>
      <c r="K92" s="136">
        <f t="shared" ref="K92:N92" si="228">K90*3</f>
        <v>1542</v>
      </c>
      <c r="L92" s="136">
        <f t="shared" si="228"/>
        <v>579</v>
      </c>
      <c r="M92" s="137">
        <f t="shared" si="228"/>
        <v>1656</v>
      </c>
      <c r="N92" s="136">
        <f t="shared" si="228"/>
        <v>3780</v>
      </c>
      <c r="O92" s="145"/>
      <c r="P92" s="136">
        <f t="shared" si="225"/>
        <v>228</v>
      </c>
      <c r="Q92" s="136">
        <f t="shared" ref="Q92:S92" si="229">G92+Q91</f>
        <v>563</v>
      </c>
      <c r="R92" s="137">
        <f t="shared" si="229"/>
        <v>139</v>
      </c>
      <c r="S92" s="136">
        <f t="shared" si="229"/>
        <v>930</v>
      </c>
      <c r="T92" s="139"/>
      <c r="U92" s="140">
        <f t="shared" ref="U92:X92" si="230">P92/K92</f>
        <v>0.14785992217898833</v>
      </c>
      <c r="V92" s="140">
        <f t="shared" si="230"/>
        <v>0.97236614853195169</v>
      </c>
      <c r="W92" s="141">
        <f t="shared" si="230"/>
        <v>8.3937198067632848E-2</v>
      </c>
      <c r="X92" s="140">
        <f t="shared" si="230"/>
        <v>0.24603174603174602</v>
      </c>
      <c r="Y92" s="142"/>
      <c r="Z92" s="143"/>
      <c r="AA92" s="136"/>
      <c r="AB92" s="136" t="s">
        <v>1566</v>
      </c>
      <c r="AC92" s="128" t="s">
        <v>1566</v>
      </c>
      <c r="AD92" s="135"/>
      <c r="AE92" s="127" t="s">
        <v>1566</v>
      </c>
      <c r="AF92" s="127"/>
      <c r="AG92" s="130"/>
      <c r="AH92" s="130" t="str">
        <f t="shared" si="118"/>
        <v xml:space="preserve"> </v>
      </c>
      <c r="AI92" s="130" t="str">
        <f t="shared" si="119"/>
        <v xml:space="preserve"> </v>
      </c>
      <c r="AJ92" s="144" t="str">
        <f t="shared" si="120"/>
        <v xml:space="preserve"> </v>
      </c>
      <c r="AK92" s="128">
        <f t="shared" si="121"/>
        <v>18</v>
      </c>
      <c r="AL92" s="128" t="str">
        <f t="shared" si="122"/>
        <v xml:space="preserve"> </v>
      </c>
      <c r="AM92" s="128" t="str">
        <f t="shared" si="123"/>
        <v xml:space="preserve"> </v>
      </c>
      <c r="AN92" s="130" t="str">
        <f t="shared" si="124"/>
        <v xml:space="preserve"> </v>
      </c>
      <c r="AO92" s="130"/>
      <c r="AP92" s="130"/>
    </row>
    <row r="93" spans="1:42">
      <c r="A93" s="131" t="s">
        <v>146</v>
      </c>
      <c r="B93" s="132">
        <v>8</v>
      </c>
      <c r="C93" s="118" t="s">
        <v>140</v>
      </c>
      <c r="D93" s="118">
        <v>2017</v>
      </c>
      <c r="E93" s="133">
        <v>6</v>
      </c>
      <c r="F93" s="133">
        <v>82</v>
      </c>
      <c r="G93" s="133">
        <v>150</v>
      </c>
      <c r="H93" s="134">
        <v>40</v>
      </c>
      <c r="I93" s="133">
        <v>278</v>
      </c>
      <c r="J93" s="135"/>
      <c r="K93" s="136">
        <f t="shared" ref="K93:N93" si="231">K90*4</f>
        <v>2056</v>
      </c>
      <c r="L93" s="136">
        <f t="shared" si="231"/>
        <v>772</v>
      </c>
      <c r="M93" s="137">
        <f t="shared" si="231"/>
        <v>2208</v>
      </c>
      <c r="N93" s="136">
        <f t="shared" si="231"/>
        <v>5040</v>
      </c>
      <c r="O93" s="145"/>
      <c r="P93" s="136">
        <f t="shared" si="225"/>
        <v>316</v>
      </c>
      <c r="Q93" s="136">
        <f t="shared" ref="Q93:S93" si="232">G93+Q92</f>
        <v>713</v>
      </c>
      <c r="R93" s="137">
        <f t="shared" si="232"/>
        <v>179</v>
      </c>
      <c r="S93" s="136">
        <f t="shared" si="232"/>
        <v>1208</v>
      </c>
      <c r="T93" s="139"/>
      <c r="U93" s="140">
        <f t="shared" ref="U93:X93" si="233">P93/K93</f>
        <v>0.15369649805447472</v>
      </c>
      <c r="V93" s="140">
        <f t="shared" si="233"/>
        <v>0.92357512953367871</v>
      </c>
      <c r="W93" s="141">
        <f t="shared" si="233"/>
        <v>8.1068840579710144E-2</v>
      </c>
      <c r="X93" s="140">
        <f t="shared" si="233"/>
        <v>0.23968253968253969</v>
      </c>
      <c r="Y93" s="142"/>
      <c r="Z93" s="143"/>
      <c r="AA93" s="136"/>
      <c r="AB93" s="136" t="s">
        <v>1566</v>
      </c>
      <c r="AC93" s="128" t="s">
        <v>1566</v>
      </c>
      <c r="AD93" s="135"/>
      <c r="AE93" s="127" t="s">
        <v>1566</v>
      </c>
      <c r="AF93" s="127"/>
      <c r="AG93" s="130"/>
      <c r="AH93" s="130" t="str">
        <f t="shared" si="118"/>
        <v xml:space="preserve"> </v>
      </c>
      <c r="AI93" s="130" t="str">
        <f t="shared" si="119"/>
        <v xml:space="preserve"> </v>
      </c>
      <c r="AJ93" s="144" t="str">
        <f t="shared" si="120"/>
        <v xml:space="preserve"> </v>
      </c>
      <c r="AK93" s="128" t="str">
        <f t="shared" si="121"/>
        <v xml:space="preserve"> </v>
      </c>
      <c r="AL93" s="128">
        <f t="shared" si="122"/>
        <v>88</v>
      </c>
      <c r="AM93" s="128" t="str">
        <f t="shared" si="123"/>
        <v xml:space="preserve"> </v>
      </c>
      <c r="AN93" s="130" t="str">
        <f t="shared" si="124"/>
        <v xml:space="preserve"> </v>
      </c>
      <c r="AO93" s="130"/>
      <c r="AP93" s="130"/>
    </row>
    <row r="94" spans="1:42">
      <c r="A94" s="131" t="s">
        <v>146</v>
      </c>
      <c r="B94" s="132">
        <v>8</v>
      </c>
      <c r="C94" s="118" t="s">
        <v>140</v>
      </c>
      <c r="D94" s="118">
        <v>2018</v>
      </c>
      <c r="E94" s="133">
        <v>101</v>
      </c>
      <c r="F94" s="133">
        <v>34</v>
      </c>
      <c r="G94" s="133">
        <v>197</v>
      </c>
      <c r="H94" s="134">
        <v>61</v>
      </c>
      <c r="I94" s="133">
        <v>393</v>
      </c>
      <c r="J94" s="135"/>
      <c r="K94" s="136">
        <f t="shared" ref="K94:N94" si="234">K90*5</f>
        <v>2570</v>
      </c>
      <c r="L94" s="136">
        <f t="shared" si="234"/>
        <v>965</v>
      </c>
      <c r="M94" s="137">
        <f t="shared" si="234"/>
        <v>2760</v>
      </c>
      <c r="N94" s="136">
        <f t="shared" si="234"/>
        <v>6300</v>
      </c>
      <c r="O94" s="145"/>
      <c r="P94" s="136">
        <f t="shared" si="225"/>
        <v>451</v>
      </c>
      <c r="Q94" s="136">
        <f t="shared" ref="Q94:S94" si="235">G94+Q93</f>
        <v>910</v>
      </c>
      <c r="R94" s="137">
        <f t="shared" si="235"/>
        <v>240</v>
      </c>
      <c r="S94" s="136">
        <f t="shared" si="235"/>
        <v>1601</v>
      </c>
      <c r="T94" s="139"/>
      <c r="U94" s="140">
        <f t="shared" ref="U94:X94" si="236">P94/K94</f>
        <v>0.17548638132295719</v>
      </c>
      <c r="V94" s="140">
        <f t="shared" si="236"/>
        <v>0.94300518134715028</v>
      </c>
      <c r="W94" s="141">
        <f t="shared" si="236"/>
        <v>8.6956521739130432E-2</v>
      </c>
      <c r="X94" s="140">
        <f t="shared" si="236"/>
        <v>0.25412698412698415</v>
      </c>
      <c r="Y94" s="142"/>
      <c r="Z94" s="143"/>
      <c r="AA94" s="136"/>
      <c r="AB94" s="136" t="s">
        <v>1566</v>
      </c>
      <c r="AC94" s="128" t="s">
        <v>1566</v>
      </c>
      <c r="AD94" s="135"/>
      <c r="AE94" s="127" t="s">
        <v>1566</v>
      </c>
      <c r="AF94" s="127"/>
      <c r="AG94" s="130"/>
      <c r="AH94" s="130" t="str">
        <f t="shared" si="118"/>
        <v xml:space="preserve"> </v>
      </c>
      <c r="AI94" s="130" t="str">
        <f t="shared" si="119"/>
        <v xml:space="preserve"> </v>
      </c>
      <c r="AJ94" s="144" t="str">
        <f t="shared" si="120"/>
        <v xml:space="preserve"> </v>
      </c>
      <c r="AK94" s="128" t="str">
        <f t="shared" si="121"/>
        <v xml:space="preserve"> </v>
      </c>
      <c r="AL94" s="128" t="str">
        <f t="shared" si="122"/>
        <v xml:space="preserve"> </v>
      </c>
      <c r="AM94" s="128">
        <f t="shared" si="123"/>
        <v>135</v>
      </c>
      <c r="AN94" s="130" t="str">
        <f t="shared" si="124"/>
        <v xml:space="preserve"> </v>
      </c>
      <c r="AO94" s="130"/>
      <c r="AP94" s="130"/>
    </row>
    <row r="95" spans="1:42">
      <c r="A95" s="131" t="s">
        <v>146</v>
      </c>
      <c r="B95" s="132">
        <v>8</v>
      </c>
      <c r="C95" s="118" t="s">
        <v>140</v>
      </c>
      <c r="D95" s="118">
        <v>2019</v>
      </c>
      <c r="E95" s="133">
        <v>75</v>
      </c>
      <c r="F95" s="133">
        <v>195</v>
      </c>
      <c r="G95" s="133">
        <v>149</v>
      </c>
      <c r="H95" s="134">
        <v>20</v>
      </c>
      <c r="I95" s="133">
        <f>E95+F95+G95+H95</f>
        <v>439</v>
      </c>
      <c r="J95" s="135"/>
      <c r="K95" s="136">
        <f t="shared" ref="K95:N95" si="237">K90*6</f>
        <v>3084</v>
      </c>
      <c r="L95" s="136">
        <f t="shared" si="237"/>
        <v>1158</v>
      </c>
      <c r="M95" s="137">
        <f t="shared" si="237"/>
        <v>3312</v>
      </c>
      <c r="N95" s="136">
        <f t="shared" si="237"/>
        <v>7560</v>
      </c>
      <c r="O95" s="145"/>
      <c r="P95" s="136">
        <f t="shared" si="225"/>
        <v>721</v>
      </c>
      <c r="Q95" s="136">
        <f t="shared" ref="Q95:S95" si="238">G95+Q94</f>
        <v>1059</v>
      </c>
      <c r="R95" s="137">
        <f t="shared" si="238"/>
        <v>260</v>
      </c>
      <c r="S95" s="136">
        <f t="shared" si="238"/>
        <v>2040</v>
      </c>
      <c r="T95" s="139"/>
      <c r="U95" s="140">
        <f t="shared" ref="U95:X95" si="239">P95/K95</f>
        <v>0.23378728923476005</v>
      </c>
      <c r="V95" s="140">
        <f t="shared" si="239"/>
        <v>0.91450777202072542</v>
      </c>
      <c r="W95" s="141">
        <f t="shared" si="239"/>
        <v>7.85024154589372E-2</v>
      </c>
      <c r="X95" s="140">
        <f t="shared" si="239"/>
        <v>0.26984126984126983</v>
      </c>
      <c r="Y95" s="146" t="s">
        <v>146</v>
      </c>
      <c r="Z95" s="143"/>
      <c r="AA95" s="138">
        <v>10077</v>
      </c>
      <c r="AB95" s="136">
        <v>7560</v>
      </c>
      <c r="AC95" s="128">
        <v>2040</v>
      </c>
      <c r="AD95" s="135"/>
      <c r="AE95" s="127">
        <f>N90</f>
        <v>1260</v>
      </c>
      <c r="AF95" s="127"/>
      <c r="AG95" s="130"/>
      <c r="AH95" s="130" t="str">
        <f t="shared" si="118"/>
        <v xml:space="preserve"> </v>
      </c>
      <c r="AI95" s="130" t="str">
        <f t="shared" si="119"/>
        <v xml:space="preserve"> </v>
      </c>
      <c r="AJ95" s="144" t="str">
        <f t="shared" si="120"/>
        <v xml:space="preserve"> </v>
      </c>
      <c r="AK95" s="128" t="str">
        <f t="shared" si="121"/>
        <v xml:space="preserve"> </v>
      </c>
      <c r="AL95" s="128" t="str">
        <f t="shared" si="122"/>
        <v xml:space="preserve"> </v>
      </c>
      <c r="AM95" s="128" t="str">
        <f t="shared" si="123"/>
        <v xml:space="preserve"> </v>
      </c>
      <c r="AN95" s="130">
        <f t="shared" si="124"/>
        <v>270</v>
      </c>
      <c r="AO95" s="130"/>
      <c r="AP95" s="130"/>
    </row>
    <row r="96" spans="1:42">
      <c r="A96" s="131"/>
      <c r="B96" s="132"/>
      <c r="C96" s="118"/>
      <c r="D96" s="118"/>
      <c r="E96" s="133"/>
      <c r="F96" s="133"/>
      <c r="G96" s="133"/>
      <c r="H96" s="134"/>
      <c r="I96" s="133"/>
      <c r="J96" s="135"/>
      <c r="K96" s="136"/>
      <c r="L96" s="136"/>
      <c r="M96" s="137"/>
      <c r="N96" s="136"/>
      <c r="O96" s="145"/>
      <c r="P96" s="136"/>
      <c r="Q96" s="136"/>
      <c r="R96" s="137"/>
      <c r="S96" s="136"/>
      <c r="T96" s="139"/>
      <c r="U96" s="140"/>
      <c r="V96" s="140"/>
      <c r="W96" s="141"/>
      <c r="X96" s="140"/>
      <c r="Y96" s="142"/>
      <c r="Z96" s="143"/>
      <c r="AA96" s="136"/>
      <c r="AB96" s="136" t="s">
        <v>1566</v>
      </c>
      <c r="AC96" s="128" t="s">
        <v>1566</v>
      </c>
      <c r="AD96" s="135"/>
      <c r="AE96" s="127" t="s">
        <v>1566</v>
      </c>
      <c r="AF96" s="127"/>
      <c r="AG96" s="130"/>
      <c r="AH96" s="130" t="str">
        <f t="shared" si="118"/>
        <v xml:space="preserve"> </v>
      </c>
      <c r="AI96" s="130" t="str">
        <f t="shared" si="119"/>
        <v xml:space="preserve"> </v>
      </c>
      <c r="AJ96" s="144" t="str">
        <f t="shared" si="120"/>
        <v xml:space="preserve"> </v>
      </c>
      <c r="AK96" s="128" t="str">
        <f t="shared" si="121"/>
        <v xml:space="preserve"> </v>
      </c>
      <c r="AL96" s="128" t="str">
        <f t="shared" si="122"/>
        <v xml:space="preserve"> </v>
      </c>
      <c r="AM96" s="128" t="str">
        <f t="shared" si="123"/>
        <v xml:space="preserve"> </v>
      </c>
      <c r="AN96" s="130" t="str">
        <f t="shared" si="124"/>
        <v xml:space="preserve"> </v>
      </c>
      <c r="AO96" s="130"/>
      <c r="AP96" s="130"/>
    </row>
    <row r="97" spans="1:42">
      <c r="A97" s="131" t="s">
        <v>147</v>
      </c>
      <c r="B97" s="132">
        <v>5</v>
      </c>
      <c r="C97" s="118" t="s">
        <v>128</v>
      </c>
      <c r="D97" s="118">
        <v>2014</v>
      </c>
      <c r="E97" s="133">
        <v>0</v>
      </c>
      <c r="F97" s="133">
        <v>0</v>
      </c>
      <c r="G97" s="133">
        <v>0</v>
      </c>
      <c r="H97" s="134">
        <v>3</v>
      </c>
      <c r="I97" s="133">
        <v>3</v>
      </c>
      <c r="J97" s="135"/>
      <c r="K97" s="136">
        <f>ROUND((50+35)/5,0)</f>
        <v>17</v>
      </c>
      <c r="L97" s="136">
        <f>ROUND('HCD Assigned 5th Cycle RHNA'!F579/B97,0)</f>
        <v>8</v>
      </c>
      <c r="M97" s="137">
        <f>ROUND(100/5,0)</f>
        <v>20</v>
      </c>
      <c r="N97" s="136">
        <f>ROUND(225/5,0)</f>
        <v>45</v>
      </c>
      <c r="O97" s="145"/>
      <c r="P97" s="136">
        <f>E97+F97</f>
        <v>0</v>
      </c>
      <c r="Q97" s="136">
        <f t="shared" ref="Q97:S97" si="240">G97</f>
        <v>0</v>
      </c>
      <c r="R97" s="137">
        <f t="shared" si="240"/>
        <v>3</v>
      </c>
      <c r="S97" s="136">
        <f t="shared" si="240"/>
        <v>3</v>
      </c>
      <c r="T97" s="139"/>
      <c r="U97" s="140">
        <f t="shared" ref="U97:X97" si="241">P97/K97</f>
        <v>0</v>
      </c>
      <c r="V97" s="140">
        <f t="shared" si="241"/>
        <v>0</v>
      </c>
      <c r="W97" s="141">
        <f t="shared" si="241"/>
        <v>0.15</v>
      </c>
      <c r="X97" s="140">
        <f t="shared" si="241"/>
        <v>6.6666666666666666E-2</v>
      </c>
      <c r="Y97" s="142"/>
      <c r="Z97" s="143"/>
      <c r="AA97" s="136"/>
      <c r="AB97" s="136" t="s">
        <v>1566</v>
      </c>
      <c r="AC97" s="128" t="s">
        <v>1566</v>
      </c>
      <c r="AD97" s="135"/>
      <c r="AE97" s="127"/>
      <c r="AF97" s="127"/>
      <c r="AG97" s="130"/>
      <c r="AH97" s="130" t="str">
        <f t="shared" si="118"/>
        <v xml:space="preserve"> </v>
      </c>
      <c r="AI97" s="130">
        <f t="shared" si="119"/>
        <v>0</v>
      </c>
      <c r="AJ97" s="144" t="str">
        <f t="shared" si="120"/>
        <v xml:space="preserve"> </v>
      </c>
      <c r="AK97" s="128" t="str">
        <f t="shared" si="121"/>
        <v xml:space="preserve"> </v>
      </c>
      <c r="AL97" s="128" t="str">
        <f t="shared" si="122"/>
        <v xml:space="preserve"> </v>
      </c>
      <c r="AM97" s="128" t="str">
        <f t="shared" si="123"/>
        <v xml:space="preserve"> </v>
      </c>
      <c r="AN97" s="130" t="str">
        <f t="shared" si="124"/>
        <v xml:space="preserve"> </v>
      </c>
      <c r="AO97" s="130"/>
      <c r="AP97" s="130"/>
    </row>
    <row r="98" spans="1:42">
      <c r="A98" s="131" t="s">
        <v>147</v>
      </c>
      <c r="B98" s="132">
        <v>5</v>
      </c>
      <c r="C98" s="118" t="s">
        <v>128</v>
      </c>
      <c r="D98" s="118">
        <v>2015</v>
      </c>
      <c r="E98" s="133">
        <v>0</v>
      </c>
      <c r="F98" s="133">
        <v>1</v>
      </c>
      <c r="G98" s="133">
        <v>2</v>
      </c>
      <c r="H98" s="134">
        <v>2</v>
      </c>
      <c r="I98" s="133">
        <v>5</v>
      </c>
      <c r="J98" s="135"/>
      <c r="K98" s="136">
        <f t="shared" ref="K98:N98" si="242">K97*2</f>
        <v>34</v>
      </c>
      <c r="L98" s="136">
        <f t="shared" si="242"/>
        <v>16</v>
      </c>
      <c r="M98" s="137">
        <f t="shared" si="242"/>
        <v>40</v>
      </c>
      <c r="N98" s="136">
        <f t="shared" si="242"/>
        <v>90</v>
      </c>
      <c r="O98" s="145"/>
      <c r="P98" s="136">
        <f t="shared" ref="P98:P102" si="243">E98+F98+P97</f>
        <v>1</v>
      </c>
      <c r="Q98" s="136">
        <f t="shared" ref="Q98:S98" si="244">G98+Q97</f>
        <v>2</v>
      </c>
      <c r="R98" s="137">
        <f t="shared" si="244"/>
        <v>5</v>
      </c>
      <c r="S98" s="136">
        <f t="shared" si="244"/>
        <v>8</v>
      </c>
      <c r="T98" s="139"/>
      <c r="U98" s="140">
        <f t="shared" ref="U98:X98" si="245">P98/K98</f>
        <v>2.9411764705882353E-2</v>
      </c>
      <c r="V98" s="140">
        <f t="shared" si="245"/>
        <v>0.125</v>
      </c>
      <c r="W98" s="141">
        <f t="shared" si="245"/>
        <v>0.125</v>
      </c>
      <c r="X98" s="140">
        <f t="shared" si="245"/>
        <v>8.8888888888888892E-2</v>
      </c>
      <c r="Y98" s="142"/>
      <c r="Z98" s="143"/>
      <c r="AA98" s="136"/>
      <c r="AB98" s="136" t="s">
        <v>1566</v>
      </c>
      <c r="AC98" s="128" t="s">
        <v>1566</v>
      </c>
      <c r="AD98" s="135"/>
      <c r="AE98" s="127"/>
      <c r="AF98" s="127"/>
      <c r="AG98" s="130"/>
      <c r="AH98" s="130" t="str">
        <f t="shared" si="118"/>
        <v xml:space="preserve"> </v>
      </c>
      <c r="AI98" s="130" t="str">
        <f t="shared" si="119"/>
        <v xml:space="preserve"> </v>
      </c>
      <c r="AJ98" s="130">
        <f t="shared" si="120"/>
        <v>1</v>
      </c>
      <c r="AK98" s="128" t="str">
        <f t="shared" si="121"/>
        <v xml:space="preserve"> </v>
      </c>
      <c r="AL98" s="128" t="str">
        <f t="shared" si="122"/>
        <v xml:space="preserve"> </v>
      </c>
      <c r="AM98" s="128" t="str">
        <f t="shared" si="123"/>
        <v xml:space="preserve"> </v>
      </c>
      <c r="AN98" s="130" t="str">
        <f t="shared" si="124"/>
        <v xml:space="preserve"> </v>
      </c>
      <c r="AO98" s="130"/>
      <c r="AP98" s="130"/>
    </row>
    <row r="99" spans="1:42">
      <c r="A99" s="131" t="s">
        <v>147</v>
      </c>
      <c r="B99" s="132">
        <v>5</v>
      </c>
      <c r="C99" s="118" t="s">
        <v>128</v>
      </c>
      <c r="D99" s="118">
        <v>2016</v>
      </c>
      <c r="E99" s="133">
        <v>0</v>
      </c>
      <c r="F99" s="133">
        <v>0</v>
      </c>
      <c r="G99" s="133">
        <v>6</v>
      </c>
      <c r="H99" s="134">
        <v>9</v>
      </c>
      <c r="I99" s="133">
        <v>15</v>
      </c>
      <c r="J99" s="135"/>
      <c r="K99" s="136">
        <f t="shared" ref="K99:N99" si="246">K97*3</f>
        <v>51</v>
      </c>
      <c r="L99" s="136">
        <f t="shared" si="246"/>
        <v>24</v>
      </c>
      <c r="M99" s="137">
        <f t="shared" si="246"/>
        <v>60</v>
      </c>
      <c r="N99" s="136">
        <f t="shared" si="246"/>
        <v>135</v>
      </c>
      <c r="O99" s="145"/>
      <c r="P99" s="136">
        <f t="shared" si="243"/>
        <v>1</v>
      </c>
      <c r="Q99" s="136">
        <f t="shared" ref="Q99:S99" si="247">G99+Q98</f>
        <v>8</v>
      </c>
      <c r="R99" s="137">
        <f t="shared" si="247"/>
        <v>14</v>
      </c>
      <c r="S99" s="136">
        <f t="shared" si="247"/>
        <v>23</v>
      </c>
      <c r="T99" s="139"/>
      <c r="U99" s="140">
        <f t="shared" ref="U99:X99" si="248">P99/K99</f>
        <v>1.9607843137254902E-2</v>
      </c>
      <c r="V99" s="140">
        <f t="shared" si="248"/>
        <v>0.33333333333333331</v>
      </c>
      <c r="W99" s="141">
        <f t="shared" si="248"/>
        <v>0.23333333333333334</v>
      </c>
      <c r="X99" s="140">
        <f t="shared" si="248"/>
        <v>0.17037037037037037</v>
      </c>
      <c r="Y99" s="142"/>
      <c r="Z99" s="143"/>
      <c r="AA99" s="136"/>
      <c r="AB99" s="136" t="s">
        <v>1566</v>
      </c>
      <c r="AC99" s="128" t="s">
        <v>1566</v>
      </c>
      <c r="AD99" s="135"/>
      <c r="AE99" s="127" t="s">
        <v>1566</v>
      </c>
      <c r="AF99" s="127"/>
      <c r="AG99" s="130"/>
      <c r="AH99" s="130" t="str">
        <f t="shared" si="118"/>
        <v xml:space="preserve"> </v>
      </c>
      <c r="AI99" s="130" t="str">
        <f t="shared" si="119"/>
        <v xml:space="preserve"> </v>
      </c>
      <c r="AJ99" s="144" t="str">
        <f t="shared" si="120"/>
        <v xml:space="preserve"> </v>
      </c>
      <c r="AK99" s="128">
        <f t="shared" si="121"/>
        <v>0</v>
      </c>
      <c r="AL99" s="128" t="str">
        <f t="shared" si="122"/>
        <v xml:space="preserve"> </v>
      </c>
      <c r="AM99" s="128" t="str">
        <f t="shared" si="123"/>
        <v xml:space="preserve"> </v>
      </c>
      <c r="AN99" s="130" t="str">
        <f t="shared" si="124"/>
        <v xml:space="preserve"> </v>
      </c>
      <c r="AO99" s="130"/>
      <c r="AP99" s="130"/>
    </row>
    <row r="100" spans="1:42">
      <c r="A100" s="131" t="s">
        <v>147</v>
      </c>
      <c r="B100" s="132">
        <v>5</v>
      </c>
      <c r="C100" s="118" t="s">
        <v>128</v>
      </c>
      <c r="D100" s="118">
        <v>2017</v>
      </c>
      <c r="E100" s="133">
        <v>0</v>
      </c>
      <c r="F100" s="133">
        <v>0</v>
      </c>
      <c r="G100" s="133">
        <v>0</v>
      </c>
      <c r="H100" s="134">
        <v>7</v>
      </c>
      <c r="I100" s="133">
        <v>7</v>
      </c>
      <c r="J100" s="135"/>
      <c r="K100" s="136">
        <f t="shared" ref="K100:N100" si="249">K97*4</f>
        <v>68</v>
      </c>
      <c r="L100" s="136">
        <f t="shared" si="249"/>
        <v>32</v>
      </c>
      <c r="M100" s="137">
        <f t="shared" si="249"/>
        <v>80</v>
      </c>
      <c r="N100" s="136">
        <f t="shared" si="249"/>
        <v>180</v>
      </c>
      <c r="O100" s="145"/>
      <c r="P100" s="136">
        <f t="shared" si="243"/>
        <v>1</v>
      </c>
      <c r="Q100" s="136">
        <f t="shared" ref="Q100:S100" si="250">G100+Q99</f>
        <v>8</v>
      </c>
      <c r="R100" s="137">
        <f t="shared" si="250"/>
        <v>21</v>
      </c>
      <c r="S100" s="136">
        <f t="shared" si="250"/>
        <v>30</v>
      </c>
      <c r="T100" s="139"/>
      <c r="U100" s="140">
        <f t="shared" ref="U100:X100" si="251">P100/K100</f>
        <v>1.4705882352941176E-2</v>
      </c>
      <c r="V100" s="140">
        <f t="shared" si="251"/>
        <v>0.25</v>
      </c>
      <c r="W100" s="141">
        <f t="shared" si="251"/>
        <v>0.26250000000000001</v>
      </c>
      <c r="X100" s="140">
        <f t="shared" si="251"/>
        <v>0.16666666666666666</v>
      </c>
      <c r="Y100" s="142"/>
      <c r="Z100" s="143"/>
      <c r="AA100" s="136"/>
      <c r="AB100" s="136" t="s">
        <v>1566</v>
      </c>
      <c r="AC100" s="128" t="s">
        <v>1566</v>
      </c>
      <c r="AD100" s="135"/>
      <c r="AE100" s="127" t="s">
        <v>1566</v>
      </c>
      <c r="AF100" s="127"/>
      <c r="AG100" s="130"/>
      <c r="AH100" s="130" t="str">
        <f t="shared" si="118"/>
        <v xml:space="preserve"> </v>
      </c>
      <c r="AI100" s="130" t="str">
        <f t="shared" si="119"/>
        <v xml:space="preserve"> </v>
      </c>
      <c r="AJ100" s="144" t="str">
        <f t="shared" si="120"/>
        <v xml:space="preserve"> </v>
      </c>
      <c r="AK100" s="128" t="str">
        <f t="shared" si="121"/>
        <v xml:space="preserve"> </v>
      </c>
      <c r="AL100" s="128">
        <f t="shared" si="122"/>
        <v>0</v>
      </c>
      <c r="AM100" s="128" t="str">
        <f t="shared" si="123"/>
        <v xml:space="preserve"> </v>
      </c>
      <c r="AN100" s="130" t="str">
        <f t="shared" si="124"/>
        <v xml:space="preserve"> </v>
      </c>
      <c r="AO100" s="130"/>
      <c r="AP100" s="130"/>
    </row>
    <row r="101" spans="1:42">
      <c r="A101" s="131" t="s">
        <v>147</v>
      </c>
      <c r="B101" s="132">
        <v>5</v>
      </c>
      <c r="C101" s="118" t="s">
        <v>128</v>
      </c>
      <c r="D101" s="118">
        <v>2018</v>
      </c>
      <c r="E101" s="133">
        <v>0</v>
      </c>
      <c r="F101" s="133">
        <v>0</v>
      </c>
      <c r="G101" s="133">
        <v>0</v>
      </c>
      <c r="H101" s="134">
        <v>1</v>
      </c>
      <c r="I101" s="133">
        <v>1</v>
      </c>
      <c r="J101" s="135"/>
      <c r="K101" s="136">
        <f t="shared" ref="K101:N101" si="252">K97*5</f>
        <v>85</v>
      </c>
      <c r="L101" s="136">
        <f t="shared" si="252"/>
        <v>40</v>
      </c>
      <c r="M101" s="137">
        <f t="shared" si="252"/>
        <v>100</v>
      </c>
      <c r="N101" s="136">
        <f t="shared" si="252"/>
        <v>225</v>
      </c>
      <c r="O101" s="145"/>
      <c r="P101" s="136">
        <f t="shared" si="243"/>
        <v>1</v>
      </c>
      <c r="Q101" s="136">
        <f t="shared" ref="Q101:S101" si="253">G101+Q100</f>
        <v>8</v>
      </c>
      <c r="R101" s="137">
        <f t="shared" si="253"/>
        <v>22</v>
      </c>
      <c r="S101" s="136">
        <f t="shared" si="253"/>
        <v>31</v>
      </c>
      <c r="T101" s="139"/>
      <c r="U101" s="140">
        <f t="shared" ref="U101:X101" si="254">P101/K101</f>
        <v>1.1764705882352941E-2</v>
      </c>
      <c r="V101" s="140">
        <f t="shared" si="254"/>
        <v>0.2</v>
      </c>
      <c r="W101" s="141">
        <f t="shared" si="254"/>
        <v>0.22</v>
      </c>
      <c r="X101" s="140">
        <f t="shared" si="254"/>
        <v>0.13777777777777778</v>
      </c>
      <c r="Y101" s="142"/>
      <c r="Z101" s="143"/>
      <c r="AA101" s="136"/>
      <c r="AB101" s="136" t="s">
        <v>1566</v>
      </c>
      <c r="AC101" s="128" t="s">
        <v>1566</v>
      </c>
      <c r="AD101" s="135"/>
      <c r="AE101" s="127" t="s">
        <v>1566</v>
      </c>
      <c r="AF101" s="127"/>
      <c r="AG101" s="130"/>
      <c r="AH101" s="130" t="str">
        <f t="shared" si="118"/>
        <v xml:space="preserve"> </v>
      </c>
      <c r="AI101" s="130" t="str">
        <f t="shared" si="119"/>
        <v xml:space="preserve"> </v>
      </c>
      <c r="AJ101" s="144" t="str">
        <f t="shared" si="120"/>
        <v xml:space="preserve"> </v>
      </c>
      <c r="AK101" s="128" t="str">
        <f t="shared" si="121"/>
        <v xml:space="preserve"> </v>
      </c>
      <c r="AL101" s="128" t="str">
        <f t="shared" si="122"/>
        <v xml:space="preserve"> </v>
      </c>
      <c r="AM101" s="128">
        <f t="shared" si="123"/>
        <v>0</v>
      </c>
      <c r="AN101" s="130" t="str">
        <f t="shared" si="124"/>
        <v xml:space="preserve"> </v>
      </c>
      <c r="AO101" s="130"/>
      <c r="AP101" s="130"/>
    </row>
    <row r="102" spans="1:42">
      <c r="A102" s="131" t="s">
        <v>147</v>
      </c>
      <c r="B102" s="132">
        <v>5</v>
      </c>
      <c r="C102" s="118" t="s">
        <v>128</v>
      </c>
      <c r="D102" s="118">
        <v>2019</v>
      </c>
      <c r="E102" s="118">
        <v>0</v>
      </c>
      <c r="F102" s="118">
        <v>5</v>
      </c>
      <c r="G102" s="118">
        <v>0</v>
      </c>
      <c r="H102" s="150">
        <v>23</v>
      </c>
      <c r="I102" s="133">
        <f>F102+E102+G102+H102</f>
        <v>28</v>
      </c>
      <c r="J102" s="135"/>
      <c r="K102" s="136">
        <f t="shared" ref="K102:N102" si="255">K97*6</f>
        <v>102</v>
      </c>
      <c r="L102" s="136">
        <f t="shared" si="255"/>
        <v>48</v>
      </c>
      <c r="M102" s="137">
        <f t="shared" si="255"/>
        <v>120</v>
      </c>
      <c r="N102" s="136">
        <f t="shared" si="255"/>
        <v>270</v>
      </c>
      <c r="O102" s="135"/>
      <c r="P102" s="136">
        <f t="shared" si="243"/>
        <v>6</v>
      </c>
      <c r="Q102" s="136">
        <f t="shared" ref="Q102:S102" si="256">G102+Q101</f>
        <v>8</v>
      </c>
      <c r="R102" s="137">
        <f t="shared" si="256"/>
        <v>45</v>
      </c>
      <c r="S102" s="136">
        <f t="shared" si="256"/>
        <v>59</v>
      </c>
      <c r="T102" s="139"/>
      <c r="U102" s="140">
        <f t="shared" ref="U102:X102" si="257">P102/K102</f>
        <v>5.8823529411764705E-2</v>
      </c>
      <c r="V102" s="140">
        <f t="shared" si="257"/>
        <v>0.16666666666666666</v>
      </c>
      <c r="W102" s="141">
        <f t="shared" si="257"/>
        <v>0.375</v>
      </c>
      <c r="X102" s="140">
        <f t="shared" si="257"/>
        <v>0.21851851851851853</v>
      </c>
      <c r="Y102" s="146" t="s">
        <v>147</v>
      </c>
      <c r="Z102" s="143"/>
      <c r="AA102" s="138">
        <v>225</v>
      </c>
      <c r="AB102" s="136">
        <v>270</v>
      </c>
      <c r="AC102" s="128">
        <v>59</v>
      </c>
      <c r="AD102" s="135"/>
      <c r="AE102" s="127">
        <f>N97</f>
        <v>45</v>
      </c>
      <c r="AF102" s="127"/>
      <c r="AG102" s="130"/>
      <c r="AH102" s="130" t="str">
        <f t="shared" si="118"/>
        <v xml:space="preserve"> </v>
      </c>
      <c r="AI102" s="130" t="str">
        <f t="shared" si="119"/>
        <v xml:space="preserve"> </v>
      </c>
      <c r="AJ102" s="144" t="str">
        <f t="shared" si="120"/>
        <v xml:space="preserve"> </v>
      </c>
      <c r="AK102" s="128" t="str">
        <f t="shared" si="121"/>
        <v xml:space="preserve"> </v>
      </c>
      <c r="AL102" s="128" t="str">
        <f t="shared" si="122"/>
        <v xml:space="preserve"> </v>
      </c>
      <c r="AM102" s="128" t="str">
        <f t="shared" si="123"/>
        <v xml:space="preserve"> </v>
      </c>
      <c r="AN102" s="130">
        <f t="shared" si="124"/>
        <v>5</v>
      </c>
      <c r="AO102" s="130"/>
      <c r="AP102" s="130"/>
    </row>
    <row r="103" spans="1:42">
      <c r="A103" s="131"/>
      <c r="B103" s="132"/>
      <c r="C103" s="118"/>
      <c r="D103" s="118"/>
      <c r="E103" s="133"/>
      <c r="F103" s="133"/>
      <c r="G103" s="133"/>
      <c r="H103" s="134"/>
      <c r="I103" s="133"/>
      <c r="J103" s="135"/>
      <c r="K103" s="136"/>
      <c r="L103" s="136"/>
      <c r="M103" s="137"/>
      <c r="N103" s="136"/>
      <c r="O103" s="135"/>
      <c r="P103" s="136"/>
      <c r="Q103" s="136"/>
      <c r="R103" s="137"/>
      <c r="S103" s="136"/>
      <c r="T103" s="139"/>
      <c r="U103" s="140"/>
      <c r="V103" s="140"/>
      <c r="W103" s="141"/>
      <c r="X103" s="140"/>
      <c r="Y103" s="142"/>
      <c r="Z103" s="143"/>
      <c r="AA103" s="136"/>
      <c r="AB103" s="136" t="s">
        <v>1566</v>
      </c>
      <c r="AC103" s="128" t="s">
        <v>1566</v>
      </c>
      <c r="AD103" s="135"/>
      <c r="AE103" s="127" t="s">
        <v>1566</v>
      </c>
      <c r="AF103" s="127"/>
      <c r="AG103" s="130"/>
      <c r="AH103" s="130" t="str">
        <f t="shared" si="118"/>
        <v xml:space="preserve"> </v>
      </c>
      <c r="AI103" s="130" t="str">
        <f t="shared" si="119"/>
        <v xml:space="preserve"> </v>
      </c>
      <c r="AJ103" s="144" t="str">
        <f t="shared" si="120"/>
        <v xml:space="preserve"> </v>
      </c>
      <c r="AK103" s="128" t="str">
        <f t="shared" si="121"/>
        <v xml:space="preserve"> </v>
      </c>
      <c r="AL103" s="128" t="str">
        <f t="shared" si="122"/>
        <v xml:space="preserve"> </v>
      </c>
      <c r="AM103" s="128" t="str">
        <f t="shared" si="123"/>
        <v xml:space="preserve"> </v>
      </c>
      <c r="AN103" s="130" t="str">
        <f t="shared" si="124"/>
        <v xml:space="preserve"> </v>
      </c>
      <c r="AO103" s="130"/>
      <c r="AP103" s="130"/>
    </row>
    <row r="104" spans="1:42">
      <c r="A104" s="131" t="s">
        <v>148</v>
      </c>
      <c r="B104" s="132">
        <v>8</v>
      </c>
      <c r="C104" s="118" t="s">
        <v>142</v>
      </c>
      <c r="D104" s="118">
        <v>2015</v>
      </c>
      <c r="E104" s="133">
        <v>0</v>
      </c>
      <c r="F104" s="133">
        <v>34</v>
      </c>
      <c r="G104" s="133">
        <v>62</v>
      </c>
      <c r="H104" s="134">
        <v>48</v>
      </c>
      <c r="I104" s="133">
        <f>E104+F104+G104+H104</f>
        <v>144</v>
      </c>
      <c r="J104" s="135"/>
      <c r="K104" s="136"/>
      <c r="L104" s="136"/>
      <c r="M104" s="137"/>
      <c r="N104" s="136"/>
      <c r="O104" s="135"/>
      <c r="P104" s="136">
        <f>E104+F104</f>
        <v>34</v>
      </c>
      <c r="Q104" s="136">
        <f t="shared" ref="Q104:S104" si="258">G104</f>
        <v>62</v>
      </c>
      <c r="R104" s="137">
        <f t="shared" si="258"/>
        <v>48</v>
      </c>
      <c r="S104" s="136">
        <f t="shared" si="258"/>
        <v>144</v>
      </c>
      <c r="T104" s="139"/>
      <c r="U104" s="140">
        <f t="shared" ref="U104:X104" si="259">P104/K105</f>
        <v>9.9241097489784005E-3</v>
      </c>
      <c r="V104" s="140">
        <f t="shared" si="259"/>
        <v>4.4159544159544158E-2</v>
      </c>
      <c r="W104" s="141">
        <f t="shared" si="259"/>
        <v>1.3226784238082117E-2</v>
      </c>
      <c r="X104" s="140">
        <f t="shared" si="259"/>
        <v>1.7023288804823265E-2</v>
      </c>
      <c r="Y104" s="142"/>
      <c r="Z104" s="143"/>
      <c r="AA104" s="136"/>
      <c r="AB104" s="136"/>
      <c r="AC104" s="128"/>
      <c r="AD104" s="135"/>
      <c r="AE104" s="127"/>
      <c r="AF104" s="127"/>
      <c r="AG104" s="130"/>
      <c r="AH104" s="130" t="str">
        <f t="shared" si="118"/>
        <v xml:space="preserve"> </v>
      </c>
      <c r="AI104" s="130" t="str">
        <f t="shared" si="119"/>
        <v xml:space="preserve"> </v>
      </c>
      <c r="AJ104" s="130">
        <f t="shared" si="120"/>
        <v>34</v>
      </c>
      <c r="AK104" s="128" t="str">
        <f t="shared" si="121"/>
        <v xml:space="preserve"> </v>
      </c>
      <c r="AL104" s="128" t="str">
        <f t="shared" si="122"/>
        <v xml:space="preserve"> </v>
      </c>
      <c r="AM104" s="128" t="str">
        <f t="shared" si="123"/>
        <v xml:space="preserve"> </v>
      </c>
      <c r="AN104" s="130" t="str">
        <f t="shared" si="124"/>
        <v xml:space="preserve"> </v>
      </c>
      <c r="AO104" s="130"/>
      <c r="AP104" s="130"/>
    </row>
    <row r="105" spans="1:42">
      <c r="A105" s="131" t="s">
        <v>148</v>
      </c>
      <c r="B105" s="132">
        <v>8</v>
      </c>
      <c r="C105" s="118" t="s">
        <v>142</v>
      </c>
      <c r="D105" s="118">
        <v>2016</v>
      </c>
      <c r="E105" s="133">
        <v>109</v>
      </c>
      <c r="F105" s="133">
        <v>103</v>
      </c>
      <c r="G105" s="133">
        <v>83</v>
      </c>
      <c r="H105" s="134">
        <v>98</v>
      </c>
      <c r="I105" s="133">
        <v>393</v>
      </c>
      <c r="J105" s="135"/>
      <c r="K105" s="136">
        <v>3426</v>
      </c>
      <c r="L105" s="136">
        <f>ROUND('HCD Assigned 5th Cycle RHNA'!F453/B105,0)</f>
        <v>1404</v>
      </c>
      <c r="M105" s="137">
        <f>ROUND(29034/8,0)</f>
        <v>3629</v>
      </c>
      <c r="N105" s="136">
        <f>ROUND(67673/8,0)</f>
        <v>8459</v>
      </c>
      <c r="O105" s="135"/>
      <c r="P105" s="136">
        <f t="shared" ref="P105:P108" si="260">E105+F105+P104</f>
        <v>246</v>
      </c>
      <c r="Q105" s="136">
        <f t="shared" ref="Q105:S105" si="261">G105+Q104</f>
        <v>145</v>
      </c>
      <c r="R105" s="137">
        <f t="shared" si="261"/>
        <v>146</v>
      </c>
      <c r="S105" s="136">
        <f t="shared" si="261"/>
        <v>537</v>
      </c>
      <c r="T105" s="139"/>
      <c r="U105" s="140">
        <f t="shared" ref="U105:X105" si="262">P105/K105</f>
        <v>7.1803852889667244E-2</v>
      </c>
      <c r="V105" s="140">
        <f t="shared" si="262"/>
        <v>0.10327635327635327</v>
      </c>
      <c r="W105" s="141">
        <f t="shared" si="262"/>
        <v>4.0231468724166435E-2</v>
      </c>
      <c r="X105" s="140">
        <f t="shared" si="262"/>
        <v>6.3482681167986763E-2</v>
      </c>
      <c r="Y105" s="142"/>
      <c r="Z105" s="143"/>
      <c r="AA105" s="136"/>
      <c r="AB105" s="136" t="s">
        <v>1566</v>
      </c>
      <c r="AC105" s="128" t="s">
        <v>1566</v>
      </c>
      <c r="AD105" s="135"/>
      <c r="AE105" s="127"/>
      <c r="AF105" s="127"/>
      <c r="AG105" s="130"/>
      <c r="AH105" s="130" t="str">
        <f t="shared" si="118"/>
        <v xml:space="preserve"> </v>
      </c>
      <c r="AI105" s="130" t="str">
        <f t="shared" si="119"/>
        <v xml:space="preserve"> </v>
      </c>
      <c r="AJ105" s="144" t="str">
        <f t="shared" si="120"/>
        <v xml:space="preserve"> </v>
      </c>
      <c r="AK105" s="128">
        <f t="shared" si="121"/>
        <v>212</v>
      </c>
      <c r="AL105" s="128" t="str">
        <f t="shared" si="122"/>
        <v xml:space="preserve"> </v>
      </c>
      <c r="AM105" s="128" t="str">
        <f t="shared" si="123"/>
        <v xml:space="preserve"> </v>
      </c>
      <c r="AN105" s="130" t="str">
        <f t="shared" si="124"/>
        <v xml:space="preserve"> </v>
      </c>
      <c r="AO105" s="130"/>
      <c r="AP105" s="130"/>
    </row>
    <row r="106" spans="1:42">
      <c r="A106" s="131" t="s">
        <v>148</v>
      </c>
      <c r="B106" s="132">
        <v>8</v>
      </c>
      <c r="C106" s="118" t="s">
        <v>142</v>
      </c>
      <c r="D106" s="118">
        <v>2017</v>
      </c>
      <c r="E106" s="133">
        <v>182</v>
      </c>
      <c r="F106" s="133">
        <v>119</v>
      </c>
      <c r="G106" s="133">
        <v>4505</v>
      </c>
      <c r="H106" s="134">
        <v>3232</v>
      </c>
      <c r="I106" s="133">
        <v>8038</v>
      </c>
      <c r="J106" s="135"/>
      <c r="K106" s="136">
        <f t="shared" ref="K106:N106" si="263">K105*2</f>
        <v>6852</v>
      </c>
      <c r="L106" s="136">
        <f t="shared" si="263"/>
        <v>2808</v>
      </c>
      <c r="M106" s="137">
        <f t="shared" si="263"/>
        <v>7258</v>
      </c>
      <c r="N106" s="136">
        <f t="shared" si="263"/>
        <v>16918</v>
      </c>
      <c r="O106" s="135"/>
      <c r="P106" s="136">
        <f t="shared" si="260"/>
        <v>547</v>
      </c>
      <c r="Q106" s="136">
        <f t="shared" ref="Q106:S106" si="264">G106+Q105</f>
        <v>4650</v>
      </c>
      <c r="R106" s="137">
        <f t="shared" si="264"/>
        <v>3378</v>
      </c>
      <c r="S106" s="136">
        <f t="shared" si="264"/>
        <v>8575</v>
      </c>
      <c r="T106" s="139"/>
      <c r="U106" s="140">
        <f t="shared" ref="U106:X106" si="265">P106/K106</f>
        <v>7.9830706363105658E-2</v>
      </c>
      <c r="V106" s="140">
        <f t="shared" si="265"/>
        <v>1.6559829059829059</v>
      </c>
      <c r="W106" s="141">
        <f t="shared" si="265"/>
        <v>0.46541747037751446</v>
      </c>
      <c r="X106" s="140">
        <f t="shared" si="265"/>
        <v>0.50685660243527608</v>
      </c>
      <c r="Y106" s="142"/>
      <c r="Z106" s="143"/>
      <c r="AA106" s="136"/>
      <c r="AB106" s="136" t="s">
        <v>1566</v>
      </c>
      <c r="AC106" s="128" t="s">
        <v>1566</v>
      </c>
      <c r="AD106" s="135"/>
      <c r="AE106" s="127" t="s">
        <v>1566</v>
      </c>
      <c r="AF106" s="127"/>
      <c r="AG106" s="130"/>
      <c r="AH106" s="130" t="str">
        <f t="shared" si="118"/>
        <v xml:space="preserve"> </v>
      </c>
      <c r="AI106" s="130" t="str">
        <f t="shared" si="119"/>
        <v xml:space="preserve"> </v>
      </c>
      <c r="AJ106" s="144" t="str">
        <f t="shared" si="120"/>
        <v xml:space="preserve"> </v>
      </c>
      <c r="AK106" s="128" t="str">
        <f t="shared" si="121"/>
        <v xml:space="preserve"> </v>
      </c>
      <c r="AL106" s="128">
        <f t="shared" si="122"/>
        <v>301</v>
      </c>
      <c r="AM106" s="128" t="str">
        <f t="shared" si="123"/>
        <v xml:space="preserve"> </v>
      </c>
      <c r="AN106" s="130" t="str">
        <f t="shared" si="124"/>
        <v xml:space="preserve"> </v>
      </c>
      <c r="AO106" s="130"/>
      <c r="AP106" s="130"/>
    </row>
    <row r="107" spans="1:42">
      <c r="A107" s="131" t="s">
        <v>148</v>
      </c>
      <c r="B107" s="132">
        <v>8</v>
      </c>
      <c r="C107" s="118" t="s">
        <v>142</v>
      </c>
      <c r="D107" s="118">
        <v>2018</v>
      </c>
      <c r="E107" s="133">
        <v>0</v>
      </c>
      <c r="F107" s="133">
        <v>1</v>
      </c>
      <c r="G107" s="133">
        <v>105</v>
      </c>
      <c r="H107" s="134">
        <v>1369</v>
      </c>
      <c r="I107" s="133">
        <v>1475</v>
      </c>
      <c r="J107" s="135"/>
      <c r="K107" s="136">
        <f t="shared" ref="K107:N107" si="266">K105*3</f>
        <v>10278</v>
      </c>
      <c r="L107" s="136">
        <f t="shared" si="266"/>
        <v>4212</v>
      </c>
      <c r="M107" s="137">
        <f t="shared" si="266"/>
        <v>10887</v>
      </c>
      <c r="N107" s="136">
        <f t="shared" si="266"/>
        <v>25377</v>
      </c>
      <c r="O107" s="135"/>
      <c r="P107" s="136">
        <f t="shared" si="260"/>
        <v>548</v>
      </c>
      <c r="Q107" s="136">
        <f t="shared" ref="Q107:S107" si="267">G107+Q106</f>
        <v>4755</v>
      </c>
      <c r="R107" s="137">
        <f t="shared" si="267"/>
        <v>4747</v>
      </c>
      <c r="S107" s="136">
        <f t="shared" si="267"/>
        <v>10050</v>
      </c>
      <c r="T107" s="139"/>
      <c r="U107" s="140">
        <f t="shared" ref="U107:X107" si="268">P107/K107</f>
        <v>5.3317766102354544E-2</v>
      </c>
      <c r="V107" s="140">
        <f t="shared" si="268"/>
        <v>1.128917378917379</v>
      </c>
      <c r="W107" s="141">
        <f t="shared" si="268"/>
        <v>0.43602461651510976</v>
      </c>
      <c r="X107" s="140">
        <f t="shared" si="268"/>
        <v>0.39602789927887455</v>
      </c>
      <c r="Y107" s="142"/>
      <c r="Z107" s="143"/>
      <c r="AA107" s="138"/>
      <c r="AB107" s="136" t="s">
        <v>1566</v>
      </c>
      <c r="AC107" s="81"/>
      <c r="AD107" s="135"/>
      <c r="AE107" s="127" t="s">
        <v>1566</v>
      </c>
      <c r="AF107" s="127"/>
      <c r="AG107" s="130"/>
      <c r="AH107" s="130" t="str">
        <f t="shared" si="118"/>
        <v xml:space="preserve"> </v>
      </c>
      <c r="AI107" s="130" t="str">
        <f t="shared" si="119"/>
        <v xml:space="preserve"> </v>
      </c>
      <c r="AJ107" s="144" t="str">
        <f t="shared" si="120"/>
        <v xml:space="preserve"> </v>
      </c>
      <c r="AK107" s="128" t="str">
        <f t="shared" si="121"/>
        <v xml:space="preserve"> </v>
      </c>
      <c r="AL107" s="128" t="str">
        <f t="shared" si="122"/>
        <v xml:space="preserve"> </v>
      </c>
      <c r="AM107" s="128">
        <f t="shared" si="123"/>
        <v>1</v>
      </c>
      <c r="AN107" s="130" t="str">
        <f t="shared" si="124"/>
        <v xml:space="preserve"> </v>
      </c>
      <c r="AO107" s="130"/>
      <c r="AP107" s="130"/>
    </row>
    <row r="108" spans="1:42">
      <c r="A108" s="131" t="s">
        <v>148</v>
      </c>
      <c r="B108" s="132">
        <v>8</v>
      </c>
      <c r="C108" s="118" t="s">
        <v>142</v>
      </c>
      <c r="D108" s="118">
        <v>2019</v>
      </c>
      <c r="E108" s="118">
        <v>3</v>
      </c>
      <c r="F108" s="118">
        <v>114</v>
      </c>
      <c r="G108" s="118">
        <v>307</v>
      </c>
      <c r="H108" s="150">
        <v>1873</v>
      </c>
      <c r="I108" s="133">
        <f>E108+F108+G108+H108</f>
        <v>2297</v>
      </c>
      <c r="J108" s="135"/>
      <c r="K108" s="136">
        <f t="shared" ref="K108:N108" si="269">K105*4</f>
        <v>13704</v>
      </c>
      <c r="L108" s="136">
        <f t="shared" si="269"/>
        <v>5616</v>
      </c>
      <c r="M108" s="137">
        <f t="shared" si="269"/>
        <v>14516</v>
      </c>
      <c r="N108" s="136">
        <f t="shared" si="269"/>
        <v>33836</v>
      </c>
      <c r="O108" s="135"/>
      <c r="P108" s="136">
        <f t="shared" si="260"/>
        <v>665</v>
      </c>
      <c r="Q108" s="136">
        <f t="shared" ref="Q108:S108" si="270">G108+Q107</f>
        <v>5062</v>
      </c>
      <c r="R108" s="137">
        <f t="shared" si="270"/>
        <v>6620</v>
      </c>
      <c r="S108" s="136">
        <f t="shared" si="270"/>
        <v>12347</v>
      </c>
      <c r="T108" s="139"/>
      <c r="U108" s="140">
        <f t="shared" ref="U108:X108" si="271">P108/K108</f>
        <v>4.8525977816695855E-2</v>
      </c>
      <c r="V108" s="140">
        <f t="shared" si="271"/>
        <v>0.90135327635327633</v>
      </c>
      <c r="W108" s="141">
        <f t="shared" si="271"/>
        <v>0.45604849820887294</v>
      </c>
      <c r="X108" s="140">
        <f t="shared" si="271"/>
        <v>0.36490719943255706</v>
      </c>
      <c r="Y108" s="146" t="s">
        <v>148</v>
      </c>
      <c r="Z108" s="143"/>
      <c r="AA108" s="138">
        <v>67673</v>
      </c>
      <c r="AB108" s="136">
        <v>33836</v>
      </c>
      <c r="AC108" s="81"/>
      <c r="AD108" s="135"/>
      <c r="AE108" s="127">
        <f>N105</f>
        <v>8459</v>
      </c>
      <c r="AF108" s="127"/>
      <c r="AG108" s="130"/>
      <c r="AH108" s="130" t="str">
        <f t="shared" si="118"/>
        <v xml:space="preserve"> </v>
      </c>
      <c r="AI108" s="130" t="str">
        <f t="shared" si="119"/>
        <v xml:space="preserve"> </v>
      </c>
      <c r="AJ108" s="144" t="str">
        <f t="shared" si="120"/>
        <v xml:space="preserve"> </v>
      </c>
      <c r="AK108" s="128" t="str">
        <f t="shared" si="121"/>
        <v xml:space="preserve"> </v>
      </c>
      <c r="AL108" s="128" t="str">
        <f t="shared" si="122"/>
        <v xml:space="preserve"> </v>
      </c>
      <c r="AM108" s="128" t="str">
        <f t="shared" si="123"/>
        <v xml:space="preserve"> </v>
      </c>
      <c r="AN108" s="130">
        <f t="shared" si="124"/>
        <v>117</v>
      </c>
      <c r="AO108" s="130"/>
      <c r="AP108" s="130"/>
    </row>
    <row r="109" spans="1:42">
      <c r="A109" s="131"/>
      <c r="B109" s="132"/>
      <c r="C109" s="118"/>
      <c r="D109" s="118"/>
      <c r="E109" s="133"/>
      <c r="F109" s="133"/>
      <c r="G109" s="133"/>
      <c r="H109" s="134"/>
      <c r="I109" s="133"/>
      <c r="J109" s="135"/>
      <c r="K109" s="136"/>
      <c r="L109" s="136"/>
      <c r="M109" s="137"/>
      <c r="N109" s="136"/>
      <c r="O109" s="135"/>
      <c r="P109" s="136"/>
      <c r="Q109" s="136"/>
      <c r="R109" s="137"/>
      <c r="S109" s="136"/>
      <c r="T109" s="139"/>
      <c r="U109" s="140"/>
      <c r="V109" s="140"/>
      <c r="W109" s="141"/>
      <c r="X109" s="140"/>
      <c r="Y109" s="142"/>
      <c r="Z109" s="143"/>
      <c r="AA109" s="136"/>
      <c r="AB109" s="136" t="s">
        <v>1566</v>
      </c>
      <c r="AC109" s="81"/>
      <c r="AD109" s="135"/>
      <c r="AE109" s="127" t="s">
        <v>1566</v>
      </c>
      <c r="AF109" s="127"/>
      <c r="AG109" s="130"/>
      <c r="AH109" s="130" t="str">
        <f t="shared" si="118"/>
        <v xml:space="preserve"> </v>
      </c>
      <c r="AI109" s="130" t="str">
        <f t="shared" si="119"/>
        <v xml:space="preserve"> </v>
      </c>
      <c r="AJ109" s="144" t="str">
        <f t="shared" si="120"/>
        <v xml:space="preserve"> </v>
      </c>
      <c r="AK109" s="128" t="str">
        <f t="shared" si="121"/>
        <v xml:space="preserve"> </v>
      </c>
      <c r="AL109" s="128" t="str">
        <f t="shared" si="122"/>
        <v xml:space="preserve"> </v>
      </c>
      <c r="AM109" s="128" t="str">
        <f t="shared" si="123"/>
        <v xml:space="preserve"> </v>
      </c>
      <c r="AN109" s="130" t="str">
        <f t="shared" si="124"/>
        <v xml:space="preserve"> </v>
      </c>
      <c r="AO109" s="130"/>
      <c r="AP109" s="130"/>
    </row>
    <row r="110" spans="1:42">
      <c r="A110" s="131" t="s">
        <v>149</v>
      </c>
      <c r="B110" s="132">
        <v>8</v>
      </c>
      <c r="C110" s="118" t="s">
        <v>150</v>
      </c>
      <c r="D110" s="118">
        <v>2017</v>
      </c>
      <c r="E110" s="133">
        <v>0</v>
      </c>
      <c r="F110" s="133">
        <v>10</v>
      </c>
      <c r="G110" s="133">
        <v>7</v>
      </c>
      <c r="H110" s="134">
        <v>8</v>
      </c>
      <c r="I110" s="133">
        <v>25</v>
      </c>
      <c r="J110" s="135"/>
      <c r="K110" s="136">
        <v>507</v>
      </c>
      <c r="L110" s="136">
        <f>ROUND('HCD Assigned 5th Cycle RHNA'!F482/B110,0)</f>
        <v>229</v>
      </c>
      <c r="M110" s="137">
        <f>ROUND(4335/8,0)</f>
        <v>542</v>
      </c>
      <c r="N110" s="136">
        <f>ROUND(10220/8,0)</f>
        <v>1278</v>
      </c>
      <c r="O110" s="135"/>
      <c r="P110" s="136">
        <f>E110+F110</f>
        <v>10</v>
      </c>
      <c r="Q110" s="136">
        <f t="shared" ref="Q110:S110" si="272">G110</f>
        <v>7</v>
      </c>
      <c r="R110" s="137">
        <f t="shared" si="272"/>
        <v>8</v>
      </c>
      <c r="S110" s="136">
        <f t="shared" si="272"/>
        <v>25</v>
      </c>
      <c r="T110" s="139"/>
      <c r="U110" s="140">
        <f t="shared" ref="U110:X110" si="273">P110/K110</f>
        <v>1.9723865877712032E-2</v>
      </c>
      <c r="V110" s="140">
        <f t="shared" si="273"/>
        <v>3.0567685589519649E-2</v>
      </c>
      <c r="W110" s="141">
        <f t="shared" si="273"/>
        <v>1.4760147601476014E-2</v>
      </c>
      <c r="X110" s="140">
        <f t="shared" si="273"/>
        <v>1.9561815336463225E-2</v>
      </c>
      <c r="Y110" s="142"/>
      <c r="Z110" s="143"/>
      <c r="AA110" s="136"/>
      <c r="AB110" s="136" t="s">
        <v>1566</v>
      </c>
      <c r="AC110" s="81"/>
      <c r="AD110" s="135"/>
      <c r="AE110" s="127" t="s">
        <v>1566</v>
      </c>
      <c r="AF110" s="127"/>
      <c r="AG110" s="130"/>
      <c r="AH110" s="130" t="str">
        <f t="shared" si="118"/>
        <v xml:space="preserve"> </v>
      </c>
      <c r="AI110" s="130" t="str">
        <f t="shared" si="119"/>
        <v xml:space="preserve"> </v>
      </c>
      <c r="AJ110" s="144" t="str">
        <f t="shared" si="120"/>
        <v xml:space="preserve"> </v>
      </c>
      <c r="AK110" s="128" t="str">
        <f t="shared" si="121"/>
        <v xml:space="preserve"> </v>
      </c>
      <c r="AL110" s="128">
        <f t="shared" si="122"/>
        <v>10</v>
      </c>
      <c r="AM110" s="128" t="str">
        <f t="shared" si="123"/>
        <v xml:space="preserve"> </v>
      </c>
      <c r="AN110" s="130" t="str">
        <f t="shared" si="124"/>
        <v xml:space="preserve"> </v>
      </c>
      <c r="AO110" s="130"/>
      <c r="AP110" s="130"/>
    </row>
    <row r="111" spans="1:42">
      <c r="A111" s="131" t="s">
        <v>149</v>
      </c>
      <c r="B111" s="132">
        <v>8</v>
      </c>
      <c r="C111" s="118" t="s">
        <v>150</v>
      </c>
      <c r="D111" s="118">
        <v>2018</v>
      </c>
      <c r="E111" s="133">
        <v>0</v>
      </c>
      <c r="F111" s="133">
        <v>47</v>
      </c>
      <c r="G111" s="133">
        <v>16</v>
      </c>
      <c r="H111" s="134">
        <v>210</v>
      </c>
      <c r="I111" s="133">
        <v>273</v>
      </c>
      <c r="J111" s="135"/>
      <c r="K111" s="136">
        <f t="shared" ref="K111:N111" si="274">K110*2</f>
        <v>1014</v>
      </c>
      <c r="L111" s="136">
        <f t="shared" si="274"/>
        <v>458</v>
      </c>
      <c r="M111" s="137">
        <f t="shared" si="274"/>
        <v>1084</v>
      </c>
      <c r="N111" s="136">
        <f t="shared" si="274"/>
        <v>2556</v>
      </c>
      <c r="O111" s="135"/>
      <c r="P111" s="136">
        <f t="shared" ref="P111:P112" si="275">E111+F111+P110</f>
        <v>57</v>
      </c>
      <c r="Q111" s="136">
        <f t="shared" ref="Q111:S111" si="276">G111+Q110</f>
        <v>23</v>
      </c>
      <c r="R111" s="137">
        <f t="shared" si="276"/>
        <v>218</v>
      </c>
      <c r="S111" s="136">
        <f t="shared" si="276"/>
        <v>298</v>
      </c>
      <c r="T111" s="139"/>
      <c r="U111" s="140">
        <f t="shared" ref="U111:X111" si="277">P111/K111</f>
        <v>5.6213017751479293E-2</v>
      </c>
      <c r="V111" s="140">
        <f t="shared" si="277"/>
        <v>5.0218340611353711E-2</v>
      </c>
      <c r="W111" s="141">
        <f t="shared" si="277"/>
        <v>0.2011070110701107</v>
      </c>
      <c r="X111" s="140">
        <f t="shared" si="277"/>
        <v>0.11658841940532082</v>
      </c>
      <c r="Y111" s="142"/>
      <c r="Z111" s="143"/>
      <c r="AA111" s="136"/>
      <c r="AB111" s="136" t="s">
        <v>1566</v>
      </c>
      <c r="AC111" s="81"/>
      <c r="AD111" s="135"/>
      <c r="AE111" s="127"/>
      <c r="AF111" s="127"/>
      <c r="AG111" s="130"/>
      <c r="AH111" s="130" t="str">
        <f t="shared" si="118"/>
        <v xml:space="preserve"> </v>
      </c>
      <c r="AI111" s="130" t="str">
        <f t="shared" si="119"/>
        <v xml:space="preserve"> </v>
      </c>
      <c r="AJ111" s="144" t="str">
        <f t="shared" si="120"/>
        <v xml:space="preserve"> </v>
      </c>
      <c r="AK111" s="128" t="str">
        <f t="shared" si="121"/>
        <v xml:space="preserve"> </v>
      </c>
      <c r="AL111" s="128" t="str">
        <f t="shared" si="122"/>
        <v xml:space="preserve"> </v>
      </c>
      <c r="AM111" s="128">
        <f t="shared" si="123"/>
        <v>47</v>
      </c>
      <c r="AN111" s="130" t="str">
        <f t="shared" si="124"/>
        <v xml:space="preserve"> </v>
      </c>
      <c r="AO111" s="130"/>
      <c r="AP111" s="130"/>
    </row>
    <row r="112" spans="1:42">
      <c r="A112" s="131" t="s">
        <v>149</v>
      </c>
      <c r="B112" s="132">
        <v>8</v>
      </c>
      <c r="C112" s="118" t="s">
        <v>150</v>
      </c>
      <c r="D112" s="118">
        <v>2019</v>
      </c>
      <c r="E112" s="133">
        <v>0</v>
      </c>
      <c r="F112" s="133">
        <v>13</v>
      </c>
      <c r="G112" s="133">
        <v>69</v>
      </c>
      <c r="H112" s="134">
        <v>341</v>
      </c>
      <c r="I112" s="133">
        <f>E112+F112+G112+H112</f>
        <v>423</v>
      </c>
      <c r="J112" s="135"/>
      <c r="K112" s="136">
        <f t="shared" ref="K112:N112" si="278">K110*3</f>
        <v>1521</v>
      </c>
      <c r="L112" s="136">
        <f t="shared" si="278"/>
        <v>687</v>
      </c>
      <c r="M112" s="137">
        <f t="shared" si="278"/>
        <v>1626</v>
      </c>
      <c r="N112" s="136">
        <f t="shared" si="278"/>
        <v>3834</v>
      </c>
      <c r="O112" s="135"/>
      <c r="P112" s="136">
        <f t="shared" si="275"/>
        <v>70</v>
      </c>
      <c r="Q112" s="136">
        <f t="shared" ref="Q112:S112" si="279">G112+Q111</f>
        <v>92</v>
      </c>
      <c r="R112" s="137">
        <f t="shared" si="279"/>
        <v>559</v>
      </c>
      <c r="S112" s="136">
        <f t="shared" si="279"/>
        <v>721</v>
      </c>
      <c r="T112" s="139"/>
      <c r="U112" s="140">
        <f t="shared" ref="U112:X112" si="280">P112/K112</f>
        <v>4.6022353714661408E-2</v>
      </c>
      <c r="V112" s="140">
        <f t="shared" si="280"/>
        <v>0.1339155749636099</v>
      </c>
      <c r="W112" s="141">
        <f t="shared" si="280"/>
        <v>0.34378843788437885</v>
      </c>
      <c r="X112" s="140">
        <f t="shared" si="280"/>
        <v>0.18805425143453314</v>
      </c>
      <c r="Y112" s="146" t="s">
        <v>149</v>
      </c>
      <c r="Z112" s="143"/>
      <c r="AA112" s="138">
        <v>10220</v>
      </c>
      <c r="AB112" s="136">
        <v>3834</v>
      </c>
      <c r="AC112" s="81"/>
      <c r="AD112" s="135"/>
      <c r="AE112" s="127">
        <f>N110</f>
        <v>1278</v>
      </c>
      <c r="AF112" s="127"/>
      <c r="AG112" s="130"/>
      <c r="AH112" s="130" t="str">
        <f t="shared" si="118"/>
        <v xml:space="preserve"> </v>
      </c>
      <c r="AI112" s="130" t="str">
        <f t="shared" si="119"/>
        <v xml:space="preserve"> </v>
      </c>
      <c r="AJ112" s="144" t="str">
        <f t="shared" si="120"/>
        <v xml:space="preserve"> </v>
      </c>
      <c r="AK112" s="128" t="str">
        <f t="shared" si="121"/>
        <v xml:space="preserve"> </v>
      </c>
      <c r="AL112" s="128" t="str">
        <f t="shared" si="122"/>
        <v xml:space="preserve"> </v>
      </c>
      <c r="AM112" s="128" t="str">
        <f t="shared" si="123"/>
        <v xml:space="preserve"> </v>
      </c>
      <c r="AN112" s="130">
        <f t="shared" si="124"/>
        <v>13</v>
      </c>
      <c r="AO112" s="130"/>
      <c r="AP112" s="130"/>
    </row>
    <row r="113" spans="1:42">
      <c r="A113" s="131"/>
      <c r="B113" s="132"/>
      <c r="C113" s="118"/>
      <c r="D113" s="118"/>
      <c r="E113" s="133"/>
      <c r="F113" s="133"/>
      <c r="G113" s="133"/>
      <c r="H113" s="134"/>
      <c r="I113" s="133"/>
      <c r="J113" s="135"/>
      <c r="K113" s="136"/>
      <c r="L113" s="136"/>
      <c r="M113" s="137"/>
      <c r="N113" s="136"/>
      <c r="O113" s="135"/>
      <c r="P113" s="136"/>
      <c r="Q113" s="136"/>
      <c r="R113" s="137"/>
      <c r="S113" s="136"/>
      <c r="T113" s="139"/>
      <c r="U113" s="140"/>
      <c r="V113" s="140"/>
      <c r="W113" s="141"/>
      <c r="X113" s="140"/>
      <c r="Y113" s="142"/>
      <c r="Z113" s="143"/>
      <c r="AA113" s="136"/>
      <c r="AB113" s="136" t="s">
        <v>1566</v>
      </c>
      <c r="AC113" s="81"/>
      <c r="AD113" s="135"/>
      <c r="AE113" s="127" t="s">
        <v>1566</v>
      </c>
      <c r="AF113" s="127"/>
      <c r="AG113" s="130"/>
      <c r="AH113" s="130" t="str">
        <f t="shared" si="118"/>
        <v xml:space="preserve"> </v>
      </c>
      <c r="AI113" s="130" t="str">
        <f t="shared" si="119"/>
        <v xml:space="preserve"> </v>
      </c>
      <c r="AJ113" s="144" t="str">
        <f t="shared" si="120"/>
        <v xml:space="preserve"> </v>
      </c>
      <c r="AK113" s="128" t="str">
        <f t="shared" si="121"/>
        <v xml:space="preserve"> </v>
      </c>
      <c r="AL113" s="128" t="str">
        <f t="shared" si="122"/>
        <v xml:space="preserve"> </v>
      </c>
      <c r="AM113" s="128" t="str">
        <f t="shared" si="123"/>
        <v xml:space="preserve"> </v>
      </c>
      <c r="AN113" s="130" t="str">
        <f t="shared" si="124"/>
        <v xml:space="preserve"> </v>
      </c>
      <c r="AO113" s="130"/>
      <c r="AP113" s="130"/>
    </row>
    <row r="114" spans="1:42">
      <c r="A114" s="131" t="s">
        <v>151</v>
      </c>
      <c r="B114" s="132">
        <v>5</v>
      </c>
      <c r="C114" s="118" t="s">
        <v>128</v>
      </c>
      <c r="D114" s="118">
        <v>2015</v>
      </c>
      <c r="E114" s="133">
        <v>1</v>
      </c>
      <c r="F114" s="133">
        <v>0</v>
      </c>
      <c r="G114" s="133">
        <v>0</v>
      </c>
      <c r="H114" s="134">
        <v>1</v>
      </c>
      <c r="I114" s="133">
        <v>2</v>
      </c>
      <c r="J114" s="135"/>
      <c r="K114" s="136">
        <v>166</v>
      </c>
      <c r="L114" s="136">
        <f>ROUND('HCD Assigned 5th Cycle RHNA'!F488/B114,0)</f>
        <v>74</v>
      </c>
      <c r="M114" s="137">
        <f>ROUND(870/5,0)</f>
        <v>174</v>
      </c>
      <c r="N114" s="136">
        <f>ROUND(2070/5,0)</f>
        <v>414</v>
      </c>
      <c r="O114" s="135"/>
      <c r="P114" s="136">
        <f>E114+F114</f>
        <v>1</v>
      </c>
      <c r="Q114" s="136">
        <f t="shared" ref="Q114:S114" si="281">G114</f>
        <v>0</v>
      </c>
      <c r="R114" s="137">
        <f t="shared" si="281"/>
        <v>1</v>
      </c>
      <c r="S114" s="136">
        <f t="shared" si="281"/>
        <v>2</v>
      </c>
      <c r="T114" s="139"/>
      <c r="U114" s="140">
        <f t="shared" ref="U114:X114" si="282">P114/K114</f>
        <v>6.024096385542169E-3</v>
      </c>
      <c r="V114" s="140">
        <f t="shared" si="282"/>
        <v>0</v>
      </c>
      <c r="W114" s="141">
        <f t="shared" si="282"/>
        <v>5.7471264367816091E-3</v>
      </c>
      <c r="X114" s="140">
        <f t="shared" si="282"/>
        <v>4.830917874396135E-3</v>
      </c>
      <c r="Y114" s="142"/>
      <c r="Z114" s="143"/>
      <c r="AA114" s="136"/>
      <c r="AB114" s="136" t="s">
        <v>1566</v>
      </c>
      <c r="AC114" s="128" t="s">
        <v>1566</v>
      </c>
      <c r="AD114" s="135"/>
      <c r="AE114" s="127"/>
      <c r="AF114" s="127"/>
      <c r="AG114" s="130"/>
      <c r="AH114" s="130" t="str">
        <f t="shared" si="118"/>
        <v xml:space="preserve"> </v>
      </c>
      <c r="AI114" s="130" t="str">
        <f t="shared" si="119"/>
        <v xml:space="preserve"> </v>
      </c>
      <c r="AJ114" s="130">
        <f t="shared" si="120"/>
        <v>1</v>
      </c>
      <c r="AK114" s="128" t="str">
        <f t="shared" si="121"/>
        <v xml:space="preserve"> </v>
      </c>
      <c r="AL114" s="128" t="str">
        <f t="shared" si="122"/>
        <v xml:space="preserve"> </v>
      </c>
      <c r="AM114" s="128" t="str">
        <f t="shared" si="123"/>
        <v xml:space="preserve"> </v>
      </c>
      <c r="AN114" s="130" t="str">
        <f t="shared" si="124"/>
        <v xml:space="preserve"> </v>
      </c>
      <c r="AO114" s="130"/>
      <c r="AP114" s="130"/>
    </row>
    <row r="115" spans="1:42">
      <c r="A115" s="131" t="s">
        <v>151</v>
      </c>
      <c r="B115" s="132">
        <v>5</v>
      </c>
      <c r="C115" s="118" t="s">
        <v>128</v>
      </c>
      <c r="D115" s="118">
        <v>2016</v>
      </c>
      <c r="E115" s="133">
        <v>0</v>
      </c>
      <c r="F115" s="133">
        <v>0</v>
      </c>
      <c r="G115" s="133">
        <v>1</v>
      </c>
      <c r="H115" s="134">
        <v>0</v>
      </c>
      <c r="I115" s="133">
        <v>1</v>
      </c>
      <c r="J115" s="135"/>
      <c r="K115" s="136">
        <f t="shared" ref="K115:N115" si="283">K114*2</f>
        <v>332</v>
      </c>
      <c r="L115" s="136">
        <f t="shared" si="283"/>
        <v>148</v>
      </c>
      <c r="M115" s="137">
        <f t="shared" si="283"/>
        <v>348</v>
      </c>
      <c r="N115" s="136">
        <f t="shared" si="283"/>
        <v>828</v>
      </c>
      <c r="O115" s="135"/>
      <c r="P115" s="136">
        <f t="shared" ref="P115:P118" si="284">E115+F115+P114</f>
        <v>1</v>
      </c>
      <c r="Q115" s="136">
        <f t="shared" ref="Q115:S115" si="285">G115+Q114</f>
        <v>1</v>
      </c>
      <c r="R115" s="137">
        <f t="shared" si="285"/>
        <v>1</v>
      </c>
      <c r="S115" s="136">
        <f t="shared" si="285"/>
        <v>3</v>
      </c>
      <c r="T115" s="139"/>
      <c r="U115" s="140">
        <f t="shared" ref="U115:X115" si="286">P115/K115</f>
        <v>3.0120481927710845E-3</v>
      </c>
      <c r="V115" s="140">
        <f t="shared" si="286"/>
        <v>6.7567567567567571E-3</v>
      </c>
      <c r="W115" s="141">
        <f t="shared" si="286"/>
        <v>2.8735632183908046E-3</v>
      </c>
      <c r="X115" s="140">
        <f t="shared" si="286"/>
        <v>3.6231884057971015E-3</v>
      </c>
      <c r="Y115" s="142"/>
      <c r="Z115" s="143"/>
      <c r="AA115" s="136"/>
      <c r="AB115" s="136" t="s">
        <v>1566</v>
      </c>
      <c r="AC115" s="128">
        <v>12347</v>
      </c>
      <c r="AD115" s="135"/>
      <c r="AE115" s="127" t="s">
        <v>1566</v>
      </c>
      <c r="AF115" s="127"/>
      <c r="AG115" s="130"/>
      <c r="AH115" s="130" t="str">
        <f t="shared" si="118"/>
        <v xml:space="preserve"> </v>
      </c>
      <c r="AI115" s="130" t="str">
        <f t="shared" si="119"/>
        <v xml:space="preserve"> </v>
      </c>
      <c r="AJ115" s="144" t="str">
        <f t="shared" si="120"/>
        <v xml:space="preserve"> </v>
      </c>
      <c r="AK115" s="128">
        <f t="shared" si="121"/>
        <v>0</v>
      </c>
      <c r="AL115" s="128" t="str">
        <f t="shared" si="122"/>
        <v xml:space="preserve"> </v>
      </c>
      <c r="AM115" s="128" t="str">
        <f t="shared" si="123"/>
        <v xml:space="preserve"> </v>
      </c>
      <c r="AN115" s="130" t="str">
        <f t="shared" si="124"/>
        <v xml:space="preserve"> </v>
      </c>
      <c r="AO115" s="130"/>
      <c r="AP115" s="130"/>
    </row>
    <row r="116" spans="1:42">
      <c r="A116" s="131" t="s">
        <v>151</v>
      </c>
      <c r="B116" s="132">
        <v>5</v>
      </c>
      <c r="C116" s="118" t="s">
        <v>128</v>
      </c>
      <c r="D116" s="118">
        <v>2017</v>
      </c>
      <c r="E116" s="133">
        <v>1</v>
      </c>
      <c r="F116" s="133">
        <v>1</v>
      </c>
      <c r="G116" s="133">
        <v>0</v>
      </c>
      <c r="H116" s="134">
        <v>4</v>
      </c>
      <c r="I116" s="133">
        <v>6</v>
      </c>
      <c r="J116" s="135"/>
      <c r="K116" s="136">
        <f t="shared" ref="K116:N116" si="287">K114*3</f>
        <v>498</v>
      </c>
      <c r="L116" s="136">
        <f t="shared" si="287"/>
        <v>222</v>
      </c>
      <c r="M116" s="137">
        <f t="shared" si="287"/>
        <v>522</v>
      </c>
      <c r="N116" s="136">
        <f t="shared" si="287"/>
        <v>1242</v>
      </c>
      <c r="O116" s="135"/>
      <c r="P116" s="136">
        <f t="shared" si="284"/>
        <v>3</v>
      </c>
      <c r="Q116" s="136">
        <f t="shared" ref="Q116:S116" si="288">G116+Q115</f>
        <v>1</v>
      </c>
      <c r="R116" s="137">
        <f t="shared" si="288"/>
        <v>5</v>
      </c>
      <c r="S116" s="136">
        <f t="shared" si="288"/>
        <v>9</v>
      </c>
      <c r="T116" s="139"/>
      <c r="U116" s="140">
        <f t="shared" ref="U116:X116" si="289">P116/K116</f>
        <v>6.024096385542169E-3</v>
      </c>
      <c r="V116" s="140">
        <f t="shared" si="289"/>
        <v>4.5045045045045045E-3</v>
      </c>
      <c r="W116" s="141">
        <f t="shared" si="289"/>
        <v>9.5785440613026813E-3</v>
      </c>
      <c r="X116" s="140">
        <f t="shared" si="289"/>
        <v>7.246376811594203E-3</v>
      </c>
      <c r="Y116" s="142"/>
      <c r="Z116" s="143"/>
      <c r="AA116" s="136"/>
      <c r="AB116" s="136" t="s">
        <v>1566</v>
      </c>
      <c r="AC116" s="128" t="s">
        <v>1566</v>
      </c>
      <c r="AD116" s="135"/>
      <c r="AE116" s="127" t="s">
        <v>1566</v>
      </c>
      <c r="AF116" s="127"/>
      <c r="AG116" s="130"/>
      <c r="AH116" s="130" t="str">
        <f t="shared" si="118"/>
        <v xml:space="preserve"> </v>
      </c>
      <c r="AI116" s="130" t="str">
        <f t="shared" si="119"/>
        <v xml:space="preserve"> </v>
      </c>
      <c r="AJ116" s="144" t="str">
        <f t="shared" si="120"/>
        <v xml:space="preserve"> </v>
      </c>
      <c r="AK116" s="128" t="str">
        <f t="shared" si="121"/>
        <v xml:space="preserve"> </v>
      </c>
      <c r="AL116" s="128">
        <f t="shared" si="122"/>
        <v>2</v>
      </c>
      <c r="AM116" s="128" t="str">
        <f t="shared" si="123"/>
        <v xml:space="preserve"> </v>
      </c>
      <c r="AN116" s="130" t="str">
        <f t="shared" si="124"/>
        <v xml:space="preserve"> </v>
      </c>
      <c r="AO116" s="130"/>
      <c r="AP116" s="130"/>
    </row>
    <row r="117" spans="1:42">
      <c r="A117" s="131" t="s">
        <v>151</v>
      </c>
      <c r="B117" s="132">
        <v>5</v>
      </c>
      <c r="C117" s="118" t="s">
        <v>128</v>
      </c>
      <c r="D117" s="118">
        <v>2018</v>
      </c>
      <c r="E117" s="133">
        <v>9</v>
      </c>
      <c r="F117" s="133">
        <v>18</v>
      </c>
      <c r="G117" s="133">
        <v>24</v>
      </c>
      <c r="H117" s="134">
        <v>21</v>
      </c>
      <c r="I117" s="133">
        <v>72</v>
      </c>
      <c r="J117" s="135"/>
      <c r="K117" s="136">
        <f t="shared" ref="K117:N117" si="290">K114*4</f>
        <v>664</v>
      </c>
      <c r="L117" s="136">
        <f t="shared" si="290"/>
        <v>296</v>
      </c>
      <c r="M117" s="137">
        <f t="shared" si="290"/>
        <v>696</v>
      </c>
      <c r="N117" s="136">
        <f t="shared" si="290"/>
        <v>1656</v>
      </c>
      <c r="O117" s="135"/>
      <c r="P117" s="136">
        <f t="shared" si="284"/>
        <v>30</v>
      </c>
      <c r="Q117" s="136">
        <f t="shared" ref="Q117:S117" si="291">G117+Q116</f>
        <v>25</v>
      </c>
      <c r="R117" s="137">
        <f t="shared" si="291"/>
        <v>26</v>
      </c>
      <c r="S117" s="136">
        <f t="shared" si="291"/>
        <v>81</v>
      </c>
      <c r="T117" s="139"/>
      <c r="U117" s="140">
        <f t="shared" ref="U117:X117" si="292">P117/K117</f>
        <v>4.5180722891566265E-2</v>
      </c>
      <c r="V117" s="140">
        <f t="shared" si="292"/>
        <v>8.4459459459459457E-2</v>
      </c>
      <c r="W117" s="141">
        <f t="shared" si="292"/>
        <v>3.7356321839080463E-2</v>
      </c>
      <c r="X117" s="140">
        <f t="shared" si="292"/>
        <v>4.8913043478260872E-2</v>
      </c>
      <c r="Y117" s="142"/>
      <c r="Z117" s="143"/>
      <c r="AA117" s="136"/>
      <c r="AB117" s="136" t="s">
        <v>1566</v>
      </c>
      <c r="AC117" s="128" t="s">
        <v>1566</v>
      </c>
      <c r="AD117" s="135"/>
      <c r="AE117" s="127" t="s">
        <v>1566</v>
      </c>
      <c r="AF117" s="127"/>
      <c r="AG117" s="130"/>
      <c r="AH117" s="130" t="str">
        <f t="shared" si="118"/>
        <v xml:space="preserve"> </v>
      </c>
      <c r="AI117" s="130" t="str">
        <f t="shared" si="119"/>
        <v xml:space="preserve"> </v>
      </c>
      <c r="AJ117" s="144" t="str">
        <f t="shared" si="120"/>
        <v xml:space="preserve"> </v>
      </c>
      <c r="AK117" s="128" t="str">
        <f t="shared" si="121"/>
        <v xml:space="preserve"> </v>
      </c>
      <c r="AL117" s="128" t="str">
        <f t="shared" si="122"/>
        <v xml:space="preserve"> </v>
      </c>
      <c r="AM117" s="128">
        <f t="shared" si="123"/>
        <v>27</v>
      </c>
      <c r="AN117" s="130" t="str">
        <f t="shared" si="124"/>
        <v xml:space="preserve"> </v>
      </c>
      <c r="AO117" s="130"/>
      <c r="AP117" s="130"/>
    </row>
    <row r="118" spans="1:42">
      <c r="A118" s="131" t="s">
        <v>151</v>
      </c>
      <c r="B118" s="132">
        <v>5</v>
      </c>
      <c r="C118" s="118" t="s">
        <v>128</v>
      </c>
      <c r="D118" s="118">
        <v>2019</v>
      </c>
      <c r="E118" s="133">
        <v>5</v>
      </c>
      <c r="F118" s="133">
        <v>0</v>
      </c>
      <c r="G118" s="133">
        <v>5</v>
      </c>
      <c r="H118" s="134">
        <v>5</v>
      </c>
      <c r="I118" s="133">
        <f>E118+F118+G118+H118</f>
        <v>15</v>
      </c>
      <c r="J118" s="135"/>
      <c r="K118" s="136">
        <f t="shared" ref="K118:N118" si="293">K114*5</f>
        <v>830</v>
      </c>
      <c r="L118" s="136">
        <f t="shared" si="293"/>
        <v>370</v>
      </c>
      <c r="M118" s="137">
        <f t="shared" si="293"/>
        <v>870</v>
      </c>
      <c r="N118" s="136">
        <f t="shared" si="293"/>
        <v>2070</v>
      </c>
      <c r="O118" s="135"/>
      <c r="P118" s="136">
        <f t="shared" si="284"/>
        <v>35</v>
      </c>
      <c r="Q118" s="136">
        <f t="shared" ref="Q118:S118" si="294">G118+Q117</f>
        <v>30</v>
      </c>
      <c r="R118" s="137">
        <f t="shared" si="294"/>
        <v>31</v>
      </c>
      <c r="S118" s="136">
        <f t="shared" si="294"/>
        <v>96</v>
      </c>
      <c r="T118" s="139"/>
      <c r="U118" s="140">
        <f t="shared" ref="U118:X118" si="295">P118/K118</f>
        <v>4.2168674698795178E-2</v>
      </c>
      <c r="V118" s="140">
        <f t="shared" si="295"/>
        <v>8.1081081081081086E-2</v>
      </c>
      <c r="W118" s="141">
        <f t="shared" si="295"/>
        <v>3.5632183908045977E-2</v>
      </c>
      <c r="X118" s="140">
        <f t="shared" si="295"/>
        <v>4.6376811594202899E-2</v>
      </c>
      <c r="Y118" s="146" t="s">
        <v>151</v>
      </c>
      <c r="Z118" s="143"/>
      <c r="AA118" s="138">
        <v>2070</v>
      </c>
      <c r="AB118" s="136">
        <v>2070</v>
      </c>
      <c r="AC118" s="128" t="s">
        <v>1566</v>
      </c>
      <c r="AD118" s="135"/>
      <c r="AE118" s="127">
        <f>N114</f>
        <v>414</v>
      </c>
      <c r="AF118" s="127"/>
      <c r="AG118" s="130"/>
      <c r="AH118" s="130" t="str">
        <f t="shared" si="118"/>
        <v xml:space="preserve"> </v>
      </c>
      <c r="AI118" s="130" t="str">
        <f t="shared" si="119"/>
        <v xml:space="preserve"> </v>
      </c>
      <c r="AJ118" s="144" t="str">
        <f t="shared" si="120"/>
        <v xml:space="preserve"> </v>
      </c>
      <c r="AK118" s="128" t="str">
        <f t="shared" si="121"/>
        <v xml:space="preserve"> </v>
      </c>
      <c r="AL118" s="128" t="str">
        <f t="shared" si="122"/>
        <v xml:space="preserve"> </v>
      </c>
      <c r="AM118" s="128" t="str">
        <f t="shared" si="123"/>
        <v xml:space="preserve"> </v>
      </c>
      <c r="AN118" s="130">
        <f t="shared" si="124"/>
        <v>5</v>
      </c>
      <c r="AO118" s="130"/>
      <c r="AP118" s="130"/>
    </row>
    <row r="119" spans="1:42">
      <c r="A119" s="131"/>
      <c r="B119" s="132"/>
      <c r="C119" s="118"/>
      <c r="D119" s="118"/>
      <c r="E119" s="133"/>
      <c r="F119" s="133"/>
      <c r="G119" s="133"/>
      <c r="H119" s="134"/>
      <c r="I119" s="133"/>
      <c r="J119" s="135"/>
      <c r="K119" s="136"/>
      <c r="L119" s="136"/>
      <c r="M119" s="137"/>
      <c r="N119" s="136"/>
      <c r="O119" s="135"/>
      <c r="P119" s="136"/>
      <c r="Q119" s="136"/>
      <c r="R119" s="137"/>
      <c r="S119" s="136"/>
      <c r="T119" s="139"/>
      <c r="U119" s="140"/>
      <c r="V119" s="140"/>
      <c r="W119" s="141"/>
      <c r="X119" s="140"/>
      <c r="Y119" s="142"/>
      <c r="Z119" s="143"/>
      <c r="AA119" s="136"/>
      <c r="AB119" s="136" t="s">
        <v>1566</v>
      </c>
      <c r="AC119" s="128">
        <v>721</v>
      </c>
      <c r="AD119" s="135"/>
      <c r="AE119" s="127"/>
      <c r="AF119" s="127"/>
      <c r="AG119" s="130"/>
      <c r="AH119" s="130" t="str">
        <f t="shared" si="118"/>
        <v xml:space="preserve"> </v>
      </c>
      <c r="AI119" s="130" t="str">
        <f t="shared" si="119"/>
        <v xml:space="preserve"> </v>
      </c>
      <c r="AJ119" s="144" t="str">
        <f t="shared" si="120"/>
        <v xml:space="preserve"> </v>
      </c>
      <c r="AK119" s="128" t="str">
        <f t="shared" si="121"/>
        <v xml:space="preserve"> </v>
      </c>
      <c r="AL119" s="128" t="str">
        <f t="shared" si="122"/>
        <v xml:space="preserve"> </v>
      </c>
      <c r="AM119" s="128" t="str">
        <f t="shared" si="123"/>
        <v xml:space="preserve"> </v>
      </c>
      <c r="AN119" s="130" t="str">
        <f t="shared" si="124"/>
        <v xml:space="preserve"> </v>
      </c>
      <c r="AO119" s="130"/>
      <c r="AP119" s="130"/>
    </row>
    <row r="120" spans="1:42">
      <c r="A120" s="131" t="s">
        <v>152</v>
      </c>
      <c r="B120" s="132">
        <v>5</v>
      </c>
      <c r="C120" s="118" t="s">
        <v>128</v>
      </c>
      <c r="D120" s="118">
        <v>2014</v>
      </c>
      <c r="E120" s="133">
        <v>0</v>
      </c>
      <c r="F120" s="133">
        <v>0</v>
      </c>
      <c r="G120" s="133">
        <v>0</v>
      </c>
      <c r="H120" s="134">
        <v>0</v>
      </c>
      <c r="I120" s="133">
        <v>0</v>
      </c>
      <c r="J120" s="135"/>
      <c r="K120" s="136">
        <f>ROUND((18+9)/5,0)</f>
        <v>5</v>
      </c>
      <c r="L120" s="136">
        <f>ROUND('HCD Assigned 5th Cycle RHNA'!F582/B14,0)</f>
        <v>3</v>
      </c>
      <c r="M120" s="137">
        <f>ROUND(30/5,0)</f>
        <v>6</v>
      </c>
      <c r="N120" s="136">
        <f>ROUND(70/5,0)</f>
        <v>14</v>
      </c>
      <c r="O120" s="135"/>
      <c r="P120" s="136">
        <f t="shared" ref="P120:P124" si="296">E120+F120</f>
        <v>0</v>
      </c>
      <c r="Q120" s="136">
        <f t="shared" ref="Q120:S120" si="297">G120</f>
        <v>0</v>
      </c>
      <c r="R120" s="137">
        <f t="shared" si="297"/>
        <v>0</v>
      </c>
      <c r="S120" s="136">
        <f t="shared" si="297"/>
        <v>0</v>
      </c>
      <c r="T120" s="139"/>
      <c r="U120" s="140">
        <f t="shared" ref="U120:X120" si="298">P120/K120</f>
        <v>0</v>
      </c>
      <c r="V120" s="140">
        <f t="shared" si="298"/>
        <v>0</v>
      </c>
      <c r="W120" s="141">
        <f t="shared" si="298"/>
        <v>0</v>
      </c>
      <c r="X120" s="140">
        <f t="shared" si="298"/>
        <v>0</v>
      </c>
      <c r="Y120" s="142"/>
      <c r="Z120" s="143"/>
      <c r="AA120" s="136"/>
      <c r="AB120" s="136" t="s">
        <v>1566</v>
      </c>
      <c r="AC120" s="128" t="s">
        <v>1566</v>
      </c>
      <c r="AD120" s="135"/>
      <c r="AE120" s="127"/>
      <c r="AF120" s="127"/>
      <c r="AG120" s="130"/>
      <c r="AH120" s="130" t="str">
        <f t="shared" si="118"/>
        <v xml:space="preserve"> </v>
      </c>
      <c r="AI120" s="130">
        <f t="shared" si="119"/>
        <v>0</v>
      </c>
      <c r="AJ120" s="144" t="str">
        <f t="shared" si="120"/>
        <v xml:space="preserve"> </v>
      </c>
      <c r="AK120" s="128" t="str">
        <f t="shared" si="121"/>
        <v xml:space="preserve"> </v>
      </c>
      <c r="AL120" s="128" t="str">
        <f t="shared" si="122"/>
        <v xml:space="preserve"> </v>
      </c>
      <c r="AM120" s="128" t="str">
        <f t="shared" si="123"/>
        <v xml:space="preserve"> </v>
      </c>
      <c r="AN120" s="130" t="str">
        <f t="shared" si="124"/>
        <v xml:space="preserve"> </v>
      </c>
      <c r="AO120" s="130"/>
      <c r="AP120" s="130"/>
    </row>
    <row r="121" spans="1:42">
      <c r="A121" s="131" t="s">
        <v>152</v>
      </c>
      <c r="B121" s="132">
        <v>5</v>
      </c>
      <c r="C121" s="118" t="s">
        <v>128</v>
      </c>
      <c r="D121" s="118">
        <v>2015</v>
      </c>
      <c r="E121" s="133">
        <v>0</v>
      </c>
      <c r="F121" s="133">
        <v>0</v>
      </c>
      <c r="G121" s="133">
        <v>0</v>
      </c>
      <c r="H121" s="134">
        <v>0</v>
      </c>
      <c r="I121" s="133">
        <v>0</v>
      </c>
      <c r="J121" s="135"/>
      <c r="K121" s="136">
        <f t="shared" ref="K121:N121" si="299">K120*2</f>
        <v>10</v>
      </c>
      <c r="L121" s="136">
        <f t="shared" si="299"/>
        <v>6</v>
      </c>
      <c r="M121" s="137">
        <f t="shared" si="299"/>
        <v>12</v>
      </c>
      <c r="N121" s="136">
        <f t="shared" si="299"/>
        <v>28</v>
      </c>
      <c r="O121" s="135"/>
      <c r="P121" s="136">
        <f t="shared" si="296"/>
        <v>0</v>
      </c>
      <c r="Q121" s="136">
        <f t="shared" ref="Q121:Q125" si="300">G121+Q120</f>
        <v>0</v>
      </c>
      <c r="R121" s="137">
        <f t="shared" ref="R121:S121" si="301">H121</f>
        <v>0</v>
      </c>
      <c r="S121" s="136">
        <f t="shared" si="301"/>
        <v>0</v>
      </c>
      <c r="T121" s="139"/>
      <c r="U121" s="140">
        <f t="shared" ref="U121:X121" si="302">P121/K121</f>
        <v>0</v>
      </c>
      <c r="V121" s="140">
        <f t="shared" si="302"/>
        <v>0</v>
      </c>
      <c r="W121" s="141">
        <f t="shared" si="302"/>
        <v>0</v>
      </c>
      <c r="X121" s="140">
        <f t="shared" si="302"/>
        <v>0</v>
      </c>
      <c r="Y121" s="142"/>
      <c r="Z121" s="143"/>
      <c r="AA121" s="136"/>
      <c r="AB121" s="136" t="s">
        <v>1566</v>
      </c>
      <c r="AC121" s="128" t="s">
        <v>1566</v>
      </c>
      <c r="AD121" s="135"/>
      <c r="AE121" s="127"/>
      <c r="AF121" s="127"/>
      <c r="AG121" s="130"/>
      <c r="AH121" s="130" t="str">
        <f t="shared" si="118"/>
        <v xml:space="preserve"> </v>
      </c>
      <c r="AI121" s="130" t="str">
        <f t="shared" si="119"/>
        <v xml:space="preserve"> </v>
      </c>
      <c r="AJ121" s="130">
        <f t="shared" si="120"/>
        <v>0</v>
      </c>
      <c r="AK121" s="128" t="str">
        <f t="shared" si="121"/>
        <v xml:space="preserve"> </v>
      </c>
      <c r="AL121" s="128" t="str">
        <f t="shared" si="122"/>
        <v xml:space="preserve"> </v>
      </c>
      <c r="AM121" s="128" t="str">
        <f t="shared" si="123"/>
        <v xml:space="preserve"> </v>
      </c>
      <c r="AN121" s="130" t="str">
        <f t="shared" si="124"/>
        <v xml:space="preserve"> </v>
      </c>
      <c r="AO121" s="130"/>
      <c r="AP121" s="130"/>
    </row>
    <row r="122" spans="1:42">
      <c r="A122" s="131" t="s">
        <v>152</v>
      </c>
      <c r="B122" s="132">
        <v>5</v>
      </c>
      <c r="C122" s="118" t="s">
        <v>128</v>
      </c>
      <c r="D122" s="118">
        <v>2016</v>
      </c>
      <c r="E122" s="133">
        <v>0</v>
      </c>
      <c r="F122" s="133">
        <v>0</v>
      </c>
      <c r="G122" s="133">
        <v>0</v>
      </c>
      <c r="H122" s="134">
        <v>0</v>
      </c>
      <c r="I122" s="133">
        <v>0</v>
      </c>
      <c r="J122" s="135"/>
      <c r="K122" s="136">
        <f t="shared" ref="K122:N122" si="303">K120*3</f>
        <v>15</v>
      </c>
      <c r="L122" s="136">
        <f t="shared" si="303"/>
        <v>9</v>
      </c>
      <c r="M122" s="137">
        <f t="shared" si="303"/>
        <v>18</v>
      </c>
      <c r="N122" s="136">
        <f t="shared" si="303"/>
        <v>42</v>
      </c>
      <c r="O122" s="135"/>
      <c r="P122" s="136">
        <f t="shared" si="296"/>
        <v>0</v>
      </c>
      <c r="Q122" s="136">
        <f t="shared" si="300"/>
        <v>0</v>
      </c>
      <c r="R122" s="137">
        <f t="shared" ref="R122:S122" si="304">H122</f>
        <v>0</v>
      </c>
      <c r="S122" s="136">
        <f t="shared" si="304"/>
        <v>0</v>
      </c>
      <c r="T122" s="139"/>
      <c r="U122" s="140">
        <f t="shared" ref="U122:X122" si="305">P122/K122</f>
        <v>0</v>
      </c>
      <c r="V122" s="140">
        <f t="shared" si="305"/>
        <v>0</v>
      </c>
      <c r="W122" s="141">
        <f t="shared" si="305"/>
        <v>0</v>
      </c>
      <c r="X122" s="140">
        <f t="shared" si="305"/>
        <v>0</v>
      </c>
      <c r="Y122" s="142"/>
      <c r="Z122" s="143"/>
      <c r="AA122" s="136"/>
      <c r="AB122" s="136" t="s">
        <v>1566</v>
      </c>
      <c r="AC122" s="128" t="s">
        <v>1566</v>
      </c>
      <c r="AD122" s="135"/>
      <c r="AE122" s="127"/>
      <c r="AF122" s="127"/>
      <c r="AG122" s="130"/>
      <c r="AH122" s="130" t="str">
        <f t="shared" si="118"/>
        <v xml:space="preserve"> </v>
      </c>
      <c r="AI122" s="130" t="str">
        <f t="shared" si="119"/>
        <v xml:space="preserve"> </v>
      </c>
      <c r="AJ122" s="144" t="str">
        <f t="shared" si="120"/>
        <v xml:space="preserve"> </v>
      </c>
      <c r="AK122" s="128">
        <f t="shared" si="121"/>
        <v>0</v>
      </c>
      <c r="AL122" s="128" t="str">
        <f t="shared" si="122"/>
        <v xml:space="preserve"> </v>
      </c>
      <c r="AM122" s="128" t="str">
        <f t="shared" si="123"/>
        <v xml:space="preserve"> </v>
      </c>
      <c r="AN122" s="130" t="str">
        <f t="shared" si="124"/>
        <v xml:space="preserve"> </v>
      </c>
      <c r="AO122" s="130"/>
      <c r="AP122" s="130"/>
    </row>
    <row r="123" spans="1:42">
      <c r="A123" s="131" t="s">
        <v>152</v>
      </c>
      <c r="B123" s="132">
        <v>5</v>
      </c>
      <c r="C123" s="118" t="s">
        <v>128</v>
      </c>
      <c r="D123" s="118">
        <v>2017</v>
      </c>
      <c r="E123" s="133">
        <v>0</v>
      </c>
      <c r="F123" s="133">
        <v>0</v>
      </c>
      <c r="G123" s="133">
        <v>0</v>
      </c>
      <c r="H123" s="134">
        <v>0</v>
      </c>
      <c r="I123" s="133">
        <v>0</v>
      </c>
      <c r="J123" s="135"/>
      <c r="K123" s="136">
        <f t="shared" ref="K123:N123" si="306">K120*4</f>
        <v>20</v>
      </c>
      <c r="L123" s="136">
        <f t="shared" si="306"/>
        <v>12</v>
      </c>
      <c r="M123" s="137">
        <f t="shared" si="306"/>
        <v>24</v>
      </c>
      <c r="N123" s="136">
        <f t="shared" si="306"/>
        <v>56</v>
      </c>
      <c r="O123" s="135"/>
      <c r="P123" s="136">
        <f t="shared" si="296"/>
        <v>0</v>
      </c>
      <c r="Q123" s="136">
        <f t="shared" si="300"/>
        <v>0</v>
      </c>
      <c r="R123" s="137">
        <f t="shared" ref="R123:S123" si="307">H123</f>
        <v>0</v>
      </c>
      <c r="S123" s="136">
        <f t="shared" si="307"/>
        <v>0</v>
      </c>
      <c r="T123" s="139"/>
      <c r="U123" s="140">
        <f t="shared" ref="U123:X123" si="308">P123/K123</f>
        <v>0</v>
      </c>
      <c r="V123" s="140">
        <f t="shared" si="308"/>
        <v>0</v>
      </c>
      <c r="W123" s="141">
        <f t="shared" si="308"/>
        <v>0</v>
      </c>
      <c r="X123" s="140">
        <f t="shared" si="308"/>
        <v>0</v>
      </c>
      <c r="Y123" s="142"/>
      <c r="Z123" s="143"/>
      <c r="AA123" s="136"/>
      <c r="AB123" s="136" t="s">
        <v>1566</v>
      </c>
      <c r="AC123" s="128" t="s">
        <v>1566</v>
      </c>
      <c r="AD123" s="135"/>
      <c r="AE123" s="127"/>
      <c r="AF123" s="127"/>
      <c r="AG123" s="130"/>
      <c r="AH123" s="130" t="str">
        <f t="shared" si="118"/>
        <v xml:space="preserve"> </v>
      </c>
      <c r="AI123" s="130" t="str">
        <f t="shared" si="119"/>
        <v xml:space="preserve"> </v>
      </c>
      <c r="AJ123" s="144" t="str">
        <f t="shared" si="120"/>
        <v xml:space="preserve"> </v>
      </c>
      <c r="AK123" s="128" t="str">
        <f t="shared" si="121"/>
        <v xml:space="preserve"> </v>
      </c>
      <c r="AL123" s="128">
        <f t="shared" si="122"/>
        <v>0</v>
      </c>
      <c r="AM123" s="128" t="str">
        <f t="shared" si="123"/>
        <v xml:space="preserve"> </v>
      </c>
      <c r="AN123" s="130" t="str">
        <f t="shared" si="124"/>
        <v xml:space="preserve"> </v>
      </c>
      <c r="AO123" s="130"/>
      <c r="AP123" s="130"/>
    </row>
    <row r="124" spans="1:42">
      <c r="A124" s="131" t="s">
        <v>152</v>
      </c>
      <c r="B124" s="132">
        <v>5</v>
      </c>
      <c r="C124" s="118" t="s">
        <v>128</v>
      </c>
      <c r="D124" s="118">
        <v>2018</v>
      </c>
      <c r="E124" s="133">
        <v>0</v>
      </c>
      <c r="F124" s="133">
        <v>0</v>
      </c>
      <c r="G124" s="133">
        <v>0</v>
      </c>
      <c r="H124" s="134">
        <v>0</v>
      </c>
      <c r="I124" s="133">
        <v>0</v>
      </c>
      <c r="J124" s="135"/>
      <c r="K124" s="136">
        <f t="shared" ref="K124:N124" si="309">K120*5</f>
        <v>25</v>
      </c>
      <c r="L124" s="136">
        <f t="shared" si="309"/>
        <v>15</v>
      </c>
      <c r="M124" s="137">
        <f t="shared" si="309"/>
        <v>30</v>
      </c>
      <c r="N124" s="136">
        <f t="shared" si="309"/>
        <v>70</v>
      </c>
      <c r="O124" s="135"/>
      <c r="P124" s="136">
        <f t="shared" si="296"/>
        <v>0</v>
      </c>
      <c r="Q124" s="136">
        <f t="shared" si="300"/>
        <v>0</v>
      </c>
      <c r="R124" s="137">
        <f t="shared" ref="R124:S124" si="310">H124</f>
        <v>0</v>
      </c>
      <c r="S124" s="136">
        <f t="shared" si="310"/>
        <v>0</v>
      </c>
      <c r="T124" s="139"/>
      <c r="U124" s="140">
        <f t="shared" ref="U124:X124" si="311">P124/K124</f>
        <v>0</v>
      </c>
      <c r="V124" s="140">
        <f t="shared" si="311"/>
        <v>0</v>
      </c>
      <c r="W124" s="141">
        <f t="shared" si="311"/>
        <v>0</v>
      </c>
      <c r="X124" s="140">
        <f t="shared" si="311"/>
        <v>0</v>
      </c>
      <c r="Y124" s="142"/>
      <c r="Z124" s="143"/>
      <c r="AA124" s="136"/>
      <c r="AB124" s="136" t="s">
        <v>1566</v>
      </c>
      <c r="AC124" s="128" t="s">
        <v>1566</v>
      </c>
      <c r="AD124" s="135"/>
      <c r="AE124" s="127"/>
      <c r="AF124" s="127"/>
      <c r="AG124" s="130"/>
      <c r="AH124" s="130" t="str">
        <f t="shared" si="118"/>
        <v xml:space="preserve"> </v>
      </c>
      <c r="AI124" s="130" t="str">
        <f t="shared" si="119"/>
        <v xml:space="preserve"> </v>
      </c>
      <c r="AJ124" s="144" t="str">
        <f t="shared" si="120"/>
        <v xml:space="preserve"> </v>
      </c>
      <c r="AK124" s="128" t="str">
        <f t="shared" si="121"/>
        <v xml:space="preserve"> </v>
      </c>
      <c r="AL124" s="128" t="str">
        <f t="shared" si="122"/>
        <v xml:space="preserve"> </v>
      </c>
      <c r="AM124" s="128">
        <f t="shared" si="123"/>
        <v>0</v>
      </c>
      <c r="AN124" s="130" t="str">
        <f t="shared" si="124"/>
        <v xml:space="preserve"> </v>
      </c>
      <c r="AO124" s="130"/>
      <c r="AP124" s="130"/>
    </row>
    <row r="125" spans="1:42">
      <c r="A125" s="131" t="s">
        <v>152</v>
      </c>
      <c r="B125" s="132">
        <v>5</v>
      </c>
      <c r="C125" s="118" t="s">
        <v>128</v>
      </c>
      <c r="D125" s="118">
        <v>2019</v>
      </c>
      <c r="E125" s="118">
        <v>0</v>
      </c>
      <c r="F125" s="118">
        <v>0</v>
      </c>
      <c r="G125" s="118">
        <v>9</v>
      </c>
      <c r="H125" s="150">
        <v>0</v>
      </c>
      <c r="I125" s="133">
        <f>E125+F125+G125+H125</f>
        <v>9</v>
      </c>
      <c r="J125" s="135"/>
      <c r="K125" s="136">
        <f t="shared" ref="K125:N125" si="312">K124</f>
        <v>25</v>
      </c>
      <c r="L125" s="136">
        <f t="shared" si="312"/>
        <v>15</v>
      </c>
      <c r="M125" s="137">
        <f t="shared" si="312"/>
        <v>30</v>
      </c>
      <c r="N125" s="136">
        <f t="shared" si="312"/>
        <v>70</v>
      </c>
      <c r="O125" s="135"/>
      <c r="P125" s="136">
        <f>E125+F125+P124</f>
        <v>0</v>
      </c>
      <c r="Q125" s="136">
        <f t="shared" si="300"/>
        <v>9</v>
      </c>
      <c r="R125" s="137">
        <f t="shared" ref="R125:S125" si="313">H125+R124</f>
        <v>0</v>
      </c>
      <c r="S125" s="136">
        <f t="shared" si="313"/>
        <v>9</v>
      </c>
      <c r="T125" s="139"/>
      <c r="U125" s="140">
        <f t="shared" ref="U125:X125" si="314">P125/K125</f>
        <v>0</v>
      </c>
      <c r="V125" s="140">
        <f t="shared" si="314"/>
        <v>0.6</v>
      </c>
      <c r="W125" s="141">
        <f t="shared" si="314"/>
        <v>0</v>
      </c>
      <c r="X125" s="140">
        <f t="shared" si="314"/>
        <v>0.12857142857142856</v>
      </c>
      <c r="Y125" s="146" t="s">
        <v>152</v>
      </c>
      <c r="Z125" s="143"/>
      <c r="AA125" s="138">
        <v>70</v>
      </c>
      <c r="AB125" s="136">
        <v>70</v>
      </c>
      <c r="AC125" s="128">
        <v>96</v>
      </c>
      <c r="AD125" s="135"/>
      <c r="AE125" s="127">
        <f>N120</f>
        <v>14</v>
      </c>
      <c r="AF125" s="127"/>
      <c r="AG125" s="130"/>
      <c r="AH125" s="130" t="str">
        <f t="shared" si="118"/>
        <v xml:space="preserve"> </v>
      </c>
      <c r="AI125" s="130" t="str">
        <f t="shared" si="119"/>
        <v xml:space="preserve"> </v>
      </c>
      <c r="AJ125" s="144" t="str">
        <f t="shared" si="120"/>
        <v xml:space="preserve"> </v>
      </c>
      <c r="AK125" s="128" t="str">
        <f t="shared" si="121"/>
        <v xml:space="preserve"> </v>
      </c>
      <c r="AL125" s="128" t="str">
        <f t="shared" si="122"/>
        <v xml:space="preserve"> </v>
      </c>
      <c r="AM125" s="128" t="str">
        <f t="shared" si="123"/>
        <v xml:space="preserve"> </v>
      </c>
      <c r="AN125" s="130">
        <f t="shared" si="124"/>
        <v>0</v>
      </c>
      <c r="AO125" s="130"/>
      <c r="AP125" s="130"/>
    </row>
    <row r="126" spans="1:42">
      <c r="A126" s="131"/>
      <c r="B126" s="132"/>
      <c r="C126" s="118"/>
      <c r="D126" s="118"/>
      <c r="E126" s="133"/>
      <c r="F126" s="133"/>
      <c r="G126" s="133"/>
      <c r="H126" s="134"/>
      <c r="I126" s="133"/>
      <c r="J126" s="135"/>
      <c r="K126" s="136"/>
      <c r="L126" s="136"/>
      <c r="M126" s="137"/>
      <c r="N126" s="136"/>
      <c r="O126" s="135"/>
      <c r="P126" s="136"/>
      <c r="Q126" s="136"/>
      <c r="R126" s="137"/>
      <c r="S126" s="136"/>
      <c r="T126" s="139"/>
      <c r="U126" s="140"/>
      <c r="V126" s="140"/>
      <c r="W126" s="141"/>
      <c r="X126" s="140"/>
      <c r="Y126" s="142"/>
      <c r="Z126" s="143"/>
      <c r="AA126" s="136"/>
      <c r="AB126" s="136" t="s">
        <v>1566</v>
      </c>
      <c r="AC126" s="128" t="s">
        <v>1566</v>
      </c>
      <c r="AD126" s="135"/>
      <c r="AE126" s="127" t="s">
        <v>1566</v>
      </c>
      <c r="AF126" s="127"/>
      <c r="AG126" s="130"/>
      <c r="AH126" s="130" t="str">
        <f t="shared" si="118"/>
        <v xml:space="preserve"> </v>
      </c>
      <c r="AI126" s="130" t="str">
        <f t="shared" si="119"/>
        <v xml:space="preserve"> </v>
      </c>
      <c r="AJ126" s="144" t="str">
        <f t="shared" si="120"/>
        <v xml:space="preserve"> </v>
      </c>
      <c r="AK126" s="128" t="str">
        <f t="shared" si="121"/>
        <v xml:space="preserve"> </v>
      </c>
      <c r="AL126" s="128" t="str">
        <f t="shared" si="122"/>
        <v xml:space="preserve"> </v>
      </c>
      <c r="AM126" s="128" t="str">
        <f t="shared" si="123"/>
        <v xml:space="preserve"> </v>
      </c>
      <c r="AN126" s="130" t="str">
        <f t="shared" si="124"/>
        <v xml:space="preserve"> </v>
      </c>
      <c r="AO126" s="130"/>
      <c r="AP126" s="130"/>
    </row>
    <row r="127" spans="1:42">
      <c r="A127" s="131" t="s">
        <v>153</v>
      </c>
      <c r="B127" s="132">
        <v>8</v>
      </c>
      <c r="C127" s="118" t="s">
        <v>154</v>
      </c>
      <c r="D127" s="118">
        <v>2014</v>
      </c>
      <c r="E127" s="133">
        <v>1489</v>
      </c>
      <c r="F127" s="133">
        <v>1306</v>
      </c>
      <c r="G127" s="133">
        <v>736</v>
      </c>
      <c r="H127" s="134">
        <v>17955</v>
      </c>
      <c r="I127" s="133">
        <v>21486</v>
      </c>
      <c r="J127" s="135"/>
      <c r="K127" s="136">
        <f>ROUND((45672+27469)/8,0)</f>
        <v>9143</v>
      </c>
      <c r="L127" s="136">
        <f>ROUND('HCD Assigned 5th Cycle RHNA'!F46/B127,0)</f>
        <v>3755</v>
      </c>
      <c r="M127" s="137">
        <f>ROUND(76697/8,0)</f>
        <v>9587</v>
      </c>
      <c r="N127" s="136">
        <f>ROUND(179881/8,0)</f>
        <v>22485</v>
      </c>
      <c r="O127" s="135"/>
      <c r="P127" s="136">
        <f>E127+F127</f>
        <v>2795</v>
      </c>
      <c r="Q127" s="136">
        <f t="shared" ref="Q127:S127" si="315">G127</f>
        <v>736</v>
      </c>
      <c r="R127" s="137">
        <f t="shared" si="315"/>
        <v>17955</v>
      </c>
      <c r="S127" s="136">
        <f t="shared" si="315"/>
        <v>21486</v>
      </c>
      <c r="T127" s="139"/>
      <c r="U127" s="140">
        <f t="shared" ref="U127:X127" si="316">P127/K127</f>
        <v>0.30569834846330524</v>
      </c>
      <c r="V127" s="140">
        <f t="shared" si="316"/>
        <v>0.19600532623169109</v>
      </c>
      <c r="W127" s="141">
        <f t="shared" si="316"/>
        <v>1.8728486492124752</v>
      </c>
      <c r="X127" s="140">
        <f t="shared" si="316"/>
        <v>0.95557038025350238</v>
      </c>
      <c r="Y127" s="142"/>
      <c r="Z127" s="143"/>
      <c r="AA127" s="136"/>
      <c r="AB127" s="136" t="s">
        <v>1566</v>
      </c>
      <c r="AC127" s="128" t="s">
        <v>1566</v>
      </c>
      <c r="AD127" s="135"/>
      <c r="AE127" s="127"/>
      <c r="AF127" s="127"/>
      <c r="AG127" s="130"/>
      <c r="AH127" s="130" t="str">
        <f t="shared" si="118"/>
        <v xml:space="preserve"> </v>
      </c>
      <c r="AI127" s="130">
        <f t="shared" si="119"/>
        <v>2795</v>
      </c>
      <c r="AJ127" s="144" t="str">
        <f t="shared" si="120"/>
        <v xml:space="preserve"> </v>
      </c>
      <c r="AK127" s="128" t="str">
        <f t="shared" si="121"/>
        <v xml:space="preserve"> </v>
      </c>
      <c r="AL127" s="128" t="str">
        <f t="shared" si="122"/>
        <v xml:space="preserve"> </v>
      </c>
      <c r="AM127" s="128" t="str">
        <f t="shared" si="123"/>
        <v xml:space="preserve"> </v>
      </c>
      <c r="AN127" s="130" t="str">
        <f t="shared" si="124"/>
        <v xml:space="preserve"> </v>
      </c>
      <c r="AO127" s="130"/>
      <c r="AP127" s="130"/>
    </row>
    <row r="128" spans="1:42">
      <c r="A128" s="131" t="s">
        <v>153</v>
      </c>
      <c r="B128" s="132">
        <v>8</v>
      </c>
      <c r="C128" s="118" t="s">
        <v>154</v>
      </c>
      <c r="D128" s="118">
        <v>2015</v>
      </c>
      <c r="E128" s="133">
        <v>1423</v>
      </c>
      <c r="F128" s="133">
        <v>862</v>
      </c>
      <c r="G128" s="133">
        <v>406</v>
      </c>
      <c r="H128" s="134">
        <v>20913</v>
      </c>
      <c r="I128" s="133">
        <v>23604</v>
      </c>
      <c r="J128" s="135"/>
      <c r="K128" s="136">
        <f t="shared" ref="K128:N128" si="317">K127*2</f>
        <v>18286</v>
      </c>
      <c r="L128" s="136">
        <f t="shared" si="317"/>
        <v>7510</v>
      </c>
      <c r="M128" s="137">
        <f t="shared" si="317"/>
        <v>19174</v>
      </c>
      <c r="N128" s="136">
        <f t="shared" si="317"/>
        <v>44970</v>
      </c>
      <c r="O128" s="135"/>
      <c r="P128" s="136">
        <f t="shared" ref="P128:P132" si="318">E128+F128+P127</f>
        <v>5080</v>
      </c>
      <c r="Q128" s="136">
        <f t="shared" ref="Q128:S128" si="319">G128+Q127</f>
        <v>1142</v>
      </c>
      <c r="R128" s="137">
        <f t="shared" si="319"/>
        <v>38868</v>
      </c>
      <c r="S128" s="136">
        <f t="shared" si="319"/>
        <v>45090</v>
      </c>
      <c r="T128" s="139"/>
      <c r="U128" s="140">
        <f t="shared" ref="U128:X128" si="320">P128/K128</f>
        <v>0.27780815924751173</v>
      </c>
      <c r="V128" s="140">
        <f t="shared" si="320"/>
        <v>0.15206391478029294</v>
      </c>
      <c r="W128" s="141">
        <f t="shared" si="320"/>
        <v>2.0271200584124336</v>
      </c>
      <c r="X128" s="140">
        <f t="shared" si="320"/>
        <v>1.0026684456304202</v>
      </c>
      <c r="Y128" s="142"/>
      <c r="Z128" s="143"/>
      <c r="AA128" s="136"/>
      <c r="AB128" s="136" t="s">
        <v>1566</v>
      </c>
      <c r="AC128" s="128" t="s">
        <v>1566</v>
      </c>
      <c r="AD128" s="135"/>
      <c r="AE128" s="127"/>
      <c r="AF128" s="127"/>
      <c r="AG128" s="130"/>
      <c r="AH128" s="130" t="str">
        <f t="shared" si="118"/>
        <v xml:space="preserve"> </v>
      </c>
      <c r="AI128" s="130" t="str">
        <f t="shared" si="119"/>
        <v xml:space="preserve"> </v>
      </c>
      <c r="AJ128" s="130">
        <f t="shared" si="120"/>
        <v>2285</v>
      </c>
      <c r="AK128" s="128" t="str">
        <f t="shared" si="121"/>
        <v xml:space="preserve"> </v>
      </c>
      <c r="AL128" s="128" t="str">
        <f t="shared" si="122"/>
        <v xml:space="preserve"> </v>
      </c>
      <c r="AM128" s="128" t="str">
        <f t="shared" si="123"/>
        <v xml:space="preserve"> </v>
      </c>
      <c r="AN128" s="130" t="str">
        <f t="shared" si="124"/>
        <v xml:space="preserve"> </v>
      </c>
      <c r="AO128" s="130"/>
      <c r="AP128" s="130"/>
    </row>
    <row r="129" spans="1:42">
      <c r="A129" s="131" t="s">
        <v>153</v>
      </c>
      <c r="B129" s="132">
        <v>8</v>
      </c>
      <c r="C129" s="118" t="s">
        <v>154</v>
      </c>
      <c r="D129" s="118">
        <v>2016</v>
      </c>
      <c r="E129" s="133">
        <v>813</v>
      </c>
      <c r="F129" s="133">
        <v>716</v>
      </c>
      <c r="G129" s="133">
        <v>449</v>
      </c>
      <c r="H129" s="134">
        <v>18384</v>
      </c>
      <c r="I129" s="133">
        <v>20362</v>
      </c>
      <c r="J129" s="135"/>
      <c r="K129" s="136">
        <f t="shared" ref="K129:N129" si="321">K127*3</f>
        <v>27429</v>
      </c>
      <c r="L129" s="136">
        <f t="shared" si="321"/>
        <v>11265</v>
      </c>
      <c r="M129" s="137">
        <f t="shared" si="321"/>
        <v>28761</v>
      </c>
      <c r="N129" s="136">
        <f t="shared" si="321"/>
        <v>67455</v>
      </c>
      <c r="O129" s="135"/>
      <c r="P129" s="136">
        <f t="shared" si="318"/>
        <v>6609</v>
      </c>
      <c r="Q129" s="136">
        <f t="shared" ref="Q129:S129" si="322">G129+Q128</f>
        <v>1591</v>
      </c>
      <c r="R129" s="137">
        <f t="shared" si="322"/>
        <v>57252</v>
      </c>
      <c r="S129" s="136">
        <f t="shared" si="322"/>
        <v>65452</v>
      </c>
      <c r="T129" s="139"/>
      <c r="U129" s="140">
        <f t="shared" ref="U129:X129" si="323">P129/K129</f>
        <v>0.24094936016624741</v>
      </c>
      <c r="V129" s="140">
        <f t="shared" si="323"/>
        <v>0.14123391034176652</v>
      </c>
      <c r="W129" s="141">
        <f t="shared" si="323"/>
        <v>1.9906122874726191</v>
      </c>
      <c r="X129" s="140">
        <f t="shared" si="323"/>
        <v>0.97030613001260102</v>
      </c>
      <c r="Y129" s="142"/>
      <c r="Z129" s="143"/>
      <c r="AA129" s="136"/>
      <c r="AB129" s="136" t="s">
        <v>1566</v>
      </c>
      <c r="AC129" s="128" t="s">
        <v>1566</v>
      </c>
      <c r="AD129" s="135"/>
      <c r="AE129" s="127" t="s">
        <v>1566</v>
      </c>
      <c r="AF129" s="127"/>
      <c r="AG129" s="130"/>
      <c r="AH129" s="130" t="str">
        <f t="shared" si="118"/>
        <v xml:space="preserve"> </v>
      </c>
      <c r="AI129" s="130" t="str">
        <f t="shared" si="119"/>
        <v xml:space="preserve"> </v>
      </c>
      <c r="AJ129" s="144" t="str">
        <f t="shared" si="120"/>
        <v xml:space="preserve"> </v>
      </c>
      <c r="AK129" s="128">
        <f t="shared" si="121"/>
        <v>1529</v>
      </c>
      <c r="AL129" s="128" t="str">
        <f t="shared" si="122"/>
        <v xml:space="preserve"> </v>
      </c>
      <c r="AM129" s="128" t="str">
        <f t="shared" si="123"/>
        <v xml:space="preserve"> </v>
      </c>
      <c r="AN129" s="130" t="str">
        <f t="shared" si="124"/>
        <v xml:space="preserve"> </v>
      </c>
      <c r="AO129" s="130"/>
      <c r="AP129" s="130"/>
    </row>
    <row r="130" spans="1:42">
      <c r="A130" s="131" t="s">
        <v>153</v>
      </c>
      <c r="B130" s="132">
        <v>8</v>
      </c>
      <c r="C130" s="118" t="s">
        <v>154</v>
      </c>
      <c r="D130" s="118">
        <v>2017</v>
      </c>
      <c r="E130" s="133">
        <v>1669</v>
      </c>
      <c r="F130" s="133">
        <v>599</v>
      </c>
      <c r="G130" s="133">
        <v>553</v>
      </c>
      <c r="H130" s="134">
        <v>18288</v>
      </c>
      <c r="I130" s="133">
        <v>21109</v>
      </c>
      <c r="J130" s="135"/>
      <c r="K130" s="136">
        <f t="shared" ref="K130:N130" si="324">K127*4</f>
        <v>36572</v>
      </c>
      <c r="L130" s="136">
        <f t="shared" si="324"/>
        <v>15020</v>
      </c>
      <c r="M130" s="137">
        <f t="shared" si="324"/>
        <v>38348</v>
      </c>
      <c r="N130" s="136">
        <f t="shared" si="324"/>
        <v>89940</v>
      </c>
      <c r="O130" s="135"/>
      <c r="P130" s="136">
        <f t="shared" si="318"/>
        <v>8877</v>
      </c>
      <c r="Q130" s="136">
        <f t="shared" ref="Q130:S130" si="325">G130+Q129</f>
        <v>2144</v>
      </c>
      <c r="R130" s="137">
        <f t="shared" si="325"/>
        <v>75540</v>
      </c>
      <c r="S130" s="136">
        <f t="shared" si="325"/>
        <v>86561</v>
      </c>
      <c r="T130" s="139"/>
      <c r="U130" s="140">
        <f t="shared" ref="U130:X130" si="326">P130/K130</f>
        <v>0.24272667614568522</v>
      </c>
      <c r="V130" s="140">
        <f t="shared" si="326"/>
        <v>0.14274300932090547</v>
      </c>
      <c r="W130" s="141">
        <f t="shared" si="326"/>
        <v>1.9698550119954104</v>
      </c>
      <c r="X130" s="140">
        <f t="shared" si="326"/>
        <v>0.96243050922837448</v>
      </c>
      <c r="Y130" s="142"/>
      <c r="Z130" s="143"/>
      <c r="AA130" s="136"/>
      <c r="AB130" s="136" t="s">
        <v>1566</v>
      </c>
      <c r="AC130" s="128" t="s">
        <v>1566</v>
      </c>
      <c r="AD130" s="135"/>
      <c r="AE130" s="127" t="s">
        <v>1566</v>
      </c>
      <c r="AF130" s="127"/>
      <c r="AG130" s="130"/>
      <c r="AH130" s="130" t="str">
        <f t="shared" si="118"/>
        <v xml:space="preserve"> </v>
      </c>
      <c r="AI130" s="130" t="str">
        <f t="shared" si="119"/>
        <v xml:space="preserve"> </v>
      </c>
      <c r="AJ130" s="144" t="str">
        <f t="shared" si="120"/>
        <v xml:space="preserve"> </v>
      </c>
      <c r="AK130" s="128" t="str">
        <f t="shared" si="121"/>
        <v xml:space="preserve"> </v>
      </c>
      <c r="AL130" s="128">
        <f t="shared" si="122"/>
        <v>2268</v>
      </c>
      <c r="AM130" s="128" t="str">
        <f t="shared" si="123"/>
        <v xml:space="preserve"> </v>
      </c>
      <c r="AN130" s="130" t="str">
        <f t="shared" si="124"/>
        <v xml:space="preserve"> </v>
      </c>
      <c r="AO130" s="130"/>
      <c r="AP130" s="130"/>
    </row>
    <row r="131" spans="1:42">
      <c r="A131" s="131" t="s">
        <v>153</v>
      </c>
      <c r="B131" s="132">
        <v>8</v>
      </c>
      <c r="C131" s="118" t="s">
        <v>154</v>
      </c>
      <c r="D131" s="118">
        <v>2018</v>
      </c>
      <c r="E131" s="133">
        <v>1375</v>
      </c>
      <c r="F131" s="133">
        <v>574</v>
      </c>
      <c r="G131" s="133">
        <v>542</v>
      </c>
      <c r="H131" s="134">
        <v>23690</v>
      </c>
      <c r="I131" s="133">
        <v>26181</v>
      </c>
      <c r="J131" s="135"/>
      <c r="K131" s="136">
        <f t="shared" ref="K131:N131" si="327">K127*5</f>
        <v>45715</v>
      </c>
      <c r="L131" s="136">
        <f t="shared" si="327"/>
        <v>18775</v>
      </c>
      <c r="M131" s="137">
        <f t="shared" si="327"/>
        <v>47935</v>
      </c>
      <c r="N131" s="136">
        <f t="shared" si="327"/>
        <v>112425</v>
      </c>
      <c r="O131" s="135"/>
      <c r="P131" s="136">
        <f t="shared" si="318"/>
        <v>10826</v>
      </c>
      <c r="Q131" s="136">
        <f t="shared" ref="Q131:S131" si="328">G131+Q130</f>
        <v>2686</v>
      </c>
      <c r="R131" s="137">
        <f t="shared" si="328"/>
        <v>99230</v>
      </c>
      <c r="S131" s="136">
        <f t="shared" si="328"/>
        <v>112742</v>
      </c>
      <c r="T131" s="139"/>
      <c r="U131" s="140">
        <f t="shared" ref="U131:X131" si="329">P131/K131</f>
        <v>0.23681504976484744</v>
      </c>
      <c r="V131" s="140">
        <f t="shared" si="329"/>
        <v>0.14306258322237017</v>
      </c>
      <c r="W131" s="141">
        <f t="shared" si="329"/>
        <v>2.0700949202044434</v>
      </c>
      <c r="X131" s="140">
        <f t="shared" si="329"/>
        <v>1.0028196575494774</v>
      </c>
      <c r="Y131" s="142"/>
      <c r="Z131" s="143"/>
      <c r="AA131" s="136"/>
      <c r="AB131" s="136" t="s">
        <v>1566</v>
      </c>
      <c r="AC131" s="128" t="s">
        <v>1566</v>
      </c>
      <c r="AD131" s="135"/>
      <c r="AE131" s="127" t="s">
        <v>1566</v>
      </c>
      <c r="AF131" s="127"/>
      <c r="AG131" s="130"/>
      <c r="AH131" s="130" t="str">
        <f t="shared" si="118"/>
        <v xml:space="preserve"> </v>
      </c>
      <c r="AI131" s="130" t="str">
        <f t="shared" si="119"/>
        <v xml:space="preserve"> </v>
      </c>
      <c r="AJ131" s="144" t="str">
        <f t="shared" si="120"/>
        <v xml:space="preserve"> </v>
      </c>
      <c r="AK131" s="128" t="str">
        <f t="shared" si="121"/>
        <v xml:space="preserve"> </v>
      </c>
      <c r="AL131" s="128" t="str">
        <f t="shared" si="122"/>
        <v xml:space="preserve"> </v>
      </c>
      <c r="AM131" s="128">
        <f t="shared" si="123"/>
        <v>1949</v>
      </c>
      <c r="AN131" s="130" t="str">
        <f t="shared" si="124"/>
        <v xml:space="preserve"> </v>
      </c>
      <c r="AO131" s="130"/>
      <c r="AP131" s="130"/>
    </row>
    <row r="132" spans="1:42">
      <c r="A132" s="131" t="s">
        <v>153</v>
      </c>
      <c r="B132" s="132">
        <v>8</v>
      </c>
      <c r="C132" s="118" t="s">
        <v>155</v>
      </c>
      <c r="D132" s="118">
        <v>2019</v>
      </c>
      <c r="E132" s="133">
        <v>1082</v>
      </c>
      <c r="F132" s="133">
        <v>918</v>
      </c>
      <c r="G132" s="133">
        <v>839</v>
      </c>
      <c r="H132" s="134">
        <v>25577</v>
      </c>
      <c r="I132" s="133">
        <f>E132+F132+G132+H132</f>
        <v>28416</v>
      </c>
      <c r="J132" s="135"/>
      <c r="K132" s="136">
        <f t="shared" ref="K132:N132" si="330">K127*6</f>
        <v>54858</v>
      </c>
      <c r="L132" s="136">
        <f t="shared" si="330"/>
        <v>22530</v>
      </c>
      <c r="M132" s="137">
        <f t="shared" si="330"/>
        <v>57522</v>
      </c>
      <c r="N132" s="136">
        <f t="shared" si="330"/>
        <v>134910</v>
      </c>
      <c r="O132" s="135"/>
      <c r="P132" s="136">
        <f t="shared" si="318"/>
        <v>12826</v>
      </c>
      <c r="Q132" s="136">
        <f t="shared" ref="Q132:S132" si="331">G132+Q131</f>
        <v>3525</v>
      </c>
      <c r="R132" s="137">
        <f t="shared" si="331"/>
        <v>124807</v>
      </c>
      <c r="S132" s="136">
        <f t="shared" si="331"/>
        <v>141158</v>
      </c>
      <c r="T132" s="139"/>
      <c r="U132" s="140">
        <f t="shared" ref="U132:X132" si="332">P132/K132</f>
        <v>0.23380363848481533</v>
      </c>
      <c r="V132" s="140">
        <f t="shared" si="332"/>
        <v>0.15645805592543274</v>
      </c>
      <c r="W132" s="141">
        <f t="shared" si="332"/>
        <v>2.1697263655644798</v>
      </c>
      <c r="X132" s="140">
        <f t="shared" si="332"/>
        <v>1.0463123563857386</v>
      </c>
      <c r="Y132" s="146" t="s">
        <v>153</v>
      </c>
      <c r="Z132" s="143"/>
      <c r="AA132" s="138">
        <v>179881</v>
      </c>
      <c r="AB132" s="136">
        <v>134910</v>
      </c>
      <c r="AC132" s="128">
        <v>9</v>
      </c>
      <c r="AD132" s="135"/>
      <c r="AE132" s="127">
        <f>N127</f>
        <v>22485</v>
      </c>
      <c r="AF132" s="127"/>
      <c r="AG132" s="130"/>
      <c r="AH132" s="130" t="str">
        <f t="shared" si="118"/>
        <v xml:space="preserve"> </v>
      </c>
      <c r="AI132" s="130" t="str">
        <f t="shared" si="119"/>
        <v xml:space="preserve"> </v>
      </c>
      <c r="AJ132" s="144" t="str">
        <f t="shared" si="120"/>
        <v xml:space="preserve"> </v>
      </c>
      <c r="AK132" s="128" t="str">
        <f t="shared" si="121"/>
        <v xml:space="preserve"> </v>
      </c>
      <c r="AL132" s="128" t="str">
        <f t="shared" si="122"/>
        <v xml:space="preserve"> </v>
      </c>
      <c r="AM132" s="128" t="str">
        <f t="shared" si="123"/>
        <v xml:space="preserve"> </v>
      </c>
      <c r="AN132" s="130">
        <f t="shared" si="124"/>
        <v>2000</v>
      </c>
      <c r="AO132" s="130"/>
      <c r="AP132" s="130"/>
    </row>
    <row r="133" spans="1:42">
      <c r="A133" s="131"/>
      <c r="B133" s="132"/>
      <c r="C133" s="118"/>
      <c r="D133" s="118"/>
      <c r="E133" s="133"/>
      <c r="F133" s="133"/>
      <c r="G133" s="133"/>
      <c r="H133" s="151"/>
      <c r="I133" s="133"/>
      <c r="J133" s="135"/>
      <c r="K133" s="136"/>
      <c r="L133" s="136"/>
      <c r="M133" s="137"/>
      <c r="N133" s="136"/>
      <c r="O133" s="135"/>
      <c r="P133" s="136"/>
      <c r="Q133" s="136"/>
      <c r="R133" s="137"/>
      <c r="S133" s="136"/>
      <c r="T133" s="139"/>
      <c r="U133" s="140"/>
      <c r="V133" s="140"/>
      <c r="W133" s="141"/>
      <c r="X133" s="140"/>
      <c r="Y133" s="142"/>
      <c r="Z133" s="143"/>
      <c r="AA133" s="136"/>
      <c r="AB133" s="136" t="s">
        <v>1566</v>
      </c>
      <c r="AC133" s="128" t="s">
        <v>1566</v>
      </c>
      <c r="AD133" s="135"/>
      <c r="AE133" s="127" t="s">
        <v>1566</v>
      </c>
      <c r="AF133" s="127"/>
      <c r="AG133" s="130"/>
      <c r="AH133" s="130" t="str">
        <f t="shared" si="118"/>
        <v xml:space="preserve"> </v>
      </c>
      <c r="AI133" s="130" t="str">
        <f t="shared" si="119"/>
        <v xml:space="preserve"> </v>
      </c>
      <c r="AJ133" s="144" t="str">
        <f t="shared" si="120"/>
        <v xml:space="preserve"> </v>
      </c>
      <c r="AK133" s="128" t="str">
        <f t="shared" si="121"/>
        <v xml:space="preserve"> </v>
      </c>
      <c r="AL133" s="128" t="str">
        <f t="shared" si="122"/>
        <v xml:space="preserve"> </v>
      </c>
      <c r="AM133" s="128" t="str">
        <f t="shared" si="123"/>
        <v xml:space="preserve"> </v>
      </c>
      <c r="AN133" s="130" t="str">
        <f t="shared" si="124"/>
        <v xml:space="preserve"> </v>
      </c>
      <c r="AO133" s="130"/>
      <c r="AP133" s="130"/>
    </row>
    <row r="134" spans="1:42">
      <c r="A134" s="131" t="s">
        <v>156</v>
      </c>
      <c r="B134" s="132">
        <v>5</v>
      </c>
      <c r="C134" s="118" t="s">
        <v>128</v>
      </c>
      <c r="D134" s="118">
        <v>2014</v>
      </c>
      <c r="E134" s="133">
        <v>15</v>
      </c>
      <c r="F134" s="133">
        <v>113</v>
      </c>
      <c r="G134" s="133">
        <v>21</v>
      </c>
      <c r="H134" s="134">
        <v>1</v>
      </c>
      <c r="I134" s="133">
        <v>150</v>
      </c>
      <c r="J134" s="135"/>
      <c r="K134" s="136">
        <f>ROUND((2890+2230)/5,0)</f>
        <v>1024</v>
      </c>
      <c r="L134" s="136">
        <f>ROUND('HCD Assigned 5th Cycle RHNA'!F585/B134,0)</f>
        <v>462</v>
      </c>
      <c r="M134" s="137">
        <f>ROUND(5465/5,0)</f>
        <v>1093</v>
      </c>
      <c r="N134" s="136">
        <f>ROUND(12895/5,0)</f>
        <v>2579</v>
      </c>
      <c r="O134" s="135"/>
      <c r="P134" s="136">
        <f>E134+F134</f>
        <v>128</v>
      </c>
      <c r="Q134" s="136">
        <f t="shared" ref="Q134:S134" si="333">G134</f>
        <v>21</v>
      </c>
      <c r="R134" s="137">
        <f t="shared" si="333"/>
        <v>1</v>
      </c>
      <c r="S134" s="136">
        <f t="shared" si="333"/>
        <v>150</v>
      </c>
      <c r="T134" s="139"/>
      <c r="U134" s="140">
        <f t="shared" ref="U134:X134" si="334">P134/K134</f>
        <v>0.125</v>
      </c>
      <c r="V134" s="140">
        <f t="shared" si="334"/>
        <v>4.5454545454545456E-2</v>
      </c>
      <c r="W134" s="141">
        <f t="shared" si="334"/>
        <v>9.1491308325709062E-4</v>
      </c>
      <c r="X134" s="140">
        <f t="shared" si="334"/>
        <v>5.8162078324932143E-2</v>
      </c>
      <c r="Y134" s="142"/>
      <c r="Z134" s="143"/>
      <c r="AA134" s="136"/>
      <c r="AB134" s="136" t="s">
        <v>1566</v>
      </c>
      <c r="AC134" s="128" t="s">
        <v>1566</v>
      </c>
      <c r="AD134" s="135"/>
      <c r="AE134" s="127"/>
      <c r="AF134" s="127"/>
      <c r="AG134" s="130"/>
      <c r="AH134" s="130" t="str">
        <f t="shared" si="118"/>
        <v xml:space="preserve"> </v>
      </c>
      <c r="AI134" s="130">
        <f t="shared" si="119"/>
        <v>128</v>
      </c>
      <c r="AJ134" s="144" t="str">
        <f t="shared" si="120"/>
        <v xml:space="preserve"> </v>
      </c>
      <c r="AK134" s="128" t="str">
        <f t="shared" si="121"/>
        <v xml:space="preserve"> </v>
      </c>
      <c r="AL134" s="128" t="str">
        <f t="shared" si="122"/>
        <v xml:space="preserve"> </v>
      </c>
      <c r="AM134" s="128" t="str">
        <f t="shared" si="123"/>
        <v xml:space="preserve"> </v>
      </c>
      <c r="AN134" s="130" t="str">
        <f t="shared" si="124"/>
        <v xml:space="preserve"> </v>
      </c>
      <c r="AO134" s="130"/>
      <c r="AP134" s="130"/>
    </row>
    <row r="135" spans="1:42">
      <c r="A135" s="131" t="s">
        <v>156</v>
      </c>
      <c r="B135" s="132">
        <v>5</v>
      </c>
      <c r="C135" s="118" t="s">
        <v>128</v>
      </c>
      <c r="D135" s="118">
        <v>2015</v>
      </c>
      <c r="E135" s="133">
        <v>2</v>
      </c>
      <c r="F135" s="133">
        <v>140</v>
      </c>
      <c r="G135" s="133">
        <v>17</v>
      </c>
      <c r="H135" s="134">
        <v>1</v>
      </c>
      <c r="I135" s="133">
        <v>160</v>
      </c>
      <c r="J135" s="135"/>
      <c r="K135" s="136">
        <f t="shared" ref="K135:N135" si="335">K134*2</f>
        <v>2048</v>
      </c>
      <c r="L135" s="136">
        <f t="shared" si="335"/>
        <v>924</v>
      </c>
      <c r="M135" s="137">
        <f t="shared" si="335"/>
        <v>2186</v>
      </c>
      <c r="N135" s="136">
        <f t="shared" si="335"/>
        <v>5158</v>
      </c>
      <c r="O135" s="135"/>
      <c r="P135" s="136">
        <f t="shared" ref="P135:P139" si="336">E135+F135+P134</f>
        <v>270</v>
      </c>
      <c r="Q135" s="136">
        <f t="shared" ref="Q135:S135" si="337">G135+Q134</f>
        <v>38</v>
      </c>
      <c r="R135" s="137">
        <f t="shared" si="337"/>
        <v>2</v>
      </c>
      <c r="S135" s="136">
        <f t="shared" si="337"/>
        <v>310</v>
      </c>
      <c r="T135" s="139"/>
      <c r="U135" s="140">
        <f t="shared" ref="U135:X135" si="338">P135/K135</f>
        <v>0.1318359375</v>
      </c>
      <c r="V135" s="140">
        <f t="shared" si="338"/>
        <v>4.1125541125541128E-2</v>
      </c>
      <c r="W135" s="141">
        <f t="shared" si="338"/>
        <v>9.1491308325709062E-4</v>
      </c>
      <c r="X135" s="140">
        <f t="shared" si="338"/>
        <v>6.0100814269096546E-2</v>
      </c>
      <c r="Y135" s="142"/>
      <c r="Z135" s="143"/>
      <c r="AA135" s="136"/>
      <c r="AB135" s="136" t="s">
        <v>1566</v>
      </c>
      <c r="AC135" s="128" t="s">
        <v>1566</v>
      </c>
      <c r="AD135" s="135"/>
      <c r="AE135" s="127"/>
      <c r="AF135" s="127"/>
      <c r="AG135" s="130"/>
      <c r="AH135" s="130" t="str">
        <f t="shared" si="118"/>
        <v xml:space="preserve"> </v>
      </c>
      <c r="AI135" s="130" t="str">
        <f t="shared" si="119"/>
        <v xml:space="preserve"> </v>
      </c>
      <c r="AJ135" s="130">
        <f t="shared" si="120"/>
        <v>142</v>
      </c>
      <c r="AK135" s="128" t="str">
        <f t="shared" si="121"/>
        <v xml:space="preserve"> </v>
      </c>
      <c r="AL135" s="128" t="str">
        <f t="shared" si="122"/>
        <v xml:space="preserve"> </v>
      </c>
      <c r="AM135" s="128" t="str">
        <f t="shared" si="123"/>
        <v xml:space="preserve"> </v>
      </c>
      <c r="AN135" s="130" t="str">
        <f t="shared" si="124"/>
        <v xml:space="preserve"> </v>
      </c>
      <c r="AO135" s="130"/>
      <c r="AP135" s="130"/>
    </row>
    <row r="136" spans="1:42">
      <c r="A136" s="131" t="s">
        <v>156</v>
      </c>
      <c r="B136" s="132">
        <v>5</v>
      </c>
      <c r="C136" s="118" t="s">
        <v>128</v>
      </c>
      <c r="D136" s="118">
        <v>2016</v>
      </c>
      <c r="E136" s="133">
        <v>0</v>
      </c>
      <c r="F136" s="133">
        <v>20</v>
      </c>
      <c r="G136" s="133">
        <v>55</v>
      </c>
      <c r="H136" s="134">
        <v>4</v>
      </c>
      <c r="I136" s="133">
        <v>79</v>
      </c>
      <c r="J136" s="135"/>
      <c r="K136" s="136">
        <f t="shared" ref="K136:N136" si="339">K134*3</f>
        <v>3072</v>
      </c>
      <c r="L136" s="136">
        <f t="shared" si="339"/>
        <v>1386</v>
      </c>
      <c r="M136" s="137">
        <f t="shared" si="339"/>
        <v>3279</v>
      </c>
      <c r="N136" s="136">
        <f t="shared" si="339"/>
        <v>7737</v>
      </c>
      <c r="O136" s="135"/>
      <c r="P136" s="136">
        <f t="shared" si="336"/>
        <v>290</v>
      </c>
      <c r="Q136" s="136">
        <f t="shared" ref="Q136:S136" si="340">G136+Q135</f>
        <v>93</v>
      </c>
      <c r="R136" s="137">
        <f t="shared" si="340"/>
        <v>6</v>
      </c>
      <c r="S136" s="136">
        <f t="shared" si="340"/>
        <v>389</v>
      </c>
      <c r="T136" s="139"/>
      <c r="U136" s="140">
        <f t="shared" ref="U136:X136" si="341">P136/K136</f>
        <v>9.4401041666666671E-2</v>
      </c>
      <c r="V136" s="140">
        <f t="shared" si="341"/>
        <v>6.7099567099567103E-2</v>
      </c>
      <c r="W136" s="141">
        <f t="shared" si="341"/>
        <v>1.8298261665141812E-3</v>
      </c>
      <c r="X136" s="140">
        <f t="shared" si="341"/>
        <v>5.0277885485330229E-2</v>
      </c>
      <c r="Y136" s="142"/>
      <c r="Z136" s="143"/>
      <c r="AA136" s="136"/>
      <c r="AB136" s="136" t="s">
        <v>1566</v>
      </c>
      <c r="AC136" s="128" t="s">
        <v>1566</v>
      </c>
      <c r="AD136" s="135"/>
      <c r="AE136" s="127" t="s">
        <v>1566</v>
      </c>
      <c r="AF136" s="127"/>
      <c r="AG136" s="130"/>
      <c r="AH136" s="130" t="str">
        <f t="shared" si="118"/>
        <v xml:space="preserve"> </v>
      </c>
      <c r="AI136" s="130" t="str">
        <f t="shared" si="119"/>
        <v xml:space="preserve"> </v>
      </c>
      <c r="AJ136" s="144" t="str">
        <f t="shared" si="120"/>
        <v xml:space="preserve"> </v>
      </c>
      <c r="AK136" s="128">
        <f t="shared" si="121"/>
        <v>20</v>
      </c>
      <c r="AL136" s="128" t="str">
        <f t="shared" si="122"/>
        <v xml:space="preserve"> </v>
      </c>
      <c r="AM136" s="128" t="str">
        <f t="shared" si="123"/>
        <v xml:space="preserve"> </v>
      </c>
      <c r="AN136" s="130" t="str">
        <f t="shared" si="124"/>
        <v xml:space="preserve"> </v>
      </c>
      <c r="AO136" s="130"/>
      <c r="AP136" s="130"/>
    </row>
    <row r="137" spans="1:42">
      <c r="A137" s="131" t="s">
        <v>156</v>
      </c>
      <c r="B137" s="132">
        <v>5</v>
      </c>
      <c r="C137" s="118" t="s">
        <v>128</v>
      </c>
      <c r="D137" s="118">
        <v>2017</v>
      </c>
      <c r="E137" s="133">
        <v>6</v>
      </c>
      <c r="F137" s="133">
        <v>67</v>
      </c>
      <c r="G137" s="133">
        <v>88</v>
      </c>
      <c r="H137" s="134">
        <v>148</v>
      </c>
      <c r="I137" s="133">
        <v>309</v>
      </c>
      <c r="J137" s="135"/>
      <c r="K137" s="136">
        <f t="shared" ref="K137:N137" si="342">K134*4</f>
        <v>4096</v>
      </c>
      <c r="L137" s="136">
        <f t="shared" si="342"/>
        <v>1848</v>
      </c>
      <c r="M137" s="137">
        <f t="shared" si="342"/>
        <v>4372</v>
      </c>
      <c r="N137" s="136">
        <f t="shared" si="342"/>
        <v>10316</v>
      </c>
      <c r="O137" s="135"/>
      <c r="P137" s="136">
        <f t="shared" si="336"/>
        <v>363</v>
      </c>
      <c r="Q137" s="136">
        <f t="shared" ref="Q137:S137" si="343">G137+Q136</f>
        <v>181</v>
      </c>
      <c r="R137" s="137">
        <f t="shared" si="343"/>
        <v>154</v>
      </c>
      <c r="S137" s="136">
        <f t="shared" si="343"/>
        <v>698</v>
      </c>
      <c r="T137" s="139"/>
      <c r="U137" s="140">
        <f t="shared" ref="U137:X137" si="344">P137/K137</f>
        <v>8.8623046875E-2</v>
      </c>
      <c r="V137" s="140">
        <f t="shared" si="344"/>
        <v>9.7943722943722944E-2</v>
      </c>
      <c r="W137" s="141">
        <f t="shared" si="344"/>
        <v>3.5224153705397984E-2</v>
      </c>
      <c r="X137" s="140">
        <f t="shared" si="344"/>
        <v>6.7661884451337723E-2</v>
      </c>
      <c r="Y137" s="142"/>
      <c r="Z137" s="143"/>
      <c r="AA137" s="136"/>
      <c r="AB137" s="136" t="s">
        <v>1566</v>
      </c>
      <c r="AC137" s="128" t="s">
        <v>1566</v>
      </c>
      <c r="AD137" s="135"/>
      <c r="AE137" s="127" t="s">
        <v>1566</v>
      </c>
      <c r="AF137" s="127"/>
      <c r="AG137" s="130"/>
      <c r="AH137" s="130" t="str">
        <f t="shared" si="118"/>
        <v xml:space="preserve"> </v>
      </c>
      <c r="AI137" s="130" t="str">
        <f t="shared" si="119"/>
        <v xml:space="preserve"> </v>
      </c>
      <c r="AJ137" s="144" t="str">
        <f t="shared" si="120"/>
        <v xml:space="preserve"> </v>
      </c>
      <c r="AK137" s="128" t="str">
        <f t="shared" si="121"/>
        <v xml:space="preserve"> </v>
      </c>
      <c r="AL137" s="128">
        <f t="shared" si="122"/>
        <v>73</v>
      </c>
      <c r="AM137" s="128" t="str">
        <f t="shared" si="123"/>
        <v xml:space="preserve"> </v>
      </c>
      <c r="AN137" s="130" t="str">
        <f t="shared" si="124"/>
        <v xml:space="preserve"> </v>
      </c>
      <c r="AO137" s="130"/>
      <c r="AP137" s="130"/>
    </row>
    <row r="138" spans="1:42">
      <c r="A138" s="131" t="s">
        <v>156</v>
      </c>
      <c r="B138" s="132">
        <v>5</v>
      </c>
      <c r="C138" s="118" t="s">
        <v>128</v>
      </c>
      <c r="D138" s="118">
        <v>2018</v>
      </c>
      <c r="E138" s="133">
        <v>0</v>
      </c>
      <c r="F138" s="133">
        <v>10</v>
      </c>
      <c r="G138" s="133">
        <v>20</v>
      </c>
      <c r="H138" s="134">
        <v>364</v>
      </c>
      <c r="I138" s="133">
        <v>394</v>
      </c>
      <c r="J138" s="135"/>
      <c r="K138" s="136">
        <f t="shared" ref="K138:N138" si="345">K134*5</f>
        <v>5120</v>
      </c>
      <c r="L138" s="136">
        <f t="shared" si="345"/>
        <v>2310</v>
      </c>
      <c r="M138" s="137">
        <f t="shared" si="345"/>
        <v>5465</v>
      </c>
      <c r="N138" s="136">
        <f t="shared" si="345"/>
        <v>12895</v>
      </c>
      <c r="O138" s="135"/>
      <c r="P138" s="136">
        <f t="shared" si="336"/>
        <v>373</v>
      </c>
      <c r="Q138" s="136">
        <f t="shared" ref="Q138:S138" si="346">G138+Q137</f>
        <v>201</v>
      </c>
      <c r="R138" s="137">
        <f t="shared" si="346"/>
        <v>518</v>
      </c>
      <c r="S138" s="136">
        <f t="shared" si="346"/>
        <v>1092</v>
      </c>
      <c r="T138" s="139"/>
      <c r="U138" s="140">
        <f t="shared" ref="U138:X138" si="347">P138/K138</f>
        <v>7.2851562499999994E-2</v>
      </c>
      <c r="V138" s="140">
        <f t="shared" si="347"/>
        <v>8.7012987012987014E-2</v>
      </c>
      <c r="W138" s="141">
        <f t="shared" si="347"/>
        <v>9.4784995425434587E-2</v>
      </c>
      <c r="X138" s="140">
        <f t="shared" si="347"/>
        <v>8.4683986041101209E-2</v>
      </c>
      <c r="Y138" s="142"/>
      <c r="Z138" s="143"/>
      <c r="AA138" s="136"/>
      <c r="AB138" s="136" t="s">
        <v>1566</v>
      </c>
      <c r="AC138" s="128" t="s">
        <v>1566</v>
      </c>
      <c r="AD138" s="135"/>
      <c r="AE138" s="127" t="s">
        <v>1566</v>
      </c>
      <c r="AF138" s="127"/>
      <c r="AG138" s="130"/>
      <c r="AH138" s="130" t="str">
        <f t="shared" si="118"/>
        <v xml:space="preserve"> </v>
      </c>
      <c r="AI138" s="130" t="str">
        <f t="shared" si="119"/>
        <v xml:space="preserve"> </v>
      </c>
      <c r="AJ138" s="144" t="str">
        <f t="shared" si="120"/>
        <v xml:space="preserve"> </v>
      </c>
      <c r="AK138" s="128" t="str">
        <f t="shared" si="121"/>
        <v xml:space="preserve"> </v>
      </c>
      <c r="AL138" s="128" t="str">
        <f t="shared" si="122"/>
        <v xml:space="preserve"> </v>
      </c>
      <c r="AM138" s="128">
        <f t="shared" si="123"/>
        <v>10</v>
      </c>
      <c r="AN138" s="130" t="str">
        <f t="shared" si="124"/>
        <v xml:space="preserve"> </v>
      </c>
      <c r="AO138" s="130"/>
      <c r="AP138" s="130"/>
    </row>
    <row r="139" spans="1:42">
      <c r="A139" s="131" t="s">
        <v>156</v>
      </c>
      <c r="B139" s="132">
        <v>5</v>
      </c>
      <c r="C139" s="118" t="s">
        <v>128</v>
      </c>
      <c r="D139" s="118">
        <v>2019</v>
      </c>
      <c r="E139" s="133">
        <v>0</v>
      </c>
      <c r="F139" s="133">
        <v>0</v>
      </c>
      <c r="G139" s="133">
        <v>4</v>
      </c>
      <c r="H139" s="134">
        <v>633</v>
      </c>
      <c r="I139" s="133">
        <f>E139+F139+G139+H139</f>
        <v>637</v>
      </c>
      <c r="J139" s="135"/>
      <c r="K139" s="136">
        <f t="shared" ref="K139:N139" si="348">K138</f>
        <v>5120</v>
      </c>
      <c r="L139" s="136">
        <f t="shared" si="348"/>
        <v>2310</v>
      </c>
      <c r="M139" s="137">
        <f t="shared" si="348"/>
        <v>5465</v>
      </c>
      <c r="N139" s="136">
        <f t="shared" si="348"/>
        <v>12895</v>
      </c>
      <c r="O139" s="135"/>
      <c r="P139" s="136">
        <f t="shared" si="336"/>
        <v>373</v>
      </c>
      <c r="Q139" s="136">
        <f t="shared" ref="Q139:S139" si="349">G139+Q138</f>
        <v>205</v>
      </c>
      <c r="R139" s="137">
        <f t="shared" si="349"/>
        <v>1151</v>
      </c>
      <c r="S139" s="136">
        <f t="shared" si="349"/>
        <v>1729</v>
      </c>
      <c r="T139" s="139"/>
      <c r="U139" s="140">
        <f t="shared" ref="U139:X139" si="350">P139/K139</f>
        <v>7.2851562499999994E-2</v>
      </c>
      <c r="V139" s="140">
        <f t="shared" si="350"/>
        <v>8.8744588744588751E-2</v>
      </c>
      <c r="W139" s="141">
        <f t="shared" si="350"/>
        <v>0.21061299176578224</v>
      </c>
      <c r="X139" s="140">
        <f t="shared" si="350"/>
        <v>0.13408297789841023</v>
      </c>
      <c r="Y139" s="146" t="s">
        <v>156</v>
      </c>
      <c r="Z139" s="143"/>
      <c r="AA139" s="138">
        <v>12895</v>
      </c>
      <c r="AB139" s="136">
        <v>12895</v>
      </c>
      <c r="AC139" s="128">
        <v>141158</v>
      </c>
      <c r="AD139" s="135"/>
      <c r="AE139" s="127">
        <f>N134</f>
        <v>2579</v>
      </c>
      <c r="AF139" s="127"/>
      <c r="AG139" s="130"/>
      <c r="AH139" s="130" t="str">
        <f t="shared" si="118"/>
        <v xml:space="preserve"> </v>
      </c>
      <c r="AI139" s="130" t="str">
        <f t="shared" si="119"/>
        <v xml:space="preserve"> </v>
      </c>
      <c r="AJ139" s="144" t="str">
        <f t="shared" si="120"/>
        <v xml:space="preserve"> </v>
      </c>
      <c r="AK139" s="128" t="str">
        <f t="shared" si="121"/>
        <v xml:space="preserve"> </v>
      </c>
      <c r="AL139" s="128" t="str">
        <f t="shared" si="122"/>
        <v xml:space="preserve"> </v>
      </c>
      <c r="AM139" s="128" t="str">
        <f t="shared" si="123"/>
        <v xml:space="preserve"> </v>
      </c>
      <c r="AN139" s="130">
        <f t="shared" si="124"/>
        <v>0</v>
      </c>
      <c r="AO139" s="130"/>
      <c r="AP139" s="130"/>
    </row>
    <row r="140" spans="1:42">
      <c r="A140" s="131"/>
      <c r="B140" s="132"/>
      <c r="C140" s="152"/>
      <c r="D140" s="118"/>
      <c r="E140" s="133"/>
      <c r="F140" s="133"/>
      <c r="G140" s="133"/>
      <c r="H140" s="134"/>
      <c r="I140" s="133"/>
      <c r="J140" s="135"/>
      <c r="K140" s="136"/>
      <c r="L140" s="136"/>
      <c r="M140" s="137"/>
      <c r="N140" s="136"/>
      <c r="O140" s="135"/>
      <c r="P140" s="136"/>
      <c r="Q140" s="136"/>
      <c r="R140" s="137"/>
      <c r="S140" s="136"/>
      <c r="T140" s="139"/>
      <c r="U140" s="140"/>
      <c r="V140" s="140"/>
      <c r="W140" s="141"/>
      <c r="X140" s="140"/>
      <c r="Y140" s="142"/>
      <c r="Z140" s="143"/>
      <c r="AA140" s="136"/>
      <c r="AB140" s="136" t="s">
        <v>1566</v>
      </c>
      <c r="AC140" s="128" t="s">
        <v>1566</v>
      </c>
      <c r="AD140" s="135"/>
      <c r="AE140" s="127" t="s">
        <v>1566</v>
      </c>
      <c r="AF140" s="127"/>
      <c r="AG140" s="130"/>
      <c r="AH140" s="130" t="str">
        <f t="shared" si="118"/>
        <v xml:space="preserve"> </v>
      </c>
      <c r="AI140" s="130" t="str">
        <f t="shared" si="119"/>
        <v xml:space="preserve"> </v>
      </c>
      <c r="AJ140" s="144" t="str">
        <f t="shared" si="120"/>
        <v xml:space="preserve"> </v>
      </c>
      <c r="AK140" s="128" t="str">
        <f t="shared" si="121"/>
        <v xml:space="preserve"> </v>
      </c>
      <c r="AL140" s="128" t="str">
        <f t="shared" si="122"/>
        <v xml:space="preserve"> </v>
      </c>
      <c r="AM140" s="128" t="str">
        <f t="shared" si="123"/>
        <v xml:space="preserve"> </v>
      </c>
      <c r="AN140" s="130" t="str">
        <f t="shared" si="124"/>
        <v xml:space="preserve"> </v>
      </c>
      <c r="AO140" s="130"/>
      <c r="AP140" s="130"/>
    </row>
    <row r="141" spans="1:42">
      <c r="A141" s="131" t="s">
        <v>157</v>
      </c>
      <c r="B141" s="132">
        <v>8</v>
      </c>
      <c r="C141" s="118" t="s">
        <v>126</v>
      </c>
      <c r="D141" s="118">
        <v>2014</v>
      </c>
      <c r="E141" s="133">
        <v>21</v>
      </c>
      <c r="F141" s="133">
        <v>50</v>
      </c>
      <c r="G141" s="133">
        <v>24</v>
      </c>
      <c r="H141" s="134">
        <v>144</v>
      </c>
      <c r="I141" s="133">
        <f t="shared" ref="I141:I146" si="351">E141+F141+G141+H141</f>
        <v>239</v>
      </c>
      <c r="J141" s="135"/>
      <c r="K141" s="136"/>
      <c r="L141" s="136"/>
      <c r="M141" s="137"/>
      <c r="N141" s="136"/>
      <c r="O141" s="135"/>
      <c r="P141" s="136">
        <f>E141+F141</f>
        <v>71</v>
      </c>
      <c r="Q141" s="136">
        <f t="shared" ref="Q141:S141" si="352">G141</f>
        <v>24</v>
      </c>
      <c r="R141" s="137">
        <f t="shared" si="352"/>
        <v>144</v>
      </c>
      <c r="S141" s="136">
        <f t="shared" si="352"/>
        <v>239</v>
      </c>
      <c r="T141" s="139"/>
      <c r="U141" s="140">
        <f t="shared" ref="U141:X141" si="353">P141/K142</f>
        <v>0.57723577235772361</v>
      </c>
      <c r="V141" s="140">
        <f t="shared" si="353"/>
        <v>0.45283018867924529</v>
      </c>
      <c r="W141" s="141">
        <f t="shared" si="353"/>
        <v>1.2972972972972974</v>
      </c>
      <c r="X141" s="140">
        <f t="shared" si="353"/>
        <v>0.83275261324041816</v>
      </c>
      <c r="Y141" s="142"/>
      <c r="Z141" s="143"/>
      <c r="AA141" s="136"/>
      <c r="AB141" s="136"/>
      <c r="AC141" s="128"/>
      <c r="AD141" s="135"/>
      <c r="AE141" s="127"/>
      <c r="AF141" s="127"/>
      <c r="AG141" s="130"/>
      <c r="AH141" s="130" t="str">
        <f t="shared" si="118"/>
        <v xml:space="preserve"> </v>
      </c>
      <c r="AI141" s="130">
        <f t="shared" si="119"/>
        <v>71</v>
      </c>
      <c r="AJ141" s="144" t="str">
        <f t="shared" si="120"/>
        <v xml:space="preserve"> </v>
      </c>
      <c r="AK141" s="128" t="str">
        <f t="shared" si="121"/>
        <v xml:space="preserve"> </v>
      </c>
      <c r="AL141" s="128" t="str">
        <f t="shared" si="122"/>
        <v xml:space="preserve"> </v>
      </c>
      <c r="AM141" s="128" t="str">
        <f t="shared" si="123"/>
        <v xml:space="preserve"> </v>
      </c>
      <c r="AN141" s="130" t="str">
        <f t="shared" si="124"/>
        <v xml:space="preserve"> </v>
      </c>
      <c r="AO141" s="130"/>
      <c r="AP141" s="130"/>
    </row>
    <row r="142" spans="1:42">
      <c r="A142" s="131" t="s">
        <v>157</v>
      </c>
      <c r="B142" s="132">
        <v>8</v>
      </c>
      <c r="C142" s="118" t="s">
        <v>126</v>
      </c>
      <c r="D142" s="118">
        <v>2015</v>
      </c>
      <c r="E142" s="133">
        <v>41</v>
      </c>
      <c r="F142" s="133">
        <v>43</v>
      </c>
      <c r="G142" s="133">
        <v>22</v>
      </c>
      <c r="H142" s="134">
        <v>313</v>
      </c>
      <c r="I142" s="133">
        <f t="shared" si="351"/>
        <v>419</v>
      </c>
      <c r="J142" s="135"/>
      <c r="K142" s="136">
        <f>ROUND((618+367)/8,0)</f>
        <v>123</v>
      </c>
      <c r="L142" s="136">
        <f>ROUND('HCD Assigned 5th Cycle RHNA'!F287/B142,0)</f>
        <v>53</v>
      </c>
      <c r="M142" s="137">
        <f>ROUND(890/8,0)</f>
        <v>111</v>
      </c>
      <c r="N142" s="136">
        <f>ROUND(2298/8,0)</f>
        <v>287</v>
      </c>
      <c r="O142" s="135"/>
      <c r="P142" s="136">
        <f t="shared" ref="P142:P146" si="354">E142+F142+P141</f>
        <v>155</v>
      </c>
      <c r="Q142" s="136">
        <f t="shared" ref="Q142:S142" si="355">G142+Q141</f>
        <v>46</v>
      </c>
      <c r="R142" s="137">
        <f t="shared" si="355"/>
        <v>457</v>
      </c>
      <c r="S142" s="136">
        <f t="shared" si="355"/>
        <v>658</v>
      </c>
      <c r="T142" s="139"/>
      <c r="U142" s="140">
        <f t="shared" ref="U142:X142" si="356">P142/K142</f>
        <v>1.2601626016260163</v>
      </c>
      <c r="V142" s="140">
        <f t="shared" si="356"/>
        <v>0.86792452830188682</v>
      </c>
      <c r="W142" s="141">
        <f t="shared" si="356"/>
        <v>4.1171171171171173</v>
      </c>
      <c r="X142" s="140">
        <f t="shared" si="356"/>
        <v>2.2926829268292681</v>
      </c>
      <c r="Y142" s="142"/>
      <c r="Z142" s="143"/>
      <c r="AA142" s="136"/>
      <c r="AB142" s="136" t="s">
        <v>1566</v>
      </c>
      <c r="AC142" s="128" t="s">
        <v>1566</v>
      </c>
      <c r="AD142" s="135"/>
      <c r="AE142" s="127"/>
      <c r="AF142" s="127"/>
      <c r="AG142" s="130"/>
      <c r="AH142" s="130" t="str">
        <f t="shared" si="118"/>
        <v xml:space="preserve"> </v>
      </c>
      <c r="AI142" s="130" t="str">
        <f t="shared" si="119"/>
        <v xml:space="preserve"> </v>
      </c>
      <c r="AJ142" s="130">
        <f t="shared" si="120"/>
        <v>84</v>
      </c>
      <c r="AK142" s="128" t="str">
        <f t="shared" si="121"/>
        <v xml:space="preserve"> </v>
      </c>
      <c r="AL142" s="128" t="str">
        <f t="shared" si="122"/>
        <v xml:space="preserve"> </v>
      </c>
      <c r="AM142" s="128" t="str">
        <f t="shared" si="123"/>
        <v xml:space="preserve"> </v>
      </c>
      <c r="AN142" s="130" t="str">
        <f t="shared" si="124"/>
        <v xml:space="preserve"> </v>
      </c>
      <c r="AO142" s="130"/>
      <c r="AP142" s="130"/>
    </row>
    <row r="143" spans="1:42">
      <c r="A143" s="131" t="s">
        <v>157</v>
      </c>
      <c r="B143" s="132">
        <v>8</v>
      </c>
      <c r="C143" s="118" t="s">
        <v>126</v>
      </c>
      <c r="D143" s="118">
        <v>2016</v>
      </c>
      <c r="E143" s="133">
        <v>12</v>
      </c>
      <c r="F143" s="133">
        <v>17</v>
      </c>
      <c r="G143" s="133">
        <v>7</v>
      </c>
      <c r="H143" s="134">
        <v>80</v>
      </c>
      <c r="I143" s="133">
        <f t="shared" si="351"/>
        <v>116</v>
      </c>
      <c r="J143" s="135"/>
      <c r="K143" s="136">
        <f t="shared" ref="K143:N143" si="357">K142*2</f>
        <v>246</v>
      </c>
      <c r="L143" s="136">
        <f t="shared" si="357"/>
        <v>106</v>
      </c>
      <c r="M143" s="137">
        <f t="shared" si="357"/>
        <v>222</v>
      </c>
      <c r="N143" s="136">
        <f t="shared" si="357"/>
        <v>574</v>
      </c>
      <c r="O143" s="135"/>
      <c r="P143" s="136">
        <f t="shared" si="354"/>
        <v>184</v>
      </c>
      <c r="Q143" s="136">
        <f t="shared" ref="Q143:S143" si="358">G143+Q142</f>
        <v>53</v>
      </c>
      <c r="R143" s="137">
        <f t="shared" si="358"/>
        <v>537</v>
      </c>
      <c r="S143" s="136">
        <f t="shared" si="358"/>
        <v>774</v>
      </c>
      <c r="T143" s="139"/>
      <c r="U143" s="140">
        <f t="shared" ref="U143:X143" si="359">P143/K143</f>
        <v>0.74796747967479671</v>
      </c>
      <c r="V143" s="140">
        <f t="shared" si="359"/>
        <v>0.5</v>
      </c>
      <c r="W143" s="141">
        <f t="shared" si="359"/>
        <v>2.4189189189189189</v>
      </c>
      <c r="X143" s="140">
        <f t="shared" si="359"/>
        <v>1.3484320557491289</v>
      </c>
      <c r="Y143" s="142"/>
      <c r="Z143" s="143"/>
      <c r="AA143" s="136"/>
      <c r="AB143" s="136" t="s">
        <v>1566</v>
      </c>
      <c r="AC143" s="128" t="s">
        <v>1566</v>
      </c>
      <c r="AD143" s="135"/>
      <c r="AE143" s="127" t="s">
        <v>1566</v>
      </c>
      <c r="AF143" s="127"/>
      <c r="AG143" s="130"/>
      <c r="AH143" s="130" t="str">
        <f t="shared" si="118"/>
        <v xml:space="preserve"> </v>
      </c>
      <c r="AI143" s="130" t="str">
        <f t="shared" si="119"/>
        <v xml:space="preserve"> </v>
      </c>
      <c r="AJ143" s="144" t="str">
        <f t="shared" si="120"/>
        <v xml:space="preserve"> </v>
      </c>
      <c r="AK143" s="128">
        <f t="shared" si="121"/>
        <v>29</v>
      </c>
      <c r="AL143" s="128" t="str">
        <f t="shared" si="122"/>
        <v xml:space="preserve"> </v>
      </c>
      <c r="AM143" s="128" t="str">
        <f t="shared" si="123"/>
        <v xml:space="preserve"> </v>
      </c>
      <c r="AN143" s="130" t="str">
        <f t="shared" si="124"/>
        <v xml:space="preserve"> </v>
      </c>
      <c r="AO143" s="130"/>
      <c r="AP143" s="130"/>
    </row>
    <row r="144" spans="1:42">
      <c r="A144" s="131" t="s">
        <v>157</v>
      </c>
      <c r="B144" s="132">
        <v>8</v>
      </c>
      <c r="C144" s="118" t="s">
        <v>126</v>
      </c>
      <c r="D144" s="118">
        <v>2017</v>
      </c>
      <c r="E144" s="133">
        <v>13</v>
      </c>
      <c r="F144" s="133">
        <v>24</v>
      </c>
      <c r="G144" s="133">
        <v>17</v>
      </c>
      <c r="H144" s="134">
        <v>76</v>
      </c>
      <c r="I144" s="133">
        <f t="shared" si="351"/>
        <v>130</v>
      </c>
      <c r="J144" s="135"/>
      <c r="K144" s="136">
        <f t="shared" ref="K144:L144" si="360">K142*3</f>
        <v>369</v>
      </c>
      <c r="L144" s="136">
        <f t="shared" si="360"/>
        <v>159</v>
      </c>
      <c r="M144" s="137">
        <f>M143*3</f>
        <v>666</v>
      </c>
      <c r="N144" s="136">
        <f>N142*3</f>
        <v>861</v>
      </c>
      <c r="O144" s="135"/>
      <c r="P144" s="138">
        <f t="shared" si="354"/>
        <v>221</v>
      </c>
      <c r="Q144" s="136">
        <f t="shared" ref="Q144:S144" si="361">G144+Q143</f>
        <v>70</v>
      </c>
      <c r="R144" s="137">
        <f t="shared" si="361"/>
        <v>613</v>
      </c>
      <c r="S144" s="136">
        <f t="shared" si="361"/>
        <v>904</v>
      </c>
      <c r="T144" s="139"/>
      <c r="U144" s="140">
        <f t="shared" ref="U144:X144" si="362">P144/K144</f>
        <v>0.59891598915989164</v>
      </c>
      <c r="V144" s="140">
        <f t="shared" si="362"/>
        <v>0.44025157232704404</v>
      </c>
      <c r="W144" s="141">
        <f t="shared" si="362"/>
        <v>0.92042042042042038</v>
      </c>
      <c r="X144" s="140">
        <f t="shared" si="362"/>
        <v>1.0499419279907085</v>
      </c>
      <c r="Y144" s="142"/>
      <c r="Z144" s="143"/>
      <c r="AA144" s="136"/>
      <c r="AB144" s="136" t="s">
        <v>1566</v>
      </c>
      <c r="AC144" s="128" t="s">
        <v>1566</v>
      </c>
      <c r="AD144" s="135"/>
      <c r="AE144" s="127" t="s">
        <v>1566</v>
      </c>
      <c r="AF144" s="127"/>
      <c r="AG144" s="130"/>
      <c r="AH144" s="130" t="str">
        <f t="shared" si="118"/>
        <v xml:space="preserve"> </v>
      </c>
      <c r="AI144" s="130" t="str">
        <f t="shared" si="119"/>
        <v xml:space="preserve"> </v>
      </c>
      <c r="AJ144" s="144" t="str">
        <f t="shared" si="120"/>
        <v xml:space="preserve"> </v>
      </c>
      <c r="AK144" s="128" t="str">
        <f t="shared" si="121"/>
        <v xml:space="preserve"> </v>
      </c>
      <c r="AL144" s="128">
        <f t="shared" si="122"/>
        <v>37</v>
      </c>
      <c r="AM144" s="128" t="str">
        <f t="shared" si="123"/>
        <v xml:space="preserve"> </v>
      </c>
      <c r="AN144" s="130" t="str">
        <f t="shared" si="124"/>
        <v xml:space="preserve"> </v>
      </c>
      <c r="AO144" s="130"/>
      <c r="AP144" s="130"/>
    </row>
    <row r="145" spans="1:42">
      <c r="A145" s="131" t="s">
        <v>157</v>
      </c>
      <c r="B145" s="132">
        <v>8</v>
      </c>
      <c r="C145" s="118" t="s">
        <v>126</v>
      </c>
      <c r="D145" s="118">
        <v>2018</v>
      </c>
      <c r="E145" s="133">
        <v>44</v>
      </c>
      <c r="F145" s="133">
        <v>114</v>
      </c>
      <c r="G145" s="133">
        <v>59</v>
      </c>
      <c r="H145" s="134">
        <v>110</v>
      </c>
      <c r="I145" s="133">
        <f t="shared" si="351"/>
        <v>327</v>
      </c>
      <c r="J145" s="135"/>
      <c r="K145" s="136">
        <f t="shared" ref="K145:N145" si="363">K142*4</f>
        <v>492</v>
      </c>
      <c r="L145" s="136">
        <f t="shared" si="363"/>
        <v>212</v>
      </c>
      <c r="M145" s="137">
        <f t="shared" si="363"/>
        <v>444</v>
      </c>
      <c r="N145" s="136">
        <f t="shared" si="363"/>
        <v>1148</v>
      </c>
      <c r="O145" s="135"/>
      <c r="P145" s="136">
        <f t="shared" si="354"/>
        <v>379</v>
      </c>
      <c r="Q145" s="136">
        <f t="shared" ref="Q145:S145" si="364">G145+Q144</f>
        <v>129</v>
      </c>
      <c r="R145" s="137">
        <f t="shared" si="364"/>
        <v>723</v>
      </c>
      <c r="S145" s="136">
        <f t="shared" si="364"/>
        <v>1231</v>
      </c>
      <c r="T145" s="139"/>
      <c r="U145" s="140">
        <f t="shared" ref="U145:X145" si="365">P145/K145</f>
        <v>0.77032520325203258</v>
      </c>
      <c r="V145" s="140">
        <f t="shared" si="365"/>
        <v>0.60849056603773588</v>
      </c>
      <c r="W145" s="141">
        <f t="shared" si="365"/>
        <v>1.6283783783783783</v>
      </c>
      <c r="X145" s="140">
        <f t="shared" si="365"/>
        <v>1.0722996515679442</v>
      </c>
      <c r="Y145" s="142"/>
      <c r="Z145" s="143"/>
      <c r="AA145" s="138"/>
      <c r="AB145" s="136" t="s">
        <v>1566</v>
      </c>
      <c r="AC145" s="128" t="s">
        <v>1566</v>
      </c>
      <c r="AD145" s="135"/>
      <c r="AE145" s="127" t="s">
        <v>1566</v>
      </c>
      <c r="AF145" s="127"/>
      <c r="AG145" s="130"/>
      <c r="AH145" s="130" t="str">
        <f t="shared" si="118"/>
        <v xml:space="preserve"> </v>
      </c>
      <c r="AI145" s="130" t="str">
        <f t="shared" si="119"/>
        <v xml:space="preserve"> </v>
      </c>
      <c r="AJ145" s="144" t="str">
        <f t="shared" si="120"/>
        <v xml:space="preserve"> </v>
      </c>
      <c r="AK145" s="128" t="str">
        <f t="shared" si="121"/>
        <v xml:space="preserve"> </v>
      </c>
      <c r="AL145" s="128" t="str">
        <f t="shared" si="122"/>
        <v xml:space="preserve"> </v>
      </c>
      <c r="AM145" s="128">
        <f t="shared" si="123"/>
        <v>158</v>
      </c>
      <c r="AN145" s="130" t="str">
        <f t="shared" si="124"/>
        <v xml:space="preserve"> </v>
      </c>
      <c r="AO145" s="130"/>
      <c r="AP145" s="130"/>
    </row>
    <row r="146" spans="1:42">
      <c r="A146" s="131" t="s">
        <v>157</v>
      </c>
      <c r="B146" s="132">
        <v>8</v>
      </c>
      <c r="C146" s="118" t="s">
        <v>126</v>
      </c>
      <c r="D146" s="118">
        <v>2019</v>
      </c>
      <c r="E146" s="133">
        <v>32</v>
      </c>
      <c r="F146" s="133">
        <v>34</v>
      </c>
      <c r="G146" s="133">
        <v>32</v>
      </c>
      <c r="H146" s="134">
        <v>180</v>
      </c>
      <c r="I146" s="133">
        <f t="shared" si="351"/>
        <v>278</v>
      </c>
      <c r="J146" s="135"/>
      <c r="K146" s="136">
        <f t="shared" ref="K146:N146" si="366">K142*5</f>
        <v>615</v>
      </c>
      <c r="L146" s="136">
        <f t="shared" si="366"/>
        <v>265</v>
      </c>
      <c r="M146" s="137">
        <f t="shared" si="366"/>
        <v>555</v>
      </c>
      <c r="N146" s="136">
        <f t="shared" si="366"/>
        <v>1435</v>
      </c>
      <c r="O146" s="135"/>
      <c r="P146" s="136">
        <f t="shared" si="354"/>
        <v>445</v>
      </c>
      <c r="Q146" s="136">
        <f t="shared" ref="Q146:S146" si="367">G146+Q145</f>
        <v>161</v>
      </c>
      <c r="R146" s="137">
        <f t="shared" si="367"/>
        <v>903</v>
      </c>
      <c r="S146" s="136">
        <f t="shared" si="367"/>
        <v>1509</v>
      </c>
      <c r="T146" s="139"/>
      <c r="U146" s="140">
        <f t="shared" ref="U146:X146" si="368">P146/K146</f>
        <v>0.72357723577235777</v>
      </c>
      <c r="V146" s="140">
        <f t="shared" si="368"/>
        <v>0.60754716981132073</v>
      </c>
      <c r="W146" s="141">
        <f t="shared" si="368"/>
        <v>1.6270270270270271</v>
      </c>
      <c r="X146" s="140">
        <f t="shared" si="368"/>
        <v>1.0515679442508712</v>
      </c>
      <c r="Y146" s="146" t="s">
        <v>157</v>
      </c>
      <c r="Z146" s="143"/>
      <c r="AA146" s="138">
        <v>2298</v>
      </c>
      <c r="AB146" s="136">
        <v>1435</v>
      </c>
      <c r="AC146" s="128">
        <v>1509</v>
      </c>
      <c r="AD146" s="135"/>
      <c r="AE146" s="127">
        <f>N142</f>
        <v>287</v>
      </c>
      <c r="AF146" s="127"/>
      <c r="AG146" s="130"/>
      <c r="AH146" s="130" t="str">
        <f t="shared" si="118"/>
        <v xml:space="preserve"> </v>
      </c>
      <c r="AI146" s="130" t="str">
        <f t="shared" si="119"/>
        <v xml:space="preserve"> </v>
      </c>
      <c r="AJ146" s="144" t="str">
        <f t="shared" si="120"/>
        <v xml:space="preserve"> </v>
      </c>
      <c r="AK146" s="128" t="str">
        <f t="shared" si="121"/>
        <v xml:space="preserve"> </v>
      </c>
      <c r="AL146" s="128" t="str">
        <f t="shared" si="122"/>
        <v xml:space="preserve"> </v>
      </c>
      <c r="AM146" s="128" t="str">
        <f t="shared" si="123"/>
        <v xml:space="preserve"> </v>
      </c>
      <c r="AN146" s="130">
        <f t="shared" si="124"/>
        <v>66</v>
      </c>
      <c r="AO146" s="130"/>
      <c r="AP146" s="130"/>
    </row>
    <row r="147" spans="1:42">
      <c r="A147" s="131"/>
      <c r="B147" s="132"/>
      <c r="C147" s="118"/>
      <c r="D147" s="118"/>
      <c r="E147" s="133"/>
      <c r="F147" s="133"/>
      <c r="G147" s="133"/>
      <c r="H147" s="134"/>
      <c r="I147" s="133"/>
      <c r="J147" s="135"/>
      <c r="K147" s="136"/>
      <c r="L147" s="136"/>
      <c r="M147" s="137"/>
      <c r="N147" s="136"/>
      <c r="O147" s="135"/>
      <c r="P147" s="136"/>
      <c r="Q147" s="136"/>
      <c r="R147" s="137"/>
      <c r="S147" s="136"/>
      <c r="T147" s="139"/>
      <c r="U147" s="140"/>
      <c r="V147" s="140"/>
      <c r="W147" s="141"/>
      <c r="X147" s="140"/>
      <c r="Y147" s="142"/>
      <c r="Z147" s="143"/>
      <c r="AA147" s="136"/>
      <c r="AB147" s="136" t="s">
        <v>1566</v>
      </c>
      <c r="AC147" s="128" t="s">
        <v>1566</v>
      </c>
      <c r="AD147" s="135"/>
      <c r="AE147" s="127" t="s">
        <v>1566</v>
      </c>
      <c r="AF147" s="127"/>
      <c r="AG147" s="130"/>
      <c r="AH147" s="130" t="str">
        <f t="shared" si="118"/>
        <v xml:space="preserve"> </v>
      </c>
      <c r="AI147" s="130" t="str">
        <f t="shared" si="119"/>
        <v xml:space="preserve"> </v>
      </c>
      <c r="AJ147" s="144" t="str">
        <f t="shared" si="120"/>
        <v xml:space="preserve"> </v>
      </c>
      <c r="AK147" s="128" t="str">
        <f t="shared" si="121"/>
        <v xml:space="preserve"> </v>
      </c>
      <c r="AL147" s="128" t="str">
        <f t="shared" si="122"/>
        <v xml:space="preserve"> </v>
      </c>
      <c r="AM147" s="128" t="str">
        <f t="shared" si="123"/>
        <v xml:space="preserve"> </v>
      </c>
      <c r="AN147" s="130" t="str">
        <f t="shared" si="124"/>
        <v xml:space="preserve"> </v>
      </c>
      <c r="AO147" s="130"/>
      <c r="AP147" s="130"/>
    </row>
    <row r="148" spans="1:42">
      <c r="A148" s="131" t="s">
        <v>158</v>
      </c>
      <c r="B148" s="132">
        <v>5</v>
      </c>
      <c r="C148" s="118" t="s">
        <v>128</v>
      </c>
      <c r="D148" s="118">
        <v>2014</v>
      </c>
      <c r="E148" s="133">
        <v>0</v>
      </c>
      <c r="F148" s="133">
        <v>0</v>
      </c>
      <c r="G148" s="133">
        <v>35</v>
      </c>
      <c r="H148" s="134">
        <v>14</v>
      </c>
      <c r="I148" s="133">
        <v>49</v>
      </c>
      <c r="J148" s="135"/>
      <c r="K148" s="136">
        <f>ROUND((265+130)/5,0)</f>
        <v>79</v>
      </c>
      <c r="L148" s="136">
        <f>ROUND('HCD Assigned 5th Cycle RHNA'!F589/B148,0)</f>
        <v>36</v>
      </c>
      <c r="M148" s="137">
        <v>84</v>
      </c>
      <c r="N148" s="136">
        <f>ROUND(995/5,0)</f>
        <v>199</v>
      </c>
      <c r="O148" s="135"/>
      <c r="P148" s="136">
        <f>E148+F148</f>
        <v>0</v>
      </c>
      <c r="Q148" s="136">
        <f t="shared" ref="Q148:S148" si="369">G148</f>
        <v>35</v>
      </c>
      <c r="R148" s="137">
        <f t="shared" si="369"/>
        <v>14</v>
      </c>
      <c r="S148" s="136">
        <f t="shared" si="369"/>
        <v>49</v>
      </c>
      <c r="T148" s="139"/>
      <c r="U148" s="140">
        <f t="shared" ref="U148:X148" si="370">P148/K148</f>
        <v>0</v>
      </c>
      <c r="V148" s="140">
        <f t="shared" si="370"/>
        <v>0.97222222222222221</v>
      </c>
      <c r="W148" s="141">
        <f t="shared" si="370"/>
        <v>0.16666666666666666</v>
      </c>
      <c r="X148" s="140">
        <f t="shared" si="370"/>
        <v>0.24623115577889448</v>
      </c>
      <c r="Y148" s="142"/>
      <c r="Z148" s="143"/>
      <c r="AA148" s="136"/>
      <c r="AB148" s="136" t="s">
        <v>1566</v>
      </c>
      <c r="AC148" s="128" t="s">
        <v>1566</v>
      </c>
      <c r="AD148" s="135"/>
      <c r="AE148" s="127"/>
      <c r="AF148" s="127"/>
      <c r="AG148" s="130"/>
      <c r="AH148" s="130" t="str">
        <f t="shared" si="118"/>
        <v xml:space="preserve"> </v>
      </c>
      <c r="AI148" s="130">
        <f t="shared" si="119"/>
        <v>0</v>
      </c>
      <c r="AJ148" s="144" t="str">
        <f t="shared" si="120"/>
        <v xml:space="preserve"> </v>
      </c>
      <c r="AK148" s="128" t="str">
        <f t="shared" si="121"/>
        <v xml:space="preserve"> </v>
      </c>
      <c r="AL148" s="128" t="str">
        <f t="shared" si="122"/>
        <v xml:space="preserve"> </v>
      </c>
      <c r="AM148" s="128" t="str">
        <f t="shared" si="123"/>
        <v xml:space="preserve"> </v>
      </c>
      <c r="AN148" s="130" t="str">
        <f t="shared" si="124"/>
        <v xml:space="preserve"> </v>
      </c>
      <c r="AO148" s="130"/>
      <c r="AP148" s="130"/>
    </row>
    <row r="149" spans="1:42">
      <c r="A149" s="131" t="s">
        <v>158</v>
      </c>
      <c r="B149" s="132">
        <v>5</v>
      </c>
      <c r="C149" s="118" t="s">
        <v>128</v>
      </c>
      <c r="D149" s="118">
        <v>2015</v>
      </c>
      <c r="E149" s="133">
        <v>0</v>
      </c>
      <c r="F149" s="133">
        <v>0</v>
      </c>
      <c r="G149" s="133">
        <v>44</v>
      </c>
      <c r="H149" s="134">
        <v>10</v>
      </c>
      <c r="I149" s="133">
        <v>54</v>
      </c>
      <c r="J149" s="135"/>
      <c r="K149" s="136">
        <f t="shared" ref="K149:N149" si="371">K148*2</f>
        <v>158</v>
      </c>
      <c r="L149" s="136">
        <f t="shared" si="371"/>
        <v>72</v>
      </c>
      <c r="M149" s="137">
        <f t="shared" si="371"/>
        <v>168</v>
      </c>
      <c r="N149" s="136">
        <f t="shared" si="371"/>
        <v>398</v>
      </c>
      <c r="O149" s="135"/>
      <c r="P149" s="136">
        <f t="shared" ref="P149:P153" si="372">E149+F149+P148</f>
        <v>0</v>
      </c>
      <c r="Q149" s="136">
        <f t="shared" ref="Q149:S149" si="373">G149+Q148</f>
        <v>79</v>
      </c>
      <c r="R149" s="137">
        <f t="shared" si="373"/>
        <v>24</v>
      </c>
      <c r="S149" s="136">
        <f t="shared" si="373"/>
        <v>103</v>
      </c>
      <c r="T149" s="139"/>
      <c r="U149" s="140">
        <f t="shared" ref="U149:X149" si="374">P149/K149</f>
        <v>0</v>
      </c>
      <c r="V149" s="140">
        <f t="shared" si="374"/>
        <v>1.0972222222222223</v>
      </c>
      <c r="W149" s="141">
        <f t="shared" si="374"/>
        <v>0.14285714285714285</v>
      </c>
      <c r="X149" s="140">
        <f t="shared" si="374"/>
        <v>0.25879396984924624</v>
      </c>
      <c r="Y149" s="142"/>
      <c r="Z149" s="143"/>
      <c r="AA149" s="136"/>
      <c r="AB149" s="136" t="s">
        <v>1566</v>
      </c>
      <c r="AC149" s="128" t="s">
        <v>1566</v>
      </c>
      <c r="AD149" s="135"/>
      <c r="AE149" s="127"/>
      <c r="AF149" s="127"/>
      <c r="AG149" s="130"/>
      <c r="AH149" s="130" t="str">
        <f t="shared" si="118"/>
        <v xml:space="preserve"> </v>
      </c>
      <c r="AI149" s="130" t="str">
        <f t="shared" si="119"/>
        <v xml:space="preserve"> </v>
      </c>
      <c r="AJ149" s="130">
        <f t="shared" si="120"/>
        <v>0</v>
      </c>
      <c r="AK149" s="128" t="str">
        <f t="shared" si="121"/>
        <v xml:space="preserve"> </v>
      </c>
      <c r="AL149" s="128" t="str">
        <f t="shared" si="122"/>
        <v xml:space="preserve"> </v>
      </c>
      <c r="AM149" s="128" t="str">
        <f t="shared" si="123"/>
        <v xml:space="preserve"> </v>
      </c>
      <c r="AN149" s="130" t="str">
        <f t="shared" si="124"/>
        <v xml:space="preserve"> </v>
      </c>
      <c r="AO149" s="130"/>
      <c r="AP149" s="130"/>
    </row>
    <row r="150" spans="1:42">
      <c r="A150" s="131" t="s">
        <v>158</v>
      </c>
      <c r="B150" s="132">
        <v>5</v>
      </c>
      <c r="C150" s="118" t="s">
        <v>128</v>
      </c>
      <c r="D150" s="118">
        <v>2016</v>
      </c>
      <c r="E150" s="133">
        <v>0</v>
      </c>
      <c r="F150" s="133">
        <v>0</v>
      </c>
      <c r="G150" s="133">
        <v>19</v>
      </c>
      <c r="H150" s="134">
        <v>28</v>
      </c>
      <c r="I150" s="133">
        <v>47</v>
      </c>
      <c r="J150" s="135"/>
      <c r="K150" s="136">
        <f t="shared" ref="K150:N150" si="375">K148*3</f>
        <v>237</v>
      </c>
      <c r="L150" s="136">
        <f t="shared" si="375"/>
        <v>108</v>
      </c>
      <c r="M150" s="137">
        <f t="shared" si="375"/>
        <v>252</v>
      </c>
      <c r="N150" s="136">
        <f t="shared" si="375"/>
        <v>597</v>
      </c>
      <c r="O150" s="135"/>
      <c r="P150" s="136">
        <f t="shared" si="372"/>
        <v>0</v>
      </c>
      <c r="Q150" s="136">
        <f t="shared" ref="Q150:S150" si="376">G150+Q149</f>
        <v>98</v>
      </c>
      <c r="R150" s="137">
        <f t="shared" si="376"/>
        <v>52</v>
      </c>
      <c r="S150" s="136">
        <f t="shared" si="376"/>
        <v>150</v>
      </c>
      <c r="T150" s="139"/>
      <c r="U150" s="140">
        <f t="shared" ref="U150:X150" si="377">P150/K150</f>
        <v>0</v>
      </c>
      <c r="V150" s="140">
        <f t="shared" si="377"/>
        <v>0.90740740740740744</v>
      </c>
      <c r="W150" s="141">
        <f t="shared" si="377"/>
        <v>0.20634920634920634</v>
      </c>
      <c r="X150" s="140">
        <f t="shared" si="377"/>
        <v>0.25125628140703515</v>
      </c>
      <c r="Y150" s="142"/>
      <c r="Z150" s="143"/>
      <c r="AA150" s="136"/>
      <c r="AB150" s="136" t="s">
        <v>1566</v>
      </c>
      <c r="AC150" s="128" t="s">
        <v>1566</v>
      </c>
      <c r="AD150" s="135"/>
      <c r="AE150" s="127" t="s">
        <v>1566</v>
      </c>
      <c r="AF150" s="127"/>
      <c r="AG150" s="130"/>
      <c r="AH150" s="130" t="str">
        <f t="shared" si="118"/>
        <v xml:space="preserve"> </v>
      </c>
      <c r="AI150" s="130" t="str">
        <f t="shared" si="119"/>
        <v xml:space="preserve"> </v>
      </c>
      <c r="AJ150" s="144" t="str">
        <f t="shared" si="120"/>
        <v xml:space="preserve"> </v>
      </c>
      <c r="AK150" s="128">
        <f t="shared" si="121"/>
        <v>0</v>
      </c>
      <c r="AL150" s="128" t="str">
        <f t="shared" si="122"/>
        <v xml:space="preserve"> </v>
      </c>
      <c r="AM150" s="128" t="str">
        <f t="shared" si="123"/>
        <v xml:space="preserve"> </v>
      </c>
      <c r="AN150" s="130" t="str">
        <f t="shared" si="124"/>
        <v xml:space="preserve"> </v>
      </c>
      <c r="AO150" s="130"/>
      <c r="AP150" s="130"/>
    </row>
    <row r="151" spans="1:42">
      <c r="A151" s="131" t="s">
        <v>158</v>
      </c>
      <c r="B151" s="132">
        <v>5</v>
      </c>
      <c r="C151" s="118" t="s">
        <v>128</v>
      </c>
      <c r="D151" s="118">
        <v>2017</v>
      </c>
      <c r="E151" s="133">
        <v>0</v>
      </c>
      <c r="F151" s="133">
        <v>0</v>
      </c>
      <c r="G151" s="133">
        <v>28</v>
      </c>
      <c r="H151" s="134">
        <v>9</v>
      </c>
      <c r="I151" s="133">
        <v>37</v>
      </c>
      <c r="J151" s="135"/>
      <c r="K151" s="136">
        <f t="shared" ref="K151:N151" si="378">K148*4</f>
        <v>316</v>
      </c>
      <c r="L151" s="136">
        <f t="shared" si="378"/>
        <v>144</v>
      </c>
      <c r="M151" s="137">
        <f t="shared" si="378"/>
        <v>336</v>
      </c>
      <c r="N151" s="136">
        <f t="shared" si="378"/>
        <v>796</v>
      </c>
      <c r="O151" s="135"/>
      <c r="P151" s="136">
        <f t="shared" si="372"/>
        <v>0</v>
      </c>
      <c r="Q151" s="136">
        <f t="shared" ref="Q151:S151" si="379">G151+Q150</f>
        <v>126</v>
      </c>
      <c r="R151" s="137">
        <f t="shared" si="379"/>
        <v>61</v>
      </c>
      <c r="S151" s="136">
        <f t="shared" si="379"/>
        <v>187</v>
      </c>
      <c r="T151" s="139"/>
      <c r="U151" s="140">
        <f t="shared" ref="U151:X151" si="380">P151/K151</f>
        <v>0</v>
      </c>
      <c r="V151" s="140">
        <f t="shared" si="380"/>
        <v>0.875</v>
      </c>
      <c r="W151" s="141">
        <f t="shared" si="380"/>
        <v>0.18154761904761904</v>
      </c>
      <c r="X151" s="140">
        <f t="shared" si="380"/>
        <v>0.23492462311557788</v>
      </c>
      <c r="Y151" s="142"/>
      <c r="Z151" s="143"/>
      <c r="AA151" s="136"/>
      <c r="AB151" s="136" t="s">
        <v>1566</v>
      </c>
      <c r="AC151" s="128" t="s">
        <v>1566</v>
      </c>
      <c r="AD151" s="135"/>
      <c r="AE151" s="127" t="s">
        <v>1566</v>
      </c>
      <c r="AF151" s="127"/>
      <c r="AG151" s="130"/>
      <c r="AH151" s="130" t="str">
        <f t="shared" si="118"/>
        <v xml:space="preserve"> </v>
      </c>
      <c r="AI151" s="130" t="str">
        <f t="shared" si="119"/>
        <v xml:space="preserve"> </v>
      </c>
      <c r="AJ151" s="144" t="str">
        <f t="shared" si="120"/>
        <v xml:space="preserve"> </v>
      </c>
      <c r="AK151" s="128" t="str">
        <f t="shared" si="121"/>
        <v xml:space="preserve"> </v>
      </c>
      <c r="AL151" s="128">
        <f t="shared" si="122"/>
        <v>0</v>
      </c>
      <c r="AM151" s="128" t="str">
        <f t="shared" si="123"/>
        <v xml:space="preserve"> </v>
      </c>
      <c r="AN151" s="130" t="str">
        <f t="shared" si="124"/>
        <v xml:space="preserve"> </v>
      </c>
      <c r="AO151" s="130"/>
      <c r="AP151" s="130"/>
    </row>
    <row r="152" spans="1:42">
      <c r="A152" s="131" t="s">
        <v>158</v>
      </c>
      <c r="B152" s="132">
        <v>5</v>
      </c>
      <c r="C152" s="118" t="s">
        <v>128</v>
      </c>
      <c r="D152" s="118">
        <v>2018</v>
      </c>
      <c r="E152" s="133">
        <v>0</v>
      </c>
      <c r="F152" s="133">
        <v>0</v>
      </c>
      <c r="G152" s="133">
        <v>0</v>
      </c>
      <c r="H152" s="134">
        <v>56</v>
      </c>
      <c r="I152" s="133">
        <v>56</v>
      </c>
      <c r="J152" s="135"/>
      <c r="K152" s="136">
        <f t="shared" ref="K152:N152" si="381">K148*5</f>
        <v>395</v>
      </c>
      <c r="L152" s="136">
        <f t="shared" si="381"/>
        <v>180</v>
      </c>
      <c r="M152" s="137">
        <f t="shared" si="381"/>
        <v>420</v>
      </c>
      <c r="N152" s="136">
        <f t="shared" si="381"/>
        <v>995</v>
      </c>
      <c r="O152" s="135"/>
      <c r="P152" s="136">
        <f t="shared" si="372"/>
        <v>0</v>
      </c>
      <c r="Q152" s="136">
        <f t="shared" ref="Q152:S152" si="382">G152+Q151</f>
        <v>126</v>
      </c>
      <c r="R152" s="137">
        <f t="shared" si="382"/>
        <v>117</v>
      </c>
      <c r="S152" s="136">
        <f t="shared" si="382"/>
        <v>243</v>
      </c>
      <c r="T152" s="139"/>
      <c r="U152" s="140">
        <f t="shared" ref="U152:X152" si="383">P152/K152</f>
        <v>0</v>
      </c>
      <c r="V152" s="140">
        <f t="shared" si="383"/>
        <v>0.7</v>
      </c>
      <c r="W152" s="141">
        <f t="shared" si="383"/>
        <v>0.27857142857142858</v>
      </c>
      <c r="X152" s="140">
        <f t="shared" si="383"/>
        <v>0.2442211055276382</v>
      </c>
      <c r="Y152" s="142"/>
      <c r="Z152" s="143"/>
      <c r="AA152" s="136"/>
      <c r="AB152" s="136" t="s">
        <v>1566</v>
      </c>
      <c r="AC152" s="128" t="s">
        <v>1566</v>
      </c>
      <c r="AD152" s="135"/>
      <c r="AE152" s="127" t="s">
        <v>1566</v>
      </c>
      <c r="AF152" s="127"/>
      <c r="AG152" s="130"/>
      <c r="AH152" s="130" t="str">
        <f t="shared" si="118"/>
        <v xml:space="preserve"> </v>
      </c>
      <c r="AI152" s="130" t="str">
        <f t="shared" si="119"/>
        <v xml:space="preserve"> </v>
      </c>
      <c r="AJ152" s="144" t="str">
        <f t="shared" si="120"/>
        <v xml:space="preserve"> </v>
      </c>
      <c r="AK152" s="128" t="str">
        <f t="shared" si="121"/>
        <v xml:space="preserve"> </v>
      </c>
      <c r="AL152" s="128" t="str">
        <f t="shared" si="122"/>
        <v xml:space="preserve"> </v>
      </c>
      <c r="AM152" s="128">
        <f t="shared" si="123"/>
        <v>0</v>
      </c>
      <c r="AN152" s="130" t="str">
        <f t="shared" si="124"/>
        <v xml:space="preserve"> </v>
      </c>
      <c r="AO152" s="130"/>
      <c r="AP152" s="130"/>
    </row>
    <row r="153" spans="1:42">
      <c r="A153" s="131" t="s">
        <v>158</v>
      </c>
      <c r="B153" s="132">
        <v>5</v>
      </c>
      <c r="C153" s="118" t="s">
        <v>128</v>
      </c>
      <c r="D153" s="118">
        <v>2019</v>
      </c>
      <c r="E153" s="133">
        <v>0</v>
      </c>
      <c r="F153" s="133">
        <v>0</v>
      </c>
      <c r="G153" s="133">
        <v>0</v>
      </c>
      <c r="H153" s="134">
        <v>63</v>
      </c>
      <c r="I153" s="133">
        <f>E153+F153+G153+H153</f>
        <v>63</v>
      </c>
      <c r="J153" s="135"/>
      <c r="K153" s="136">
        <f t="shared" ref="K153:N153" si="384">K152</f>
        <v>395</v>
      </c>
      <c r="L153" s="136">
        <f t="shared" si="384"/>
        <v>180</v>
      </c>
      <c r="M153" s="137">
        <f t="shared" si="384"/>
        <v>420</v>
      </c>
      <c r="N153" s="136">
        <f t="shared" si="384"/>
        <v>995</v>
      </c>
      <c r="O153" s="135"/>
      <c r="P153" s="136">
        <f t="shared" si="372"/>
        <v>0</v>
      </c>
      <c r="Q153" s="136">
        <f t="shared" ref="Q153:S153" si="385">G153+Q152</f>
        <v>126</v>
      </c>
      <c r="R153" s="137">
        <f t="shared" si="385"/>
        <v>180</v>
      </c>
      <c r="S153" s="136">
        <f t="shared" si="385"/>
        <v>306</v>
      </c>
      <c r="T153" s="139"/>
      <c r="U153" s="140">
        <f t="shared" ref="U153:X153" si="386">P153/K153</f>
        <v>0</v>
      </c>
      <c r="V153" s="140">
        <f t="shared" si="386"/>
        <v>0.7</v>
      </c>
      <c r="W153" s="141">
        <f t="shared" si="386"/>
        <v>0.42857142857142855</v>
      </c>
      <c r="X153" s="140">
        <f t="shared" si="386"/>
        <v>0.30753768844221108</v>
      </c>
      <c r="Y153" s="146" t="s">
        <v>158</v>
      </c>
      <c r="Z153" s="143"/>
      <c r="AA153" s="138">
        <v>995</v>
      </c>
      <c r="AB153" s="136">
        <v>995</v>
      </c>
      <c r="AC153" s="128">
        <v>306</v>
      </c>
      <c r="AD153" s="135"/>
      <c r="AE153" s="127">
        <f>N148</f>
        <v>199</v>
      </c>
      <c r="AF153" s="127"/>
      <c r="AG153" s="130"/>
      <c r="AH153" s="130" t="str">
        <f t="shared" si="118"/>
        <v xml:space="preserve"> </v>
      </c>
      <c r="AI153" s="130" t="str">
        <f t="shared" si="119"/>
        <v xml:space="preserve"> </v>
      </c>
      <c r="AJ153" s="144" t="str">
        <f t="shared" si="120"/>
        <v xml:space="preserve"> </v>
      </c>
      <c r="AK153" s="128" t="str">
        <f t="shared" si="121"/>
        <v xml:space="preserve"> </v>
      </c>
      <c r="AL153" s="128" t="str">
        <f t="shared" si="122"/>
        <v xml:space="preserve"> </v>
      </c>
      <c r="AM153" s="128" t="str">
        <f t="shared" si="123"/>
        <v xml:space="preserve"> </v>
      </c>
      <c r="AN153" s="130">
        <f t="shared" si="124"/>
        <v>0</v>
      </c>
      <c r="AO153" s="130"/>
      <c r="AP153" s="130"/>
    </row>
    <row r="154" spans="1:42">
      <c r="A154" s="131"/>
      <c r="B154" s="132"/>
      <c r="C154" s="118"/>
      <c r="D154" s="118"/>
      <c r="E154" s="133"/>
      <c r="F154" s="133"/>
      <c r="G154" s="133"/>
      <c r="H154" s="134"/>
      <c r="I154" s="133"/>
      <c r="J154" s="135"/>
      <c r="K154" s="136"/>
      <c r="L154" s="136"/>
      <c r="M154" s="137"/>
      <c r="N154" s="136"/>
      <c r="O154" s="135"/>
      <c r="P154" s="136"/>
      <c r="Q154" s="136"/>
      <c r="R154" s="137"/>
      <c r="S154" s="136"/>
      <c r="T154" s="139"/>
      <c r="U154" s="140"/>
      <c r="V154" s="140"/>
      <c r="W154" s="141"/>
      <c r="X154" s="140"/>
      <c r="Y154" s="142"/>
      <c r="Z154" s="143"/>
      <c r="AA154" s="136"/>
      <c r="AB154" s="136" t="s">
        <v>1566</v>
      </c>
      <c r="AC154" s="128" t="s">
        <v>1566</v>
      </c>
      <c r="AD154" s="135"/>
      <c r="AE154" s="127" t="s">
        <v>1566</v>
      </c>
      <c r="AF154" s="127"/>
      <c r="AG154" s="130"/>
      <c r="AH154" s="130" t="str">
        <f t="shared" si="118"/>
        <v xml:space="preserve"> </v>
      </c>
      <c r="AI154" s="130" t="str">
        <f t="shared" si="119"/>
        <v xml:space="preserve"> </v>
      </c>
      <c r="AJ154" s="144" t="str">
        <f t="shared" si="120"/>
        <v xml:space="preserve"> </v>
      </c>
      <c r="AK154" s="128" t="str">
        <f t="shared" si="121"/>
        <v xml:space="preserve"> </v>
      </c>
      <c r="AL154" s="128" t="str">
        <f t="shared" si="122"/>
        <v xml:space="preserve"> </v>
      </c>
      <c r="AM154" s="128" t="str">
        <f t="shared" si="123"/>
        <v xml:space="preserve"> </v>
      </c>
      <c r="AN154" s="130" t="str">
        <f t="shared" si="124"/>
        <v xml:space="preserve"> </v>
      </c>
      <c r="AO154" s="130"/>
      <c r="AP154" s="130"/>
    </row>
    <row r="155" spans="1:42">
      <c r="A155" s="131" t="s">
        <v>159</v>
      </c>
      <c r="B155" s="132">
        <v>5</v>
      </c>
      <c r="C155" s="118" t="s">
        <v>128</v>
      </c>
      <c r="D155" s="118">
        <v>2014</v>
      </c>
      <c r="E155" s="133">
        <v>0</v>
      </c>
      <c r="F155" s="133">
        <v>0</v>
      </c>
      <c r="G155" s="133">
        <v>1</v>
      </c>
      <c r="H155" s="134">
        <v>0</v>
      </c>
      <c r="I155" s="133">
        <v>1</v>
      </c>
      <c r="J155" s="135"/>
      <c r="K155" s="136">
        <f>ROUND((60+40)/5,0)</f>
        <v>20</v>
      </c>
      <c r="L155" s="136">
        <f>ROUND('HCD Assigned 5th Cycle RHNA'!F492/B155,0)</f>
        <v>8</v>
      </c>
      <c r="M155" s="137">
        <v>22</v>
      </c>
      <c r="N155" s="136">
        <f>ROUND(250/5,0)</f>
        <v>50</v>
      </c>
      <c r="O155" s="135"/>
      <c r="P155" s="136">
        <f>E155+F155</f>
        <v>0</v>
      </c>
      <c r="Q155" s="136">
        <f t="shared" ref="Q155:S155" si="387">G155</f>
        <v>1</v>
      </c>
      <c r="R155" s="137">
        <f t="shared" si="387"/>
        <v>0</v>
      </c>
      <c r="S155" s="136">
        <f t="shared" si="387"/>
        <v>1</v>
      </c>
      <c r="T155" s="139"/>
      <c r="U155" s="140">
        <f t="shared" ref="U155:X155" si="388">P155/K155</f>
        <v>0</v>
      </c>
      <c r="V155" s="140">
        <f t="shared" si="388"/>
        <v>0.125</v>
      </c>
      <c r="W155" s="141">
        <f t="shared" si="388"/>
        <v>0</v>
      </c>
      <c r="X155" s="140">
        <f t="shared" si="388"/>
        <v>0.02</v>
      </c>
      <c r="Y155" s="142"/>
      <c r="Z155" s="143"/>
      <c r="AA155" s="136"/>
      <c r="AB155" s="136" t="s">
        <v>1566</v>
      </c>
      <c r="AC155" s="128" t="s">
        <v>1566</v>
      </c>
      <c r="AD155" s="135"/>
      <c r="AE155" s="127"/>
      <c r="AF155" s="127"/>
      <c r="AG155" s="130"/>
      <c r="AH155" s="130" t="str">
        <f t="shared" si="118"/>
        <v xml:space="preserve"> </v>
      </c>
      <c r="AI155" s="130">
        <f t="shared" si="119"/>
        <v>0</v>
      </c>
      <c r="AJ155" s="144" t="str">
        <f t="shared" si="120"/>
        <v xml:space="preserve"> </v>
      </c>
      <c r="AK155" s="128" t="str">
        <f t="shared" si="121"/>
        <v xml:space="preserve"> </v>
      </c>
      <c r="AL155" s="128" t="str">
        <f t="shared" si="122"/>
        <v xml:space="preserve"> </v>
      </c>
      <c r="AM155" s="128" t="str">
        <f t="shared" si="123"/>
        <v xml:space="preserve"> </v>
      </c>
      <c r="AN155" s="130" t="str">
        <f t="shared" si="124"/>
        <v xml:space="preserve"> </v>
      </c>
      <c r="AO155" s="130"/>
      <c r="AP155" s="130"/>
    </row>
    <row r="156" spans="1:42">
      <c r="A156" s="131" t="s">
        <v>159</v>
      </c>
      <c r="B156" s="132">
        <v>5</v>
      </c>
      <c r="C156" s="118" t="s">
        <v>128</v>
      </c>
      <c r="D156" s="118">
        <v>2015</v>
      </c>
      <c r="E156" s="133">
        <v>31</v>
      </c>
      <c r="F156" s="133">
        <v>12</v>
      </c>
      <c r="G156" s="133">
        <v>57</v>
      </c>
      <c r="H156" s="134">
        <v>60</v>
      </c>
      <c r="I156" s="133">
        <v>160</v>
      </c>
      <c r="J156" s="135"/>
      <c r="K156" s="136">
        <f t="shared" ref="K156:N156" si="389">K155*2</f>
        <v>40</v>
      </c>
      <c r="L156" s="136">
        <f t="shared" si="389"/>
        <v>16</v>
      </c>
      <c r="M156" s="137">
        <f t="shared" si="389"/>
        <v>44</v>
      </c>
      <c r="N156" s="136">
        <f t="shared" si="389"/>
        <v>100</v>
      </c>
      <c r="O156" s="135"/>
      <c r="P156" s="136">
        <f t="shared" ref="P156:P160" si="390">E156+F156+P155</f>
        <v>43</v>
      </c>
      <c r="Q156" s="136">
        <f t="shared" ref="Q156:S156" si="391">G156+Q155</f>
        <v>58</v>
      </c>
      <c r="R156" s="137">
        <f t="shared" si="391"/>
        <v>60</v>
      </c>
      <c r="S156" s="136">
        <f t="shared" si="391"/>
        <v>161</v>
      </c>
      <c r="T156" s="139"/>
      <c r="U156" s="140">
        <f t="shared" ref="U156:X156" si="392">P156/K156</f>
        <v>1.075</v>
      </c>
      <c r="V156" s="140">
        <f t="shared" si="392"/>
        <v>3.625</v>
      </c>
      <c r="W156" s="141">
        <f t="shared" si="392"/>
        <v>1.3636363636363635</v>
      </c>
      <c r="X156" s="140">
        <f t="shared" si="392"/>
        <v>1.61</v>
      </c>
      <c r="Y156" s="142"/>
      <c r="Z156" s="143"/>
      <c r="AA156" s="136"/>
      <c r="AB156" s="136" t="s">
        <v>1566</v>
      </c>
      <c r="AC156" s="128" t="s">
        <v>1566</v>
      </c>
      <c r="AD156" s="135"/>
      <c r="AE156" s="127"/>
      <c r="AF156" s="127"/>
      <c r="AG156" s="130"/>
      <c r="AH156" s="130" t="str">
        <f t="shared" si="118"/>
        <v xml:space="preserve"> </v>
      </c>
      <c r="AI156" s="130" t="str">
        <f t="shared" si="119"/>
        <v xml:space="preserve"> </v>
      </c>
      <c r="AJ156" s="130">
        <f t="shared" si="120"/>
        <v>43</v>
      </c>
      <c r="AK156" s="128" t="str">
        <f t="shared" si="121"/>
        <v xml:space="preserve"> </v>
      </c>
      <c r="AL156" s="128" t="str">
        <f t="shared" si="122"/>
        <v xml:space="preserve"> </v>
      </c>
      <c r="AM156" s="128" t="str">
        <f t="shared" si="123"/>
        <v xml:space="preserve"> </v>
      </c>
      <c r="AN156" s="130" t="str">
        <f t="shared" si="124"/>
        <v xml:space="preserve"> </v>
      </c>
      <c r="AO156" s="130"/>
      <c r="AP156" s="130"/>
    </row>
    <row r="157" spans="1:42">
      <c r="A157" s="131" t="s">
        <v>159</v>
      </c>
      <c r="B157" s="132">
        <v>5</v>
      </c>
      <c r="C157" s="118" t="s">
        <v>128</v>
      </c>
      <c r="D157" s="118">
        <v>2016</v>
      </c>
      <c r="E157" s="133">
        <v>0</v>
      </c>
      <c r="F157" s="133">
        <v>0</v>
      </c>
      <c r="G157" s="133">
        <v>0</v>
      </c>
      <c r="H157" s="134">
        <v>7</v>
      </c>
      <c r="I157" s="133">
        <v>7</v>
      </c>
      <c r="J157" s="135"/>
      <c r="K157" s="136">
        <f t="shared" ref="K157:N157" si="393">K155*3</f>
        <v>60</v>
      </c>
      <c r="L157" s="136">
        <f t="shared" si="393"/>
        <v>24</v>
      </c>
      <c r="M157" s="137">
        <f t="shared" si="393"/>
        <v>66</v>
      </c>
      <c r="N157" s="136">
        <f t="shared" si="393"/>
        <v>150</v>
      </c>
      <c r="O157" s="135"/>
      <c r="P157" s="136">
        <f t="shared" si="390"/>
        <v>43</v>
      </c>
      <c r="Q157" s="136">
        <f t="shared" ref="Q157:S157" si="394">G157+Q156</f>
        <v>58</v>
      </c>
      <c r="R157" s="137">
        <f t="shared" si="394"/>
        <v>67</v>
      </c>
      <c r="S157" s="136">
        <f t="shared" si="394"/>
        <v>168</v>
      </c>
      <c r="T157" s="139"/>
      <c r="U157" s="140">
        <f t="shared" ref="U157:X157" si="395">P157/K157</f>
        <v>0.71666666666666667</v>
      </c>
      <c r="V157" s="140">
        <f t="shared" si="395"/>
        <v>2.4166666666666665</v>
      </c>
      <c r="W157" s="141">
        <f t="shared" si="395"/>
        <v>1.0151515151515151</v>
      </c>
      <c r="X157" s="140">
        <f t="shared" si="395"/>
        <v>1.1200000000000001</v>
      </c>
      <c r="Y157" s="142"/>
      <c r="Z157" s="143"/>
      <c r="AA157" s="136"/>
      <c r="AB157" s="136" t="s">
        <v>1566</v>
      </c>
      <c r="AC157" s="128" t="s">
        <v>1566</v>
      </c>
      <c r="AD157" s="135"/>
      <c r="AE157" s="127" t="s">
        <v>1566</v>
      </c>
      <c r="AF157" s="127"/>
      <c r="AG157" s="130"/>
      <c r="AH157" s="130" t="str">
        <f t="shared" si="118"/>
        <v xml:space="preserve"> </v>
      </c>
      <c r="AI157" s="130" t="str">
        <f t="shared" si="119"/>
        <v xml:space="preserve"> </v>
      </c>
      <c r="AJ157" s="144" t="str">
        <f t="shared" si="120"/>
        <v xml:space="preserve"> </v>
      </c>
      <c r="AK157" s="128">
        <f t="shared" si="121"/>
        <v>0</v>
      </c>
      <c r="AL157" s="128" t="str">
        <f t="shared" si="122"/>
        <v xml:space="preserve"> </v>
      </c>
      <c r="AM157" s="128" t="str">
        <f t="shared" si="123"/>
        <v xml:space="preserve"> </v>
      </c>
      <c r="AN157" s="130" t="str">
        <f t="shared" si="124"/>
        <v xml:space="preserve"> </v>
      </c>
      <c r="AO157" s="130"/>
      <c r="AP157" s="130"/>
    </row>
    <row r="158" spans="1:42">
      <c r="A158" s="131" t="s">
        <v>159</v>
      </c>
      <c r="B158" s="132">
        <v>5</v>
      </c>
      <c r="C158" s="118" t="s">
        <v>128</v>
      </c>
      <c r="D158" s="118">
        <v>2017</v>
      </c>
      <c r="E158" s="133">
        <v>0</v>
      </c>
      <c r="F158" s="133">
        <v>0</v>
      </c>
      <c r="G158" s="133">
        <v>0</v>
      </c>
      <c r="H158" s="134">
        <v>4</v>
      </c>
      <c r="I158" s="133">
        <v>4</v>
      </c>
      <c r="J158" s="135"/>
      <c r="K158" s="136">
        <f t="shared" ref="K158:N158" si="396">K155*4</f>
        <v>80</v>
      </c>
      <c r="L158" s="136">
        <f t="shared" si="396"/>
        <v>32</v>
      </c>
      <c r="M158" s="137">
        <f t="shared" si="396"/>
        <v>88</v>
      </c>
      <c r="N158" s="136">
        <f t="shared" si="396"/>
        <v>200</v>
      </c>
      <c r="O158" s="135"/>
      <c r="P158" s="136">
        <f t="shared" si="390"/>
        <v>43</v>
      </c>
      <c r="Q158" s="136">
        <f t="shared" ref="Q158:S158" si="397">G158+Q157</f>
        <v>58</v>
      </c>
      <c r="R158" s="137">
        <f t="shared" si="397"/>
        <v>71</v>
      </c>
      <c r="S158" s="136">
        <f t="shared" si="397"/>
        <v>172</v>
      </c>
      <c r="T158" s="139"/>
      <c r="U158" s="140">
        <f t="shared" ref="U158:X158" si="398">P158/K158</f>
        <v>0.53749999999999998</v>
      </c>
      <c r="V158" s="140">
        <f t="shared" si="398"/>
        <v>1.8125</v>
      </c>
      <c r="W158" s="141">
        <f t="shared" si="398"/>
        <v>0.80681818181818177</v>
      </c>
      <c r="X158" s="140">
        <f t="shared" si="398"/>
        <v>0.86</v>
      </c>
      <c r="Y158" s="142"/>
      <c r="Z158" s="143"/>
      <c r="AA158" s="136"/>
      <c r="AB158" s="136" t="s">
        <v>1566</v>
      </c>
      <c r="AC158" s="128" t="s">
        <v>1566</v>
      </c>
      <c r="AD158" s="135"/>
      <c r="AE158" s="127" t="s">
        <v>1566</v>
      </c>
      <c r="AF158" s="127"/>
      <c r="AG158" s="130"/>
      <c r="AH158" s="130" t="str">
        <f t="shared" si="118"/>
        <v xml:space="preserve"> </v>
      </c>
      <c r="AI158" s="130" t="str">
        <f t="shared" si="119"/>
        <v xml:space="preserve"> </v>
      </c>
      <c r="AJ158" s="144" t="str">
        <f t="shared" si="120"/>
        <v xml:space="preserve"> </v>
      </c>
      <c r="AK158" s="128" t="str">
        <f t="shared" si="121"/>
        <v xml:space="preserve"> </v>
      </c>
      <c r="AL158" s="128">
        <f t="shared" si="122"/>
        <v>0</v>
      </c>
      <c r="AM158" s="128" t="str">
        <f t="shared" si="123"/>
        <v xml:space="preserve"> </v>
      </c>
      <c r="AN158" s="130" t="str">
        <f t="shared" si="124"/>
        <v xml:space="preserve"> </v>
      </c>
      <c r="AO158" s="130"/>
      <c r="AP158" s="130"/>
    </row>
    <row r="159" spans="1:42">
      <c r="A159" s="131" t="s">
        <v>159</v>
      </c>
      <c r="B159" s="132">
        <v>5</v>
      </c>
      <c r="C159" s="118" t="s">
        <v>128</v>
      </c>
      <c r="D159" s="118">
        <v>2018</v>
      </c>
      <c r="E159" s="133">
        <v>37</v>
      </c>
      <c r="F159" s="133">
        <v>2</v>
      </c>
      <c r="G159" s="133">
        <v>35</v>
      </c>
      <c r="H159" s="134">
        <v>34</v>
      </c>
      <c r="I159" s="133">
        <v>108</v>
      </c>
      <c r="J159" s="135"/>
      <c r="K159" s="136">
        <f t="shared" ref="K159:N159" si="399">K155*5</f>
        <v>100</v>
      </c>
      <c r="L159" s="136">
        <f t="shared" si="399"/>
        <v>40</v>
      </c>
      <c r="M159" s="137">
        <f t="shared" si="399"/>
        <v>110</v>
      </c>
      <c r="N159" s="136">
        <f t="shared" si="399"/>
        <v>250</v>
      </c>
      <c r="O159" s="135"/>
      <c r="P159" s="136">
        <f t="shared" si="390"/>
        <v>82</v>
      </c>
      <c r="Q159" s="136">
        <f t="shared" ref="Q159:S159" si="400">G159+Q158</f>
        <v>93</v>
      </c>
      <c r="R159" s="137">
        <f t="shared" si="400"/>
        <v>105</v>
      </c>
      <c r="S159" s="136">
        <f t="shared" si="400"/>
        <v>280</v>
      </c>
      <c r="T159" s="139"/>
      <c r="U159" s="140">
        <f t="shared" ref="U159:X159" si="401">P159/K159</f>
        <v>0.82</v>
      </c>
      <c r="V159" s="140">
        <f t="shared" si="401"/>
        <v>2.3250000000000002</v>
      </c>
      <c r="W159" s="141">
        <f t="shared" si="401"/>
        <v>0.95454545454545459</v>
      </c>
      <c r="X159" s="140">
        <f t="shared" si="401"/>
        <v>1.1200000000000001</v>
      </c>
      <c r="Y159" s="142"/>
      <c r="Z159" s="143"/>
      <c r="AA159" s="136"/>
      <c r="AB159" s="136" t="s">
        <v>1566</v>
      </c>
      <c r="AC159" s="128" t="s">
        <v>1566</v>
      </c>
      <c r="AD159" s="135"/>
      <c r="AE159" s="127" t="s">
        <v>1566</v>
      </c>
      <c r="AF159" s="127"/>
      <c r="AG159" s="130"/>
      <c r="AH159" s="130" t="str">
        <f t="shared" si="118"/>
        <v xml:space="preserve"> </v>
      </c>
      <c r="AI159" s="130" t="str">
        <f t="shared" si="119"/>
        <v xml:space="preserve"> </v>
      </c>
      <c r="AJ159" s="144" t="str">
        <f t="shared" si="120"/>
        <v xml:space="preserve"> </v>
      </c>
      <c r="AK159" s="128" t="str">
        <f t="shared" si="121"/>
        <v xml:space="preserve"> </v>
      </c>
      <c r="AL159" s="128" t="str">
        <f t="shared" si="122"/>
        <v xml:space="preserve"> </v>
      </c>
      <c r="AM159" s="128">
        <f t="shared" si="123"/>
        <v>39</v>
      </c>
      <c r="AN159" s="130" t="str">
        <f t="shared" si="124"/>
        <v xml:space="preserve"> </v>
      </c>
      <c r="AO159" s="130"/>
      <c r="AP159" s="130"/>
    </row>
    <row r="160" spans="1:42">
      <c r="A160" s="131" t="s">
        <v>159</v>
      </c>
      <c r="B160" s="132">
        <v>5</v>
      </c>
      <c r="C160" s="118" t="s">
        <v>128</v>
      </c>
      <c r="D160" s="118">
        <v>2019</v>
      </c>
      <c r="E160" s="133">
        <v>0</v>
      </c>
      <c r="F160" s="133">
        <v>5</v>
      </c>
      <c r="G160" s="133">
        <v>27</v>
      </c>
      <c r="H160" s="134">
        <v>87</v>
      </c>
      <c r="I160" s="133">
        <f>E160+F160+G160+H160</f>
        <v>119</v>
      </c>
      <c r="J160" s="135"/>
      <c r="K160" s="136">
        <f t="shared" ref="K160:N160" si="402">K159</f>
        <v>100</v>
      </c>
      <c r="L160" s="136">
        <f t="shared" si="402"/>
        <v>40</v>
      </c>
      <c r="M160" s="137">
        <f t="shared" si="402"/>
        <v>110</v>
      </c>
      <c r="N160" s="136">
        <f t="shared" si="402"/>
        <v>250</v>
      </c>
      <c r="O160" s="135"/>
      <c r="P160" s="136">
        <f t="shared" si="390"/>
        <v>87</v>
      </c>
      <c r="Q160" s="136">
        <f t="shared" ref="Q160:S160" si="403">G160+Q159</f>
        <v>120</v>
      </c>
      <c r="R160" s="137">
        <f t="shared" si="403"/>
        <v>192</v>
      </c>
      <c r="S160" s="136">
        <f t="shared" si="403"/>
        <v>399</v>
      </c>
      <c r="T160" s="139"/>
      <c r="U160" s="140">
        <f t="shared" ref="U160:X160" si="404">P160/K160</f>
        <v>0.87</v>
      </c>
      <c r="V160" s="140">
        <f t="shared" si="404"/>
        <v>3</v>
      </c>
      <c r="W160" s="141">
        <f t="shared" si="404"/>
        <v>1.7454545454545454</v>
      </c>
      <c r="X160" s="140">
        <f t="shared" si="404"/>
        <v>1.5960000000000001</v>
      </c>
      <c r="Y160" s="146" t="s">
        <v>159</v>
      </c>
      <c r="Z160" s="143"/>
      <c r="AA160" s="138">
        <v>250</v>
      </c>
      <c r="AB160" s="136">
        <v>250</v>
      </c>
      <c r="AC160" s="128">
        <v>399</v>
      </c>
      <c r="AD160" s="135"/>
      <c r="AE160" s="127">
        <f>N155</f>
        <v>50</v>
      </c>
      <c r="AF160" s="127"/>
      <c r="AG160" s="130"/>
      <c r="AH160" s="130" t="str">
        <f t="shared" si="118"/>
        <v xml:space="preserve"> </v>
      </c>
      <c r="AI160" s="130" t="str">
        <f t="shared" si="119"/>
        <v xml:space="preserve"> </v>
      </c>
      <c r="AJ160" s="144" t="str">
        <f t="shared" si="120"/>
        <v xml:space="preserve"> </v>
      </c>
      <c r="AK160" s="128" t="str">
        <f t="shared" si="121"/>
        <v xml:space="preserve"> </v>
      </c>
      <c r="AL160" s="128" t="str">
        <f t="shared" si="122"/>
        <v xml:space="preserve"> </v>
      </c>
      <c r="AM160" s="128" t="str">
        <f t="shared" si="123"/>
        <v xml:space="preserve"> </v>
      </c>
      <c r="AN160" s="130">
        <f t="shared" si="124"/>
        <v>5</v>
      </c>
      <c r="AO160" s="130"/>
      <c r="AP160" s="130"/>
    </row>
    <row r="161" spans="1:42">
      <c r="A161" s="131"/>
      <c r="B161" s="132"/>
      <c r="C161" s="118"/>
      <c r="D161" s="118"/>
      <c r="E161" s="133"/>
      <c r="F161" s="133"/>
      <c r="G161" s="133"/>
      <c r="H161" s="134"/>
      <c r="I161" s="133"/>
      <c r="J161" s="135"/>
      <c r="K161" s="136"/>
      <c r="L161" s="136"/>
      <c r="M161" s="137"/>
      <c r="N161" s="136"/>
      <c r="O161" s="135"/>
      <c r="P161" s="136"/>
      <c r="Q161" s="136"/>
      <c r="R161" s="137"/>
      <c r="S161" s="136"/>
      <c r="T161" s="139"/>
      <c r="U161" s="140"/>
      <c r="V161" s="140"/>
      <c r="W161" s="141"/>
      <c r="X161" s="140"/>
      <c r="Y161" s="142"/>
      <c r="Z161" s="143"/>
      <c r="AA161" s="136"/>
      <c r="AB161" s="136" t="s">
        <v>1566</v>
      </c>
      <c r="AC161" s="128" t="s">
        <v>1566</v>
      </c>
      <c r="AD161" s="135"/>
      <c r="AE161" s="127" t="s">
        <v>1566</v>
      </c>
      <c r="AF161" s="127"/>
      <c r="AG161" s="130"/>
      <c r="AH161" s="130" t="str">
        <f t="shared" si="118"/>
        <v xml:space="preserve"> </v>
      </c>
      <c r="AI161" s="130" t="str">
        <f t="shared" si="119"/>
        <v xml:space="preserve"> </v>
      </c>
      <c r="AJ161" s="144" t="str">
        <f t="shared" si="120"/>
        <v xml:space="preserve"> </v>
      </c>
      <c r="AK161" s="128" t="str">
        <f t="shared" si="121"/>
        <v xml:space="preserve"> </v>
      </c>
      <c r="AL161" s="128" t="str">
        <f t="shared" si="122"/>
        <v xml:space="preserve"> </v>
      </c>
      <c r="AM161" s="128" t="str">
        <f t="shared" si="123"/>
        <v xml:space="preserve"> </v>
      </c>
      <c r="AN161" s="130" t="str">
        <f t="shared" si="124"/>
        <v xml:space="preserve"> </v>
      </c>
      <c r="AO161" s="130"/>
      <c r="AP161" s="130"/>
    </row>
    <row r="162" spans="1:42">
      <c r="A162" s="131" t="s">
        <v>160</v>
      </c>
      <c r="B162" s="132">
        <v>8</v>
      </c>
      <c r="C162" s="118" t="s">
        <v>161</v>
      </c>
      <c r="D162" s="118">
        <v>2016</v>
      </c>
      <c r="E162" s="133">
        <v>41</v>
      </c>
      <c r="F162" s="133">
        <v>21</v>
      </c>
      <c r="G162" s="133">
        <v>44</v>
      </c>
      <c r="H162" s="134">
        <v>406</v>
      </c>
      <c r="I162" s="133">
        <v>512</v>
      </c>
      <c r="J162" s="135"/>
      <c r="K162" s="136">
        <f>ROUND((3850+2740)/8,0)</f>
        <v>824</v>
      </c>
      <c r="L162" s="136">
        <f>ROUND('HCD Assigned 5th Cycle RHNA'!F498/B162,0)</f>
        <v>317</v>
      </c>
      <c r="M162" s="137">
        <f>ROUND(6725/8,0)</f>
        <v>841</v>
      </c>
      <c r="N162" s="136">
        <v>1981</v>
      </c>
      <c r="O162" s="135"/>
      <c r="P162" s="136">
        <f>E162+F162</f>
        <v>62</v>
      </c>
      <c r="Q162" s="136">
        <f t="shared" ref="Q162:S162" si="405">G162</f>
        <v>44</v>
      </c>
      <c r="R162" s="137">
        <f t="shared" si="405"/>
        <v>406</v>
      </c>
      <c r="S162" s="136">
        <f t="shared" si="405"/>
        <v>512</v>
      </c>
      <c r="T162" s="139"/>
      <c r="U162" s="140">
        <f t="shared" ref="U162:X162" si="406">P162/K162</f>
        <v>7.5242718446601936E-2</v>
      </c>
      <c r="V162" s="140">
        <f t="shared" si="406"/>
        <v>0.13880126182965299</v>
      </c>
      <c r="W162" s="141">
        <f t="shared" si="406"/>
        <v>0.48275862068965519</v>
      </c>
      <c r="X162" s="140">
        <f t="shared" si="406"/>
        <v>0.25845532559313478</v>
      </c>
      <c r="Y162" s="142"/>
      <c r="Z162" s="143"/>
      <c r="AA162" s="136"/>
      <c r="AB162" s="136" t="s">
        <v>1566</v>
      </c>
      <c r="AC162" s="128" t="s">
        <v>1566</v>
      </c>
      <c r="AD162" s="135"/>
      <c r="AE162" s="127"/>
      <c r="AF162" s="127"/>
      <c r="AG162" s="130"/>
      <c r="AH162" s="130" t="str">
        <f t="shared" si="118"/>
        <v xml:space="preserve"> </v>
      </c>
      <c r="AI162" s="130" t="str">
        <f t="shared" si="119"/>
        <v xml:space="preserve"> </v>
      </c>
      <c r="AJ162" s="144" t="str">
        <f t="shared" si="120"/>
        <v xml:space="preserve"> </v>
      </c>
      <c r="AK162" s="128">
        <f t="shared" si="121"/>
        <v>62</v>
      </c>
      <c r="AL162" s="128" t="str">
        <f t="shared" si="122"/>
        <v xml:space="preserve"> </v>
      </c>
      <c r="AM162" s="128" t="str">
        <f t="shared" si="123"/>
        <v xml:space="preserve"> </v>
      </c>
      <c r="AN162" s="130" t="str">
        <f t="shared" si="124"/>
        <v xml:space="preserve"> </v>
      </c>
      <c r="AO162" s="130"/>
      <c r="AP162" s="130"/>
    </row>
    <row r="163" spans="1:42">
      <c r="A163" s="131" t="s">
        <v>160</v>
      </c>
      <c r="B163" s="132">
        <v>8</v>
      </c>
      <c r="C163" s="118" t="s">
        <v>161</v>
      </c>
      <c r="D163" s="118">
        <v>2017</v>
      </c>
      <c r="E163" s="133">
        <v>0</v>
      </c>
      <c r="F163" s="133">
        <v>5</v>
      </c>
      <c r="G163" s="133">
        <v>197</v>
      </c>
      <c r="H163" s="134">
        <v>619</v>
      </c>
      <c r="I163" s="133">
        <v>821</v>
      </c>
      <c r="J163" s="135"/>
      <c r="K163" s="136">
        <f t="shared" ref="K163:N163" si="407">K162*2</f>
        <v>1648</v>
      </c>
      <c r="L163" s="136">
        <f t="shared" si="407"/>
        <v>634</v>
      </c>
      <c r="M163" s="137">
        <f t="shared" si="407"/>
        <v>1682</v>
      </c>
      <c r="N163" s="136">
        <f t="shared" si="407"/>
        <v>3962</v>
      </c>
      <c r="O163" s="135"/>
      <c r="P163" s="136">
        <f t="shared" ref="P163:P165" si="408">E163+F163+P162</f>
        <v>67</v>
      </c>
      <c r="Q163" s="136">
        <f t="shared" ref="Q163:S163" si="409">G163+Q162</f>
        <v>241</v>
      </c>
      <c r="R163" s="137">
        <f t="shared" si="409"/>
        <v>1025</v>
      </c>
      <c r="S163" s="136">
        <f t="shared" si="409"/>
        <v>1333</v>
      </c>
      <c r="T163" s="139"/>
      <c r="U163" s="140">
        <f t="shared" ref="U163:X163" si="410">P163/K163</f>
        <v>4.0655339805825245E-2</v>
      </c>
      <c r="V163" s="140">
        <f t="shared" si="410"/>
        <v>0.38012618296529971</v>
      </c>
      <c r="W163" s="141">
        <f t="shared" si="410"/>
        <v>0.60939357907253267</v>
      </c>
      <c r="X163" s="140">
        <f t="shared" si="410"/>
        <v>0.33644623927309442</v>
      </c>
      <c r="Y163" s="142"/>
      <c r="Z163" s="143"/>
      <c r="AA163" s="136"/>
      <c r="AB163" s="136" t="s">
        <v>1566</v>
      </c>
      <c r="AC163" s="128" t="s">
        <v>1566</v>
      </c>
      <c r="AD163" s="135"/>
      <c r="AE163" s="127" t="s">
        <v>1566</v>
      </c>
      <c r="AF163" s="127"/>
      <c r="AG163" s="130"/>
      <c r="AH163" s="130" t="str">
        <f t="shared" si="118"/>
        <v xml:space="preserve"> </v>
      </c>
      <c r="AI163" s="130" t="str">
        <f t="shared" si="119"/>
        <v xml:space="preserve"> </v>
      </c>
      <c r="AJ163" s="144" t="str">
        <f t="shared" si="120"/>
        <v xml:space="preserve"> </v>
      </c>
      <c r="AK163" s="128" t="str">
        <f t="shared" si="121"/>
        <v xml:space="preserve"> </v>
      </c>
      <c r="AL163" s="128">
        <f t="shared" si="122"/>
        <v>5</v>
      </c>
      <c r="AM163" s="128" t="str">
        <f t="shared" si="123"/>
        <v xml:space="preserve"> </v>
      </c>
      <c r="AN163" s="130" t="str">
        <f t="shared" si="124"/>
        <v xml:space="preserve"> </v>
      </c>
      <c r="AO163" s="130"/>
      <c r="AP163" s="130"/>
    </row>
    <row r="164" spans="1:42">
      <c r="A164" s="131" t="s">
        <v>160</v>
      </c>
      <c r="B164" s="132">
        <v>8</v>
      </c>
      <c r="C164" s="118" t="s">
        <v>161</v>
      </c>
      <c r="D164" s="118">
        <v>2018</v>
      </c>
      <c r="E164" s="133">
        <v>0</v>
      </c>
      <c r="F164" s="133">
        <v>12</v>
      </c>
      <c r="G164" s="133">
        <v>5</v>
      </c>
      <c r="H164" s="134">
        <v>1025</v>
      </c>
      <c r="I164" s="133">
        <v>1042</v>
      </c>
      <c r="J164" s="135"/>
      <c r="K164" s="136">
        <f t="shared" ref="K164:N164" si="411">K162*3</f>
        <v>2472</v>
      </c>
      <c r="L164" s="136">
        <f t="shared" si="411"/>
        <v>951</v>
      </c>
      <c r="M164" s="137">
        <f t="shared" si="411"/>
        <v>2523</v>
      </c>
      <c r="N164" s="136">
        <f t="shared" si="411"/>
        <v>5943</v>
      </c>
      <c r="O164" s="135"/>
      <c r="P164" s="136">
        <f t="shared" si="408"/>
        <v>79</v>
      </c>
      <c r="Q164" s="136">
        <f t="shared" ref="Q164:S164" si="412">G164+Q163</f>
        <v>246</v>
      </c>
      <c r="R164" s="137">
        <f t="shared" si="412"/>
        <v>2050</v>
      </c>
      <c r="S164" s="136">
        <f t="shared" si="412"/>
        <v>2375</v>
      </c>
      <c r="T164" s="139"/>
      <c r="U164" s="140">
        <f t="shared" ref="U164:X164" si="413">P164/K164</f>
        <v>3.1957928802588999E-2</v>
      </c>
      <c r="V164" s="140">
        <f t="shared" si="413"/>
        <v>0.25867507886435331</v>
      </c>
      <c r="W164" s="141">
        <f t="shared" si="413"/>
        <v>0.81252477209671026</v>
      </c>
      <c r="X164" s="140">
        <f t="shared" si="413"/>
        <v>0.39962981659094732</v>
      </c>
      <c r="Y164" s="142"/>
      <c r="Z164" s="143"/>
      <c r="AA164" s="136"/>
      <c r="AB164" s="136" t="s">
        <v>1566</v>
      </c>
      <c r="AC164" s="128" t="s">
        <v>1566</v>
      </c>
      <c r="AD164" s="135"/>
      <c r="AE164" s="127" t="s">
        <v>1566</v>
      </c>
      <c r="AF164" s="127"/>
      <c r="AG164" s="130"/>
      <c r="AH164" s="130" t="str">
        <f t="shared" si="118"/>
        <v xml:space="preserve"> </v>
      </c>
      <c r="AI164" s="130" t="str">
        <f t="shared" si="119"/>
        <v xml:space="preserve"> </v>
      </c>
      <c r="AJ164" s="144" t="str">
        <f t="shared" si="120"/>
        <v xml:space="preserve"> </v>
      </c>
      <c r="AK164" s="128" t="str">
        <f t="shared" si="121"/>
        <v xml:space="preserve"> </v>
      </c>
      <c r="AL164" s="128" t="str">
        <f t="shared" si="122"/>
        <v xml:space="preserve"> </v>
      </c>
      <c r="AM164" s="128">
        <f t="shared" si="123"/>
        <v>12</v>
      </c>
      <c r="AN164" s="130" t="str">
        <f t="shared" si="124"/>
        <v xml:space="preserve"> </v>
      </c>
      <c r="AO164" s="130"/>
      <c r="AP164" s="130"/>
    </row>
    <row r="165" spans="1:42">
      <c r="A165" s="131" t="s">
        <v>160</v>
      </c>
      <c r="B165" s="132">
        <v>8</v>
      </c>
      <c r="C165" s="118" t="s">
        <v>161</v>
      </c>
      <c r="D165" s="118">
        <v>2019</v>
      </c>
      <c r="E165" s="133">
        <v>0</v>
      </c>
      <c r="F165" s="133">
        <v>29</v>
      </c>
      <c r="G165" s="133">
        <v>29</v>
      </c>
      <c r="H165" s="134">
        <v>1028</v>
      </c>
      <c r="I165" s="133">
        <f>E165+F165+G165+H165</f>
        <v>1086</v>
      </c>
      <c r="J165" s="135"/>
      <c r="K165" s="136">
        <f t="shared" ref="K165:N165" si="414">K162*4</f>
        <v>3296</v>
      </c>
      <c r="L165" s="136">
        <f t="shared" si="414"/>
        <v>1268</v>
      </c>
      <c r="M165" s="137">
        <f t="shared" si="414"/>
        <v>3364</v>
      </c>
      <c r="N165" s="136">
        <f t="shared" si="414"/>
        <v>7924</v>
      </c>
      <c r="O165" s="135"/>
      <c r="P165" s="136">
        <f t="shared" si="408"/>
        <v>108</v>
      </c>
      <c r="Q165" s="136">
        <f t="shared" ref="Q165:S165" si="415">G165+Q164</f>
        <v>275</v>
      </c>
      <c r="R165" s="137">
        <f t="shared" si="415"/>
        <v>3078</v>
      </c>
      <c r="S165" s="136">
        <f t="shared" si="415"/>
        <v>3461</v>
      </c>
      <c r="T165" s="139"/>
      <c r="U165" s="140">
        <f t="shared" ref="U165:X165" si="416">P165/K165</f>
        <v>3.2766990291262135E-2</v>
      </c>
      <c r="V165" s="140">
        <f t="shared" si="416"/>
        <v>0.21687697160883282</v>
      </c>
      <c r="W165" s="141">
        <f t="shared" si="416"/>
        <v>0.91498216409036859</v>
      </c>
      <c r="X165" s="140">
        <f t="shared" si="416"/>
        <v>0.43677435638566381</v>
      </c>
      <c r="Y165" s="146" t="s">
        <v>160</v>
      </c>
      <c r="Z165" s="143"/>
      <c r="AA165" s="138">
        <v>15850</v>
      </c>
      <c r="AB165" s="136">
        <v>7924</v>
      </c>
      <c r="AC165" s="128">
        <v>3461</v>
      </c>
      <c r="AD165" s="135"/>
      <c r="AE165" s="127">
        <f>N162</f>
        <v>1981</v>
      </c>
      <c r="AF165" s="127"/>
      <c r="AG165" s="130"/>
      <c r="AH165" s="130" t="str">
        <f t="shared" si="118"/>
        <v xml:space="preserve"> </v>
      </c>
      <c r="AI165" s="130" t="str">
        <f t="shared" si="119"/>
        <v xml:space="preserve"> </v>
      </c>
      <c r="AJ165" s="144" t="str">
        <f t="shared" si="120"/>
        <v xml:space="preserve"> </v>
      </c>
      <c r="AK165" s="128" t="str">
        <f t="shared" si="121"/>
        <v xml:space="preserve"> </v>
      </c>
      <c r="AL165" s="128" t="str">
        <f t="shared" si="122"/>
        <v xml:space="preserve"> </v>
      </c>
      <c r="AM165" s="128" t="str">
        <f t="shared" si="123"/>
        <v xml:space="preserve"> </v>
      </c>
      <c r="AN165" s="130">
        <f t="shared" si="124"/>
        <v>29</v>
      </c>
      <c r="AO165" s="130"/>
      <c r="AP165" s="130"/>
    </row>
    <row r="166" spans="1:42">
      <c r="A166" s="131"/>
      <c r="B166" s="132"/>
      <c r="C166" s="118"/>
      <c r="D166" s="118"/>
      <c r="E166" s="133"/>
      <c r="F166" s="133"/>
      <c r="G166" s="133"/>
      <c r="H166" s="134"/>
      <c r="I166" s="133"/>
      <c r="J166" s="135"/>
      <c r="K166" s="136"/>
      <c r="L166" s="136"/>
      <c r="M166" s="137"/>
      <c r="N166" s="136"/>
      <c r="O166" s="135"/>
      <c r="P166" s="136"/>
      <c r="Q166" s="136"/>
      <c r="R166" s="137"/>
      <c r="S166" s="136"/>
      <c r="T166" s="139"/>
      <c r="U166" s="140"/>
      <c r="V166" s="140"/>
      <c r="W166" s="141"/>
      <c r="X166" s="140"/>
      <c r="Y166" s="142"/>
      <c r="Z166" s="143"/>
      <c r="AA166" s="136"/>
      <c r="AB166" s="136" t="s">
        <v>1566</v>
      </c>
      <c r="AC166" s="128" t="s">
        <v>1566</v>
      </c>
      <c r="AD166" s="135"/>
      <c r="AE166" s="127"/>
      <c r="AF166" s="127"/>
      <c r="AG166" s="130"/>
      <c r="AH166" s="130" t="str">
        <f t="shared" si="118"/>
        <v xml:space="preserve"> </v>
      </c>
      <c r="AI166" s="130" t="str">
        <f t="shared" si="119"/>
        <v xml:space="preserve"> </v>
      </c>
      <c r="AJ166" s="144" t="str">
        <f t="shared" si="120"/>
        <v xml:space="preserve"> </v>
      </c>
      <c r="AK166" s="128" t="str">
        <f t="shared" si="121"/>
        <v xml:space="preserve"> </v>
      </c>
      <c r="AL166" s="128" t="str">
        <f t="shared" si="122"/>
        <v xml:space="preserve"> </v>
      </c>
      <c r="AM166" s="128" t="str">
        <f t="shared" si="123"/>
        <v xml:space="preserve"> </v>
      </c>
      <c r="AN166" s="130" t="str">
        <f t="shared" si="124"/>
        <v xml:space="preserve"> </v>
      </c>
      <c r="AO166" s="130"/>
      <c r="AP166" s="130"/>
    </row>
    <row r="167" spans="1:42">
      <c r="A167" s="131" t="s">
        <v>162</v>
      </c>
      <c r="B167" s="132">
        <v>5</v>
      </c>
      <c r="C167" s="118" t="s">
        <v>128</v>
      </c>
      <c r="D167" s="118">
        <v>2014</v>
      </c>
      <c r="E167" s="133">
        <v>0</v>
      </c>
      <c r="F167" s="133">
        <v>0</v>
      </c>
      <c r="G167" s="133">
        <v>0</v>
      </c>
      <c r="H167" s="134">
        <v>0</v>
      </c>
      <c r="I167" s="133">
        <v>0</v>
      </c>
      <c r="J167" s="135"/>
      <c r="K167" s="136">
        <f>ROUND((3+3)/5,0)</f>
        <v>1</v>
      </c>
      <c r="L167" s="138">
        <f>ROUND('HCD Assigned 5th Cycle RHNA'!F590/B167,0)</f>
        <v>0</v>
      </c>
      <c r="M167" s="147">
        <v>2</v>
      </c>
      <c r="N167" s="136">
        <v>3</v>
      </c>
      <c r="O167" s="135"/>
      <c r="P167" s="136">
        <f t="shared" ref="P167:P171" si="417">E167+F167</f>
        <v>0</v>
      </c>
      <c r="Q167" s="136">
        <f t="shared" ref="Q167:S167" si="418">G167</f>
        <v>0</v>
      </c>
      <c r="R167" s="137">
        <f t="shared" si="418"/>
        <v>0</v>
      </c>
      <c r="S167" s="136">
        <f t="shared" si="418"/>
        <v>0</v>
      </c>
      <c r="T167" s="139"/>
      <c r="U167" s="140">
        <f t="shared" ref="U167:U172" si="419">P167/K167</f>
        <v>0</v>
      </c>
      <c r="V167" s="153">
        <v>0</v>
      </c>
      <c r="W167" s="141">
        <f t="shared" ref="W167:X167" si="420">R167/M167</f>
        <v>0</v>
      </c>
      <c r="X167" s="140">
        <f t="shared" si="420"/>
        <v>0</v>
      </c>
      <c r="Y167" s="142"/>
      <c r="Z167" s="143"/>
      <c r="AA167" s="136"/>
      <c r="AB167" s="136" t="s">
        <v>1566</v>
      </c>
      <c r="AC167" s="128" t="s">
        <v>1566</v>
      </c>
      <c r="AD167" s="135"/>
      <c r="AE167" s="127"/>
      <c r="AF167" s="127"/>
      <c r="AG167" s="130"/>
      <c r="AH167" s="130" t="str">
        <f t="shared" si="118"/>
        <v xml:space="preserve"> </v>
      </c>
      <c r="AI167" s="130">
        <f t="shared" si="119"/>
        <v>0</v>
      </c>
      <c r="AJ167" s="144" t="str">
        <f t="shared" si="120"/>
        <v xml:space="preserve"> </v>
      </c>
      <c r="AK167" s="128" t="str">
        <f t="shared" si="121"/>
        <v xml:space="preserve"> </v>
      </c>
      <c r="AL167" s="128" t="str">
        <f t="shared" si="122"/>
        <v xml:space="preserve"> </v>
      </c>
      <c r="AM167" s="128" t="str">
        <f t="shared" si="123"/>
        <v xml:space="preserve"> </v>
      </c>
      <c r="AN167" s="130" t="str">
        <f t="shared" si="124"/>
        <v xml:space="preserve"> </v>
      </c>
      <c r="AO167" s="130"/>
      <c r="AP167" s="130"/>
    </row>
    <row r="168" spans="1:42">
      <c r="A168" s="131" t="s">
        <v>162</v>
      </c>
      <c r="B168" s="132">
        <v>5</v>
      </c>
      <c r="C168" s="118" t="s">
        <v>128</v>
      </c>
      <c r="D168" s="118">
        <v>2015</v>
      </c>
      <c r="E168" s="133">
        <v>0</v>
      </c>
      <c r="F168" s="133">
        <v>0</v>
      </c>
      <c r="G168" s="133">
        <v>0</v>
      </c>
      <c r="H168" s="134">
        <v>0</v>
      </c>
      <c r="I168" s="133">
        <v>0</v>
      </c>
      <c r="J168" s="135"/>
      <c r="K168" s="136">
        <f>K167*2</f>
        <v>2</v>
      </c>
      <c r="L168" s="136">
        <f>ROUND('HCD Assigned 5th Cycle RHNA'!F590/B167*2,0)</f>
        <v>1</v>
      </c>
      <c r="M168" s="137">
        <f t="shared" ref="M168:N168" si="421">M167*2</f>
        <v>4</v>
      </c>
      <c r="N168" s="136">
        <f t="shared" si="421"/>
        <v>6</v>
      </c>
      <c r="O168" s="135"/>
      <c r="P168" s="136">
        <f t="shared" si="417"/>
        <v>0</v>
      </c>
      <c r="Q168" s="136">
        <f t="shared" ref="Q168:Q172" si="422">G168+Q167</f>
        <v>0</v>
      </c>
      <c r="R168" s="137">
        <f t="shared" ref="R168:S168" si="423">H168</f>
        <v>0</v>
      </c>
      <c r="S168" s="136">
        <f t="shared" si="423"/>
        <v>0</v>
      </c>
      <c r="T168" s="139"/>
      <c r="U168" s="140">
        <f t="shared" si="419"/>
        <v>0</v>
      </c>
      <c r="V168" s="140">
        <f t="shared" ref="V168:X168" si="424">Q168/L168</f>
        <v>0</v>
      </c>
      <c r="W168" s="141">
        <f t="shared" si="424"/>
        <v>0</v>
      </c>
      <c r="X168" s="140">
        <f t="shared" si="424"/>
        <v>0</v>
      </c>
      <c r="Y168" s="142"/>
      <c r="Z168" s="143"/>
      <c r="AA168" s="136"/>
      <c r="AB168" s="136" t="s">
        <v>1566</v>
      </c>
      <c r="AC168" s="128" t="s">
        <v>1566</v>
      </c>
      <c r="AD168" s="135"/>
      <c r="AE168" s="127"/>
      <c r="AF168" s="127"/>
      <c r="AG168" s="130"/>
      <c r="AH168" s="130" t="str">
        <f t="shared" si="118"/>
        <v xml:space="preserve"> </v>
      </c>
      <c r="AI168" s="130" t="str">
        <f t="shared" si="119"/>
        <v xml:space="preserve"> </v>
      </c>
      <c r="AJ168" s="130">
        <f t="shared" si="120"/>
        <v>0</v>
      </c>
      <c r="AK168" s="128" t="str">
        <f t="shared" si="121"/>
        <v xml:space="preserve"> </v>
      </c>
      <c r="AL168" s="128" t="str">
        <f t="shared" si="122"/>
        <v xml:space="preserve"> </v>
      </c>
      <c r="AM168" s="128" t="str">
        <f t="shared" si="123"/>
        <v xml:space="preserve"> </v>
      </c>
      <c r="AN168" s="130" t="str">
        <f t="shared" si="124"/>
        <v xml:space="preserve"> </v>
      </c>
      <c r="AO168" s="130"/>
      <c r="AP168" s="130"/>
    </row>
    <row r="169" spans="1:42">
      <c r="A169" s="131" t="s">
        <v>162</v>
      </c>
      <c r="B169" s="132">
        <v>5</v>
      </c>
      <c r="C169" s="118" t="s">
        <v>128</v>
      </c>
      <c r="D169" s="118">
        <v>2016</v>
      </c>
      <c r="E169" s="133">
        <v>0</v>
      </c>
      <c r="F169" s="133">
        <v>0</v>
      </c>
      <c r="G169" s="133">
        <v>0</v>
      </c>
      <c r="H169" s="134">
        <v>0</v>
      </c>
      <c r="I169" s="133">
        <v>0</v>
      </c>
      <c r="J169" s="135"/>
      <c r="K169" s="136">
        <f>K167*3</f>
        <v>3</v>
      </c>
      <c r="L169" s="136">
        <f>ROUND('HCD Assigned 5th Cycle RHNA'!F590/5*3,0)</f>
        <v>1</v>
      </c>
      <c r="M169" s="137">
        <f t="shared" ref="M169:N169" si="425">M167*3</f>
        <v>6</v>
      </c>
      <c r="N169" s="136">
        <f t="shared" si="425"/>
        <v>9</v>
      </c>
      <c r="O169" s="135"/>
      <c r="P169" s="136">
        <f t="shared" si="417"/>
        <v>0</v>
      </c>
      <c r="Q169" s="136">
        <f t="shared" si="422"/>
        <v>0</v>
      </c>
      <c r="R169" s="137">
        <f t="shared" ref="R169:S169" si="426">H169</f>
        <v>0</v>
      </c>
      <c r="S169" s="136">
        <f t="shared" si="426"/>
        <v>0</v>
      </c>
      <c r="T169" s="139"/>
      <c r="U169" s="140">
        <f t="shared" si="419"/>
        <v>0</v>
      </c>
      <c r="V169" s="140">
        <f t="shared" ref="V169:X169" si="427">Q169/L169</f>
        <v>0</v>
      </c>
      <c r="W169" s="141">
        <f t="shared" si="427"/>
        <v>0</v>
      </c>
      <c r="X169" s="140">
        <f t="shared" si="427"/>
        <v>0</v>
      </c>
      <c r="Y169" s="142"/>
      <c r="Z169" s="143"/>
      <c r="AA169" s="136"/>
      <c r="AB169" s="136" t="s">
        <v>1566</v>
      </c>
      <c r="AC169" s="128" t="s">
        <v>1566</v>
      </c>
      <c r="AD169" s="135"/>
      <c r="AE169" s="127"/>
      <c r="AF169" s="127"/>
      <c r="AG169" s="130"/>
      <c r="AH169" s="130" t="str">
        <f t="shared" si="118"/>
        <v xml:space="preserve"> </v>
      </c>
      <c r="AI169" s="130" t="str">
        <f t="shared" si="119"/>
        <v xml:space="preserve"> </v>
      </c>
      <c r="AJ169" s="144" t="str">
        <f t="shared" si="120"/>
        <v xml:space="preserve"> </v>
      </c>
      <c r="AK169" s="128">
        <f t="shared" si="121"/>
        <v>0</v>
      </c>
      <c r="AL169" s="128" t="str">
        <f t="shared" si="122"/>
        <v xml:space="preserve"> </v>
      </c>
      <c r="AM169" s="128" t="str">
        <f t="shared" si="123"/>
        <v xml:space="preserve"> </v>
      </c>
      <c r="AN169" s="130" t="str">
        <f t="shared" si="124"/>
        <v xml:space="preserve"> </v>
      </c>
      <c r="AO169" s="130"/>
      <c r="AP169" s="130"/>
    </row>
    <row r="170" spans="1:42">
      <c r="A170" s="131" t="s">
        <v>162</v>
      </c>
      <c r="B170" s="132">
        <v>5</v>
      </c>
      <c r="C170" s="118" t="s">
        <v>128</v>
      </c>
      <c r="D170" s="118">
        <v>2017</v>
      </c>
      <c r="E170" s="133">
        <v>0</v>
      </c>
      <c r="F170" s="133">
        <v>0</v>
      </c>
      <c r="G170" s="133">
        <v>0</v>
      </c>
      <c r="H170" s="134">
        <v>0</v>
      </c>
      <c r="I170" s="133">
        <v>0</v>
      </c>
      <c r="J170" s="135"/>
      <c r="K170" s="136">
        <f>K167*4</f>
        <v>4</v>
      </c>
      <c r="L170" s="136">
        <f>ROUND(2/5*4,0)</f>
        <v>2</v>
      </c>
      <c r="M170" s="137">
        <f t="shared" ref="M170:N170" si="428">M167*4</f>
        <v>8</v>
      </c>
      <c r="N170" s="136">
        <f t="shared" si="428"/>
        <v>12</v>
      </c>
      <c r="O170" s="135"/>
      <c r="P170" s="136">
        <f t="shared" si="417"/>
        <v>0</v>
      </c>
      <c r="Q170" s="136">
        <f t="shared" si="422"/>
        <v>0</v>
      </c>
      <c r="R170" s="137">
        <f t="shared" ref="R170:S170" si="429">H170</f>
        <v>0</v>
      </c>
      <c r="S170" s="136">
        <f t="shared" si="429"/>
        <v>0</v>
      </c>
      <c r="T170" s="139"/>
      <c r="U170" s="140">
        <f t="shared" si="419"/>
        <v>0</v>
      </c>
      <c r="V170" s="140">
        <f t="shared" ref="V170:X170" si="430">Q170/L170</f>
        <v>0</v>
      </c>
      <c r="W170" s="141">
        <f t="shared" si="430"/>
        <v>0</v>
      </c>
      <c r="X170" s="140">
        <f t="shared" si="430"/>
        <v>0</v>
      </c>
      <c r="Y170" s="142"/>
      <c r="Z170" s="143"/>
      <c r="AA170" s="136"/>
      <c r="AB170" s="136" t="s">
        <v>1566</v>
      </c>
      <c r="AC170" s="128" t="s">
        <v>1566</v>
      </c>
      <c r="AD170" s="135"/>
      <c r="AE170" s="127"/>
      <c r="AF170" s="127"/>
      <c r="AG170" s="130"/>
      <c r="AH170" s="130" t="str">
        <f t="shared" si="118"/>
        <v xml:space="preserve"> </v>
      </c>
      <c r="AI170" s="130" t="str">
        <f t="shared" si="119"/>
        <v xml:space="preserve"> </v>
      </c>
      <c r="AJ170" s="144" t="str">
        <f t="shared" si="120"/>
        <v xml:space="preserve"> </v>
      </c>
      <c r="AK170" s="128" t="str">
        <f t="shared" si="121"/>
        <v xml:space="preserve"> </v>
      </c>
      <c r="AL170" s="128">
        <f t="shared" si="122"/>
        <v>0</v>
      </c>
      <c r="AM170" s="128" t="str">
        <f t="shared" si="123"/>
        <v xml:space="preserve"> </v>
      </c>
      <c r="AN170" s="130" t="str">
        <f t="shared" si="124"/>
        <v xml:space="preserve"> </v>
      </c>
      <c r="AO170" s="130"/>
      <c r="AP170" s="130"/>
    </row>
    <row r="171" spans="1:42">
      <c r="A171" s="131" t="s">
        <v>162</v>
      </c>
      <c r="B171" s="132">
        <v>5</v>
      </c>
      <c r="C171" s="118" t="s">
        <v>128</v>
      </c>
      <c r="D171" s="118">
        <v>2018</v>
      </c>
      <c r="E171" s="133">
        <v>0</v>
      </c>
      <c r="F171" s="133">
        <v>0</v>
      </c>
      <c r="G171" s="133">
        <v>0</v>
      </c>
      <c r="H171" s="134">
        <v>0</v>
      </c>
      <c r="I171" s="133">
        <v>0</v>
      </c>
      <c r="J171" s="135"/>
      <c r="K171" s="136">
        <f>K167*5</f>
        <v>5</v>
      </c>
      <c r="L171" s="138">
        <v>2</v>
      </c>
      <c r="M171" s="137">
        <f t="shared" ref="M171:N171" si="431">M167*5</f>
        <v>10</v>
      </c>
      <c r="N171" s="136">
        <f t="shared" si="431"/>
        <v>15</v>
      </c>
      <c r="O171" s="135"/>
      <c r="P171" s="136">
        <f t="shared" si="417"/>
        <v>0</v>
      </c>
      <c r="Q171" s="136">
        <f t="shared" si="422"/>
        <v>0</v>
      </c>
      <c r="R171" s="137">
        <f t="shared" ref="R171:S171" si="432">H171</f>
        <v>0</v>
      </c>
      <c r="S171" s="136">
        <f t="shared" si="432"/>
        <v>0</v>
      </c>
      <c r="T171" s="139"/>
      <c r="U171" s="140">
        <f t="shared" si="419"/>
        <v>0</v>
      </c>
      <c r="V171" s="140">
        <f t="shared" ref="V171:X171" si="433">Q171/L171</f>
        <v>0</v>
      </c>
      <c r="W171" s="141">
        <f t="shared" si="433"/>
        <v>0</v>
      </c>
      <c r="X171" s="140">
        <f t="shared" si="433"/>
        <v>0</v>
      </c>
      <c r="Y171" s="142"/>
      <c r="Z171" s="143"/>
      <c r="AA171" s="136"/>
      <c r="AB171" s="136" t="s">
        <v>1566</v>
      </c>
      <c r="AC171" s="128" t="s">
        <v>1566</v>
      </c>
      <c r="AD171" s="135"/>
      <c r="AE171" s="127"/>
      <c r="AF171" s="127"/>
      <c r="AG171" s="130"/>
      <c r="AH171" s="130" t="str">
        <f t="shared" si="118"/>
        <v xml:space="preserve"> </v>
      </c>
      <c r="AI171" s="130" t="str">
        <f t="shared" si="119"/>
        <v xml:space="preserve"> </v>
      </c>
      <c r="AJ171" s="144" t="str">
        <f t="shared" si="120"/>
        <v xml:space="preserve"> </v>
      </c>
      <c r="AK171" s="128" t="str">
        <f t="shared" si="121"/>
        <v xml:space="preserve"> </v>
      </c>
      <c r="AL171" s="128" t="str">
        <f t="shared" si="122"/>
        <v xml:space="preserve"> </v>
      </c>
      <c r="AM171" s="128">
        <f t="shared" si="123"/>
        <v>0</v>
      </c>
      <c r="AN171" s="130" t="str">
        <f t="shared" si="124"/>
        <v xml:space="preserve"> </v>
      </c>
      <c r="AO171" s="130"/>
      <c r="AP171" s="130"/>
    </row>
    <row r="172" spans="1:42">
      <c r="A172" s="131" t="s">
        <v>162</v>
      </c>
      <c r="B172" s="132">
        <v>5</v>
      </c>
      <c r="C172" s="118" t="s">
        <v>128</v>
      </c>
      <c r="D172" s="118">
        <v>2019</v>
      </c>
      <c r="E172" s="133">
        <v>0</v>
      </c>
      <c r="F172" s="133">
        <v>2</v>
      </c>
      <c r="G172" s="133">
        <v>4</v>
      </c>
      <c r="H172" s="134">
        <v>0</v>
      </c>
      <c r="I172" s="133">
        <f>E172+F172+G172+H172</f>
        <v>6</v>
      </c>
      <c r="J172" s="135"/>
      <c r="K172" s="136">
        <f t="shared" ref="K172:N172" si="434">K171</f>
        <v>5</v>
      </c>
      <c r="L172" s="136">
        <f t="shared" si="434"/>
        <v>2</v>
      </c>
      <c r="M172" s="137">
        <f t="shared" si="434"/>
        <v>10</v>
      </c>
      <c r="N172" s="136">
        <f t="shared" si="434"/>
        <v>15</v>
      </c>
      <c r="O172" s="135"/>
      <c r="P172" s="136">
        <f>E172+F172+P171</f>
        <v>2</v>
      </c>
      <c r="Q172" s="136">
        <f t="shared" si="422"/>
        <v>4</v>
      </c>
      <c r="R172" s="137">
        <f t="shared" ref="R172:S172" si="435">H172+R171</f>
        <v>0</v>
      </c>
      <c r="S172" s="136">
        <f t="shared" si="435"/>
        <v>6</v>
      </c>
      <c r="T172" s="139"/>
      <c r="U172" s="140">
        <f t="shared" si="419"/>
        <v>0.4</v>
      </c>
      <c r="V172" s="140">
        <f t="shared" ref="V172:X172" si="436">Q172/L172</f>
        <v>2</v>
      </c>
      <c r="W172" s="141">
        <f t="shared" si="436"/>
        <v>0</v>
      </c>
      <c r="X172" s="140">
        <f t="shared" si="436"/>
        <v>0.4</v>
      </c>
      <c r="Y172" s="146" t="s">
        <v>162</v>
      </c>
      <c r="Z172" s="143"/>
      <c r="AA172" s="138">
        <v>15</v>
      </c>
      <c r="AB172" s="136">
        <v>15</v>
      </c>
      <c r="AC172" s="128">
        <v>6</v>
      </c>
      <c r="AD172" s="135"/>
      <c r="AE172" s="127">
        <f>N167</f>
        <v>3</v>
      </c>
      <c r="AF172" s="127"/>
      <c r="AG172" s="130"/>
      <c r="AH172" s="130" t="str">
        <f t="shared" si="118"/>
        <v xml:space="preserve"> </v>
      </c>
      <c r="AI172" s="130" t="str">
        <f t="shared" si="119"/>
        <v xml:space="preserve"> </v>
      </c>
      <c r="AJ172" s="144" t="str">
        <f t="shared" si="120"/>
        <v xml:space="preserve"> </v>
      </c>
      <c r="AK172" s="128" t="str">
        <f t="shared" si="121"/>
        <v xml:space="preserve"> </v>
      </c>
      <c r="AL172" s="128" t="str">
        <f t="shared" si="122"/>
        <v xml:space="preserve"> </v>
      </c>
      <c r="AM172" s="128" t="str">
        <f t="shared" si="123"/>
        <v xml:space="preserve"> </v>
      </c>
      <c r="AN172" s="130">
        <f t="shared" si="124"/>
        <v>2</v>
      </c>
      <c r="AO172" s="130"/>
      <c r="AP172" s="130"/>
    </row>
    <row r="173" spans="1:42">
      <c r="A173" s="131"/>
      <c r="B173" s="132"/>
      <c r="C173" s="118"/>
      <c r="D173" s="118"/>
      <c r="E173" s="133"/>
      <c r="F173" s="133"/>
      <c r="G173" s="133"/>
      <c r="H173" s="134"/>
      <c r="I173" s="133"/>
      <c r="J173" s="135"/>
      <c r="K173" s="136"/>
      <c r="L173" s="136"/>
      <c r="M173" s="137"/>
      <c r="N173" s="136"/>
      <c r="O173" s="135"/>
      <c r="P173" s="136"/>
      <c r="Q173" s="136"/>
      <c r="R173" s="137"/>
      <c r="S173" s="136"/>
      <c r="T173" s="139"/>
      <c r="U173" s="140"/>
      <c r="V173" s="140"/>
      <c r="W173" s="141"/>
      <c r="X173" s="140"/>
      <c r="Y173" s="142"/>
      <c r="Z173" s="143"/>
      <c r="AA173" s="136"/>
      <c r="AB173" s="136" t="s">
        <v>1566</v>
      </c>
      <c r="AC173" s="128" t="s">
        <v>1566</v>
      </c>
      <c r="AD173" s="135"/>
      <c r="AE173" s="127" t="s">
        <v>1566</v>
      </c>
      <c r="AF173" s="127"/>
      <c r="AG173" s="130"/>
      <c r="AH173" s="130" t="str">
        <f t="shared" si="118"/>
        <v xml:space="preserve"> </v>
      </c>
      <c r="AI173" s="130" t="str">
        <f t="shared" si="119"/>
        <v xml:space="preserve"> </v>
      </c>
      <c r="AJ173" s="144" t="str">
        <f t="shared" si="120"/>
        <v xml:space="preserve"> </v>
      </c>
      <c r="AK173" s="128" t="str">
        <f t="shared" si="121"/>
        <v xml:space="preserve"> </v>
      </c>
      <c r="AL173" s="128" t="str">
        <f t="shared" si="122"/>
        <v xml:space="preserve"> </v>
      </c>
      <c r="AM173" s="128" t="str">
        <f t="shared" si="123"/>
        <v xml:space="preserve"> </v>
      </c>
      <c r="AN173" s="130" t="str">
        <f t="shared" si="124"/>
        <v xml:space="preserve"> </v>
      </c>
      <c r="AO173" s="130"/>
      <c r="AP173" s="130"/>
    </row>
    <row r="174" spans="1:42">
      <c r="A174" s="131" t="s">
        <v>163</v>
      </c>
      <c r="B174" s="132">
        <v>5</v>
      </c>
      <c r="C174" s="118" t="s">
        <v>128</v>
      </c>
      <c r="D174" s="118">
        <v>2014</v>
      </c>
      <c r="E174" s="133">
        <v>0</v>
      </c>
      <c r="F174" s="133">
        <v>0</v>
      </c>
      <c r="G174" s="133">
        <v>9</v>
      </c>
      <c r="H174" s="134">
        <v>16</v>
      </c>
      <c r="I174" s="133">
        <v>25</v>
      </c>
      <c r="J174" s="135"/>
      <c r="K174" s="136">
        <f>ROUND((28+19)/5,0)</f>
        <v>9</v>
      </c>
      <c r="L174" s="138">
        <f>ROUND(23/5,0)</f>
        <v>5</v>
      </c>
      <c r="M174" s="137">
        <f>ROUND(50/5,0)</f>
        <v>10</v>
      </c>
      <c r="N174" s="136">
        <f>ROUND(120/5,0)</f>
        <v>24</v>
      </c>
      <c r="O174" s="135"/>
      <c r="P174" s="136">
        <f>E174+F174</f>
        <v>0</v>
      </c>
      <c r="Q174" s="136">
        <f t="shared" ref="Q174:S174" si="437">G174</f>
        <v>9</v>
      </c>
      <c r="R174" s="137">
        <f t="shared" si="437"/>
        <v>16</v>
      </c>
      <c r="S174" s="136">
        <f t="shared" si="437"/>
        <v>25</v>
      </c>
      <c r="T174" s="139"/>
      <c r="U174" s="140">
        <f t="shared" ref="U174:X174" si="438">P174/K174</f>
        <v>0</v>
      </c>
      <c r="V174" s="140">
        <f t="shared" si="438"/>
        <v>1.8</v>
      </c>
      <c r="W174" s="141">
        <f t="shared" si="438"/>
        <v>1.6</v>
      </c>
      <c r="X174" s="140">
        <f t="shared" si="438"/>
        <v>1.0416666666666667</v>
      </c>
      <c r="Y174" s="142"/>
      <c r="Z174" s="143"/>
      <c r="AA174" s="136"/>
      <c r="AB174" s="136" t="s">
        <v>1566</v>
      </c>
      <c r="AC174" s="128" t="s">
        <v>1566</v>
      </c>
      <c r="AD174" s="135"/>
      <c r="AE174" s="127"/>
      <c r="AF174" s="127"/>
      <c r="AG174" s="130"/>
      <c r="AH174" s="130" t="str">
        <f t="shared" si="118"/>
        <v xml:space="preserve"> </v>
      </c>
      <c r="AI174" s="130">
        <f t="shared" si="119"/>
        <v>0</v>
      </c>
      <c r="AJ174" s="144" t="str">
        <f t="shared" si="120"/>
        <v xml:space="preserve"> </v>
      </c>
      <c r="AK174" s="128" t="str">
        <f t="shared" si="121"/>
        <v xml:space="preserve"> </v>
      </c>
      <c r="AL174" s="128" t="str">
        <f t="shared" si="122"/>
        <v xml:space="preserve"> </v>
      </c>
      <c r="AM174" s="128" t="str">
        <f t="shared" si="123"/>
        <v xml:space="preserve"> </v>
      </c>
      <c r="AN174" s="130" t="str">
        <f t="shared" si="124"/>
        <v xml:space="preserve"> </v>
      </c>
      <c r="AO174" s="130"/>
      <c r="AP174" s="130"/>
    </row>
    <row r="175" spans="1:42">
      <c r="A175" s="131" t="s">
        <v>163</v>
      </c>
      <c r="B175" s="132">
        <v>5</v>
      </c>
      <c r="C175" s="118" t="s">
        <v>128</v>
      </c>
      <c r="D175" s="118">
        <v>2015</v>
      </c>
      <c r="E175" s="133">
        <v>0</v>
      </c>
      <c r="F175" s="133">
        <v>2</v>
      </c>
      <c r="G175" s="133">
        <v>10</v>
      </c>
      <c r="H175" s="134">
        <v>36</v>
      </c>
      <c r="I175" s="133">
        <v>48</v>
      </c>
      <c r="J175" s="135"/>
      <c r="K175" s="136">
        <f t="shared" ref="K175:N175" si="439">K174*2</f>
        <v>18</v>
      </c>
      <c r="L175" s="136">
        <f t="shared" si="439"/>
        <v>10</v>
      </c>
      <c r="M175" s="137">
        <f t="shared" si="439"/>
        <v>20</v>
      </c>
      <c r="N175" s="136">
        <f t="shared" si="439"/>
        <v>48</v>
      </c>
      <c r="O175" s="135"/>
      <c r="P175" s="136">
        <f t="shared" ref="P175:P179" si="440">E175+F175+P174</f>
        <v>2</v>
      </c>
      <c r="Q175" s="136">
        <f t="shared" ref="Q175:S175" si="441">G175+Q174</f>
        <v>19</v>
      </c>
      <c r="R175" s="137">
        <f t="shared" si="441"/>
        <v>52</v>
      </c>
      <c r="S175" s="136">
        <f t="shared" si="441"/>
        <v>73</v>
      </c>
      <c r="T175" s="139"/>
      <c r="U175" s="140">
        <f t="shared" ref="U175:X175" si="442">P175/K175</f>
        <v>0.1111111111111111</v>
      </c>
      <c r="V175" s="140">
        <f t="shared" si="442"/>
        <v>1.9</v>
      </c>
      <c r="W175" s="141">
        <f t="shared" si="442"/>
        <v>2.6</v>
      </c>
      <c r="X175" s="140">
        <f t="shared" si="442"/>
        <v>1.5208333333333333</v>
      </c>
      <c r="Y175" s="142"/>
      <c r="Z175" s="143"/>
      <c r="AA175" s="136"/>
      <c r="AB175" s="136" t="s">
        <v>1566</v>
      </c>
      <c r="AC175" s="128" t="s">
        <v>1566</v>
      </c>
      <c r="AD175" s="135"/>
      <c r="AE175" s="127"/>
      <c r="AF175" s="127"/>
      <c r="AG175" s="130"/>
      <c r="AH175" s="130" t="str">
        <f t="shared" si="118"/>
        <v xml:space="preserve"> </v>
      </c>
      <c r="AI175" s="130" t="str">
        <f t="shared" si="119"/>
        <v xml:space="preserve"> </v>
      </c>
      <c r="AJ175" s="130">
        <f t="shared" si="120"/>
        <v>2</v>
      </c>
      <c r="AK175" s="128" t="str">
        <f t="shared" si="121"/>
        <v xml:space="preserve"> </v>
      </c>
      <c r="AL175" s="128" t="str">
        <f t="shared" si="122"/>
        <v xml:space="preserve"> </v>
      </c>
      <c r="AM175" s="128" t="str">
        <f t="shared" si="123"/>
        <v xml:space="preserve"> </v>
      </c>
      <c r="AN175" s="130" t="str">
        <f t="shared" si="124"/>
        <v xml:space="preserve"> </v>
      </c>
      <c r="AO175" s="130"/>
      <c r="AP175" s="130"/>
    </row>
    <row r="176" spans="1:42">
      <c r="A176" s="131" t="s">
        <v>163</v>
      </c>
      <c r="B176" s="132">
        <v>5</v>
      </c>
      <c r="C176" s="118" t="s">
        <v>128</v>
      </c>
      <c r="D176" s="118">
        <v>2016</v>
      </c>
      <c r="E176" s="133">
        <v>0</v>
      </c>
      <c r="F176" s="133">
        <v>5</v>
      </c>
      <c r="G176" s="133">
        <v>12</v>
      </c>
      <c r="H176" s="134">
        <v>32</v>
      </c>
      <c r="I176" s="133">
        <v>49</v>
      </c>
      <c r="J176" s="135"/>
      <c r="K176" s="136">
        <f t="shared" ref="K176:N176" si="443">K174*3</f>
        <v>27</v>
      </c>
      <c r="L176" s="136">
        <f t="shared" si="443"/>
        <v>15</v>
      </c>
      <c r="M176" s="137">
        <f t="shared" si="443"/>
        <v>30</v>
      </c>
      <c r="N176" s="136">
        <f t="shared" si="443"/>
        <v>72</v>
      </c>
      <c r="O176" s="135"/>
      <c r="P176" s="136">
        <f t="shared" si="440"/>
        <v>7</v>
      </c>
      <c r="Q176" s="136">
        <f t="shared" ref="Q176:S176" si="444">G176+Q175</f>
        <v>31</v>
      </c>
      <c r="R176" s="137">
        <f t="shared" si="444"/>
        <v>84</v>
      </c>
      <c r="S176" s="136">
        <f t="shared" si="444"/>
        <v>122</v>
      </c>
      <c r="T176" s="139"/>
      <c r="U176" s="140">
        <f t="shared" ref="U176:X176" si="445">P176/K176</f>
        <v>0.25925925925925924</v>
      </c>
      <c r="V176" s="140">
        <f t="shared" si="445"/>
        <v>2.0666666666666669</v>
      </c>
      <c r="W176" s="141">
        <f t="shared" si="445"/>
        <v>2.8</v>
      </c>
      <c r="X176" s="140">
        <f t="shared" si="445"/>
        <v>1.6944444444444444</v>
      </c>
      <c r="Y176" s="142"/>
      <c r="Z176" s="143"/>
      <c r="AA176" s="136"/>
      <c r="AB176" s="136" t="s">
        <v>1566</v>
      </c>
      <c r="AC176" s="128" t="s">
        <v>1566</v>
      </c>
      <c r="AD176" s="135"/>
      <c r="AE176" s="127" t="s">
        <v>1566</v>
      </c>
      <c r="AF176" s="127"/>
      <c r="AG176" s="130"/>
      <c r="AH176" s="130" t="str">
        <f t="shared" si="118"/>
        <v xml:space="preserve"> </v>
      </c>
      <c r="AI176" s="130" t="str">
        <f t="shared" si="119"/>
        <v xml:space="preserve"> </v>
      </c>
      <c r="AJ176" s="144" t="str">
        <f t="shared" si="120"/>
        <v xml:space="preserve"> </v>
      </c>
      <c r="AK176" s="128">
        <f t="shared" si="121"/>
        <v>5</v>
      </c>
      <c r="AL176" s="128" t="str">
        <f t="shared" si="122"/>
        <v xml:space="preserve"> </v>
      </c>
      <c r="AM176" s="128" t="str">
        <f t="shared" si="123"/>
        <v xml:space="preserve"> </v>
      </c>
      <c r="AN176" s="130" t="str">
        <f t="shared" si="124"/>
        <v xml:space="preserve"> </v>
      </c>
      <c r="AO176" s="130"/>
      <c r="AP176" s="130"/>
    </row>
    <row r="177" spans="1:42">
      <c r="A177" s="131" t="s">
        <v>163</v>
      </c>
      <c r="B177" s="132">
        <v>5</v>
      </c>
      <c r="C177" s="118" t="s">
        <v>128</v>
      </c>
      <c r="D177" s="118">
        <v>2017</v>
      </c>
      <c r="E177" s="133">
        <v>0</v>
      </c>
      <c r="F177" s="133">
        <v>6</v>
      </c>
      <c r="G177" s="133">
        <v>13</v>
      </c>
      <c r="H177" s="134">
        <v>24</v>
      </c>
      <c r="I177" s="133">
        <v>43</v>
      </c>
      <c r="J177" s="135"/>
      <c r="K177" s="136">
        <f t="shared" ref="K177:N177" si="446">K174*4</f>
        <v>36</v>
      </c>
      <c r="L177" s="136">
        <f t="shared" si="446"/>
        <v>20</v>
      </c>
      <c r="M177" s="137">
        <f t="shared" si="446"/>
        <v>40</v>
      </c>
      <c r="N177" s="136">
        <f t="shared" si="446"/>
        <v>96</v>
      </c>
      <c r="O177" s="135"/>
      <c r="P177" s="136">
        <f t="shared" si="440"/>
        <v>13</v>
      </c>
      <c r="Q177" s="136">
        <f t="shared" ref="Q177:S177" si="447">G177+Q176</f>
        <v>44</v>
      </c>
      <c r="R177" s="137">
        <f t="shared" si="447"/>
        <v>108</v>
      </c>
      <c r="S177" s="136">
        <f t="shared" si="447"/>
        <v>165</v>
      </c>
      <c r="T177" s="139"/>
      <c r="U177" s="140">
        <f t="shared" ref="U177:X177" si="448">P177/K177</f>
        <v>0.3611111111111111</v>
      </c>
      <c r="V177" s="140">
        <f t="shared" si="448"/>
        <v>2.2000000000000002</v>
      </c>
      <c r="W177" s="141">
        <f t="shared" si="448"/>
        <v>2.7</v>
      </c>
      <c r="X177" s="140">
        <f t="shared" si="448"/>
        <v>1.71875</v>
      </c>
      <c r="Y177" s="142"/>
      <c r="Z177" s="143"/>
      <c r="AA177" s="136"/>
      <c r="AB177" s="136" t="s">
        <v>1566</v>
      </c>
      <c r="AC177" s="128" t="s">
        <v>1566</v>
      </c>
      <c r="AD177" s="135"/>
      <c r="AE177" s="127" t="s">
        <v>1566</v>
      </c>
      <c r="AF177" s="127"/>
      <c r="AG177" s="130"/>
      <c r="AH177" s="130" t="str">
        <f t="shared" si="118"/>
        <v xml:space="preserve"> </v>
      </c>
      <c r="AI177" s="130" t="str">
        <f t="shared" si="119"/>
        <v xml:space="preserve"> </v>
      </c>
      <c r="AJ177" s="144" t="str">
        <f t="shared" si="120"/>
        <v xml:space="preserve"> </v>
      </c>
      <c r="AK177" s="128" t="str">
        <f t="shared" si="121"/>
        <v xml:space="preserve"> </v>
      </c>
      <c r="AL177" s="128">
        <f t="shared" si="122"/>
        <v>6</v>
      </c>
      <c r="AM177" s="128" t="str">
        <f t="shared" si="123"/>
        <v xml:space="preserve"> </v>
      </c>
      <c r="AN177" s="130" t="str">
        <f t="shared" si="124"/>
        <v xml:space="preserve"> </v>
      </c>
      <c r="AO177" s="130"/>
      <c r="AP177" s="130"/>
    </row>
    <row r="178" spans="1:42">
      <c r="A178" s="131" t="s">
        <v>163</v>
      </c>
      <c r="B178" s="132">
        <v>5</v>
      </c>
      <c r="C178" s="118" t="s">
        <v>128</v>
      </c>
      <c r="D178" s="118">
        <v>2018</v>
      </c>
      <c r="E178" s="133">
        <v>0</v>
      </c>
      <c r="F178" s="133">
        <v>9</v>
      </c>
      <c r="G178" s="133">
        <v>11</v>
      </c>
      <c r="H178" s="134">
        <v>45</v>
      </c>
      <c r="I178" s="133">
        <v>65</v>
      </c>
      <c r="J178" s="135"/>
      <c r="K178" s="136">
        <f>K174*5</f>
        <v>45</v>
      </c>
      <c r="L178" s="138">
        <v>23</v>
      </c>
      <c r="M178" s="137">
        <f t="shared" ref="M178:N178" si="449">M174*5</f>
        <v>50</v>
      </c>
      <c r="N178" s="136">
        <f t="shared" si="449"/>
        <v>120</v>
      </c>
      <c r="O178" s="135"/>
      <c r="P178" s="136">
        <f t="shared" si="440"/>
        <v>22</v>
      </c>
      <c r="Q178" s="136">
        <f t="shared" ref="Q178:S178" si="450">G178+Q177</f>
        <v>55</v>
      </c>
      <c r="R178" s="137">
        <f t="shared" si="450"/>
        <v>153</v>
      </c>
      <c r="S178" s="136">
        <f t="shared" si="450"/>
        <v>230</v>
      </c>
      <c r="T178" s="139"/>
      <c r="U178" s="140">
        <f t="shared" ref="U178:X178" si="451">P178/K178</f>
        <v>0.48888888888888887</v>
      </c>
      <c r="V178" s="140">
        <f t="shared" si="451"/>
        <v>2.3913043478260869</v>
      </c>
      <c r="W178" s="141">
        <f t="shared" si="451"/>
        <v>3.06</v>
      </c>
      <c r="X178" s="140">
        <f t="shared" si="451"/>
        <v>1.9166666666666667</v>
      </c>
      <c r="Y178" s="142"/>
      <c r="Z178" s="143"/>
      <c r="AA178" s="136"/>
      <c r="AB178" s="136" t="s">
        <v>1566</v>
      </c>
      <c r="AC178" s="128" t="s">
        <v>1566</v>
      </c>
      <c r="AD178" s="135"/>
      <c r="AE178" s="127" t="s">
        <v>1566</v>
      </c>
      <c r="AF178" s="127"/>
      <c r="AG178" s="130"/>
      <c r="AH178" s="130" t="str">
        <f t="shared" si="118"/>
        <v xml:space="preserve"> </v>
      </c>
      <c r="AI178" s="130" t="str">
        <f t="shared" si="119"/>
        <v xml:space="preserve"> </v>
      </c>
      <c r="AJ178" s="144" t="str">
        <f t="shared" si="120"/>
        <v xml:space="preserve"> </v>
      </c>
      <c r="AK178" s="128" t="str">
        <f t="shared" si="121"/>
        <v xml:space="preserve"> </v>
      </c>
      <c r="AL178" s="128" t="str">
        <f t="shared" si="122"/>
        <v xml:space="preserve"> </v>
      </c>
      <c r="AM178" s="128">
        <f t="shared" si="123"/>
        <v>9</v>
      </c>
      <c r="AN178" s="130" t="str">
        <f t="shared" si="124"/>
        <v xml:space="preserve"> </v>
      </c>
      <c r="AO178" s="130"/>
      <c r="AP178" s="130"/>
    </row>
    <row r="179" spans="1:42">
      <c r="A179" s="131" t="s">
        <v>163</v>
      </c>
      <c r="B179" s="132">
        <v>5</v>
      </c>
      <c r="C179" s="118" t="s">
        <v>128</v>
      </c>
      <c r="D179" s="118">
        <v>2019</v>
      </c>
      <c r="E179" s="118">
        <v>0</v>
      </c>
      <c r="F179" s="118">
        <v>7</v>
      </c>
      <c r="G179" s="118">
        <v>7</v>
      </c>
      <c r="H179" s="150">
        <v>44</v>
      </c>
      <c r="I179" s="133">
        <f>E179+F179+G179+H179</f>
        <v>58</v>
      </c>
      <c r="J179" s="135"/>
      <c r="K179" s="136">
        <f>K178</f>
        <v>45</v>
      </c>
      <c r="L179" s="138">
        <v>23</v>
      </c>
      <c r="M179" s="137">
        <f t="shared" ref="M179:N179" si="452">M178</f>
        <v>50</v>
      </c>
      <c r="N179" s="136">
        <f t="shared" si="452"/>
        <v>120</v>
      </c>
      <c r="O179" s="135"/>
      <c r="P179" s="136">
        <f t="shared" si="440"/>
        <v>29</v>
      </c>
      <c r="Q179" s="136">
        <f t="shared" ref="Q179:S179" si="453">G179+Q178</f>
        <v>62</v>
      </c>
      <c r="R179" s="137">
        <f t="shared" si="453"/>
        <v>197</v>
      </c>
      <c r="S179" s="136">
        <f t="shared" si="453"/>
        <v>288</v>
      </c>
      <c r="T179" s="139"/>
      <c r="U179" s="140">
        <f t="shared" ref="U179:X179" si="454">P179/K179</f>
        <v>0.64444444444444449</v>
      </c>
      <c r="V179" s="140">
        <f t="shared" si="454"/>
        <v>2.6956521739130435</v>
      </c>
      <c r="W179" s="141">
        <f t="shared" si="454"/>
        <v>3.94</v>
      </c>
      <c r="X179" s="140">
        <f t="shared" si="454"/>
        <v>2.4</v>
      </c>
      <c r="Y179" s="146" t="s">
        <v>163</v>
      </c>
      <c r="Z179" s="143"/>
      <c r="AA179" s="138">
        <v>120</v>
      </c>
      <c r="AB179" s="136">
        <v>120</v>
      </c>
      <c r="AC179" s="128">
        <v>288</v>
      </c>
      <c r="AD179" s="135"/>
      <c r="AE179" s="127">
        <f>N174</f>
        <v>24</v>
      </c>
      <c r="AF179" s="127"/>
      <c r="AG179" s="130"/>
      <c r="AH179" s="130" t="str">
        <f t="shared" si="118"/>
        <v xml:space="preserve"> </v>
      </c>
      <c r="AI179" s="130" t="str">
        <f t="shared" si="119"/>
        <v xml:space="preserve"> </v>
      </c>
      <c r="AJ179" s="144" t="str">
        <f t="shared" si="120"/>
        <v xml:space="preserve"> </v>
      </c>
      <c r="AK179" s="128" t="str">
        <f t="shared" si="121"/>
        <v xml:space="preserve"> </v>
      </c>
      <c r="AL179" s="128" t="str">
        <f t="shared" si="122"/>
        <v xml:space="preserve"> </v>
      </c>
      <c r="AM179" s="128" t="str">
        <f t="shared" si="123"/>
        <v xml:space="preserve"> </v>
      </c>
      <c r="AN179" s="130">
        <f t="shared" si="124"/>
        <v>7</v>
      </c>
      <c r="AO179" s="130"/>
      <c r="AP179" s="130"/>
    </row>
    <row r="180" spans="1:42">
      <c r="A180" s="131"/>
      <c r="B180" s="132"/>
      <c r="C180" s="118"/>
      <c r="D180" s="118"/>
      <c r="E180" s="133"/>
      <c r="F180" s="133"/>
      <c r="G180" s="133"/>
      <c r="H180" s="134"/>
      <c r="I180" s="133"/>
      <c r="J180" s="135"/>
      <c r="K180" s="136"/>
      <c r="L180" s="136"/>
      <c r="M180" s="137"/>
      <c r="N180" s="136"/>
      <c r="O180" s="135"/>
      <c r="P180" s="136"/>
      <c r="Q180" s="136"/>
      <c r="R180" s="137"/>
      <c r="S180" s="136"/>
      <c r="T180" s="139"/>
      <c r="U180" s="140"/>
      <c r="V180" s="140"/>
      <c r="W180" s="141"/>
      <c r="X180" s="140"/>
      <c r="Y180" s="142"/>
      <c r="Z180" s="143"/>
      <c r="AA180" s="136"/>
      <c r="AB180" s="136"/>
      <c r="AC180" s="128"/>
      <c r="AD180" s="135"/>
      <c r="AE180" s="127"/>
      <c r="AF180" s="127"/>
      <c r="AG180" s="130"/>
      <c r="AH180" s="130" t="str">
        <f t="shared" si="118"/>
        <v xml:space="preserve"> </v>
      </c>
      <c r="AI180" s="130" t="str">
        <f t="shared" si="119"/>
        <v xml:space="preserve"> </v>
      </c>
      <c r="AJ180" s="144" t="str">
        <f t="shared" si="120"/>
        <v xml:space="preserve"> </v>
      </c>
      <c r="AK180" s="128" t="str">
        <f t="shared" si="121"/>
        <v xml:space="preserve"> </v>
      </c>
      <c r="AL180" s="128" t="str">
        <f t="shared" si="122"/>
        <v xml:space="preserve"> </v>
      </c>
      <c r="AM180" s="128" t="str">
        <f t="shared" si="123"/>
        <v xml:space="preserve"> </v>
      </c>
      <c r="AN180" s="130" t="str">
        <f t="shared" si="124"/>
        <v xml:space="preserve"> </v>
      </c>
      <c r="AO180" s="130"/>
      <c r="AP180" s="130"/>
    </row>
    <row r="181" spans="1:42">
      <c r="A181" s="131" t="s">
        <v>164</v>
      </c>
      <c r="B181" s="132">
        <v>8</v>
      </c>
      <c r="C181" s="118" t="s">
        <v>165</v>
      </c>
      <c r="D181" s="118">
        <v>2015</v>
      </c>
      <c r="E181" s="133">
        <v>137</v>
      </c>
      <c r="F181" s="133">
        <v>6</v>
      </c>
      <c r="G181" s="133">
        <v>3</v>
      </c>
      <c r="H181" s="134">
        <v>386</v>
      </c>
      <c r="I181" s="133">
        <f>E181+F181+G181+H181</f>
        <v>532</v>
      </c>
      <c r="J181" s="135"/>
      <c r="K181" s="136"/>
      <c r="L181" s="136"/>
      <c r="M181" s="137"/>
      <c r="N181" s="136"/>
      <c r="O181" s="135"/>
      <c r="P181" s="136">
        <f>E181+F181</f>
        <v>143</v>
      </c>
      <c r="Q181" s="136">
        <f t="shared" ref="Q181:R181" si="455">G181</f>
        <v>3</v>
      </c>
      <c r="R181" s="137">
        <f t="shared" si="455"/>
        <v>386</v>
      </c>
      <c r="S181" s="136">
        <f>P181+Q181+R181</f>
        <v>532</v>
      </c>
      <c r="T181" s="139"/>
      <c r="U181" s="140">
        <f t="shared" ref="U181:X181" si="456">P181/K182</f>
        <v>0.38858695652173914</v>
      </c>
      <c r="V181" s="140">
        <f t="shared" si="456"/>
        <v>1.7751479289940829E-2</v>
      </c>
      <c r="W181" s="141">
        <f t="shared" si="456"/>
        <v>0.99741602067183466</v>
      </c>
      <c r="X181" s="140">
        <f t="shared" si="456"/>
        <v>0.57638136511375948</v>
      </c>
      <c r="Y181" s="142"/>
      <c r="Z181" s="143"/>
      <c r="AA181" s="136"/>
      <c r="AB181" s="136" t="s">
        <v>1566</v>
      </c>
      <c r="AC181" s="128" t="s">
        <v>1566</v>
      </c>
      <c r="AD181" s="135"/>
      <c r="AE181" s="127" t="s">
        <v>1566</v>
      </c>
      <c r="AF181" s="127"/>
      <c r="AG181" s="130"/>
      <c r="AH181" s="130" t="str">
        <f t="shared" si="118"/>
        <v xml:space="preserve"> </v>
      </c>
      <c r="AI181" s="130" t="str">
        <f t="shared" si="119"/>
        <v xml:space="preserve"> </v>
      </c>
      <c r="AJ181" s="130">
        <f t="shared" si="120"/>
        <v>143</v>
      </c>
      <c r="AK181" s="128" t="str">
        <f t="shared" si="121"/>
        <v xml:space="preserve"> </v>
      </c>
      <c r="AL181" s="128" t="str">
        <f t="shared" si="122"/>
        <v xml:space="preserve"> </v>
      </c>
      <c r="AM181" s="128" t="str">
        <f t="shared" si="123"/>
        <v xml:space="preserve"> </v>
      </c>
      <c r="AN181" s="130" t="str">
        <f t="shared" si="124"/>
        <v xml:space="preserve"> </v>
      </c>
      <c r="AO181" s="130"/>
      <c r="AP181" s="130"/>
    </row>
    <row r="182" spans="1:42">
      <c r="A182" s="131" t="s">
        <v>164</v>
      </c>
      <c r="B182" s="132">
        <v>8</v>
      </c>
      <c r="C182" s="118" t="s">
        <v>165</v>
      </c>
      <c r="D182" s="118">
        <v>2016</v>
      </c>
      <c r="E182" s="133">
        <v>24</v>
      </c>
      <c r="F182" s="133">
        <v>20</v>
      </c>
      <c r="G182" s="133">
        <v>6</v>
      </c>
      <c r="H182" s="134">
        <v>505</v>
      </c>
      <c r="I182" s="133">
        <v>555</v>
      </c>
      <c r="J182" s="135"/>
      <c r="K182" s="136">
        <f>ROUND((1780+1162)/8,0)</f>
        <v>368</v>
      </c>
      <c r="L182" s="136">
        <f>ROUND('HCD Assigned 5th Cycle RHNA'!F412/B182,0)</f>
        <v>169</v>
      </c>
      <c r="M182" s="137">
        <v>387</v>
      </c>
      <c r="N182" s="136">
        <v>923</v>
      </c>
      <c r="O182" s="135"/>
      <c r="P182" s="136">
        <f t="shared" ref="P182:P185" si="457">E182+F182+P181</f>
        <v>187</v>
      </c>
      <c r="Q182" s="136">
        <f t="shared" ref="Q182:S182" si="458">G182+Q181</f>
        <v>9</v>
      </c>
      <c r="R182" s="137">
        <f t="shared" si="458"/>
        <v>891</v>
      </c>
      <c r="S182" s="136">
        <f t="shared" si="458"/>
        <v>1087</v>
      </c>
      <c r="T182" s="139"/>
      <c r="U182" s="140">
        <f t="shared" ref="U182:X182" si="459">P182/K182</f>
        <v>0.50815217391304346</v>
      </c>
      <c r="V182" s="140">
        <f t="shared" si="459"/>
        <v>5.3254437869822487E-2</v>
      </c>
      <c r="W182" s="141">
        <f t="shared" si="459"/>
        <v>2.3023255813953489</v>
      </c>
      <c r="X182" s="140">
        <f t="shared" si="459"/>
        <v>1.1776814734561214</v>
      </c>
      <c r="Y182" s="142"/>
      <c r="Z182" s="143"/>
      <c r="AA182" s="136"/>
      <c r="AB182" s="136" t="s">
        <v>1566</v>
      </c>
      <c r="AC182" s="128" t="s">
        <v>1566</v>
      </c>
      <c r="AD182" s="135"/>
      <c r="AE182" s="127"/>
      <c r="AF182" s="127"/>
      <c r="AG182" s="130"/>
      <c r="AH182" s="130" t="str">
        <f t="shared" si="118"/>
        <v xml:space="preserve"> </v>
      </c>
      <c r="AI182" s="130" t="str">
        <f t="shared" si="119"/>
        <v xml:space="preserve"> </v>
      </c>
      <c r="AJ182" s="144" t="str">
        <f t="shared" si="120"/>
        <v xml:space="preserve"> </v>
      </c>
      <c r="AK182" s="128">
        <f t="shared" si="121"/>
        <v>44</v>
      </c>
      <c r="AL182" s="128" t="str">
        <f t="shared" si="122"/>
        <v xml:space="preserve"> </v>
      </c>
      <c r="AM182" s="128" t="str">
        <f t="shared" si="123"/>
        <v xml:space="preserve"> </v>
      </c>
      <c r="AN182" s="130" t="str">
        <f t="shared" si="124"/>
        <v xml:space="preserve"> </v>
      </c>
      <c r="AO182" s="130"/>
      <c r="AP182" s="130"/>
    </row>
    <row r="183" spans="1:42">
      <c r="A183" s="131" t="s">
        <v>164</v>
      </c>
      <c r="B183" s="132">
        <v>8</v>
      </c>
      <c r="C183" s="118" t="s">
        <v>165</v>
      </c>
      <c r="D183" s="118">
        <v>2017</v>
      </c>
      <c r="E183" s="133">
        <v>193</v>
      </c>
      <c r="F183" s="133">
        <v>15</v>
      </c>
      <c r="G183" s="133">
        <v>176</v>
      </c>
      <c r="H183" s="134">
        <v>484</v>
      </c>
      <c r="I183" s="133">
        <v>868</v>
      </c>
      <c r="J183" s="135"/>
      <c r="K183" s="136">
        <f t="shared" ref="K183:N183" si="460">K182*2</f>
        <v>736</v>
      </c>
      <c r="L183" s="136">
        <f t="shared" si="460"/>
        <v>338</v>
      </c>
      <c r="M183" s="137">
        <f t="shared" si="460"/>
        <v>774</v>
      </c>
      <c r="N183" s="136">
        <f t="shared" si="460"/>
        <v>1846</v>
      </c>
      <c r="O183" s="135"/>
      <c r="P183" s="136">
        <f t="shared" si="457"/>
        <v>395</v>
      </c>
      <c r="Q183" s="136">
        <f t="shared" ref="Q183:S183" si="461">G183+Q182</f>
        <v>185</v>
      </c>
      <c r="R183" s="137">
        <f t="shared" si="461"/>
        <v>1375</v>
      </c>
      <c r="S183" s="136">
        <f t="shared" si="461"/>
        <v>1955</v>
      </c>
      <c r="T183" s="139"/>
      <c r="U183" s="140">
        <f t="shared" ref="U183:X183" si="462">P183/K183</f>
        <v>0.53668478260869568</v>
      </c>
      <c r="V183" s="140">
        <f t="shared" si="462"/>
        <v>0.5473372781065089</v>
      </c>
      <c r="W183" s="141">
        <f t="shared" si="462"/>
        <v>1.7764857881136951</v>
      </c>
      <c r="X183" s="140">
        <f t="shared" si="462"/>
        <v>1.0590465872156014</v>
      </c>
      <c r="Y183" s="142"/>
      <c r="Z183" s="143"/>
      <c r="AA183" s="136"/>
      <c r="AB183" s="136" t="s">
        <v>1566</v>
      </c>
      <c r="AC183" s="128" t="s">
        <v>1566</v>
      </c>
      <c r="AD183" s="135"/>
      <c r="AE183" s="127" t="s">
        <v>1566</v>
      </c>
      <c r="AF183" s="127"/>
      <c r="AG183" s="130"/>
      <c r="AH183" s="130" t="str">
        <f t="shared" si="118"/>
        <v xml:space="preserve"> </v>
      </c>
      <c r="AI183" s="130" t="str">
        <f t="shared" si="119"/>
        <v xml:space="preserve"> </v>
      </c>
      <c r="AJ183" s="144" t="str">
        <f t="shared" si="120"/>
        <v xml:space="preserve"> </v>
      </c>
      <c r="AK183" s="128" t="str">
        <f t="shared" si="121"/>
        <v xml:space="preserve"> </v>
      </c>
      <c r="AL183" s="128">
        <f t="shared" si="122"/>
        <v>208</v>
      </c>
      <c r="AM183" s="128" t="str">
        <f t="shared" si="123"/>
        <v xml:space="preserve"> </v>
      </c>
      <c r="AN183" s="130" t="str">
        <f t="shared" si="124"/>
        <v xml:space="preserve"> </v>
      </c>
      <c r="AO183" s="130"/>
      <c r="AP183" s="130"/>
    </row>
    <row r="184" spans="1:42">
      <c r="A184" s="131" t="s">
        <v>164</v>
      </c>
      <c r="B184" s="132">
        <v>8</v>
      </c>
      <c r="C184" s="118" t="s">
        <v>165</v>
      </c>
      <c r="D184" s="118">
        <v>2018</v>
      </c>
      <c r="E184" s="133">
        <v>42</v>
      </c>
      <c r="F184" s="133">
        <v>53</v>
      </c>
      <c r="G184" s="133">
        <v>5</v>
      </c>
      <c r="H184" s="134">
        <v>601</v>
      </c>
      <c r="I184" s="133">
        <v>701</v>
      </c>
      <c r="J184" s="135"/>
      <c r="K184" s="136">
        <f>K182*4</f>
        <v>1472</v>
      </c>
      <c r="L184" s="136">
        <f>L182*3</f>
        <v>507</v>
      </c>
      <c r="M184" s="137">
        <f t="shared" ref="M184:N184" si="463">M182*4</f>
        <v>1548</v>
      </c>
      <c r="N184" s="136">
        <f t="shared" si="463"/>
        <v>3692</v>
      </c>
      <c r="O184" s="135"/>
      <c r="P184" s="136">
        <f t="shared" si="457"/>
        <v>490</v>
      </c>
      <c r="Q184" s="136">
        <f t="shared" ref="Q184:S184" si="464">G184+Q183</f>
        <v>190</v>
      </c>
      <c r="R184" s="137">
        <f t="shared" si="464"/>
        <v>1976</v>
      </c>
      <c r="S184" s="136">
        <f t="shared" si="464"/>
        <v>2656</v>
      </c>
      <c r="T184" s="139"/>
      <c r="U184" s="140">
        <f t="shared" ref="U184:X184" si="465">P184/K184</f>
        <v>0.3328804347826087</v>
      </c>
      <c r="V184" s="140">
        <f t="shared" si="465"/>
        <v>0.37475345167652863</v>
      </c>
      <c r="W184" s="141">
        <f t="shared" si="465"/>
        <v>1.2764857881136951</v>
      </c>
      <c r="X184" s="140">
        <f t="shared" si="465"/>
        <v>0.71939328277356451</v>
      </c>
      <c r="Y184" s="142"/>
      <c r="Z184" s="143"/>
      <c r="AA184" s="138"/>
      <c r="AB184" s="136" t="s">
        <v>1566</v>
      </c>
      <c r="AC184" s="128" t="s">
        <v>1566</v>
      </c>
      <c r="AD184" s="135"/>
      <c r="AE184" s="127" t="s">
        <v>1566</v>
      </c>
      <c r="AF184" s="127"/>
      <c r="AG184" s="130"/>
      <c r="AH184" s="130" t="str">
        <f t="shared" si="118"/>
        <v xml:space="preserve"> </v>
      </c>
      <c r="AI184" s="130" t="str">
        <f t="shared" si="119"/>
        <v xml:space="preserve"> </v>
      </c>
      <c r="AJ184" s="144" t="str">
        <f t="shared" si="120"/>
        <v xml:space="preserve"> </v>
      </c>
      <c r="AK184" s="128" t="str">
        <f t="shared" si="121"/>
        <v xml:space="preserve"> </v>
      </c>
      <c r="AL184" s="128" t="str">
        <f t="shared" si="122"/>
        <v xml:space="preserve"> </v>
      </c>
      <c r="AM184" s="128">
        <f t="shared" si="123"/>
        <v>95</v>
      </c>
      <c r="AN184" s="130" t="str">
        <f t="shared" si="124"/>
        <v xml:space="preserve"> </v>
      </c>
      <c r="AO184" s="130"/>
      <c r="AP184" s="130"/>
    </row>
    <row r="185" spans="1:42">
      <c r="A185" s="131" t="s">
        <v>164</v>
      </c>
      <c r="B185" s="132">
        <v>8</v>
      </c>
      <c r="C185" s="118" t="s">
        <v>165</v>
      </c>
      <c r="D185" s="118">
        <v>2019</v>
      </c>
      <c r="E185" s="133">
        <v>0</v>
      </c>
      <c r="F185" s="133">
        <v>8</v>
      </c>
      <c r="G185" s="133">
        <v>9</v>
      </c>
      <c r="H185" s="134">
        <v>459</v>
      </c>
      <c r="I185" s="133">
        <f>E185+F185+G185+H185</f>
        <v>476</v>
      </c>
      <c r="J185" s="135"/>
      <c r="K185" s="136">
        <f t="shared" ref="K185:N185" si="466">K182*5</f>
        <v>1840</v>
      </c>
      <c r="L185" s="136">
        <f t="shared" si="466"/>
        <v>845</v>
      </c>
      <c r="M185" s="137">
        <f t="shared" si="466"/>
        <v>1935</v>
      </c>
      <c r="N185" s="136">
        <f t="shared" si="466"/>
        <v>4615</v>
      </c>
      <c r="O185" s="135"/>
      <c r="P185" s="136">
        <f t="shared" si="457"/>
        <v>498</v>
      </c>
      <c r="Q185" s="136">
        <f t="shared" ref="Q185:S185" si="467">G185+Q184</f>
        <v>199</v>
      </c>
      <c r="R185" s="137">
        <f t="shared" si="467"/>
        <v>2435</v>
      </c>
      <c r="S185" s="136">
        <f t="shared" si="467"/>
        <v>3132</v>
      </c>
      <c r="T185" s="139"/>
      <c r="U185" s="140">
        <f t="shared" ref="U185:X185" si="468">P185/K185</f>
        <v>0.27065217391304347</v>
      </c>
      <c r="V185" s="140">
        <f t="shared" si="468"/>
        <v>0.23550295857988165</v>
      </c>
      <c r="W185" s="141">
        <f t="shared" si="468"/>
        <v>1.2583979328165376</v>
      </c>
      <c r="X185" s="140">
        <f t="shared" si="468"/>
        <v>0.67865655471289277</v>
      </c>
      <c r="Y185" s="146" t="s">
        <v>164</v>
      </c>
      <c r="Z185" s="143"/>
      <c r="AA185" s="138">
        <v>7386</v>
      </c>
      <c r="AB185" s="136">
        <v>4615</v>
      </c>
      <c r="AC185" s="128">
        <v>3132</v>
      </c>
      <c r="AD185" s="135"/>
      <c r="AE185" s="127">
        <f>N182</f>
        <v>923</v>
      </c>
      <c r="AF185" s="127"/>
      <c r="AG185" s="130"/>
      <c r="AH185" s="130" t="str">
        <f t="shared" si="118"/>
        <v xml:space="preserve"> </v>
      </c>
      <c r="AI185" s="130" t="str">
        <f t="shared" si="119"/>
        <v xml:space="preserve"> </v>
      </c>
      <c r="AJ185" s="144" t="str">
        <f t="shared" si="120"/>
        <v xml:space="preserve"> </v>
      </c>
      <c r="AK185" s="128" t="str">
        <f t="shared" si="121"/>
        <v xml:space="preserve"> </v>
      </c>
      <c r="AL185" s="128" t="str">
        <f t="shared" si="122"/>
        <v xml:space="preserve"> </v>
      </c>
      <c r="AM185" s="128" t="str">
        <f t="shared" si="123"/>
        <v xml:space="preserve"> </v>
      </c>
      <c r="AN185" s="130">
        <f t="shared" si="124"/>
        <v>8</v>
      </c>
      <c r="AO185" s="130"/>
      <c r="AP185" s="130"/>
    </row>
    <row r="186" spans="1:42">
      <c r="A186" s="131"/>
      <c r="B186" s="132"/>
      <c r="C186" s="118"/>
      <c r="D186" s="118"/>
      <c r="E186" s="133"/>
      <c r="F186" s="133"/>
      <c r="G186" s="133"/>
      <c r="H186" s="134"/>
      <c r="I186" s="133"/>
      <c r="J186" s="135"/>
      <c r="K186" s="136"/>
      <c r="L186" s="136"/>
      <c r="M186" s="137"/>
      <c r="N186" s="136"/>
      <c r="O186" s="135"/>
      <c r="P186" s="136"/>
      <c r="Q186" s="136"/>
      <c r="R186" s="137"/>
      <c r="S186" s="136"/>
      <c r="T186" s="139"/>
      <c r="U186" s="140"/>
      <c r="V186" s="140"/>
      <c r="W186" s="141"/>
      <c r="X186" s="140"/>
      <c r="Y186" s="142"/>
      <c r="Z186" s="143"/>
      <c r="AA186" s="136"/>
      <c r="AB186" s="136" t="s">
        <v>1566</v>
      </c>
      <c r="AC186" s="128" t="s">
        <v>1566</v>
      </c>
      <c r="AD186" s="135"/>
      <c r="AE186" s="127" t="s">
        <v>1566</v>
      </c>
      <c r="AF186" s="127"/>
      <c r="AG186" s="130"/>
      <c r="AH186" s="130" t="str">
        <f t="shared" si="118"/>
        <v xml:space="preserve"> </v>
      </c>
      <c r="AI186" s="130" t="str">
        <f t="shared" si="119"/>
        <v xml:space="preserve"> </v>
      </c>
      <c r="AJ186" s="144" t="str">
        <f t="shared" si="120"/>
        <v xml:space="preserve"> </v>
      </c>
      <c r="AK186" s="128" t="str">
        <f t="shared" si="121"/>
        <v xml:space="preserve"> </v>
      </c>
      <c r="AL186" s="128" t="str">
        <f t="shared" si="122"/>
        <v xml:space="preserve"> </v>
      </c>
      <c r="AM186" s="128" t="str">
        <f t="shared" si="123"/>
        <v xml:space="preserve"> </v>
      </c>
      <c r="AN186" s="130" t="str">
        <f t="shared" si="124"/>
        <v xml:space="preserve"> </v>
      </c>
      <c r="AO186" s="130"/>
      <c r="AP186" s="130"/>
    </row>
    <row r="187" spans="1:42">
      <c r="A187" s="131" t="s">
        <v>166</v>
      </c>
      <c r="B187" s="132">
        <v>8</v>
      </c>
      <c r="C187" s="118" t="s">
        <v>167</v>
      </c>
      <c r="D187" s="118">
        <v>2014</v>
      </c>
      <c r="E187" s="133">
        <v>0</v>
      </c>
      <c r="F187" s="133">
        <v>0</v>
      </c>
      <c r="G187" s="133">
        <v>9</v>
      </c>
      <c r="H187" s="134">
        <v>17</v>
      </c>
      <c r="I187" s="133">
        <f t="shared" ref="I187:I192" si="469">E187+F187+G187+H187</f>
        <v>26</v>
      </c>
      <c r="J187" s="135"/>
      <c r="K187" s="136"/>
      <c r="L187" s="136"/>
      <c r="M187" s="137"/>
      <c r="N187" s="136"/>
      <c r="O187" s="135"/>
      <c r="P187" s="136">
        <f>E187+F187</f>
        <v>0</v>
      </c>
      <c r="Q187" s="136">
        <f t="shared" ref="Q187:S187" si="470">G187</f>
        <v>9</v>
      </c>
      <c r="R187" s="137">
        <f t="shared" si="470"/>
        <v>17</v>
      </c>
      <c r="S187" s="136">
        <f t="shared" si="470"/>
        <v>26</v>
      </c>
      <c r="T187" s="139"/>
      <c r="U187" s="140">
        <f t="shared" ref="U187:X187" si="471">P187/K188</f>
        <v>0</v>
      </c>
      <c r="V187" s="140">
        <f t="shared" si="471"/>
        <v>0.3</v>
      </c>
      <c r="W187" s="141">
        <f t="shared" si="471"/>
        <v>0.20238095238095238</v>
      </c>
      <c r="X187" s="140">
        <f t="shared" si="471"/>
        <v>0.14054054054054055</v>
      </c>
      <c r="Y187" s="142"/>
      <c r="Z187" s="143"/>
      <c r="AA187" s="136"/>
      <c r="AB187" s="136"/>
      <c r="AC187" s="128"/>
      <c r="AD187" s="135"/>
      <c r="AE187" s="127"/>
      <c r="AF187" s="127"/>
      <c r="AG187" s="130"/>
      <c r="AH187" s="130" t="str">
        <f t="shared" si="118"/>
        <v xml:space="preserve"> </v>
      </c>
      <c r="AI187" s="130">
        <f t="shared" si="119"/>
        <v>0</v>
      </c>
      <c r="AJ187" s="144" t="str">
        <f t="shared" si="120"/>
        <v xml:space="preserve"> </v>
      </c>
      <c r="AK187" s="128" t="str">
        <f t="shared" si="121"/>
        <v xml:space="preserve"> </v>
      </c>
      <c r="AL187" s="128" t="str">
        <f t="shared" si="122"/>
        <v xml:space="preserve"> </v>
      </c>
      <c r="AM187" s="128" t="str">
        <f t="shared" si="123"/>
        <v xml:space="preserve"> </v>
      </c>
      <c r="AN187" s="130" t="str">
        <f t="shared" si="124"/>
        <v xml:space="preserve"> </v>
      </c>
      <c r="AO187" s="130"/>
      <c r="AP187" s="130"/>
    </row>
    <row r="188" spans="1:42">
      <c r="A188" s="131" t="s">
        <v>166</v>
      </c>
      <c r="B188" s="132">
        <v>8</v>
      </c>
      <c r="C188" s="118" t="s">
        <v>167</v>
      </c>
      <c r="D188" s="118">
        <v>2015</v>
      </c>
      <c r="E188" s="133">
        <v>1</v>
      </c>
      <c r="F188" s="133">
        <v>10</v>
      </c>
      <c r="G188" s="133">
        <v>158</v>
      </c>
      <c r="H188" s="134">
        <v>49</v>
      </c>
      <c r="I188" s="133">
        <f t="shared" si="469"/>
        <v>218</v>
      </c>
      <c r="J188" s="135"/>
      <c r="K188" s="136">
        <f>ROUND((370+199)/8,0)</f>
        <v>71</v>
      </c>
      <c r="L188" s="136">
        <f>ROUND('HCD Assigned 5th Cycle RHNA'!F300/B188,0)</f>
        <v>30</v>
      </c>
      <c r="M188" s="137">
        <f>ROUND(670/8,0)</f>
        <v>84</v>
      </c>
      <c r="N188" s="136">
        <f>ROUND(1482/8,0)</f>
        <v>185</v>
      </c>
      <c r="O188" s="135"/>
      <c r="P188" s="136">
        <f t="shared" ref="P188:P192" si="472">E188+F188+P187</f>
        <v>11</v>
      </c>
      <c r="Q188" s="136">
        <f t="shared" ref="Q188:S188" si="473">G188+Q187</f>
        <v>167</v>
      </c>
      <c r="R188" s="137">
        <f t="shared" si="473"/>
        <v>66</v>
      </c>
      <c r="S188" s="136">
        <f t="shared" si="473"/>
        <v>244</v>
      </c>
      <c r="T188" s="139"/>
      <c r="U188" s="140">
        <f t="shared" ref="U188:X188" si="474">P188/K188</f>
        <v>0.15492957746478872</v>
      </c>
      <c r="V188" s="140">
        <f t="shared" si="474"/>
        <v>5.5666666666666664</v>
      </c>
      <c r="W188" s="141">
        <f t="shared" si="474"/>
        <v>0.7857142857142857</v>
      </c>
      <c r="X188" s="140">
        <f t="shared" si="474"/>
        <v>1.318918918918919</v>
      </c>
      <c r="Y188" s="142"/>
      <c r="Z188" s="143"/>
      <c r="AA188" s="136"/>
      <c r="AB188" s="136" t="s">
        <v>1566</v>
      </c>
      <c r="AC188" s="128" t="s">
        <v>1566</v>
      </c>
      <c r="AD188" s="135"/>
      <c r="AE188" s="127"/>
      <c r="AF188" s="127"/>
      <c r="AG188" s="130"/>
      <c r="AH188" s="130" t="str">
        <f t="shared" si="118"/>
        <v xml:space="preserve"> </v>
      </c>
      <c r="AI188" s="130" t="str">
        <f t="shared" si="119"/>
        <v xml:space="preserve"> </v>
      </c>
      <c r="AJ188" s="130">
        <f t="shared" si="120"/>
        <v>11</v>
      </c>
      <c r="AK188" s="128" t="str">
        <f t="shared" si="121"/>
        <v xml:space="preserve"> </v>
      </c>
      <c r="AL188" s="128" t="str">
        <f t="shared" si="122"/>
        <v xml:space="preserve"> </v>
      </c>
      <c r="AM188" s="128" t="str">
        <f t="shared" si="123"/>
        <v xml:space="preserve"> </v>
      </c>
      <c r="AN188" s="130" t="str">
        <f t="shared" si="124"/>
        <v xml:space="preserve"> </v>
      </c>
      <c r="AO188" s="130"/>
      <c r="AP188" s="130"/>
    </row>
    <row r="189" spans="1:42">
      <c r="A189" s="131" t="s">
        <v>166</v>
      </c>
      <c r="B189" s="132">
        <v>8</v>
      </c>
      <c r="C189" s="118" t="s">
        <v>167</v>
      </c>
      <c r="D189" s="118">
        <v>2016</v>
      </c>
      <c r="E189" s="133">
        <v>5</v>
      </c>
      <c r="F189" s="133">
        <v>10</v>
      </c>
      <c r="G189" s="133">
        <v>18</v>
      </c>
      <c r="H189" s="134">
        <v>159</v>
      </c>
      <c r="I189" s="133">
        <f t="shared" si="469"/>
        <v>192</v>
      </c>
      <c r="J189" s="135"/>
      <c r="K189" s="136">
        <f t="shared" ref="K189:N189" si="475">K188*2</f>
        <v>142</v>
      </c>
      <c r="L189" s="136">
        <f t="shared" si="475"/>
        <v>60</v>
      </c>
      <c r="M189" s="137">
        <f t="shared" si="475"/>
        <v>168</v>
      </c>
      <c r="N189" s="136">
        <f t="shared" si="475"/>
        <v>370</v>
      </c>
      <c r="O189" s="135"/>
      <c r="P189" s="136">
        <f t="shared" si="472"/>
        <v>26</v>
      </c>
      <c r="Q189" s="136">
        <f t="shared" ref="Q189:S189" si="476">G189+Q188</f>
        <v>185</v>
      </c>
      <c r="R189" s="137">
        <f t="shared" si="476"/>
        <v>225</v>
      </c>
      <c r="S189" s="136">
        <f t="shared" si="476"/>
        <v>436</v>
      </c>
      <c r="T189" s="139"/>
      <c r="U189" s="140">
        <f t="shared" ref="U189:X189" si="477">P189/K189</f>
        <v>0.18309859154929578</v>
      </c>
      <c r="V189" s="140">
        <f t="shared" si="477"/>
        <v>3.0833333333333335</v>
      </c>
      <c r="W189" s="141">
        <f t="shared" si="477"/>
        <v>1.3392857142857142</v>
      </c>
      <c r="X189" s="140">
        <f t="shared" si="477"/>
        <v>1.1783783783783783</v>
      </c>
      <c r="Y189" s="142"/>
      <c r="Z189" s="143"/>
      <c r="AA189" s="136"/>
      <c r="AB189" s="136" t="s">
        <v>1566</v>
      </c>
      <c r="AC189" s="128" t="s">
        <v>1566</v>
      </c>
      <c r="AD189" s="135"/>
      <c r="AE189" s="127" t="s">
        <v>1566</v>
      </c>
      <c r="AF189" s="127"/>
      <c r="AG189" s="130"/>
      <c r="AH189" s="130" t="str">
        <f t="shared" si="118"/>
        <v xml:space="preserve"> </v>
      </c>
      <c r="AI189" s="130" t="str">
        <f t="shared" si="119"/>
        <v xml:space="preserve"> </v>
      </c>
      <c r="AJ189" s="144" t="str">
        <f t="shared" si="120"/>
        <v xml:space="preserve"> </v>
      </c>
      <c r="AK189" s="128">
        <f t="shared" si="121"/>
        <v>15</v>
      </c>
      <c r="AL189" s="128" t="str">
        <f t="shared" si="122"/>
        <v xml:space="preserve"> </v>
      </c>
      <c r="AM189" s="128" t="str">
        <f t="shared" si="123"/>
        <v xml:space="preserve"> </v>
      </c>
      <c r="AN189" s="130" t="str">
        <f t="shared" si="124"/>
        <v xml:space="preserve"> </v>
      </c>
      <c r="AO189" s="130"/>
      <c r="AP189" s="130"/>
    </row>
    <row r="190" spans="1:42">
      <c r="A190" s="131" t="s">
        <v>166</v>
      </c>
      <c r="B190" s="132">
        <v>8</v>
      </c>
      <c r="C190" s="118" t="s">
        <v>167</v>
      </c>
      <c r="D190" s="118">
        <v>2017</v>
      </c>
      <c r="E190" s="133">
        <v>72</v>
      </c>
      <c r="F190" s="133">
        <v>28</v>
      </c>
      <c r="G190" s="133">
        <v>22</v>
      </c>
      <c r="H190" s="134">
        <v>87</v>
      </c>
      <c r="I190" s="133">
        <f t="shared" si="469"/>
        <v>209</v>
      </c>
      <c r="J190" s="135"/>
      <c r="K190" s="136">
        <f t="shared" ref="K190:N190" si="478">K188*3</f>
        <v>213</v>
      </c>
      <c r="L190" s="136">
        <f t="shared" si="478"/>
        <v>90</v>
      </c>
      <c r="M190" s="137">
        <f t="shared" si="478"/>
        <v>252</v>
      </c>
      <c r="N190" s="136">
        <f t="shared" si="478"/>
        <v>555</v>
      </c>
      <c r="O190" s="135"/>
      <c r="P190" s="136">
        <f t="shared" si="472"/>
        <v>126</v>
      </c>
      <c r="Q190" s="136">
        <f t="shared" ref="Q190:S190" si="479">G190+Q189</f>
        <v>207</v>
      </c>
      <c r="R190" s="137">
        <f t="shared" si="479"/>
        <v>312</v>
      </c>
      <c r="S190" s="136">
        <f t="shared" si="479"/>
        <v>645</v>
      </c>
      <c r="T190" s="139"/>
      <c r="U190" s="140">
        <f t="shared" ref="U190:X190" si="480">P190/K190</f>
        <v>0.59154929577464788</v>
      </c>
      <c r="V190" s="140">
        <f t="shared" si="480"/>
        <v>2.2999999999999998</v>
      </c>
      <c r="W190" s="141">
        <f t="shared" si="480"/>
        <v>1.2380952380952381</v>
      </c>
      <c r="X190" s="140">
        <f t="shared" si="480"/>
        <v>1.1621621621621621</v>
      </c>
      <c r="Y190" s="142"/>
      <c r="Z190" s="143"/>
      <c r="AA190" s="136"/>
      <c r="AB190" s="136" t="s">
        <v>1566</v>
      </c>
      <c r="AC190" s="128" t="s">
        <v>1566</v>
      </c>
      <c r="AD190" s="135"/>
      <c r="AE190" s="127" t="s">
        <v>1566</v>
      </c>
      <c r="AF190" s="127"/>
      <c r="AG190" s="130"/>
      <c r="AH190" s="130" t="str">
        <f t="shared" si="118"/>
        <v xml:space="preserve"> </v>
      </c>
      <c r="AI190" s="130" t="str">
        <f t="shared" si="119"/>
        <v xml:space="preserve"> </v>
      </c>
      <c r="AJ190" s="144" t="str">
        <f t="shared" si="120"/>
        <v xml:space="preserve"> </v>
      </c>
      <c r="AK190" s="128" t="str">
        <f t="shared" si="121"/>
        <v xml:space="preserve"> </v>
      </c>
      <c r="AL190" s="128">
        <f t="shared" si="122"/>
        <v>100</v>
      </c>
      <c r="AM190" s="128" t="str">
        <f t="shared" si="123"/>
        <v xml:space="preserve"> </v>
      </c>
      <c r="AN190" s="130" t="str">
        <f t="shared" si="124"/>
        <v xml:space="preserve"> </v>
      </c>
      <c r="AO190" s="130"/>
      <c r="AP190" s="130"/>
    </row>
    <row r="191" spans="1:42">
      <c r="A191" s="131" t="s">
        <v>166</v>
      </c>
      <c r="B191" s="132">
        <v>8</v>
      </c>
      <c r="C191" s="118" t="s">
        <v>167</v>
      </c>
      <c r="D191" s="118">
        <v>2018</v>
      </c>
      <c r="E191" s="133">
        <v>64</v>
      </c>
      <c r="F191" s="133">
        <v>26</v>
      </c>
      <c r="G191" s="133">
        <v>13</v>
      </c>
      <c r="H191" s="134">
        <v>704</v>
      </c>
      <c r="I191" s="133">
        <f t="shared" si="469"/>
        <v>807</v>
      </c>
      <c r="J191" s="135"/>
      <c r="K191" s="136">
        <f t="shared" ref="K191:N191" si="481">K188*4</f>
        <v>284</v>
      </c>
      <c r="L191" s="136">
        <f t="shared" si="481"/>
        <v>120</v>
      </c>
      <c r="M191" s="137">
        <f t="shared" si="481"/>
        <v>336</v>
      </c>
      <c r="N191" s="136">
        <f t="shared" si="481"/>
        <v>740</v>
      </c>
      <c r="O191" s="135"/>
      <c r="P191" s="136">
        <f t="shared" si="472"/>
        <v>216</v>
      </c>
      <c r="Q191" s="136">
        <f t="shared" ref="Q191:S191" si="482">G191+Q190</f>
        <v>220</v>
      </c>
      <c r="R191" s="137">
        <f t="shared" si="482"/>
        <v>1016</v>
      </c>
      <c r="S191" s="136">
        <f t="shared" si="482"/>
        <v>1452</v>
      </c>
      <c r="T191" s="139"/>
      <c r="U191" s="140">
        <f t="shared" ref="U191:X191" si="483">P191/K191</f>
        <v>0.76056338028169013</v>
      </c>
      <c r="V191" s="140">
        <f t="shared" si="483"/>
        <v>1.8333333333333333</v>
      </c>
      <c r="W191" s="141">
        <f t="shared" si="483"/>
        <v>3.0238095238095237</v>
      </c>
      <c r="X191" s="140">
        <f t="shared" si="483"/>
        <v>1.9621621621621621</v>
      </c>
      <c r="Y191" s="142"/>
      <c r="Z191" s="143"/>
      <c r="AA191" s="154"/>
      <c r="AB191" s="136" t="s">
        <v>1566</v>
      </c>
      <c r="AC191" s="128" t="s">
        <v>1566</v>
      </c>
      <c r="AD191" s="135"/>
      <c r="AE191" s="127" t="s">
        <v>1566</v>
      </c>
      <c r="AF191" s="127"/>
      <c r="AG191" s="130"/>
      <c r="AH191" s="130" t="str">
        <f t="shared" si="118"/>
        <v xml:space="preserve"> </v>
      </c>
      <c r="AI191" s="130" t="str">
        <f t="shared" si="119"/>
        <v xml:space="preserve"> </v>
      </c>
      <c r="AJ191" s="144" t="str">
        <f t="shared" si="120"/>
        <v xml:space="preserve"> </v>
      </c>
      <c r="AK191" s="128" t="str">
        <f t="shared" si="121"/>
        <v xml:space="preserve"> </v>
      </c>
      <c r="AL191" s="128" t="str">
        <f t="shared" si="122"/>
        <v xml:space="preserve"> </v>
      </c>
      <c r="AM191" s="128">
        <f t="shared" si="123"/>
        <v>90</v>
      </c>
      <c r="AN191" s="130" t="str">
        <f t="shared" si="124"/>
        <v xml:space="preserve"> </v>
      </c>
      <c r="AO191" s="130"/>
      <c r="AP191" s="130"/>
    </row>
    <row r="192" spans="1:42">
      <c r="A192" s="131" t="s">
        <v>166</v>
      </c>
      <c r="B192" s="132">
        <v>8</v>
      </c>
      <c r="C192" s="118" t="s">
        <v>167</v>
      </c>
      <c r="D192" s="118">
        <v>2019</v>
      </c>
      <c r="E192" s="133">
        <v>4</v>
      </c>
      <c r="F192" s="133">
        <v>36</v>
      </c>
      <c r="G192" s="133">
        <v>45</v>
      </c>
      <c r="H192" s="134">
        <v>116</v>
      </c>
      <c r="I192" s="133">
        <f t="shared" si="469"/>
        <v>201</v>
      </c>
      <c r="J192" s="135"/>
      <c r="K192" s="136">
        <f t="shared" ref="K192:N192" si="484">K188*5</f>
        <v>355</v>
      </c>
      <c r="L192" s="136">
        <f t="shared" si="484"/>
        <v>150</v>
      </c>
      <c r="M192" s="137">
        <f t="shared" si="484"/>
        <v>420</v>
      </c>
      <c r="N192" s="136">
        <f t="shared" si="484"/>
        <v>925</v>
      </c>
      <c r="O192" s="135"/>
      <c r="P192" s="136">
        <f t="shared" si="472"/>
        <v>256</v>
      </c>
      <c r="Q192" s="136">
        <f t="shared" ref="Q192:S192" si="485">G192+Q191</f>
        <v>265</v>
      </c>
      <c r="R192" s="137">
        <f t="shared" si="485"/>
        <v>1132</v>
      </c>
      <c r="S192" s="136">
        <f t="shared" si="485"/>
        <v>1653</v>
      </c>
      <c r="T192" s="139"/>
      <c r="U192" s="140">
        <f t="shared" ref="U192:X192" si="486">P192/K192</f>
        <v>0.72112676056338032</v>
      </c>
      <c r="V192" s="140">
        <f t="shared" si="486"/>
        <v>1.7666666666666666</v>
      </c>
      <c r="W192" s="141">
        <f t="shared" si="486"/>
        <v>2.6952380952380954</v>
      </c>
      <c r="X192" s="140">
        <f t="shared" si="486"/>
        <v>1.787027027027027</v>
      </c>
      <c r="Y192" s="146" t="s">
        <v>166</v>
      </c>
      <c r="Z192" s="143"/>
      <c r="AA192" s="155">
        <v>1482</v>
      </c>
      <c r="AB192" s="136">
        <v>925</v>
      </c>
      <c r="AC192" s="128">
        <v>1653</v>
      </c>
      <c r="AD192" s="135"/>
      <c r="AE192" s="127">
        <f>N188</f>
        <v>185</v>
      </c>
      <c r="AF192" s="127"/>
      <c r="AG192" s="130"/>
      <c r="AH192" s="130" t="str">
        <f t="shared" si="118"/>
        <v xml:space="preserve"> </v>
      </c>
      <c r="AI192" s="130" t="str">
        <f t="shared" si="119"/>
        <v xml:space="preserve"> </v>
      </c>
      <c r="AJ192" s="144" t="str">
        <f t="shared" si="120"/>
        <v xml:space="preserve"> </v>
      </c>
      <c r="AK192" s="128" t="str">
        <f t="shared" si="121"/>
        <v xml:space="preserve"> </v>
      </c>
      <c r="AL192" s="128" t="str">
        <f t="shared" si="122"/>
        <v xml:space="preserve"> </v>
      </c>
      <c r="AM192" s="128" t="str">
        <f t="shared" si="123"/>
        <v xml:space="preserve"> </v>
      </c>
      <c r="AN192" s="130">
        <f t="shared" si="124"/>
        <v>40</v>
      </c>
      <c r="AO192" s="130"/>
      <c r="AP192" s="130"/>
    </row>
    <row r="193" spans="1:42">
      <c r="A193" s="131"/>
      <c r="B193" s="132"/>
      <c r="C193" s="118"/>
      <c r="D193" s="118"/>
      <c r="E193" s="133"/>
      <c r="F193" s="133"/>
      <c r="G193" s="133"/>
      <c r="H193" s="134"/>
      <c r="I193" s="133"/>
      <c r="J193" s="135"/>
      <c r="K193" s="136"/>
      <c r="L193" s="136"/>
      <c r="M193" s="137"/>
      <c r="N193" s="136"/>
      <c r="O193" s="135"/>
      <c r="P193" s="136"/>
      <c r="Q193" s="136"/>
      <c r="R193" s="137"/>
      <c r="S193" s="136"/>
      <c r="T193" s="139"/>
      <c r="U193" s="140"/>
      <c r="V193" s="140"/>
      <c r="W193" s="141"/>
      <c r="X193" s="140"/>
      <c r="Y193" s="142"/>
      <c r="Z193" s="143"/>
      <c r="AA193" s="154"/>
      <c r="AB193" s="136" t="s">
        <v>1566</v>
      </c>
      <c r="AC193" s="128" t="s">
        <v>1566</v>
      </c>
      <c r="AD193" s="135"/>
      <c r="AE193" s="127" t="s">
        <v>1566</v>
      </c>
      <c r="AF193" s="127"/>
      <c r="AG193" s="130"/>
      <c r="AH193" s="130" t="str">
        <f t="shared" si="118"/>
        <v xml:space="preserve"> </v>
      </c>
      <c r="AI193" s="130" t="str">
        <f t="shared" si="119"/>
        <v xml:space="preserve"> </v>
      </c>
      <c r="AJ193" s="144" t="str">
        <f t="shared" si="120"/>
        <v xml:space="preserve"> </v>
      </c>
      <c r="AK193" s="128" t="str">
        <f t="shared" si="121"/>
        <v xml:space="preserve"> </v>
      </c>
      <c r="AL193" s="128" t="str">
        <f t="shared" si="122"/>
        <v xml:space="preserve"> </v>
      </c>
      <c r="AM193" s="128" t="str">
        <f t="shared" si="123"/>
        <v xml:space="preserve"> </v>
      </c>
      <c r="AN193" s="130" t="str">
        <f t="shared" si="124"/>
        <v xml:space="preserve"> </v>
      </c>
      <c r="AO193" s="130"/>
      <c r="AP193" s="130"/>
    </row>
    <row r="194" spans="1:42">
      <c r="A194" s="131" t="s">
        <v>168</v>
      </c>
      <c r="B194" s="132">
        <v>5</v>
      </c>
      <c r="C194" s="118" t="s">
        <v>128</v>
      </c>
      <c r="D194" s="118">
        <v>2014</v>
      </c>
      <c r="E194" s="133">
        <v>17</v>
      </c>
      <c r="F194" s="133">
        <v>91</v>
      </c>
      <c r="G194" s="133">
        <v>32</v>
      </c>
      <c r="H194" s="134">
        <v>170</v>
      </c>
      <c r="I194" s="133">
        <v>310</v>
      </c>
      <c r="J194" s="135"/>
      <c r="K194" s="136">
        <f>ROUND((423+303)/5,0)</f>
        <v>145</v>
      </c>
      <c r="L194" s="136">
        <f>ROUND('HCD Assigned 5th Cycle RHNA'!F596/B194,0)</f>
        <v>69</v>
      </c>
      <c r="M194" s="137">
        <f>ROUND(769/5,0)</f>
        <v>154</v>
      </c>
      <c r="N194" s="136">
        <f>ROUND(1839/5,0)</f>
        <v>368</v>
      </c>
      <c r="O194" s="135"/>
      <c r="P194" s="136">
        <f>E194+F194</f>
        <v>108</v>
      </c>
      <c r="Q194" s="136">
        <f t="shared" ref="Q194:S194" si="487">G194</f>
        <v>32</v>
      </c>
      <c r="R194" s="137">
        <f t="shared" si="487"/>
        <v>170</v>
      </c>
      <c r="S194" s="136">
        <f t="shared" si="487"/>
        <v>310</v>
      </c>
      <c r="T194" s="139"/>
      <c r="U194" s="140">
        <f t="shared" ref="U194:X194" si="488">P194/K194</f>
        <v>0.7448275862068966</v>
      </c>
      <c r="V194" s="140">
        <f t="shared" si="488"/>
        <v>0.46376811594202899</v>
      </c>
      <c r="W194" s="141">
        <f t="shared" si="488"/>
        <v>1.1038961038961039</v>
      </c>
      <c r="X194" s="140">
        <f t="shared" si="488"/>
        <v>0.84239130434782605</v>
      </c>
      <c r="Y194" s="142"/>
      <c r="Z194" s="143"/>
      <c r="AA194" s="154"/>
      <c r="AB194" s="136" t="s">
        <v>1566</v>
      </c>
      <c r="AC194" s="128" t="s">
        <v>1566</v>
      </c>
      <c r="AD194" s="135"/>
      <c r="AE194" s="127"/>
      <c r="AF194" s="127"/>
      <c r="AG194" s="130"/>
      <c r="AH194" s="130" t="str">
        <f t="shared" si="118"/>
        <v xml:space="preserve"> </v>
      </c>
      <c r="AI194" s="130">
        <f t="shared" si="119"/>
        <v>108</v>
      </c>
      <c r="AJ194" s="144" t="str">
        <f t="shared" si="120"/>
        <v xml:space="preserve"> </v>
      </c>
      <c r="AK194" s="128" t="str">
        <f t="shared" si="121"/>
        <v xml:space="preserve"> </v>
      </c>
      <c r="AL194" s="128" t="str">
        <f t="shared" si="122"/>
        <v xml:space="preserve"> </v>
      </c>
      <c r="AM194" s="128" t="str">
        <f t="shared" si="123"/>
        <v xml:space="preserve"> </v>
      </c>
      <c r="AN194" s="130" t="str">
        <f t="shared" si="124"/>
        <v xml:space="preserve"> </v>
      </c>
      <c r="AO194" s="130"/>
      <c r="AP194" s="130"/>
    </row>
    <row r="195" spans="1:42">
      <c r="A195" s="131" t="s">
        <v>168</v>
      </c>
      <c r="B195" s="132">
        <v>5</v>
      </c>
      <c r="C195" s="118" t="s">
        <v>128</v>
      </c>
      <c r="D195" s="118">
        <v>2015</v>
      </c>
      <c r="E195" s="133">
        <v>29</v>
      </c>
      <c r="F195" s="133">
        <v>20</v>
      </c>
      <c r="G195" s="133">
        <v>29</v>
      </c>
      <c r="H195" s="134">
        <v>162</v>
      </c>
      <c r="I195" s="133">
        <v>240</v>
      </c>
      <c r="J195" s="135"/>
      <c r="K195" s="136">
        <f t="shared" ref="K195:N195" si="489">K194*2</f>
        <v>290</v>
      </c>
      <c r="L195" s="136">
        <f t="shared" si="489"/>
        <v>138</v>
      </c>
      <c r="M195" s="137">
        <f t="shared" si="489"/>
        <v>308</v>
      </c>
      <c r="N195" s="136">
        <f t="shared" si="489"/>
        <v>736</v>
      </c>
      <c r="O195" s="135"/>
      <c r="P195" s="136">
        <f t="shared" ref="P195:P199" si="490">E195+F195+P194</f>
        <v>157</v>
      </c>
      <c r="Q195" s="136">
        <f t="shared" ref="Q195:S195" si="491">G195+Q194</f>
        <v>61</v>
      </c>
      <c r="R195" s="137">
        <f t="shared" si="491"/>
        <v>332</v>
      </c>
      <c r="S195" s="136">
        <f t="shared" si="491"/>
        <v>550</v>
      </c>
      <c r="T195" s="139"/>
      <c r="U195" s="140">
        <f t="shared" ref="U195:X195" si="492">P195/K195</f>
        <v>0.54137931034482756</v>
      </c>
      <c r="V195" s="140">
        <f t="shared" si="492"/>
        <v>0.4420289855072464</v>
      </c>
      <c r="W195" s="141">
        <f t="shared" si="492"/>
        <v>1.0779220779220779</v>
      </c>
      <c r="X195" s="140">
        <f t="shared" si="492"/>
        <v>0.74728260869565222</v>
      </c>
      <c r="Y195" s="142"/>
      <c r="Z195" s="143"/>
      <c r="AA195" s="154"/>
      <c r="AB195" s="136" t="s">
        <v>1566</v>
      </c>
      <c r="AC195" s="128" t="s">
        <v>1566</v>
      </c>
      <c r="AD195" s="135"/>
      <c r="AE195" s="127"/>
      <c r="AF195" s="127"/>
      <c r="AG195" s="130"/>
      <c r="AH195" s="130" t="str">
        <f t="shared" si="118"/>
        <v xml:space="preserve"> </v>
      </c>
      <c r="AI195" s="130" t="str">
        <f t="shared" si="119"/>
        <v xml:space="preserve"> </v>
      </c>
      <c r="AJ195" s="130">
        <f t="shared" si="120"/>
        <v>49</v>
      </c>
      <c r="AK195" s="128" t="str">
        <f t="shared" si="121"/>
        <v xml:space="preserve"> </v>
      </c>
      <c r="AL195" s="128" t="str">
        <f t="shared" si="122"/>
        <v xml:space="preserve"> </v>
      </c>
      <c r="AM195" s="128" t="str">
        <f t="shared" si="123"/>
        <v xml:space="preserve"> </v>
      </c>
      <c r="AN195" s="130" t="str">
        <f t="shared" si="124"/>
        <v xml:space="preserve"> </v>
      </c>
      <c r="AO195" s="130"/>
      <c r="AP195" s="130"/>
    </row>
    <row r="196" spans="1:42">
      <c r="A196" s="131" t="s">
        <v>168</v>
      </c>
      <c r="B196" s="132">
        <v>5</v>
      </c>
      <c r="C196" s="118" t="s">
        <v>128</v>
      </c>
      <c r="D196" s="118">
        <v>2016</v>
      </c>
      <c r="E196" s="133">
        <v>8</v>
      </c>
      <c r="F196" s="133">
        <v>18</v>
      </c>
      <c r="G196" s="133">
        <v>23</v>
      </c>
      <c r="H196" s="134">
        <v>170</v>
      </c>
      <c r="I196" s="133">
        <v>219</v>
      </c>
      <c r="J196" s="135"/>
      <c r="K196" s="136">
        <f t="shared" ref="K196:N196" si="493">K194*3</f>
        <v>435</v>
      </c>
      <c r="L196" s="136">
        <f t="shared" si="493"/>
        <v>207</v>
      </c>
      <c r="M196" s="137">
        <f t="shared" si="493"/>
        <v>462</v>
      </c>
      <c r="N196" s="136">
        <f t="shared" si="493"/>
        <v>1104</v>
      </c>
      <c r="O196" s="135"/>
      <c r="P196" s="136">
        <f t="shared" si="490"/>
        <v>183</v>
      </c>
      <c r="Q196" s="136">
        <f t="shared" ref="Q196:S196" si="494">G196+Q195</f>
        <v>84</v>
      </c>
      <c r="R196" s="137">
        <f t="shared" si="494"/>
        <v>502</v>
      </c>
      <c r="S196" s="136">
        <f t="shared" si="494"/>
        <v>769</v>
      </c>
      <c r="T196" s="139"/>
      <c r="U196" s="140">
        <f t="shared" ref="U196:X196" si="495">P196/K196</f>
        <v>0.4206896551724138</v>
      </c>
      <c r="V196" s="140">
        <f t="shared" si="495"/>
        <v>0.40579710144927539</v>
      </c>
      <c r="W196" s="141">
        <f t="shared" si="495"/>
        <v>1.0865800865800865</v>
      </c>
      <c r="X196" s="140">
        <f t="shared" si="495"/>
        <v>0.69655797101449279</v>
      </c>
      <c r="Y196" s="142"/>
      <c r="Z196" s="143"/>
      <c r="AA196" s="154"/>
      <c r="AB196" s="136" t="s">
        <v>1566</v>
      </c>
      <c r="AC196" s="128" t="s">
        <v>1566</v>
      </c>
      <c r="AD196" s="135"/>
      <c r="AE196" s="127" t="s">
        <v>1566</v>
      </c>
      <c r="AF196" s="127"/>
      <c r="AG196" s="130"/>
      <c r="AH196" s="130" t="str">
        <f t="shared" si="118"/>
        <v xml:space="preserve"> </v>
      </c>
      <c r="AI196" s="130" t="str">
        <f t="shared" si="119"/>
        <v xml:space="preserve"> </v>
      </c>
      <c r="AJ196" s="144" t="str">
        <f t="shared" si="120"/>
        <v xml:space="preserve"> </v>
      </c>
      <c r="AK196" s="128">
        <f t="shared" si="121"/>
        <v>26</v>
      </c>
      <c r="AL196" s="128" t="str">
        <f t="shared" si="122"/>
        <v xml:space="preserve"> </v>
      </c>
      <c r="AM196" s="128" t="str">
        <f t="shared" si="123"/>
        <v xml:space="preserve"> </v>
      </c>
      <c r="AN196" s="130" t="str">
        <f t="shared" si="124"/>
        <v xml:space="preserve"> </v>
      </c>
      <c r="AO196" s="130"/>
      <c r="AP196" s="130"/>
    </row>
    <row r="197" spans="1:42">
      <c r="A197" s="131" t="s">
        <v>168</v>
      </c>
      <c r="B197" s="132">
        <v>5</v>
      </c>
      <c r="C197" s="118" t="s">
        <v>128</v>
      </c>
      <c r="D197" s="118">
        <v>2017</v>
      </c>
      <c r="E197" s="133">
        <v>10</v>
      </c>
      <c r="F197" s="133">
        <v>20</v>
      </c>
      <c r="G197" s="133">
        <v>28</v>
      </c>
      <c r="H197" s="134">
        <v>191</v>
      </c>
      <c r="I197" s="133">
        <v>249</v>
      </c>
      <c r="J197" s="135"/>
      <c r="K197" s="136">
        <f t="shared" ref="K197:N197" si="496">K194*4</f>
        <v>580</v>
      </c>
      <c r="L197" s="136">
        <f t="shared" si="496"/>
        <v>276</v>
      </c>
      <c r="M197" s="137">
        <f t="shared" si="496"/>
        <v>616</v>
      </c>
      <c r="N197" s="136">
        <f t="shared" si="496"/>
        <v>1472</v>
      </c>
      <c r="O197" s="135"/>
      <c r="P197" s="136">
        <f t="shared" si="490"/>
        <v>213</v>
      </c>
      <c r="Q197" s="136">
        <f t="shared" ref="Q197:S197" si="497">G197+Q196</f>
        <v>112</v>
      </c>
      <c r="R197" s="137">
        <f t="shared" si="497"/>
        <v>693</v>
      </c>
      <c r="S197" s="136">
        <f t="shared" si="497"/>
        <v>1018</v>
      </c>
      <c r="T197" s="139"/>
      <c r="U197" s="140">
        <f t="shared" ref="U197:X197" si="498">P197/K197</f>
        <v>0.36724137931034484</v>
      </c>
      <c r="V197" s="140">
        <f t="shared" si="498"/>
        <v>0.40579710144927539</v>
      </c>
      <c r="W197" s="141">
        <f t="shared" si="498"/>
        <v>1.125</v>
      </c>
      <c r="X197" s="140">
        <f t="shared" si="498"/>
        <v>0.69157608695652173</v>
      </c>
      <c r="Y197" s="142"/>
      <c r="Z197" s="143"/>
      <c r="AA197" s="154"/>
      <c r="AB197" s="136" t="s">
        <v>1566</v>
      </c>
      <c r="AC197" s="128" t="s">
        <v>1566</v>
      </c>
      <c r="AD197" s="135"/>
      <c r="AE197" s="127" t="s">
        <v>1566</v>
      </c>
      <c r="AF197" s="127"/>
      <c r="AG197" s="130"/>
      <c r="AH197" s="130" t="str">
        <f t="shared" si="118"/>
        <v xml:space="preserve"> </v>
      </c>
      <c r="AI197" s="130" t="str">
        <f t="shared" si="119"/>
        <v xml:space="preserve"> </v>
      </c>
      <c r="AJ197" s="144" t="str">
        <f t="shared" si="120"/>
        <v xml:space="preserve"> </v>
      </c>
      <c r="AK197" s="128" t="str">
        <f t="shared" si="121"/>
        <v xml:space="preserve"> </v>
      </c>
      <c r="AL197" s="128">
        <f t="shared" si="122"/>
        <v>30</v>
      </c>
      <c r="AM197" s="128" t="str">
        <f t="shared" si="123"/>
        <v xml:space="preserve"> </v>
      </c>
      <c r="AN197" s="130" t="str">
        <f t="shared" si="124"/>
        <v xml:space="preserve"> </v>
      </c>
      <c r="AO197" s="130"/>
      <c r="AP197" s="130"/>
    </row>
    <row r="198" spans="1:42">
      <c r="A198" s="131" t="s">
        <v>168</v>
      </c>
      <c r="B198" s="132">
        <v>5</v>
      </c>
      <c r="C198" s="118" t="s">
        <v>128</v>
      </c>
      <c r="D198" s="118">
        <v>2018</v>
      </c>
      <c r="E198" s="133">
        <v>4</v>
      </c>
      <c r="F198" s="133">
        <v>48</v>
      </c>
      <c r="G198" s="133">
        <v>100</v>
      </c>
      <c r="H198" s="134">
        <v>139</v>
      </c>
      <c r="I198" s="133">
        <v>291</v>
      </c>
      <c r="J198" s="135"/>
      <c r="K198" s="136">
        <f t="shared" ref="K198:N198" si="499">K194*5</f>
        <v>725</v>
      </c>
      <c r="L198" s="136">
        <f t="shared" si="499"/>
        <v>345</v>
      </c>
      <c r="M198" s="137">
        <f t="shared" si="499"/>
        <v>770</v>
      </c>
      <c r="N198" s="136">
        <f t="shared" si="499"/>
        <v>1840</v>
      </c>
      <c r="O198" s="135"/>
      <c r="P198" s="136">
        <f t="shared" si="490"/>
        <v>265</v>
      </c>
      <c r="Q198" s="136">
        <f t="shared" ref="Q198:S198" si="500">G198+Q197</f>
        <v>212</v>
      </c>
      <c r="R198" s="137">
        <f t="shared" si="500"/>
        <v>832</v>
      </c>
      <c r="S198" s="136">
        <f t="shared" si="500"/>
        <v>1309</v>
      </c>
      <c r="T198" s="139"/>
      <c r="U198" s="140">
        <f t="shared" ref="U198:X198" si="501">P198/K198</f>
        <v>0.36551724137931035</v>
      </c>
      <c r="V198" s="140">
        <f t="shared" si="501"/>
        <v>0.61449275362318845</v>
      </c>
      <c r="W198" s="141">
        <f t="shared" si="501"/>
        <v>1.0805194805194804</v>
      </c>
      <c r="X198" s="140">
        <f t="shared" si="501"/>
        <v>0.71141304347826084</v>
      </c>
      <c r="Y198" s="146"/>
      <c r="Z198" s="143"/>
      <c r="AA198" s="154"/>
      <c r="AB198" s="136" t="s">
        <v>1566</v>
      </c>
      <c r="AC198" s="128" t="s">
        <v>1566</v>
      </c>
      <c r="AD198" s="135"/>
      <c r="AE198" s="127" t="s">
        <v>1566</v>
      </c>
      <c r="AF198" s="127"/>
      <c r="AG198" s="130"/>
      <c r="AH198" s="130" t="str">
        <f t="shared" si="118"/>
        <v xml:space="preserve"> </v>
      </c>
      <c r="AI198" s="130" t="str">
        <f t="shared" si="119"/>
        <v xml:space="preserve"> </v>
      </c>
      <c r="AJ198" s="144" t="str">
        <f t="shared" si="120"/>
        <v xml:space="preserve"> </v>
      </c>
      <c r="AK198" s="128" t="str">
        <f t="shared" si="121"/>
        <v xml:space="preserve"> </v>
      </c>
      <c r="AL198" s="128" t="str">
        <f t="shared" si="122"/>
        <v xml:space="preserve"> </v>
      </c>
      <c r="AM198" s="128">
        <f t="shared" si="123"/>
        <v>52</v>
      </c>
      <c r="AN198" s="130" t="str">
        <f t="shared" si="124"/>
        <v xml:space="preserve"> </v>
      </c>
      <c r="AO198" s="130"/>
      <c r="AP198" s="130"/>
    </row>
    <row r="199" spans="1:42">
      <c r="A199" s="131" t="s">
        <v>168</v>
      </c>
      <c r="B199" s="132"/>
      <c r="C199" s="118" t="s">
        <v>128</v>
      </c>
      <c r="D199" s="118">
        <v>2019</v>
      </c>
      <c r="E199" s="133">
        <v>64</v>
      </c>
      <c r="F199" s="133">
        <v>52</v>
      </c>
      <c r="G199" s="133">
        <v>1</v>
      </c>
      <c r="H199" s="134">
        <v>125</v>
      </c>
      <c r="I199" s="133">
        <f>E199+F199+G199+H199</f>
        <v>242</v>
      </c>
      <c r="J199" s="135"/>
      <c r="K199" s="136">
        <f t="shared" ref="K199:N199" si="502">K198</f>
        <v>725</v>
      </c>
      <c r="L199" s="136">
        <f t="shared" si="502"/>
        <v>345</v>
      </c>
      <c r="M199" s="137">
        <f t="shared" si="502"/>
        <v>770</v>
      </c>
      <c r="N199" s="136">
        <f t="shared" si="502"/>
        <v>1840</v>
      </c>
      <c r="O199" s="135"/>
      <c r="P199" s="136">
        <f t="shared" si="490"/>
        <v>381</v>
      </c>
      <c r="Q199" s="136">
        <f t="shared" ref="Q199:S199" si="503">G199+Q198</f>
        <v>213</v>
      </c>
      <c r="R199" s="137">
        <f t="shared" si="503"/>
        <v>957</v>
      </c>
      <c r="S199" s="136">
        <f t="shared" si="503"/>
        <v>1551</v>
      </c>
      <c r="T199" s="139"/>
      <c r="U199" s="140">
        <f t="shared" ref="U199:X199" si="504">P199/K199</f>
        <v>0.52551724137931033</v>
      </c>
      <c r="V199" s="140">
        <f t="shared" si="504"/>
        <v>0.61739130434782608</v>
      </c>
      <c r="W199" s="141">
        <f t="shared" si="504"/>
        <v>1.2428571428571429</v>
      </c>
      <c r="X199" s="140">
        <f t="shared" si="504"/>
        <v>0.8429347826086957</v>
      </c>
      <c r="Y199" s="146" t="s">
        <v>168</v>
      </c>
      <c r="Z199" s="143"/>
      <c r="AA199" s="155">
        <v>1840</v>
      </c>
      <c r="AB199" s="136">
        <v>1840</v>
      </c>
      <c r="AC199" s="128">
        <v>1551</v>
      </c>
      <c r="AD199" s="135"/>
      <c r="AE199" s="127">
        <f>N194</f>
        <v>368</v>
      </c>
      <c r="AF199" s="127"/>
      <c r="AG199" s="130"/>
      <c r="AH199" s="130" t="str">
        <f t="shared" si="118"/>
        <v xml:space="preserve"> </v>
      </c>
      <c r="AI199" s="130" t="str">
        <f t="shared" si="119"/>
        <v xml:space="preserve"> </v>
      </c>
      <c r="AJ199" s="144" t="str">
        <f t="shared" si="120"/>
        <v xml:space="preserve"> </v>
      </c>
      <c r="AK199" s="128" t="str">
        <f t="shared" si="121"/>
        <v xml:space="preserve"> </v>
      </c>
      <c r="AL199" s="128" t="str">
        <f t="shared" si="122"/>
        <v xml:space="preserve"> </v>
      </c>
      <c r="AM199" s="128" t="str">
        <f t="shared" si="123"/>
        <v xml:space="preserve"> </v>
      </c>
      <c r="AN199" s="130">
        <f t="shared" si="124"/>
        <v>116</v>
      </c>
      <c r="AO199" s="130"/>
      <c r="AP199" s="130"/>
    </row>
    <row r="200" spans="1:42">
      <c r="A200" s="131"/>
      <c r="B200" s="132"/>
      <c r="C200" s="118"/>
      <c r="D200" s="118"/>
      <c r="E200" s="133"/>
      <c r="F200" s="133"/>
      <c r="G200" s="133"/>
      <c r="H200" s="134"/>
      <c r="I200" s="133"/>
      <c r="J200" s="135"/>
      <c r="K200" s="136"/>
      <c r="L200" s="136"/>
      <c r="M200" s="137"/>
      <c r="N200" s="136"/>
      <c r="O200" s="135"/>
      <c r="P200" s="136"/>
      <c r="Q200" s="136"/>
      <c r="R200" s="137"/>
      <c r="S200" s="136"/>
      <c r="T200" s="139"/>
      <c r="U200" s="140"/>
      <c r="V200" s="140"/>
      <c r="W200" s="141"/>
      <c r="X200" s="140"/>
      <c r="Y200" s="142"/>
      <c r="Z200" s="143"/>
      <c r="AA200" s="154"/>
      <c r="AB200" s="136" t="s">
        <v>1566</v>
      </c>
      <c r="AC200" s="128" t="s">
        <v>1566</v>
      </c>
      <c r="AD200" s="135"/>
      <c r="AE200" s="127" t="s">
        <v>1566</v>
      </c>
      <c r="AF200" s="127"/>
      <c r="AG200" s="130"/>
      <c r="AH200" s="130" t="str">
        <f t="shared" si="118"/>
        <v xml:space="preserve"> </v>
      </c>
      <c r="AI200" s="130" t="str">
        <f t="shared" si="119"/>
        <v xml:space="preserve"> </v>
      </c>
      <c r="AJ200" s="144" t="str">
        <f t="shared" si="120"/>
        <v xml:space="preserve"> </v>
      </c>
      <c r="AK200" s="128" t="str">
        <f t="shared" si="121"/>
        <v xml:space="preserve"> </v>
      </c>
      <c r="AL200" s="128" t="str">
        <f t="shared" si="122"/>
        <v xml:space="preserve"> </v>
      </c>
      <c r="AM200" s="128" t="str">
        <f t="shared" si="123"/>
        <v xml:space="preserve"> </v>
      </c>
      <c r="AN200" s="130" t="str">
        <f t="shared" si="124"/>
        <v xml:space="preserve"> </v>
      </c>
      <c r="AO200" s="130"/>
      <c r="AP200" s="130"/>
    </row>
    <row r="201" spans="1:42">
      <c r="A201" s="131" t="s">
        <v>169</v>
      </c>
      <c r="B201" s="132">
        <v>8</v>
      </c>
      <c r="C201" s="118" t="s">
        <v>140</v>
      </c>
      <c r="D201" s="118">
        <v>2014</v>
      </c>
      <c r="E201" s="133">
        <v>366</v>
      </c>
      <c r="F201" s="133">
        <v>215</v>
      </c>
      <c r="G201" s="133">
        <v>2294</v>
      </c>
      <c r="H201" s="134">
        <v>6683</v>
      </c>
      <c r="I201" s="133">
        <v>9558</v>
      </c>
      <c r="J201" s="135"/>
      <c r="K201" s="136">
        <f>ROUND((8734+6426)/8,0)</f>
        <v>1895</v>
      </c>
      <c r="L201" s="136">
        <f>ROUND('HCD Assigned 5th Cycle RHNA'!F136/B201,0)</f>
        <v>871</v>
      </c>
      <c r="M201" s="137">
        <v>2002</v>
      </c>
      <c r="N201" s="136">
        <f>ROUND(37966/8,0)</f>
        <v>4746</v>
      </c>
      <c r="O201" s="135"/>
      <c r="P201" s="136">
        <f>E201+F201</f>
        <v>581</v>
      </c>
      <c r="Q201" s="136">
        <f t="shared" ref="Q201:S201" si="505">G201</f>
        <v>2294</v>
      </c>
      <c r="R201" s="137">
        <f t="shared" si="505"/>
        <v>6683</v>
      </c>
      <c r="S201" s="136">
        <f t="shared" si="505"/>
        <v>9558</v>
      </c>
      <c r="T201" s="139"/>
      <c r="U201" s="140">
        <f t="shared" ref="U201:X201" si="506">P201/K201</f>
        <v>0.30659630606860161</v>
      </c>
      <c r="V201" s="140">
        <f t="shared" si="506"/>
        <v>2.6337543053960966</v>
      </c>
      <c r="W201" s="141">
        <f t="shared" si="506"/>
        <v>3.3381618381618381</v>
      </c>
      <c r="X201" s="140">
        <f t="shared" si="506"/>
        <v>2.0139064475347661</v>
      </c>
      <c r="Y201" s="142"/>
      <c r="Z201" s="143"/>
      <c r="AA201" s="154"/>
      <c r="AB201" s="136" t="s">
        <v>1566</v>
      </c>
      <c r="AC201" s="128" t="s">
        <v>1566</v>
      </c>
      <c r="AD201" s="135"/>
      <c r="AE201" s="127"/>
      <c r="AF201" s="127"/>
      <c r="AG201" s="130"/>
      <c r="AH201" s="130" t="str">
        <f t="shared" si="118"/>
        <v xml:space="preserve"> </v>
      </c>
      <c r="AI201" s="130">
        <f t="shared" si="119"/>
        <v>581</v>
      </c>
      <c r="AJ201" s="144" t="str">
        <f t="shared" si="120"/>
        <v xml:space="preserve"> </v>
      </c>
      <c r="AK201" s="128" t="str">
        <f t="shared" si="121"/>
        <v xml:space="preserve"> </v>
      </c>
      <c r="AL201" s="128" t="str">
        <f t="shared" si="122"/>
        <v xml:space="preserve"> </v>
      </c>
      <c r="AM201" s="128" t="str">
        <f t="shared" si="123"/>
        <v xml:space="preserve"> </v>
      </c>
      <c r="AN201" s="130" t="str">
        <f t="shared" si="124"/>
        <v xml:space="preserve"> </v>
      </c>
      <c r="AO201" s="130"/>
      <c r="AP201" s="130"/>
    </row>
    <row r="202" spans="1:42">
      <c r="A202" s="131" t="s">
        <v>169</v>
      </c>
      <c r="B202" s="132">
        <v>8</v>
      </c>
      <c r="C202" s="118" t="s">
        <v>140</v>
      </c>
      <c r="D202" s="118">
        <v>2015</v>
      </c>
      <c r="E202" s="133">
        <v>189</v>
      </c>
      <c r="F202" s="133">
        <v>244</v>
      </c>
      <c r="G202" s="133">
        <v>5153</v>
      </c>
      <c r="H202" s="134">
        <v>6378</v>
      </c>
      <c r="I202" s="133">
        <f t="shared" ref="I202:I206" si="507">E202+F202+G202+H202</f>
        <v>11964</v>
      </c>
      <c r="J202" s="135"/>
      <c r="K202" s="136">
        <f t="shared" ref="K202:N202" si="508">K201*2</f>
        <v>3790</v>
      </c>
      <c r="L202" s="136">
        <f t="shared" si="508"/>
        <v>1742</v>
      </c>
      <c r="M202" s="137">
        <f t="shared" si="508"/>
        <v>4004</v>
      </c>
      <c r="N202" s="136">
        <f t="shared" si="508"/>
        <v>9492</v>
      </c>
      <c r="O202" s="135"/>
      <c r="P202" s="136">
        <f t="shared" ref="P202:P206" si="509">E202+F202+P201</f>
        <v>1014</v>
      </c>
      <c r="Q202" s="136">
        <f t="shared" ref="Q202:S202" si="510">G202+Q201</f>
        <v>7447</v>
      </c>
      <c r="R202" s="137">
        <f t="shared" si="510"/>
        <v>13061</v>
      </c>
      <c r="S202" s="136">
        <f t="shared" si="510"/>
        <v>21522</v>
      </c>
      <c r="T202" s="139"/>
      <c r="U202" s="140">
        <f t="shared" ref="U202:X202" si="511">P202/K202</f>
        <v>0.26754617414248022</v>
      </c>
      <c r="V202" s="140">
        <f t="shared" si="511"/>
        <v>4.2749712973593574</v>
      </c>
      <c r="W202" s="141">
        <f t="shared" si="511"/>
        <v>3.261988011988012</v>
      </c>
      <c r="X202" s="140">
        <f t="shared" si="511"/>
        <v>2.2673830594184579</v>
      </c>
      <c r="Y202" s="142"/>
      <c r="Z202" s="143"/>
      <c r="AA202" s="154"/>
      <c r="AB202" s="136" t="s">
        <v>1566</v>
      </c>
      <c r="AC202" s="128" t="s">
        <v>1566</v>
      </c>
      <c r="AD202" s="135"/>
      <c r="AE202" s="127"/>
      <c r="AF202" s="127"/>
      <c r="AG202" s="130"/>
      <c r="AH202" s="130" t="str">
        <f t="shared" si="118"/>
        <v xml:space="preserve"> </v>
      </c>
      <c r="AI202" s="130" t="str">
        <f t="shared" si="119"/>
        <v xml:space="preserve"> </v>
      </c>
      <c r="AJ202" s="130">
        <f t="shared" si="120"/>
        <v>433</v>
      </c>
      <c r="AK202" s="128" t="str">
        <f t="shared" si="121"/>
        <v xml:space="preserve"> </v>
      </c>
      <c r="AL202" s="128" t="str">
        <f t="shared" si="122"/>
        <v xml:space="preserve"> </v>
      </c>
      <c r="AM202" s="128" t="str">
        <f t="shared" si="123"/>
        <v xml:space="preserve"> </v>
      </c>
      <c r="AN202" s="130" t="str">
        <f t="shared" si="124"/>
        <v xml:space="preserve"> </v>
      </c>
      <c r="AO202" s="130"/>
      <c r="AP202" s="130"/>
    </row>
    <row r="203" spans="1:42">
      <c r="A203" s="131" t="s">
        <v>169</v>
      </c>
      <c r="B203" s="132">
        <v>8</v>
      </c>
      <c r="C203" s="118" t="s">
        <v>140</v>
      </c>
      <c r="D203" s="118">
        <v>2016</v>
      </c>
      <c r="E203" s="133">
        <v>1090</v>
      </c>
      <c r="F203" s="133">
        <v>417</v>
      </c>
      <c r="G203" s="133">
        <v>4945</v>
      </c>
      <c r="H203" s="134">
        <v>8289</v>
      </c>
      <c r="I203" s="133">
        <f t="shared" si="507"/>
        <v>14741</v>
      </c>
      <c r="J203" s="135"/>
      <c r="K203" s="136">
        <f t="shared" ref="K203:N203" si="512">K201*3</f>
        <v>5685</v>
      </c>
      <c r="L203" s="136">
        <f t="shared" si="512"/>
        <v>2613</v>
      </c>
      <c r="M203" s="137">
        <f t="shared" si="512"/>
        <v>6006</v>
      </c>
      <c r="N203" s="136">
        <f t="shared" si="512"/>
        <v>14238</v>
      </c>
      <c r="O203" s="135"/>
      <c r="P203" s="136">
        <f t="shared" si="509"/>
        <v>2521</v>
      </c>
      <c r="Q203" s="136">
        <f t="shared" ref="Q203:S203" si="513">G203+Q202</f>
        <v>12392</v>
      </c>
      <c r="R203" s="137">
        <f t="shared" si="513"/>
        <v>21350</v>
      </c>
      <c r="S203" s="136">
        <f t="shared" si="513"/>
        <v>36263</v>
      </c>
      <c r="T203" s="139"/>
      <c r="U203" s="140">
        <f t="shared" ref="U203:X203" si="514">P203/K203</f>
        <v>0.44344766930518908</v>
      </c>
      <c r="V203" s="140">
        <f t="shared" si="514"/>
        <v>4.742441637964026</v>
      </c>
      <c r="W203" s="141">
        <f t="shared" si="514"/>
        <v>3.5547785547785549</v>
      </c>
      <c r="X203" s="140">
        <f t="shared" si="514"/>
        <v>2.5469167017839585</v>
      </c>
      <c r="Y203" s="142"/>
      <c r="Z203" s="143"/>
      <c r="AA203" s="154"/>
      <c r="AB203" s="136" t="s">
        <v>1566</v>
      </c>
      <c r="AC203" s="128" t="s">
        <v>1566</v>
      </c>
      <c r="AD203" s="135"/>
      <c r="AE203" s="127" t="s">
        <v>1566</v>
      </c>
      <c r="AF203" s="127"/>
      <c r="AG203" s="130"/>
      <c r="AH203" s="130" t="str">
        <f t="shared" si="118"/>
        <v xml:space="preserve"> </v>
      </c>
      <c r="AI203" s="130" t="str">
        <f t="shared" si="119"/>
        <v xml:space="preserve"> </v>
      </c>
      <c r="AJ203" s="144" t="str">
        <f t="shared" si="120"/>
        <v xml:space="preserve"> </v>
      </c>
      <c r="AK203" s="128">
        <f t="shared" si="121"/>
        <v>1507</v>
      </c>
      <c r="AL203" s="128" t="str">
        <f t="shared" si="122"/>
        <v xml:space="preserve"> </v>
      </c>
      <c r="AM203" s="128" t="str">
        <f t="shared" si="123"/>
        <v xml:space="preserve"> </v>
      </c>
      <c r="AN203" s="130" t="str">
        <f t="shared" si="124"/>
        <v xml:space="preserve"> </v>
      </c>
      <c r="AO203" s="130"/>
      <c r="AP203" s="130"/>
    </row>
    <row r="204" spans="1:42">
      <c r="A204" s="131" t="s">
        <v>169</v>
      </c>
      <c r="B204" s="132">
        <v>8</v>
      </c>
      <c r="C204" s="118" t="s">
        <v>140</v>
      </c>
      <c r="D204" s="118">
        <v>2017</v>
      </c>
      <c r="E204" s="133">
        <v>165</v>
      </c>
      <c r="F204" s="133">
        <v>103</v>
      </c>
      <c r="G204" s="133">
        <v>2391</v>
      </c>
      <c r="H204" s="134">
        <v>9257</v>
      </c>
      <c r="I204" s="133">
        <f t="shared" si="507"/>
        <v>11916</v>
      </c>
      <c r="J204" s="135"/>
      <c r="K204" s="136">
        <f t="shared" ref="K204:N204" si="515">K201*4</f>
        <v>7580</v>
      </c>
      <c r="L204" s="136">
        <f t="shared" si="515"/>
        <v>3484</v>
      </c>
      <c r="M204" s="137">
        <f t="shared" si="515"/>
        <v>8008</v>
      </c>
      <c r="N204" s="136">
        <f t="shared" si="515"/>
        <v>18984</v>
      </c>
      <c r="O204" s="135"/>
      <c r="P204" s="136">
        <f t="shared" si="509"/>
        <v>2789</v>
      </c>
      <c r="Q204" s="136">
        <f t="shared" ref="Q204:S204" si="516">G204+Q203</f>
        <v>14783</v>
      </c>
      <c r="R204" s="137">
        <f t="shared" si="516"/>
        <v>30607</v>
      </c>
      <c r="S204" s="136">
        <f t="shared" si="516"/>
        <v>48179</v>
      </c>
      <c r="T204" s="139"/>
      <c r="U204" s="140">
        <f t="shared" ref="U204:X204" si="517">P204/K204</f>
        <v>0.36794195250659628</v>
      </c>
      <c r="V204" s="140">
        <f t="shared" si="517"/>
        <v>4.243111366245695</v>
      </c>
      <c r="W204" s="141">
        <f t="shared" si="517"/>
        <v>3.822052947052947</v>
      </c>
      <c r="X204" s="140">
        <f t="shared" si="517"/>
        <v>2.5378739991571848</v>
      </c>
      <c r="Y204" s="142"/>
      <c r="Z204" s="143"/>
      <c r="AA204" s="154"/>
      <c r="AB204" s="136" t="s">
        <v>1566</v>
      </c>
      <c r="AC204" s="128" t="s">
        <v>1566</v>
      </c>
      <c r="AD204" s="135"/>
      <c r="AE204" s="127" t="s">
        <v>1566</v>
      </c>
      <c r="AF204" s="127"/>
      <c r="AG204" s="130"/>
      <c r="AH204" s="130" t="str">
        <f t="shared" si="118"/>
        <v xml:space="preserve"> </v>
      </c>
      <c r="AI204" s="130" t="str">
        <f t="shared" si="119"/>
        <v xml:space="preserve"> </v>
      </c>
      <c r="AJ204" s="144" t="str">
        <f t="shared" si="120"/>
        <v xml:space="preserve"> </v>
      </c>
      <c r="AK204" s="128" t="str">
        <f t="shared" si="121"/>
        <v xml:space="preserve"> </v>
      </c>
      <c r="AL204" s="128">
        <f t="shared" si="122"/>
        <v>268</v>
      </c>
      <c r="AM204" s="128" t="str">
        <f t="shared" si="123"/>
        <v xml:space="preserve"> </v>
      </c>
      <c r="AN204" s="130" t="str">
        <f t="shared" si="124"/>
        <v xml:space="preserve"> </v>
      </c>
      <c r="AO204" s="130"/>
      <c r="AP204" s="130"/>
    </row>
    <row r="205" spans="1:42">
      <c r="A205" s="131" t="s">
        <v>169</v>
      </c>
      <c r="B205" s="132">
        <v>8</v>
      </c>
      <c r="C205" s="118" t="s">
        <v>140</v>
      </c>
      <c r="D205" s="118">
        <v>2018</v>
      </c>
      <c r="E205" s="133">
        <v>263</v>
      </c>
      <c r="F205" s="133">
        <v>432</v>
      </c>
      <c r="G205" s="133">
        <v>100</v>
      </c>
      <c r="H205" s="134">
        <v>7250</v>
      </c>
      <c r="I205" s="133">
        <f t="shared" si="507"/>
        <v>8045</v>
      </c>
      <c r="J205" s="135"/>
      <c r="K205" s="136">
        <f t="shared" ref="K205:N205" si="518">K201*5</f>
        <v>9475</v>
      </c>
      <c r="L205" s="136">
        <f t="shared" si="518"/>
        <v>4355</v>
      </c>
      <c r="M205" s="137">
        <f t="shared" si="518"/>
        <v>10010</v>
      </c>
      <c r="N205" s="136">
        <f t="shared" si="518"/>
        <v>23730</v>
      </c>
      <c r="O205" s="135"/>
      <c r="P205" s="136">
        <f t="shared" si="509"/>
        <v>3484</v>
      </c>
      <c r="Q205" s="136">
        <f t="shared" ref="Q205:S205" si="519">G205+Q204</f>
        <v>14883</v>
      </c>
      <c r="R205" s="137">
        <f t="shared" si="519"/>
        <v>37857</v>
      </c>
      <c r="S205" s="136">
        <f t="shared" si="519"/>
        <v>56224</v>
      </c>
      <c r="T205" s="139"/>
      <c r="U205" s="140">
        <f t="shared" ref="U205:X205" si="520">P205/K205</f>
        <v>0.36770448548812668</v>
      </c>
      <c r="V205" s="140">
        <f t="shared" si="520"/>
        <v>3.4174512055109072</v>
      </c>
      <c r="W205" s="141">
        <f t="shared" si="520"/>
        <v>3.7819180819180818</v>
      </c>
      <c r="X205" s="140">
        <f t="shared" si="520"/>
        <v>2.369321533923304</v>
      </c>
      <c r="Y205" s="142"/>
      <c r="Z205" s="143"/>
      <c r="AA205" s="154"/>
      <c r="AB205" s="136" t="s">
        <v>1566</v>
      </c>
      <c r="AC205" s="128" t="s">
        <v>1566</v>
      </c>
      <c r="AD205" s="135"/>
      <c r="AE205" s="127" t="s">
        <v>1566</v>
      </c>
      <c r="AF205" s="127"/>
      <c r="AG205" s="130"/>
      <c r="AH205" s="130" t="str">
        <f t="shared" si="118"/>
        <v xml:space="preserve"> </v>
      </c>
      <c r="AI205" s="130" t="str">
        <f t="shared" si="119"/>
        <v xml:space="preserve"> </v>
      </c>
      <c r="AJ205" s="144" t="str">
        <f t="shared" si="120"/>
        <v xml:space="preserve"> </v>
      </c>
      <c r="AK205" s="128" t="str">
        <f t="shared" si="121"/>
        <v xml:space="preserve"> </v>
      </c>
      <c r="AL205" s="128" t="str">
        <f t="shared" si="122"/>
        <v xml:space="preserve"> </v>
      </c>
      <c r="AM205" s="128">
        <f t="shared" si="123"/>
        <v>695</v>
      </c>
      <c r="AN205" s="130" t="str">
        <f t="shared" si="124"/>
        <v xml:space="preserve"> </v>
      </c>
      <c r="AO205" s="130"/>
      <c r="AP205" s="130"/>
    </row>
    <row r="206" spans="1:42">
      <c r="A206" s="131" t="s">
        <v>169</v>
      </c>
      <c r="B206" s="132">
        <v>8</v>
      </c>
      <c r="C206" s="118" t="s">
        <v>140</v>
      </c>
      <c r="D206" s="118">
        <v>2019</v>
      </c>
      <c r="E206" s="133">
        <v>417</v>
      </c>
      <c r="F206" s="133">
        <v>225</v>
      </c>
      <c r="G206" s="133">
        <v>790</v>
      </c>
      <c r="H206" s="134">
        <v>7862</v>
      </c>
      <c r="I206" s="133">
        <f t="shared" si="507"/>
        <v>9294</v>
      </c>
      <c r="J206" s="135"/>
      <c r="K206" s="136">
        <f t="shared" ref="K206:N206" si="521">K201*6</f>
        <v>11370</v>
      </c>
      <c r="L206" s="136">
        <f t="shared" si="521"/>
        <v>5226</v>
      </c>
      <c r="M206" s="137">
        <f t="shared" si="521"/>
        <v>12012</v>
      </c>
      <c r="N206" s="136">
        <f t="shared" si="521"/>
        <v>28476</v>
      </c>
      <c r="O206" s="135"/>
      <c r="P206" s="136">
        <f t="shared" si="509"/>
        <v>4126</v>
      </c>
      <c r="Q206" s="136">
        <f t="shared" ref="Q206:S206" si="522">G206+Q205</f>
        <v>15673</v>
      </c>
      <c r="R206" s="137">
        <f t="shared" si="522"/>
        <v>45719</v>
      </c>
      <c r="S206" s="136">
        <f t="shared" si="522"/>
        <v>65518</v>
      </c>
      <c r="T206" s="139"/>
      <c r="U206" s="140">
        <f t="shared" ref="U206:X206" si="523">P206/K206</f>
        <v>0.36288478452066841</v>
      </c>
      <c r="V206" s="140">
        <f t="shared" si="523"/>
        <v>2.9990432453119018</v>
      </c>
      <c r="W206" s="141">
        <f t="shared" si="523"/>
        <v>3.8061105561105562</v>
      </c>
      <c r="X206" s="140">
        <f t="shared" si="523"/>
        <v>2.3008147211687033</v>
      </c>
      <c r="Y206" s="146" t="s">
        <v>169</v>
      </c>
      <c r="Z206" s="143"/>
      <c r="AA206" s="155">
        <v>37966</v>
      </c>
      <c r="AB206" s="136">
        <v>28476</v>
      </c>
      <c r="AC206" s="128">
        <v>65518</v>
      </c>
      <c r="AD206" s="135"/>
      <c r="AE206" s="127">
        <f>N201</f>
        <v>4746</v>
      </c>
      <c r="AF206" s="127"/>
      <c r="AG206" s="130"/>
      <c r="AH206" s="130" t="str">
        <f t="shared" si="118"/>
        <v xml:space="preserve"> </v>
      </c>
      <c r="AI206" s="130" t="str">
        <f t="shared" si="119"/>
        <v xml:space="preserve"> </v>
      </c>
      <c r="AJ206" s="144" t="str">
        <f t="shared" si="120"/>
        <v xml:space="preserve"> </v>
      </c>
      <c r="AK206" s="128" t="str">
        <f t="shared" si="121"/>
        <v xml:space="preserve"> </v>
      </c>
      <c r="AL206" s="128" t="str">
        <f t="shared" si="122"/>
        <v xml:space="preserve"> </v>
      </c>
      <c r="AM206" s="128" t="str">
        <f t="shared" si="123"/>
        <v xml:space="preserve"> </v>
      </c>
      <c r="AN206" s="130">
        <f t="shared" si="124"/>
        <v>642</v>
      </c>
      <c r="AO206" s="130"/>
      <c r="AP206" s="130"/>
    </row>
    <row r="207" spans="1:42">
      <c r="A207" s="131"/>
      <c r="B207" s="132"/>
      <c r="C207" s="118"/>
      <c r="D207" s="118"/>
      <c r="E207" s="133"/>
      <c r="F207" s="133"/>
      <c r="G207" s="133"/>
      <c r="H207" s="134"/>
      <c r="I207" s="133"/>
      <c r="J207" s="135"/>
      <c r="K207" s="136"/>
      <c r="L207" s="136"/>
      <c r="M207" s="137"/>
      <c r="N207" s="136"/>
      <c r="O207" s="135"/>
      <c r="P207" s="136"/>
      <c r="Q207" s="136"/>
      <c r="R207" s="137"/>
      <c r="S207" s="136"/>
      <c r="T207" s="139"/>
      <c r="U207" s="140"/>
      <c r="V207" s="140"/>
      <c r="W207" s="141"/>
      <c r="X207" s="140"/>
      <c r="Y207" s="142"/>
      <c r="Z207" s="143"/>
      <c r="AA207" s="138"/>
      <c r="AB207" s="136"/>
      <c r="AC207" s="128"/>
      <c r="AD207" s="135"/>
      <c r="AE207" s="127"/>
      <c r="AF207" s="127"/>
      <c r="AG207" s="130"/>
      <c r="AH207" s="130" t="str">
        <f t="shared" si="118"/>
        <v xml:space="preserve"> </v>
      </c>
      <c r="AI207" s="130" t="str">
        <f t="shared" si="119"/>
        <v xml:space="preserve"> </v>
      </c>
      <c r="AJ207" s="144" t="str">
        <f t="shared" si="120"/>
        <v xml:space="preserve"> </v>
      </c>
      <c r="AK207" s="128" t="str">
        <f t="shared" si="121"/>
        <v xml:space="preserve"> </v>
      </c>
      <c r="AL207" s="128" t="str">
        <f t="shared" si="122"/>
        <v xml:space="preserve"> </v>
      </c>
      <c r="AM207" s="128" t="str">
        <f t="shared" si="123"/>
        <v xml:space="preserve"> </v>
      </c>
      <c r="AN207" s="130" t="str">
        <f t="shared" si="124"/>
        <v xml:space="preserve"> </v>
      </c>
      <c r="AO207" s="130"/>
      <c r="AP207" s="130"/>
    </row>
    <row r="208" spans="1:42">
      <c r="A208" s="131" t="s">
        <v>170</v>
      </c>
      <c r="B208" s="132">
        <v>8</v>
      </c>
      <c r="C208" s="118" t="s">
        <v>140</v>
      </c>
      <c r="D208" s="118">
        <v>2013</v>
      </c>
      <c r="E208" s="133">
        <v>0</v>
      </c>
      <c r="F208" s="133">
        <v>18</v>
      </c>
      <c r="G208" s="133">
        <v>146</v>
      </c>
      <c r="H208" s="134">
        <v>881</v>
      </c>
      <c r="I208" s="133">
        <f>E208+F208+G208+H208</f>
        <v>1045</v>
      </c>
      <c r="J208" s="135"/>
      <c r="K208" s="136"/>
      <c r="L208" s="136"/>
      <c r="M208" s="137"/>
      <c r="N208" s="136"/>
      <c r="O208" s="135"/>
      <c r="P208" s="136">
        <f>E208+F208</f>
        <v>18</v>
      </c>
      <c r="Q208" s="136">
        <f t="shared" ref="Q208:S208" si="524">G208</f>
        <v>146</v>
      </c>
      <c r="R208" s="137">
        <f t="shared" si="524"/>
        <v>881</v>
      </c>
      <c r="S208" s="136">
        <f t="shared" si="524"/>
        <v>1045</v>
      </c>
      <c r="T208" s="139"/>
      <c r="U208" s="140">
        <f t="shared" ref="U208:X208" si="525">P208/K209</f>
        <v>1.4729950900163666E-2</v>
      </c>
      <c r="V208" s="140">
        <f t="shared" si="525"/>
        <v>0.29025844930417494</v>
      </c>
      <c r="W208" s="141">
        <f t="shared" si="525"/>
        <v>0.90081799591002043</v>
      </c>
      <c r="X208" s="140">
        <f t="shared" si="525"/>
        <v>0.38660747317795041</v>
      </c>
      <c r="Y208" s="142"/>
      <c r="Z208" s="143"/>
      <c r="AA208" s="136"/>
      <c r="AB208" s="136" t="s">
        <v>1566</v>
      </c>
      <c r="AC208" s="128" t="s">
        <v>1566</v>
      </c>
      <c r="AD208" s="135"/>
      <c r="AE208" s="127" t="s">
        <v>1566</v>
      </c>
      <c r="AF208" s="127"/>
      <c r="AG208" s="130"/>
      <c r="AH208" s="130">
        <f t="shared" si="118"/>
        <v>18</v>
      </c>
      <c r="AI208" s="130" t="str">
        <f t="shared" si="119"/>
        <v xml:space="preserve"> </v>
      </c>
      <c r="AJ208" s="144" t="str">
        <f t="shared" si="120"/>
        <v xml:space="preserve"> </v>
      </c>
      <c r="AK208" s="128" t="str">
        <f t="shared" si="121"/>
        <v xml:space="preserve"> </v>
      </c>
      <c r="AL208" s="128" t="str">
        <f t="shared" si="122"/>
        <v xml:space="preserve"> </v>
      </c>
      <c r="AM208" s="128" t="str">
        <f t="shared" si="123"/>
        <v xml:space="preserve"> </v>
      </c>
      <c r="AN208" s="130" t="str">
        <f t="shared" si="124"/>
        <v xml:space="preserve"> </v>
      </c>
      <c r="AO208" s="130"/>
      <c r="AP208" s="130"/>
    </row>
    <row r="209" spans="1:42">
      <c r="A209" s="131" t="s">
        <v>170</v>
      </c>
      <c r="B209" s="132">
        <v>8</v>
      </c>
      <c r="C209" s="118" t="s">
        <v>140</v>
      </c>
      <c r="D209" s="118">
        <v>2014</v>
      </c>
      <c r="E209" s="133">
        <v>9</v>
      </c>
      <c r="F209" s="133">
        <v>31</v>
      </c>
      <c r="G209" s="133">
        <v>475</v>
      </c>
      <c r="H209" s="134">
        <v>1318</v>
      </c>
      <c r="I209" s="133">
        <v>1833</v>
      </c>
      <c r="J209" s="135"/>
      <c r="K209" s="136">
        <v>1222</v>
      </c>
      <c r="L209" s="136">
        <f>ROUND('HCD Assigned 5th Cycle RHNA'!F378/B209,0)</f>
        <v>503</v>
      </c>
      <c r="M209" s="156">
        <v>978</v>
      </c>
      <c r="N209" s="136">
        <v>2703</v>
      </c>
      <c r="O209" s="135"/>
      <c r="P209" s="136">
        <f t="shared" ref="P209:P214" si="526">E209+F209+P208</f>
        <v>58</v>
      </c>
      <c r="Q209" s="136">
        <f t="shared" ref="Q209:S209" si="527">G209+Q208</f>
        <v>621</v>
      </c>
      <c r="R209" s="137">
        <f t="shared" si="527"/>
        <v>2199</v>
      </c>
      <c r="S209" s="136">
        <f t="shared" si="527"/>
        <v>2878</v>
      </c>
      <c r="T209" s="139"/>
      <c r="U209" s="140">
        <f t="shared" ref="U209:X209" si="528">P209/K209</f>
        <v>4.7463175122749592E-2</v>
      </c>
      <c r="V209" s="140">
        <f t="shared" si="528"/>
        <v>1.2345924453280319</v>
      </c>
      <c r="W209" s="141">
        <f t="shared" si="528"/>
        <v>2.2484662576687118</v>
      </c>
      <c r="X209" s="140">
        <f t="shared" si="528"/>
        <v>1.0647428782833888</v>
      </c>
      <c r="Y209" s="142"/>
      <c r="Z209" s="143"/>
      <c r="AA209" s="136"/>
      <c r="AB209" s="136" t="s">
        <v>1566</v>
      </c>
      <c r="AC209" s="128" t="s">
        <v>1566</v>
      </c>
      <c r="AD209" s="135"/>
      <c r="AE209" s="127" t="s">
        <v>1566</v>
      </c>
      <c r="AF209" s="127"/>
      <c r="AG209" s="130"/>
      <c r="AH209" s="130" t="str">
        <f t="shared" si="118"/>
        <v xml:space="preserve"> </v>
      </c>
      <c r="AI209" s="130">
        <f t="shared" si="119"/>
        <v>40</v>
      </c>
      <c r="AJ209" s="144" t="str">
        <f t="shared" si="120"/>
        <v xml:space="preserve"> </v>
      </c>
      <c r="AK209" s="128" t="str">
        <f t="shared" si="121"/>
        <v xml:space="preserve"> </v>
      </c>
      <c r="AL209" s="128" t="str">
        <f t="shared" si="122"/>
        <v xml:space="preserve"> </v>
      </c>
      <c r="AM209" s="128" t="str">
        <f t="shared" si="123"/>
        <v xml:space="preserve"> </v>
      </c>
      <c r="AN209" s="130" t="str">
        <f t="shared" si="124"/>
        <v xml:space="preserve"> </v>
      </c>
      <c r="AO209" s="130"/>
      <c r="AP209" s="130"/>
    </row>
    <row r="210" spans="1:42">
      <c r="A210" s="131" t="s">
        <v>170</v>
      </c>
      <c r="B210" s="132">
        <v>8</v>
      </c>
      <c r="C210" s="118" t="s">
        <v>140</v>
      </c>
      <c r="D210" s="118">
        <v>2015</v>
      </c>
      <c r="E210" s="133">
        <v>0</v>
      </c>
      <c r="F210" s="133">
        <v>16</v>
      </c>
      <c r="G210" s="133">
        <v>763</v>
      </c>
      <c r="H210" s="134">
        <v>1382</v>
      </c>
      <c r="I210" s="133">
        <v>2161</v>
      </c>
      <c r="J210" s="135"/>
      <c r="K210" s="136">
        <f t="shared" ref="K210:N210" si="529">K209*2</f>
        <v>2444</v>
      </c>
      <c r="L210" s="136">
        <f t="shared" si="529"/>
        <v>1006</v>
      </c>
      <c r="M210" s="137">
        <f t="shared" si="529"/>
        <v>1956</v>
      </c>
      <c r="N210" s="136">
        <f t="shared" si="529"/>
        <v>5406</v>
      </c>
      <c r="O210" s="135"/>
      <c r="P210" s="136">
        <f t="shared" si="526"/>
        <v>74</v>
      </c>
      <c r="Q210" s="136">
        <f t="shared" ref="Q210:S210" si="530">G210+Q209</f>
        <v>1384</v>
      </c>
      <c r="R210" s="137">
        <f t="shared" si="530"/>
        <v>3581</v>
      </c>
      <c r="S210" s="136">
        <f t="shared" si="530"/>
        <v>5039</v>
      </c>
      <c r="T210" s="139"/>
      <c r="U210" s="140">
        <f t="shared" ref="U210:X210" si="531">P210/K210</f>
        <v>3.0278232405891982E-2</v>
      </c>
      <c r="V210" s="140">
        <f t="shared" si="531"/>
        <v>1.3757455268389662</v>
      </c>
      <c r="W210" s="141">
        <f t="shared" si="531"/>
        <v>1.8307770961145193</v>
      </c>
      <c r="X210" s="140">
        <f t="shared" si="531"/>
        <v>0.93211246762856081</v>
      </c>
      <c r="Y210" s="142"/>
      <c r="Z210" s="143"/>
      <c r="AA210" s="136"/>
      <c r="AB210" s="136" t="s">
        <v>1566</v>
      </c>
      <c r="AC210" s="128" t="s">
        <v>1566</v>
      </c>
      <c r="AD210" s="135"/>
      <c r="AE210" s="127"/>
      <c r="AF210" s="127"/>
      <c r="AG210" s="130"/>
      <c r="AH210" s="130" t="str">
        <f t="shared" si="118"/>
        <v xml:space="preserve"> </v>
      </c>
      <c r="AI210" s="130" t="str">
        <f t="shared" si="119"/>
        <v xml:space="preserve"> </v>
      </c>
      <c r="AJ210" s="130">
        <f t="shared" si="120"/>
        <v>16</v>
      </c>
      <c r="AK210" s="128" t="str">
        <f t="shared" si="121"/>
        <v xml:space="preserve"> </v>
      </c>
      <c r="AL210" s="128" t="str">
        <f t="shared" si="122"/>
        <v xml:space="preserve"> </v>
      </c>
      <c r="AM210" s="128" t="str">
        <f t="shared" si="123"/>
        <v xml:space="preserve"> </v>
      </c>
      <c r="AN210" s="130" t="str">
        <f t="shared" si="124"/>
        <v xml:space="preserve"> </v>
      </c>
      <c r="AO210" s="130"/>
      <c r="AP210" s="130"/>
    </row>
    <row r="211" spans="1:42">
      <c r="A211" s="131" t="s">
        <v>170</v>
      </c>
      <c r="B211" s="132">
        <v>8</v>
      </c>
      <c r="C211" s="118" t="s">
        <v>140</v>
      </c>
      <c r="D211" s="118">
        <v>2016</v>
      </c>
      <c r="E211" s="133">
        <v>78</v>
      </c>
      <c r="F211" s="133">
        <v>46</v>
      </c>
      <c r="G211" s="133">
        <v>424</v>
      </c>
      <c r="H211" s="134">
        <v>1500</v>
      </c>
      <c r="I211" s="133">
        <v>2048</v>
      </c>
      <c r="J211" s="135"/>
      <c r="K211" s="136">
        <f t="shared" ref="K211:N211" si="532">K209*3</f>
        <v>3666</v>
      </c>
      <c r="L211" s="136">
        <f t="shared" si="532"/>
        <v>1509</v>
      </c>
      <c r="M211" s="137">
        <f t="shared" si="532"/>
        <v>2934</v>
      </c>
      <c r="N211" s="136">
        <f t="shared" si="532"/>
        <v>8109</v>
      </c>
      <c r="O211" s="135"/>
      <c r="P211" s="136">
        <f t="shared" si="526"/>
        <v>198</v>
      </c>
      <c r="Q211" s="136">
        <f t="shared" ref="Q211:S211" si="533">G211+Q210</f>
        <v>1808</v>
      </c>
      <c r="R211" s="137">
        <f t="shared" si="533"/>
        <v>5081</v>
      </c>
      <c r="S211" s="136">
        <f t="shared" si="533"/>
        <v>7087</v>
      </c>
      <c r="T211" s="139"/>
      <c r="U211" s="140">
        <f t="shared" ref="U211:X211" si="534">P211/K211</f>
        <v>5.4009819967266774E-2</v>
      </c>
      <c r="V211" s="140">
        <f t="shared" si="534"/>
        <v>1.1981444665341285</v>
      </c>
      <c r="W211" s="141">
        <f t="shared" si="534"/>
        <v>1.7317655078391274</v>
      </c>
      <c r="X211" s="140">
        <f t="shared" si="534"/>
        <v>0.8739671969416698</v>
      </c>
      <c r="Y211" s="142"/>
      <c r="Z211" s="143"/>
      <c r="AA211" s="136"/>
      <c r="AB211" s="136" t="s">
        <v>1566</v>
      </c>
      <c r="AC211" s="128" t="s">
        <v>1566</v>
      </c>
      <c r="AD211" s="135"/>
      <c r="AE211" s="127" t="s">
        <v>1566</v>
      </c>
      <c r="AF211" s="127"/>
      <c r="AG211" s="130"/>
      <c r="AH211" s="130" t="str">
        <f t="shared" si="118"/>
        <v xml:space="preserve"> </v>
      </c>
      <c r="AI211" s="130" t="str">
        <f t="shared" si="119"/>
        <v xml:space="preserve"> </v>
      </c>
      <c r="AJ211" s="144" t="str">
        <f t="shared" si="120"/>
        <v xml:space="preserve"> </v>
      </c>
      <c r="AK211" s="128">
        <f t="shared" si="121"/>
        <v>124</v>
      </c>
      <c r="AL211" s="128" t="str">
        <f t="shared" si="122"/>
        <v xml:space="preserve"> </v>
      </c>
      <c r="AM211" s="128" t="str">
        <f t="shared" si="123"/>
        <v xml:space="preserve"> </v>
      </c>
      <c r="AN211" s="130" t="str">
        <f t="shared" si="124"/>
        <v xml:space="preserve"> </v>
      </c>
      <c r="AO211" s="130"/>
      <c r="AP211" s="130"/>
    </row>
    <row r="212" spans="1:42">
      <c r="A212" s="131" t="s">
        <v>170</v>
      </c>
      <c r="B212" s="132">
        <v>8</v>
      </c>
      <c r="C212" s="118" t="s">
        <v>140</v>
      </c>
      <c r="D212" s="118">
        <v>2017</v>
      </c>
      <c r="E212" s="133">
        <v>43</v>
      </c>
      <c r="F212" s="133">
        <v>3</v>
      </c>
      <c r="G212" s="133">
        <v>1258</v>
      </c>
      <c r="H212" s="134">
        <v>1821</v>
      </c>
      <c r="I212" s="133">
        <v>3125</v>
      </c>
      <c r="J212" s="135"/>
      <c r="K212" s="136">
        <f t="shared" ref="K212:N212" si="535">K209*4</f>
        <v>4888</v>
      </c>
      <c r="L212" s="136">
        <f t="shared" si="535"/>
        <v>2012</v>
      </c>
      <c r="M212" s="137">
        <f t="shared" si="535"/>
        <v>3912</v>
      </c>
      <c r="N212" s="136">
        <f t="shared" si="535"/>
        <v>10812</v>
      </c>
      <c r="O212" s="135"/>
      <c r="P212" s="136">
        <f t="shared" si="526"/>
        <v>244</v>
      </c>
      <c r="Q212" s="136">
        <f t="shared" ref="Q212:S212" si="536">G212+Q211</f>
        <v>3066</v>
      </c>
      <c r="R212" s="137">
        <f t="shared" si="536"/>
        <v>6902</v>
      </c>
      <c r="S212" s="136">
        <f t="shared" si="536"/>
        <v>10212</v>
      </c>
      <c r="T212" s="139"/>
      <c r="U212" s="140">
        <f t="shared" ref="U212:X212" si="537">P212/K212</f>
        <v>4.9918166939443537E-2</v>
      </c>
      <c r="V212" s="140">
        <f t="shared" si="537"/>
        <v>1.5238568588469186</v>
      </c>
      <c r="W212" s="141">
        <f t="shared" si="537"/>
        <v>1.7643149284253579</v>
      </c>
      <c r="X212" s="140">
        <f t="shared" si="537"/>
        <v>0.94450610432852389</v>
      </c>
      <c r="Y212" s="142"/>
      <c r="Z212" s="143"/>
      <c r="AA212" s="136"/>
      <c r="AB212" s="136" t="s">
        <v>1566</v>
      </c>
      <c r="AC212" s="128" t="s">
        <v>1566</v>
      </c>
      <c r="AD212" s="135"/>
      <c r="AE212" s="127" t="s">
        <v>1566</v>
      </c>
      <c r="AF212" s="127"/>
      <c r="AG212" s="130"/>
      <c r="AH212" s="130" t="str">
        <f t="shared" si="118"/>
        <v xml:space="preserve"> </v>
      </c>
      <c r="AI212" s="130" t="str">
        <f t="shared" si="119"/>
        <v xml:space="preserve"> </v>
      </c>
      <c r="AJ212" s="144" t="str">
        <f t="shared" si="120"/>
        <v xml:space="preserve"> </v>
      </c>
      <c r="AK212" s="128" t="str">
        <f t="shared" si="121"/>
        <v xml:space="preserve"> </v>
      </c>
      <c r="AL212" s="128">
        <f t="shared" si="122"/>
        <v>46</v>
      </c>
      <c r="AM212" s="128" t="str">
        <f t="shared" si="123"/>
        <v xml:space="preserve"> </v>
      </c>
      <c r="AN212" s="130" t="str">
        <f t="shared" si="124"/>
        <v xml:space="preserve"> </v>
      </c>
      <c r="AO212" s="130"/>
      <c r="AP212" s="130"/>
    </row>
    <row r="213" spans="1:42">
      <c r="A213" s="131" t="s">
        <v>170</v>
      </c>
      <c r="B213" s="132">
        <v>8</v>
      </c>
      <c r="C213" s="118" t="s">
        <v>140</v>
      </c>
      <c r="D213" s="118">
        <v>2018</v>
      </c>
      <c r="E213" s="133">
        <v>0</v>
      </c>
      <c r="F213" s="133">
        <v>5</v>
      </c>
      <c r="G213" s="133">
        <v>432</v>
      </c>
      <c r="H213" s="134">
        <v>1328</v>
      </c>
      <c r="I213" s="133">
        <v>1765</v>
      </c>
      <c r="J213" s="135"/>
      <c r="K213" s="136">
        <f t="shared" ref="K213:N213" si="538">K209*5</f>
        <v>6110</v>
      </c>
      <c r="L213" s="136">
        <f t="shared" si="538"/>
        <v>2515</v>
      </c>
      <c r="M213" s="137">
        <f t="shared" si="538"/>
        <v>4890</v>
      </c>
      <c r="N213" s="136">
        <f t="shared" si="538"/>
        <v>13515</v>
      </c>
      <c r="O213" s="135"/>
      <c r="P213" s="136">
        <f t="shared" si="526"/>
        <v>249</v>
      </c>
      <c r="Q213" s="136">
        <f t="shared" ref="Q213:S213" si="539">G213+Q212</f>
        <v>3498</v>
      </c>
      <c r="R213" s="137">
        <f t="shared" si="539"/>
        <v>8230</v>
      </c>
      <c r="S213" s="136">
        <f t="shared" si="539"/>
        <v>11977</v>
      </c>
      <c r="T213" s="139"/>
      <c r="U213" s="140">
        <f t="shared" ref="U213:X213" si="540">P213/K213</f>
        <v>4.0752864157119477E-2</v>
      </c>
      <c r="V213" s="140">
        <f t="shared" si="540"/>
        <v>1.3908548707753479</v>
      </c>
      <c r="W213" s="141">
        <f t="shared" si="540"/>
        <v>1.6830265848670756</v>
      </c>
      <c r="X213" s="140">
        <f t="shared" si="540"/>
        <v>0.88620051794302623</v>
      </c>
      <c r="Y213" s="142"/>
      <c r="Z213" s="143"/>
      <c r="AA213" s="136"/>
      <c r="AB213" s="136" t="s">
        <v>1566</v>
      </c>
      <c r="AC213" s="128" t="s">
        <v>1566</v>
      </c>
      <c r="AD213" s="135"/>
      <c r="AE213" s="127" t="s">
        <v>1566</v>
      </c>
      <c r="AF213" s="127"/>
      <c r="AG213" s="130"/>
      <c r="AH213" s="130" t="str">
        <f t="shared" si="118"/>
        <v xml:space="preserve"> </v>
      </c>
      <c r="AI213" s="130" t="str">
        <f t="shared" si="119"/>
        <v xml:space="preserve"> </v>
      </c>
      <c r="AJ213" s="144" t="str">
        <f t="shared" si="120"/>
        <v xml:space="preserve"> </v>
      </c>
      <c r="AK213" s="128" t="str">
        <f t="shared" si="121"/>
        <v xml:space="preserve"> </v>
      </c>
      <c r="AL213" s="128" t="str">
        <f t="shared" si="122"/>
        <v xml:space="preserve"> </v>
      </c>
      <c r="AM213" s="128">
        <f t="shared" si="123"/>
        <v>5</v>
      </c>
      <c r="AN213" s="130" t="str">
        <f t="shared" si="124"/>
        <v xml:space="preserve"> </v>
      </c>
      <c r="AO213" s="130"/>
      <c r="AP213" s="130"/>
    </row>
    <row r="214" spans="1:42">
      <c r="A214" s="131" t="s">
        <v>170</v>
      </c>
      <c r="B214" s="132">
        <v>8</v>
      </c>
      <c r="C214" s="118" t="s">
        <v>140</v>
      </c>
      <c r="D214" s="118">
        <v>2019</v>
      </c>
      <c r="E214" s="133">
        <v>45</v>
      </c>
      <c r="F214" s="133">
        <v>25</v>
      </c>
      <c r="G214" s="133">
        <v>645</v>
      </c>
      <c r="H214" s="134">
        <v>1271</v>
      </c>
      <c r="I214" s="133">
        <f>E214+F214+G214+H214</f>
        <v>1986</v>
      </c>
      <c r="J214" s="135"/>
      <c r="K214" s="136">
        <f t="shared" ref="K214:N214" si="541">K209*6</f>
        <v>7332</v>
      </c>
      <c r="L214" s="136">
        <f t="shared" si="541"/>
        <v>3018</v>
      </c>
      <c r="M214" s="137">
        <f t="shared" si="541"/>
        <v>5868</v>
      </c>
      <c r="N214" s="136">
        <f t="shared" si="541"/>
        <v>16218</v>
      </c>
      <c r="O214" s="135"/>
      <c r="P214" s="136">
        <f t="shared" si="526"/>
        <v>319</v>
      </c>
      <c r="Q214" s="136">
        <f t="shared" ref="Q214:S214" si="542">G214+Q213</f>
        <v>4143</v>
      </c>
      <c r="R214" s="137">
        <f t="shared" si="542"/>
        <v>9501</v>
      </c>
      <c r="S214" s="136">
        <f t="shared" si="542"/>
        <v>13963</v>
      </c>
      <c r="T214" s="139"/>
      <c r="U214" s="140">
        <f t="shared" ref="U214:X214" si="543">P214/K214</f>
        <v>4.3507910529187122E-2</v>
      </c>
      <c r="V214" s="140">
        <f t="shared" si="543"/>
        <v>1.3727634194831013</v>
      </c>
      <c r="W214" s="141">
        <f t="shared" si="543"/>
        <v>1.619120654396728</v>
      </c>
      <c r="X214" s="140">
        <f t="shared" si="543"/>
        <v>0.8609569614009126</v>
      </c>
      <c r="Y214" s="146" t="s">
        <v>170</v>
      </c>
      <c r="Z214" s="143"/>
      <c r="AA214" s="138">
        <v>21625</v>
      </c>
      <c r="AB214" s="136">
        <v>16218</v>
      </c>
      <c r="AC214" s="128">
        <v>13963</v>
      </c>
      <c r="AD214" s="135"/>
      <c r="AE214" s="127">
        <f>N209</f>
        <v>2703</v>
      </c>
      <c r="AF214" s="127"/>
      <c r="AG214" s="130"/>
      <c r="AH214" s="130" t="str">
        <f t="shared" si="118"/>
        <v xml:space="preserve"> </v>
      </c>
      <c r="AI214" s="130" t="str">
        <f t="shared" si="119"/>
        <v xml:space="preserve"> </v>
      </c>
      <c r="AJ214" s="144" t="str">
        <f t="shared" si="120"/>
        <v xml:space="preserve"> </v>
      </c>
      <c r="AK214" s="128" t="str">
        <f t="shared" si="121"/>
        <v xml:space="preserve"> </v>
      </c>
      <c r="AL214" s="128" t="str">
        <f t="shared" si="122"/>
        <v xml:space="preserve"> </v>
      </c>
      <c r="AM214" s="128" t="str">
        <f t="shared" si="123"/>
        <v xml:space="preserve"> </v>
      </c>
      <c r="AN214" s="130">
        <f t="shared" si="124"/>
        <v>70</v>
      </c>
      <c r="AO214" s="130"/>
      <c r="AP214" s="130"/>
    </row>
    <row r="215" spans="1:42">
      <c r="A215" s="131"/>
      <c r="B215" s="132"/>
      <c r="C215" s="118"/>
      <c r="D215" s="118"/>
      <c r="E215" s="133"/>
      <c r="F215" s="133"/>
      <c r="G215" s="133"/>
      <c r="H215" s="134"/>
      <c r="I215" s="133"/>
      <c r="J215" s="135"/>
      <c r="K215" s="136"/>
      <c r="L215" s="136"/>
      <c r="M215" s="137"/>
      <c r="N215" s="136"/>
      <c r="O215" s="135"/>
      <c r="P215" s="136"/>
      <c r="Q215" s="136"/>
      <c r="R215" s="137"/>
      <c r="S215" s="136"/>
      <c r="T215" s="139"/>
      <c r="U215" s="140"/>
      <c r="V215" s="140"/>
      <c r="W215" s="141"/>
      <c r="X215" s="140"/>
      <c r="Y215" s="142"/>
      <c r="Z215" s="143"/>
      <c r="AA215" s="136"/>
      <c r="AB215" s="136" t="s">
        <v>1566</v>
      </c>
      <c r="AC215" s="128" t="s">
        <v>1566</v>
      </c>
      <c r="AD215" s="135"/>
      <c r="AE215" s="127" t="s">
        <v>1566</v>
      </c>
      <c r="AF215" s="127"/>
      <c r="AG215" s="130"/>
      <c r="AH215" s="130" t="str">
        <f t="shared" si="118"/>
        <v xml:space="preserve"> </v>
      </c>
      <c r="AI215" s="130" t="str">
        <f t="shared" si="119"/>
        <v xml:space="preserve"> </v>
      </c>
      <c r="AJ215" s="144" t="str">
        <f t="shared" si="120"/>
        <v xml:space="preserve"> </v>
      </c>
      <c r="AK215" s="128" t="str">
        <f t="shared" si="121"/>
        <v xml:space="preserve"> </v>
      </c>
      <c r="AL215" s="128" t="str">
        <f t="shared" si="122"/>
        <v xml:space="preserve"> </v>
      </c>
      <c r="AM215" s="128" t="str">
        <f t="shared" si="123"/>
        <v xml:space="preserve"> </v>
      </c>
      <c r="AN215" s="130" t="str">
        <f t="shared" si="124"/>
        <v xml:space="preserve"> </v>
      </c>
      <c r="AO215" s="130"/>
      <c r="AP215" s="130"/>
    </row>
    <row r="216" spans="1:42">
      <c r="A216" s="131" t="s">
        <v>171</v>
      </c>
      <c r="B216" s="132">
        <v>5</v>
      </c>
      <c r="C216" s="118" t="s">
        <v>172</v>
      </c>
      <c r="D216" s="118">
        <v>2016</v>
      </c>
      <c r="E216" s="133">
        <v>0</v>
      </c>
      <c r="F216" s="133">
        <v>0</v>
      </c>
      <c r="G216" s="133">
        <v>4</v>
      </c>
      <c r="H216" s="134">
        <v>34</v>
      </c>
      <c r="I216" s="133">
        <v>38</v>
      </c>
      <c r="J216" s="135"/>
      <c r="K216" s="136">
        <v>15</v>
      </c>
      <c r="L216" s="136">
        <f>ROUND('HCD Assigned 5th Cycle RHNA'!F601/B216,0)*3</f>
        <v>9</v>
      </c>
      <c r="M216" s="137">
        <f>ROUND(30/5,0)*3</f>
        <v>18</v>
      </c>
      <c r="N216" s="136">
        <f>ROUND(70/5,0)*3</f>
        <v>42</v>
      </c>
      <c r="O216" s="135"/>
      <c r="P216" s="136">
        <f>E216+F216</f>
        <v>0</v>
      </c>
      <c r="Q216" s="136">
        <f t="shared" ref="Q216:S216" si="544">G216</f>
        <v>4</v>
      </c>
      <c r="R216" s="137">
        <f t="shared" si="544"/>
        <v>34</v>
      </c>
      <c r="S216" s="136">
        <f t="shared" si="544"/>
        <v>38</v>
      </c>
      <c r="T216" s="139"/>
      <c r="U216" s="140">
        <f t="shared" ref="U216:X216" si="545">P216/K216</f>
        <v>0</v>
      </c>
      <c r="V216" s="140">
        <f t="shared" si="545"/>
        <v>0.44444444444444442</v>
      </c>
      <c r="W216" s="141">
        <f t="shared" si="545"/>
        <v>1.8888888888888888</v>
      </c>
      <c r="X216" s="140">
        <f t="shared" si="545"/>
        <v>0.90476190476190477</v>
      </c>
      <c r="Y216" s="142"/>
      <c r="Z216" s="143"/>
      <c r="AA216" s="136"/>
      <c r="AB216" s="136" t="s">
        <v>1566</v>
      </c>
      <c r="AC216" s="128" t="s">
        <v>1566</v>
      </c>
      <c r="AD216" s="135"/>
      <c r="AE216" s="127"/>
      <c r="AF216" s="127"/>
      <c r="AG216" s="130"/>
      <c r="AH216" s="130" t="str">
        <f t="shared" si="118"/>
        <v xml:space="preserve"> </v>
      </c>
      <c r="AI216" s="130" t="str">
        <f t="shared" si="119"/>
        <v xml:space="preserve"> </v>
      </c>
      <c r="AJ216" s="144" t="str">
        <f t="shared" si="120"/>
        <v xml:space="preserve"> </v>
      </c>
      <c r="AK216" s="128">
        <f t="shared" si="121"/>
        <v>0</v>
      </c>
      <c r="AL216" s="128" t="str">
        <f t="shared" si="122"/>
        <v xml:space="preserve"> </v>
      </c>
      <c r="AM216" s="128" t="str">
        <f t="shared" si="123"/>
        <v xml:space="preserve"> </v>
      </c>
      <c r="AN216" s="130" t="str">
        <f t="shared" si="124"/>
        <v xml:space="preserve"> </v>
      </c>
      <c r="AO216" s="130"/>
      <c r="AP216" s="130"/>
    </row>
    <row r="217" spans="1:42">
      <c r="A217" s="131" t="s">
        <v>171</v>
      </c>
      <c r="B217" s="132">
        <v>5</v>
      </c>
      <c r="C217" s="118" t="s">
        <v>172</v>
      </c>
      <c r="D217" s="118">
        <v>2017</v>
      </c>
      <c r="E217" s="133">
        <v>0</v>
      </c>
      <c r="F217" s="133">
        <v>0</v>
      </c>
      <c r="G217" s="133">
        <v>15</v>
      </c>
      <c r="H217" s="134">
        <v>25</v>
      </c>
      <c r="I217" s="133">
        <v>40</v>
      </c>
      <c r="J217" s="135"/>
      <c r="K217" s="136">
        <v>20</v>
      </c>
      <c r="L217" s="136">
        <f>L216/3*4</f>
        <v>12</v>
      </c>
      <c r="M217" s="137">
        <f>ROUND(30/5,0)*4</f>
        <v>24</v>
      </c>
      <c r="N217" s="136">
        <f>ROUND(70/5,0)*4</f>
        <v>56</v>
      </c>
      <c r="O217" s="135"/>
      <c r="P217" s="136">
        <f t="shared" ref="P217:P219" si="546">E217+F217+P216</f>
        <v>0</v>
      </c>
      <c r="Q217" s="136">
        <f t="shared" ref="Q217:S217" si="547">G217+Q216</f>
        <v>19</v>
      </c>
      <c r="R217" s="137">
        <f t="shared" si="547"/>
        <v>59</v>
      </c>
      <c r="S217" s="136">
        <f t="shared" si="547"/>
        <v>78</v>
      </c>
      <c r="T217" s="139"/>
      <c r="U217" s="140">
        <f t="shared" ref="U217:X217" si="548">P217/K217</f>
        <v>0</v>
      </c>
      <c r="V217" s="140">
        <f t="shared" si="548"/>
        <v>1.5833333333333333</v>
      </c>
      <c r="W217" s="141">
        <f t="shared" si="548"/>
        <v>2.4583333333333335</v>
      </c>
      <c r="X217" s="140">
        <f t="shared" si="548"/>
        <v>1.3928571428571428</v>
      </c>
      <c r="Y217" s="142"/>
      <c r="Z217" s="143"/>
      <c r="AA217" s="136"/>
      <c r="AB217" s="136" t="s">
        <v>1566</v>
      </c>
      <c r="AC217" s="128" t="s">
        <v>1566</v>
      </c>
      <c r="AD217" s="135"/>
      <c r="AE217" s="127" t="s">
        <v>1566</v>
      </c>
      <c r="AF217" s="127"/>
      <c r="AG217" s="130"/>
      <c r="AH217" s="130" t="str">
        <f t="shared" si="118"/>
        <v xml:space="preserve"> </v>
      </c>
      <c r="AI217" s="130" t="str">
        <f t="shared" si="119"/>
        <v xml:space="preserve"> </v>
      </c>
      <c r="AJ217" s="144" t="str">
        <f t="shared" si="120"/>
        <v xml:space="preserve"> </v>
      </c>
      <c r="AK217" s="128" t="str">
        <f t="shared" si="121"/>
        <v xml:space="preserve"> </v>
      </c>
      <c r="AL217" s="128">
        <f t="shared" si="122"/>
        <v>0</v>
      </c>
      <c r="AM217" s="128" t="str">
        <f t="shared" si="123"/>
        <v xml:space="preserve"> </v>
      </c>
      <c r="AN217" s="130" t="str">
        <f t="shared" si="124"/>
        <v xml:space="preserve"> </v>
      </c>
      <c r="AO217" s="130"/>
      <c r="AP217" s="130"/>
    </row>
    <row r="218" spans="1:42">
      <c r="A218" s="131" t="s">
        <v>171</v>
      </c>
      <c r="B218" s="132">
        <v>5</v>
      </c>
      <c r="C218" s="118" t="s">
        <v>172</v>
      </c>
      <c r="D218" s="118">
        <v>2018</v>
      </c>
      <c r="E218" s="133">
        <v>0</v>
      </c>
      <c r="F218" s="133">
        <v>0</v>
      </c>
      <c r="G218" s="133">
        <v>15</v>
      </c>
      <c r="H218" s="134">
        <v>41</v>
      </c>
      <c r="I218" s="133">
        <v>56</v>
      </c>
      <c r="J218" s="135"/>
      <c r="K218" s="136">
        <v>25</v>
      </c>
      <c r="L218" s="136">
        <f>L216/3*5</f>
        <v>15</v>
      </c>
      <c r="M218" s="137">
        <f>ROUND(30/5,0)*5</f>
        <v>30</v>
      </c>
      <c r="N218" s="136">
        <f>ROUND(70/5,0)*5</f>
        <v>70</v>
      </c>
      <c r="O218" s="135"/>
      <c r="P218" s="136">
        <f t="shared" si="546"/>
        <v>0</v>
      </c>
      <c r="Q218" s="136">
        <f t="shared" ref="Q218:S218" si="549">G218+Q217</f>
        <v>34</v>
      </c>
      <c r="R218" s="137">
        <f t="shared" si="549"/>
        <v>100</v>
      </c>
      <c r="S218" s="136">
        <f t="shared" si="549"/>
        <v>134</v>
      </c>
      <c r="T218" s="139"/>
      <c r="U218" s="140">
        <f t="shared" ref="U218:X218" si="550">P218/K218</f>
        <v>0</v>
      </c>
      <c r="V218" s="140">
        <f t="shared" si="550"/>
        <v>2.2666666666666666</v>
      </c>
      <c r="W218" s="141">
        <f t="shared" si="550"/>
        <v>3.3333333333333335</v>
      </c>
      <c r="X218" s="140">
        <f t="shared" si="550"/>
        <v>1.9142857142857144</v>
      </c>
      <c r="Y218" s="142"/>
      <c r="Z218" s="143"/>
      <c r="AA218" s="136"/>
      <c r="AB218" s="136" t="s">
        <v>1566</v>
      </c>
      <c r="AC218" s="128" t="s">
        <v>1566</v>
      </c>
      <c r="AD218" s="135"/>
      <c r="AE218" s="127" t="s">
        <v>1566</v>
      </c>
      <c r="AF218" s="127"/>
      <c r="AG218" s="130"/>
      <c r="AH218" s="130" t="str">
        <f t="shared" si="118"/>
        <v xml:space="preserve"> </v>
      </c>
      <c r="AI218" s="130" t="str">
        <f t="shared" si="119"/>
        <v xml:space="preserve"> </v>
      </c>
      <c r="AJ218" s="144" t="str">
        <f t="shared" si="120"/>
        <v xml:space="preserve"> </v>
      </c>
      <c r="AK218" s="128" t="str">
        <f t="shared" si="121"/>
        <v xml:space="preserve"> </v>
      </c>
      <c r="AL218" s="128" t="str">
        <f t="shared" si="122"/>
        <v xml:space="preserve"> </v>
      </c>
      <c r="AM218" s="128">
        <f t="shared" si="123"/>
        <v>0</v>
      </c>
      <c r="AN218" s="130" t="str">
        <f t="shared" si="124"/>
        <v xml:space="preserve"> </v>
      </c>
      <c r="AO218" s="130"/>
      <c r="AP218" s="130"/>
    </row>
    <row r="219" spans="1:42">
      <c r="A219" s="131" t="s">
        <v>171</v>
      </c>
      <c r="B219" s="132">
        <v>5</v>
      </c>
      <c r="C219" s="118" t="s">
        <v>172</v>
      </c>
      <c r="D219" s="118">
        <v>2019</v>
      </c>
      <c r="E219" s="133">
        <v>0</v>
      </c>
      <c r="F219" s="133">
        <v>1</v>
      </c>
      <c r="G219" s="133">
        <v>12</v>
      </c>
      <c r="H219" s="134">
        <v>30</v>
      </c>
      <c r="I219" s="133">
        <f>E219+F219+G219+H218:H219</f>
        <v>43</v>
      </c>
      <c r="J219" s="135"/>
      <c r="K219" s="136">
        <f t="shared" ref="K219:N219" si="551">K218</f>
        <v>25</v>
      </c>
      <c r="L219" s="136">
        <f t="shared" si="551"/>
        <v>15</v>
      </c>
      <c r="M219" s="137">
        <f t="shared" si="551"/>
        <v>30</v>
      </c>
      <c r="N219" s="136">
        <f t="shared" si="551"/>
        <v>70</v>
      </c>
      <c r="O219" s="135"/>
      <c r="P219" s="136">
        <f t="shared" si="546"/>
        <v>1</v>
      </c>
      <c r="Q219" s="136">
        <f t="shared" ref="Q219:S219" si="552">G219+Q218</f>
        <v>46</v>
      </c>
      <c r="R219" s="137">
        <f t="shared" si="552"/>
        <v>130</v>
      </c>
      <c r="S219" s="136">
        <f t="shared" si="552"/>
        <v>177</v>
      </c>
      <c r="T219" s="139"/>
      <c r="U219" s="140">
        <f t="shared" ref="U219:X219" si="553">P219/K219</f>
        <v>0.04</v>
      </c>
      <c r="V219" s="140">
        <f t="shared" si="553"/>
        <v>3.0666666666666669</v>
      </c>
      <c r="W219" s="141">
        <f t="shared" si="553"/>
        <v>4.333333333333333</v>
      </c>
      <c r="X219" s="140">
        <f t="shared" si="553"/>
        <v>2.5285714285714285</v>
      </c>
      <c r="Y219" s="146" t="s">
        <v>171</v>
      </c>
      <c r="Z219" s="143"/>
      <c r="AA219" s="138">
        <v>70</v>
      </c>
      <c r="AB219" s="136">
        <v>70</v>
      </c>
      <c r="AC219" s="128">
        <v>177</v>
      </c>
      <c r="AD219" s="135"/>
      <c r="AE219" s="127">
        <f>N216</f>
        <v>42</v>
      </c>
      <c r="AF219" s="127"/>
      <c r="AG219" s="130"/>
      <c r="AH219" s="130" t="str">
        <f t="shared" si="118"/>
        <v xml:space="preserve"> </v>
      </c>
      <c r="AI219" s="130" t="str">
        <f t="shared" si="119"/>
        <v xml:space="preserve"> </v>
      </c>
      <c r="AJ219" s="144" t="str">
        <f t="shared" si="120"/>
        <v xml:space="preserve"> </v>
      </c>
      <c r="AK219" s="128" t="str">
        <f t="shared" si="121"/>
        <v xml:space="preserve"> </v>
      </c>
      <c r="AL219" s="128" t="str">
        <f t="shared" si="122"/>
        <v xml:space="preserve"> </v>
      </c>
      <c r="AM219" s="128" t="str">
        <f t="shared" si="123"/>
        <v xml:space="preserve"> </v>
      </c>
      <c r="AN219" s="130">
        <f t="shared" si="124"/>
        <v>1</v>
      </c>
      <c r="AO219" s="130"/>
      <c r="AP219" s="130"/>
    </row>
    <row r="220" spans="1:42">
      <c r="A220" s="131"/>
      <c r="B220" s="132"/>
      <c r="C220" s="118"/>
      <c r="D220" s="118"/>
      <c r="E220" s="133"/>
      <c r="F220" s="133"/>
      <c r="G220" s="133"/>
      <c r="H220" s="134"/>
      <c r="I220" s="133"/>
      <c r="J220" s="135"/>
      <c r="K220" s="136"/>
      <c r="L220" s="136"/>
      <c r="M220" s="137"/>
      <c r="N220" s="136"/>
      <c r="O220" s="135"/>
      <c r="P220" s="136"/>
      <c r="Q220" s="136"/>
      <c r="R220" s="137"/>
      <c r="S220" s="136"/>
      <c r="T220" s="139"/>
      <c r="U220" s="140"/>
      <c r="V220" s="140"/>
      <c r="W220" s="141"/>
      <c r="X220" s="140"/>
      <c r="Y220" s="142"/>
      <c r="Z220" s="143"/>
      <c r="AA220" s="136"/>
      <c r="AB220" s="136" t="s">
        <v>1566</v>
      </c>
      <c r="AC220" s="128" t="s">
        <v>1566</v>
      </c>
      <c r="AD220" s="135"/>
      <c r="AE220" s="127" t="s">
        <v>1566</v>
      </c>
      <c r="AF220" s="127"/>
      <c r="AG220" s="130"/>
      <c r="AH220" s="130" t="str">
        <f t="shared" si="118"/>
        <v xml:space="preserve"> </v>
      </c>
      <c r="AI220" s="130" t="str">
        <f t="shared" si="119"/>
        <v xml:space="preserve"> </v>
      </c>
      <c r="AJ220" s="144" t="str">
        <f t="shared" si="120"/>
        <v xml:space="preserve"> </v>
      </c>
      <c r="AK220" s="128" t="str">
        <f t="shared" si="121"/>
        <v xml:space="preserve"> </v>
      </c>
      <c r="AL220" s="128" t="str">
        <f t="shared" si="122"/>
        <v xml:space="preserve"> </v>
      </c>
      <c r="AM220" s="128" t="str">
        <f t="shared" si="123"/>
        <v xml:space="preserve"> </v>
      </c>
      <c r="AN220" s="130" t="str">
        <f t="shared" si="124"/>
        <v xml:space="preserve"> </v>
      </c>
      <c r="AO220" s="130"/>
      <c r="AP220" s="130"/>
    </row>
    <row r="221" spans="1:42">
      <c r="A221" s="131" t="s">
        <v>173</v>
      </c>
      <c r="B221" s="132">
        <v>8</v>
      </c>
      <c r="C221" s="118" t="s">
        <v>140</v>
      </c>
      <c r="D221" s="118">
        <v>2014</v>
      </c>
      <c r="E221" s="133">
        <v>592</v>
      </c>
      <c r="F221" s="133">
        <v>99</v>
      </c>
      <c r="G221" s="133">
        <v>973</v>
      </c>
      <c r="H221" s="134">
        <v>3708</v>
      </c>
      <c r="I221" s="133">
        <v>5372</v>
      </c>
      <c r="J221" s="135"/>
      <c r="K221" s="136">
        <f>ROUND((24117+16319)/8,0)</f>
        <v>5055</v>
      </c>
      <c r="L221" s="136">
        <f>ROUND('HCD Assigned 5th Cycle RHNA'!F172/B221,0)</f>
        <v>2307</v>
      </c>
      <c r="M221" s="137">
        <f>ROUND(42479/8,0)</f>
        <v>5310</v>
      </c>
      <c r="N221" s="136">
        <f>ROUND(101374/8,0)</f>
        <v>12672</v>
      </c>
      <c r="O221" s="135"/>
      <c r="P221" s="136">
        <f>E221+F221</f>
        <v>691</v>
      </c>
      <c r="Q221" s="136">
        <f t="shared" ref="Q221:S221" si="554">G221</f>
        <v>973</v>
      </c>
      <c r="R221" s="137">
        <f t="shared" si="554"/>
        <v>3708</v>
      </c>
      <c r="S221" s="136">
        <f t="shared" si="554"/>
        <v>5372</v>
      </c>
      <c r="T221" s="139"/>
      <c r="U221" s="140">
        <f t="shared" ref="U221:X221" si="555">P221/K221</f>
        <v>0.13669634025717112</v>
      </c>
      <c r="V221" s="140">
        <f t="shared" si="555"/>
        <v>0.42175986129172083</v>
      </c>
      <c r="W221" s="141">
        <f t="shared" si="555"/>
        <v>0.69830508474576269</v>
      </c>
      <c r="X221" s="140">
        <f t="shared" si="555"/>
        <v>0.42392676767676768</v>
      </c>
      <c r="Y221" s="142"/>
      <c r="Z221" s="143"/>
      <c r="AA221" s="136"/>
      <c r="AB221" s="136" t="s">
        <v>1566</v>
      </c>
      <c r="AC221" s="128" t="s">
        <v>1566</v>
      </c>
      <c r="AD221" s="135"/>
      <c r="AE221" s="127"/>
      <c r="AF221" s="127"/>
      <c r="AG221" s="130"/>
      <c r="AH221" s="130" t="str">
        <f t="shared" si="118"/>
        <v xml:space="preserve"> </v>
      </c>
      <c r="AI221" s="130">
        <f t="shared" si="119"/>
        <v>691</v>
      </c>
      <c r="AJ221" s="144" t="str">
        <f t="shared" si="120"/>
        <v xml:space="preserve"> </v>
      </c>
      <c r="AK221" s="128" t="str">
        <f t="shared" si="121"/>
        <v xml:space="preserve"> </v>
      </c>
      <c r="AL221" s="128" t="str">
        <f t="shared" si="122"/>
        <v xml:space="preserve"> </v>
      </c>
      <c r="AM221" s="128" t="str">
        <f t="shared" si="123"/>
        <v xml:space="preserve"> </v>
      </c>
      <c r="AN221" s="130" t="str">
        <f t="shared" si="124"/>
        <v xml:space="preserve"> </v>
      </c>
      <c r="AO221" s="130"/>
      <c r="AP221" s="130"/>
    </row>
    <row r="222" spans="1:42">
      <c r="A222" s="131" t="s">
        <v>173</v>
      </c>
      <c r="B222" s="132">
        <v>8</v>
      </c>
      <c r="C222" s="118" t="s">
        <v>140</v>
      </c>
      <c r="D222" s="118">
        <v>2015</v>
      </c>
      <c r="E222" s="133">
        <v>54</v>
      </c>
      <c r="F222" s="133">
        <v>58</v>
      </c>
      <c r="G222" s="133">
        <v>737</v>
      </c>
      <c r="H222" s="134">
        <v>3326</v>
      </c>
      <c r="I222" s="133">
        <v>4175</v>
      </c>
      <c r="J222" s="135"/>
      <c r="K222" s="136">
        <f t="shared" ref="K222:N222" si="556">K221*2</f>
        <v>10110</v>
      </c>
      <c r="L222" s="136">
        <f t="shared" si="556"/>
        <v>4614</v>
      </c>
      <c r="M222" s="137">
        <f t="shared" si="556"/>
        <v>10620</v>
      </c>
      <c r="N222" s="136">
        <f t="shared" si="556"/>
        <v>25344</v>
      </c>
      <c r="O222" s="135"/>
      <c r="P222" s="136">
        <f t="shared" ref="P222:P226" si="557">E222+F222+P221</f>
        <v>803</v>
      </c>
      <c r="Q222" s="136">
        <f t="shared" ref="Q222:S222" si="558">G222+Q221</f>
        <v>1710</v>
      </c>
      <c r="R222" s="137">
        <f t="shared" si="558"/>
        <v>7034</v>
      </c>
      <c r="S222" s="136">
        <f t="shared" si="558"/>
        <v>9547</v>
      </c>
      <c r="T222" s="139"/>
      <c r="U222" s="140">
        <f t="shared" ref="U222:X222" si="559">P222/K222</f>
        <v>7.9426310583580614E-2</v>
      </c>
      <c r="V222" s="140">
        <f t="shared" si="559"/>
        <v>0.37061118335500648</v>
      </c>
      <c r="W222" s="141">
        <f t="shared" si="559"/>
        <v>0.66233521657250471</v>
      </c>
      <c r="X222" s="140">
        <f t="shared" si="559"/>
        <v>0.37669665404040403</v>
      </c>
      <c r="Y222" s="142"/>
      <c r="Z222" s="143"/>
      <c r="AA222" s="136"/>
      <c r="AB222" s="136" t="s">
        <v>1566</v>
      </c>
      <c r="AC222" s="128" t="s">
        <v>1566</v>
      </c>
      <c r="AD222" s="135"/>
      <c r="AE222" s="127"/>
      <c r="AF222" s="127"/>
      <c r="AG222" s="130"/>
      <c r="AH222" s="130" t="str">
        <f t="shared" si="118"/>
        <v xml:space="preserve"> </v>
      </c>
      <c r="AI222" s="130" t="str">
        <f t="shared" si="119"/>
        <v xml:space="preserve"> </v>
      </c>
      <c r="AJ222" s="130">
        <f t="shared" si="120"/>
        <v>112</v>
      </c>
      <c r="AK222" s="128" t="str">
        <f t="shared" si="121"/>
        <v xml:space="preserve"> </v>
      </c>
      <c r="AL222" s="128" t="str">
        <f t="shared" si="122"/>
        <v xml:space="preserve"> </v>
      </c>
      <c r="AM222" s="128" t="str">
        <f t="shared" si="123"/>
        <v xml:space="preserve"> </v>
      </c>
      <c r="AN222" s="130" t="str">
        <f t="shared" si="124"/>
        <v xml:space="preserve"> </v>
      </c>
      <c r="AO222" s="130"/>
      <c r="AP222" s="130"/>
    </row>
    <row r="223" spans="1:42">
      <c r="A223" s="131" t="s">
        <v>173</v>
      </c>
      <c r="B223" s="132">
        <v>8</v>
      </c>
      <c r="C223" s="118" t="s">
        <v>140</v>
      </c>
      <c r="D223" s="118">
        <v>2016</v>
      </c>
      <c r="E223" s="133">
        <v>26</v>
      </c>
      <c r="F223" s="133">
        <v>33</v>
      </c>
      <c r="G223" s="133">
        <v>481</v>
      </c>
      <c r="H223" s="134">
        <v>3816</v>
      </c>
      <c r="I223" s="133">
        <v>4356</v>
      </c>
      <c r="J223" s="135"/>
      <c r="K223" s="136">
        <f t="shared" ref="K223:L223" si="560">K221*3</f>
        <v>15165</v>
      </c>
      <c r="L223" s="136">
        <f t="shared" si="560"/>
        <v>6921</v>
      </c>
      <c r="M223" s="137">
        <f t="shared" ref="M223:N223" si="561">M222*3</f>
        <v>31860</v>
      </c>
      <c r="N223" s="136">
        <f t="shared" si="561"/>
        <v>76032</v>
      </c>
      <c r="O223" s="135"/>
      <c r="P223" s="136">
        <f t="shared" si="557"/>
        <v>862</v>
      </c>
      <c r="Q223" s="136">
        <f t="shared" ref="Q223:S223" si="562">G223+Q222</f>
        <v>2191</v>
      </c>
      <c r="R223" s="137">
        <f t="shared" si="562"/>
        <v>10850</v>
      </c>
      <c r="S223" s="136">
        <f t="shared" si="562"/>
        <v>13903</v>
      </c>
      <c r="T223" s="139"/>
      <c r="U223" s="140">
        <f t="shared" ref="U223:X223" si="563">P223/K223</f>
        <v>5.6841411144081769E-2</v>
      </c>
      <c r="V223" s="140">
        <f t="shared" si="563"/>
        <v>0.31657274960265858</v>
      </c>
      <c r="W223" s="141">
        <f t="shared" si="563"/>
        <v>0.34055241682360327</v>
      </c>
      <c r="X223" s="140">
        <f t="shared" si="563"/>
        <v>0.18285721801346802</v>
      </c>
      <c r="Y223" s="142"/>
      <c r="Z223" s="143"/>
      <c r="AA223" s="136"/>
      <c r="AB223" s="136" t="s">
        <v>1566</v>
      </c>
      <c r="AC223" s="128" t="s">
        <v>1566</v>
      </c>
      <c r="AD223" s="135"/>
      <c r="AE223" s="127" t="s">
        <v>1566</v>
      </c>
      <c r="AF223" s="127"/>
      <c r="AG223" s="130"/>
      <c r="AH223" s="130" t="str">
        <f t="shared" si="118"/>
        <v xml:space="preserve"> </v>
      </c>
      <c r="AI223" s="130" t="str">
        <f t="shared" si="119"/>
        <v xml:space="preserve"> </v>
      </c>
      <c r="AJ223" s="144" t="str">
        <f t="shared" si="120"/>
        <v xml:space="preserve"> </v>
      </c>
      <c r="AK223" s="128">
        <f t="shared" si="121"/>
        <v>59</v>
      </c>
      <c r="AL223" s="128" t="str">
        <f t="shared" si="122"/>
        <v xml:space="preserve"> </v>
      </c>
      <c r="AM223" s="128" t="str">
        <f t="shared" si="123"/>
        <v xml:space="preserve"> </v>
      </c>
      <c r="AN223" s="130" t="str">
        <f t="shared" si="124"/>
        <v xml:space="preserve"> </v>
      </c>
      <c r="AO223" s="130"/>
      <c r="AP223" s="130"/>
    </row>
    <row r="224" spans="1:42">
      <c r="A224" s="131" t="s">
        <v>173</v>
      </c>
      <c r="B224" s="132">
        <v>8</v>
      </c>
      <c r="C224" s="118" t="s">
        <v>140</v>
      </c>
      <c r="D224" s="118">
        <v>2017</v>
      </c>
      <c r="E224" s="133">
        <v>175</v>
      </c>
      <c r="F224" s="133">
        <v>55</v>
      </c>
      <c r="G224" s="133">
        <v>1326</v>
      </c>
      <c r="H224" s="134">
        <v>3879</v>
      </c>
      <c r="I224" s="133">
        <v>5435</v>
      </c>
      <c r="J224" s="135"/>
      <c r="K224" s="136">
        <f t="shared" ref="K224:N224" si="564">K221*4</f>
        <v>20220</v>
      </c>
      <c r="L224" s="136">
        <f t="shared" si="564"/>
        <v>9228</v>
      </c>
      <c r="M224" s="137">
        <f t="shared" si="564"/>
        <v>21240</v>
      </c>
      <c r="N224" s="136">
        <f t="shared" si="564"/>
        <v>50688</v>
      </c>
      <c r="O224" s="135"/>
      <c r="P224" s="136">
        <f t="shared" si="557"/>
        <v>1092</v>
      </c>
      <c r="Q224" s="136">
        <f t="shared" ref="Q224:S224" si="565">G224+Q223</f>
        <v>3517</v>
      </c>
      <c r="R224" s="137">
        <f t="shared" si="565"/>
        <v>14729</v>
      </c>
      <c r="S224" s="136">
        <f t="shared" si="565"/>
        <v>19338</v>
      </c>
      <c r="T224" s="139"/>
      <c r="U224" s="140">
        <f t="shared" ref="U224:X224" si="566">P224/K224</f>
        <v>5.400593471810089E-2</v>
      </c>
      <c r="V224" s="140">
        <f t="shared" si="566"/>
        <v>0.38112267013437362</v>
      </c>
      <c r="W224" s="141">
        <f t="shared" si="566"/>
        <v>0.69345574387947273</v>
      </c>
      <c r="X224" s="140">
        <f t="shared" si="566"/>
        <v>0.38151041666666669</v>
      </c>
      <c r="Y224" s="142"/>
      <c r="Z224" s="143"/>
      <c r="AA224" s="136"/>
      <c r="AB224" s="136" t="s">
        <v>1566</v>
      </c>
      <c r="AC224" s="128" t="s">
        <v>1566</v>
      </c>
      <c r="AD224" s="135"/>
      <c r="AE224" s="127" t="s">
        <v>1566</v>
      </c>
      <c r="AF224" s="127"/>
      <c r="AG224" s="130"/>
      <c r="AH224" s="130" t="str">
        <f t="shared" si="118"/>
        <v xml:space="preserve"> </v>
      </c>
      <c r="AI224" s="130" t="str">
        <f t="shared" si="119"/>
        <v xml:space="preserve"> </v>
      </c>
      <c r="AJ224" s="144" t="str">
        <f t="shared" si="120"/>
        <v xml:space="preserve"> </v>
      </c>
      <c r="AK224" s="128" t="str">
        <f t="shared" si="121"/>
        <v xml:space="preserve"> </v>
      </c>
      <c r="AL224" s="128">
        <f t="shared" si="122"/>
        <v>230</v>
      </c>
      <c r="AM224" s="128" t="str">
        <f t="shared" si="123"/>
        <v xml:space="preserve"> </v>
      </c>
      <c r="AN224" s="130" t="str">
        <f t="shared" si="124"/>
        <v xml:space="preserve"> </v>
      </c>
      <c r="AO224" s="130"/>
      <c r="AP224" s="130"/>
    </row>
    <row r="225" spans="1:42">
      <c r="A225" s="131" t="s">
        <v>173</v>
      </c>
      <c r="B225" s="132">
        <v>8</v>
      </c>
      <c r="C225" s="118" t="s">
        <v>140</v>
      </c>
      <c r="D225" s="118">
        <v>2018</v>
      </c>
      <c r="E225" s="133">
        <v>150</v>
      </c>
      <c r="F225" s="133">
        <v>94</v>
      </c>
      <c r="G225" s="133">
        <v>749</v>
      </c>
      <c r="H225" s="134">
        <v>6212</v>
      </c>
      <c r="I225" s="133">
        <v>7205</v>
      </c>
      <c r="J225" s="135"/>
      <c r="K225" s="136">
        <f t="shared" ref="K225:N225" si="567">K221*5</f>
        <v>25275</v>
      </c>
      <c r="L225" s="136">
        <f t="shared" si="567"/>
        <v>11535</v>
      </c>
      <c r="M225" s="137">
        <f t="shared" si="567"/>
        <v>26550</v>
      </c>
      <c r="N225" s="136">
        <f t="shared" si="567"/>
        <v>63360</v>
      </c>
      <c r="O225" s="135"/>
      <c r="P225" s="136">
        <f t="shared" si="557"/>
        <v>1336</v>
      </c>
      <c r="Q225" s="136">
        <f t="shared" ref="Q225:S225" si="568">G225+Q224</f>
        <v>4266</v>
      </c>
      <c r="R225" s="137">
        <f t="shared" si="568"/>
        <v>20941</v>
      </c>
      <c r="S225" s="136">
        <f t="shared" si="568"/>
        <v>26543</v>
      </c>
      <c r="T225" s="139"/>
      <c r="U225" s="140">
        <f t="shared" ref="U225:X225" si="569">P225/K225</f>
        <v>5.2858555885262115E-2</v>
      </c>
      <c r="V225" s="140">
        <f t="shared" si="569"/>
        <v>0.36983094928478544</v>
      </c>
      <c r="W225" s="141">
        <f t="shared" si="569"/>
        <v>0.78873822975517893</v>
      </c>
      <c r="X225" s="140">
        <f t="shared" si="569"/>
        <v>0.41892361111111109</v>
      </c>
      <c r="Y225" s="142"/>
      <c r="Z225" s="143"/>
      <c r="AA225" s="136"/>
      <c r="AB225" s="136" t="s">
        <v>1566</v>
      </c>
      <c r="AC225" s="128" t="s">
        <v>1566</v>
      </c>
      <c r="AD225" s="135"/>
      <c r="AE225" s="127" t="s">
        <v>1566</v>
      </c>
      <c r="AF225" s="127"/>
      <c r="AG225" s="130"/>
      <c r="AH225" s="130" t="str">
        <f t="shared" si="118"/>
        <v xml:space="preserve"> </v>
      </c>
      <c r="AI225" s="130" t="str">
        <f t="shared" si="119"/>
        <v xml:space="preserve"> </v>
      </c>
      <c r="AJ225" s="144" t="str">
        <f t="shared" si="120"/>
        <v xml:space="preserve"> </v>
      </c>
      <c r="AK225" s="128" t="str">
        <f t="shared" si="121"/>
        <v xml:space="preserve"> </v>
      </c>
      <c r="AL225" s="128" t="str">
        <f t="shared" si="122"/>
        <v xml:space="preserve"> </v>
      </c>
      <c r="AM225" s="128">
        <f t="shared" si="123"/>
        <v>244</v>
      </c>
      <c r="AN225" s="130" t="str">
        <f t="shared" si="124"/>
        <v xml:space="preserve"> </v>
      </c>
      <c r="AO225" s="130"/>
      <c r="AP225" s="130"/>
    </row>
    <row r="226" spans="1:42">
      <c r="A226" s="131" t="s">
        <v>173</v>
      </c>
      <c r="B226" s="132">
        <v>8</v>
      </c>
      <c r="C226" s="118" t="s">
        <v>140</v>
      </c>
      <c r="D226" s="118">
        <v>2019</v>
      </c>
      <c r="E226" s="133">
        <v>31</v>
      </c>
      <c r="F226" s="133">
        <v>114</v>
      </c>
      <c r="G226" s="133">
        <v>1384</v>
      </c>
      <c r="H226" s="134">
        <v>5884</v>
      </c>
      <c r="I226" s="133">
        <f>E226+F226+G226+H226</f>
        <v>7413</v>
      </c>
      <c r="J226" s="135"/>
      <c r="K226" s="136">
        <f t="shared" ref="K226:N226" si="570">K221*6</f>
        <v>30330</v>
      </c>
      <c r="L226" s="136">
        <f t="shared" si="570"/>
        <v>13842</v>
      </c>
      <c r="M226" s="137">
        <f t="shared" si="570"/>
        <v>31860</v>
      </c>
      <c r="N226" s="136">
        <f t="shared" si="570"/>
        <v>76032</v>
      </c>
      <c r="O226" s="135"/>
      <c r="P226" s="136">
        <f t="shared" si="557"/>
        <v>1481</v>
      </c>
      <c r="Q226" s="136">
        <f t="shared" ref="Q226:S226" si="571">G226+Q225</f>
        <v>5650</v>
      </c>
      <c r="R226" s="137">
        <f t="shared" si="571"/>
        <v>26825</v>
      </c>
      <c r="S226" s="136">
        <f t="shared" si="571"/>
        <v>33956</v>
      </c>
      <c r="T226" s="139"/>
      <c r="U226" s="140">
        <f t="shared" ref="U226:X226" si="572">P226/K226</f>
        <v>4.8829541707879988E-2</v>
      </c>
      <c r="V226" s="140">
        <f t="shared" si="572"/>
        <v>0.40817800895824302</v>
      </c>
      <c r="W226" s="141">
        <f t="shared" si="572"/>
        <v>0.8419648462021343</v>
      </c>
      <c r="X226" s="140">
        <f t="shared" si="572"/>
        <v>0.44660143097643096</v>
      </c>
      <c r="Y226" s="146" t="s">
        <v>173</v>
      </c>
      <c r="Z226" s="143"/>
      <c r="AA226" s="138">
        <v>101374</v>
      </c>
      <c r="AB226" s="136">
        <v>76032</v>
      </c>
      <c r="AC226" s="128">
        <v>33956</v>
      </c>
      <c r="AD226" s="135"/>
      <c r="AE226" s="127">
        <f>N221</f>
        <v>12672</v>
      </c>
      <c r="AF226" s="127"/>
      <c r="AG226" s="130"/>
      <c r="AH226" s="130" t="str">
        <f t="shared" si="118"/>
        <v xml:space="preserve"> </v>
      </c>
      <c r="AI226" s="130" t="str">
        <f t="shared" si="119"/>
        <v xml:space="preserve"> </v>
      </c>
      <c r="AJ226" s="144" t="str">
        <f t="shared" si="120"/>
        <v xml:space="preserve"> </v>
      </c>
      <c r="AK226" s="128" t="str">
        <f t="shared" si="121"/>
        <v xml:space="preserve"> </v>
      </c>
      <c r="AL226" s="128" t="str">
        <f t="shared" si="122"/>
        <v xml:space="preserve"> </v>
      </c>
      <c r="AM226" s="128" t="str">
        <f t="shared" si="123"/>
        <v xml:space="preserve"> </v>
      </c>
      <c r="AN226" s="130">
        <f t="shared" si="124"/>
        <v>145</v>
      </c>
      <c r="AO226" s="130"/>
      <c r="AP226" s="130"/>
    </row>
    <row r="227" spans="1:42">
      <c r="A227" s="131"/>
      <c r="B227" s="132"/>
      <c r="C227" s="118"/>
      <c r="D227" s="118"/>
      <c r="E227" s="133"/>
      <c r="F227" s="133"/>
      <c r="G227" s="133"/>
      <c r="H227" s="134"/>
      <c r="I227" s="133"/>
      <c r="J227" s="135"/>
      <c r="K227" s="136"/>
      <c r="L227" s="136"/>
      <c r="M227" s="137"/>
      <c r="N227" s="136"/>
      <c r="O227" s="135"/>
      <c r="P227" s="136"/>
      <c r="Q227" s="136"/>
      <c r="R227" s="137"/>
      <c r="S227" s="136"/>
      <c r="T227" s="139"/>
      <c r="U227" s="140"/>
      <c r="V227" s="140"/>
      <c r="W227" s="141"/>
      <c r="X227" s="140"/>
      <c r="Y227" s="142"/>
      <c r="Z227" s="143"/>
      <c r="AA227" s="136"/>
      <c r="AB227" s="136" t="s">
        <v>1566</v>
      </c>
      <c r="AC227" s="128" t="s">
        <v>1566</v>
      </c>
      <c r="AD227" s="135"/>
      <c r="AE227" s="127" t="s">
        <v>1566</v>
      </c>
      <c r="AF227" s="127"/>
      <c r="AG227" s="130"/>
      <c r="AH227" s="130" t="str">
        <f t="shared" si="118"/>
        <v xml:space="preserve"> </v>
      </c>
      <c r="AI227" s="130" t="str">
        <f t="shared" si="119"/>
        <v xml:space="preserve"> </v>
      </c>
      <c r="AJ227" s="144" t="str">
        <f t="shared" si="120"/>
        <v xml:space="preserve"> </v>
      </c>
      <c r="AK227" s="128" t="str">
        <f t="shared" si="121"/>
        <v xml:space="preserve"> </v>
      </c>
      <c r="AL227" s="128" t="str">
        <f t="shared" si="122"/>
        <v xml:space="preserve"> </v>
      </c>
      <c r="AM227" s="128" t="str">
        <f t="shared" si="123"/>
        <v xml:space="preserve"> </v>
      </c>
      <c r="AN227" s="130" t="str">
        <f t="shared" si="124"/>
        <v xml:space="preserve"> </v>
      </c>
      <c r="AO227" s="130"/>
      <c r="AP227" s="130"/>
    </row>
    <row r="228" spans="1:42">
      <c r="A228" s="131" t="s">
        <v>174</v>
      </c>
      <c r="B228" s="132">
        <v>8</v>
      </c>
      <c r="C228" s="118" t="s">
        <v>175</v>
      </c>
      <c r="D228" s="118">
        <v>2013</v>
      </c>
      <c r="E228" s="133">
        <v>95</v>
      </c>
      <c r="F228" s="133">
        <v>138</v>
      </c>
      <c r="G228" s="133">
        <v>372</v>
      </c>
      <c r="H228" s="134">
        <v>1292</v>
      </c>
      <c r="I228" s="133">
        <f>E228+F228+G228+H228</f>
        <v>1897</v>
      </c>
      <c r="J228" s="135"/>
      <c r="K228" s="136"/>
      <c r="L228" s="136"/>
      <c r="M228" s="137"/>
      <c r="N228" s="136"/>
      <c r="O228" s="135"/>
      <c r="P228" s="136">
        <f>E228+F228</f>
        <v>233</v>
      </c>
      <c r="Q228" s="136">
        <f t="shared" ref="Q228:S228" si="573">G228</f>
        <v>372</v>
      </c>
      <c r="R228" s="137">
        <f t="shared" si="573"/>
        <v>1292</v>
      </c>
      <c r="S228" s="136">
        <f t="shared" si="573"/>
        <v>1897</v>
      </c>
      <c r="T228" s="139"/>
      <c r="U228" s="140">
        <f t="shared" ref="U228:X228" si="574">P228/K229</f>
        <v>8.3214285714285713E-2</v>
      </c>
      <c r="V228" s="140">
        <f t="shared" si="574"/>
        <v>0.27413411938098747</v>
      </c>
      <c r="W228" s="141">
        <f t="shared" si="574"/>
        <v>0.41133397007322509</v>
      </c>
      <c r="X228" s="140">
        <f t="shared" si="574"/>
        <v>0.2599342285557687</v>
      </c>
      <c r="Y228" s="142"/>
      <c r="Z228" s="143"/>
      <c r="AA228" s="136"/>
      <c r="AB228" s="136"/>
      <c r="AC228" s="128"/>
      <c r="AD228" s="135"/>
      <c r="AE228" s="127"/>
      <c r="AF228" s="127"/>
      <c r="AG228" s="130"/>
      <c r="AH228" s="130">
        <f t="shared" si="118"/>
        <v>233</v>
      </c>
      <c r="AI228" s="130" t="str">
        <f t="shared" si="119"/>
        <v xml:space="preserve"> </v>
      </c>
      <c r="AJ228" s="144" t="str">
        <f t="shared" si="120"/>
        <v xml:space="preserve"> </v>
      </c>
      <c r="AK228" s="128" t="str">
        <f t="shared" si="121"/>
        <v xml:space="preserve"> </v>
      </c>
      <c r="AL228" s="128" t="str">
        <f t="shared" si="122"/>
        <v xml:space="preserve"> </v>
      </c>
      <c r="AM228" s="128" t="str">
        <f t="shared" si="123"/>
        <v xml:space="preserve"> </v>
      </c>
      <c r="AN228" s="130" t="str">
        <f t="shared" si="124"/>
        <v xml:space="preserve"> </v>
      </c>
      <c r="AO228" s="130"/>
      <c r="AP228" s="130"/>
    </row>
    <row r="229" spans="1:42">
      <c r="A229" s="131" t="s">
        <v>174</v>
      </c>
      <c r="B229" s="132">
        <v>8</v>
      </c>
      <c r="C229" s="118" t="s">
        <v>175</v>
      </c>
      <c r="D229" s="118">
        <v>2014</v>
      </c>
      <c r="E229" s="133">
        <v>151</v>
      </c>
      <c r="F229" s="133">
        <v>139</v>
      </c>
      <c r="G229" s="133">
        <v>260</v>
      </c>
      <c r="H229" s="134">
        <v>1321</v>
      </c>
      <c r="I229" s="133">
        <v>1871</v>
      </c>
      <c r="J229" s="135"/>
      <c r="K229" s="136">
        <f>ROUND((13166+9231)/8,0)</f>
        <v>2800</v>
      </c>
      <c r="L229" s="136">
        <f>ROUND('HCD Assigned 5th Cycle RHNA'!F386/B229,0)</f>
        <v>1357</v>
      </c>
      <c r="M229" s="137">
        <f>ROUND(25131/8,0)</f>
        <v>3141</v>
      </c>
      <c r="N229" s="136">
        <f>ROUND(58386/8,0)</f>
        <v>7298</v>
      </c>
      <c r="O229" s="135"/>
      <c r="P229" s="136">
        <f t="shared" ref="P229:P233" si="575">E229+F229+P228</f>
        <v>523</v>
      </c>
      <c r="Q229" s="136">
        <f t="shared" ref="Q229:S229" si="576">G229+Q228</f>
        <v>632</v>
      </c>
      <c r="R229" s="137">
        <f t="shared" si="576"/>
        <v>2613</v>
      </c>
      <c r="S229" s="136">
        <f t="shared" si="576"/>
        <v>3768</v>
      </c>
      <c r="T229" s="139"/>
      <c r="U229" s="140">
        <f t="shared" ref="U229:X229" si="577">P229/K229</f>
        <v>0.18678571428571428</v>
      </c>
      <c r="V229" s="140">
        <f t="shared" si="577"/>
        <v>0.46573323507737657</v>
      </c>
      <c r="W229" s="141">
        <f t="shared" si="577"/>
        <v>0.83190066857688638</v>
      </c>
      <c r="X229" s="140">
        <f t="shared" si="577"/>
        <v>0.51630583721567558</v>
      </c>
      <c r="Y229" s="142"/>
      <c r="Z229" s="143"/>
      <c r="AA229" s="136"/>
      <c r="AB229" s="136" t="s">
        <v>1566</v>
      </c>
      <c r="AC229" s="128" t="s">
        <v>1566</v>
      </c>
      <c r="AD229" s="135"/>
      <c r="AE229" s="127"/>
      <c r="AF229" s="127"/>
      <c r="AG229" s="130"/>
      <c r="AH229" s="130" t="str">
        <f t="shared" si="118"/>
        <v xml:space="preserve"> </v>
      </c>
      <c r="AI229" s="130">
        <f t="shared" si="119"/>
        <v>290</v>
      </c>
      <c r="AJ229" s="144" t="str">
        <f t="shared" si="120"/>
        <v xml:space="preserve"> </v>
      </c>
      <c r="AK229" s="128" t="str">
        <f t="shared" si="121"/>
        <v xml:space="preserve"> </v>
      </c>
      <c r="AL229" s="128" t="str">
        <f t="shared" si="122"/>
        <v xml:space="preserve"> </v>
      </c>
      <c r="AM229" s="128" t="str">
        <f t="shared" si="123"/>
        <v xml:space="preserve"> </v>
      </c>
      <c r="AN229" s="130" t="str">
        <f t="shared" si="124"/>
        <v xml:space="preserve"> </v>
      </c>
      <c r="AO229" s="130"/>
      <c r="AP229" s="130"/>
    </row>
    <row r="230" spans="1:42">
      <c r="A230" s="131" t="s">
        <v>174</v>
      </c>
      <c r="B230" s="132">
        <v>8</v>
      </c>
      <c r="C230" s="118" t="s">
        <v>175</v>
      </c>
      <c r="D230" s="118">
        <v>2015</v>
      </c>
      <c r="E230" s="133">
        <v>80</v>
      </c>
      <c r="F230" s="133">
        <v>186</v>
      </c>
      <c r="G230" s="133">
        <v>1063</v>
      </c>
      <c r="H230" s="134">
        <v>1654</v>
      </c>
      <c r="I230" s="133">
        <v>2983</v>
      </c>
      <c r="J230" s="135"/>
      <c r="K230" s="136">
        <f t="shared" ref="K230:N230" si="578">K229*2</f>
        <v>5600</v>
      </c>
      <c r="L230" s="136">
        <f t="shared" si="578"/>
        <v>2714</v>
      </c>
      <c r="M230" s="137">
        <f t="shared" si="578"/>
        <v>6282</v>
      </c>
      <c r="N230" s="136">
        <f t="shared" si="578"/>
        <v>14596</v>
      </c>
      <c r="O230" s="135"/>
      <c r="P230" s="136">
        <f t="shared" si="575"/>
        <v>789</v>
      </c>
      <c r="Q230" s="136">
        <f t="shared" ref="Q230:S230" si="579">G230+Q229</f>
        <v>1695</v>
      </c>
      <c r="R230" s="137">
        <f t="shared" si="579"/>
        <v>4267</v>
      </c>
      <c r="S230" s="136">
        <f t="shared" si="579"/>
        <v>6751</v>
      </c>
      <c r="T230" s="139"/>
      <c r="U230" s="140">
        <f t="shared" ref="U230:X230" si="580">P230/K230</f>
        <v>0.14089285714285715</v>
      </c>
      <c r="V230" s="140">
        <f t="shared" si="580"/>
        <v>0.62453942520265293</v>
      </c>
      <c r="W230" s="141">
        <f t="shared" si="580"/>
        <v>0.67924227952881244</v>
      </c>
      <c r="X230" s="140">
        <f t="shared" si="580"/>
        <v>0.46252397917237598</v>
      </c>
      <c r="Y230" s="142"/>
      <c r="Z230" s="143"/>
      <c r="AA230" s="136"/>
      <c r="AB230" s="136" t="s">
        <v>1566</v>
      </c>
      <c r="AC230" s="128" t="s">
        <v>1566</v>
      </c>
      <c r="AD230" s="135"/>
      <c r="AE230" s="127"/>
      <c r="AF230" s="127"/>
      <c r="AG230" s="130"/>
      <c r="AH230" s="130" t="str">
        <f t="shared" si="118"/>
        <v xml:space="preserve"> </v>
      </c>
      <c r="AI230" s="130" t="str">
        <f t="shared" si="119"/>
        <v xml:space="preserve"> </v>
      </c>
      <c r="AJ230" s="130">
        <f t="shared" si="120"/>
        <v>266</v>
      </c>
      <c r="AK230" s="128" t="str">
        <f t="shared" si="121"/>
        <v xml:space="preserve"> </v>
      </c>
      <c r="AL230" s="128" t="str">
        <f t="shared" si="122"/>
        <v xml:space="preserve"> </v>
      </c>
      <c r="AM230" s="128" t="str">
        <f t="shared" si="123"/>
        <v xml:space="preserve"> </v>
      </c>
      <c r="AN230" s="130" t="str">
        <f t="shared" si="124"/>
        <v xml:space="preserve"> </v>
      </c>
      <c r="AO230" s="130"/>
      <c r="AP230" s="130"/>
    </row>
    <row r="231" spans="1:42">
      <c r="A231" s="131" t="s">
        <v>174</v>
      </c>
      <c r="B231" s="132">
        <v>8</v>
      </c>
      <c r="C231" s="118" t="s">
        <v>175</v>
      </c>
      <c r="D231" s="118">
        <v>2016</v>
      </c>
      <c r="E231" s="133">
        <v>46</v>
      </c>
      <c r="F231" s="133">
        <v>27</v>
      </c>
      <c r="G231" s="133">
        <v>1193</v>
      </c>
      <c r="H231" s="134">
        <v>2099</v>
      </c>
      <c r="I231" s="133">
        <v>3365</v>
      </c>
      <c r="J231" s="135"/>
      <c r="K231" s="136">
        <f t="shared" ref="K231:N231" si="581">K229*3</f>
        <v>8400</v>
      </c>
      <c r="L231" s="136">
        <f t="shared" si="581"/>
        <v>4071</v>
      </c>
      <c r="M231" s="137">
        <f t="shared" si="581"/>
        <v>9423</v>
      </c>
      <c r="N231" s="136">
        <f t="shared" si="581"/>
        <v>21894</v>
      </c>
      <c r="O231" s="135"/>
      <c r="P231" s="136">
        <f t="shared" si="575"/>
        <v>862</v>
      </c>
      <c r="Q231" s="136">
        <f t="shared" ref="Q231:S231" si="582">G231+Q230</f>
        <v>2888</v>
      </c>
      <c r="R231" s="137">
        <f t="shared" si="582"/>
        <v>6366</v>
      </c>
      <c r="S231" s="136">
        <f t="shared" si="582"/>
        <v>10116</v>
      </c>
      <c r="T231" s="139"/>
      <c r="U231" s="140">
        <f t="shared" ref="U231:X231" si="583">P231/K231</f>
        <v>0.10261904761904762</v>
      </c>
      <c r="V231" s="140">
        <f t="shared" si="583"/>
        <v>0.70940800786047653</v>
      </c>
      <c r="W231" s="141">
        <f t="shared" si="583"/>
        <v>0.67558102515122576</v>
      </c>
      <c r="X231" s="140">
        <f t="shared" si="583"/>
        <v>0.46204439572485612</v>
      </c>
      <c r="Y231" s="142"/>
      <c r="Z231" s="143"/>
      <c r="AA231" s="136"/>
      <c r="AB231" s="136" t="s">
        <v>1566</v>
      </c>
      <c r="AC231" s="128" t="s">
        <v>1566</v>
      </c>
      <c r="AD231" s="135"/>
      <c r="AE231" s="127" t="s">
        <v>1566</v>
      </c>
      <c r="AF231" s="127"/>
      <c r="AG231" s="130"/>
      <c r="AH231" s="130" t="str">
        <f t="shared" si="118"/>
        <v xml:space="preserve"> </v>
      </c>
      <c r="AI231" s="130" t="str">
        <f t="shared" si="119"/>
        <v xml:space="preserve"> </v>
      </c>
      <c r="AJ231" s="144" t="str">
        <f t="shared" si="120"/>
        <v xml:space="preserve"> </v>
      </c>
      <c r="AK231" s="128">
        <f t="shared" si="121"/>
        <v>73</v>
      </c>
      <c r="AL231" s="128" t="str">
        <f t="shared" si="122"/>
        <v xml:space="preserve"> </v>
      </c>
      <c r="AM231" s="128" t="str">
        <f t="shared" si="123"/>
        <v xml:space="preserve"> </v>
      </c>
      <c r="AN231" s="130" t="str">
        <f t="shared" si="124"/>
        <v xml:space="preserve"> </v>
      </c>
      <c r="AO231" s="130"/>
      <c r="AP231" s="130"/>
    </row>
    <row r="232" spans="1:42">
      <c r="A232" s="131" t="s">
        <v>174</v>
      </c>
      <c r="B232" s="132">
        <v>8</v>
      </c>
      <c r="C232" s="118" t="s">
        <v>175</v>
      </c>
      <c r="D232" s="118">
        <v>2017</v>
      </c>
      <c r="E232" s="133">
        <v>92</v>
      </c>
      <c r="F232" s="133">
        <v>65</v>
      </c>
      <c r="G232" s="133">
        <v>2472</v>
      </c>
      <c r="H232" s="134">
        <v>2495</v>
      </c>
      <c r="I232" s="133">
        <v>5124</v>
      </c>
      <c r="J232" s="135"/>
      <c r="K232" s="136">
        <f t="shared" ref="K232:N232" si="584">K229*4</f>
        <v>11200</v>
      </c>
      <c r="L232" s="136">
        <f t="shared" si="584"/>
        <v>5428</v>
      </c>
      <c r="M232" s="137">
        <f t="shared" si="584"/>
        <v>12564</v>
      </c>
      <c r="N232" s="136">
        <f t="shared" si="584"/>
        <v>29192</v>
      </c>
      <c r="O232" s="135"/>
      <c r="P232" s="136">
        <f t="shared" si="575"/>
        <v>1019</v>
      </c>
      <c r="Q232" s="136">
        <f t="shared" ref="Q232:S232" si="585">G232+Q231</f>
        <v>5360</v>
      </c>
      <c r="R232" s="137">
        <f t="shared" si="585"/>
        <v>8861</v>
      </c>
      <c r="S232" s="136">
        <f t="shared" si="585"/>
        <v>15240</v>
      </c>
      <c r="T232" s="139"/>
      <c r="U232" s="140">
        <f t="shared" ref="U232:X232" si="586">P232/K232</f>
        <v>9.0982142857142859E-2</v>
      </c>
      <c r="V232" s="140">
        <f t="shared" si="586"/>
        <v>0.98747236551215922</v>
      </c>
      <c r="W232" s="141">
        <f t="shared" si="586"/>
        <v>0.70526902260426616</v>
      </c>
      <c r="X232" s="140">
        <f t="shared" si="586"/>
        <v>0.5220608385859139</v>
      </c>
      <c r="Y232" s="142"/>
      <c r="Z232" s="143"/>
      <c r="AA232" s="136"/>
      <c r="AB232" s="136" t="s">
        <v>1566</v>
      </c>
      <c r="AC232" s="128" t="s">
        <v>1566</v>
      </c>
      <c r="AD232" s="135"/>
      <c r="AE232" s="127" t="s">
        <v>1566</v>
      </c>
      <c r="AF232" s="127"/>
      <c r="AG232" s="130"/>
      <c r="AH232" s="130" t="str">
        <f t="shared" si="118"/>
        <v xml:space="preserve"> </v>
      </c>
      <c r="AI232" s="130" t="str">
        <f t="shared" si="119"/>
        <v xml:space="preserve"> </v>
      </c>
      <c r="AJ232" s="144" t="str">
        <f t="shared" si="120"/>
        <v xml:space="preserve"> </v>
      </c>
      <c r="AK232" s="128" t="str">
        <f t="shared" si="121"/>
        <v xml:space="preserve"> </v>
      </c>
      <c r="AL232" s="128">
        <f t="shared" si="122"/>
        <v>157</v>
      </c>
      <c r="AM232" s="128" t="str">
        <f t="shared" si="123"/>
        <v xml:space="preserve"> </v>
      </c>
      <c r="AN232" s="130" t="str">
        <f t="shared" si="124"/>
        <v xml:space="preserve"> </v>
      </c>
      <c r="AO232" s="130"/>
      <c r="AP232" s="130"/>
    </row>
    <row r="233" spans="1:42">
      <c r="A233" s="131" t="s">
        <v>174</v>
      </c>
      <c r="B233" s="132">
        <v>8</v>
      </c>
      <c r="C233" s="118" t="s">
        <v>175</v>
      </c>
      <c r="D233" s="118">
        <v>2018</v>
      </c>
      <c r="E233" s="133">
        <v>13</v>
      </c>
      <c r="F233" s="133">
        <v>95</v>
      </c>
      <c r="G233" s="133">
        <v>785</v>
      </c>
      <c r="H233" s="134">
        <v>3642</v>
      </c>
      <c r="I233" s="133">
        <v>4535</v>
      </c>
      <c r="J233" s="135"/>
      <c r="K233" s="136">
        <f t="shared" ref="K233:N233" si="587">K229*5</f>
        <v>14000</v>
      </c>
      <c r="L233" s="136">
        <f t="shared" si="587"/>
        <v>6785</v>
      </c>
      <c r="M233" s="137">
        <f t="shared" si="587"/>
        <v>15705</v>
      </c>
      <c r="N233" s="136">
        <f t="shared" si="587"/>
        <v>36490</v>
      </c>
      <c r="O233" s="135"/>
      <c r="P233" s="136">
        <f t="shared" si="575"/>
        <v>1127</v>
      </c>
      <c r="Q233" s="136">
        <f t="shared" ref="Q233:S233" si="588">G233+Q232</f>
        <v>6145</v>
      </c>
      <c r="R233" s="137">
        <f t="shared" si="588"/>
        <v>12503</v>
      </c>
      <c r="S233" s="136">
        <f t="shared" si="588"/>
        <v>19775</v>
      </c>
      <c r="T233" s="139"/>
      <c r="U233" s="140">
        <f t="shared" ref="U233:X233" si="589">P233/K233</f>
        <v>8.0500000000000002E-2</v>
      </c>
      <c r="V233" s="140">
        <f t="shared" si="589"/>
        <v>0.90567428150331619</v>
      </c>
      <c r="W233" s="141">
        <f t="shared" si="589"/>
        <v>0.79611588666029931</v>
      </c>
      <c r="X233" s="140">
        <f t="shared" si="589"/>
        <v>0.54192929569745141</v>
      </c>
      <c r="Y233" s="142"/>
      <c r="Z233" s="143"/>
      <c r="AA233" s="138"/>
      <c r="AB233" s="136" t="s">
        <v>1566</v>
      </c>
      <c r="AC233" s="128" t="s">
        <v>1566</v>
      </c>
      <c r="AD233" s="135"/>
      <c r="AE233" s="127" t="s">
        <v>1566</v>
      </c>
      <c r="AF233" s="127"/>
      <c r="AG233" s="130"/>
      <c r="AH233" s="130" t="str">
        <f t="shared" si="118"/>
        <v xml:space="preserve"> </v>
      </c>
      <c r="AI233" s="130" t="str">
        <f t="shared" si="119"/>
        <v xml:space="preserve"> </v>
      </c>
      <c r="AJ233" s="144" t="str">
        <f t="shared" si="120"/>
        <v xml:space="preserve"> </v>
      </c>
      <c r="AK233" s="128" t="str">
        <f t="shared" si="121"/>
        <v xml:space="preserve"> </v>
      </c>
      <c r="AL233" s="128" t="str">
        <f t="shared" si="122"/>
        <v xml:space="preserve"> </v>
      </c>
      <c r="AM233" s="128">
        <f t="shared" si="123"/>
        <v>108</v>
      </c>
      <c r="AN233" s="130" t="str">
        <f t="shared" si="124"/>
        <v xml:space="preserve"> </v>
      </c>
      <c r="AO233" s="130"/>
      <c r="AP233" s="130"/>
    </row>
    <row r="234" spans="1:42">
      <c r="A234" s="131" t="s">
        <v>174</v>
      </c>
      <c r="B234" s="132">
        <v>8</v>
      </c>
      <c r="C234" s="118" t="s">
        <v>175</v>
      </c>
      <c r="D234" s="118">
        <v>2019</v>
      </c>
      <c r="E234" s="133">
        <v>175</v>
      </c>
      <c r="F234" s="133">
        <v>120</v>
      </c>
      <c r="G234" s="133">
        <v>2380</v>
      </c>
      <c r="H234" s="134">
        <v>3402</v>
      </c>
      <c r="I234" s="133">
        <v>6077</v>
      </c>
      <c r="J234" s="135"/>
      <c r="K234" s="136">
        <f t="shared" ref="K234:N234" si="590">K229*6</f>
        <v>16800</v>
      </c>
      <c r="L234" s="136">
        <f t="shared" si="590"/>
        <v>8142</v>
      </c>
      <c r="M234" s="137">
        <f t="shared" si="590"/>
        <v>18846</v>
      </c>
      <c r="N234" s="136">
        <f t="shared" si="590"/>
        <v>43788</v>
      </c>
      <c r="O234" s="135"/>
      <c r="P234" s="136">
        <f>F234+E234+P233</f>
        <v>1422</v>
      </c>
      <c r="Q234" s="136">
        <f t="shared" ref="Q234:S234" si="591">G234+Q233</f>
        <v>8525</v>
      </c>
      <c r="R234" s="137">
        <f t="shared" si="591"/>
        <v>15905</v>
      </c>
      <c r="S234" s="136">
        <f t="shared" si="591"/>
        <v>25852</v>
      </c>
      <c r="T234" s="139"/>
      <c r="U234" s="140">
        <f t="shared" ref="U234:X234" si="592">P234/K234</f>
        <v>8.4642857142857145E-2</v>
      </c>
      <c r="V234" s="140">
        <f t="shared" si="592"/>
        <v>1.0470400393023827</v>
      </c>
      <c r="W234" s="141">
        <f t="shared" si="592"/>
        <v>0.84394566486257028</v>
      </c>
      <c r="X234" s="140">
        <f t="shared" si="592"/>
        <v>0.59039006120398285</v>
      </c>
      <c r="Y234" s="146" t="s">
        <v>174</v>
      </c>
      <c r="Z234" s="143"/>
      <c r="AA234" s="138">
        <v>58386</v>
      </c>
      <c r="AB234" s="136">
        <v>43788</v>
      </c>
      <c r="AC234" s="128">
        <v>25852</v>
      </c>
      <c r="AD234" s="135"/>
      <c r="AE234" s="127">
        <f>N229</f>
        <v>7298</v>
      </c>
      <c r="AF234" s="127"/>
      <c r="AG234" s="130"/>
      <c r="AH234" s="130" t="str">
        <f t="shared" si="118"/>
        <v xml:space="preserve"> </v>
      </c>
      <c r="AI234" s="130" t="str">
        <f t="shared" si="119"/>
        <v xml:space="preserve"> </v>
      </c>
      <c r="AJ234" s="144" t="str">
        <f t="shared" si="120"/>
        <v xml:space="preserve"> </v>
      </c>
      <c r="AK234" s="128" t="str">
        <f t="shared" si="121"/>
        <v xml:space="preserve"> </v>
      </c>
      <c r="AL234" s="128" t="str">
        <f t="shared" si="122"/>
        <v xml:space="preserve"> </v>
      </c>
      <c r="AM234" s="128" t="str">
        <f t="shared" si="123"/>
        <v xml:space="preserve"> </v>
      </c>
      <c r="AN234" s="130">
        <f t="shared" si="124"/>
        <v>295</v>
      </c>
      <c r="AO234" s="130"/>
      <c r="AP234" s="130"/>
    </row>
    <row r="235" spans="1:42">
      <c r="A235" s="131"/>
      <c r="B235" s="132"/>
      <c r="C235" s="118"/>
      <c r="D235" s="118"/>
      <c r="E235" s="133"/>
      <c r="F235" s="133"/>
      <c r="G235" s="133"/>
      <c r="H235" s="134"/>
      <c r="I235" s="133"/>
      <c r="J235" s="135"/>
      <c r="K235" s="136"/>
      <c r="L235" s="136"/>
      <c r="M235" s="137"/>
      <c r="N235" s="136"/>
      <c r="O235" s="135"/>
      <c r="P235" s="136"/>
      <c r="Q235" s="136"/>
      <c r="R235" s="137"/>
      <c r="S235" s="136"/>
      <c r="T235" s="139"/>
      <c r="U235" s="140"/>
      <c r="V235" s="140"/>
      <c r="W235" s="141"/>
      <c r="X235" s="140"/>
      <c r="Y235" s="142"/>
      <c r="Z235" s="143"/>
      <c r="AA235" s="136"/>
      <c r="AB235" s="136" t="s">
        <v>1566</v>
      </c>
      <c r="AC235" s="128" t="s">
        <v>1566</v>
      </c>
      <c r="AD235" s="135"/>
      <c r="AE235" s="127" t="s">
        <v>1566</v>
      </c>
      <c r="AF235" s="127"/>
      <c r="AG235" s="130"/>
      <c r="AH235" s="130" t="str">
        <f t="shared" si="118"/>
        <v xml:space="preserve"> </v>
      </c>
      <c r="AI235" s="130" t="str">
        <f t="shared" si="119"/>
        <v xml:space="preserve"> </v>
      </c>
      <c r="AJ235" s="144" t="str">
        <f t="shared" si="120"/>
        <v xml:space="preserve"> </v>
      </c>
      <c r="AK235" s="128" t="str">
        <f t="shared" si="121"/>
        <v xml:space="preserve"> </v>
      </c>
      <c r="AL235" s="128" t="str">
        <f t="shared" si="122"/>
        <v xml:space="preserve"> </v>
      </c>
      <c r="AM235" s="128" t="str">
        <f t="shared" si="123"/>
        <v xml:space="preserve"> </v>
      </c>
      <c r="AN235" s="130" t="str">
        <f t="shared" si="124"/>
        <v xml:space="preserve"> </v>
      </c>
      <c r="AO235" s="130"/>
      <c r="AP235" s="130"/>
    </row>
    <row r="236" spans="1:42">
      <c r="A236" s="131" t="s">
        <v>176</v>
      </c>
      <c r="B236" s="132">
        <v>8</v>
      </c>
      <c r="C236" s="118" t="s">
        <v>177</v>
      </c>
      <c r="D236" s="118">
        <v>2015</v>
      </c>
      <c r="E236" s="133">
        <v>0</v>
      </c>
      <c r="F236" s="133">
        <v>0</v>
      </c>
      <c r="G236" s="133">
        <v>2</v>
      </c>
      <c r="H236" s="134">
        <v>85</v>
      </c>
      <c r="I236" s="133">
        <f>G236+H236</f>
        <v>87</v>
      </c>
      <c r="J236" s="135"/>
      <c r="K236" s="128"/>
      <c r="L236" s="136"/>
      <c r="M236" s="137"/>
      <c r="N236" s="136"/>
      <c r="O236" s="135"/>
      <c r="P236" s="136">
        <f>E236+F236</f>
        <v>0</v>
      </c>
      <c r="Q236" s="136">
        <f t="shared" ref="Q236:S236" si="593">G236</f>
        <v>2</v>
      </c>
      <c r="R236" s="137">
        <f t="shared" si="593"/>
        <v>85</v>
      </c>
      <c r="S236" s="136">
        <f t="shared" si="593"/>
        <v>87</v>
      </c>
      <c r="T236" s="139"/>
      <c r="U236" s="140">
        <f t="shared" ref="U236:X236" si="594">P236/K237</f>
        <v>0</v>
      </c>
      <c r="V236" s="140">
        <f t="shared" si="594"/>
        <v>3.7037037037037035E-2</v>
      </c>
      <c r="W236" s="141">
        <f t="shared" si="594"/>
        <v>0.73275862068965514</v>
      </c>
      <c r="X236" s="140">
        <f t="shared" si="594"/>
        <v>0.31751824817518248</v>
      </c>
      <c r="Y236" s="142"/>
      <c r="Z236" s="143"/>
      <c r="AA236" s="136"/>
      <c r="AB236" s="136"/>
      <c r="AC236" s="128"/>
      <c r="AD236" s="135"/>
      <c r="AE236" s="127"/>
      <c r="AF236" s="127"/>
      <c r="AG236" s="130"/>
      <c r="AH236" s="130" t="str">
        <f t="shared" si="118"/>
        <v xml:space="preserve"> </v>
      </c>
      <c r="AI236" s="130" t="str">
        <f t="shared" si="119"/>
        <v xml:space="preserve"> </v>
      </c>
      <c r="AJ236" s="130">
        <f t="shared" si="120"/>
        <v>0</v>
      </c>
      <c r="AK236" s="128" t="str">
        <f t="shared" si="121"/>
        <v xml:space="preserve"> </v>
      </c>
      <c r="AL236" s="128" t="str">
        <f t="shared" si="122"/>
        <v xml:space="preserve"> </v>
      </c>
      <c r="AM236" s="128" t="str">
        <f t="shared" si="123"/>
        <v xml:space="preserve"> </v>
      </c>
      <c r="AN236" s="130" t="str">
        <f t="shared" si="124"/>
        <v xml:space="preserve"> </v>
      </c>
      <c r="AO236" s="130"/>
      <c r="AP236" s="130"/>
    </row>
    <row r="237" spans="1:42">
      <c r="A237" s="131" t="s">
        <v>176</v>
      </c>
      <c r="B237" s="132">
        <v>8</v>
      </c>
      <c r="C237" s="118" t="s">
        <v>177</v>
      </c>
      <c r="D237" s="118">
        <v>2016</v>
      </c>
      <c r="E237" s="133">
        <v>0</v>
      </c>
      <c r="F237" s="133">
        <v>0</v>
      </c>
      <c r="G237" s="133">
        <v>12</v>
      </c>
      <c r="H237" s="134">
        <v>148</v>
      </c>
      <c r="I237" s="133">
        <v>160</v>
      </c>
      <c r="J237" s="135"/>
      <c r="K237" s="128">
        <v>104</v>
      </c>
      <c r="L237" s="136">
        <f>ROUND('HCD Assigned 5th Cycle RHNA'!F432/B237,0)</f>
        <v>54</v>
      </c>
      <c r="M237" s="137">
        <v>116</v>
      </c>
      <c r="N237" s="136">
        <v>274</v>
      </c>
      <c r="O237" s="135"/>
      <c r="P237" s="136">
        <f t="shared" ref="P237:P240" si="595">E237+F237+P236</f>
        <v>0</v>
      </c>
      <c r="Q237" s="136">
        <f t="shared" ref="Q237:S237" si="596">G237+Q236</f>
        <v>14</v>
      </c>
      <c r="R237" s="137">
        <f t="shared" si="596"/>
        <v>233</v>
      </c>
      <c r="S237" s="136">
        <f t="shared" si="596"/>
        <v>247</v>
      </c>
      <c r="T237" s="139"/>
      <c r="U237" s="140">
        <f t="shared" ref="U237:X237" si="597">P237/K237</f>
        <v>0</v>
      </c>
      <c r="V237" s="140">
        <f t="shared" si="597"/>
        <v>0.25925925925925924</v>
      </c>
      <c r="W237" s="141">
        <f t="shared" si="597"/>
        <v>2.0086206896551726</v>
      </c>
      <c r="X237" s="140">
        <f t="shared" si="597"/>
        <v>0.90145985401459849</v>
      </c>
      <c r="Y237" s="142"/>
      <c r="Z237" s="143"/>
      <c r="AA237" s="136"/>
      <c r="AB237" s="136" t="s">
        <v>1566</v>
      </c>
      <c r="AC237" s="128" t="s">
        <v>1566</v>
      </c>
      <c r="AD237" s="135"/>
      <c r="AE237" s="127" t="s">
        <v>1566</v>
      </c>
      <c r="AF237" s="127"/>
      <c r="AG237" s="130"/>
      <c r="AH237" s="130" t="str">
        <f t="shared" si="118"/>
        <v xml:space="preserve"> </v>
      </c>
      <c r="AI237" s="130" t="str">
        <f t="shared" si="119"/>
        <v xml:space="preserve"> </v>
      </c>
      <c r="AJ237" s="144" t="str">
        <f t="shared" si="120"/>
        <v xml:space="preserve"> </v>
      </c>
      <c r="AK237" s="128">
        <f t="shared" si="121"/>
        <v>0</v>
      </c>
      <c r="AL237" s="128" t="str">
        <f t="shared" si="122"/>
        <v xml:space="preserve"> </v>
      </c>
      <c r="AM237" s="128" t="str">
        <f t="shared" si="123"/>
        <v xml:space="preserve"> </v>
      </c>
      <c r="AN237" s="130" t="str">
        <f t="shared" si="124"/>
        <v xml:space="preserve"> </v>
      </c>
      <c r="AO237" s="130"/>
      <c r="AP237" s="130"/>
    </row>
    <row r="238" spans="1:42">
      <c r="A238" s="131" t="s">
        <v>176</v>
      </c>
      <c r="B238" s="132">
        <v>8</v>
      </c>
      <c r="C238" s="118" t="s">
        <v>177</v>
      </c>
      <c r="D238" s="118">
        <v>2017</v>
      </c>
      <c r="E238" s="133">
        <v>0</v>
      </c>
      <c r="F238" s="133">
        <v>0</v>
      </c>
      <c r="G238" s="133">
        <v>91</v>
      </c>
      <c r="H238" s="134">
        <v>315</v>
      </c>
      <c r="I238" s="133">
        <v>406</v>
      </c>
      <c r="J238" s="135"/>
      <c r="K238" s="136">
        <f t="shared" ref="K238:N238" si="598">K237*2</f>
        <v>208</v>
      </c>
      <c r="L238" s="136">
        <f t="shared" si="598"/>
        <v>108</v>
      </c>
      <c r="M238" s="137">
        <f t="shared" si="598"/>
        <v>232</v>
      </c>
      <c r="N238" s="136">
        <f t="shared" si="598"/>
        <v>548</v>
      </c>
      <c r="O238" s="135"/>
      <c r="P238" s="136">
        <f t="shared" si="595"/>
        <v>0</v>
      </c>
      <c r="Q238" s="136">
        <f t="shared" ref="Q238:S238" si="599">G238+Q237</f>
        <v>105</v>
      </c>
      <c r="R238" s="137">
        <f t="shared" si="599"/>
        <v>548</v>
      </c>
      <c r="S238" s="136">
        <f t="shared" si="599"/>
        <v>653</v>
      </c>
      <c r="T238" s="139"/>
      <c r="U238" s="140">
        <f t="shared" ref="U238:X238" si="600">P238/K238</f>
        <v>0</v>
      </c>
      <c r="V238" s="140">
        <f t="shared" si="600"/>
        <v>0.97222222222222221</v>
      </c>
      <c r="W238" s="141">
        <f t="shared" si="600"/>
        <v>2.3620689655172415</v>
      </c>
      <c r="X238" s="140">
        <f t="shared" si="600"/>
        <v>1.1916058394160585</v>
      </c>
      <c r="Y238" s="142"/>
      <c r="Z238" s="143"/>
      <c r="AA238" s="136"/>
      <c r="AB238" s="136" t="s">
        <v>1566</v>
      </c>
      <c r="AC238" s="128" t="s">
        <v>1566</v>
      </c>
      <c r="AD238" s="135"/>
      <c r="AE238" s="127" t="s">
        <v>1566</v>
      </c>
      <c r="AF238" s="127"/>
      <c r="AG238" s="130"/>
      <c r="AH238" s="130" t="str">
        <f t="shared" si="118"/>
        <v xml:space="preserve"> </v>
      </c>
      <c r="AI238" s="130" t="str">
        <f t="shared" si="119"/>
        <v xml:space="preserve"> </v>
      </c>
      <c r="AJ238" s="144" t="str">
        <f t="shared" si="120"/>
        <v xml:space="preserve"> </v>
      </c>
      <c r="AK238" s="128" t="str">
        <f t="shared" si="121"/>
        <v xml:space="preserve"> </v>
      </c>
      <c r="AL238" s="128">
        <f t="shared" si="122"/>
        <v>0</v>
      </c>
      <c r="AM238" s="128" t="str">
        <f t="shared" si="123"/>
        <v xml:space="preserve"> </v>
      </c>
      <c r="AN238" s="130" t="str">
        <f t="shared" si="124"/>
        <v xml:space="preserve"> </v>
      </c>
      <c r="AO238" s="130"/>
      <c r="AP238" s="130"/>
    </row>
    <row r="239" spans="1:42">
      <c r="A239" s="131" t="s">
        <v>176</v>
      </c>
      <c r="B239" s="132">
        <v>8</v>
      </c>
      <c r="C239" s="118" t="s">
        <v>177</v>
      </c>
      <c r="D239" s="118">
        <v>2018</v>
      </c>
      <c r="E239" s="133">
        <v>0</v>
      </c>
      <c r="F239" s="133">
        <v>0</v>
      </c>
      <c r="G239" s="133">
        <v>2</v>
      </c>
      <c r="H239" s="134">
        <v>264</v>
      </c>
      <c r="I239" s="133">
        <v>266</v>
      </c>
      <c r="J239" s="135"/>
      <c r="K239" s="136">
        <f t="shared" ref="K239:N239" si="601">K237*3</f>
        <v>312</v>
      </c>
      <c r="L239" s="136">
        <f t="shared" si="601"/>
        <v>162</v>
      </c>
      <c r="M239" s="137">
        <f t="shared" si="601"/>
        <v>348</v>
      </c>
      <c r="N239" s="136">
        <f t="shared" si="601"/>
        <v>822</v>
      </c>
      <c r="O239" s="135"/>
      <c r="P239" s="136">
        <f t="shared" si="595"/>
        <v>0</v>
      </c>
      <c r="Q239" s="136">
        <f t="shared" ref="Q239:S239" si="602">G239+Q238</f>
        <v>107</v>
      </c>
      <c r="R239" s="137">
        <f t="shared" si="602"/>
        <v>812</v>
      </c>
      <c r="S239" s="136">
        <f t="shared" si="602"/>
        <v>919</v>
      </c>
      <c r="T239" s="139"/>
      <c r="U239" s="140">
        <f t="shared" ref="U239:X239" si="603">P239/K239</f>
        <v>0</v>
      </c>
      <c r="V239" s="140">
        <f t="shared" si="603"/>
        <v>0.66049382716049387</v>
      </c>
      <c r="W239" s="141">
        <f t="shared" si="603"/>
        <v>2.3333333333333335</v>
      </c>
      <c r="X239" s="140">
        <f t="shared" si="603"/>
        <v>1.1180048661800486</v>
      </c>
      <c r="Y239" s="142"/>
      <c r="Z239" s="143"/>
      <c r="AA239" s="136"/>
      <c r="AB239" s="136" t="s">
        <v>1566</v>
      </c>
      <c r="AC239" s="128" t="s">
        <v>1566</v>
      </c>
      <c r="AD239" s="135"/>
      <c r="AE239" s="127" t="s">
        <v>1566</v>
      </c>
      <c r="AF239" s="127"/>
      <c r="AG239" s="130"/>
      <c r="AH239" s="130" t="str">
        <f t="shared" si="118"/>
        <v xml:space="preserve"> </v>
      </c>
      <c r="AI239" s="130" t="str">
        <f t="shared" si="119"/>
        <v xml:space="preserve"> </v>
      </c>
      <c r="AJ239" s="144" t="str">
        <f t="shared" si="120"/>
        <v xml:space="preserve"> </v>
      </c>
      <c r="AK239" s="128" t="str">
        <f t="shared" si="121"/>
        <v xml:space="preserve"> </v>
      </c>
      <c r="AL239" s="128" t="str">
        <f t="shared" si="122"/>
        <v xml:space="preserve"> </v>
      </c>
      <c r="AM239" s="128">
        <f t="shared" si="123"/>
        <v>0</v>
      </c>
      <c r="AN239" s="130" t="str">
        <f t="shared" si="124"/>
        <v xml:space="preserve"> </v>
      </c>
      <c r="AO239" s="130"/>
      <c r="AP239" s="130"/>
    </row>
    <row r="240" spans="1:42">
      <c r="A240" s="131" t="s">
        <v>176</v>
      </c>
      <c r="B240" s="132">
        <v>8</v>
      </c>
      <c r="C240" s="118" t="s">
        <v>177</v>
      </c>
      <c r="D240" s="118">
        <v>2019</v>
      </c>
      <c r="E240" s="133">
        <v>0</v>
      </c>
      <c r="F240" s="133">
        <v>0</v>
      </c>
      <c r="G240" s="133">
        <v>0</v>
      </c>
      <c r="H240" s="134">
        <v>381</v>
      </c>
      <c r="I240" s="133">
        <f>E240+F240+G240+H240</f>
        <v>381</v>
      </c>
      <c r="J240" s="135"/>
      <c r="K240" s="136">
        <f t="shared" ref="K240:N240" si="604">K237*4</f>
        <v>416</v>
      </c>
      <c r="L240" s="136">
        <f t="shared" si="604"/>
        <v>216</v>
      </c>
      <c r="M240" s="137">
        <f t="shared" si="604"/>
        <v>464</v>
      </c>
      <c r="N240" s="136">
        <f t="shared" si="604"/>
        <v>1096</v>
      </c>
      <c r="O240" s="135"/>
      <c r="P240" s="136">
        <f t="shared" si="595"/>
        <v>0</v>
      </c>
      <c r="Q240" s="136">
        <f t="shared" ref="Q240:S240" si="605">G240+Q239</f>
        <v>107</v>
      </c>
      <c r="R240" s="137">
        <f t="shared" si="605"/>
        <v>1193</v>
      </c>
      <c r="S240" s="136">
        <f t="shared" si="605"/>
        <v>1300</v>
      </c>
      <c r="T240" s="139"/>
      <c r="U240" s="140">
        <f t="shared" ref="U240:X240" si="606">P240/K240</f>
        <v>0</v>
      </c>
      <c r="V240" s="140">
        <f t="shared" si="606"/>
        <v>0.49537037037037035</v>
      </c>
      <c r="W240" s="141">
        <f t="shared" si="606"/>
        <v>2.5711206896551726</v>
      </c>
      <c r="X240" s="140">
        <f t="shared" si="606"/>
        <v>1.1861313868613139</v>
      </c>
      <c r="Y240" s="146" t="s">
        <v>176</v>
      </c>
      <c r="Z240" s="143"/>
      <c r="AA240" s="138">
        <v>2194</v>
      </c>
      <c r="AB240" s="136">
        <v>1096</v>
      </c>
      <c r="AC240" s="128">
        <v>1300</v>
      </c>
      <c r="AD240" s="135"/>
      <c r="AE240" s="127">
        <f>N237</f>
        <v>274</v>
      </c>
      <c r="AF240" s="127"/>
      <c r="AG240" s="130"/>
      <c r="AH240" s="130" t="str">
        <f t="shared" si="118"/>
        <v xml:space="preserve"> </v>
      </c>
      <c r="AI240" s="130" t="str">
        <f t="shared" si="119"/>
        <v xml:space="preserve"> </v>
      </c>
      <c r="AJ240" s="144" t="str">
        <f t="shared" si="120"/>
        <v xml:space="preserve"> </v>
      </c>
      <c r="AK240" s="128" t="str">
        <f t="shared" si="121"/>
        <v xml:space="preserve"> </v>
      </c>
      <c r="AL240" s="128" t="str">
        <f t="shared" si="122"/>
        <v xml:space="preserve"> </v>
      </c>
      <c r="AM240" s="128" t="str">
        <f t="shared" si="123"/>
        <v xml:space="preserve"> </v>
      </c>
      <c r="AN240" s="130">
        <f t="shared" si="124"/>
        <v>0</v>
      </c>
      <c r="AO240" s="130"/>
      <c r="AP240" s="130"/>
    </row>
    <row r="241" spans="1:42">
      <c r="A241" s="131"/>
      <c r="B241" s="132"/>
      <c r="C241" s="118"/>
      <c r="D241" s="118"/>
      <c r="E241" s="133"/>
      <c r="F241" s="133"/>
      <c r="G241" s="133"/>
      <c r="H241" s="134"/>
      <c r="I241" s="133"/>
      <c r="J241" s="135"/>
      <c r="K241" s="136"/>
      <c r="L241" s="136"/>
      <c r="M241" s="137"/>
      <c r="N241" s="136"/>
      <c r="O241" s="135"/>
      <c r="P241" s="136"/>
      <c r="Q241" s="136"/>
      <c r="R241" s="137"/>
      <c r="S241" s="136"/>
      <c r="T241" s="139"/>
      <c r="U241" s="140"/>
      <c r="V241" s="140"/>
      <c r="W241" s="141"/>
      <c r="X241" s="140"/>
      <c r="Y241" s="142"/>
      <c r="Z241" s="143"/>
      <c r="AA241" s="136"/>
      <c r="AB241" s="136" t="s">
        <v>1566</v>
      </c>
      <c r="AC241" s="128" t="s">
        <v>1566</v>
      </c>
      <c r="AD241" s="135"/>
      <c r="AE241" s="127" t="s">
        <v>1566</v>
      </c>
      <c r="AF241" s="127"/>
      <c r="AG241" s="130"/>
      <c r="AH241" s="130" t="str">
        <f t="shared" si="118"/>
        <v xml:space="preserve"> </v>
      </c>
      <c r="AI241" s="130" t="str">
        <f t="shared" si="119"/>
        <v xml:space="preserve"> </v>
      </c>
      <c r="AJ241" s="144" t="str">
        <f t="shared" si="120"/>
        <v xml:space="preserve"> </v>
      </c>
      <c r="AK241" s="128" t="str">
        <f t="shared" si="121"/>
        <v xml:space="preserve"> </v>
      </c>
      <c r="AL241" s="128" t="str">
        <f t="shared" si="122"/>
        <v xml:space="preserve"> </v>
      </c>
      <c r="AM241" s="128" t="str">
        <f t="shared" si="123"/>
        <v xml:space="preserve"> </v>
      </c>
      <c r="AN241" s="130" t="str">
        <f t="shared" si="124"/>
        <v xml:space="preserve"> </v>
      </c>
      <c r="AO241" s="130"/>
      <c r="AP241" s="130"/>
    </row>
    <row r="242" spans="1:42">
      <c r="A242" s="131" t="s">
        <v>178</v>
      </c>
      <c r="B242" s="132">
        <v>8</v>
      </c>
      <c r="C242" s="118" t="s">
        <v>140</v>
      </c>
      <c r="D242" s="118">
        <v>2014</v>
      </c>
      <c r="E242" s="133">
        <v>136</v>
      </c>
      <c r="F242" s="133">
        <v>83</v>
      </c>
      <c r="G242" s="133">
        <v>934</v>
      </c>
      <c r="H242" s="134">
        <v>1663</v>
      </c>
      <c r="I242" s="133">
        <f t="shared" ref="I242:I247" si="607">E242+F242+G242+H242</f>
        <v>2816</v>
      </c>
      <c r="J242" s="135"/>
      <c r="K242" s="128">
        <f>ROUND((13399+9265)/8,0)</f>
        <v>2833</v>
      </c>
      <c r="L242" s="128">
        <f>ROUND('HCD Assigned 5th Cycle RHNA'!F202/B243,0)</f>
        <v>1311</v>
      </c>
      <c r="M242" s="157">
        <f>ROUND(24053/8,0)</f>
        <v>3007</v>
      </c>
      <c r="N242" s="128">
        <f>ROUND(57207/8,0)</f>
        <v>7151</v>
      </c>
      <c r="O242" s="135"/>
      <c r="P242" s="138">
        <f>E242+F242</f>
        <v>219</v>
      </c>
      <c r="Q242" s="138">
        <f t="shared" ref="Q242:R242" si="608">G242</f>
        <v>934</v>
      </c>
      <c r="R242" s="147">
        <f t="shared" si="608"/>
        <v>1663</v>
      </c>
      <c r="S242" s="136">
        <f>P242+Q242+R242</f>
        <v>2816</v>
      </c>
      <c r="T242" s="139"/>
      <c r="U242" s="140">
        <f t="shared" ref="U242:X242" si="609">P242/K242</f>
        <v>7.7303212142605007E-2</v>
      </c>
      <c r="V242" s="140">
        <f t="shared" si="609"/>
        <v>0.71243325705568272</v>
      </c>
      <c r="W242" s="141">
        <f t="shared" si="609"/>
        <v>0.55304289990023281</v>
      </c>
      <c r="X242" s="140">
        <f t="shared" si="609"/>
        <v>0.39379107817088521</v>
      </c>
      <c r="Y242" s="142"/>
      <c r="Z242" s="143"/>
      <c r="AA242" s="136"/>
      <c r="AB242" s="136" t="s">
        <v>1566</v>
      </c>
      <c r="AC242" s="128" t="s">
        <v>1566</v>
      </c>
      <c r="AD242" s="135"/>
      <c r="AE242" s="127"/>
      <c r="AF242" s="127"/>
      <c r="AG242" s="130"/>
      <c r="AH242" s="130" t="str">
        <f t="shared" si="118"/>
        <v xml:space="preserve"> </v>
      </c>
      <c r="AI242" s="130">
        <f t="shared" si="119"/>
        <v>219</v>
      </c>
      <c r="AJ242" s="144" t="str">
        <f t="shared" si="120"/>
        <v xml:space="preserve"> </v>
      </c>
      <c r="AK242" s="128" t="str">
        <f t="shared" si="121"/>
        <v xml:space="preserve"> </v>
      </c>
      <c r="AL242" s="128" t="str">
        <f t="shared" si="122"/>
        <v xml:space="preserve"> </v>
      </c>
      <c r="AM242" s="128" t="str">
        <f t="shared" si="123"/>
        <v xml:space="preserve"> </v>
      </c>
      <c r="AN242" s="130" t="str">
        <f t="shared" si="124"/>
        <v xml:space="preserve"> </v>
      </c>
      <c r="AO242" s="130"/>
      <c r="AP242" s="130"/>
    </row>
    <row r="243" spans="1:42">
      <c r="A243" s="131" t="s">
        <v>178</v>
      </c>
      <c r="B243" s="132">
        <v>8</v>
      </c>
      <c r="C243" s="118" t="s">
        <v>140</v>
      </c>
      <c r="D243" s="118">
        <v>2015</v>
      </c>
      <c r="E243" s="133">
        <v>193</v>
      </c>
      <c r="F243" s="133">
        <v>421</v>
      </c>
      <c r="G243" s="133">
        <v>255</v>
      </c>
      <c r="H243" s="134">
        <v>2222</v>
      </c>
      <c r="I243" s="133">
        <f t="shared" si="607"/>
        <v>3091</v>
      </c>
      <c r="J243" s="135"/>
      <c r="K243" s="136">
        <f t="shared" ref="K243:N243" si="610">K242*2</f>
        <v>5666</v>
      </c>
      <c r="L243" s="136">
        <f t="shared" si="610"/>
        <v>2622</v>
      </c>
      <c r="M243" s="137">
        <f t="shared" si="610"/>
        <v>6014</v>
      </c>
      <c r="N243" s="136">
        <f t="shared" si="610"/>
        <v>14302</v>
      </c>
      <c r="O243" s="135"/>
      <c r="P243" s="136">
        <f t="shared" ref="P243:P247" si="611">E243+F243+P242</f>
        <v>833</v>
      </c>
      <c r="Q243" s="136">
        <f t="shared" ref="Q243:S243" si="612">G243+Q242</f>
        <v>1189</v>
      </c>
      <c r="R243" s="137">
        <f t="shared" si="612"/>
        <v>3885</v>
      </c>
      <c r="S243" s="136">
        <f t="shared" si="612"/>
        <v>5907</v>
      </c>
      <c r="T243" s="139"/>
      <c r="U243" s="140">
        <f t="shared" ref="U243:X243" si="613">P243/K243</f>
        <v>0.14701729615248854</v>
      </c>
      <c r="V243" s="140">
        <f t="shared" si="613"/>
        <v>0.45347063310450036</v>
      </c>
      <c r="W243" s="141">
        <f t="shared" si="613"/>
        <v>0.64599268373794483</v>
      </c>
      <c r="X243" s="140">
        <f t="shared" si="613"/>
        <v>0.41301915815969792</v>
      </c>
      <c r="Y243" s="142"/>
      <c r="Z243" s="143"/>
      <c r="AA243" s="136"/>
      <c r="AB243" s="136" t="s">
        <v>1566</v>
      </c>
      <c r="AC243" s="128" t="s">
        <v>1566</v>
      </c>
      <c r="AD243" s="135"/>
      <c r="AE243" s="127"/>
      <c r="AF243" s="127"/>
      <c r="AG243" s="130"/>
      <c r="AH243" s="130" t="str">
        <f t="shared" si="118"/>
        <v xml:space="preserve"> </v>
      </c>
      <c r="AI243" s="130" t="str">
        <f t="shared" si="119"/>
        <v xml:space="preserve"> </v>
      </c>
      <c r="AJ243" s="130">
        <f t="shared" si="120"/>
        <v>614</v>
      </c>
      <c r="AK243" s="128" t="str">
        <f t="shared" si="121"/>
        <v xml:space="preserve"> </v>
      </c>
      <c r="AL243" s="128" t="str">
        <f t="shared" si="122"/>
        <v xml:space="preserve"> </v>
      </c>
      <c r="AM243" s="128" t="str">
        <f t="shared" si="123"/>
        <v xml:space="preserve"> </v>
      </c>
      <c r="AN243" s="130" t="str">
        <f t="shared" si="124"/>
        <v xml:space="preserve"> </v>
      </c>
      <c r="AO243" s="130"/>
      <c r="AP243" s="130"/>
    </row>
    <row r="244" spans="1:42">
      <c r="A244" s="131" t="s">
        <v>178</v>
      </c>
      <c r="B244" s="132">
        <v>8</v>
      </c>
      <c r="C244" s="118" t="s">
        <v>140</v>
      </c>
      <c r="D244" s="118">
        <v>2016</v>
      </c>
      <c r="E244" s="133">
        <v>33</v>
      </c>
      <c r="F244" s="133">
        <v>395</v>
      </c>
      <c r="G244" s="133">
        <v>935</v>
      </c>
      <c r="H244" s="134">
        <v>2069</v>
      </c>
      <c r="I244" s="133">
        <f t="shared" si="607"/>
        <v>3432</v>
      </c>
      <c r="J244" s="135"/>
      <c r="K244" s="136">
        <f t="shared" ref="K244:N244" si="614">K242*3</f>
        <v>8499</v>
      </c>
      <c r="L244" s="136">
        <f t="shared" si="614"/>
        <v>3933</v>
      </c>
      <c r="M244" s="137">
        <f t="shared" si="614"/>
        <v>9021</v>
      </c>
      <c r="N244" s="136">
        <f t="shared" si="614"/>
        <v>21453</v>
      </c>
      <c r="O244" s="135"/>
      <c r="P244" s="136">
        <f t="shared" si="611"/>
        <v>1261</v>
      </c>
      <c r="Q244" s="136">
        <f t="shared" ref="Q244:S244" si="615">G244+Q243</f>
        <v>2124</v>
      </c>
      <c r="R244" s="137">
        <f t="shared" si="615"/>
        <v>5954</v>
      </c>
      <c r="S244" s="136">
        <f t="shared" si="615"/>
        <v>9339</v>
      </c>
      <c r="T244" s="139"/>
      <c r="U244" s="140">
        <f t="shared" ref="U244:X244" si="616">P244/K244</f>
        <v>0.14837039651723732</v>
      </c>
      <c r="V244" s="140">
        <f t="shared" si="616"/>
        <v>0.54004576659038905</v>
      </c>
      <c r="W244" s="141">
        <f t="shared" si="616"/>
        <v>0.66001551934375347</v>
      </c>
      <c r="X244" s="140">
        <f t="shared" si="616"/>
        <v>0.43532373094672072</v>
      </c>
      <c r="Y244" s="142"/>
      <c r="Z244" s="143"/>
      <c r="AA244" s="136"/>
      <c r="AB244" s="136" t="s">
        <v>1566</v>
      </c>
      <c r="AC244" s="128" t="s">
        <v>1566</v>
      </c>
      <c r="AD244" s="135"/>
      <c r="AE244" s="127" t="s">
        <v>1566</v>
      </c>
      <c r="AF244" s="127"/>
      <c r="AG244" s="130"/>
      <c r="AH244" s="130" t="str">
        <f t="shared" si="118"/>
        <v xml:space="preserve"> </v>
      </c>
      <c r="AI244" s="130" t="str">
        <f t="shared" si="119"/>
        <v xml:space="preserve"> </v>
      </c>
      <c r="AJ244" s="144" t="str">
        <f t="shared" si="120"/>
        <v xml:space="preserve"> </v>
      </c>
      <c r="AK244" s="128">
        <f t="shared" si="121"/>
        <v>428</v>
      </c>
      <c r="AL244" s="128" t="str">
        <f t="shared" si="122"/>
        <v xml:space="preserve"> </v>
      </c>
      <c r="AM244" s="128" t="str">
        <f t="shared" si="123"/>
        <v xml:space="preserve"> </v>
      </c>
      <c r="AN244" s="130" t="str">
        <f t="shared" si="124"/>
        <v xml:space="preserve"> </v>
      </c>
      <c r="AO244" s="130"/>
      <c r="AP244" s="130"/>
    </row>
    <row r="245" spans="1:42">
      <c r="A245" s="131" t="s">
        <v>178</v>
      </c>
      <c r="B245" s="132">
        <v>8</v>
      </c>
      <c r="C245" s="118" t="s">
        <v>140</v>
      </c>
      <c r="D245" s="118">
        <v>2017</v>
      </c>
      <c r="E245" s="133">
        <v>69</v>
      </c>
      <c r="F245" s="133">
        <v>64</v>
      </c>
      <c r="G245" s="133">
        <v>1390</v>
      </c>
      <c r="H245" s="134">
        <v>3552</v>
      </c>
      <c r="I245" s="133">
        <f t="shared" si="607"/>
        <v>5075</v>
      </c>
      <c r="J245" s="135"/>
      <c r="K245" s="136">
        <f t="shared" ref="K245:N245" si="617">K242*4</f>
        <v>11332</v>
      </c>
      <c r="L245" s="136">
        <f t="shared" si="617"/>
        <v>5244</v>
      </c>
      <c r="M245" s="137">
        <f t="shared" si="617"/>
        <v>12028</v>
      </c>
      <c r="N245" s="136">
        <f t="shared" si="617"/>
        <v>28604</v>
      </c>
      <c r="O245" s="135"/>
      <c r="P245" s="136">
        <f t="shared" si="611"/>
        <v>1394</v>
      </c>
      <c r="Q245" s="136">
        <f t="shared" ref="Q245:S245" si="618">G245+Q244</f>
        <v>3514</v>
      </c>
      <c r="R245" s="137">
        <f t="shared" si="618"/>
        <v>9506</v>
      </c>
      <c r="S245" s="136">
        <f t="shared" si="618"/>
        <v>14414</v>
      </c>
      <c r="T245" s="139"/>
      <c r="U245" s="140">
        <f t="shared" ref="U245:X245" si="619">P245/K245</f>
        <v>0.12301447229085775</v>
      </c>
      <c r="V245" s="140">
        <f t="shared" si="619"/>
        <v>0.67009916094584288</v>
      </c>
      <c r="W245" s="141">
        <f t="shared" si="619"/>
        <v>0.79032258064516125</v>
      </c>
      <c r="X245" s="140">
        <f t="shared" si="619"/>
        <v>0.50391553628863095</v>
      </c>
      <c r="Y245" s="142"/>
      <c r="Z245" s="143"/>
      <c r="AA245" s="136"/>
      <c r="AB245" s="136" t="s">
        <v>1566</v>
      </c>
      <c r="AC245" s="128" t="s">
        <v>1566</v>
      </c>
      <c r="AD245" s="135"/>
      <c r="AE245" s="127" t="s">
        <v>1566</v>
      </c>
      <c r="AF245" s="127"/>
      <c r="AG245" s="130"/>
      <c r="AH245" s="130" t="str">
        <f t="shared" si="118"/>
        <v xml:space="preserve"> </v>
      </c>
      <c r="AI245" s="130" t="str">
        <f t="shared" si="119"/>
        <v xml:space="preserve"> </v>
      </c>
      <c r="AJ245" s="144" t="str">
        <f t="shared" si="120"/>
        <v xml:space="preserve"> </v>
      </c>
      <c r="AK245" s="128" t="str">
        <f t="shared" si="121"/>
        <v xml:space="preserve"> </v>
      </c>
      <c r="AL245" s="128">
        <f t="shared" si="122"/>
        <v>133</v>
      </c>
      <c r="AM245" s="128" t="str">
        <f t="shared" si="123"/>
        <v xml:space="preserve"> </v>
      </c>
      <c r="AN245" s="130" t="str">
        <f t="shared" si="124"/>
        <v xml:space="preserve"> </v>
      </c>
      <c r="AO245" s="130"/>
      <c r="AP245" s="130"/>
    </row>
    <row r="246" spans="1:42">
      <c r="A246" s="131" t="s">
        <v>178</v>
      </c>
      <c r="B246" s="132">
        <v>8</v>
      </c>
      <c r="C246" s="118" t="s">
        <v>140</v>
      </c>
      <c r="D246" s="118">
        <v>2018</v>
      </c>
      <c r="E246" s="133">
        <v>107</v>
      </c>
      <c r="F246" s="133">
        <v>170</v>
      </c>
      <c r="G246" s="133">
        <v>159</v>
      </c>
      <c r="H246" s="134">
        <v>3269</v>
      </c>
      <c r="I246" s="133">
        <f t="shared" si="607"/>
        <v>3705</v>
      </c>
      <c r="J246" s="135"/>
      <c r="K246" s="136">
        <f t="shared" ref="K246:N246" si="620">K242*5</f>
        <v>14165</v>
      </c>
      <c r="L246" s="136">
        <f t="shared" si="620"/>
        <v>6555</v>
      </c>
      <c r="M246" s="137">
        <f t="shared" si="620"/>
        <v>15035</v>
      </c>
      <c r="N246" s="136">
        <f t="shared" si="620"/>
        <v>35755</v>
      </c>
      <c r="O246" s="135"/>
      <c r="P246" s="136">
        <f t="shared" si="611"/>
        <v>1671</v>
      </c>
      <c r="Q246" s="136">
        <f t="shared" ref="Q246:S246" si="621">G246+Q245</f>
        <v>3673</v>
      </c>
      <c r="R246" s="137">
        <f t="shared" si="621"/>
        <v>12775</v>
      </c>
      <c r="S246" s="136">
        <f t="shared" si="621"/>
        <v>18119</v>
      </c>
      <c r="T246" s="139"/>
      <c r="U246" s="140">
        <f t="shared" ref="U246:X246" si="622">P246/K246</f>
        <v>0.11796681962583834</v>
      </c>
      <c r="V246" s="140">
        <f t="shared" si="622"/>
        <v>0.56033562166285278</v>
      </c>
      <c r="W246" s="141">
        <f t="shared" si="622"/>
        <v>0.84968407050216166</v>
      </c>
      <c r="X246" s="140">
        <f t="shared" si="622"/>
        <v>0.50675430009788835</v>
      </c>
      <c r="Y246" s="142"/>
      <c r="Z246" s="143"/>
      <c r="AA246" s="136"/>
      <c r="AB246" s="136" t="s">
        <v>1566</v>
      </c>
      <c r="AC246" s="128" t="s">
        <v>1566</v>
      </c>
      <c r="AD246" s="135"/>
      <c r="AE246" s="127" t="s">
        <v>1566</v>
      </c>
      <c r="AF246" s="127"/>
      <c r="AG246" s="130"/>
      <c r="AH246" s="130" t="str">
        <f t="shared" si="118"/>
        <v xml:space="preserve"> </v>
      </c>
      <c r="AI246" s="130" t="str">
        <f t="shared" si="119"/>
        <v xml:space="preserve"> </v>
      </c>
      <c r="AJ246" s="144" t="str">
        <f t="shared" si="120"/>
        <v xml:space="preserve"> </v>
      </c>
      <c r="AK246" s="128" t="str">
        <f t="shared" si="121"/>
        <v xml:space="preserve"> </v>
      </c>
      <c r="AL246" s="128" t="str">
        <f t="shared" si="122"/>
        <v xml:space="preserve"> </v>
      </c>
      <c r="AM246" s="128">
        <f t="shared" si="123"/>
        <v>277</v>
      </c>
      <c r="AN246" s="130" t="str">
        <f t="shared" si="124"/>
        <v xml:space="preserve"> </v>
      </c>
      <c r="AO246" s="130"/>
      <c r="AP246" s="130"/>
    </row>
    <row r="247" spans="1:42">
      <c r="A247" s="131" t="s">
        <v>178</v>
      </c>
      <c r="B247" s="132">
        <v>8</v>
      </c>
      <c r="C247" s="118" t="s">
        <v>140</v>
      </c>
      <c r="D247" s="118">
        <v>2019</v>
      </c>
      <c r="E247" s="133">
        <v>67</v>
      </c>
      <c r="F247" s="133">
        <v>111</v>
      </c>
      <c r="G247" s="133">
        <v>408</v>
      </c>
      <c r="H247" s="134">
        <v>4714</v>
      </c>
      <c r="I247" s="133">
        <f t="shared" si="607"/>
        <v>5300</v>
      </c>
      <c r="J247" s="135"/>
      <c r="K247" s="138">
        <f t="shared" ref="K247:N247" si="623">K242*6</f>
        <v>16998</v>
      </c>
      <c r="L247" s="136">
        <f t="shared" si="623"/>
        <v>7866</v>
      </c>
      <c r="M247" s="137">
        <f t="shared" si="623"/>
        <v>18042</v>
      </c>
      <c r="N247" s="136">
        <f t="shared" si="623"/>
        <v>42906</v>
      </c>
      <c r="O247" s="135"/>
      <c r="P247" s="136">
        <f t="shared" si="611"/>
        <v>1849</v>
      </c>
      <c r="Q247" s="136">
        <f t="shared" ref="Q247:S247" si="624">G247+Q246</f>
        <v>4081</v>
      </c>
      <c r="R247" s="137">
        <f t="shared" si="624"/>
        <v>17489</v>
      </c>
      <c r="S247" s="136">
        <f t="shared" si="624"/>
        <v>23419</v>
      </c>
      <c r="T247" s="139"/>
      <c r="U247" s="140">
        <f t="shared" ref="U247:X247" si="625">P247/K247</f>
        <v>0.10877750323567478</v>
      </c>
      <c r="V247" s="140">
        <f t="shared" si="625"/>
        <v>0.51881515382659549</v>
      </c>
      <c r="W247" s="141">
        <f t="shared" si="625"/>
        <v>0.96934929608690834</v>
      </c>
      <c r="X247" s="140">
        <f t="shared" si="625"/>
        <v>0.54582109728243133</v>
      </c>
      <c r="Y247" s="146" t="s">
        <v>178</v>
      </c>
      <c r="Z247" s="143"/>
      <c r="AA247" s="138">
        <v>57207</v>
      </c>
      <c r="AB247" s="136">
        <v>42906</v>
      </c>
      <c r="AC247" s="128">
        <v>23419</v>
      </c>
      <c r="AD247" s="135"/>
      <c r="AE247" s="127">
        <f>N242</f>
        <v>7151</v>
      </c>
      <c r="AF247" s="127"/>
      <c r="AG247" s="130"/>
      <c r="AH247" s="130" t="str">
        <f t="shared" si="118"/>
        <v xml:space="preserve"> </v>
      </c>
      <c r="AI247" s="130" t="str">
        <f t="shared" si="119"/>
        <v xml:space="preserve"> </v>
      </c>
      <c r="AJ247" s="144" t="str">
        <f t="shared" si="120"/>
        <v xml:space="preserve"> </v>
      </c>
      <c r="AK247" s="128" t="str">
        <f t="shared" si="121"/>
        <v xml:space="preserve"> </v>
      </c>
      <c r="AL247" s="128" t="str">
        <f t="shared" si="122"/>
        <v xml:space="preserve"> </v>
      </c>
      <c r="AM247" s="128" t="str">
        <f t="shared" si="123"/>
        <v xml:space="preserve"> </v>
      </c>
      <c r="AN247" s="130">
        <f t="shared" si="124"/>
        <v>178</v>
      </c>
      <c r="AO247" s="130"/>
      <c r="AP247" s="130"/>
    </row>
    <row r="248" spans="1:42">
      <c r="A248" s="131"/>
      <c r="B248" s="132"/>
      <c r="C248" s="118"/>
      <c r="D248" s="118"/>
      <c r="E248" s="158"/>
      <c r="F248" s="158"/>
      <c r="G248" s="158"/>
      <c r="H248" s="158"/>
      <c r="I248" s="133"/>
      <c r="J248" s="135"/>
      <c r="K248" s="138"/>
      <c r="L248" s="136"/>
      <c r="M248" s="137"/>
      <c r="N248" s="136"/>
      <c r="O248" s="135"/>
      <c r="P248" s="136"/>
      <c r="Q248" s="136"/>
      <c r="R248" s="137"/>
      <c r="S248" s="136"/>
      <c r="T248" s="139"/>
      <c r="U248" s="140"/>
      <c r="V248" s="140"/>
      <c r="W248" s="141"/>
      <c r="X248" s="140"/>
      <c r="Y248" s="142"/>
      <c r="Z248" s="143"/>
      <c r="AA248" s="136"/>
      <c r="AB248" s="136" t="s">
        <v>1566</v>
      </c>
      <c r="AC248" s="128" t="s">
        <v>1566</v>
      </c>
      <c r="AD248" s="135"/>
      <c r="AE248" s="127" t="s">
        <v>1566</v>
      </c>
      <c r="AF248" s="127"/>
      <c r="AG248" s="130"/>
      <c r="AH248" s="130" t="str">
        <f t="shared" si="118"/>
        <v xml:space="preserve"> </v>
      </c>
      <c r="AI248" s="130" t="str">
        <f t="shared" si="119"/>
        <v xml:space="preserve"> </v>
      </c>
      <c r="AJ248" s="144" t="str">
        <f t="shared" si="120"/>
        <v xml:space="preserve"> </v>
      </c>
      <c r="AK248" s="128" t="str">
        <f t="shared" si="121"/>
        <v xml:space="preserve"> </v>
      </c>
      <c r="AL248" s="128" t="str">
        <f t="shared" si="122"/>
        <v xml:space="preserve"> </v>
      </c>
      <c r="AM248" s="128" t="str">
        <f t="shared" si="123"/>
        <v xml:space="preserve"> </v>
      </c>
      <c r="AN248" s="130" t="str">
        <f t="shared" si="124"/>
        <v xml:space="preserve"> </v>
      </c>
      <c r="AO248" s="130"/>
      <c r="AP248" s="130"/>
    </row>
    <row r="249" spans="1:42">
      <c r="A249" s="131" t="s">
        <v>179</v>
      </c>
      <c r="B249" s="132">
        <v>8</v>
      </c>
      <c r="C249" s="118" t="s">
        <v>180</v>
      </c>
      <c r="D249" s="118">
        <v>2013</v>
      </c>
      <c r="E249" s="133">
        <v>1471</v>
      </c>
      <c r="F249" s="133">
        <v>1842</v>
      </c>
      <c r="G249" s="133">
        <v>1173</v>
      </c>
      <c r="H249" s="134">
        <v>16310</v>
      </c>
      <c r="I249" s="133">
        <f t="shared" ref="I249:I255" si="626">E249+F249+G249+H249</f>
        <v>20796</v>
      </c>
      <c r="J249" s="135"/>
      <c r="K249" s="138">
        <f>ROUND((36450+27700)/8,0)</f>
        <v>8019</v>
      </c>
      <c r="L249" s="136">
        <f>ROUND('HCD Assigned 5th Cycle RHNA'!F9/B249,0)</f>
        <v>3826</v>
      </c>
      <c r="M249" s="137">
        <f>ROUND(67220/8,0)</f>
        <v>8403</v>
      </c>
      <c r="N249" s="136">
        <f>ROUND(161980/8,0)</f>
        <v>20248</v>
      </c>
      <c r="O249" s="135"/>
      <c r="P249" s="136">
        <f>E249+F249</f>
        <v>3313</v>
      </c>
      <c r="Q249" s="136">
        <f t="shared" ref="Q249:S249" si="627">G249</f>
        <v>1173</v>
      </c>
      <c r="R249" s="137">
        <f t="shared" si="627"/>
        <v>16310</v>
      </c>
      <c r="S249" s="136">
        <f t="shared" si="627"/>
        <v>20796</v>
      </c>
      <c r="T249" s="139"/>
      <c r="U249" s="140">
        <f t="shared" ref="U249:X249" si="628">P249/K249</f>
        <v>0.41314378351415387</v>
      </c>
      <c r="V249" s="140">
        <f t="shared" si="628"/>
        <v>0.30658651332984843</v>
      </c>
      <c r="W249" s="141">
        <f t="shared" si="628"/>
        <v>1.9409734618588599</v>
      </c>
      <c r="X249" s="140">
        <f t="shared" si="628"/>
        <v>1.0270644014223627</v>
      </c>
      <c r="Y249" s="142"/>
      <c r="Z249" s="143"/>
      <c r="AA249" s="136"/>
      <c r="AB249" s="136" t="s">
        <v>1566</v>
      </c>
      <c r="AC249" s="128" t="s">
        <v>1566</v>
      </c>
      <c r="AD249" s="135"/>
      <c r="AE249" s="127"/>
      <c r="AF249" s="127"/>
      <c r="AG249" s="130"/>
      <c r="AH249" s="130">
        <f t="shared" si="118"/>
        <v>3313</v>
      </c>
      <c r="AI249" s="130" t="str">
        <f t="shared" si="119"/>
        <v xml:space="preserve"> </v>
      </c>
      <c r="AJ249" s="144" t="str">
        <f t="shared" si="120"/>
        <v xml:space="preserve"> </v>
      </c>
      <c r="AK249" s="128" t="str">
        <f t="shared" si="121"/>
        <v xml:space="preserve"> </v>
      </c>
      <c r="AL249" s="128" t="str">
        <f t="shared" si="122"/>
        <v xml:space="preserve"> </v>
      </c>
      <c r="AM249" s="128" t="str">
        <f t="shared" si="123"/>
        <v xml:space="preserve"> </v>
      </c>
      <c r="AN249" s="130" t="str">
        <f t="shared" si="124"/>
        <v xml:space="preserve"> </v>
      </c>
      <c r="AO249" s="130"/>
      <c r="AP249" s="130"/>
    </row>
    <row r="250" spans="1:42">
      <c r="A250" s="131" t="s">
        <v>179</v>
      </c>
      <c r="B250" s="132">
        <v>8</v>
      </c>
      <c r="C250" s="118" t="s">
        <v>180</v>
      </c>
      <c r="D250" s="118">
        <v>2014</v>
      </c>
      <c r="E250" s="133">
        <v>302</v>
      </c>
      <c r="F250" s="133">
        <v>367</v>
      </c>
      <c r="G250" s="133">
        <v>174</v>
      </c>
      <c r="H250" s="134">
        <v>5488</v>
      </c>
      <c r="I250" s="133">
        <f t="shared" si="626"/>
        <v>6331</v>
      </c>
      <c r="J250" s="135"/>
      <c r="K250" s="136">
        <f t="shared" ref="K250:N250" si="629">K249*2</f>
        <v>16038</v>
      </c>
      <c r="L250" s="136">
        <f t="shared" si="629"/>
        <v>7652</v>
      </c>
      <c r="M250" s="137">
        <f t="shared" si="629"/>
        <v>16806</v>
      </c>
      <c r="N250" s="136">
        <f t="shared" si="629"/>
        <v>40496</v>
      </c>
      <c r="O250" s="135"/>
      <c r="P250" s="136">
        <f t="shared" ref="P250:P255" si="630">E250+F250+P249</f>
        <v>3982</v>
      </c>
      <c r="Q250" s="136">
        <f t="shared" ref="Q250:S250" si="631">G250+Q249</f>
        <v>1347</v>
      </c>
      <c r="R250" s="137">
        <f t="shared" si="631"/>
        <v>21798</v>
      </c>
      <c r="S250" s="136">
        <f t="shared" si="631"/>
        <v>27127</v>
      </c>
      <c r="T250" s="139"/>
      <c r="U250" s="140">
        <f t="shared" ref="U250:X250" si="632">P250/K250</f>
        <v>0.24828532235939643</v>
      </c>
      <c r="V250" s="140">
        <f t="shared" si="632"/>
        <v>0.17603240982749607</v>
      </c>
      <c r="W250" s="141">
        <f t="shared" si="632"/>
        <v>1.2970367725812211</v>
      </c>
      <c r="X250" s="140">
        <f t="shared" si="632"/>
        <v>0.66986862900039512</v>
      </c>
      <c r="Y250" s="142"/>
      <c r="Z250" s="143"/>
      <c r="AA250" s="136"/>
      <c r="AB250" s="136" t="s">
        <v>1566</v>
      </c>
      <c r="AC250" s="128" t="s">
        <v>1566</v>
      </c>
      <c r="AD250" s="135"/>
      <c r="AE250" s="127" t="s">
        <v>1566</v>
      </c>
      <c r="AF250" s="127"/>
      <c r="AG250" s="130"/>
      <c r="AH250" s="130" t="str">
        <f t="shared" si="118"/>
        <v xml:space="preserve"> </v>
      </c>
      <c r="AI250" s="130">
        <f t="shared" si="119"/>
        <v>669</v>
      </c>
      <c r="AJ250" s="144" t="str">
        <f t="shared" si="120"/>
        <v xml:space="preserve"> </v>
      </c>
      <c r="AK250" s="128" t="str">
        <f t="shared" si="121"/>
        <v xml:space="preserve"> </v>
      </c>
      <c r="AL250" s="128" t="str">
        <f t="shared" si="122"/>
        <v xml:space="preserve"> </v>
      </c>
      <c r="AM250" s="128" t="str">
        <f t="shared" si="123"/>
        <v xml:space="preserve"> </v>
      </c>
      <c r="AN250" s="130" t="str">
        <f t="shared" si="124"/>
        <v xml:space="preserve"> </v>
      </c>
      <c r="AO250" s="130"/>
      <c r="AP250" s="130"/>
    </row>
    <row r="251" spans="1:42">
      <c r="A251" s="131" t="s">
        <v>179</v>
      </c>
      <c r="B251" s="132">
        <v>8</v>
      </c>
      <c r="C251" s="118" t="s">
        <v>180</v>
      </c>
      <c r="D251" s="118">
        <v>2015</v>
      </c>
      <c r="E251" s="133">
        <v>318</v>
      </c>
      <c r="F251" s="133">
        <v>555</v>
      </c>
      <c r="G251" s="133">
        <v>278</v>
      </c>
      <c r="H251" s="134">
        <v>7222</v>
      </c>
      <c r="I251" s="133">
        <f t="shared" si="626"/>
        <v>8373</v>
      </c>
      <c r="J251" s="135"/>
      <c r="K251" s="136">
        <f t="shared" ref="K251:N251" si="633">K249*3</f>
        <v>24057</v>
      </c>
      <c r="L251" s="136">
        <f t="shared" si="633"/>
        <v>11478</v>
      </c>
      <c r="M251" s="137">
        <f t="shared" si="633"/>
        <v>25209</v>
      </c>
      <c r="N251" s="136">
        <f t="shared" si="633"/>
        <v>60744</v>
      </c>
      <c r="O251" s="135"/>
      <c r="P251" s="136">
        <f t="shared" si="630"/>
        <v>4855</v>
      </c>
      <c r="Q251" s="136">
        <f t="shared" ref="Q251:S251" si="634">G251+Q250</f>
        <v>1625</v>
      </c>
      <c r="R251" s="137">
        <f t="shared" si="634"/>
        <v>29020</v>
      </c>
      <c r="S251" s="136">
        <f t="shared" si="634"/>
        <v>35500</v>
      </c>
      <c r="T251" s="139"/>
      <c r="U251" s="140">
        <f t="shared" ref="U251:X251" si="635">P251/K251</f>
        <v>0.20181236230618946</v>
      </c>
      <c r="V251" s="140">
        <f t="shared" si="635"/>
        <v>0.14157518731486321</v>
      </c>
      <c r="W251" s="141">
        <f t="shared" si="635"/>
        <v>1.1511761672418581</v>
      </c>
      <c r="X251" s="140">
        <f t="shared" si="635"/>
        <v>0.58441986039773475</v>
      </c>
      <c r="Y251" s="142"/>
      <c r="Z251" s="143"/>
      <c r="AA251" s="136"/>
      <c r="AB251" s="136" t="s">
        <v>1566</v>
      </c>
      <c r="AC251" s="128" t="s">
        <v>1566</v>
      </c>
      <c r="AD251" s="135"/>
      <c r="AE251" s="127"/>
      <c r="AF251" s="127"/>
      <c r="AG251" s="130"/>
      <c r="AH251" s="130" t="str">
        <f t="shared" si="118"/>
        <v xml:space="preserve"> </v>
      </c>
      <c r="AI251" s="130" t="str">
        <f t="shared" si="119"/>
        <v xml:space="preserve"> </v>
      </c>
      <c r="AJ251" s="130">
        <f t="shared" si="120"/>
        <v>873</v>
      </c>
      <c r="AK251" s="128" t="str">
        <f t="shared" si="121"/>
        <v xml:space="preserve"> </v>
      </c>
      <c r="AL251" s="128" t="str">
        <f t="shared" si="122"/>
        <v xml:space="preserve"> </v>
      </c>
      <c r="AM251" s="128" t="str">
        <f t="shared" si="123"/>
        <v xml:space="preserve"> </v>
      </c>
      <c r="AN251" s="130" t="str">
        <f t="shared" si="124"/>
        <v xml:space="preserve"> </v>
      </c>
      <c r="AO251" s="130"/>
      <c r="AP251" s="130"/>
    </row>
    <row r="252" spans="1:42">
      <c r="A252" s="131" t="s">
        <v>179</v>
      </c>
      <c r="B252" s="132">
        <v>8</v>
      </c>
      <c r="C252" s="118" t="s">
        <v>180</v>
      </c>
      <c r="D252" s="118">
        <v>2016</v>
      </c>
      <c r="E252" s="133">
        <v>178</v>
      </c>
      <c r="F252" s="133">
        <v>639</v>
      </c>
      <c r="G252" s="133">
        <v>316</v>
      </c>
      <c r="H252" s="134">
        <v>9666</v>
      </c>
      <c r="I252" s="133">
        <f t="shared" si="626"/>
        <v>10799</v>
      </c>
      <c r="J252" s="135"/>
      <c r="K252" s="136">
        <f t="shared" ref="K252:N252" si="636">K249*4</f>
        <v>32076</v>
      </c>
      <c r="L252" s="136">
        <f t="shared" si="636"/>
        <v>15304</v>
      </c>
      <c r="M252" s="137">
        <f t="shared" si="636"/>
        <v>33612</v>
      </c>
      <c r="N252" s="136">
        <f t="shared" si="636"/>
        <v>80992</v>
      </c>
      <c r="O252" s="135"/>
      <c r="P252" s="136">
        <f t="shared" si="630"/>
        <v>5672</v>
      </c>
      <c r="Q252" s="136">
        <f t="shared" ref="Q252:S252" si="637">G252+Q251</f>
        <v>1941</v>
      </c>
      <c r="R252" s="137">
        <f t="shared" si="637"/>
        <v>38686</v>
      </c>
      <c r="S252" s="136">
        <f t="shared" si="637"/>
        <v>46299</v>
      </c>
      <c r="T252" s="139"/>
      <c r="U252" s="140">
        <f t="shared" ref="U252:X252" si="638">P252/K252</f>
        <v>0.17683002868188052</v>
      </c>
      <c r="V252" s="140">
        <f t="shared" si="638"/>
        <v>0.126829587036069</v>
      </c>
      <c r="W252" s="141">
        <f t="shared" si="638"/>
        <v>1.1509579911936214</v>
      </c>
      <c r="X252" s="140">
        <f t="shared" si="638"/>
        <v>0.57164905175819836</v>
      </c>
      <c r="Y252" s="142"/>
      <c r="Z252" s="143"/>
      <c r="AA252" s="136"/>
      <c r="AB252" s="136" t="s">
        <v>1566</v>
      </c>
      <c r="AC252" s="128" t="s">
        <v>1566</v>
      </c>
      <c r="AD252" s="135"/>
      <c r="AE252" s="127" t="s">
        <v>1566</v>
      </c>
      <c r="AF252" s="127"/>
      <c r="AG252" s="130"/>
      <c r="AH252" s="130" t="str">
        <f t="shared" si="118"/>
        <v xml:space="preserve"> </v>
      </c>
      <c r="AI252" s="130" t="str">
        <f t="shared" si="119"/>
        <v xml:space="preserve"> </v>
      </c>
      <c r="AJ252" s="144" t="str">
        <f t="shared" si="120"/>
        <v xml:space="preserve"> </v>
      </c>
      <c r="AK252" s="128">
        <f t="shared" si="121"/>
        <v>817</v>
      </c>
      <c r="AL252" s="128" t="str">
        <f t="shared" si="122"/>
        <v xml:space="preserve"> </v>
      </c>
      <c r="AM252" s="128" t="str">
        <f t="shared" si="123"/>
        <v xml:space="preserve"> </v>
      </c>
      <c r="AN252" s="130" t="str">
        <f t="shared" si="124"/>
        <v xml:space="preserve"> </v>
      </c>
      <c r="AO252" s="130"/>
      <c r="AP252" s="130"/>
    </row>
    <row r="253" spans="1:42">
      <c r="A253" s="131" t="s">
        <v>179</v>
      </c>
      <c r="B253" s="132">
        <v>8</v>
      </c>
      <c r="C253" s="118" t="s">
        <v>180</v>
      </c>
      <c r="D253" s="118">
        <v>2017</v>
      </c>
      <c r="E253" s="133">
        <v>448</v>
      </c>
      <c r="F253" s="133">
        <v>540</v>
      </c>
      <c r="G253" s="133">
        <v>256</v>
      </c>
      <c r="H253" s="134">
        <v>8155</v>
      </c>
      <c r="I253" s="133">
        <f t="shared" si="626"/>
        <v>9399</v>
      </c>
      <c r="J253" s="135"/>
      <c r="K253" s="136">
        <f t="shared" ref="K253:N253" si="639">K249*5</f>
        <v>40095</v>
      </c>
      <c r="L253" s="136">
        <f t="shared" si="639"/>
        <v>19130</v>
      </c>
      <c r="M253" s="137">
        <f t="shared" si="639"/>
        <v>42015</v>
      </c>
      <c r="N253" s="136">
        <f t="shared" si="639"/>
        <v>101240</v>
      </c>
      <c r="O253" s="135"/>
      <c r="P253" s="136">
        <f t="shared" si="630"/>
        <v>6660</v>
      </c>
      <c r="Q253" s="136">
        <f t="shared" ref="Q253:S253" si="640">G253+Q252</f>
        <v>2197</v>
      </c>
      <c r="R253" s="137">
        <f t="shared" si="640"/>
        <v>46841</v>
      </c>
      <c r="S253" s="136">
        <f t="shared" si="640"/>
        <v>55698</v>
      </c>
      <c r="T253" s="139"/>
      <c r="U253" s="140">
        <f t="shared" ref="U253:X253" si="641">P253/K253</f>
        <v>0.16610549943883277</v>
      </c>
      <c r="V253" s="140">
        <f t="shared" si="641"/>
        <v>0.11484579194981705</v>
      </c>
      <c r="W253" s="141">
        <f t="shared" si="641"/>
        <v>1.114863739140783</v>
      </c>
      <c r="X253" s="140">
        <f t="shared" si="641"/>
        <v>0.5501580403002766</v>
      </c>
      <c r="Y253" s="142"/>
      <c r="Z253" s="143"/>
      <c r="AA253" s="136"/>
      <c r="AB253" s="136" t="s">
        <v>1566</v>
      </c>
      <c r="AC253" s="128" t="s">
        <v>1566</v>
      </c>
      <c r="AD253" s="135"/>
      <c r="AE253" s="127" t="s">
        <v>1566</v>
      </c>
      <c r="AF253" s="127"/>
      <c r="AG253" s="130"/>
      <c r="AH253" s="130" t="str">
        <f t="shared" si="118"/>
        <v xml:space="preserve"> </v>
      </c>
      <c r="AI253" s="130" t="str">
        <f t="shared" si="119"/>
        <v xml:space="preserve"> </v>
      </c>
      <c r="AJ253" s="144" t="str">
        <f t="shared" si="120"/>
        <v xml:space="preserve"> </v>
      </c>
      <c r="AK253" s="128" t="str">
        <f t="shared" si="121"/>
        <v xml:space="preserve"> </v>
      </c>
      <c r="AL253" s="128">
        <f t="shared" si="122"/>
        <v>988</v>
      </c>
      <c r="AM253" s="128" t="str">
        <f t="shared" si="123"/>
        <v xml:space="preserve"> </v>
      </c>
      <c r="AN253" s="130" t="str">
        <f t="shared" si="124"/>
        <v xml:space="preserve"> </v>
      </c>
      <c r="AO253" s="130"/>
      <c r="AP253" s="130"/>
    </row>
    <row r="254" spans="1:42">
      <c r="A254" s="131" t="s">
        <v>179</v>
      </c>
      <c r="B254" s="132">
        <v>8</v>
      </c>
      <c r="C254" s="118" t="s">
        <v>180</v>
      </c>
      <c r="D254" s="118">
        <v>2018</v>
      </c>
      <c r="E254" s="133">
        <v>270</v>
      </c>
      <c r="F254" s="133">
        <v>429</v>
      </c>
      <c r="G254" s="133">
        <v>293</v>
      </c>
      <c r="H254" s="134">
        <v>7682</v>
      </c>
      <c r="I254" s="133">
        <f t="shared" si="626"/>
        <v>8674</v>
      </c>
      <c r="J254" s="135"/>
      <c r="K254" s="136">
        <f t="shared" ref="K254:N254" si="642">K249*6</f>
        <v>48114</v>
      </c>
      <c r="L254" s="136">
        <f t="shared" si="642"/>
        <v>22956</v>
      </c>
      <c r="M254" s="137">
        <f t="shared" si="642"/>
        <v>50418</v>
      </c>
      <c r="N254" s="136">
        <f t="shared" si="642"/>
        <v>121488</v>
      </c>
      <c r="O254" s="135"/>
      <c r="P254" s="136">
        <f t="shared" si="630"/>
        <v>7359</v>
      </c>
      <c r="Q254" s="136">
        <f t="shared" ref="Q254:S254" si="643">G254+Q253</f>
        <v>2490</v>
      </c>
      <c r="R254" s="137">
        <f t="shared" si="643"/>
        <v>54523</v>
      </c>
      <c r="S254" s="136">
        <f t="shared" si="643"/>
        <v>64372</v>
      </c>
      <c r="T254" s="139"/>
      <c r="U254" s="140">
        <f t="shared" ref="U254:X254" si="644">P254/K254</f>
        <v>0.15294924554183814</v>
      </c>
      <c r="V254" s="140">
        <f t="shared" si="644"/>
        <v>0.10846837428123367</v>
      </c>
      <c r="W254" s="141">
        <f t="shared" si="644"/>
        <v>1.0814193343647109</v>
      </c>
      <c r="X254" s="140">
        <f t="shared" si="644"/>
        <v>0.52986303173976035</v>
      </c>
      <c r="Y254" s="142"/>
      <c r="Z254" s="143"/>
      <c r="AA254" s="136"/>
      <c r="AB254" s="136" t="s">
        <v>1566</v>
      </c>
      <c r="AC254" s="128" t="s">
        <v>1566</v>
      </c>
      <c r="AD254" s="135"/>
      <c r="AE254" s="127" t="s">
        <v>1566</v>
      </c>
      <c r="AF254" s="127"/>
      <c r="AG254" s="130"/>
      <c r="AH254" s="130" t="str">
        <f t="shared" si="118"/>
        <v xml:space="preserve"> </v>
      </c>
      <c r="AI254" s="130" t="str">
        <f t="shared" si="119"/>
        <v xml:space="preserve"> </v>
      </c>
      <c r="AJ254" s="144" t="str">
        <f t="shared" si="120"/>
        <v xml:space="preserve"> </v>
      </c>
      <c r="AK254" s="128" t="str">
        <f t="shared" si="121"/>
        <v xml:space="preserve"> </v>
      </c>
      <c r="AL254" s="128" t="str">
        <f t="shared" si="122"/>
        <v xml:space="preserve"> </v>
      </c>
      <c r="AM254" s="128">
        <f t="shared" si="123"/>
        <v>699</v>
      </c>
      <c r="AN254" s="130" t="str">
        <f t="shared" si="124"/>
        <v xml:space="preserve"> </v>
      </c>
      <c r="AO254" s="130"/>
      <c r="AP254" s="130"/>
    </row>
    <row r="255" spans="1:42">
      <c r="A255" s="131" t="s">
        <v>179</v>
      </c>
      <c r="B255" s="132">
        <v>8</v>
      </c>
      <c r="C255" s="118" t="s">
        <v>180</v>
      </c>
      <c r="D255" s="118">
        <v>2019</v>
      </c>
      <c r="E255" s="133">
        <v>788</v>
      </c>
      <c r="F255" s="133">
        <v>754</v>
      </c>
      <c r="G255" s="133">
        <v>200</v>
      </c>
      <c r="H255" s="134">
        <v>7464</v>
      </c>
      <c r="I255" s="133">
        <f t="shared" si="626"/>
        <v>9206</v>
      </c>
      <c r="J255" s="135"/>
      <c r="K255" s="136">
        <f t="shared" ref="K255:N255" si="645">K249*7</f>
        <v>56133</v>
      </c>
      <c r="L255" s="136">
        <f t="shared" si="645"/>
        <v>26782</v>
      </c>
      <c r="M255" s="137">
        <f t="shared" si="645"/>
        <v>58821</v>
      </c>
      <c r="N255" s="136">
        <f t="shared" si="645"/>
        <v>141736</v>
      </c>
      <c r="O255" s="135"/>
      <c r="P255" s="136">
        <f t="shared" si="630"/>
        <v>8901</v>
      </c>
      <c r="Q255" s="136">
        <f t="shared" ref="Q255:R255" si="646">G255+Q254</f>
        <v>2690</v>
      </c>
      <c r="R255" s="137">
        <f t="shared" si="646"/>
        <v>61987</v>
      </c>
      <c r="S255" s="136">
        <f>P255+Q255+R255</f>
        <v>73578</v>
      </c>
      <c r="T255" s="139"/>
      <c r="U255" s="140">
        <f t="shared" ref="U255:X255" si="647">P255/K255</f>
        <v>0.15856982523649191</v>
      </c>
      <c r="V255" s="140">
        <f t="shared" si="647"/>
        <v>0.10044059442909417</v>
      </c>
      <c r="W255" s="141">
        <f t="shared" si="647"/>
        <v>1.053824314445521</v>
      </c>
      <c r="X255" s="140">
        <f t="shared" si="647"/>
        <v>0.51912005418524576</v>
      </c>
      <c r="Y255" s="146" t="s">
        <v>179</v>
      </c>
      <c r="Z255" s="143"/>
      <c r="AA255" s="136">
        <f>161980</f>
        <v>161980</v>
      </c>
      <c r="AB255" s="136">
        <v>141736</v>
      </c>
      <c r="AC255" s="128">
        <v>73578</v>
      </c>
      <c r="AD255" s="135"/>
      <c r="AE255" s="127">
        <f>N249</f>
        <v>20248</v>
      </c>
      <c r="AF255" s="127"/>
      <c r="AG255" s="130"/>
      <c r="AH255" s="130" t="str">
        <f t="shared" si="118"/>
        <v xml:space="preserve"> </v>
      </c>
      <c r="AI255" s="130" t="str">
        <f t="shared" si="119"/>
        <v xml:space="preserve"> </v>
      </c>
      <c r="AJ255" s="144" t="str">
        <f t="shared" si="120"/>
        <v xml:space="preserve"> </v>
      </c>
      <c r="AK255" s="128" t="str">
        <f t="shared" si="121"/>
        <v xml:space="preserve"> </v>
      </c>
      <c r="AL255" s="128" t="str">
        <f t="shared" si="122"/>
        <v xml:space="preserve"> </v>
      </c>
      <c r="AM255" s="128" t="str">
        <f t="shared" si="123"/>
        <v xml:space="preserve"> </v>
      </c>
      <c r="AN255" s="130">
        <f t="shared" si="124"/>
        <v>1542</v>
      </c>
      <c r="AO255" s="130"/>
      <c r="AP255" s="130"/>
    </row>
    <row r="256" spans="1:42">
      <c r="A256" s="131"/>
      <c r="B256" s="132"/>
      <c r="C256" s="118"/>
      <c r="D256" s="118"/>
      <c r="E256" s="133"/>
      <c r="F256" s="133"/>
      <c r="G256" s="133"/>
      <c r="H256" s="134"/>
      <c r="I256" s="133"/>
      <c r="J256" s="135"/>
      <c r="K256" s="159"/>
      <c r="L256" s="159"/>
      <c r="M256" s="160"/>
      <c r="N256" s="159"/>
      <c r="O256" s="135"/>
      <c r="P256" s="136"/>
      <c r="Q256" s="136"/>
      <c r="R256" s="137"/>
      <c r="S256" s="136"/>
      <c r="T256" s="139"/>
      <c r="U256" s="140"/>
      <c r="V256" s="140"/>
      <c r="W256" s="141"/>
      <c r="X256" s="140"/>
      <c r="Y256" s="142"/>
      <c r="Z256" s="143"/>
      <c r="AA256" s="136"/>
      <c r="AB256" s="136"/>
      <c r="AC256" s="128"/>
      <c r="AD256" s="135"/>
      <c r="AE256" s="127"/>
      <c r="AF256" s="127"/>
      <c r="AG256" s="130"/>
      <c r="AH256" s="130" t="str">
        <f t="shared" si="118"/>
        <v xml:space="preserve"> </v>
      </c>
      <c r="AI256" s="130" t="str">
        <f t="shared" si="119"/>
        <v xml:space="preserve"> </v>
      </c>
      <c r="AJ256" s="144" t="str">
        <f t="shared" si="120"/>
        <v xml:space="preserve"> </v>
      </c>
      <c r="AK256" s="128" t="str">
        <f t="shared" si="121"/>
        <v xml:space="preserve"> </v>
      </c>
      <c r="AL256" s="128" t="str">
        <f t="shared" si="122"/>
        <v xml:space="preserve"> </v>
      </c>
      <c r="AM256" s="128" t="str">
        <f t="shared" si="123"/>
        <v xml:space="preserve"> </v>
      </c>
      <c r="AN256" s="130" t="str">
        <f t="shared" si="124"/>
        <v xml:space="preserve"> </v>
      </c>
      <c r="AO256" s="130"/>
      <c r="AP256" s="130"/>
    </row>
    <row r="257" spans="1:42">
      <c r="A257" s="131" t="s">
        <v>181</v>
      </c>
      <c r="B257" s="132">
        <v>8</v>
      </c>
      <c r="C257" s="118" t="s">
        <v>167</v>
      </c>
      <c r="D257" s="118">
        <v>2014</v>
      </c>
      <c r="E257" s="133">
        <v>552</v>
      </c>
      <c r="F257" s="133">
        <v>377</v>
      </c>
      <c r="G257" s="133">
        <v>77</v>
      </c>
      <c r="H257" s="134">
        <v>2430</v>
      </c>
      <c r="I257" s="133">
        <f t="shared" ref="I257:I262" si="648">E257+F257+G257+H257</f>
        <v>3436</v>
      </c>
      <c r="J257" s="135"/>
      <c r="K257" s="136"/>
      <c r="L257" s="138"/>
      <c r="M257" s="147"/>
      <c r="N257" s="136"/>
      <c r="O257" s="135"/>
      <c r="P257" s="136">
        <f>E257+F257</f>
        <v>929</v>
      </c>
      <c r="Q257" s="136">
        <f t="shared" ref="Q257:R257" si="649">G257</f>
        <v>77</v>
      </c>
      <c r="R257" s="137">
        <f t="shared" si="649"/>
        <v>2430</v>
      </c>
      <c r="S257" s="136">
        <f>P257+Q257+R257</f>
        <v>3436</v>
      </c>
      <c r="T257" s="139"/>
      <c r="U257" s="140"/>
      <c r="V257" s="140"/>
      <c r="W257" s="141"/>
      <c r="X257" s="140"/>
      <c r="Y257" s="142"/>
      <c r="Z257" s="143"/>
      <c r="AA257" s="136"/>
      <c r="AB257" s="136"/>
      <c r="AC257" s="128"/>
      <c r="AD257" s="135"/>
      <c r="AE257" s="127"/>
      <c r="AF257" s="127"/>
      <c r="AG257" s="130"/>
      <c r="AH257" s="130" t="str">
        <f t="shared" si="118"/>
        <v xml:space="preserve"> </v>
      </c>
      <c r="AI257" s="130">
        <f t="shared" si="119"/>
        <v>929</v>
      </c>
      <c r="AJ257" s="144" t="str">
        <f t="shared" si="120"/>
        <v xml:space="preserve"> </v>
      </c>
      <c r="AK257" s="128" t="str">
        <f t="shared" si="121"/>
        <v xml:space="preserve"> </v>
      </c>
      <c r="AL257" s="128" t="str">
        <f t="shared" si="122"/>
        <v xml:space="preserve"> </v>
      </c>
      <c r="AM257" s="128" t="str">
        <f t="shared" si="123"/>
        <v xml:space="preserve"> </v>
      </c>
      <c r="AN257" s="130" t="str">
        <f t="shared" si="124"/>
        <v xml:space="preserve"> </v>
      </c>
      <c r="AO257" s="130"/>
      <c r="AP257" s="130"/>
    </row>
    <row r="258" spans="1:42">
      <c r="A258" s="131" t="s">
        <v>181</v>
      </c>
      <c r="B258" s="132">
        <v>8</v>
      </c>
      <c r="C258" s="118" t="s">
        <v>167</v>
      </c>
      <c r="D258" s="118">
        <v>2015</v>
      </c>
      <c r="E258" s="133">
        <v>429</v>
      </c>
      <c r="F258" s="133">
        <v>179</v>
      </c>
      <c r="G258" s="133">
        <v>113</v>
      </c>
      <c r="H258" s="134">
        <v>2874</v>
      </c>
      <c r="I258" s="133">
        <f t="shared" si="648"/>
        <v>3595</v>
      </c>
      <c r="J258" s="135"/>
      <c r="K258" s="136">
        <f>ROUND((6234+4639)/8,0)</f>
        <v>1359</v>
      </c>
      <c r="L258" s="138">
        <f>ROUND('HCD Assigned 5th Cycle RHNA'!F307/B258,0)</f>
        <v>683</v>
      </c>
      <c r="M258" s="147">
        <f>ROUND(12536/8,0)</f>
        <v>1567</v>
      </c>
      <c r="N258" s="136">
        <f>ROUND(28869/8,0)</f>
        <v>3609</v>
      </c>
      <c r="O258" s="135"/>
      <c r="P258" s="136">
        <f t="shared" ref="P258:P262" si="650">E258+F258+P257</f>
        <v>1537</v>
      </c>
      <c r="Q258" s="136">
        <f t="shared" ref="Q258:S258" si="651">G258+Q257</f>
        <v>190</v>
      </c>
      <c r="R258" s="137">
        <f t="shared" si="651"/>
        <v>5304</v>
      </c>
      <c r="S258" s="136">
        <f t="shared" si="651"/>
        <v>7031</v>
      </c>
      <c r="T258" s="139"/>
      <c r="U258" s="140">
        <f t="shared" ref="U258:X258" si="652">P258/K258</f>
        <v>1.1309786607799852</v>
      </c>
      <c r="V258" s="140">
        <f t="shared" si="652"/>
        <v>0.27818448023426062</v>
      </c>
      <c r="W258" s="141">
        <f t="shared" si="652"/>
        <v>3.3848117421825146</v>
      </c>
      <c r="X258" s="140">
        <f t="shared" si="652"/>
        <v>1.9481850928234967</v>
      </c>
      <c r="Y258" s="142"/>
      <c r="Z258" s="143"/>
      <c r="AA258" s="136"/>
      <c r="AB258" s="136" t="s">
        <v>1566</v>
      </c>
      <c r="AC258" s="128" t="s">
        <v>1566</v>
      </c>
      <c r="AD258" s="135"/>
      <c r="AE258" s="127"/>
      <c r="AF258" s="127"/>
      <c r="AG258" s="130"/>
      <c r="AH258" s="130" t="str">
        <f t="shared" si="118"/>
        <v xml:space="preserve"> </v>
      </c>
      <c r="AI258" s="130" t="str">
        <f t="shared" si="119"/>
        <v xml:space="preserve"> </v>
      </c>
      <c r="AJ258" s="130">
        <f t="shared" si="120"/>
        <v>608</v>
      </c>
      <c r="AK258" s="128" t="str">
        <f t="shared" si="121"/>
        <v xml:space="preserve"> </v>
      </c>
      <c r="AL258" s="128" t="str">
        <f t="shared" si="122"/>
        <v xml:space="preserve"> </v>
      </c>
      <c r="AM258" s="128" t="str">
        <f t="shared" si="123"/>
        <v xml:space="preserve"> </v>
      </c>
      <c r="AN258" s="130" t="str">
        <f t="shared" si="124"/>
        <v xml:space="preserve"> </v>
      </c>
      <c r="AO258" s="130"/>
      <c r="AP258" s="130"/>
    </row>
    <row r="259" spans="1:42">
      <c r="A259" s="131" t="s">
        <v>181</v>
      </c>
      <c r="B259" s="132">
        <v>8</v>
      </c>
      <c r="C259" s="118" t="s">
        <v>167</v>
      </c>
      <c r="D259" s="118">
        <v>2016</v>
      </c>
      <c r="E259" s="133">
        <v>410</v>
      </c>
      <c r="F259" s="133">
        <v>353</v>
      </c>
      <c r="G259" s="133">
        <v>333</v>
      </c>
      <c r="H259" s="134">
        <v>3604</v>
      </c>
      <c r="I259" s="133">
        <f t="shared" si="648"/>
        <v>4700</v>
      </c>
      <c r="J259" s="135"/>
      <c r="K259" s="136">
        <f t="shared" ref="K259:N259" si="653">K258*2</f>
        <v>2718</v>
      </c>
      <c r="L259" s="136">
        <f t="shared" si="653"/>
        <v>1366</v>
      </c>
      <c r="M259" s="137">
        <f t="shared" si="653"/>
        <v>3134</v>
      </c>
      <c r="N259" s="136">
        <f t="shared" si="653"/>
        <v>7218</v>
      </c>
      <c r="O259" s="135"/>
      <c r="P259" s="136">
        <f t="shared" si="650"/>
        <v>2300</v>
      </c>
      <c r="Q259" s="136">
        <f t="shared" ref="Q259:S259" si="654">G259+Q258</f>
        <v>523</v>
      </c>
      <c r="R259" s="137">
        <f t="shared" si="654"/>
        <v>8908</v>
      </c>
      <c r="S259" s="136">
        <f t="shared" si="654"/>
        <v>11731</v>
      </c>
      <c r="T259" s="139"/>
      <c r="U259" s="140">
        <f t="shared" ref="U259:X259" si="655">P259/K259</f>
        <v>0.84621044885945551</v>
      </c>
      <c r="V259" s="140">
        <f t="shared" si="655"/>
        <v>0.3828696925329429</v>
      </c>
      <c r="W259" s="141">
        <f t="shared" si="655"/>
        <v>2.8423739629865987</v>
      </c>
      <c r="X259" s="140">
        <f t="shared" si="655"/>
        <v>1.6252424494319757</v>
      </c>
      <c r="Y259" s="142"/>
      <c r="Z259" s="143"/>
      <c r="AA259" s="136"/>
      <c r="AB259" s="136" t="s">
        <v>1566</v>
      </c>
      <c r="AC259" s="128" t="s">
        <v>1566</v>
      </c>
      <c r="AD259" s="135"/>
      <c r="AE259" s="127" t="s">
        <v>1566</v>
      </c>
      <c r="AF259" s="127"/>
      <c r="AG259" s="130"/>
      <c r="AH259" s="130" t="str">
        <f t="shared" si="118"/>
        <v xml:space="preserve"> </v>
      </c>
      <c r="AI259" s="130" t="str">
        <f t="shared" si="119"/>
        <v xml:space="preserve"> </v>
      </c>
      <c r="AJ259" s="144" t="str">
        <f t="shared" si="120"/>
        <v xml:space="preserve"> </v>
      </c>
      <c r="AK259" s="128">
        <f t="shared" si="121"/>
        <v>763</v>
      </c>
      <c r="AL259" s="128" t="str">
        <f t="shared" si="122"/>
        <v xml:space="preserve"> </v>
      </c>
      <c r="AM259" s="128" t="str">
        <f t="shared" si="123"/>
        <v xml:space="preserve"> </v>
      </c>
      <c r="AN259" s="130" t="str">
        <f t="shared" si="124"/>
        <v xml:space="preserve"> </v>
      </c>
      <c r="AO259" s="130"/>
      <c r="AP259" s="130"/>
    </row>
    <row r="260" spans="1:42">
      <c r="A260" s="131" t="s">
        <v>181</v>
      </c>
      <c r="B260" s="132">
        <v>8</v>
      </c>
      <c r="C260" s="118" t="s">
        <v>167</v>
      </c>
      <c r="D260" s="118">
        <v>2017</v>
      </c>
      <c r="E260" s="133">
        <v>468</v>
      </c>
      <c r="F260" s="133">
        <v>427</v>
      </c>
      <c r="G260" s="133">
        <v>268</v>
      </c>
      <c r="H260" s="134">
        <v>4641</v>
      </c>
      <c r="I260" s="133">
        <f t="shared" si="648"/>
        <v>5804</v>
      </c>
      <c r="J260" s="135"/>
      <c r="K260" s="136">
        <f t="shared" ref="K260:N260" si="656">K258*3</f>
        <v>4077</v>
      </c>
      <c r="L260" s="136">
        <f t="shared" si="656"/>
        <v>2049</v>
      </c>
      <c r="M260" s="137">
        <f t="shared" si="656"/>
        <v>4701</v>
      </c>
      <c r="N260" s="136">
        <f t="shared" si="656"/>
        <v>10827</v>
      </c>
      <c r="O260" s="135"/>
      <c r="P260" s="136">
        <f t="shared" si="650"/>
        <v>3195</v>
      </c>
      <c r="Q260" s="136">
        <f t="shared" ref="Q260:S260" si="657">G260+Q259</f>
        <v>791</v>
      </c>
      <c r="R260" s="137">
        <f t="shared" si="657"/>
        <v>13549</v>
      </c>
      <c r="S260" s="136">
        <f t="shared" si="657"/>
        <v>17535</v>
      </c>
      <c r="T260" s="139"/>
      <c r="U260" s="140">
        <f t="shared" ref="U260:X260" si="658">P260/K260</f>
        <v>0.78366445916114791</v>
      </c>
      <c r="V260" s="140">
        <f t="shared" si="658"/>
        <v>0.38604197169350901</v>
      </c>
      <c r="W260" s="141">
        <f t="shared" si="658"/>
        <v>2.8821527334609658</v>
      </c>
      <c r="X260" s="140">
        <f t="shared" si="658"/>
        <v>1.6195622055971184</v>
      </c>
      <c r="Y260" s="142"/>
      <c r="Z260" s="143"/>
      <c r="AA260" s="136"/>
      <c r="AB260" s="136" t="s">
        <v>1566</v>
      </c>
      <c r="AC260" s="128" t="s">
        <v>1566</v>
      </c>
      <c r="AD260" s="135"/>
      <c r="AE260" s="127" t="s">
        <v>1566</v>
      </c>
      <c r="AF260" s="127"/>
      <c r="AG260" s="130"/>
      <c r="AH260" s="130" t="str">
        <f t="shared" si="118"/>
        <v xml:space="preserve"> </v>
      </c>
      <c r="AI260" s="130" t="str">
        <f t="shared" si="119"/>
        <v xml:space="preserve"> </v>
      </c>
      <c r="AJ260" s="144" t="str">
        <f t="shared" si="120"/>
        <v xml:space="preserve"> </v>
      </c>
      <c r="AK260" s="128" t="str">
        <f t="shared" si="121"/>
        <v xml:space="preserve"> </v>
      </c>
      <c r="AL260" s="128">
        <f t="shared" si="122"/>
        <v>895</v>
      </c>
      <c r="AM260" s="128" t="str">
        <f t="shared" si="123"/>
        <v xml:space="preserve"> </v>
      </c>
      <c r="AN260" s="130" t="str">
        <f t="shared" si="124"/>
        <v xml:space="preserve"> </v>
      </c>
      <c r="AO260" s="130"/>
      <c r="AP260" s="130"/>
    </row>
    <row r="261" spans="1:42">
      <c r="A261" s="131" t="s">
        <v>181</v>
      </c>
      <c r="B261" s="132">
        <v>8</v>
      </c>
      <c r="C261" s="118" t="s">
        <v>167</v>
      </c>
      <c r="D261" s="118">
        <v>2018</v>
      </c>
      <c r="E261" s="133">
        <v>0</v>
      </c>
      <c r="F261" s="133">
        <v>922</v>
      </c>
      <c r="G261" s="133">
        <v>492</v>
      </c>
      <c r="H261" s="134">
        <v>4683</v>
      </c>
      <c r="I261" s="133">
        <f t="shared" si="648"/>
        <v>6097</v>
      </c>
      <c r="J261" s="135"/>
      <c r="K261" s="136">
        <f t="shared" ref="K261:N261" si="659">K258*4</f>
        <v>5436</v>
      </c>
      <c r="L261" s="136">
        <f t="shared" si="659"/>
        <v>2732</v>
      </c>
      <c r="M261" s="137">
        <f t="shared" si="659"/>
        <v>6268</v>
      </c>
      <c r="N261" s="136">
        <f t="shared" si="659"/>
        <v>14436</v>
      </c>
      <c r="O261" s="135"/>
      <c r="P261" s="136">
        <f t="shared" si="650"/>
        <v>4117</v>
      </c>
      <c r="Q261" s="136">
        <f t="shared" ref="Q261:S261" si="660">G261+Q260</f>
        <v>1283</v>
      </c>
      <c r="R261" s="137">
        <f t="shared" si="660"/>
        <v>18232</v>
      </c>
      <c r="S261" s="136">
        <f t="shared" si="660"/>
        <v>23632</v>
      </c>
      <c r="T261" s="139"/>
      <c r="U261" s="140">
        <f t="shared" ref="U261:X261" si="661">P261/K261</f>
        <v>0.75735835172921262</v>
      </c>
      <c r="V261" s="140">
        <f t="shared" si="661"/>
        <v>0.46961932650073207</v>
      </c>
      <c r="W261" s="141">
        <f t="shared" si="661"/>
        <v>2.9087428206764518</v>
      </c>
      <c r="X261" s="140">
        <f t="shared" si="661"/>
        <v>1.6370185646993627</v>
      </c>
      <c r="Y261" s="142"/>
      <c r="Z261" s="143"/>
      <c r="AA261" s="138"/>
      <c r="AB261" s="136" t="s">
        <v>1566</v>
      </c>
      <c r="AC261" s="128" t="s">
        <v>1566</v>
      </c>
      <c r="AD261" s="135"/>
      <c r="AE261" s="127" t="s">
        <v>1566</v>
      </c>
      <c r="AF261" s="127"/>
      <c r="AG261" s="130"/>
      <c r="AH261" s="130" t="str">
        <f t="shared" si="118"/>
        <v xml:space="preserve"> </v>
      </c>
      <c r="AI261" s="130" t="str">
        <f t="shared" si="119"/>
        <v xml:space="preserve"> </v>
      </c>
      <c r="AJ261" s="144" t="str">
        <f t="shared" si="120"/>
        <v xml:space="preserve"> </v>
      </c>
      <c r="AK261" s="128" t="str">
        <f t="shared" si="121"/>
        <v xml:space="preserve"> </v>
      </c>
      <c r="AL261" s="128" t="str">
        <f t="shared" si="122"/>
        <v xml:space="preserve"> </v>
      </c>
      <c r="AM261" s="128">
        <f t="shared" si="123"/>
        <v>922</v>
      </c>
      <c r="AN261" s="130" t="str">
        <f t="shared" si="124"/>
        <v xml:space="preserve"> </v>
      </c>
      <c r="AO261" s="130"/>
      <c r="AP261" s="130"/>
    </row>
    <row r="262" spans="1:42">
      <c r="A262" s="131" t="s">
        <v>181</v>
      </c>
      <c r="B262" s="132">
        <v>8</v>
      </c>
      <c r="C262" s="118" t="s">
        <v>167</v>
      </c>
      <c r="D262" s="118">
        <v>2019</v>
      </c>
      <c r="E262" s="133">
        <v>654</v>
      </c>
      <c r="F262" s="133">
        <v>478</v>
      </c>
      <c r="G262" s="133">
        <v>598</v>
      </c>
      <c r="H262" s="134">
        <v>1567</v>
      </c>
      <c r="I262" s="133">
        <f t="shared" si="648"/>
        <v>3297</v>
      </c>
      <c r="J262" s="135"/>
      <c r="K262" s="136">
        <f t="shared" ref="K262:N262" si="662">K258*5</f>
        <v>6795</v>
      </c>
      <c r="L262" s="136">
        <f t="shared" si="662"/>
        <v>3415</v>
      </c>
      <c r="M262" s="137">
        <f t="shared" si="662"/>
        <v>7835</v>
      </c>
      <c r="N262" s="136">
        <f t="shared" si="662"/>
        <v>18045</v>
      </c>
      <c r="O262" s="135"/>
      <c r="P262" s="136">
        <f t="shared" si="650"/>
        <v>5249</v>
      </c>
      <c r="Q262" s="136">
        <f t="shared" ref="Q262:S262" si="663">G262+Q261</f>
        <v>1881</v>
      </c>
      <c r="R262" s="137">
        <f t="shared" si="663"/>
        <v>19799</v>
      </c>
      <c r="S262" s="136">
        <f t="shared" si="663"/>
        <v>26929</v>
      </c>
      <c r="T262" s="139"/>
      <c r="U262" s="140">
        <f t="shared" ref="U262:X262" si="664">P262/K262</f>
        <v>0.77247976453274469</v>
      </c>
      <c r="V262" s="140">
        <f t="shared" si="664"/>
        <v>0.55080527086383602</v>
      </c>
      <c r="W262" s="141">
        <f t="shared" si="664"/>
        <v>2.5269942565411614</v>
      </c>
      <c r="X262" s="140">
        <f t="shared" si="664"/>
        <v>1.4923247436963147</v>
      </c>
      <c r="Y262" s="146" t="s">
        <v>181</v>
      </c>
      <c r="Z262" s="143"/>
      <c r="AA262" s="138">
        <v>28869</v>
      </c>
      <c r="AB262" s="136">
        <v>18045</v>
      </c>
      <c r="AC262" s="128">
        <v>26929</v>
      </c>
      <c r="AD262" s="135"/>
      <c r="AE262" s="127">
        <f>N258</f>
        <v>3609</v>
      </c>
      <c r="AF262" s="127"/>
      <c r="AG262" s="130"/>
      <c r="AH262" s="130" t="str">
        <f t="shared" si="118"/>
        <v xml:space="preserve"> </v>
      </c>
      <c r="AI262" s="130" t="str">
        <f t="shared" si="119"/>
        <v xml:space="preserve"> </v>
      </c>
      <c r="AJ262" s="144" t="str">
        <f t="shared" si="120"/>
        <v xml:space="preserve"> </v>
      </c>
      <c r="AK262" s="128" t="str">
        <f t="shared" si="121"/>
        <v xml:space="preserve"> </v>
      </c>
      <c r="AL262" s="128" t="str">
        <f t="shared" si="122"/>
        <v xml:space="preserve"> </v>
      </c>
      <c r="AM262" s="128" t="str">
        <f t="shared" si="123"/>
        <v xml:space="preserve"> </v>
      </c>
      <c r="AN262" s="130">
        <f t="shared" si="124"/>
        <v>1132</v>
      </c>
      <c r="AO262" s="130"/>
      <c r="AP262" s="130"/>
    </row>
    <row r="263" spans="1:42">
      <c r="A263" s="131"/>
      <c r="B263" s="132"/>
      <c r="C263" s="118"/>
      <c r="D263" s="118"/>
      <c r="E263" s="133"/>
      <c r="F263" s="133"/>
      <c r="G263" s="133"/>
      <c r="H263" s="134"/>
      <c r="I263" s="133"/>
      <c r="J263" s="135"/>
      <c r="K263" s="136"/>
      <c r="L263" s="136"/>
      <c r="M263" s="137"/>
      <c r="N263" s="136"/>
      <c r="O263" s="135"/>
      <c r="P263" s="136"/>
      <c r="Q263" s="136"/>
      <c r="R263" s="137"/>
      <c r="S263" s="136"/>
      <c r="T263" s="139"/>
      <c r="U263" s="140"/>
      <c r="V263" s="140"/>
      <c r="W263" s="141"/>
      <c r="X263" s="140"/>
      <c r="Y263" s="142"/>
      <c r="Z263" s="143"/>
      <c r="AA263" s="136"/>
      <c r="AB263" s="136" t="s">
        <v>1566</v>
      </c>
      <c r="AC263" s="128" t="s">
        <v>1566</v>
      </c>
      <c r="AD263" s="135"/>
      <c r="AE263" s="127" t="s">
        <v>1566</v>
      </c>
      <c r="AF263" s="127"/>
      <c r="AG263" s="130"/>
      <c r="AH263" s="130" t="str">
        <f t="shared" si="118"/>
        <v xml:space="preserve"> </v>
      </c>
      <c r="AI263" s="130" t="str">
        <f t="shared" si="119"/>
        <v xml:space="preserve"> </v>
      </c>
      <c r="AJ263" s="144" t="str">
        <f t="shared" si="120"/>
        <v xml:space="preserve"> </v>
      </c>
      <c r="AK263" s="128" t="str">
        <f t="shared" si="121"/>
        <v xml:space="preserve"> </v>
      </c>
      <c r="AL263" s="128" t="str">
        <f t="shared" si="122"/>
        <v xml:space="preserve"> </v>
      </c>
      <c r="AM263" s="128" t="str">
        <f t="shared" si="123"/>
        <v xml:space="preserve"> </v>
      </c>
      <c r="AN263" s="130" t="str">
        <f t="shared" si="124"/>
        <v xml:space="preserve"> </v>
      </c>
      <c r="AO263" s="130"/>
      <c r="AP263" s="130"/>
    </row>
    <row r="264" spans="1:42">
      <c r="A264" s="131" t="s">
        <v>182</v>
      </c>
      <c r="B264" s="132"/>
      <c r="C264" s="118" t="s">
        <v>142</v>
      </c>
      <c r="D264" s="118">
        <v>2015</v>
      </c>
      <c r="E264" s="133">
        <v>10</v>
      </c>
      <c r="F264" s="133">
        <v>56</v>
      </c>
      <c r="G264" s="133">
        <v>90</v>
      </c>
      <c r="H264" s="134">
        <v>183</v>
      </c>
      <c r="I264" s="133">
        <f>E264+F264+G264+H264</f>
        <v>339</v>
      </c>
      <c r="J264" s="135"/>
      <c r="K264" s="136"/>
      <c r="L264" s="136"/>
      <c r="M264" s="137"/>
      <c r="N264" s="136"/>
      <c r="O264" s="135"/>
      <c r="P264" s="136">
        <f>E264+F264</f>
        <v>66</v>
      </c>
      <c r="Q264" s="136">
        <f t="shared" ref="Q264:S264" si="665">G264</f>
        <v>90</v>
      </c>
      <c r="R264" s="137">
        <f t="shared" si="665"/>
        <v>183</v>
      </c>
      <c r="S264" s="136">
        <f t="shared" si="665"/>
        <v>339</v>
      </c>
      <c r="T264" s="139"/>
      <c r="U264" s="140">
        <f t="shared" ref="U264:X264" si="666">P264/K265</f>
        <v>3.3033033033033031E-2</v>
      </c>
      <c r="V264" s="140">
        <f t="shared" si="666"/>
        <v>1.2738853503184714E-2</v>
      </c>
      <c r="W264" s="141">
        <f t="shared" si="666"/>
        <v>8.4565619223659891E-2</v>
      </c>
      <c r="X264" s="140">
        <f t="shared" si="666"/>
        <v>6.7195242814667988E-2</v>
      </c>
      <c r="Y264" s="142"/>
      <c r="Z264" s="143"/>
      <c r="AA264" s="136"/>
      <c r="AB264" s="136"/>
      <c r="AC264" s="128"/>
      <c r="AD264" s="135"/>
      <c r="AE264" s="127"/>
      <c r="AF264" s="127"/>
      <c r="AG264" s="130"/>
      <c r="AH264" s="130" t="str">
        <f t="shared" si="118"/>
        <v xml:space="preserve"> </v>
      </c>
      <c r="AI264" s="130" t="str">
        <f t="shared" si="119"/>
        <v xml:space="preserve"> </v>
      </c>
      <c r="AJ264" s="130">
        <f t="shared" si="120"/>
        <v>66</v>
      </c>
      <c r="AK264" s="128" t="str">
        <f t="shared" si="121"/>
        <v xml:space="preserve"> </v>
      </c>
      <c r="AL264" s="128" t="str">
        <f t="shared" si="122"/>
        <v xml:space="preserve"> </v>
      </c>
      <c r="AM264" s="128" t="str">
        <f t="shared" si="123"/>
        <v xml:space="preserve"> </v>
      </c>
      <c r="AN264" s="130" t="str">
        <f t="shared" si="124"/>
        <v xml:space="preserve"> </v>
      </c>
      <c r="AO264" s="130"/>
      <c r="AP264" s="130"/>
    </row>
    <row r="265" spans="1:42">
      <c r="A265" s="131" t="s">
        <v>182</v>
      </c>
      <c r="B265" s="132">
        <v>8</v>
      </c>
      <c r="C265" s="118" t="s">
        <v>142</v>
      </c>
      <c r="D265" s="118">
        <v>2016</v>
      </c>
      <c r="E265" s="133">
        <v>1</v>
      </c>
      <c r="F265" s="133">
        <v>134</v>
      </c>
      <c r="G265" s="133">
        <v>98</v>
      </c>
      <c r="H265" s="134">
        <v>1407</v>
      </c>
      <c r="I265" s="133">
        <v>1640</v>
      </c>
      <c r="J265" s="135"/>
      <c r="K265" s="136">
        <f>ROUND((9485+6500)/8,0)</f>
        <v>1998</v>
      </c>
      <c r="L265" s="136">
        <f>ROUND('HCD Assigned 5th Cycle RHNA'!F506,0)</f>
        <v>7065</v>
      </c>
      <c r="M265" s="137">
        <f>ROUND(17310/8,0)</f>
        <v>2164</v>
      </c>
      <c r="N265" s="136">
        <f>ROUND(40360/8,0)</f>
        <v>5045</v>
      </c>
      <c r="O265" s="135"/>
      <c r="P265" s="136">
        <f t="shared" ref="P265:P268" si="667">E265+F265+P264</f>
        <v>201</v>
      </c>
      <c r="Q265" s="136">
        <f t="shared" ref="Q265:S265" si="668">G265+Q264</f>
        <v>188</v>
      </c>
      <c r="R265" s="137">
        <f t="shared" si="668"/>
        <v>1590</v>
      </c>
      <c r="S265" s="136">
        <f t="shared" si="668"/>
        <v>1979</v>
      </c>
      <c r="T265" s="139"/>
      <c r="U265" s="140">
        <f t="shared" ref="U265:X265" si="669">P265/K265</f>
        <v>0.1006006006006006</v>
      </c>
      <c r="V265" s="140">
        <f t="shared" si="669"/>
        <v>2.6610049539985844E-2</v>
      </c>
      <c r="W265" s="141">
        <f t="shared" si="669"/>
        <v>0.73475046210720885</v>
      </c>
      <c r="X265" s="140">
        <f t="shared" si="669"/>
        <v>0.39226957383548067</v>
      </c>
      <c r="Y265" s="142"/>
      <c r="Z265" s="143"/>
      <c r="AA265" s="136"/>
      <c r="AB265" s="136" t="s">
        <v>1566</v>
      </c>
      <c r="AC265" s="128" t="s">
        <v>1566</v>
      </c>
      <c r="AD265" s="135"/>
      <c r="AE265" s="127"/>
      <c r="AF265" s="127"/>
      <c r="AG265" s="130"/>
      <c r="AH265" s="130" t="str">
        <f t="shared" si="118"/>
        <v xml:space="preserve"> </v>
      </c>
      <c r="AI265" s="130" t="str">
        <f t="shared" si="119"/>
        <v xml:space="preserve"> </v>
      </c>
      <c r="AJ265" s="144" t="str">
        <f t="shared" si="120"/>
        <v xml:space="preserve"> </v>
      </c>
      <c r="AK265" s="128">
        <f t="shared" si="121"/>
        <v>135</v>
      </c>
      <c r="AL265" s="128" t="str">
        <f t="shared" si="122"/>
        <v xml:space="preserve"> </v>
      </c>
      <c r="AM265" s="128" t="str">
        <f t="shared" si="123"/>
        <v xml:space="preserve"> </v>
      </c>
      <c r="AN265" s="130" t="str">
        <f t="shared" si="124"/>
        <v xml:space="preserve"> </v>
      </c>
      <c r="AO265" s="130"/>
      <c r="AP265" s="130"/>
    </row>
    <row r="266" spans="1:42">
      <c r="A266" s="131" t="s">
        <v>182</v>
      </c>
      <c r="B266" s="132">
        <v>8</v>
      </c>
      <c r="C266" s="118" t="s">
        <v>142</v>
      </c>
      <c r="D266" s="118">
        <v>2017</v>
      </c>
      <c r="E266" s="133">
        <v>216</v>
      </c>
      <c r="F266" s="133">
        <v>97</v>
      </c>
      <c r="G266" s="133">
        <v>143</v>
      </c>
      <c r="H266" s="134">
        <v>1164</v>
      </c>
      <c r="I266" s="133">
        <v>1620</v>
      </c>
      <c r="J266" s="135"/>
      <c r="K266" s="136">
        <f t="shared" ref="K266:N266" si="670">K265*2</f>
        <v>3996</v>
      </c>
      <c r="L266" s="136">
        <f t="shared" si="670"/>
        <v>14130</v>
      </c>
      <c r="M266" s="137">
        <f t="shared" si="670"/>
        <v>4328</v>
      </c>
      <c r="N266" s="136">
        <f t="shared" si="670"/>
        <v>10090</v>
      </c>
      <c r="O266" s="135"/>
      <c r="P266" s="136">
        <f t="shared" si="667"/>
        <v>514</v>
      </c>
      <c r="Q266" s="136">
        <f t="shared" ref="Q266:S266" si="671">G266+Q265</f>
        <v>331</v>
      </c>
      <c r="R266" s="137">
        <f t="shared" si="671"/>
        <v>2754</v>
      </c>
      <c r="S266" s="136">
        <f t="shared" si="671"/>
        <v>3599</v>
      </c>
      <c r="T266" s="139"/>
      <c r="U266" s="140">
        <f t="shared" ref="U266:X266" si="672">P266/K266</f>
        <v>0.12862862862862862</v>
      </c>
      <c r="V266" s="140">
        <f t="shared" si="672"/>
        <v>2.3425336164189667E-2</v>
      </c>
      <c r="W266" s="141">
        <f t="shared" si="672"/>
        <v>0.63632162661737524</v>
      </c>
      <c r="X266" s="140">
        <f t="shared" si="672"/>
        <v>0.3566897918731417</v>
      </c>
      <c r="Y266" s="142"/>
      <c r="Z266" s="143"/>
      <c r="AA266" s="136"/>
      <c r="AB266" s="136" t="s">
        <v>1566</v>
      </c>
      <c r="AC266" s="128" t="s">
        <v>1566</v>
      </c>
      <c r="AD266" s="135"/>
      <c r="AE266" s="127" t="s">
        <v>1566</v>
      </c>
      <c r="AF266" s="127"/>
      <c r="AG266" s="130"/>
      <c r="AH266" s="130" t="str">
        <f t="shared" si="118"/>
        <v xml:space="preserve"> </v>
      </c>
      <c r="AI266" s="130" t="str">
        <f t="shared" si="119"/>
        <v xml:space="preserve"> </v>
      </c>
      <c r="AJ266" s="144" t="str">
        <f t="shared" si="120"/>
        <v xml:space="preserve"> </v>
      </c>
      <c r="AK266" s="128" t="str">
        <f t="shared" si="121"/>
        <v xml:space="preserve"> </v>
      </c>
      <c r="AL266" s="128">
        <f t="shared" si="122"/>
        <v>313</v>
      </c>
      <c r="AM266" s="128" t="str">
        <f t="shared" si="123"/>
        <v xml:space="preserve"> </v>
      </c>
      <c r="AN266" s="130" t="str">
        <f t="shared" si="124"/>
        <v xml:space="preserve"> </v>
      </c>
      <c r="AO266" s="130"/>
      <c r="AP266" s="130"/>
    </row>
    <row r="267" spans="1:42">
      <c r="A267" s="131" t="s">
        <v>182</v>
      </c>
      <c r="B267" s="132">
        <v>8</v>
      </c>
      <c r="C267" s="118" t="s">
        <v>142</v>
      </c>
      <c r="D267" s="118">
        <v>2018</v>
      </c>
      <c r="E267" s="133">
        <v>4</v>
      </c>
      <c r="F267" s="133">
        <v>9</v>
      </c>
      <c r="G267" s="133">
        <v>139</v>
      </c>
      <c r="H267" s="134">
        <v>2426</v>
      </c>
      <c r="I267" s="133">
        <v>2578</v>
      </c>
      <c r="J267" s="135"/>
      <c r="K267" s="136">
        <f t="shared" ref="K267:N267" si="673">K265*3</f>
        <v>5994</v>
      </c>
      <c r="L267" s="136">
        <f t="shared" si="673"/>
        <v>21195</v>
      </c>
      <c r="M267" s="137">
        <f t="shared" si="673"/>
        <v>6492</v>
      </c>
      <c r="N267" s="136">
        <f t="shared" si="673"/>
        <v>15135</v>
      </c>
      <c r="O267" s="135"/>
      <c r="P267" s="136">
        <f t="shared" si="667"/>
        <v>527</v>
      </c>
      <c r="Q267" s="136">
        <f t="shared" ref="Q267:S267" si="674">G267+Q266</f>
        <v>470</v>
      </c>
      <c r="R267" s="137">
        <f t="shared" si="674"/>
        <v>5180</v>
      </c>
      <c r="S267" s="136">
        <f t="shared" si="674"/>
        <v>6177</v>
      </c>
      <c r="T267" s="139"/>
      <c r="U267" s="140">
        <f t="shared" ref="U267:X267" si="675">P267/K267</f>
        <v>8.7921254587921258E-2</v>
      </c>
      <c r="V267" s="140">
        <f t="shared" si="675"/>
        <v>2.2175041283321539E-2</v>
      </c>
      <c r="W267" s="141">
        <f t="shared" si="675"/>
        <v>0.79790511398644481</v>
      </c>
      <c r="X267" s="140">
        <f t="shared" si="675"/>
        <v>0.40812685827552031</v>
      </c>
      <c r="Y267" s="142"/>
      <c r="Z267" s="143"/>
      <c r="AA267" s="138"/>
      <c r="AB267" s="136" t="s">
        <v>1566</v>
      </c>
      <c r="AC267" s="128" t="s">
        <v>1566</v>
      </c>
      <c r="AD267" s="135"/>
      <c r="AE267" s="127" t="s">
        <v>1566</v>
      </c>
      <c r="AF267" s="127"/>
      <c r="AG267" s="130"/>
      <c r="AH267" s="130" t="str">
        <f t="shared" si="118"/>
        <v xml:space="preserve"> </v>
      </c>
      <c r="AI267" s="130" t="str">
        <f t="shared" si="119"/>
        <v xml:space="preserve"> </v>
      </c>
      <c r="AJ267" s="144" t="str">
        <f t="shared" si="120"/>
        <v xml:space="preserve"> </v>
      </c>
      <c r="AK267" s="128" t="str">
        <f t="shared" si="121"/>
        <v xml:space="preserve"> </v>
      </c>
      <c r="AL267" s="128" t="str">
        <f t="shared" si="122"/>
        <v xml:space="preserve"> </v>
      </c>
      <c r="AM267" s="128">
        <f t="shared" si="123"/>
        <v>13</v>
      </c>
      <c r="AN267" s="130" t="str">
        <f t="shared" si="124"/>
        <v xml:space="preserve"> </v>
      </c>
      <c r="AO267" s="130"/>
      <c r="AP267" s="130"/>
    </row>
    <row r="268" spans="1:42">
      <c r="A268" s="131" t="s">
        <v>182</v>
      </c>
      <c r="B268" s="132">
        <v>8</v>
      </c>
      <c r="C268" s="118" t="s">
        <v>142</v>
      </c>
      <c r="D268" s="118">
        <v>2019</v>
      </c>
      <c r="E268" s="133">
        <v>144</v>
      </c>
      <c r="F268" s="133">
        <v>94</v>
      </c>
      <c r="G268" s="133">
        <v>905</v>
      </c>
      <c r="H268" s="134">
        <v>2094</v>
      </c>
      <c r="I268" s="133">
        <f>E268+F268+G268+H268</f>
        <v>3237</v>
      </c>
      <c r="J268" s="135"/>
      <c r="K268" s="136">
        <f t="shared" ref="K268:N268" si="676">K265*4</f>
        <v>7992</v>
      </c>
      <c r="L268" s="136">
        <f t="shared" si="676"/>
        <v>28260</v>
      </c>
      <c r="M268" s="137">
        <f t="shared" si="676"/>
        <v>8656</v>
      </c>
      <c r="N268" s="136">
        <f t="shared" si="676"/>
        <v>20180</v>
      </c>
      <c r="O268" s="135"/>
      <c r="P268" s="136">
        <f t="shared" si="667"/>
        <v>765</v>
      </c>
      <c r="Q268" s="136">
        <f t="shared" ref="Q268:S268" si="677">G268+Q267</f>
        <v>1375</v>
      </c>
      <c r="R268" s="137">
        <f t="shared" si="677"/>
        <v>7274</v>
      </c>
      <c r="S268" s="136">
        <f t="shared" si="677"/>
        <v>9414</v>
      </c>
      <c r="T268" s="139"/>
      <c r="U268" s="140">
        <f t="shared" ref="U268:X268" si="678">P268/K268</f>
        <v>9.5720720720720714E-2</v>
      </c>
      <c r="V268" s="140">
        <f t="shared" si="678"/>
        <v>4.8655343241330501E-2</v>
      </c>
      <c r="W268" s="141">
        <f t="shared" si="678"/>
        <v>0.84034195933456557</v>
      </c>
      <c r="X268" s="140">
        <f t="shared" si="678"/>
        <v>0.46650148662041624</v>
      </c>
      <c r="Y268" s="146" t="s">
        <v>182</v>
      </c>
      <c r="Z268" s="143"/>
      <c r="AA268" s="138">
        <v>40360</v>
      </c>
      <c r="AB268" s="136">
        <v>20180</v>
      </c>
      <c r="AC268" s="128">
        <v>9414</v>
      </c>
      <c r="AD268" s="135"/>
      <c r="AE268" s="127">
        <f>N265</f>
        <v>5045</v>
      </c>
      <c r="AF268" s="127"/>
      <c r="AG268" s="130"/>
      <c r="AH268" s="130" t="str">
        <f t="shared" si="118"/>
        <v xml:space="preserve"> </v>
      </c>
      <c r="AI268" s="130" t="str">
        <f t="shared" si="119"/>
        <v xml:space="preserve"> </v>
      </c>
      <c r="AJ268" s="144" t="str">
        <f t="shared" si="120"/>
        <v xml:space="preserve"> </v>
      </c>
      <c r="AK268" s="128" t="str">
        <f t="shared" si="121"/>
        <v xml:space="preserve"> </v>
      </c>
      <c r="AL268" s="128" t="str">
        <f t="shared" si="122"/>
        <v xml:space="preserve"> </v>
      </c>
      <c r="AM268" s="128" t="str">
        <f t="shared" si="123"/>
        <v xml:space="preserve"> </v>
      </c>
      <c r="AN268" s="130">
        <f t="shared" si="124"/>
        <v>238</v>
      </c>
      <c r="AO268" s="130"/>
      <c r="AP268" s="130"/>
    </row>
    <row r="269" spans="1:42">
      <c r="A269" s="131"/>
      <c r="B269" s="132"/>
      <c r="C269" s="118"/>
      <c r="D269" s="118"/>
      <c r="E269" s="133"/>
      <c r="F269" s="133"/>
      <c r="G269" s="133"/>
      <c r="H269" s="134"/>
      <c r="I269" s="133"/>
      <c r="J269" s="135"/>
      <c r="K269" s="136"/>
      <c r="L269" s="136"/>
      <c r="M269" s="137"/>
      <c r="N269" s="136"/>
      <c r="O269" s="135"/>
      <c r="P269" s="136"/>
      <c r="Q269" s="136"/>
      <c r="R269" s="137"/>
      <c r="S269" s="136"/>
      <c r="T269" s="139"/>
      <c r="U269" s="140"/>
      <c r="V269" s="140"/>
      <c r="W269" s="141"/>
      <c r="X269" s="140"/>
      <c r="Y269" s="142"/>
      <c r="Z269" s="143"/>
      <c r="AA269" s="136"/>
      <c r="AB269" s="136" t="s">
        <v>1566</v>
      </c>
      <c r="AC269" s="128" t="s">
        <v>1566</v>
      </c>
      <c r="AD269" s="135"/>
      <c r="AE269" s="127" t="s">
        <v>1566</v>
      </c>
      <c r="AF269" s="127"/>
      <c r="AG269" s="130"/>
      <c r="AH269" s="130" t="str">
        <f t="shared" si="118"/>
        <v xml:space="preserve"> </v>
      </c>
      <c r="AI269" s="130" t="str">
        <f t="shared" si="119"/>
        <v xml:space="preserve"> </v>
      </c>
      <c r="AJ269" s="144" t="str">
        <f t="shared" si="120"/>
        <v xml:space="preserve"> </v>
      </c>
      <c r="AK269" s="128" t="str">
        <f t="shared" si="121"/>
        <v xml:space="preserve"> </v>
      </c>
      <c r="AL269" s="128" t="str">
        <f t="shared" si="122"/>
        <v xml:space="preserve"> </v>
      </c>
      <c r="AM269" s="128" t="str">
        <f t="shared" si="123"/>
        <v xml:space="preserve"> </v>
      </c>
      <c r="AN269" s="130" t="str">
        <f t="shared" si="124"/>
        <v xml:space="preserve"> </v>
      </c>
      <c r="AO269" s="130"/>
      <c r="AP269" s="130"/>
    </row>
    <row r="270" spans="1:42">
      <c r="A270" s="131" t="s">
        <v>183</v>
      </c>
      <c r="B270" s="132">
        <v>5</v>
      </c>
      <c r="C270" s="118" t="s">
        <v>128</v>
      </c>
      <c r="D270" s="118">
        <v>2014</v>
      </c>
      <c r="E270" s="133">
        <v>94</v>
      </c>
      <c r="F270" s="133">
        <v>59</v>
      </c>
      <c r="G270" s="133">
        <v>108</v>
      </c>
      <c r="H270" s="134">
        <v>702</v>
      </c>
      <c r="I270" s="133">
        <v>963</v>
      </c>
      <c r="J270" s="135"/>
      <c r="K270" s="136">
        <f>ROUND((1020+641)/5,0)</f>
        <v>332</v>
      </c>
      <c r="L270" s="136">
        <f>ROUND('HCD Assigned 5th Cycle RHNA'!F515/B270,0)</f>
        <v>144</v>
      </c>
      <c r="M270" s="137">
        <v>342</v>
      </c>
      <c r="N270" s="136">
        <v>818</v>
      </c>
      <c r="O270" s="135"/>
      <c r="P270" s="136">
        <f>E270+F270</f>
        <v>153</v>
      </c>
      <c r="Q270" s="136">
        <f t="shared" ref="Q270:S270" si="679">G270</f>
        <v>108</v>
      </c>
      <c r="R270" s="137">
        <f t="shared" si="679"/>
        <v>702</v>
      </c>
      <c r="S270" s="136">
        <f t="shared" si="679"/>
        <v>963</v>
      </c>
      <c r="T270" s="139"/>
      <c r="U270" s="140">
        <f t="shared" ref="U270:X270" si="680">P270/K270</f>
        <v>0.46084337349397592</v>
      </c>
      <c r="V270" s="140">
        <f t="shared" si="680"/>
        <v>0.75</v>
      </c>
      <c r="W270" s="141">
        <f t="shared" si="680"/>
        <v>2.0526315789473686</v>
      </c>
      <c r="X270" s="140">
        <f t="shared" si="680"/>
        <v>1.1772616136919316</v>
      </c>
      <c r="Y270" s="142"/>
      <c r="Z270" s="143"/>
      <c r="AA270" s="136"/>
      <c r="AB270" s="136" t="s">
        <v>1566</v>
      </c>
      <c r="AC270" s="128" t="s">
        <v>1566</v>
      </c>
      <c r="AD270" s="135"/>
      <c r="AE270" s="127"/>
      <c r="AF270" s="127"/>
      <c r="AG270" s="130"/>
      <c r="AH270" s="130" t="str">
        <f t="shared" si="118"/>
        <v xml:space="preserve"> </v>
      </c>
      <c r="AI270" s="130">
        <f t="shared" si="119"/>
        <v>153</v>
      </c>
      <c r="AJ270" s="144" t="str">
        <f t="shared" si="120"/>
        <v xml:space="preserve"> </v>
      </c>
      <c r="AK270" s="128" t="str">
        <f t="shared" si="121"/>
        <v xml:space="preserve"> </v>
      </c>
      <c r="AL270" s="128" t="str">
        <f t="shared" si="122"/>
        <v xml:space="preserve"> </v>
      </c>
      <c r="AM270" s="128" t="str">
        <f t="shared" si="123"/>
        <v xml:space="preserve"> </v>
      </c>
      <c r="AN270" s="130" t="str">
        <f t="shared" si="124"/>
        <v xml:space="preserve"> </v>
      </c>
      <c r="AO270" s="130"/>
      <c r="AP270" s="130"/>
    </row>
    <row r="271" spans="1:42">
      <c r="A271" s="131" t="s">
        <v>183</v>
      </c>
      <c r="B271" s="132">
        <v>5</v>
      </c>
      <c r="C271" s="118" t="s">
        <v>128</v>
      </c>
      <c r="D271" s="118">
        <v>2015</v>
      </c>
      <c r="E271" s="133">
        <v>58</v>
      </c>
      <c r="F271" s="133">
        <v>33</v>
      </c>
      <c r="G271" s="133">
        <v>110</v>
      </c>
      <c r="H271" s="134">
        <v>625</v>
      </c>
      <c r="I271" s="133">
        <v>826</v>
      </c>
      <c r="J271" s="135"/>
      <c r="K271" s="136">
        <f t="shared" ref="K271:N271" si="681">K270*2</f>
        <v>664</v>
      </c>
      <c r="L271" s="136">
        <f t="shared" si="681"/>
        <v>288</v>
      </c>
      <c r="M271" s="137">
        <f t="shared" si="681"/>
        <v>684</v>
      </c>
      <c r="N271" s="136">
        <f t="shared" si="681"/>
        <v>1636</v>
      </c>
      <c r="O271" s="135"/>
      <c r="P271" s="136">
        <f t="shared" ref="P271:P275" si="682">E271+F271+P270</f>
        <v>244</v>
      </c>
      <c r="Q271" s="136">
        <f t="shared" ref="Q271:S271" si="683">G271+Q270</f>
        <v>218</v>
      </c>
      <c r="R271" s="137">
        <f t="shared" si="683"/>
        <v>1327</v>
      </c>
      <c r="S271" s="136">
        <f t="shared" si="683"/>
        <v>1789</v>
      </c>
      <c r="T271" s="139"/>
      <c r="U271" s="140">
        <f t="shared" ref="U271:X271" si="684">P271/K271</f>
        <v>0.36746987951807231</v>
      </c>
      <c r="V271" s="140">
        <f t="shared" si="684"/>
        <v>0.75694444444444442</v>
      </c>
      <c r="W271" s="141">
        <f t="shared" si="684"/>
        <v>1.9400584795321638</v>
      </c>
      <c r="X271" s="140">
        <f t="shared" si="684"/>
        <v>1.093520782396088</v>
      </c>
      <c r="Y271" s="142"/>
      <c r="Z271" s="143"/>
      <c r="AA271" s="136"/>
      <c r="AB271" s="136" t="s">
        <v>1566</v>
      </c>
      <c r="AC271" s="128" t="s">
        <v>1566</v>
      </c>
      <c r="AD271" s="135"/>
      <c r="AE271" s="127"/>
      <c r="AF271" s="127"/>
      <c r="AG271" s="130"/>
      <c r="AH271" s="130" t="str">
        <f t="shared" si="118"/>
        <v xml:space="preserve"> </v>
      </c>
      <c r="AI271" s="130" t="str">
        <f t="shared" si="119"/>
        <v xml:space="preserve"> </v>
      </c>
      <c r="AJ271" s="130">
        <f t="shared" si="120"/>
        <v>91</v>
      </c>
      <c r="AK271" s="128" t="str">
        <f t="shared" si="121"/>
        <v xml:space="preserve"> </v>
      </c>
      <c r="AL271" s="128" t="str">
        <f t="shared" si="122"/>
        <v xml:space="preserve"> </v>
      </c>
      <c r="AM271" s="128" t="str">
        <f t="shared" si="123"/>
        <v xml:space="preserve"> </v>
      </c>
      <c r="AN271" s="130" t="str">
        <f t="shared" si="124"/>
        <v xml:space="preserve"> </v>
      </c>
      <c r="AO271" s="130"/>
      <c r="AP271" s="130"/>
    </row>
    <row r="272" spans="1:42">
      <c r="A272" s="131" t="s">
        <v>183</v>
      </c>
      <c r="B272" s="132">
        <v>5</v>
      </c>
      <c r="C272" s="118" t="s">
        <v>128</v>
      </c>
      <c r="D272" s="118">
        <v>2016</v>
      </c>
      <c r="E272" s="133">
        <v>84</v>
      </c>
      <c r="F272" s="133">
        <v>71</v>
      </c>
      <c r="G272" s="133">
        <v>101</v>
      </c>
      <c r="H272" s="134">
        <v>540</v>
      </c>
      <c r="I272" s="133">
        <v>796</v>
      </c>
      <c r="J272" s="135"/>
      <c r="K272" s="136">
        <f t="shared" ref="K272:N272" si="685">K270*3</f>
        <v>996</v>
      </c>
      <c r="L272" s="136">
        <f t="shared" si="685"/>
        <v>432</v>
      </c>
      <c r="M272" s="137">
        <f t="shared" si="685"/>
        <v>1026</v>
      </c>
      <c r="N272" s="136">
        <f t="shared" si="685"/>
        <v>2454</v>
      </c>
      <c r="O272" s="135"/>
      <c r="P272" s="136">
        <f t="shared" si="682"/>
        <v>399</v>
      </c>
      <c r="Q272" s="136">
        <f t="shared" ref="Q272:S272" si="686">G272+Q271</f>
        <v>319</v>
      </c>
      <c r="R272" s="137">
        <f t="shared" si="686"/>
        <v>1867</v>
      </c>
      <c r="S272" s="136">
        <f t="shared" si="686"/>
        <v>2585</v>
      </c>
      <c r="T272" s="139"/>
      <c r="U272" s="140">
        <f t="shared" ref="U272:X272" si="687">P272/K272</f>
        <v>0.4006024096385542</v>
      </c>
      <c r="V272" s="140">
        <f t="shared" si="687"/>
        <v>0.73842592592592593</v>
      </c>
      <c r="W272" s="141">
        <f t="shared" si="687"/>
        <v>1.8196881091617934</v>
      </c>
      <c r="X272" s="140">
        <f t="shared" si="687"/>
        <v>1.0533822330888345</v>
      </c>
      <c r="Y272" s="142"/>
      <c r="Z272" s="143"/>
      <c r="AA272" s="136"/>
      <c r="AB272" s="136" t="s">
        <v>1566</v>
      </c>
      <c r="AC272" s="128" t="s">
        <v>1566</v>
      </c>
      <c r="AD272" s="135"/>
      <c r="AE272" s="127" t="s">
        <v>1566</v>
      </c>
      <c r="AF272" s="127"/>
      <c r="AG272" s="130"/>
      <c r="AH272" s="130" t="str">
        <f t="shared" si="118"/>
        <v xml:space="preserve"> </v>
      </c>
      <c r="AI272" s="130" t="str">
        <f t="shared" si="119"/>
        <v xml:space="preserve"> </v>
      </c>
      <c r="AJ272" s="144" t="str">
        <f t="shared" si="120"/>
        <v xml:space="preserve"> </v>
      </c>
      <c r="AK272" s="128">
        <f t="shared" si="121"/>
        <v>155</v>
      </c>
      <c r="AL272" s="128" t="str">
        <f t="shared" si="122"/>
        <v xml:space="preserve"> </v>
      </c>
      <c r="AM272" s="128" t="str">
        <f t="shared" si="123"/>
        <v xml:space="preserve"> </v>
      </c>
      <c r="AN272" s="130" t="str">
        <f t="shared" si="124"/>
        <v xml:space="preserve"> </v>
      </c>
      <c r="AO272" s="130"/>
      <c r="AP272" s="130"/>
    </row>
    <row r="273" spans="1:42">
      <c r="A273" s="131" t="s">
        <v>183</v>
      </c>
      <c r="B273" s="132">
        <v>5</v>
      </c>
      <c r="C273" s="118" t="s">
        <v>128</v>
      </c>
      <c r="D273" s="118">
        <v>2017</v>
      </c>
      <c r="E273" s="133">
        <v>105</v>
      </c>
      <c r="F273" s="133">
        <v>50</v>
      </c>
      <c r="G273" s="133">
        <v>196</v>
      </c>
      <c r="H273" s="134">
        <v>714</v>
      </c>
      <c r="I273" s="133">
        <v>1065</v>
      </c>
      <c r="J273" s="135"/>
      <c r="K273" s="136">
        <f t="shared" ref="K273:N273" si="688">K270*4</f>
        <v>1328</v>
      </c>
      <c r="L273" s="136">
        <f t="shared" si="688"/>
        <v>576</v>
      </c>
      <c r="M273" s="137">
        <f t="shared" si="688"/>
        <v>1368</v>
      </c>
      <c r="N273" s="136">
        <f t="shared" si="688"/>
        <v>3272</v>
      </c>
      <c r="O273" s="135"/>
      <c r="P273" s="136">
        <f t="shared" si="682"/>
        <v>554</v>
      </c>
      <c r="Q273" s="136">
        <f t="shared" ref="Q273:S273" si="689">G273+Q272</f>
        <v>515</v>
      </c>
      <c r="R273" s="137">
        <f t="shared" si="689"/>
        <v>2581</v>
      </c>
      <c r="S273" s="136">
        <f t="shared" si="689"/>
        <v>3650</v>
      </c>
      <c r="T273" s="139"/>
      <c r="U273" s="140">
        <f t="shared" ref="U273:X273" si="690">P273/K273</f>
        <v>0.41716867469879521</v>
      </c>
      <c r="V273" s="140">
        <f t="shared" si="690"/>
        <v>0.89409722222222221</v>
      </c>
      <c r="W273" s="141">
        <f t="shared" si="690"/>
        <v>1.8866959064327486</v>
      </c>
      <c r="X273" s="140">
        <f t="shared" si="690"/>
        <v>1.1155256723716382</v>
      </c>
      <c r="Y273" s="142"/>
      <c r="Z273" s="143"/>
      <c r="AA273" s="136"/>
      <c r="AB273" s="136" t="s">
        <v>1566</v>
      </c>
      <c r="AC273" s="128" t="s">
        <v>1566</v>
      </c>
      <c r="AD273" s="135"/>
      <c r="AE273" s="127" t="s">
        <v>1566</v>
      </c>
      <c r="AF273" s="127"/>
      <c r="AG273" s="130"/>
      <c r="AH273" s="130" t="str">
        <f t="shared" si="118"/>
        <v xml:space="preserve"> </v>
      </c>
      <c r="AI273" s="130" t="str">
        <f t="shared" si="119"/>
        <v xml:space="preserve"> </v>
      </c>
      <c r="AJ273" s="144" t="str">
        <f t="shared" si="120"/>
        <v xml:space="preserve"> </v>
      </c>
      <c r="AK273" s="128" t="str">
        <f t="shared" si="121"/>
        <v xml:space="preserve"> </v>
      </c>
      <c r="AL273" s="128">
        <f t="shared" si="122"/>
        <v>155</v>
      </c>
      <c r="AM273" s="128" t="str">
        <f t="shared" si="123"/>
        <v xml:space="preserve"> </v>
      </c>
      <c r="AN273" s="130" t="str">
        <f t="shared" si="124"/>
        <v xml:space="preserve"> </v>
      </c>
      <c r="AO273" s="130"/>
      <c r="AP273" s="130"/>
    </row>
    <row r="274" spans="1:42">
      <c r="A274" s="131" t="s">
        <v>183</v>
      </c>
      <c r="B274" s="132">
        <v>5</v>
      </c>
      <c r="C274" s="118" t="s">
        <v>128</v>
      </c>
      <c r="D274" s="118">
        <v>2018</v>
      </c>
      <c r="E274" s="133">
        <v>136</v>
      </c>
      <c r="F274" s="133">
        <v>59</v>
      </c>
      <c r="G274" s="133">
        <v>36</v>
      </c>
      <c r="H274" s="134">
        <v>682</v>
      </c>
      <c r="I274" s="133">
        <v>913</v>
      </c>
      <c r="J274" s="135"/>
      <c r="K274" s="136">
        <f t="shared" ref="K274:N274" si="691">K270*5</f>
        <v>1660</v>
      </c>
      <c r="L274" s="136">
        <f t="shared" si="691"/>
        <v>720</v>
      </c>
      <c r="M274" s="137">
        <f t="shared" si="691"/>
        <v>1710</v>
      </c>
      <c r="N274" s="136">
        <f t="shared" si="691"/>
        <v>4090</v>
      </c>
      <c r="O274" s="135"/>
      <c r="P274" s="136">
        <f t="shared" si="682"/>
        <v>749</v>
      </c>
      <c r="Q274" s="136">
        <f t="shared" ref="Q274:S274" si="692">G274+Q273</f>
        <v>551</v>
      </c>
      <c r="R274" s="137">
        <f t="shared" si="692"/>
        <v>3263</v>
      </c>
      <c r="S274" s="136">
        <f t="shared" si="692"/>
        <v>4563</v>
      </c>
      <c r="T274" s="139"/>
      <c r="U274" s="140">
        <f t="shared" ref="U274:X274" si="693">P274/K274</f>
        <v>0.45120481927710843</v>
      </c>
      <c r="V274" s="140">
        <f t="shared" si="693"/>
        <v>0.76527777777777772</v>
      </c>
      <c r="W274" s="141">
        <f t="shared" si="693"/>
        <v>1.908187134502924</v>
      </c>
      <c r="X274" s="140">
        <f t="shared" si="693"/>
        <v>1.1156479217603912</v>
      </c>
      <c r="Y274" s="142"/>
      <c r="Z274" s="143"/>
      <c r="AA274" s="136"/>
      <c r="AB274" s="136" t="s">
        <v>1566</v>
      </c>
      <c r="AC274" s="128" t="s">
        <v>1566</v>
      </c>
      <c r="AD274" s="135"/>
      <c r="AE274" s="127" t="s">
        <v>1566</v>
      </c>
      <c r="AF274" s="127"/>
      <c r="AG274" s="130"/>
      <c r="AH274" s="130" t="str">
        <f t="shared" si="118"/>
        <v xml:space="preserve"> </v>
      </c>
      <c r="AI274" s="130" t="str">
        <f t="shared" si="119"/>
        <v xml:space="preserve"> </v>
      </c>
      <c r="AJ274" s="144" t="str">
        <f t="shared" si="120"/>
        <v xml:space="preserve"> </v>
      </c>
      <c r="AK274" s="128" t="str">
        <f t="shared" si="121"/>
        <v xml:space="preserve"> </v>
      </c>
      <c r="AL274" s="128" t="str">
        <f t="shared" si="122"/>
        <v xml:space="preserve"> </v>
      </c>
      <c r="AM274" s="128">
        <f t="shared" si="123"/>
        <v>195</v>
      </c>
      <c r="AN274" s="130" t="str">
        <f t="shared" si="124"/>
        <v xml:space="preserve"> </v>
      </c>
      <c r="AO274" s="130"/>
      <c r="AP274" s="130"/>
    </row>
    <row r="275" spans="1:42">
      <c r="A275" s="161" t="s">
        <v>183</v>
      </c>
      <c r="B275" s="162">
        <v>5</v>
      </c>
      <c r="C275" s="163" t="s">
        <v>128</v>
      </c>
      <c r="D275" s="164">
        <v>2019</v>
      </c>
      <c r="E275" s="133">
        <v>7</v>
      </c>
      <c r="F275" s="133">
        <v>59</v>
      </c>
      <c r="G275" s="133">
        <v>63</v>
      </c>
      <c r="H275" s="134">
        <v>1011</v>
      </c>
      <c r="I275" s="133">
        <v>1140</v>
      </c>
      <c r="J275" s="135"/>
      <c r="K275" s="136">
        <f t="shared" ref="K275:N275" si="694">K274</f>
        <v>1660</v>
      </c>
      <c r="L275" s="136">
        <f t="shared" si="694"/>
        <v>720</v>
      </c>
      <c r="M275" s="137">
        <f t="shared" si="694"/>
        <v>1710</v>
      </c>
      <c r="N275" s="136">
        <f t="shared" si="694"/>
        <v>4090</v>
      </c>
      <c r="O275" s="135"/>
      <c r="P275" s="136">
        <f t="shared" si="682"/>
        <v>815</v>
      </c>
      <c r="Q275" s="136">
        <f t="shared" ref="Q275:S275" si="695">G275+Q274</f>
        <v>614</v>
      </c>
      <c r="R275" s="137">
        <f t="shared" si="695"/>
        <v>4274</v>
      </c>
      <c r="S275" s="136">
        <f t="shared" si="695"/>
        <v>5703</v>
      </c>
      <c r="T275" s="139"/>
      <c r="U275" s="140">
        <f t="shared" ref="U275:X275" si="696">P275/K275</f>
        <v>0.49096385542168675</v>
      </c>
      <c r="V275" s="140">
        <f t="shared" si="696"/>
        <v>0.85277777777777775</v>
      </c>
      <c r="W275" s="141">
        <f t="shared" si="696"/>
        <v>2.4994152046783626</v>
      </c>
      <c r="X275" s="140">
        <f t="shared" si="696"/>
        <v>1.3943765281173595</v>
      </c>
      <c r="Y275" s="146" t="s">
        <v>183</v>
      </c>
      <c r="Z275" s="143"/>
      <c r="AA275" s="138">
        <v>4091</v>
      </c>
      <c r="AB275" s="136">
        <v>4090</v>
      </c>
      <c r="AC275" s="128">
        <v>5703</v>
      </c>
      <c r="AD275" s="135"/>
      <c r="AE275" s="127">
        <f>N270</f>
        <v>818</v>
      </c>
      <c r="AF275" s="127"/>
      <c r="AG275" s="130"/>
      <c r="AH275" s="130" t="str">
        <f t="shared" si="118"/>
        <v xml:space="preserve"> </v>
      </c>
      <c r="AI275" s="130" t="str">
        <f t="shared" si="119"/>
        <v xml:space="preserve"> </v>
      </c>
      <c r="AJ275" s="144" t="str">
        <f t="shared" si="120"/>
        <v xml:space="preserve"> </v>
      </c>
      <c r="AK275" s="128" t="str">
        <f t="shared" si="121"/>
        <v xml:space="preserve"> </v>
      </c>
      <c r="AL275" s="128" t="str">
        <f t="shared" si="122"/>
        <v xml:space="preserve"> </v>
      </c>
      <c r="AM275" s="128" t="str">
        <f t="shared" si="123"/>
        <v xml:space="preserve"> </v>
      </c>
      <c r="AN275" s="130">
        <f t="shared" si="124"/>
        <v>66</v>
      </c>
      <c r="AO275" s="130"/>
      <c r="AP275" s="130"/>
    </row>
    <row r="276" spans="1:42">
      <c r="A276" s="131"/>
      <c r="B276" s="132"/>
      <c r="C276" s="118"/>
      <c r="D276" s="118"/>
      <c r="E276" s="133"/>
      <c r="F276" s="133"/>
      <c r="G276" s="133"/>
      <c r="H276" s="134"/>
      <c r="I276" s="133"/>
      <c r="J276" s="135"/>
      <c r="K276" s="136"/>
      <c r="L276" s="136"/>
      <c r="M276" s="137"/>
      <c r="N276" s="136"/>
      <c r="O276" s="135"/>
      <c r="P276" s="136"/>
      <c r="Q276" s="136"/>
      <c r="R276" s="137"/>
      <c r="S276" s="136"/>
      <c r="T276" s="139"/>
      <c r="U276" s="140"/>
      <c r="V276" s="140"/>
      <c r="W276" s="141"/>
      <c r="X276" s="140"/>
      <c r="Y276" s="142"/>
      <c r="Z276" s="143"/>
      <c r="AA276" s="136"/>
      <c r="AB276" s="136" t="s">
        <v>1566</v>
      </c>
      <c r="AC276" s="128" t="s">
        <v>1566</v>
      </c>
      <c r="AD276" s="135"/>
      <c r="AE276" s="127" t="s">
        <v>1566</v>
      </c>
      <c r="AF276" s="127"/>
      <c r="AG276" s="130"/>
      <c r="AH276" s="130" t="str">
        <f t="shared" si="118"/>
        <v xml:space="preserve"> </v>
      </c>
      <c r="AI276" s="130" t="str">
        <f t="shared" si="119"/>
        <v xml:space="preserve"> </v>
      </c>
      <c r="AJ276" s="144" t="str">
        <f t="shared" si="120"/>
        <v xml:space="preserve"> </v>
      </c>
      <c r="AK276" s="128" t="str">
        <f t="shared" si="121"/>
        <v xml:space="preserve"> </v>
      </c>
      <c r="AL276" s="128" t="str">
        <f t="shared" si="122"/>
        <v xml:space="preserve"> </v>
      </c>
      <c r="AM276" s="128" t="str">
        <f t="shared" si="123"/>
        <v xml:space="preserve"> </v>
      </c>
      <c r="AN276" s="130" t="str">
        <f t="shared" si="124"/>
        <v xml:space="preserve"> </v>
      </c>
      <c r="AO276" s="130"/>
      <c r="AP276" s="130"/>
    </row>
    <row r="277" spans="1:42">
      <c r="A277" s="131" t="s">
        <v>184</v>
      </c>
      <c r="B277" s="132">
        <v>8</v>
      </c>
      <c r="C277" s="118" t="s">
        <v>167</v>
      </c>
      <c r="D277" s="118">
        <v>2014</v>
      </c>
      <c r="E277" s="133">
        <v>53</v>
      </c>
      <c r="F277" s="133">
        <v>6</v>
      </c>
      <c r="G277" s="133">
        <v>14</v>
      </c>
      <c r="H277" s="134">
        <v>68</v>
      </c>
      <c r="I277" s="133">
        <f t="shared" ref="I277:I282" si="697">E277+F277+G277+H277</f>
        <v>141</v>
      </c>
      <c r="J277" s="135"/>
      <c r="K277" s="136"/>
      <c r="L277" s="136"/>
      <c r="M277" s="137"/>
      <c r="N277" s="136"/>
      <c r="O277" s="135"/>
      <c r="P277" s="136">
        <f>E277+F277</f>
        <v>59</v>
      </c>
      <c r="Q277" s="136">
        <f t="shared" ref="Q277:S277" si="698">G277</f>
        <v>14</v>
      </c>
      <c r="R277" s="137">
        <f t="shared" si="698"/>
        <v>68</v>
      </c>
      <c r="S277" s="136">
        <f t="shared" si="698"/>
        <v>141</v>
      </c>
      <c r="T277" s="139"/>
      <c r="U277" s="140"/>
      <c r="V277" s="140"/>
      <c r="W277" s="141"/>
      <c r="X277" s="140"/>
      <c r="Y277" s="142"/>
      <c r="Z277" s="143"/>
      <c r="AA277" s="136"/>
      <c r="AB277" s="136"/>
      <c r="AC277" s="128"/>
      <c r="AD277" s="135"/>
      <c r="AE277" s="127"/>
      <c r="AF277" s="127"/>
      <c r="AG277" s="130"/>
      <c r="AH277" s="130" t="str">
        <f t="shared" si="118"/>
        <v xml:space="preserve"> </v>
      </c>
      <c r="AI277" s="130">
        <f t="shared" si="119"/>
        <v>59</v>
      </c>
      <c r="AJ277" s="144" t="str">
        <f t="shared" si="120"/>
        <v xml:space="preserve"> </v>
      </c>
      <c r="AK277" s="128" t="str">
        <f t="shared" si="121"/>
        <v xml:space="preserve"> </v>
      </c>
      <c r="AL277" s="128" t="str">
        <f t="shared" si="122"/>
        <v xml:space="preserve"> </v>
      </c>
      <c r="AM277" s="128" t="str">
        <f t="shared" si="123"/>
        <v xml:space="preserve"> </v>
      </c>
      <c r="AN277" s="130" t="str">
        <f t="shared" si="124"/>
        <v xml:space="preserve"> </v>
      </c>
      <c r="AO277" s="130"/>
      <c r="AP277" s="130"/>
    </row>
    <row r="278" spans="1:42">
      <c r="A278" s="131" t="s">
        <v>184</v>
      </c>
      <c r="B278" s="132">
        <v>8</v>
      </c>
      <c r="C278" s="118" t="s">
        <v>167</v>
      </c>
      <c r="D278" s="118">
        <v>2015</v>
      </c>
      <c r="E278" s="133">
        <v>235</v>
      </c>
      <c r="F278" s="133">
        <v>131</v>
      </c>
      <c r="G278" s="133">
        <v>145</v>
      </c>
      <c r="H278" s="134">
        <v>3107</v>
      </c>
      <c r="I278" s="133">
        <f t="shared" si="697"/>
        <v>3618</v>
      </c>
      <c r="J278" s="135"/>
      <c r="K278" s="136">
        <f>ROUND((4594+2507)/8,0)</f>
        <v>888</v>
      </c>
      <c r="L278" s="136">
        <f>ROUND('HCD Assigned 5th Cycle RHNA'!F308/B278,0)</f>
        <v>354</v>
      </c>
      <c r="M278" s="137">
        <f>ROUND(6486/8,0)</f>
        <v>811</v>
      </c>
      <c r="N278" s="136">
        <v>2052</v>
      </c>
      <c r="O278" s="135"/>
      <c r="P278" s="136">
        <f t="shared" ref="P278:P282" si="699">E278+F278+P277</f>
        <v>425</v>
      </c>
      <c r="Q278" s="136">
        <f t="shared" ref="Q278:S278" si="700">G278+Q277</f>
        <v>159</v>
      </c>
      <c r="R278" s="137">
        <f t="shared" si="700"/>
        <v>3175</v>
      </c>
      <c r="S278" s="136">
        <f t="shared" si="700"/>
        <v>3759</v>
      </c>
      <c r="T278" s="139"/>
      <c r="U278" s="140">
        <f t="shared" ref="U278:X278" si="701">P278/K278</f>
        <v>0.4786036036036036</v>
      </c>
      <c r="V278" s="140">
        <f t="shared" si="701"/>
        <v>0.44915254237288138</v>
      </c>
      <c r="W278" s="141">
        <f t="shared" si="701"/>
        <v>3.9149198520345254</v>
      </c>
      <c r="X278" s="140">
        <f t="shared" si="701"/>
        <v>1.8318713450292399</v>
      </c>
      <c r="Y278" s="142"/>
      <c r="Z278" s="143"/>
      <c r="AA278" s="136"/>
      <c r="AB278" s="136" t="s">
        <v>1566</v>
      </c>
      <c r="AC278" s="128" t="s">
        <v>1566</v>
      </c>
      <c r="AD278" s="135"/>
      <c r="AE278" s="127"/>
      <c r="AF278" s="127"/>
      <c r="AG278" s="130"/>
      <c r="AH278" s="130" t="str">
        <f t="shared" si="118"/>
        <v xml:space="preserve"> </v>
      </c>
      <c r="AI278" s="130" t="str">
        <f t="shared" si="119"/>
        <v xml:space="preserve"> </v>
      </c>
      <c r="AJ278" s="130">
        <f t="shared" si="120"/>
        <v>366</v>
      </c>
      <c r="AK278" s="128" t="str">
        <f t="shared" si="121"/>
        <v xml:space="preserve"> </v>
      </c>
      <c r="AL278" s="128" t="str">
        <f t="shared" si="122"/>
        <v xml:space="preserve"> </v>
      </c>
      <c r="AM278" s="128" t="str">
        <f t="shared" si="123"/>
        <v xml:space="preserve"> </v>
      </c>
      <c r="AN278" s="130" t="str">
        <f t="shared" si="124"/>
        <v xml:space="preserve"> </v>
      </c>
      <c r="AO278" s="130"/>
      <c r="AP278" s="130"/>
    </row>
    <row r="279" spans="1:42">
      <c r="A279" s="131" t="s">
        <v>184</v>
      </c>
      <c r="B279" s="132">
        <v>8</v>
      </c>
      <c r="C279" s="118" t="s">
        <v>167</v>
      </c>
      <c r="D279" s="118">
        <v>2016</v>
      </c>
      <c r="E279" s="133">
        <v>82</v>
      </c>
      <c r="F279" s="133">
        <v>57</v>
      </c>
      <c r="G279" s="133">
        <v>139</v>
      </c>
      <c r="H279" s="134">
        <v>1378</v>
      </c>
      <c r="I279" s="133">
        <f t="shared" si="697"/>
        <v>1656</v>
      </c>
      <c r="J279" s="135"/>
      <c r="K279" s="136">
        <f t="shared" ref="K279:N279" si="702">K278*2</f>
        <v>1776</v>
      </c>
      <c r="L279" s="136">
        <f t="shared" si="702"/>
        <v>708</v>
      </c>
      <c r="M279" s="137">
        <f t="shared" si="702"/>
        <v>1622</v>
      </c>
      <c r="N279" s="136">
        <f t="shared" si="702"/>
        <v>4104</v>
      </c>
      <c r="O279" s="135"/>
      <c r="P279" s="136">
        <f t="shared" si="699"/>
        <v>564</v>
      </c>
      <c r="Q279" s="136">
        <f t="shared" ref="Q279:S279" si="703">G279+Q278</f>
        <v>298</v>
      </c>
      <c r="R279" s="137">
        <f t="shared" si="703"/>
        <v>4553</v>
      </c>
      <c r="S279" s="136">
        <f t="shared" si="703"/>
        <v>5415</v>
      </c>
      <c r="T279" s="139"/>
      <c r="U279" s="140">
        <f t="shared" ref="U279:X279" si="704">P279/K279</f>
        <v>0.31756756756756754</v>
      </c>
      <c r="V279" s="140">
        <f t="shared" si="704"/>
        <v>0.42090395480225989</v>
      </c>
      <c r="W279" s="141">
        <f t="shared" si="704"/>
        <v>2.8070283600493218</v>
      </c>
      <c r="X279" s="140">
        <f t="shared" si="704"/>
        <v>1.3194444444444444</v>
      </c>
      <c r="Y279" s="142"/>
      <c r="Z279" s="143"/>
      <c r="AA279" s="136"/>
      <c r="AB279" s="136" t="s">
        <v>1566</v>
      </c>
      <c r="AC279" s="128" t="s">
        <v>1566</v>
      </c>
      <c r="AD279" s="135"/>
      <c r="AE279" s="127" t="s">
        <v>1566</v>
      </c>
      <c r="AF279" s="127"/>
      <c r="AG279" s="130"/>
      <c r="AH279" s="130" t="str">
        <f t="shared" si="118"/>
        <v xml:space="preserve"> </v>
      </c>
      <c r="AI279" s="130" t="str">
        <f t="shared" si="119"/>
        <v xml:space="preserve"> </v>
      </c>
      <c r="AJ279" s="144" t="str">
        <f t="shared" si="120"/>
        <v xml:space="preserve"> </v>
      </c>
      <c r="AK279" s="128">
        <f t="shared" si="121"/>
        <v>139</v>
      </c>
      <c r="AL279" s="128" t="str">
        <f t="shared" si="122"/>
        <v xml:space="preserve"> </v>
      </c>
      <c r="AM279" s="128" t="str">
        <f t="shared" si="123"/>
        <v xml:space="preserve"> </v>
      </c>
      <c r="AN279" s="130" t="str">
        <f t="shared" si="124"/>
        <v xml:space="preserve"> </v>
      </c>
      <c r="AO279" s="130"/>
      <c r="AP279" s="130"/>
    </row>
    <row r="280" spans="1:42">
      <c r="A280" s="131" t="s">
        <v>184</v>
      </c>
      <c r="B280" s="132">
        <v>8</v>
      </c>
      <c r="C280" s="118" t="s">
        <v>167</v>
      </c>
      <c r="D280" s="118">
        <v>2017</v>
      </c>
      <c r="E280" s="133">
        <v>185</v>
      </c>
      <c r="F280" s="133">
        <v>297</v>
      </c>
      <c r="G280" s="133">
        <v>54</v>
      </c>
      <c r="H280" s="134">
        <v>1037</v>
      </c>
      <c r="I280" s="133">
        <f t="shared" si="697"/>
        <v>1573</v>
      </c>
      <c r="J280" s="135"/>
      <c r="K280" s="136">
        <f t="shared" ref="K280:N280" si="705">K278*3</f>
        <v>2664</v>
      </c>
      <c r="L280" s="136">
        <f t="shared" si="705"/>
        <v>1062</v>
      </c>
      <c r="M280" s="137">
        <f t="shared" si="705"/>
        <v>2433</v>
      </c>
      <c r="N280" s="136">
        <f t="shared" si="705"/>
        <v>6156</v>
      </c>
      <c r="O280" s="135"/>
      <c r="P280" s="136">
        <f t="shared" si="699"/>
        <v>1046</v>
      </c>
      <c r="Q280" s="136">
        <f t="shared" ref="Q280:S280" si="706">G280+Q279</f>
        <v>352</v>
      </c>
      <c r="R280" s="137">
        <f t="shared" si="706"/>
        <v>5590</v>
      </c>
      <c r="S280" s="136">
        <f t="shared" si="706"/>
        <v>6988</v>
      </c>
      <c r="T280" s="139"/>
      <c r="U280" s="140">
        <f t="shared" ref="U280:X280" si="707">P280/K280</f>
        <v>0.39264264264264265</v>
      </c>
      <c r="V280" s="140">
        <f t="shared" si="707"/>
        <v>0.33145009416195859</v>
      </c>
      <c r="W280" s="141">
        <f t="shared" si="707"/>
        <v>2.2975750102753802</v>
      </c>
      <c r="X280" s="140">
        <f t="shared" si="707"/>
        <v>1.1351526965562053</v>
      </c>
      <c r="Y280" s="142"/>
      <c r="Z280" s="143"/>
      <c r="AA280" s="136"/>
      <c r="AB280" s="136" t="s">
        <v>1566</v>
      </c>
      <c r="AC280" s="128" t="s">
        <v>1566</v>
      </c>
      <c r="AD280" s="135"/>
      <c r="AE280" s="127" t="s">
        <v>1566</v>
      </c>
      <c r="AF280" s="127"/>
      <c r="AG280" s="130"/>
      <c r="AH280" s="130" t="str">
        <f t="shared" si="118"/>
        <v xml:space="preserve"> </v>
      </c>
      <c r="AI280" s="130" t="str">
        <f t="shared" si="119"/>
        <v xml:space="preserve"> </v>
      </c>
      <c r="AJ280" s="144" t="str">
        <f t="shared" si="120"/>
        <v xml:space="preserve"> </v>
      </c>
      <c r="AK280" s="128" t="str">
        <f t="shared" si="121"/>
        <v xml:space="preserve"> </v>
      </c>
      <c r="AL280" s="128">
        <f t="shared" si="122"/>
        <v>482</v>
      </c>
      <c r="AM280" s="128" t="str">
        <f t="shared" si="123"/>
        <v xml:space="preserve"> </v>
      </c>
      <c r="AN280" s="130" t="str">
        <f t="shared" si="124"/>
        <v xml:space="preserve"> </v>
      </c>
      <c r="AO280" s="130"/>
      <c r="AP280" s="130"/>
    </row>
    <row r="281" spans="1:42">
      <c r="A281" s="131" t="s">
        <v>184</v>
      </c>
      <c r="B281" s="132">
        <v>8</v>
      </c>
      <c r="C281" s="118" t="s">
        <v>167</v>
      </c>
      <c r="D281" s="118">
        <v>2018</v>
      </c>
      <c r="E281" s="133">
        <v>64</v>
      </c>
      <c r="F281" s="133">
        <v>192</v>
      </c>
      <c r="G281" s="133">
        <v>97</v>
      </c>
      <c r="H281" s="134">
        <v>1072</v>
      </c>
      <c r="I281" s="133">
        <f t="shared" si="697"/>
        <v>1425</v>
      </c>
      <c r="J281" s="135"/>
      <c r="K281" s="136">
        <f t="shared" ref="K281:N281" si="708">K278*4</f>
        <v>3552</v>
      </c>
      <c r="L281" s="136">
        <f t="shared" si="708"/>
        <v>1416</v>
      </c>
      <c r="M281" s="137">
        <f t="shared" si="708"/>
        <v>3244</v>
      </c>
      <c r="N281" s="136">
        <f t="shared" si="708"/>
        <v>8208</v>
      </c>
      <c r="O281" s="135"/>
      <c r="P281" s="136">
        <f t="shared" si="699"/>
        <v>1302</v>
      </c>
      <c r="Q281" s="136">
        <f t="shared" ref="Q281:S281" si="709">G281+Q280</f>
        <v>449</v>
      </c>
      <c r="R281" s="137">
        <f t="shared" si="709"/>
        <v>6662</v>
      </c>
      <c r="S281" s="136">
        <f t="shared" si="709"/>
        <v>8413</v>
      </c>
      <c r="T281" s="139"/>
      <c r="U281" s="140">
        <f t="shared" ref="U281:X281" si="710">P281/K281</f>
        <v>0.36655405405405406</v>
      </c>
      <c r="V281" s="140">
        <f t="shared" si="710"/>
        <v>0.31709039548022599</v>
      </c>
      <c r="W281" s="141">
        <f t="shared" si="710"/>
        <v>2.0536374845869299</v>
      </c>
      <c r="X281" s="140">
        <f t="shared" si="710"/>
        <v>1.0249756335282652</v>
      </c>
      <c r="Y281" s="142"/>
      <c r="Z281" s="143"/>
      <c r="AA281" s="138"/>
      <c r="AB281" s="136" t="s">
        <v>1566</v>
      </c>
      <c r="AC281" s="128" t="s">
        <v>1566</v>
      </c>
      <c r="AD281" s="135"/>
      <c r="AE281" s="127" t="s">
        <v>1566</v>
      </c>
      <c r="AF281" s="127"/>
      <c r="AG281" s="130"/>
      <c r="AH281" s="130" t="str">
        <f t="shared" si="118"/>
        <v xml:space="preserve"> </v>
      </c>
      <c r="AI281" s="130" t="str">
        <f t="shared" si="119"/>
        <v xml:space="preserve"> </v>
      </c>
      <c r="AJ281" s="144" t="str">
        <f t="shared" si="120"/>
        <v xml:space="preserve"> </v>
      </c>
      <c r="AK281" s="128" t="str">
        <f t="shared" si="121"/>
        <v xml:space="preserve"> </v>
      </c>
      <c r="AL281" s="128" t="str">
        <f t="shared" si="122"/>
        <v xml:space="preserve"> </v>
      </c>
      <c r="AM281" s="128">
        <f t="shared" si="123"/>
        <v>256</v>
      </c>
      <c r="AN281" s="130" t="str">
        <f t="shared" si="124"/>
        <v xml:space="preserve"> </v>
      </c>
      <c r="AO281" s="130"/>
      <c r="AP281" s="130"/>
    </row>
    <row r="282" spans="1:42">
      <c r="A282" s="131" t="s">
        <v>184</v>
      </c>
      <c r="B282" s="132">
        <v>8</v>
      </c>
      <c r="C282" s="118" t="s">
        <v>167</v>
      </c>
      <c r="D282" s="118">
        <v>2019</v>
      </c>
      <c r="E282" s="133">
        <v>219</v>
      </c>
      <c r="F282" s="133">
        <v>180</v>
      </c>
      <c r="G282" s="133">
        <v>125</v>
      </c>
      <c r="H282" s="134">
        <v>1150</v>
      </c>
      <c r="I282" s="133">
        <f t="shared" si="697"/>
        <v>1674</v>
      </c>
      <c r="J282" s="135"/>
      <c r="K282" s="136">
        <f t="shared" ref="K282:N282" si="711">K278*5</f>
        <v>4440</v>
      </c>
      <c r="L282" s="136">
        <f t="shared" si="711"/>
        <v>1770</v>
      </c>
      <c r="M282" s="137">
        <f t="shared" si="711"/>
        <v>4055</v>
      </c>
      <c r="N282" s="136">
        <f t="shared" si="711"/>
        <v>10260</v>
      </c>
      <c r="O282" s="135"/>
      <c r="P282" s="136">
        <f t="shared" si="699"/>
        <v>1701</v>
      </c>
      <c r="Q282" s="136">
        <f t="shared" ref="Q282:S282" si="712">G282+Q281</f>
        <v>574</v>
      </c>
      <c r="R282" s="137">
        <f t="shared" si="712"/>
        <v>7812</v>
      </c>
      <c r="S282" s="136">
        <f t="shared" si="712"/>
        <v>10087</v>
      </c>
      <c r="T282" s="139"/>
      <c r="U282" s="140">
        <f t="shared" ref="U282:X282" si="713">P282/K282</f>
        <v>0.38310810810810808</v>
      </c>
      <c r="V282" s="140">
        <f t="shared" si="713"/>
        <v>0.32429378531073444</v>
      </c>
      <c r="W282" s="141">
        <f t="shared" si="713"/>
        <v>1.9265104808877929</v>
      </c>
      <c r="X282" s="140">
        <f t="shared" si="713"/>
        <v>0.9831384015594542</v>
      </c>
      <c r="Y282" s="146" t="s">
        <v>184</v>
      </c>
      <c r="Z282" s="143"/>
      <c r="AA282" s="138">
        <v>16418</v>
      </c>
      <c r="AB282" s="136">
        <v>10260</v>
      </c>
      <c r="AC282" s="128">
        <v>10087</v>
      </c>
      <c r="AD282" s="135"/>
      <c r="AE282" s="127">
        <f>N278</f>
        <v>2052</v>
      </c>
      <c r="AF282" s="127"/>
      <c r="AG282" s="130"/>
      <c r="AH282" s="130" t="str">
        <f t="shared" si="118"/>
        <v xml:space="preserve"> </v>
      </c>
      <c r="AI282" s="130" t="str">
        <f t="shared" si="119"/>
        <v xml:space="preserve"> </v>
      </c>
      <c r="AJ282" s="144" t="str">
        <f t="shared" si="120"/>
        <v xml:space="preserve"> </v>
      </c>
      <c r="AK282" s="128" t="str">
        <f t="shared" si="121"/>
        <v xml:space="preserve"> </v>
      </c>
      <c r="AL282" s="128" t="str">
        <f t="shared" si="122"/>
        <v xml:space="preserve"> </v>
      </c>
      <c r="AM282" s="128" t="str">
        <f t="shared" si="123"/>
        <v xml:space="preserve"> </v>
      </c>
      <c r="AN282" s="130">
        <f t="shared" si="124"/>
        <v>399</v>
      </c>
      <c r="AO282" s="130"/>
      <c r="AP282" s="130"/>
    </row>
    <row r="283" spans="1:42">
      <c r="A283" s="131"/>
      <c r="B283" s="132"/>
      <c r="C283" s="118"/>
      <c r="D283" s="118"/>
      <c r="E283" s="133"/>
      <c r="F283" s="133"/>
      <c r="G283" s="133"/>
      <c r="H283" s="134"/>
      <c r="I283" s="133"/>
      <c r="J283" s="135"/>
      <c r="K283" s="136"/>
      <c r="L283" s="136"/>
      <c r="M283" s="137"/>
      <c r="N283" s="136"/>
      <c r="O283" s="135"/>
      <c r="P283" s="136"/>
      <c r="Q283" s="136"/>
      <c r="R283" s="137"/>
      <c r="S283" s="136"/>
      <c r="T283" s="139"/>
      <c r="U283" s="140"/>
      <c r="V283" s="140"/>
      <c r="W283" s="141"/>
      <c r="X283" s="140"/>
      <c r="Y283" s="142"/>
      <c r="Z283" s="143"/>
      <c r="AA283" s="136"/>
      <c r="AB283" s="136" t="s">
        <v>1566</v>
      </c>
      <c r="AC283" s="128" t="s">
        <v>1566</v>
      </c>
      <c r="AD283" s="135"/>
      <c r="AE283" s="127" t="s">
        <v>1566</v>
      </c>
      <c r="AF283" s="127"/>
      <c r="AG283" s="130"/>
      <c r="AH283" s="130" t="str">
        <f t="shared" si="118"/>
        <v xml:space="preserve"> </v>
      </c>
      <c r="AI283" s="130" t="str">
        <f t="shared" si="119"/>
        <v xml:space="preserve"> </v>
      </c>
      <c r="AJ283" s="144" t="str">
        <f t="shared" si="120"/>
        <v xml:space="preserve"> </v>
      </c>
      <c r="AK283" s="128" t="str">
        <f t="shared" si="121"/>
        <v xml:space="preserve"> </v>
      </c>
      <c r="AL283" s="128" t="str">
        <f t="shared" si="122"/>
        <v xml:space="preserve"> </v>
      </c>
      <c r="AM283" s="128" t="str">
        <f t="shared" si="123"/>
        <v xml:space="preserve"> </v>
      </c>
      <c r="AN283" s="130" t="str">
        <f t="shared" si="124"/>
        <v xml:space="preserve"> </v>
      </c>
      <c r="AO283" s="130"/>
      <c r="AP283" s="130"/>
    </row>
    <row r="284" spans="1:42">
      <c r="A284" s="131" t="s">
        <v>185</v>
      </c>
      <c r="B284" s="132">
        <v>8</v>
      </c>
      <c r="C284" s="118" t="s">
        <v>186</v>
      </c>
      <c r="D284" s="118">
        <v>2014</v>
      </c>
      <c r="E284" s="133">
        <v>33</v>
      </c>
      <c r="F284" s="133">
        <v>9</v>
      </c>
      <c r="G284" s="133">
        <v>59</v>
      </c>
      <c r="H284" s="134">
        <v>258</v>
      </c>
      <c r="I284" s="133">
        <f>E284+F284+G284+H284</f>
        <v>359</v>
      </c>
      <c r="J284" s="135"/>
      <c r="K284" s="136"/>
      <c r="L284" s="136"/>
      <c r="M284" s="137"/>
      <c r="N284" s="136"/>
      <c r="O284" s="135"/>
      <c r="P284" s="136">
        <f>E284+F284</f>
        <v>42</v>
      </c>
      <c r="Q284" s="136">
        <f t="shared" ref="Q284:S284" si="714">G284</f>
        <v>59</v>
      </c>
      <c r="R284" s="137">
        <f t="shared" si="714"/>
        <v>258</v>
      </c>
      <c r="S284" s="136">
        <f t="shared" si="714"/>
        <v>359</v>
      </c>
      <c r="T284" s="139"/>
      <c r="U284" s="140"/>
      <c r="V284" s="140"/>
      <c r="W284" s="141"/>
      <c r="X284" s="140"/>
      <c r="Y284" s="142"/>
      <c r="Z284" s="143"/>
      <c r="AA284" s="136"/>
      <c r="AB284" s="136"/>
      <c r="AC284" s="128"/>
      <c r="AD284" s="135"/>
      <c r="AE284" s="127"/>
      <c r="AF284" s="127"/>
      <c r="AG284" s="130"/>
      <c r="AH284" s="130" t="str">
        <f t="shared" si="118"/>
        <v xml:space="preserve"> </v>
      </c>
      <c r="AI284" s="130">
        <f t="shared" si="119"/>
        <v>42</v>
      </c>
      <c r="AJ284" s="144" t="str">
        <f t="shared" si="120"/>
        <v xml:space="preserve"> </v>
      </c>
      <c r="AK284" s="128" t="str">
        <f t="shared" si="121"/>
        <v xml:space="preserve"> </v>
      </c>
      <c r="AL284" s="128" t="str">
        <f t="shared" si="122"/>
        <v xml:space="preserve"> </v>
      </c>
      <c r="AM284" s="128" t="str">
        <f t="shared" si="123"/>
        <v xml:space="preserve"> </v>
      </c>
      <c r="AN284" s="130" t="str">
        <f t="shared" si="124"/>
        <v xml:space="preserve"> </v>
      </c>
      <c r="AO284" s="130"/>
      <c r="AP284" s="130"/>
    </row>
    <row r="285" spans="1:42">
      <c r="A285" s="131" t="s">
        <v>185</v>
      </c>
      <c r="B285" s="132">
        <v>8</v>
      </c>
      <c r="C285" s="118" t="s">
        <v>186</v>
      </c>
      <c r="D285" s="118">
        <v>2015</v>
      </c>
      <c r="E285" s="133">
        <v>54</v>
      </c>
      <c r="F285" s="133">
        <v>45</v>
      </c>
      <c r="G285" s="133">
        <v>443</v>
      </c>
      <c r="H285" s="134">
        <v>771</v>
      </c>
      <c r="I285" s="133">
        <v>1313</v>
      </c>
      <c r="J285" s="135"/>
      <c r="K285" s="136">
        <f>ROUND((2626+1810)/8,0)</f>
        <v>555</v>
      </c>
      <c r="L285" s="136">
        <f>ROUND('HCD Assigned 5th Cycle RHNA'!F524/B285,0)</f>
        <v>256</v>
      </c>
      <c r="M285" s="137">
        <f>ROUND(4545/8,0)</f>
        <v>568</v>
      </c>
      <c r="N285" s="136">
        <f>ROUND(11030/8,0)</f>
        <v>1379</v>
      </c>
      <c r="O285" s="135"/>
      <c r="P285" s="136">
        <f t="shared" ref="P285:P289" si="715">E285+F285+P284</f>
        <v>141</v>
      </c>
      <c r="Q285" s="136">
        <f t="shared" ref="Q285:S285" si="716">G285+Q284</f>
        <v>502</v>
      </c>
      <c r="R285" s="137">
        <f t="shared" si="716"/>
        <v>1029</v>
      </c>
      <c r="S285" s="136">
        <f t="shared" si="716"/>
        <v>1672</v>
      </c>
      <c r="T285" s="139"/>
      <c r="U285" s="140">
        <f t="shared" ref="U285:X285" si="717">P285/K285</f>
        <v>0.25405405405405407</v>
      </c>
      <c r="V285" s="140">
        <f t="shared" si="717"/>
        <v>1.9609375</v>
      </c>
      <c r="W285" s="141">
        <f t="shared" si="717"/>
        <v>1.8116197183098592</v>
      </c>
      <c r="X285" s="140">
        <f t="shared" si="717"/>
        <v>1.2124728063814358</v>
      </c>
      <c r="Y285" s="142"/>
      <c r="Z285" s="143"/>
      <c r="AA285" s="136"/>
      <c r="AB285" s="136" t="s">
        <v>1566</v>
      </c>
      <c r="AC285" s="128" t="s">
        <v>1566</v>
      </c>
      <c r="AD285" s="135"/>
      <c r="AE285" s="127"/>
      <c r="AF285" s="127"/>
      <c r="AG285" s="130"/>
      <c r="AH285" s="130" t="str">
        <f t="shared" si="118"/>
        <v xml:space="preserve"> </v>
      </c>
      <c r="AI285" s="130" t="str">
        <f t="shared" si="119"/>
        <v xml:space="preserve"> </v>
      </c>
      <c r="AJ285" s="130">
        <f t="shared" si="120"/>
        <v>99</v>
      </c>
      <c r="AK285" s="128" t="str">
        <f t="shared" si="121"/>
        <v xml:space="preserve"> </v>
      </c>
      <c r="AL285" s="128" t="str">
        <f t="shared" si="122"/>
        <v xml:space="preserve"> </v>
      </c>
      <c r="AM285" s="128" t="str">
        <f t="shared" si="123"/>
        <v xml:space="preserve"> </v>
      </c>
      <c r="AN285" s="130" t="str">
        <f t="shared" si="124"/>
        <v xml:space="preserve"> </v>
      </c>
      <c r="AO285" s="130"/>
      <c r="AP285" s="130"/>
    </row>
    <row r="286" spans="1:42">
      <c r="A286" s="131" t="s">
        <v>185</v>
      </c>
      <c r="B286" s="132">
        <v>8</v>
      </c>
      <c r="C286" s="118" t="s">
        <v>186</v>
      </c>
      <c r="D286" s="118">
        <v>2016</v>
      </c>
      <c r="E286" s="133">
        <v>123</v>
      </c>
      <c r="F286" s="133">
        <v>112</v>
      </c>
      <c r="G286" s="133">
        <v>27</v>
      </c>
      <c r="H286" s="134">
        <v>594</v>
      </c>
      <c r="I286" s="133">
        <v>856</v>
      </c>
      <c r="J286" s="135"/>
      <c r="K286" s="136">
        <f t="shared" ref="K286:N286" si="718">K285*2</f>
        <v>1110</v>
      </c>
      <c r="L286" s="136">
        <f t="shared" si="718"/>
        <v>512</v>
      </c>
      <c r="M286" s="137">
        <f t="shared" si="718"/>
        <v>1136</v>
      </c>
      <c r="N286" s="136">
        <f t="shared" si="718"/>
        <v>2758</v>
      </c>
      <c r="O286" s="135"/>
      <c r="P286" s="136">
        <f t="shared" si="715"/>
        <v>376</v>
      </c>
      <c r="Q286" s="136">
        <f t="shared" ref="Q286:S286" si="719">G286+Q285</f>
        <v>529</v>
      </c>
      <c r="R286" s="137">
        <f t="shared" si="719"/>
        <v>1623</v>
      </c>
      <c r="S286" s="136">
        <f t="shared" si="719"/>
        <v>2528</v>
      </c>
      <c r="T286" s="139"/>
      <c r="U286" s="140">
        <f t="shared" ref="U286:X286" si="720">P286/K286</f>
        <v>0.33873873873873872</v>
      </c>
      <c r="V286" s="140">
        <f t="shared" si="720"/>
        <v>1.033203125</v>
      </c>
      <c r="W286" s="141">
        <f t="shared" si="720"/>
        <v>1.4286971830985915</v>
      </c>
      <c r="X286" s="140">
        <f t="shared" si="720"/>
        <v>0.91660623640319072</v>
      </c>
      <c r="Y286" s="142"/>
      <c r="Z286" s="143"/>
      <c r="AA286" s="136"/>
      <c r="AB286" s="136" t="s">
        <v>1566</v>
      </c>
      <c r="AC286" s="128" t="s">
        <v>1566</v>
      </c>
      <c r="AD286" s="135"/>
      <c r="AE286" s="127" t="s">
        <v>1566</v>
      </c>
      <c r="AF286" s="127"/>
      <c r="AG286" s="130"/>
      <c r="AH286" s="130" t="str">
        <f t="shared" si="118"/>
        <v xml:space="preserve"> </v>
      </c>
      <c r="AI286" s="130" t="str">
        <f t="shared" si="119"/>
        <v xml:space="preserve"> </v>
      </c>
      <c r="AJ286" s="144" t="str">
        <f t="shared" si="120"/>
        <v xml:space="preserve"> </v>
      </c>
      <c r="AK286" s="128">
        <f t="shared" si="121"/>
        <v>235</v>
      </c>
      <c r="AL286" s="128" t="str">
        <f t="shared" si="122"/>
        <v xml:space="preserve"> </v>
      </c>
      <c r="AM286" s="128" t="str">
        <f t="shared" si="123"/>
        <v xml:space="preserve"> </v>
      </c>
      <c r="AN286" s="130" t="str">
        <f t="shared" si="124"/>
        <v xml:space="preserve"> </v>
      </c>
      <c r="AO286" s="130"/>
      <c r="AP286" s="130"/>
    </row>
    <row r="287" spans="1:42">
      <c r="A287" s="131" t="s">
        <v>185</v>
      </c>
      <c r="B287" s="132">
        <v>8</v>
      </c>
      <c r="C287" s="118" t="s">
        <v>186</v>
      </c>
      <c r="D287" s="118">
        <v>2017</v>
      </c>
      <c r="E287" s="133">
        <v>8</v>
      </c>
      <c r="F287" s="133">
        <v>4</v>
      </c>
      <c r="G287" s="133">
        <v>447</v>
      </c>
      <c r="H287" s="134">
        <v>552</v>
      </c>
      <c r="I287" s="133">
        <v>1011</v>
      </c>
      <c r="J287" s="135"/>
      <c r="K287" s="136">
        <f t="shared" ref="K287:N287" si="721">K285*3</f>
        <v>1665</v>
      </c>
      <c r="L287" s="136">
        <f t="shared" si="721"/>
        <v>768</v>
      </c>
      <c r="M287" s="137">
        <f t="shared" si="721"/>
        <v>1704</v>
      </c>
      <c r="N287" s="136">
        <f t="shared" si="721"/>
        <v>4137</v>
      </c>
      <c r="O287" s="135"/>
      <c r="P287" s="136">
        <f t="shared" si="715"/>
        <v>388</v>
      </c>
      <c r="Q287" s="136">
        <f t="shared" ref="Q287:S287" si="722">G287+Q286</f>
        <v>976</v>
      </c>
      <c r="R287" s="137">
        <f t="shared" si="722"/>
        <v>2175</v>
      </c>
      <c r="S287" s="136">
        <f t="shared" si="722"/>
        <v>3539</v>
      </c>
      <c r="T287" s="139"/>
      <c r="U287" s="140">
        <f t="shared" ref="U287:X287" si="723">P287/K287</f>
        <v>0.23303303303303302</v>
      </c>
      <c r="V287" s="140">
        <f t="shared" si="723"/>
        <v>1.2708333333333333</v>
      </c>
      <c r="W287" s="141">
        <f t="shared" si="723"/>
        <v>1.2764084507042253</v>
      </c>
      <c r="X287" s="140">
        <f t="shared" si="723"/>
        <v>0.85545080976553056</v>
      </c>
      <c r="Y287" s="142"/>
      <c r="Z287" s="143"/>
      <c r="AA287" s="136"/>
      <c r="AB287" s="136" t="s">
        <v>1566</v>
      </c>
      <c r="AC287" s="128" t="s">
        <v>1566</v>
      </c>
      <c r="AD287" s="135"/>
      <c r="AE287" s="127" t="s">
        <v>1566</v>
      </c>
      <c r="AF287" s="127"/>
      <c r="AG287" s="130"/>
      <c r="AH287" s="130" t="str">
        <f t="shared" si="118"/>
        <v xml:space="preserve"> </v>
      </c>
      <c r="AI287" s="130" t="str">
        <f t="shared" si="119"/>
        <v xml:space="preserve"> </v>
      </c>
      <c r="AJ287" s="144" t="str">
        <f t="shared" si="120"/>
        <v xml:space="preserve"> </v>
      </c>
      <c r="AK287" s="128" t="str">
        <f t="shared" si="121"/>
        <v xml:space="preserve"> </v>
      </c>
      <c r="AL287" s="128">
        <f t="shared" si="122"/>
        <v>12</v>
      </c>
      <c r="AM287" s="128" t="str">
        <f t="shared" si="123"/>
        <v xml:space="preserve"> </v>
      </c>
      <c r="AN287" s="130" t="str">
        <f t="shared" si="124"/>
        <v xml:space="preserve"> </v>
      </c>
      <c r="AO287" s="130"/>
      <c r="AP287" s="130"/>
    </row>
    <row r="288" spans="1:42">
      <c r="A288" s="131" t="s">
        <v>185</v>
      </c>
      <c r="B288" s="132">
        <v>8</v>
      </c>
      <c r="C288" s="118" t="s">
        <v>186</v>
      </c>
      <c r="D288" s="118">
        <v>2018</v>
      </c>
      <c r="E288" s="133">
        <v>88</v>
      </c>
      <c r="F288" s="133">
        <v>246</v>
      </c>
      <c r="G288" s="133">
        <v>87</v>
      </c>
      <c r="H288" s="134">
        <v>627</v>
      </c>
      <c r="I288" s="133">
        <v>1048</v>
      </c>
      <c r="J288" s="135"/>
      <c r="K288" s="136">
        <f t="shared" ref="K288:N288" si="724">K285*4</f>
        <v>2220</v>
      </c>
      <c r="L288" s="136">
        <f t="shared" si="724"/>
        <v>1024</v>
      </c>
      <c r="M288" s="137">
        <f t="shared" si="724"/>
        <v>2272</v>
      </c>
      <c r="N288" s="136">
        <f t="shared" si="724"/>
        <v>5516</v>
      </c>
      <c r="O288" s="135"/>
      <c r="P288" s="136">
        <f t="shared" si="715"/>
        <v>722</v>
      </c>
      <c r="Q288" s="136">
        <f t="shared" ref="Q288:S288" si="725">G288+Q287</f>
        <v>1063</v>
      </c>
      <c r="R288" s="137">
        <f t="shared" si="725"/>
        <v>2802</v>
      </c>
      <c r="S288" s="136">
        <f t="shared" si="725"/>
        <v>4587</v>
      </c>
      <c r="T288" s="139"/>
      <c r="U288" s="140">
        <f t="shared" ref="U288:X288" si="726">P288/K288</f>
        <v>0.32522522522522523</v>
      </c>
      <c r="V288" s="140">
        <f t="shared" si="726"/>
        <v>1.0380859375</v>
      </c>
      <c r="W288" s="141">
        <f t="shared" si="726"/>
        <v>1.233274647887324</v>
      </c>
      <c r="X288" s="140">
        <f t="shared" si="726"/>
        <v>0.83158085569253082</v>
      </c>
      <c r="Y288" s="142"/>
      <c r="Z288" s="143"/>
      <c r="AA288" s="138"/>
      <c r="AB288" s="136" t="s">
        <v>1566</v>
      </c>
      <c r="AC288" s="128" t="s">
        <v>1566</v>
      </c>
      <c r="AD288" s="135"/>
      <c r="AE288" s="127" t="s">
        <v>1566</v>
      </c>
      <c r="AF288" s="127"/>
      <c r="AG288" s="130"/>
      <c r="AH288" s="130" t="str">
        <f t="shared" si="118"/>
        <v xml:space="preserve"> </v>
      </c>
      <c r="AI288" s="130" t="str">
        <f t="shared" si="119"/>
        <v xml:space="preserve"> </v>
      </c>
      <c r="AJ288" s="144" t="str">
        <f t="shared" si="120"/>
        <v xml:space="preserve"> </v>
      </c>
      <c r="AK288" s="128" t="str">
        <f t="shared" si="121"/>
        <v xml:space="preserve"> </v>
      </c>
      <c r="AL288" s="128" t="str">
        <f t="shared" si="122"/>
        <v xml:space="preserve"> </v>
      </c>
      <c r="AM288" s="128">
        <f t="shared" si="123"/>
        <v>334</v>
      </c>
      <c r="AN288" s="130" t="str">
        <f t="shared" si="124"/>
        <v xml:space="preserve"> </v>
      </c>
      <c r="AO288" s="130"/>
      <c r="AP288" s="130"/>
    </row>
    <row r="289" spans="1:42">
      <c r="A289" s="131" t="s">
        <v>185</v>
      </c>
      <c r="B289" s="132">
        <v>8</v>
      </c>
      <c r="C289" s="118" t="s">
        <v>186</v>
      </c>
      <c r="D289" s="118">
        <v>2019</v>
      </c>
      <c r="E289" s="133">
        <v>34</v>
      </c>
      <c r="F289" s="133">
        <v>186</v>
      </c>
      <c r="G289" s="133">
        <v>153</v>
      </c>
      <c r="H289" s="134">
        <v>948</v>
      </c>
      <c r="I289" s="133">
        <f>E289+F289+G289+H289</f>
        <v>1321</v>
      </c>
      <c r="J289" s="135"/>
      <c r="K289" s="136">
        <f t="shared" ref="K289:N289" si="727">K285*5</f>
        <v>2775</v>
      </c>
      <c r="L289" s="136">
        <f t="shared" si="727"/>
        <v>1280</v>
      </c>
      <c r="M289" s="137">
        <f t="shared" si="727"/>
        <v>2840</v>
      </c>
      <c r="N289" s="136">
        <f t="shared" si="727"/>
        <v>6895</v>
      </c>
      <c r="O289" s="135"/>
      <c r="P289" s="136">
        <f t="shared" si="715"/>
        <v>942</v>
      </c>
      <c r="Q289" s="136">
        <f t="shared" ref="Q289:S289" si="728">G289+Q288</f>
        <v>1216</v>
      </c>
      <c r="R289" s="137">
        <f t="shared" si="728"/>
        <v>3750</v>
      </c>
      <c r="S289" s="136">
        <f t="shared" si="728"/>
        <v>5908</v>
      </c>
      <c r="T289" s="139"/>
      <c r="U289" s="140">
        <f t="shared" ref="U289:X289" si="729">P289/K289</f>
        <v>0.33945945945945943</v>
      </c>
      <c r="V289" s="140">
        <f t="shared" si="729"/>
        <v>0.95</v>
      </c>
      <c r="W289" s="141">
        <f t="shared" si="729"/>
        <v>1.3204225352112675</v>
      </c>
      <c r="X289" s="140">
        <f t="shared" si="729"/>
        <v>0.85685279187817254</v>
      </c>
      <c r="Y289" s="146" t="s">
        <v>185</v>
      </c>
      <c r="Z289" s="143"/>
      <c r="AA289" s="138">
        <v>11030</v>
      </c>
      <c r="AB289" s="136">
        <v>6895</v>
      </c>
      <c r="AC289" s="128">
        <v>5908</v>
      </c>
      <c r="AD289" s="135"/>
      <c r="AE289" s="127">
        <f>N285</f>
        <v>1379</v>
      </c>
      <c r="AF289" s="127"/>
      <c r="AG289" s="130"/>
      <c r="AH289" s="130" t="str">
        <f t="shared" si="118"/>
        <v xml:space="preserve"> </v>
      </c>
      <c r="AI289" s="130" t="str">
        <f t="shared" si="119"/>
        <v xml:space="preserve"> </v>
      </c>
      <c r="AJ289" s="144" t="str">
        <f t="shared" si="120"/>
        <v xml:space="preserve"> </v>
      </c>
      <c r="AK289" s="128" t="str">
        <f t="shared" si="121"/>
        <v xml:space="preserve"> </v>
      </c>
      <c r="AL289" s="128" t="str">
        <f t="shared" si="122"/>
        <v xml:space="preserve"> </v>
      </c>
      <c r="AM289" s="128" t="str">
        <f t="shared" si="123"/>
        <v xml:space="preserve"> </v>
      </c>
      <c r="AN289" s="130">
        <f t="shared" si="124"/>
        <v>220</v>
      </c>
      <c r="AO289" s="130"/>
      <c r="AP289" s="130"/>
    </row>
    <row r="290" spans="1:42">
      <c r="A290" s="131"/>
      <c r="B290" s="132"/>
      <c r="C290" s="118"/>
      <c r="D290" s="118"/>
      <c r="E290" s="133"/>
      <c r="F290" s="133"/>
      <c r="G290" s="133"/>
      <c r="H290" s="133"/>
      <c r="I290" s="133"/>
      <c r="J290" s="135"/>
      <c r="K290" s="136"/>
      <c r="L290" s="136"/>
      <c r="M290" s="137"/>
      <c r="N290" s="136"/>
      <c r="O290" s="135"/>
      <c r="P290" s="136"/>
      <c r="Q290" s="136"/>
      <c r="R290" s="137"/>
      <c r="S290" s="136"/>
      <c r="T290" s="139"/>
      <c r="U290" s="140"/>
      <c r="V290" s="140"/>
      <c r="W290" s="141"/>
      <c r="X290" s="140"/>
      <c r="Y290" s="146"/>
      <c r="Z290" s="143"/>
      <c r="AA290" s="136"/>
      <c r="AB290" s="136" t="s">
        <v>1566</v>
      </c>
      <c r="AC290" s="128" t="s">
        <v>1566</v>
      </c>
      <c r="AD290" s="135"/>
      <c r="AE290" s="127" t="s">
        <v>1566</v>
      </c>
      <c r="AF290" s="127"/>
      <c r="AG290" s="130"/>
      <c r="AH290" s="130" t="str">
        <f t="shared" si="118"/>
        <v xml:space="preserve"> </v>
      </c>
      <c r="AI290" s="130" t="str">
        <f t="shared" si="119"/>
        <v xml:space="preserve"> </v>
      </c>
      <c r="AJ290" s="144" t="str">
        <f t="shared" si="120"/>
        <v xml:space="preserve"> </v>
      </c>
      <c r="AK290" s="128" t="str">
        <f t="shared" si="121"/>
        <v xml:space="preserve"> </v>
      </c>
      <c r="AL290" s="128" t="str">
        <f t="shared" si="122"/>
        <v xml:space="preserve"> </v>
      </c>
      <c r="AM290" s="128" t="str">
        <f t="shared" si="123"/>
        <v xml:space="preserve"> </v>
      </c>
      <c r="AN290" s="130" t="str">
        <f t="shared" si="124"/>
        <v xml:space="preserve"> </v>
      </c>
      <c r="AO290" s="130"/>
      <c r="AP290" s="130"/>
    </row>
    <row r="291" spans="1:42">
      <c r="A291" s="131" t="s">
        <v>187</v>
      </c>
      <c r="B291" s="132">
        <v>8</v>
      </c>
      <c r="C291" s="118" t="s">
        <v>167</v>
      </c>
      <c r="D291" s="118">
        <v>2014</v>
      </c>
      <c r="E291" s="133">
        <v>314</v>
      </c>
      <c r="F291" s="133">
        <v>251</v>
      </c>
      <c r="G291" s="133">
        <v>0</v>
      </c>
      <c r="H291" s="134">
        <v>5456</v>
      </c>
      <c r="I291" s="133">
        <f t="shared" ref="I291:I296" si="730">E291+F291+G291+H291</f>
        <v>6021</v>
      </c>
      <c r="J291" s="135"/>
      <c r="K291" s="136"/>
      <c r="L291" s="136"/>
      <c r="M291" s="137"/>
      <c r="N291" s="136"/>
      <c r="O291" s="135"/>
      <c r="P291" s="136">
        <f>E291+F291</f>
        <v>565</v>
      </c>
      <c r="Q291" s="136">
        <f t="shared" ref="Q291:R291" si="731">G291</f>
        <v>0</v>
      </c>
      <c r="R291" s="137">
        <f t="shared" si="731"/>
        <v>5456</v>
      </c>
      <c r="S291" s="136">
        <f t="shared" ref="S291:S292" si="732">P291+Q291+R291</f>
        <v>6021</v>
      </c>
      <c r="T291" s="139"/>
      <c r="U291" s="140"/>
      <c r="V291" s="140"/>
      <c r="W291" s="141"/>
      <c r="X291" s="140"/>
      <c r="Y291" s="146"/>
      <c r="Z291" s="143"/>
      <c r="AA291" s="136"/>
      <c r="AB291" s="136"/>
      <c r="AC291" s="128"/>
      <c r="AD291" s="135"/>
      <c r="AE291" s="127"/>
      <c r="AF291" s="127"/>
      <c r="AG291" s="130"/>
      <c r="AH291" s="130" t="str">
        <f t="shared" si="118"/>
        <v xml:space="preserve"> </v>
      </c>
      <c r="AI291" s="130">
        <f t="shared" si="119"/>
        <v>565</v>
      </c>
      <c r="AJ291" s="144" t="str">
        <f t="shared" si="120"/>
        <v xml:space="preserve"> </v>
      </c>
      <c r="AK291" s="128" t="str">
        <f t="shared" si="121"/>
        <v xml:space="preserve"> </v>
      </c>
      <c r="AL291" s="128" t="str">
        <f t="shared" si="122"/>
        <v xml:space="preserve"> </v>
      </c>
      <c r="AM291" s="128" t="str">
        <f t="shared" si="123"/>
        <v xml:space="preserve"> </v>
      </c>
      <c r="AN291" s="130" t="str">
        <f t="shared" si="124"/>
        <v xml:space="preserve"> </v>
      </c>
      <c r="AO291" s="130"/>
      <c r="AP291" s="130"/>
    </row>
    <row r="292" spans="1:42">
      <c r="A292" s="131" t="s">
        <v>187</v>
      </c>
      <c r="B292" s="132">
        <v>8</v>
      </c>
      <c r="C292" s="118" t="s">
        <v>167</v>
      </c>
      <c r="D292" s="118">
        <v>2015</v>
      </c>
      <c r="E292" s="133">
        <v>204</v>
      </c>
      <c r="F292" s="133">
        <v>456</v>
      </c>
      <c r="G292" s="133">
        <v>196</v>
      </c>
      <c r="H292" s="134">
        <v>5298</v>
      </c>
      <c r="I292" s="136">
        <f t="shared" si="730"/>
        <v>6154</v>
      </c>
      <c r="J292" s="135"/>
      <c r="K292" s="136">
        <f>ROUND((15158+9542)/8,0)</f>
        <v>3088</v>
      </c>
      <c r="L292" s="136">
        <f>ROUND('HCD Assigned 5th Cycle RHNA'!F330/B292,0)</f>
        <v>1330</v>
      </c>
      <c r="M292" s="137">
        <f>ROUND(22500/8,0)</f>
        <v>2813</v>
      </c>
      <c r="N292" s="136">
        <f>ROUND(58836/8,0)</f>
        <v>7355</v>
      </c>
      <c r="O292" s="135"/>
      <c r="P292" s="136">
        <f t="shared" ref="P292:P296" si="733">E292+F292+P291</f>
        <v>1225</v>
      </c>
      <c r="Q292" s="136">
        <f t="shared" ref="Q292:R292" si="734">G292+Q291</f>
        <v>196</v>
      </c>
      <c r="R292" s="137">
        <f t="shared" si="734"/>
        <v>10754</v>
      </c>
      <c r="S292" s="136">
        <f t="shared" si="732"/>
        <v>12175</v>
      </c>
      <c r="T292" s="139"/>
      <c r="U292" s="140">
        <f t="shared" ref="U292:X292" si="735">P292/K292</f>
        <v>0.39669689119170987</v>
      </c>
      <c r="V292" s="140">
        <f t="shared" si="735"/>
        <v>0.14736842105263157</v>
      </c>
      <c r="W292" s="141">
        <f t="shared" si="735"/>
        <v>3.8229648062566657</v>
      </c>
      <c r="X292" s="140">
        <f t="shared" si="735"/>
        <v>1.655336505778382</v>
      </c>
      <c r="Y292" s="142"/>
      <c r="Z292" s="143"/>
      <c r="AA292" s="136"/>
      <c r="AB292" s="136" t="s">
        <v>1566</v>
      </c>
      <c r="AC292" s="128" t="s">
        <v>1566</v>
      </c>
      <c r="AD292" s="135"/>
      <c r="AE292" s="127"/>
      <c r="AF292" s="127"/>
      <c r="AG292" s="130"/>
      <c r="AH292" s="130" t="str">
        <f t="shared" si="118"/>
        <v xml:space="preserve"> </v>
      </c>
      <c r="AI292" s="130" t="str">
        <f t="shared" si="119"/>
        <v xml:space="preserve"> </v>
      </c>
      <c r="AJ292" s="130">
        <f t="shared" si="120"/>
        <v>660</v>
      </c>
      <c r="AK292" s="128" t="str">
        <f t="shared" si="121"/>
        <v xml:space="preserve"> </v>
      </c>
      <c r="AL292" s="128" t="str">
        <f t="shared" si="122"/>
        <v xml:space="preserve"> </v>
      </c>
      <c r="AM292" s="128" t="str">
        <f t="shared" si="123"/>
        <v xml:space="preserve"> </v>
      </c>
      <c r="AN292" s="130" t="str">
        <f t="shared" si="124"/>
        <v xml:space="preserve"> </v>
      </c>
      <c r="AO292" s="130"/>
      <c r="AP292" s="130"/>
    </row>
    <row r="293" spans="1:42">
      <c r="A293" s="131" t="s">
        <v>187</v>
      </c>
      <c r="B293" s="132">
        <v>8</v>
      </c>
      <c r="C293" s="118" t="s">
        <v>167</v>
      </c>
      <c r="D293" s="118">
        <v>2016</v>
      </c>
      <c r="E293" s="133">
        <v>387</v>
      </c>
      <c r="F293" s="133">
        <v>149</v>
      </c>
      <c r="G293" s="133">
        <v>88</v>
      </c>
      <c r="H293" s="134">
        <v>3801</v>
      </c>
      <c r="I293" s="136">
        <f t="shared" si="730"/>
        <v>4425</v>
      </c>
      <c r="J293" s="135"/>
      <c r="K293" s="136">
        <f t="shared" ref="K293:N293" si="736">K292*2</f>
        <v>6176</v>
      </c>
      <c r="L293" s="136">
        <f t="shared" si="736"/>
        <v>2660</v>
      </c>
      <c r="M293" s="137">
        <f t="shared" si="736"/>
        <v>5626</v>
      </c>
      <c r="N293" s="136">
        <f t="shared" si="736"/>
        <v>14710</v>
      </c>
      <c r="O293" s="135"/>
      <c r="P293" s="136">
        <f t="shared" si="733"/>
        <v>1761</v>
      </c>
      <c r="Q293" s="136">
        <f t="shared" ref="Q293:S293" si="737">G293+Q292</f>
        <v>284</v>
      </c>
      <c r="R293" s="137">
        <f t="shared" si="737"/>
        <v>14555</v>
      </c>
      <c r="S293" s="136">
        <f t="shared" si="737"/>
        <v>16600</v>
      </c>
      <c r="T293" s="139"/>
      <c r="U293" s="140">
        <f t="shared" ref="U293:X293" si="738">P293/K293</f>
        <v>0.28513601036269431</v>
      </c>
      <c r="V293" s="140">
        <f t="shared" si="738"/>
        <v>0.10676691729323308</v>
      </c>
      <c r="W293" s="141">
        <f t="shared" si="738"/>
        <v>2.5870956274440098</v>
      </c>
      <c r="X293" s="140">
        <f t="shared" si="738"/>
        <v>1.1284840244731476</v>
      </c>
      <c r="Y293" s="142"/>
      <c r="Z293" s="143"/>
      <c r="AA293" s="136"/>
      <c r="AB293" s="136" t="s">
        <v>1566</v>
      </c>
      <c r="AC293" s="128" t="s">
        <v>1566</v>
      </c>
      <c r="AD293" s="135"/>
      <c r="AE293" s="127" t="s">
        <v>1566</v>
      </c>
      <c r="AF293" s="127"/>
      <c r="AG293" s="130"/>
      <c r="AH293" s="130" t="str">
        <f t="shared" si="118"/>
        <v xml:space="preserve"> </v>
      </c>
      <c r="AI293" s="130" t="str">
        <f t="shared" si="119"/>
        <v xml:space="preserve"> </v>
      </c>
      <c r="AJ293" s="144" t="str">
        <f t="shared" si="120"/>
        <v xml:space="preserve"> </v>
      </c>
      <c r="AK293" s="128">
        <f t="shared" si="121"/>
        <v>536</v>
      </c>
      <c r="AL293" s="128" t="str">
        <f t="shared" si="122"/>
        <v xml:space="preserve"> </v>
      </c>
      <c r="AM293" s="128" t="str">
        <f t="shared" si="123"/>
        <v xml:space="preserve"> </v>
      </c>
      <c r="AN293" s="130" t="str">
        <f t="shared" si="124"/>
        <v xml:space="preserve"> </v>
      </c>
      <c r="AO293" s="130"/>
      <c r="AP293" s="130"/>
    </row>
    <row r="294" spans="1:42">
      <c r="A294" s="131" t="s">
        <v>187</v>
      </c>
      <c r="B294" s="132">
        <v>8</v>
      </c>
      <c r="C294" s="118" t="s">
        <v>167</v>
      </c>
      <c r="D294" s="118">
        <v>2017</v>
      </c>
      <c r="E294" s="133">
        <v>364</v>
      </c>
      <c r="F294" s="133">
        <v>275</v>
      </c>
      <c r="G294" s="133">
        <v>401</v>
      </c>
      <c r="H294" s="134">
        <v>6828</v>
      </c>
      <c r="I294" s="136">
        <f t="shared" si="730"/>
        <v>7868</v>
      </c>
      <c r="J294" s="135"/>
      <c r="K294" s="136">
        <f t="shared" ref="K294:N294" si="739">K292*3</f>
        <v>9264</v>
      </c>
      <c r="L294" s="136">
        <f t="shared" si="739"/>
        <v>3990</v>
      </c>
      <c r="M294" s="137">
        <f t="shared" si="739"/>
        <v>8439</v>
      </c>
      <c r="N294" s="136">
        <f t="shared" si="739"/>
        <v>22065</v>
      </c>
      <c r="O294" s="135"/>
      <c r="P294" s="136">
        <f t="shared" si="733"/>
        <v>2400</v>
      </c>
      <c r="Q294" s="136">
        <f t="shared" ref="Q294:S294" si="740">G294+Q293</f>
        <v>685</v>
      </c>
      <c r="R294" s="137">
        <f t="shared" si="740"/>
        <v>21383</v>
      </c>
      <c r="S294" s="136">
        <f t="shared" si="740"/>
        <v>24468</v>
      </c>
      <c r="T294" s="139"/>
      <c r="U294" s="140">
        <f t="shared" ref="U294:X294" si="741">P294/K294</f>
        <v>0.25906735751295334</v>
      </c>
      <c r="V294" s="140">
        <f t="shared" si="741"/>
        <v>0.17167919799498746</v>
      </c>
      <c r="W294" s="141">
        <f t="shared" si="741"/>
        <v>2.5338310226330134</v>
      </c>
      <c r="X294" s="140">
        <f t="shared" si="741"/>
        <v>1.1089055064581916</v>
      </c>
      <c r="Y294" s="142"/>
      <c r="Z294" s="143"/>
      <c r="AA294" s="136"/>
      <c r="AB294" s="136" t="s">
        <v>1566</v>
      </c>
      <c r="AC294" s="128" t="s">
        <v>1566</v>
      </c>
      <c r="AD294" s="135"/>
      <c r="AE294" s="127" t="s">
        <v>1566</v>
      </c>
      <c r="AF294" s="127"/>
      <c r="AG294" s="130"/>
      <c r="AH294" s="130" t="str">
        <f t="shared" si="118"/>
        <v xml:space="preserve"> </v>
      </c>
      <c r="AI294" s="130" t="str">
        <f t="shared" si="119"/>
        <v xml:space="preserve"> </v>
      </c>
      <c r="AJ294" s="144" t="str">
        <f t="shared" si="120"/>
        <v xml:space="preserve"> </v>
      </c>
      <c r="AK294" s="128" t="str">
        <f t="shared" si="121"/>
        <v xml:space="preserve"> </v>
      </c>
      <c r="AL294" s="128">
        <f t="shared" si="122"/>
        <v>639</v>
      </c>
      <c r="AM294" s="128" t="str">
        <f t="shared" si="123"/>
        <v xml:space="preserve"> </v>
      </c>
      <c r="AN294" s="130" t="str">
        <f t="shared" si="124"/>
        <v xml:space="preserve"> </v>
      </c>
      <c r="AO294" s="130"/>
      <c r="AP294" s="130"/>
    </row>
    <row r="295" spans="1:42">
      <c r="A295" s="131" t="s">
        <v>187</v>
      </c>
      <c r="B295" s="132">
        <v>8</v>
      </c>
      <c r="C295" s="118" t="s">
        <v>167</v>
      </c>
      <c r="D295" s="118">
        <v>2018</v>
      </c>
      <c r="E295" s="133">
        <v>286</v>
      </c>
      <c r="F295" s="133">
        <v>85</v>
      </c>
      <c r="G295" s="133">
        <v>1731</v>
      </c>
      <c r="H295" s="134">
        <v>5378</v>
      </c>
      <c r="I295" s="136">
        <f t="shared" si="730"/>
        <v>7480</v>
      </c>
      <c r="J295" s="135"/>
      <c r="K295" s="136">
        <f t="shared" ref="K295:N295" si="742">K292*4</f>
        <v>12352</v>
      </c>
      <c r="L295" s="136">
        <f t="shared" si="742"/>
        <v>5320</v>
      </c>
      <c r="M295" s="137">
        <f t="shared" si="742"/>
        <v>11252</v>
      </c>
      <c r="N295" s="136">
        <f t="shared" si="742"/>
        <v>29420</v>
      </c>
      <c r="O295" s="135"/>
      <c r="P295" s="136">
        <f t="shared" si="733"/>
        <v>2771</v>
      </c>
      <c r="Q295" s="136">
        <f t="shared" ref="Q295:S295" si="743">G295+Q294</f>
        <v>2416</v>
      </c>
      <c r="R295" s="137">
        <f t="shared" si="743"/>
        <v>26761</v>
      </c>
      <c r="S295" s="136">
        <f t="shared" si="743"/>
        <v>31948</v>
      </c>
      <c r="T295" s="139"/>
      <c r="U295" s="140">
        <f t="shared" ref="U295:X295" si="744">P295/K295</f>
        <v>0.22433613989637305</v>
      </c>
      <c r="V295" s="140">
        <f t="shared" si="744"/>
        <v>0.45413533834586467</v>
      </c>
      <c r="W295" s="141">
        <f t="shared" si="744"/>
        <v>2.3783327408460719</v>
      </c>
      <c r="X295" s="140">
        <f t="shared" si="744"/>
        <v>1.0859279401767505</v>
      </c>
      <c r="Y295" s="142"/>
      <c r="Z295" s="143"/>
      <c r="AA295" s="138"/>
      <c r="AB295" s="136" t="s">
        <v>1566</v>
      </c>
      <c r="AC295" s="128" t="s">
        <v>1566</v>
      </c>
      <c r="AD295" s="135"/>
      <c r="AE295" s="127" t="s">
        <v>1566</v>
      </c>
      <c r="AF295" s="127"/>
      <c r="AG295" s="130"/>
      <c r="AH295" s="130" t="str">
        <f t="shared" si="118"/>
        <v xml:space="preserve"> </v>
      </c>
      <c r="AI295" s="130" t="str">
        <f t="shared" si="119"/>
        <v xml:space="preserve"> </v>
      </c>
      <c r="AJ295" s="144" t="str">
        <f t="shared" si="120"/>
        <v xml:space="preserve"> </v>
      </c>
      <c r="AK295" s="128" t="str">
        <f t="shared" si="121"/>
        <v xml:space="preserve"> </v>
      </c>
      <c r="AL295" s="128" t="str">
        <f t="shared" si="122"/>
        <v xml:space="preserve"> </v>
      </c>
      <c r="AM295" s="128">
        <f t="shared" si="123"/>
        <v>371</v>
      </c>
      <c r="AN295" s="130" t="str">
        <f t="shared" si="124"/>
        <v xml:space="preserve"> </v>
      </c>
      <c r="AO295" s="130"/>
      <c r="AP295" s="130"/>
    </row>
    <row r="296" spans="1:42">
      <c r="A296" s="131" t="s">
        <v>187</v>
      </c>
      <c r="B296" s="132">
        <v>8</v>
      </c>
      <c r="C296" s="118" t="s">
        <v>167</v>
      </c>
      <c r="D296" s="118">
        <v>2019</v>
      </c>
      <c r="E296" s="133">
        <v>393</v>
      </c>
      <c r="F296" s="133">
        <v>47</v>
      </c>
      <c r="G296" s="133">
        <v>3375</v>
      </c>
      <c r="H296" s="134">
        <v>3818</v>
      </c>
      <c r="I296" s="136">
        <f t="shared" si="730"/>
        <v>7633</v>
      </c>
      <c r="J296" s="135"/>
      <c r="K296" s="136">
        <f t="shared" ref="K296:N296" si="745">K292*5</f>
        <v>15440</v>
      </c>
      <c r="L296" s="136">
        <f t="shared" si="745"/>
        <v>6650</v>
      </c>
      <c r="M296" s="137">
        <f t="shared" si="745"/>
        <v>14065</v>
      </c>
      <c r="N296" s="136">
        <f t="shared" si="745"/>
        <v>36775</v>
      </c>
      <c r="O296" s="135"/>
      <c r="P296" s="136">
        <f t="shared" si="733"/>
        <v>3211</v>
      </c>
      <c r="Q296" s="136">
        <f t="shared" ref="Q296:S296" si="746">G296+Q295</f>
        <v>5791</v>
      </c>
      <c r="R296" s="137">
        <f t="shared" si="746"/>
        <v>30579</v>
      </c>
      <c r="S296" s="136">
        <f t="shared" si="746"/>
        <v>39581</v>
      </c>
      <c r="T296" s="139"/>
      <c r="U296" s="140">
        <f t="shared" ref="U296:X296" si="747">P296/K296</f>
        <v>0.20796632124352332</v>
      </c>
      <c r="V296" s="140">
        <f t="shared" si="747"/>
        <v>0.87082706766917295</v>
      </c>
      <c r="W296" s="141">
        <f t="shared" si="747"/>
        <v>2.1741201564166373</v>
      </c>
      <c r="X296" s="140">
        <f t="shared" si="747"/>
        <v>1.0763018354860638</v>
      </c>
      <c r="Y296" s="146" t="s">
        <v>187</v>
      </c>
      <c r="Z296" s="143"/>
      <c r="AA296" s="138">
        <v>58836</v>
      </c>
      <c r="AB296" s="136">
        <v>36775</v>
      </c>
      <c r="AC296" s="128">
        <v>39581</v>
      </c>
      <c r="AD296" s="135"/>
      <c r="AE296" s="127">
        <f>N292</f>
        <v>7355</v>
      </c>
      <c r="AF296" s="127"/>
      <c r="AG296" s="130"/>
      <c r="AH296" s="130" t="str">
        <f t="shared" si="118"/>
        <v xml:space="preserve"> </v>
      </c>
      <c r="AI296" s="130" t="str">
        <f t="shared" si="119"/>
        <v xml:space="preserve"> </v>
      </c>
      <c r="AJ296" s="144" t="str">
        <f t="shared" si="120"/>
        <v xml:space="preserve"> </v>
      </c>
      <c r="AK296" s="128" t="str">
        <f t="shared" si="121"/>
        <v xml:space="preserve"> </v>
      </c>
      <c r="AL296" s="128" t="str">
        <f t="shared" si="122"/>
        <v xml:space="preserve"> </v>
      </c>
      <c r="AM296" s="128" t="str">
        <f t="shared" si="123"/>
        <v xml:space="preserve"> </v>
      </c>
      <c r="AN296" s="130">
        <f t="shared" si="124"/>
        <v>440</v>
      </c>
      <c r="AO296" s="130"/>
      <c r="AP296" s="130"/>
    </row>
    <row r="297" spans="1:42">
      <c r="A297" s="131"/>
      <c r="B297" s="132"/>
      <c r="C297" s="118"/>
      <c r="D297" s="118"/>
      <c r="E297" s="133"/>
      <c r="F297" s="133"/>
      <c r="G297" s="133"/>
      <c r="H297" s="134"/>
      <c r="I297" s="133"/>
      <c r="J297" s="135"/>
      <c r="K297" s="136"/>
      <c r="L297" s="136"/>
      <c r="M297" s="137"/>
      <c r="N297" s="136"/>
      <c r="O297" s="135"/>
      <c r="P297" s="136"/>
      <c r="Q297" s="136"/>
      <c r="R297" s="137"/>
      <c r="S297" s="136"/>
      <c r="T297" s="139"/>
      <c r="U297" s="140"/>
      <c r="V297" s="140"/>
      <c r="W297" s="141"/>
      <c r="X297" s="140"/>
      <c r="Y297" s="142"/>
      <c r="Z297" s="143"/>
      <c r="AA297" s="138"/>
      <c r="AB297" s="136" t="s">
        <v>1566</v>
      </c>
      <c r="AC297" s="128" t="s">
        <v>1566</v>
      </c>
      <c r="AD297" s="135"/>
      <c r="AE297" s="127" t="s">
        <v>1566</v>
      </c>
      <c r="AF297" s="127"/>
      <c r="AG297" s="130"/>
      <c r="AH297" s="130" t="str">
        <f t="shared" si="118"/>
        <v xml:space="preserve"> </v>
      </c>
      <c r="AI297" s="130" t="str">
        <f t="shared" si="119"/>
        <v xml:space="preserve"> </v>
      </c>
      <c r="AJ297" s="144" t="str">
        <f t="shared" si="120"/>
        <v xml:space="preserve"> </v>
      </c>
      <c r="AK297" s="128" t="str">
        <f t="shared" si="121"/>
        <v xml:space="preserve"> </v>
      </c>
      <c r="AL297" s="128" t="str">
        <f t="shared" si="122"/>
        <v xml:space="preserve"> </v>
      </c>
      <c r="AM297" s="128" t="str">
        <f t="shared" si="123"/>
        <v xml:space="preserve"> </v>
      </c>
      <c r="AN297" s="130" t="str">
        <f t="shared" si="124"/>
        <v xml:space="preserve"> </v>
      </c>
      <c r="AO297" s="130"/>
      <c r="AP297" s="130"/>
    </row>
    <row r="298" spans="1:42">
      <c r="A298" s="131" t="s">
        <v>188</v>
      </c>
      <c r="B298" s="132">
        <v>8</v>
      </c>
      <c r="C298" s="118" t="s">
        <v>142</v>
      </c>
      <c r="D298" s="118">
        <v>2015</v>
      </c>
      <c r="E298" s="133">
        <v>6</v>
      </c>
      <c r="F298" s="133">
        <v>9</v>
      </c>
      <c r="G298" s="133">
        <v>123</v>
      </c>
      <c r="H298" s="134">
        <v>134</v>
      </c>
      <c r="I298" s="133">
        <f>E298+F298+G298+H298</f>
        <v>272</v>
      </c>
      <c r="J298" s="135"/>
      <c r="K298" s="136"/>
      <c r="L298" s="136"/>
      <c r="M298" s="137"/>
      <c r="N298" s="136"/>
      <c r="O298" s="135"/>
      <c r="P298" s="136">
        <f>E298+F298</f>
        <v>15</v>
      </c>
      <c r="Q298" s="136">
        <f t="shared" ref="Q298:S298" si="748">G298</f>
        <v>123</v>
      </c>
      <c r="R298" s="137">
        <f t="shared" si="748"/>
        <v>134</v>
      </c>
      <c r="S298" s="136">
        <f t="shared" si="748"/>
        <v>272</v>
      </c>
      <c r="T298" s="139"/>
      <c r="U298" s="140">
        <f t="shared" ref="U298:X298" si="749">P298/K299</f>
        <v>9.8684210526315791E-2</v>
      </c>
      <c r="V298" s="140">
        <f t="shared" si="749"/>
        <v>1.7826086956521738</v>
      </c>
      <c r="W298" s="141">
        <f t="shared" si="749"/>
        <v>0.84276729559748431</v>
      </c>
      <c r="X298" s="140">
        <f t="shared" si="749"/>
        <v>0.71391076115485563</v>
      </c>
      <c r="Y298" s="142"/>
      <c r="Z298" s="143"/>
      <c r="AA298" s="136"/>
      <c r="AB298" s="136"/>
      <c r="AC298" s="128"/>
      <c r="AD298" s="135"/>
      <c r="AE298" s="127"/>
      <c r="AF298" s="127"/>
      <c r="AG298" s="130"/>
      <c r="AH298" s="130" t="str">
        <f t="shared" si="118"/>
        <v xml:space="preserve"> </v>
      </c>
      <c r="AI298" s="130" t="str">
        <f t="shared" si="119"/>
        <v xml:space="preserve"> </v>
      </c>
      <c r="AJ298" s="130">
        <f t="shared" si="120"/>
        <v>15</v>
      </c>
      <c r="AK298" s="128" t="str">
        <f t="shared" si="121"/>
        <v xml:space="preserve"> </v>
      </c>
      <c r="AL298" s="128" t="str">
        <f t="shared" si="122"/>
        <v xml:space="preserve"> </v>
      </c>
      <c r="AM298" s="128" t="str">
        <f t="shared" si="123"/>
        <v xml:space="preserve"> </v>
      </c>
      <c r="AN298" s="130" t="str">
        <f t="shared" si="124"/>
        <v xml:space="preserve"> </v>
      </c>
      <c r="AO298" s="130"/>
      <c r="AP298" s="130"/>
    </row>
    <row r="299" spans="1:42">
      <c r="A299" s="131" t="s">
        <v>188</v>
      </c>
      <c r="B299" s="132">
        <v>8</v>
      </c>
      <c r="C299" s="118" t="s">
        <v>142</v>
      </c>
      <c r="D299" s="118">
        <v>2016</v>
      </c>
      <c r="E299" s="133">
        <v>63</v>
      </c>
      <c r="F299" s="133">
        <v>40</v>
      </c>
      <c r="G299" s="133">
        <v>151</v>
      </c>
      <c r="H299" s="134">
        <v>98</v>
      </c>
      <c r="I299" s="133">
        <v>352</v>
      </c>
      <c r="J299" s="135"/>
      <c r="K299" s="136">
        <f>ROUND((734+480)/8,0)</f>
        <v>152</v>
      </c>
      <c r="L299" s="136">
        <f>ROUND('HCD Assigned 5th Cycle RHNA'!F426/B299,0)</f>
        <v>69</v>
      </c>
      <c r="M299" s="137">
        <v>159</v>
      </c>
      <c r="N299" s="136">
        <v>381</v>
      </c>
      <c r="O299" s="135"/>
      <c r="P299" s="136">
        <f t="shared" ref="P299:P302" si="750">E299+F299+P298</f>
        <v>118</v>
      </c>
      <c r="Q299" s="136">
        <f t="shared" ref="Q299:S299" si="751">G299+Q298</f>
        <v>274</v>
      </c>
      <c r="R299" s="137">
        <f t="shared" si="751"/>
        <v>232</v>
      </c>
      <c r="S299" s="136">
        <f t="shared" si="751"/>
        <v>624</v>
      </c>
      <c r="T299" s="139"/>
      <c r="U299" s="140">
        <f t="shared" ref="U299:X299" si="752">P299/K299</f>
        <v>0.77631578947368418</v>
      </c>
      <c r="V299" s="140">
        <f t="shared" si="752"/>
        <v>3.9710144927536231</v>
      </c>
      <c r="W299" s="141">
        <f t="shared" si="752"/>
        <v>1.4591194968553458</v>
      </c>
      <c r="X299" s="140">
        <f t="shared" si="752"/>
        <v>1.6377952755905512</v>
      </c>
      <c r="Y299" s="142"/>
      <c r="Z299" s="143"/>
      <c r="AA299" s="136"/>
      <c r="AB299" s="136" t="s">
        <v>1566</v>
      </c>
      <c r="AC299" s="128" t="s">
        <v>1566</v>
      </c>
      <c r="AD299" s="135"/>
      <c r="AE299" s="127"/>
      <c r="AF299" s="127"/>
      <c r="AG299" s="130"/>
      <c r="AH299" s="130" t="str">
        <f t="shared" si="118"/>
        <v xml:space="preserve"> </v>
      </c>
      <c r="AI299" s="130" t="str">
        <f t="shared" si="119"/>
        <v xml:space="preserve"> </v>
      </c>
      <c r="AJ299" s="144" t="str">
        <f t="shared" si="120"/>
        <v xml:space="preserve"> </v>
      </c>
      <c r="AK299" s="128">
        <f t="shared" si="121"/>
        <v>103</v>
      </c>
      <c r="AL299" s="128" t="str">
        <f t="shared" si="122"/>
        <v xml:space="preserve"> </v>
      </c>
      <c r="AM299" s="128" t="str">
        <f t="shared" si="123"/>
        <v xml:space="preserve"> </v>
      </c>
      <c r="AN299" s="130" t="str">
        <f t="shared" si="124"/>
        <v xml:space="preserve"> </v>
      </c>
      <c r="AO299" s="130"/>
      <c r="AP299" s="130"/>
    </row>
    <row r="300" spans="1:42">
      <c r="A300" s="131" t="s">
        <v>188</v>
      </c>
      <c r="B300" s="132">
        <v>8</v>
      </c>
      <c r="C300" s="118" t="s">
        <v>142</v>
      </c>
      <c r="D300" s="118">
        <v>2017</v>
      </c>
      <c r="E300" s="133">
        <v>1</v>
      </c>
      <c r="F300" s="133">
        <v>19</v>
      </c>
      <c r="G300" s="133">
        <v>119</v>
      </c>
      <c r="H300" s="134">
        <v>308</v>
      </c>
      <c r="I300" s="133">
        <v>447</v>
      </c>
      <c r="J300" s="135"/>
      <c r="K300" s="136">
        <f t="shared" ref="K300:N300" si="753">K299*2</f>
        <v>304</v>
      </c>
      <c r="L300" s="136">
        <f t="shared" si="753"/>
        <v>138</v>
      </c>
      <c r="M300" s="137">
        <f t="shared" si="753"/>
        <v>318</v>
      </c>
      <c r="N300" s="136">
        <f t="shared" si="753"/>
        <v>762</v>
      </c>
      <c r="O300" s="135"/>
      <c r="P300" s="136">
        <f t="shared" si="750"/>
        <v>138</v>
      </c>
      <c r="Q300" s="136">
        <f t="shared" ref="Q300:S300" si="754">G300+Q299</f>
        <v>393</v>
      </c>
      <c r="R300" s="137">
        <f t="shared" si="754"/>
        <v>540</v>
      </c>
      <c r="S300" s="136">
        <f t="shared" si="754"/>
        <v>1071</v>
      </c>
      <c r="T300" s="139"/>
      <c r="U300" s="140">
        <f t="shared" ref="U300:X300" si="755">P300/K300</f>
        <v>0.45394736842105265</v>
      </c>
      <c r="V300" s="140">
        <f t="shared" si="755"/>
        <v>2.847826086956522</v>
      </c>
      <c r="W300" s="141">
        <f t="shared" si="755"/>
        <v>1.6981132075471699</v>
      </c>
      <c r="X300" s="140">
        <f t="shared" si="755"/>
        <v>1.405511811023622</v>
      </c>
      <c r="Y300" s="142"/>
      <c r="Z300" s="143"/>
      <c r="AA300" s="136"/>
      <c r="AB300" s="136" t="s">
        <v>1566</v>
      </c>
      <c r="AC300" s="128" t="s">
        <v>1566</v>
      </c>
      <c r="AD300" s="135"/>
      <c r="AE300" s="127" t="s">
        <v>1566</v>
      </c>
      <c r="AF300" s="127"/>
      <c r="AG300" s="130"/>
      <c r="AH300" s="130" t="str">
        <f t="shared" si="118"/>
        <v xml:space="preserve"> </v>
      </c>
      <c r="AI300" s="130" t="str">
        <f t="shared" si="119"/>
        <v xml:space="preserve"> </v>
      </c>
      <c r="AJ300" s="144" t="str">
        <f t="shared" si="120"/>
        <v xml:space="preserve"> </v>
      </c>
      <c r="AK300" s="128" t="str">
        <f t="shared" si="121"/>
        <v xml:space="preserve"> </v>
      </c>
      <c r="AL300" s="128">
        <f t="shared" si="122"/>
        <v>20</v>
      </c>
      <c r="AM300" s="128" t="str">
        <f t="shared" si="123"/>
        <v xml:space="preserve"> </v>
      </c>
      <c r="AN300" s="130" t="str">
        <f t="shared" si="124"/>
        <v xml:space="preserve"> </v>
      </c>
      <c r="AO300" s="130"/>
      <c r="AP300" s="130"/>
    </row>
    <row r="301" spans="1:42">
      <c r="A301" s="131" t="s">
        <v>188</v>
      </c>
      <c r="B301" s="132">
        <v>8</v>
      </c>
      <c r="C301" s="118" t="s">
        <v>142</v>
      </c>
      <c r="D301" s="118">
        <v>2018</v>
      </c>
      <c r="E301" s="133">
        <v>6</v>
      </c>
      <c r="F301" s="133">
        <v>68</v>
      </c>
      <c r="G301" s="133">
        <v>30</v>
      </c>
      <c r="H301" s="134">
        <v>201</v>
      </c>
      <c r="I301" s="133">
        <v>305</v>
      </c>
      <c r="J301" s="135"/>
      <c r="K301" s="136">
        <f t="shared" ref="K301:N301" si="756">K299*3</f>
        <v>456</v>
      </c>
      <c r="L301" s="136">
        <f t="shared" si="756"/>
        <v>207</v>
      </c>
      <c r="M301" s="137">
        <f t="shared" si="756"/>
        <v>477</v>
      </c>
      <c r="N301" s="136">
        <f t="shared" si="756"/>
        <v>1143</v>
      </c>
      <c r="O301" s="135"/>
      <c r="P301" s="136">
        <f t="shared" si="750"/>
        <v>212</v>
      </c>
      <c r="Q301" s="136">
        <f t="shared" ref="Q301:S301" si="757">G301+Q300</f>
        <v>423</v>
      </c>
      <c r="R301" s="137">
        <f t="shared" si="757"/>
        <v>741</v>
      </c>
      <c r="S301" s="136">
        <f t="shared" si="757"/>
        <v>1376</v>
      </c>
      <c r="T301" s="139"/>
      <c r="U301" s="140">
        <f t="shared" ref="U301:X301" si="758">P301/K301</f>
        <v>0.46491228070175439</v>
      </c>
      <c r="V301" s="140">
        <f t="shared" si="758"/>
        <v>2.0434782608695654</v>
      </c>
      <c r="W301" s="141">
        <f t="shared" si="758"/>
        <v>1.5534591194968554</v>
      </c>
      <c r="X301" s="140">
        <f t="shared" si="758"/>
        <v>1.2038495188101488</v>
      </c>
      <c r="Y301" s="142"/>
      <c r="Z301" s="143"/>
      <c r="AA301" s="136"/>
      <c r="AB301" s="136" t="s">
        <v>1566</v>
      </c>
      <c r="AC301" s="128" t="s">
        <v>1566</v>
      </c>
      <c r="AD301" s="135"/>
      <c r="AE301" s="127" t="s">
        <v>1566</v>
      </c>
      <c r="AF301" s="127"/>
      <c r="AG301" s="130"/>
      <c r="AH301" s="130" t="str">
        <f t="shared" si="118"/>
        <v xml:space="preserve"> </v>
      </c>
      <c r="AI301" s="130" t="str">
        <f t="shared" si="119"/>
        <v xml:space="preserve"> </v>
      </c>
      <c r="AJ301" s="144" t="str">
        <f t="shared" si="120"/>
        <v xml:space="preserve"> </v>
      </c>
      <c r="AK301" s="128" t="str">
        <f t="shared" si="121"/>
        <v xml:space="preserve"> </v>
      </c>
      <c r="AL301" s="128" t="str">
        <f t="shared" si="122"/>
        <v xml:space="preserve"> </v>
      </c>
      <c r="AM301" s="128">
        <f t="shared" si="123"/>
        <v>74</v>
      </c>
      <c r="AN301" s="130" t="str">
        <f t="shared" si="124"/>
        <v xml:space="preserve"> </v>
      </c>
      <c r="AO301" s="130"/>
      <c r="AP301" s="130"/>
    </row>
    <row r="302" spans="1:42">
      <c r="A302" s="131" t="s">
        <v>188</v>
      </c>
      <c r="B302" s="132">
        <v>8</v>
      </c>
      <c r="C302" s="118" t="s">
        <v>142</v>
      </c>
      <c r="D302" s="118">
        <v>2019</v>
      </c>
      <c r="E302" s="133">
        <v>0</v>
      </c>
      <c r="F302" s="133">
        <v>118</v>
      </c>
      <c r="G302" s="133">
        <v>45</v>
      </c>
      <c r="H302" s="134">
        <v>117</v>
      </c>
      <c r="I302" s="133">
        <f>E302+F302+G302+H302</f>
        <v>280</v>
      </c>
      <c r="J302" s="135"/>
      <c r="K302" s="136">
        <f t="shared" ref="K302:N302" si="759">K299*5</f>
        <v>760</v>
      </c>
      <c r="L302" s="136">
        <f t="shared" si="759"/>
        <v>345</v>
      </c>
      <c r="M302" s="137">
        <f t="shared" si="759"/>
        <v>795</v>
      </c>
      <c r="N302" s="136">
        <f t="shared" si="759"/>
        <v>1905</v>
      </c>
      <c r="O302" s="135"/>
      <c r="P302" s="136">
        <f t="shared" si="750"/>
        <v>330</v>
      </c>
      <c r="Q302" s="136">
        <f t="shared" ref="Q302:S302" si="760">G302+Q301</f>
        <v>468</v>
      </c>
      <c r="R302" s="137">
        <f t="shared" si="760"/>
        <v>858</v>
      </c>
      <c r="S302" s="136">
        <f t="shared" si="760"/>
        <v>1656</v>
      </c>
      <c r="T302" s="139"/>
      <c r="U302" s="140">
        <f t="shared" ref="U302:X302" si="761">P302/K302</f>
        <v>0.43421052631578949</v>
      </c>
      <c r="V302" s="140">
        <f t="shared" si="761"/>
        <v>1.3565217391304347</v>
      </c>
      <c r="W302" s="141">
        <f t="shared" si="761"/>
        <v>1.0792452830188679</v>
      </c>
      <c r="X302" s="140">
        <f t="shared" si="761"/>
        <v>0.86929133858267715</v>
      </c>
      <c r="Y302" s="146" t="s">
        <v>188</v>
      </c>
      <c r="Z302" s="143"/>
      <c r="AA302" s="138">
        <v>3044</v>
      </c>
      <c r="AB302" s="136">
        <v>1905</v>
      </c>
      <c r="AC302" s="128">
        <v>1656</v>
      </c>
      <c r="AD302" s="135"/>
      <c r="AE302" s="127">
        <f>N299</f>
        <v>381</v>
      </c>
      <c r="AF302" s="127"/>
      <c r="AG302" s="130"/>
      <c r="AH302" s="130" t="str">
        <f t="shared" si="118"/>
        <v xml:space="preserve"> </v>
      </c>
      <c r="AI302" s="130" t="str">
        <f t="shared" si="119"/>
        <v xml:space="preserve"> </v>
      </c>
      <c r="AJ302" s="144" t="str">
        <f t="shared" si="120"/>
        <v xml:space="preserve"> </v>
      </c>
      <c r="AK302" s="128" t="str">
        <f t="shared" si="121"/>
        <v xml:space="preserve"> </v>
      </c>
      <c r="AL302" s="128" t="str">
        <f t="shared" si="122"/>
        <v xml:space="preserve"> </v>
      </c>
      <c r="AM302" s="128" t="str">
        <f t="shared" si="123"/>
        <v xml:space="preserve"> </v>
      </c>
      <c r="AN302" s="130">
        <f t="shared" si="124"/>
        <v>118</v>
      </c>
      <c r="AO302" s="130"/>
      <c r="AP302" s="130"/>
    </row>
    <row r="303" spans="1:42">
      <c r="A303" s="131"/>
      <c r="B303" s="132"/>
      <c r="C303" s="118"/>
      <c r="D303" s="118"/>
      <c r="E303" s="133"/>
      <c r="F303" s="133"/>
      <c r="G303" s="133"/>
      <c r="H303" s="134"/>
      <c r="I303" s="133"/>
      <c r="J303" s="135"/>
      <c r="K303" s="136"/>
      <c r="L303" s="136"/>
      <c r="M303" s="137"/>
      <c r="N303" s="136"/>
      <c r="O303" s="135"/>
      <c r="P303" s="136"/>
      <c r="Q303" s="136"/>
      <c r="R303" s="137"/>
      <c r="S303" s="136"/>
      <c r="T303" s="139"/>
      <c r="U303" s="140"/>
      <c r="V303" s="140"/>
      <c r="W303" s="141"/>
      <c r="X303" s="140"/>
      <c r="Y303" s="142"/>
      <c r="Z303" s="143"/>
      <c r="AA303" s="136"/>
      <c r="AB303" s="136" t="s">
        <v>1566</v>
      </c>
      <c r="AC303" s="128" t="s">
        <v>1566</v>
      </c>
      <c r="AD303" s="135"/>
      <c r="AE303" s="127" t="s">
        <v>1566</v>
      </c>
      <c r="AF303" s="127"/>
      <c r="AG303" s="130"/>
      <c r="AH303" s="130" t="str">
        <f t="shared" si="118"/>
        <v xml:space="preserve"> </v>
      </c>
      <c r="AI303" s="130" t="str">
        <f t="shared" si="119"/>
        <v xml:space="preserve"> </v>
      </c>
      <c r="AJ303" s="144" t="str">
        <f t="shared" si="120"/>
        <v xml:space="preserve"> </v>
      </c>
      <c r="AK303" s="128" t="str">
        <f t="shared" si="121"/>
        <v xml:space="preserve"> </v>
      </c>
      <c r="AL303" s="128" t="str">
        <f t="shared" si="122"/>
        <v xml:space="preserve"> </v>
      </c>
      <c r="AM303" s="128" t="str">
        <f t="shared" si="123"/>
        <v xml:space="preserve"> </v>
      </c>
      <c r="AN303" s="130" t="str">
        <f t="shared" si="124"/>
        <v xml:space="preserve"> </v>
      </c>
      <c r="AO303" s="130"/>
      <c r="AP303" s="130"/>
    </row>
    <row r="304" spans="1:42">
      <c r="A304" s="131" t="s">
        <v>189</v>
      </c>
      <c r="B304" s="132">
        <v>5</v>
      </c>
      <c r="C304" s="118" t="s">
        <v>128</v>
      </c>
      <c r="D304" s="118">
        <v>2014</v>
      </c>
      <c r="E304" s="133">
        <v>0</v>
      </c>
      <c r="F304" s="133">
        <v>2</v>
      </c>
      <c r="G304" s="133">
        <v>17</v>
      </c>
      <c r="H304" s="134">
        <v>83</v>
      </c>
      <c r="I304" s="133">
        <v>102</v>
      </c>
      <c r="J304" s="135"/>
      <c r="K304" s="136">
        <f>ROUND((540+340)/5,0)</f>
        <v>176</v>
      </c>
      <c r="L304" s="136">
        <f>ROUND('HCD Assigned 5th Cycle RHNA'!F604/B304,0)</f>
        <v>76</v>
      </c>
      <c r="M304" s="137">
        <v>188</v>
      </c>
      <c r="N304" s="136">
        <v>440</v>
      </c>
      <c r="O304" s="135"/>
      <c r="P304" s="136">
        <f>E304+F304</f>
        <v>2</v>
      </c>
      <c r="Q304" s="136">
        <f t="shared" ref="Q304:S304" si="762">G304</f>
        <v>17</v>
      </c>
      <c r="R304" s="137">
        <f t="shared" si="762"/>
        <v>83</v>
      </c>
      <c r="S304" s="136">
        <f t="shared" si="762"/>
        <v>102</v>
      </c>
      <c r="T304" s="139"/>
      <c r="U304" s="140">
        <f t="shared" ref="U304:X304" si="763">P304/K304</f>
        <v>1.1363636363636364E-2</v>
      </c>
      <c r="V304" s="140">
        <f t="shared" si="763"/>
        <v>0.22368421052631579</v>
      </c>
      <c r="W304" s="141">
        <f t="shared" si="763"/>
        <v>0.44148936170212766</v>
      </c>
      <c r="X304" s="140">
        <f t="shared" si="763"/>
        <v>0.23181818181818181</v>
      </c>
      <c r="Y304" s="142"/>
      <c r="Z304" s="143"/>
      <c r="AA304" s="136"/>
      <c r="AB304" s="136" t="s">
        <v>1566</v>
      </c>
      <c r="AC304" s="128" t="s">
        <v>1566</v>
      </c>
      <c r="AD304" s="135"/>
      <c r="AE304" s="127"/>
      <c r="AF304" s="127"/>
      <c r="AG304" s="130"/>
      <c r="AH304" s="130" t="str">
        <f t="shared" si="118"/>
        <v xml:space="preserve"> </v>
      </c>
      <c r="AI304" s="130">
        <f t="shared" si="119"/>
        <v>2</v>
      </c>
      <c r="AJ304" s="144" t="str">
        <f t="shared" si="120"/>
        <v xml:space="preserve"> </v>
      </c>
      <c r="AK304" s="128" t="str">
        <f t="shared" si="121"/>
        <v xml:space="preserve"> </v>
      </c>
      <c r="AL304" s="128" t="str">
        <f t="shared" si="122"/>
        <v xml:space="preserve"> </v>
      </c>
      <c r="AM304" s="128" t="str">
        <f t="shared" si="123"/>
        <v xml:space="preserve"> </v>
      </c>
      <c r="AN304" s="130" t="str">
        <f t="shared" si="124"/>
        <v xml:space="preserve"> </v>
      </c>
      <c r="AO304" s="130"/>
      <c r="AP304" s="130"/>
    </row>
    <row r="305" spans="1:42">
      <c r="A305" s="131" t="s">
        <v>189</v>
      </c>
      <c r="B305" s="132">
        <v>5</v>
      </c>
      <c r="C305" s="118" t="s">
        <v>128</v>
      </c>
      <c r="D305" s="118">
        <v>2015</v>
      </c>
      <c r="E305" s="133">
        <v>42</v>
      </c>
      <c r="F305" s="133">
        <v>61</v>
      </c>
      <c r="G305" s="133">
        <v>82</v>
      </c>
      <c r="H305" s="134">
        <v>175</v>
      </c>
      <c r="I305" s="133">
        <v>360</v>
      </c>
      <c r="J305" s="135"/>
      <c r="K305" s="136">
        <f t="shared" ref="K305:N305" si="764">K304*2</f>
        <v>352</v>
      </c>
      <c r="L305" s="136">
        <f t="shared" si="764"/>
        <v>152</v>
      </c>
      <c r="M305" s="137">
        <f t="shared" si="764"/>
        <v>376</v>
      </c>
      <c r="N305" s="136">
        <f t="shared" si="764"/>
        <v>880</v>
      </c>
      <c r="O305" s="135"/>
      <c r="P305" s="136">
        <f t="shared" ref="P305:P309" si="765">E305+F305+P304</f>
        <v>105</v>
      </c>
      <c r="Q305" s="136">
        <f t="shared" ref="Q305:S305" si="766">G305+Q304</f>
        <v>99</v>
      </c>
      <c r="R305" s="137">
        <f t="shared" si="766"/>
        <v>258</v>
      </c>
      <c r="S305" s="136">
        <f t="shared" si="766"/>
        <v>462</v>
      </c>
      <c r="T305" s="139"/>
      <c r="U305" s="140">
        <f t="shared" ref="U305:X305" si="767">P305/K305</f>
        <v>0.29829545454545453</v>
      </c>
      <c r="V305" s="140">
        <f t="shared" si="767"/>
        <v>0.65131578947368418</v>
      </c>
      <c r="W305" s="141">
        <f t="shared" si="767"/>
        <v>0.68617021276595747</v>
      </c>
      <c r="X305" s="140">
        <f t="shared" si="767"/>
        <v>0.52500000000000002</v>
      </c>
      <c r="Y305" s="142"/>
      <c r="Z305" s="143"/>
      <c r="AA305" s="136"/>
      <c r="AB305" s="136" t="s">
        <v>1566</v>
      </c>
      <c r="AC305" s="128" t="s">
        <v>1566</v>
      </c>
      <c r="AD305" s="135"/>
      <c r="AE305" s="127"/>
      <c r="AF305" s="127"/>
      <c r="AG305" s="130"/>
      <c r="AH305" s="130" t="str">
        <f t="shared" si="118"/>
        <v xml:space="preserve"> </v>
      </c>
      <c r="AI305" s="130" t="str">
        <f t="shared" si="119"/>
        <v xml:space="preserve"> </v>
      </c>
      <c r="AJ305" s="130">
        <f t="shared" si="120"/>
        <v>103</v>
      </c>
      <c r="AK305" s="128" t="str">
        <f t="shared" si="121"/>
        <v xml:space="preserve"> </v>
      </c>
      <c r="AL305" s="128" t="str">
        <f t="shared" si="122"/>
        <v xml:space="preserve"> </v>
      </c>
      <c r="AM305" s="128" t="str">
        <f t="shared" si="123"/>
        <v xml:space="preserve"> </v>
      </c>
      <c r="AN305" s="130" t="str">
        <f t="shared" si="124"/>
        <v xml:space="preserve"> </v>
      </c>
      <c r="AO305" s="130"/>
      <c r="AP305" s="130"/>
    </row>
    <row r="306" spans="1:42">
      <c r="A306" s="131" t="s">
        <v>189</v>
      </c>
      <c r="B306" s="132">
        <v>5</v>
      </c>
      <c r="C306" s="118" t="s">
        <v>128</v>
      </c>
      <c r="D306" s="118">
        <v>2016</v>
      </c>
      <c r="E306" s="133">
        <v>2</v>
      </c>
      <c r="F306" s="133">
        <v>4</v>
      </c>
      <c r="G306" s="133">
        <v>47</v>
      </c>
      <c r="H306" s="134">
        <v>137</v>
      </c>
      <c r="I306" s="133">
        <v>190</v>
      </c>
      <c r="J306" s="135"/>
      <c r="K306" s="136">
        <f t="shared" ref="K306:N306" si="768">K304*3</f>
        <v>528</v>
      </c>
      <c r="L306" s="136">
        <f t="shared" si="768"/>
        <v>228</v>
      </c>
      <c r="M306" s="137">
        <f t="shared" si="768"/>
        <v>564</v>
      </c>
      <c r="N306" s="136">
        <f t="shared" si="768"/>
        <v>1320</v>
      </c>
      <c r="O306" s="135"/>
      <c r="P306" s="136">
        <f t="shared" si="765"/>
        <v>111</v>
      </c>
      <c r="Q306" s="136">
        <f t="shared" ref="Q306:S306" si="769">G306+Q305</f>
        <v>146</v>
      </c>
      <c r="R306" s="137">
        <f t="shared" si="769"/>
        <v>395</v>
      </c>
      <c r="S306" s="136">
        <f t="shared" si="769"/>
        <v>652</v>
      </c>
      <c r="T306" s="139"/>
      <c r="U306" s="140">
        <f t="shared" ref="U306:X306" si="770">P306/K306</f>
        <v>0.21022727272727273</v>
      </c>
      <c r="V306" s="140">
        <f t="shared" si="770"/>
        <v>0.64035087719298245</v>
      </c>
      <c r="W306" s="141">
        <f t="shared" si="770"/>
        <v>0.70035460992907805</v>
      </c>
      <c r="X306" s="140">
        <f t="shared" si="770"/>
        <v>0.49393939393939396</v>
      </c>
      <c r="Y306" s="142"/>
      <c r="Z306" s="143"/>
      <c r="AA306" s="136"/>
      <c r="AB306" s="136" t="s">
        <v>1566</v>
      </c>
      <c r="AC306" s="128" t="s">
        <v>1566</v>
      </c>
      <c r="AD306" s="135"/>
      <c r="AE306" s="127" t="s">
        <v>1566</v>
      </c>
      <c r="AF306" s="127"/>
      <c r="AG306" s="130"/>
      <c r="AH306" s="130" t="str">
        <f t="shared" si="118"/>
        <v xml:space="preserve"> </v>
      </c>
      <c r="AI306" s="130" t="str">
        <f t="shared" si="119"/>
        <v xml:space="preserve"> </v>
      </c>
      <c r="AJ306" s="144" t="str">
        <f t="shared" si="120"/>
        <v xml:space="preserve"> </v>
      </c>
      <c r="AK306" s="128">
        <f t="shared" si="121"/>
        <v>6</v>
      </c>
      <c r="AL306" s="128" t="str">
        <f t="shared" si="122"/>
        <v xml:space="preserve"> </v>
      </c>
      <c r="AM306" s="128" t="str">
        <f t="shared" si="123"/>
        <v xml:space="preserve"> </v>
      </c>
      <c r="AN306" s="130" t="str">
        <f t="shared" si="124"/>
        <v xml:space="preserve"> </v>
      </c>
      <c r="AO306" s="130"/>
      <c r="AP306" s="130"/>
    </row>
    <row r="307" spans="1:42">
      <c r="A307" s="131" t="s">
        <v>189</v>
      </c>
      <c r="B307" s="132">
        <v>5</v>
      </c>
      <c r="C307" s="118" t="s">
        <v>128</v>
      </c>
      <c r="D307" s="118">
        <v>2017</v>
      </c>
      <c r="E307" s="133">
        <v>27</v>
      </c>
      <c r="F307" s="133">
        <v>28</v>
      </c>
      <c r="G307" s="133">
        <v>218</v>
      </c>
      <c r="H307" s="134">
        <v>161</v>
      </c>
      <c r="I307" s="133">
        <v>434</v>
      </c>
      <c r="J307" s="135"/>
      <c r="K307" s="136">
        <f t="shared" ref="K307:N307" si="771">K304*4</f>
        <v>704</v>
      </c>
      <c r="L307" s="136">
        <f t="shared" si="771"/>
        <v>304</v>
      </c>
      <c r="M307" s="137">
        <f t="shared" si="771"/>
        <v>752</v>
      </c>
      <c r="N307" s="136">
        <f t="shared" si="771"/>
        <v>1760</v>
      </c>
      <c r="O307" s="135"/>
      <c r="P307" s="136">
        <f t="shared" si="765"/>
        <v>166</v>
      </c>
      <c r="Q307" s="136">
        <f t="shared" ref="Q307:S307" si="772">G307+Q306</f>
        <v>364</v>
      </c>
      <c r="R307" s="137">
        <f t="shared" si="772"/>
        <v>556</v>
      </c>
      <c r="S307" s="136">
        <f t="shared" si="772"/>
        <v>1086</v>
      </c>
      <c r="T307" s="139"/>
      <c r="U307" s="140">
        <f t="shared" ref="U307:X307" si="773">P307/K307</f>
        <v>0.23579545454545456</v>
      </c>
      <c r="V307" s="140">
        <f t="shared" si="773"/>
        <v>1.1973684210526316</v>
      </c>
      <c r="W307" s="141">
        <f t="shared" si="773"/>
        <v>0.73936170212765961</v>
      </c>
      <c r="X307" s="140">
        <f t="shared" si="773"/>
        <v>0.61704545454545456</v>
      </c>
      <c r="Y307" s="142"/>
      <c r="Z307" s="143"/>
      <c r="AA307" s="136"/>
      <c r="AB307" s="136" t="s">
        <v>1566</v>
      </c>
      <c r="AC307" s="128" t="s">
        <v>1566</v>
      </c>
      <c r="AD307" s="135"/>
      <c r="AE307" s="127" t="s">
        <v>1566</v>
      </c>
      <c r="AF307" s="127"/>
      <c r="AG307" s="130"/>
      <c r="AH307" s="130" t="str">
        <f t="shared" si="118"/>
        <v xml:space="preserve"> </v>
      </c>
      <c r="AI307" s="130" t="str">
        <f t="shared" si="119"/>
        <v xml:space="preserve"> </v>
      </c>
      <c r="AJ307" s="144" t="str">
        <f t="shared" si="120"/>
        <v xml:space="preserve"> </v>
      </c>
      <c r="AK307" s="128" t="str">
        <f t="shared" si="121"/>
        <v xml:space="preserve"> </v>
      </c>
      <c r="AL307" s="128">
        <f t="shared" si="122"/>
        <v>55</v>
      </c>
      <c r="AM307" s="128" t="str">
        <f t="shared" si="123"/>
        <v xml:space="preserve"> </v>
      </c>
      <c r="AN307" s="130" t="str">
        <f t="shared" si="124"/>
        <v xml:space="preserve"> </v>
      </c>
      <c r="AO307" s="130"/>
      <c r="AP307" s="130"/>
    </row>
    <row r="308" spans="1:42">
      <c r="A308" s="131" t="s">
        <v>189</v>
      </c>
      <c r="B308" s="132">
        <v>5</v>
      </c>
      <c r="C308" s="118" t="s">
        <v>128</v>
      </c>
      <c r="D308" s="118">
        <v>2018</v>
      </c>
      <c r="E308" s="133">
        <v>12</v>
      </c>
      <c r="F308" s="133">
        <v>118</v>
      </c>
      <c r="G308" s="133">
        <v>43</v>
      </c>
      <c r="H308" s="134">
        <v>280</v>
      </c>
      <c r="I308" s="133">
        <v>453</v>
      </c>
      <c r="J308" s="135"/>
      <c r="K308" s="136">
        <f t="shared" ref="K308:N308" si="774">K304*5</f>
        <v>880</v>
      </c>
      <c r="L308" s="136">
        <f t="shared" si="774"/>
        <v>380</v>
      </c>
      <c r="M308" s="137">
        <f t="shared" si="774"/>
        <v>940</v>
      </c>
      <c r="N308" s="136">
        <f t="shared" si="774"/>
        <v>2200</v>
      </c>
      <c r="O308" s="135"/>
      <c r="P308" s="136">
        <f t="shared" si="765"/>
        <v>296</v>
      </c>
      <c r="Q308" s="136">
        <f t="shared" ref="Q308:S308" si="775">G308+Q307</f>
        <v>407</v>
      </c>
      <c r="R308" s="137">
        <f t="shared" si="775"/>
        <v>836</v>
      </c>
      <c r="S308" s="136">
        <f t="shared" si="775"/>
        <v>1539</v>
      </c>
      <c r="T308" s="139"/>
      <c r="U308" s="140">
        <f t="shared" ref="U308:X308" si="776">P308/K308</f>
        <v>0.33636363636363636</v>
      </c>
      <c r="V308" s="140">
        <f t="shared" si="776"/>
        <v>1.0710526315789475</v>
      </c>
      <c r="W308" s="141">
        <f t="shared" si="776"/>
        <v>0.88936170212765953</v>
      </c>
      <c r="X308" s="140">
        <f t="shared" si="776"/>
        <v>0.69954545454545458</v>
      </c>
      <c r="Y308" s="142"/>
      <c r="Z308" s="143"/>
      <c r="AA308" s="136"/>
      <c r="AB308" s="136" t="s">
        <v>1566</v>
      </c>
      <c r="AC308" s="128" t="s">
        <v>1566</v>
      </c>
      <c r="AD308" s="135"/>
      <c r="AE308" s="127" t="s">
        <v>1566</v>
      </c>
      <c r="AF308" s="127"/>
      <c r="AG308" s="130"/>
      <c r="AH308" s="130" t="str">
        <f t="shared" si="118"/>
        <v xml:space="preserve"> </v>
      </c>
      <c r="AI308" s="130" t="str">
        <f t="shared" si="119"/>
        <v xml:space="preserve"> </v>
      </c>
      <c r="AJ308" s="144" t="str">
        <f t="shared" si="120"/>
        <v xml:space="preserve"> </v>
      </c>
      <c r="AK308" s="128" t="str">
        <f t="shared" si="121"/>
        <v xml:space="preserve"> </v>
      </c>
      <c r="AL308" s="128" t="str">
        <f t="shared" si="122"/>
        <v xml:space="preserve"> </v>
      </c>
      <c r="AM308" s="128">
        <f t="shared" si="123"/>
        <v>130</v>
      </c>
      <c r="AN308" s="130" t="str">
        <f t="shared" si="124"/>
        <v xml:space="preserve"> </v>
      </c>
      <c r="AO308" s="130"/>
      <c r="AP308" s="130"/>
    </row>
    <row r="309" spans="1:42">
      <c r="A309" s="131" t="s">
        <v>189</v>
      </c>
      <c r="B309" s="132">
        <v>5</v>
      </c>
      <c r="C309" s="118" t="s">
        <v>128</v>
      </c>
      <c r="D309" s="118">
        <v>2019</v>
      </c>
      <c r="E309" s="133">
        <v>33</v>
      </c>
      <c r="F309" s="133">
        <v>67</v>
      </c>
      <c r="G309" s="133">
        <v>30</v>
      </c>
      <c r="H309" s="134">
        <v>572</v>
      </c>
      <c r="I309" s="133">
        <f>E309+F309+G309+H309</f>
        <v>702</v>
      </c>
      <c r="J309" s="135"/>
      <c r="K309" s="136">
        <f t="shared" ref="K309:N309" si="777">K308</f>
        <v>880</v>
      </c>
      <c r="L309" s="136">
        <f t="shared" si="777"/>
        <v>380</v>
      </c>
      <c r="M309" s="137">
        <f t="shared" si="777"/>
        <v>940</v>
      </c>
      <c r="N309" s="136">
        <f t="shared" si="777"/>
        <v>2200</v>
      </c>
      <c r="O309" s="135"/>
      <c r="P309" s="136">
        <f t="shared" si="765"/>
        <v>396</v>
      </c>
      <c r="Q309" s="136">
        <f t="shared" ref="Q309:S309" si="778">G309+Q308</f>
        <v>437</v>
      </c>
      <c r="R309" s="137">
        <f t="shared" si="778"/>
        <v>1408</v>
      </c>
      <c r="S309" s="136">
        <f t="shared" si="778"/>
        <v>2241</v>
      </c>
      <c r="T309" s="139"/>
      <c r="U309" s="140">
        <f t="shared" ref="U309:X309" si="779">P309/K309</f>
        <v>0.45</v>
      </c>
      <c r="V309" s="140">
        <f t="shared" si="779"/>
        <v>1.1499999999999999</v>
      </c>
      <c r="W309" s="141">
        <f t="shared" si="779"/>
        <v>1.4978723404255319</v>
      </c>
      <c r="X309" s="140">
        <f t="shared" si="779"/>
        <v>1.0186363636363636</v>
      </c>
      <c r="Y309" s="146" t="s">
        <v>189</v>
      </c>
      <c r="Z309" s="143"/>
      <c r="AA309" s="138">
        <v>2200</v>
      </c>
      <c r="AB309" s="136">
        <v>2200</v>
      </c>
      <c r="AC309" s="128">
        <v>2241</v>
      </c>
      <c r="AD309" s="135"/>
      <c r="AE309" s="127">
        <f>N304</f>
        <v>440</v>
      </c>
      <c r="AF309" s="127"/>
      <c r="AG309" s="130"/>
      <c r="AH309" s="130" t="str">
        <f t="shared" si="118"/>
        <v xml:space="preserve"> </v>
      </c>
      <c r="AI309" s="130" t="str">
        <f t="shared" si="119"/>
        <v xml:space="preserve"> </v>
      </c>
      <c r="AJ309" s="144" t="str">
        <f t="shared" si="120"/>
        <v xml:space="preserve"> </v>
      </c>
      <c r="AK309" s="128" t="str">
        <f t="shared" si="121"/>
        <v xml:space="preserve"> </v>
      </c>
      <c r="AL309" s="128" t="str">
        <f t="shared" si="122"/>
        <v xml:space="preserve"> </v>
      </c>
      <c r="AM309" s="128" t="str">
        <f t="shared" si="123"/>
        <v xml:space="preserve"> </v>
      </c>
      <c r="AN309" s="130">
        <f t="shared" si="124"/>
        <v>100</v>
      </c>
      <c r="AO309" s="130"/>
      <c r="AP309" s="130"/>
    </row>
    <row r="310" spans="1:42">
      <c r="A310" s="131"/>
      <c r="B310" s="132"/>
      <c r="C310" s="118"/>
      <c r="D310" s="118"/>
      <c r="E310" s="133"/>
      <c r="F310" s="133"/>
      <c r="G310" s="133"/>
      <c r="H310" s="134"/>
      <c r="I310" s="133"/>
      <c r="J310" s="135"/>
      <c r="K310" s="136"/>
      <c r="L310" s="136"/>
      <c r="M310" s="137"/>
      <c r="N310" s="136"/>
      <c r="O310" s="135"/>
      <c r="P310" s="136"/>
      <c r="Q310" s="136"/>
      <c r="R310" s="137"/>
      <c r="S310" s="136"/>
      <c r="T310" s="139"/>
      <c r="U310" s="140"/>
      <c r="V310" s="140"/>
      <c r="W310" s="141"/>
      <c r="X310" s="140"/>
      <c r="Y310" s="142"/>
      <c r="Z310" s="143"/>
      <c r="AA310" s="136"/>
      <c r="AB310" s="136" t="s">
        <v>1566</v>
      </c>
      <c r="AC310" s="128" t="s">
        <v>1566</v>
      </c>
      <c r="AD310" s="135"/>
      <c r="AE310" s="127" t="s">
        <v>1566</v>
      </c>
      <c r="AF310" s="127"/>
      <c r="AG310" s="130"/>
      <c r="AH310" s="130" t="str">
        <f t="shared" si="118"/>
        <v xml:space="preserve"> </v>
      </c>
      <c r="AI310" s="130" t="str">
        <f t="shared" si="119"/>
        <v xml:space="preserve"> </v>
      </c>
      <c r="AJ310" s="144" t="str">
        <f t="shared" si="120"/>
        <v xml:space="preserve"> </v>
      </c>
      <c r="AK310" s="128" t="str">
        <f t="shared" si="121"/>
        <v xml:space="preserve"> </v>
      </c>
      <c r="AL310" s="128" t="str">
        <f t="shared" si="122"/>
        <v xml:space="preserve"> </v>
      </c>
      <c r="AM310" s="128" t="str">
        <f t="shared" si="123"/>
        <v xml:space="preserve"> </v>
      </c>
      <c r="AN310" s="130" t="str">
        <f t="shared" si="124"/>
        <v xml:space="preserve"> </v>
      </c>
      <c r="AO310" s="130"/>
      <c r="AP310" s="130"/>
    </row>
    <row r="311" spans="1:42">
      <c r="A311" s="131" t="s">
        <v>190</v>
      </c>
      <c r="B311" s="132">
        <v>5</v>
      </c>
      <c r="C311" s="118" t="s">
        <v>128</v>
      </c>
      <c r="D311" s="118">
        <v>2014</v>
      </c>
      <c r="E311" s="133">
        <v>0</v>
      </c>
      <c r="F311" s="133">
        <v>0</v>
      </c>
      <c r="G311" s="133">
        <v>0</v>
      </c>
      <c r="H311" s="134">
        <v>0</v>
      </c>
      <c r="I311" s="133">
        <v>0</v>
      </c>
      <c r="J311" s="135"/>
      <c r="K311" s="136">
        <f>ROUND((2+2)/5,0)</f>
        <v>1</v>
      </c>
      <c r="L311" s="138">
        <v>0</v>
      </c>
      <c r="M311" s="137">
        <f>ROUND(1/5,0)</f>
        <v>0</v>
      </c>
      <c r="N311" s="136">
        <f t="shared" ref="N311:N315" si="780">K311+M311</f>
        <v>1</v>
      </c>
      <c r="O311" s="135"/>
      <c r="P311" s="136">
        <f t="shared" ref="P311:P315" si="781">E311+F311</f>
        <v>0</v>
      </c>
      <c r="Q311" s="136">
        <f t="shared" ref="Q311:S311" si="782">G311</f>
        <v>0</v>
      </c>
      <c r="R311" s="137">
        <f t="shared" si="782"/>
        <v>0</v>
      </c>
      <c r="S311" s="136">
        <f t="shared" si="782"/>
        <v>0</v>
      </c>
      <c r="T311" s="139"/>
      <c r="U311" s="140">
        <f t="shared" ref="U311:U316" si="783">P311/K311</f>
        <v>0</v>
      </c>
      <c r="V311" s="153">
        <v>0</v>
      </c>
      <c r="W311" s="165">
        <v>0</v>
      </c>
      <c r="X311" s="140">
        <f>S311/N311</f>
        <v>0</v>
      </c>
      <c r="Y311" s="142"/>
      <c r="Z311" s="143"/>
      <c r="AA311" s="136"/>
      <c r="AB311" s="136" t="s">
        <v>1566</v>
      </c>
      <c r="AC311" s="128" t="s">
        <v>1566</v>
      </c>
      <c r="AD311" s="135"/>
      <c r="AE311" s="127"/>
      <c r="AF311" s="127"/>
      <c r="AG311" s="130"/>
      <c r="AH311" s="130" t="str">
        <f t="shared" si="118"/>
        <v xml:space="preserve"> </v>
      </c>
      <c r="AI311" s="130">
        <f t="shared" si="119"/>
        <v>0</v>
      </c>
      <c r="AJ311" s="144" t="str">
        <f t="shared" si="120"/>
        <v xml:space="preserve"> </v>
      </c>
      <c r="AK311" s="128" t="str">
        <f t="shared" si="121"/>
        <v xml:space="preserve"> </v>
      </c>
      <c r="AL311" s="128" t="str">
        <f t="shared" si="122"/>
        <v xml:space="preserve"> </v>
      </c>
      <c r="AM311" s="128" t="str">
        <f t="shared" si="123"/>
        <v xml:space="preserve"> </v>
      </c>
      <c r="AN311" s="130" t="str">
        <f t="shared" si="124"/>
        <v xml:space="preserve"> </v>
      </c>
      <c r="AO311" s="130"/>
      <c r="AP311" s="130"/>
    </row>
    <row r="312" spans="1:42">
      <c r="A312" s="131" t="s">
        <v>190</v>
      </c>
      <c r="B312" s="132">
        <v>5</v>
      </c>
      <c r="C312" s="118" t="s">
        <v>128</v>
      </c>
      <c r="D312" s="118">
        <v>2015</v>
      </c>
      <c r="E312" s="133">
        <v>0</v>
      </c>
      <c r="F312" s="133">
        <v>0</v>
      </c>
      <c r="G312" s="133">
        <v>0</v>
      </c>
      <c r="H312" s="134">
        <v>0</v>
      </c>
      <c r="I312" s="133">
        <v>0</v>
      </c>
      <c r="J312" s="135"/>
      <c r="K312" s="136">
        <f>K311*2</f>
        <v>2</v>
      </c>
      <c r="L312" s="138">
        <v>0</v>
      </c>
      <c r="M312" s="147">
        <v>1</v>
      </c>
      <c r="N312" s="136">
        <f t="shared" si="780"/>
        <v>3</v>
      </c>
      <c r="O312" s="135"/>
      <c r="P312" s="136">
        <f t="shared" si="781"/>
        <v>0</v>
      </c>
      <c r="Q312" s="136">
        <f t="shared" ref="Q312:Q316" si="784">G312+Q311</f>
        <v>0</v>
      </c>
      <c r="R312" s="137">
        <f t="shared" ref="R312:S312" si="785">H312</f>
        <v>0</v>
      </c>
      <c r="S312" s="136">
        <f t="shared" si="785"/>
        <v>0</v>
      </c>
      <c r="T312" s="139"/>
      <c r="U312" s="140">
        <f t="shared" si="783"/>
        <v>0</v>
      </c>
      <c r="V312" s="153">
        <v>0</v>
      </c>
      <c r="W312" s="141">
        <f t="shared" ref="W312:X312" si="786">R312/M312</f>
        <v>0</v>
      </c>
      <c r="X312" s="140">
        <f t="shared" si="786"/>
        <v>0</v>
      </c>
      <c r="Y312" s="142"/>
      <c r="Z312" s="143"/>
      <c r="AA312" s="136"/>
      <c r="AB312" s="136" t="s">
        <v>1566</v>
      </c>
      <c r="AC312" s="128" t="s">
        <v>1566</v>
      </c>
      <c r="AD312" s="135"/>
      <c r="AE312" s="127"/>
      <c r="AF312" s="127"/>
      <c r="AG312" s="130"/>
      <c r="AH312" s="130" t="str">
        <f t="shared" si="118"/>
        <v xml:space="preserve"> </v>
      </c>
      <c r="AI312" s="130" t="str">
        <f t="shared" si="119"/>
        <v xml:space="preserve"> </v>
      </c>
      <c r="AJ312" s="130">
        <f t="shared" si="120"/>
        <v>0</v>
      </c>
      <c r="AK312" s="128" t="str">
        <f t="shared" si="121"/>
        <v xml:space="preserve"> </v>
      </c>
      <c r="AL312" s="128" t="str">
        <f t="shared" si="122"/>
        <v xml:space="preserve"> </v>
      </c>
      <c r="AM312" s="128" t="str">
        <f t="shared" si="123"/>
        <v xml:space="preserve"> </v>
      </c>
      <c r="AN312" s="130" t="str">
        <f t="shared" si="124"/>
        <v xml:space="preserve"> </v>
      </c>
      <c r="AO312" s="130"/>
      <c r="AP312" s="130"/>
    </row>
    <row r="313" spans="1:42">
      <c r="A313" s="131" t="s">
        <v>190</v>
      </c>
      <c r="B313" s="132">
        <v>5</v>
      </c>
      <c r="C313" s="118" t="s">
        <v>128</v>
      </c>
      <c r="D313" s="118">
        <v>2016</v>
      </c>
      <c r="E313" s="133">
        <v>0</v>
      </c>
      <c r="F313" s="133">
        <v>0</v>
      </c>
      <c r="G313" s="133">
        <v>0</v>
      </c>
      <c r="H313" s="134">
        <v>0</v>
      </c>
      <c r="I313" s="133">
        <v>0</v>
      </c>
      <c r="J313" s="135"/>
      <c r="K313" s="136">
        <f>K311*3</f>
        <v>3</v>
      </c>
      <c r="L313" s="138">
        <v>1</v>
      </c>
      <c r="M313" s="147">
        <v>1</v>
      </c>
      <c r="N313" s="136">
        <f t="shared" si="780"/>
        <v>4</v>
      </c>
      <c r="O313" s="135"/>
      <c r="P313" s="136">
        <f t="shared" si="781"/>
        <v>0</v>
      </c>
      <c r="Q313" s="136">
        <f t="shared" si="784"/>
        <v>0</v>
      </c>
      <c r="R313" s="137">
        <f t="shared" ref="R313:S313" si="787">H313</f>
        <v>0</v>
      </c>
      <c r="S313" s="136">
        <f t="shared" si="787"/>
        <v>0</v>
      </c>
      <c r="T313" s="139"/>
      <c r="U313" s="140">
        <f t="shared" si="783"/>
        <v>0</v>
      </c>
      <c r="V313" s="140">
        <f t="shared" ref="V313:X313" si="788">Q313/L313</f>
        <v>0</v>
      </c>
      <c r="W313" s="141">
        <f t="shared" si="788"/>
        <v>0</v>
      </c>
      <c r="X313" s="140">
        <f t="shared" si="788"/>
        <v>0</v>
      </c>
      <c r="Y313" s="142"/>
      <c r="Z313" s="143"/>
      <c r="AA313" s="136"/>
      <c r="AB313" s="136" t="s">
        <v>1566</v>
      </c>
      <c r="AC313" s="128" t="s">
        <v>1566</v>
      </c>
      <c r="AD313" s="135"/>
      <c r="AE313" s="127"/>
      <c r="AF313" s="127"/>
      <c r="AG313" s="130"/>
      <c r="AH313" s="130" t="str">
        <f t="shared" si="118"/>
        <v xml:space="preserve"> </v>
      </c>
      <c r="AI313" s="130" t="str">
        <f t="shared" si="119"/>
        <v xml:space="preserve"> </v>
      </c>
      <c r="AJ313" s="144" t="str">
        <f t="shared" si="120"/>
        <v xml:space="preserve"> </v>
      </c>
      <c r="AK313" s="128">
        <f t="shared" si="121"/>
        <v>0</v>
      </c>
      <c r="AL313" s="128" t="str">
        <f t="shared" si="122"/>
        <v xml:space="preserve"> </v>
      </c>
      <c r="AM313" s="128" t="str">
        <f t="shared" si="123"/>
        <v xml:space="preserve"> </v>
      </c>
      <c r="AN313" s="130" t="str">
        <f t="shared" si="124"/>
        <v xml:space="preserve"> </v>
      </c>
      <c r="AO313" s="130"/>
      <c r="AP313" s="130"/>
    </row>
    <row r="314" spans="1:42">
      <c r="A314" s="131" t="s">
        <v>190</v>
      </c>
      <c r="B314" s="132">
        <v>5</v>
      </c>
      <c r="C314" s="118" t="s">
        <v>128</v>
      </c>
      <c r="D314" s="118">
        <v>2017</v>
      </c>
      <c r="E314" s="133">
        <v>0</v>
      </c>
      <c r="F314" s="133">
        <v>0</v>
      </c>
      <c r="G314" s="133">
        <v>0</v>
      </c>
      <c r="H314" s="134">
        <v>0</v>
      </c>
      <c r="I314" s="133">
        <v>0</v>
      </c>
      <c r="J314" s="135"/>
      <c r="K314" s="136">
        <f>K311*4</f>
        <v>4</v>
      </c>
      <c r="L314" s="138">
        <v>1</v>
      </c>
      <c r="M314" s="147">
        <v>2</v>
      </c>
      <c r="N314" s="136">
        <f t="shared" si="780"/>
        <v>6</v>
      </c>
      <c r="O314" s="135"/>
      <c r="P314" s="136">
        <f t="shared" si="781"/>
        <v>0</v>
      </c>
      <c r="Q314" s="136">
        <f t="shared" si="784"/>
        <v>0</v>
      </c>
      <c r="R314" s="137">
        <f t="shared" ref="R314:S314" si="789">H314</f>
        <v>0</v>
      </c>
      <c r="S314" s="136">
        <f t="shared" si="789"/>
        <v>0</v>
      </c>
      <c r="T314" s="139"/>
      <c r="U314" s="140">
        <f t="shared" si="783"/>
        <v>0</v>
      </c>
      <c r="V314" s="140">
        <f t="shared" ref="V314:X314" si="790">Q314/L314</f>
        <v>0</v>
      </c>
      <c r="W314" s="141">
        <f t="shared" si="790"/>
        <v>0</v>
      </c>
      <c r="X314" s="140">
        <f t="shared" si="790"/>
        <v>0</v>
      </c>
      <c r="Y314" s="142"/>
      <c r="Z314" s="143"/>
      <c r="AA314" s="136"/>
      <c r="AB314" s="136" t="s">
        <v>1566</v>
      </c>
      <c r="AC314" s="128" t="s">
        <v>1566</v>
      </c>
      <c r="AD314" s="135"/>
      <c r="AE314" s="127"/>
      <c r="AF314" s="127"/>
      <c r="AG314" s="130"/>
      <c r="AH314" s="130" t="str">
        <f t="shared" si="118"/>
        <v xml:space="preserve"> </v>
      </c>
      <c r="AI314" s="130" t="str">
        <f t="shared" si="119"/>
        <v xml:space="preserve"> </v>
      </c>
      <c r="AJ314" s="144" t="str">
        <f t="shared" si="120"/>
        <v xml:space="preserve"> </v>
      </c>
      <c r="AK314" s="128" t="str">
        <f t="shared" si="121"/>
        <v xml:space="preserve"> </v>
      </c>
      <c r="AL314" s="128">
        <f t="shared" si="122"/>
        <v>0</v>
      </c>
      <c r="AM314" s="128" t="str">
        <f t="shared" si="123"/>
        <v xml:space="preserve"> </v>
      </c>
      <c r="AN314" s="130" t="str">
        <f t="shared" si="124"/>
        <v xml:space="preserve"> </v>
      </c>
      <c r="AO314" s="130"/>
      <c r="AP314" s="130"/>
    </row>
    <row r="315" spans="1:42">
      <c r="A315" s="131" t="s">
        <v>190</v>
      </c>
      <c r="B315" s="132">
        <v>5</v>
      </c>
      <c r="C315" s="118" t="s">
        <v>128</v>
      </c>
      <c r="D315" s="118">
        <v>2018</v>
      </c>
      <c r="E315" s="133">
        <v>0</v>
      </c>
      <c r="F315" s="133">
        <v>0</v>
      </c>
      <c r="G315" s="133">
        <v>0</v>
      </c>
      <c r="H315" s="134">
        <v>0</v>
      </c>
      <c r="I315" s="133">
        <v>0</v>
      </c>
      <c r="J315" s="135"/>
      <c r="K315" s="138">
        <v>4</v>
      </c>
      <c r="L315" s="138">
        <v>1</v>
      </c>
      <c r="M315" s="147">
        <v>2</v>
      </c>
      <c r="N315" s="136">
        <f t="shared" si="780"/>
        <v>6</v>
      </c>
      <c r="O315" s="135"/>
      <c r="P315" s="136">
        <f t="shared" si="781"/>
        <v>0</v>
      </c>
      <c r="Q315" s="136">
        <f t="shared" si="784"/>
        <v>0</v>
      </c>
      <c r="R315" s="137">
        <f t="shared" ref="R315:S315" si="791">H315</f>
        <v>0</v>
      </c>
      <c r="S315" s="136">
        <f t="shared" si="791"/>
        <v>0</v>
      </c>
      <c r="T315" s="139"/>
      <c r="U315" s="140">
        <f t="shared" si="783"/>
        <v>0</v>
      </c>
      <c r="V315" s="140">
        <f t="shared" ref="V315:X315" si="792">Q315/L315</f>
        <v>0</v>
      </c>
      <c r="W315" s="141">
        <f t="shared" si="792"/>
        <v>0</v>
      </c>
      <c r="X315" s="140">
        <f t="shared" si="792"/>
        <v>0</v>
      </c>
      <c r="Y315" s="142"/>
      <c r="Z315" s="143"/>
      <c r="AA315" s="136"/>
      <c r="AB315" s="136" t="s">
        <v>1566</v>
      </c>
      <c r="AC315" s="128" t="s">
        <v>1566</v>
      </c>
      <c r="AD315" s="135"/>
      <c r="AE315" s="127"/>
      <c r="AF315" s="127"/>
      <c r="AG315" s="130"/>
      <c r="AH315" s="130" t="str">
        <f t="shared" si="118"/>
        <v xml:space="preserve"> </v>
      </c>
      <c r="AI315" s="130" t="str">
        <f t="shared" si="119"/>
        <v xml:space="preserve"> </v>
      </c>
      <c r="AJ315" s="144" t="str">
        <f t="shared" si="120"/>
        <v xml:space="preserve"> </v>
      </c>
      <c r="AK315" s="128" t="str">
        <f t="shared" si="121"/>
        <v xml:space="preserve"> </v>
      </c>
      <c r="AL315" s="128" t="str">
        <f t="shared" si="122"/>
        <v xml:space="preserve"> </v>
      </c>
      <c r="AM315" s="128">
        <f t="shared" si="123"/>
        <v>0</v>
      </c>
      <c r="AN315" s="130" t="str">
        <f t="shared" si="124"/>
        <v xml:space="preserve"> </v>
      </c>
      <c r="AO315" s="130"/>
      <c r="AP315" s="130"/>
    </row>
    <row r="316" spans="1:42">
      <c r="A316" s="131" t="s">
        <v>190</v>
      </c>
      <c r="B316" s="132">
        <v>5</v>
      </c>
      <c r="C316" s="118" t="s">
        <v>128</v>
      </c>
      <c r="D316" s="118">
        <v>2019</v>
      </c>
      <c r="E316" s="133">
        <v>0</v>
      </c>
      <c r="F316" s="133">
        <v>0</v>
      </c>
      <c r="G316" s="133">
        <v>0</v>
      </c>
      <c r="H316" s="134">
        <v>0</v>
      </c>
      <c r="I316" s="133">
        <v>0</v>
      </c>
      <c r="J316" s="135"/>
      <c r="K316" s="138">
        <v>4</v>
      </c>
      <c r="L316" s="138">
        <v>1</v>
      </c>
      <c r="M316" s="147">
        <v>2</v>
      </c>
      <c r="N316" s="138">
        <v>6</v>
      </c>
      <c r="O316" s="135"/>
      <c r="P316" s="136">
        <f>E316+F316+P315</f>
        <v>0</v>
      </c>
      <c r="Q316" s="136">
        <f t="shared" si="784"/>
        <v>0</v>
      </c>
      <c r="R316" s="137">
        <f t="shared" ref="R316:S316" si="793">H316+R315</f>
        <v>0</v>
      </c>
      <c r="S316" s="136">
        <f t="shared" si="793"/>
        <v>0</v>
      </c>
      <c r="T316" s="139"/>
      <c r="U316" s="140">
        <f t="shared" si="783"/>
        <v>0</v>
      </c>
      <c r="V316" s="140">
        <f t="shared" ref="V316:X316" si="794">Q316/L316</f>
        <v>0</v>
      </c>
      <c r="W316" s="141">
        <f t="shared" si="794"/>
        <v>0</v>
      </c>
      <c r="X316" s="140">
        <f t="shared" si="794"/>
        <v>0</v>
      </c>
      <c r="Y316" s="146" t="s">
        <v>190</v>
      </c>
      <c r="Z316" s="143"/>
      <c r="AA316" s="138">
        <v>6</v>
      </c>
      <c r="AB316" s="136">
        <v>6</v>
      </c>
      <c r="AC316" s="128">
        <v>0</v>
      </c>
      <c r="AD316" s="135"/>
      <c r="AE316" s="127">
        <f>N311</f>
        <v>1</v>
      </c>
      <c r="AF316" s="127"/>
      <c r="AG316" s="130"/>
      <c r="AH316" s="130" t="str">
        <f t="shared" si="118"/>
        <v xml:space="preserve"> </v>
      </c>
      <c r="AI316" s="130" t="str">
        <f t="shared" si="119"/>
        <v xml:space="preserve"> </v>
      </c>
      <c r="AJ316" s="144" t="str">
        <f t="shared" si="120"/>
        <v xml:space="preserve"> </v>
      </c>
      <c r="AK316" s="128" t="str">
        <f t="shared" si="121"/>
        <v xml:space="preserve"> </v>
      </c>
      <c r="AL316" s="128" t="str">
        <f t="shared" si="122"/>
        <v xml:space="preserve"> </v>
      </c>
      <c r="AM316" s="128" t="str">
        <f t="shared" si="123"/>
        <v xml:space="preserve"> </v>
      </c>
      <c r="AN316" s="130">
        <f t="shared" si="124"/>
        <v>0</v>
      </c>
      <c r="AO316" s="130"/>
      <c r="AP316" s="130"/>
    </row>
    <row r="317" spans="1:42">
      <c r="A317" s="131"/>
      <c r="B317" s="132"/>
      <c r="C317" s="118"/>
      <c r="D317" s="118"/>
      <c r="E317" s="133"/>
      <c r="F317" s="133"/>
      <c r="G317" s="133"/>
      <c r="H317" s="134"/>
      <c r="I317" s="133"/>
      <c r="J317" s="135"/>
      <c r="K317" s="136"/>
      <c r="L317" s="136"/>
      <c r="M317" s="137"/>
      <c r="N317" s="136"/>
      <c r="O317" s="135"/>
      <c r="P317" s="136"/>
      <c r="Q317" s="136"/>
      <c r="R317" s="137"/>
      <c r="S317" s="136"/>
      <c r="T317" s="139"/>
      <c r="U317" s="140"/>
      <c r="V317" s="140"/>
      <c r="W317" s="141"/>
      <c r="X317" s="140"/>
      <c r="Y317" s="142"/>
      <c r="Z317" s="143"/>
      <c r="AA317" s="136"/>
      <c r="AB317" s="136" t="s">
        <v>1566</v>
      </c>
      <c r="AC317" s="128" t="s">
        <v>1566</v>
      </c>
      <c r="AD317" s="135"/>
      <c r="AE317" s="127"/>
      <c r="AF317" s="127"/>
      <c r="AG317" s="130"/>
      <c r="AH317" s="130" t="str">
        <f t="shared" si="118"/>
        <v xml:space="preserve"> </v>
      </c>
      <c r="AI317" s="130" t="str">
        <f t="shared" si="119"/>
        <v xml:space="preserve"> </v>
      </c>
      <c r="AJ317" s="144" t="str">
        <f t="shared" si="120"/>
        <v xml:space="preserve"> </v>
      </c>
      <c r="AK317" s="128" t="str">
        <f t="shared" si="121"/>
        <v xml:space="preserve"> </v>
      </c>
      <c r="AL317" s="128" t="str">
        <f t="shared" si="122"/>
        <v xml:space="preserve"> </v>
      </c>
      <c r="AM317" s="128" t="str">
        <f t="shared" si="123"/>
        <v xml:space="preserve"> </v>
      </c>
      <c r="AN317" s="130" t="str">
        <f t="shared" si="124"/>
        <v xml:space="preserve"> </v>
      </c>
      <c r="AO317" s="130"/>
      <c r="AP317" s="130"/>
    </row>
    <row r="318" spans="1:42">
      <c r="A318" s="131" t="s">
        <v>191</v>
      </c>
      <c r="B318" s="132">
        <v>5</v>
      </c>
      <c r="C318" s="118" t="s">
        <v>128</v>
      </c>
      <c r="D318" s="118">
        <v>2014</v>
      </c>
      <c r="E318" s="133">
        <v>0</v>
      </c>
      <c r="F318" s="133">
        <v>0</v>
      </c>
      <c r="G318" s="133">
        <v>0</v>
      </c>
      <c r="H318" s="134">
        <v>1</v>
      </c>
      <c r="I318" s="133">
        <v>1</v>
      </c>
      <c r="J318" s="135"/>
      <c r="K318" s="136">
        <v>44</v>
      </c>
      <c r="L318" s="136">
        <f>ROUND('HCD Assigned 5th Cycle RHNA'!F612/B318,0)</f>
        <v>18</v>
      </c>
      <c r="M318" s="137">
        <v>45</v>
      </c>
      <c r="N318" s="136">
        <f>ROUND(530/5,0)</f>
        <v>106</v>
      </c>
      <c r="O318" s="135"/>
      <c r="P318" s="136">
        <f>E318+F318</f>
        <v>0</v>
      </c>
      <c r="Q318" s="136">
        <f t="shared" ref="Q318:S318" si="795">G318</f>
        <v>0</v>
      </c>
      <c r="R318" s="137">
        <f t="shared" si="795"/>
        <v>1</v>
      </c>
      <c r="S318" s="136">
        <f t="shared" si="795"/>
        <v>1</v>
      </c>
      <c r="T318" s="139"/>
      <c r="U318" s="140">
        <f t="shared" ref="U318:X318" si="796">P318/K318</f>
        <v>0</v>
      </c>
      <c r="V318" s="140">
        <f t="shared" si="796"/>
        <v>0</v>
      </c>
      <c r="W318" s="141">
        <f t="shared" si="796"/>
        <v>2.2222222222222223E-2</v>
      </c>
      <c r="X318" s="140">
        <f t="shared" si="796"/>
        <v>9.433962264150943E-3</v>
      </c>
      <c r="Y318" s="142"/>
      <c r="Z318" s="143"/>
      <c r="AA318" s="136"/>
      <c r="AB318" s="136" t="s">
        <v>1566</v>
      </c>
      <c r="AC318" s="128" t="s">
        <v>1566</v>
      </c>
      <c r="AD318" s="135"/>
      <c r="AE318" s="127"/>
      <c r="AF318" s="127"/>
      <c r="AG318" s="130"/>
      <c r="AH318" s="130" t="str">
        <f t="shared" si="118"/>
        <v xml:space="preserve"> </v>
      </c>
      <c r="AI318" s="130">
        <f t="shared" si="119"/>
        <v>0</v>
      </c>
      <c r="AJ318" s="144" t="str">
        <f t="shared" si="120"/>
        <v xml:space="preserve"> </v>
      </c>
      <c r="AK318" s="128" t="str">
        <f t="shared" si="121"/>
        <v xml:space="preserve"> </v>
      </c>
      <c r="AL318" s="128" t="str">
        <f t="shared" si="122"/>
        <v xml:space="preserve"> </v>
      </c>
      <c r="AM318" s="128" t="str">
        <f t="shared" si="123"/>
        <v xml:space="preserve"> </v>
      </c>
      <c r="AN318" s="130" t="str">
        <f t="shared" si="124"/>
        <v xml:space="preserve"> </v>
      </c>
      <c r="AO318" s="130"/>
      <c r="AP318" s="130"/>
    </row>
    <row r="319" spans="1:42">
      <c r="A319" s="131" t="s">
        <v>191</v>
      </c>
      <c r="B319" s="132">
        <v>5</v>
      </c>
      <c r="C319" s="118" t="s">
        <v>128</v>
      </c>
      <c r="D319" s="118">
        <v>2015</v>
      </c>
      <c r="E319" s="133">
        <v>0</v>
      </c>
      <c r="F319" s="133">
        <v>1</v>
      </c>
      <c r="G319" s="133">
        <v>3</v>
      </c>
      <c r="H319" s="134">
        <v>1</v>
      </c>
      <c r="I319" s="133">
        <v>5</v>
      </c>
      <c r="J319" s="135"/>
      <c r="K319" s="136">
        <f t="shared" ref="K319:N319" si="797">K318*2</f>
        <v>88</v>
      </c>
      <c r="L319" s="136">
        <f t="shared" si="797"/>
        <v>36</v>
      </c>
      <c r="M319" s="137">
        <f t="shared" si="797"/>
        <v>90</v>
      </c>
      <c r="N319" s="136">
        <f t="shared" si="797"/>
        <v>212</v>
      </c>
      <c r="O319" s="135"/>
      <c r="P319" s="136">
        <f t="shared" ref="P319:P323" si="798">E319+F319+P318</f>
        <v>1</v>
      </c>
      <c r="Q319" s="136">
        <f t="shared" ref="Q319:S319" si="799">G319+Q318</f>
        <v>3</v>
      </c>
      <c r="R319" s="137">
        <f t="shared" si="799"/>
        <v>2</v>
      </c>
      <c r="S319" s="136">
        <f t="shared" si="799"/>
        <v>6</v>
      </c>
      <c r="T319" s="139"/>
      <c r="U319" s="140">
        <f t="shared" ref="U319:X319" si="800">P319/K319</f>
        <v>1.1363636363636364E-2</v>
      </c>
      <c r="V319" s="140">
        <f t="shared" si="800"/>
        <v>8.3333333333333329E-2</v>
      </c>
      <c r="W319" s="141">
        <f t="shared" si="800"/>
        <v>2.2222222222222223E-2</v>
      </c>
      <c r="X319" s="140">
        <f t="shared" si="800"/>
        <v>2.8301886792452831E-2</v>
      </c>
      <c r="Y319" s="142"/>
      <c r="Z319" s="143"/>
      <c r="AA319" s="136"/>
      <c r="AB319" s="136" t="s">
        <v>1566</v>
      </c>
      <c r="AC319" s="128" t="s">
        <v>1566</v>
      </c>
      <c r="AD319" s="135"/>
      <c r="AE319" s="127"/>
      <c r="AF319" s="127"/>
      <c r="AG319" s="130"/>
      <c r="AH319" s="130" t="str">
        <f t="shared" si="118"/>
        <v xml:space="preserve"> </v>
      </c>
      <c r="AI319" s="130" t="str">
        <f t="shared" si="119"/>
        <v xml:space="preserve"> </v>
      </c>
      <c r="AJ319" s="130">
        <f t="shared" si="120"/>
        <v>1</v>
      </c>
      <c r="AK319" s="128" t="str">
        <f t="shared" si="121"/>
        <v xml:space="preserve"> </v>
      </c>
      <c r="AL319" s="128" t="str">
        <f t="shared" si="122"/>
        <v xml:space="preserve"> </v>
      </c>
      <c r="AM319" s="128" t="str">
        <f t="shared" si="123"/>
        <v xml:space="preserve"> </v>
      </c>
      <c r="AN319" s="130" t="str">
        <f t="shared" si="124"/>
        <v xml:space="preserve"> </v>
      </c>
      <c r="AO319" s="130"/>
      <c r="AP319" s="130"/>
    </row>
    <row r="320" spans="1:42">
      <c r="A320" s="131" t="s">
        <v>191</v>
      </c>
      <c r="B320" s="132">
        <v>5</v>
      </c>
      <c r="C320" s="118" t="s">
        <v>128</v>
      </c>
      <c r="D320" s="118">
        <v>2016</v>
      </c>
      <c r="E320" s="133">
        <v>0</v>
      </c>
      <c r="F320" s="133">
        <v>0</v>
      </c>
      <c r="G320" s="133">
        <v>0</v>
      </c>
      <c r="H320" s="134">
        <v>1</v>
      </c>
      <c r="I320" s="133">
        <v>1</v>
      </c>
      <c r="J320" s="135"/>
      <c r="K320" s="136">
        <f t="shared" ref="K320:N320" si="801">K318*3</f>
        <v>132</v>
      </c>
      <c r="L320" s="136">
        <f t="shared" si="801"/>
        <v>54</v>
      </c>
      <c r="M320" s="137">
        <f t="shared" si="801"/>
        <v>135</v>
      </c>
      <c r="N320" s="136">
        <f t="shared" si="801"/>
        <v>318</v>
      </c>
      <c r="O320" s="135"/>
      <c r="P320" s="136">
        <f t="shared" si="798"/>
        <v>1</v>
      </c>
      <c r="Q320" s="136">
        <f t="shared" ref="Q320:S320" si="802">G320+Q319</f>
        <v>3</v>
      </c>
      <c r="R320" s="137">
        <f t="shared" si="802"/>
        <v>3</v>
      </c>
      <c r="S320" s="136">
        <f t="shared" si="802"/>
        <v>7</v>
      </c>
      <c r="T320" s="139"/>
      <c r="U320" s="140">
        <f t="shared" ref="U320:X320" si="803">P320/K320</f>
        <v>7.575757575757576E-3</v>
      </c>
      <c r="V320" s="140">
        <f t="shared" si="803"/>
        <v>5.5555555555555552E-2</v>
      </c>
      <c r="W320" s="141">
        <f t="shared" si="803"/>
        <v>2.2222222222222223E-2</v>
      </c>
      <c r="X320" s="140">
        <f t="shared" si="803"/>
        <v>2.20125786163522E-2</v>
      </c>
      <c r="Y320" s="142"/>
      <c r="Z320" s="143"/>
      <c r="AA320" s="136"/>
      <c r="AB320" s="136" t="s">
        <v>1566</v>
      </c>
      <c r="AC320" s="128" t="s">
        <v>1566</v>
      </c>
      <c r="AD320" s="135"/>
      <c r="AE320" s="127" t="s">
        <v>1566</v>
      </c>
      <c r="AF320" s="127"/>
      <c r="AG320" s="130"/>
      <c r="AH320" s="130" t="str">
        <f t="shared" si="118"/>
        <v xml:space="preserve"> </v>
      </c>
      <c r="AI320" s="130" t="str">
        <f t="shared" si="119"/>
        <v xml:space="preserve"> </v>
      </c>
      <c r="AJ320" s="144" t="str">
        <f t="shared" si="120"/>
        <v xml:space="preserve"> </v>
      </c>
      <c r="AK320" s="128">
        <f t="shared" si="121"/>
        <v>0</v>
      </c>
      <c r="AL320" s="128" t="str">
        <f t="shared" si="122"/>
        <v xml:space="preserve"> </v>
      </c>
      <c r="AM320" s="128" t="str">
        <f t="shared" si="123"/>
        <v xml:space="preserve"> </v>
      </c>
      <c r="AN320" s="130" t="str">
        <f t="shared" si="124"/>
        <v xml:space="preserve"> </v>
      </c>
      <c r="AO320" s="130"/>
      <c r="AP320" s="130"/>
    </row>
    <row r="321" spans="1:42">
      <c r="A321" s="131" t="s">
        <v>191</v>
      </c>
      <c r="B321" s="132">
        <v>5</v>
      </c>
      <c r="C321" s="118" t="s">
        <v>128</v>
      </c>
      <c r="D321" s="118">
        <v>2017</v>
      </c>
      <c r="E321" s="133">
        <v>0</v>
      </c>
      <c r="F321" s="133">
        <v>0</v>
      </c>
      <c r="G321" s="133">
        <v>4</v>
      </c>
      <c r="H321" s="134">
        <v>1</v>
      </c>
      <c r="I321" s="133">
        <v>5</v>
      </c>
      <c r="J321" s="135"/>
      <c r="K321" s="136">
        <f t="shared" ref="K321:N321" si="804">K318*4</f>
        <v>176</v>
      </c>
      <c r="L321" s="136">
        <f t="shared" si="804"/>
        <v>72</v>
      </c>
      <c r="M321" s="137">
        <f t="shared" si="804"/>
        <v>180</v>
      </c>
      <c r="N321" s="136">
        <f t="shared" si="804"/>
        <v>424</v>
      </c>
      <c r="O321" s="135"/>
      <c r="P321" s="136">
        <f t="shared" si="798"/>
        <v>1</v>
      </c>
      <c r="Q321" s="136">
        <f t="shared" ref="Q321:S321" si="805">G321+Q320</f>
        <v>7</v>
      </c>
      <c r="R321" s="137">
        <f t="shared" si="805"/>
        <v>4</v>
      </c>
      <c r="S321" s="136">
        <f t="shared" si="805"/>
        <v>12</v>
      </c>
      <c r="T321" s="139"/>
      <c r="U321" s="140">
        <f t="shared" ref="U321:X321" si="806">P321/K321</f>
        <v>5.681818181818182E-3</v>
      </c>
      <c r="V321" s="140">
        <f t="shared" si="806"/>
        <v>9.7222222222222224E-2</v>
      </c>
      <c r="W321" s="141">
        <f t="shared" si="806"/>
        <v>2.2222222222222223E-2</v>
      </c>
      <c r="X321" s="140">
        <f t="shared" si="806"/>
        <v>2.8301886792452831E-2</v>
      </c>
      <c r="Y321" s="142"/>
      <c r="Z321" s="143"/>
      <c r="AA321" s="136"/>
      <c r="AB321" s="136" t="s">
        <v>1566</v>
      </c>
      <c r="AC321" s="128" t="s">
        <v>1566</v>
      </c>
      <c r="AD321" s="135"/>
      <c r="AE321" s="127" t="s">
        <v>1566</v>
      </c>
      <c r="AF321" s="127"/>
      <c r="AG321" s="130"/>
      <c r="AH321" s="130" t="str">
        <f t="shared" si="118"/>
        <v xml:space="preserve"> </v>
      </c>
      <c r="AI321" s="130" t="str">
        <f t="shared" si="119"/>
        <v xml:space="preserve"> </v>
      </c>
      <c r="AJ321" s="144" t="str">
        <f t="shared" si="120"/>
        <v xml:space="preserve"> </v>
      </c>
      <c r="AK321" s="128" t="str">
        <f t="shared" si="121"/>
        <v xml:space="preserve"> </v>
      </c>
      <c r="AL321" s="128">
        <f t="shared" si="122"/>
        <v>0</v>
      </c>
      <c r="AM321" s="128" t="str">
        <f t="shared" si="123"/>
        <v xml:space="preserve"> </v>
      </c>
      <c r="AN321" s="130" t="str">
        <f t="shared" si="124"/>
        <v xml:space="preserve"> </v>
      </c>
      <c r="AO321" s="130"/>
      <c r="AP321" s="130"/>
    </row>
    <row r="322" spans="1:42">
      <c r="A322" s="131" t="s">
        <v>191</v>
      </c>
      <c r="B322" s="132">
        <v>5</v>
      </c>
      <c r="C322" s="118" t="s">
        <v>128</v>
      </c>
      <c r="D322" s="118">
        <v>2018</v>
      </c>
      <c r="E322" s="133">
        <v>0</v>
      </c>
      <c r="F322" s="133">
        <v>0</v>
      </c>
      <c r="G322" s="133">
        <v>1</v>
      </c>
      <c r="H322" s="134">
        <v>2</v>
      </c>
      <c r="I322" s="133">
        <v>3</v>
      </c>
      <c r="J322" s="135"/>
      <c r="K322" s="136">
        <f t="shared" ref="K322:L322" si="807">K318*5</f>
        <v>220</v>
      </c>
      <c r="L322" s="136">
        <f t="shared" si="807"/>
        <v>90</v>
      </c>
      <c r="M322" s="147">
        <v>223</v>
      </c>
      <c r="N322" s="136">
        <f>N318*5</f>
        <v>530</v>
      </c>
      <c r="O322" s="135"/>
      <c r="P322" s="136">
        <f t="shared" si="798"/>
        <v>1</v>
      </c>
      <c r="Q322" s="136">
        <f t="shared" ref="Q322:S322" si="808">G322+Q321</f>
        <v>8</v>
      </c>
      <c r="R322" s="137">
        <f t="shared" si="808"/>
        <v>6</v>
      </c>
      <c r="S322" s="136">
        <f t="shared" si="808"/>
        <v>15</v>
      </c>
      <c r="T322" s="139"/>
      <c r="U322" s="140">
        <f t="shared" ref="U322:X322" si="809">P322/K322</f>
        <v>4.5454545454545452E-3</v>
      </c>
      <c r="V322" s="140">
        <f t="shared" si="809"/>
        <v>8.8888888888888892E-2</v>
      </c>
      <c r="W322" s="141">
        <f t="shared" si="809"/>
        <v>2.6905829596412557E-2</v>
      </c>
      <c r="X322" s="140">
        <f t="shared" si="809"/>
        <v>2.8301886792452831E-2</v>
      </c>
      <c r="Y322" s="142"/>
      <c r="Z322" s="143"/>
      <c r="AA322" s="136"/>
      <c r="AB322" s="136" t="s">
        <v>1566</v>
      </c>
      <c r="AC322" s="128" t="s">
        <v>1566</v>
      </c>
      <c r="AD322" s="135"/>
      <c r="AE322" s="127" t="s">
        <v>1566</v>
      </c>
      <c r="AF322" s="127"/>
      <c r="AG322" s="130"/>
      <c r="AH322" s="130" t="str">
        <f t="shared" si="118"/>
        <v xml:space="preserve"> </v>
      </c>
      <c r="AI322" s="130" t="str">
        <f t="shared" si="119"/>
        <v xml:space="preserve"> </v>
      </c>
      <c r="AJ322" s="144" t="str">
        <f t="shared" si="120"/>
        <v xml:space="preserve"> </v>
      </c>
      <c r="AK322" s="128" t="str">
        <f t="shared" si="121"/>
        <v xml:space="preserve"> </v>
      </c>
      <c r="AL322" s="128" t="str">
        <f t="shared" si="122"/>
        <v xml:space="preserve"> </v>
      </c>
      <c r="AM322" s="128">
        <f t="shared" si="123"/>
        <v>0</v>
      </c>
      <c r="AN322" s="130" t="str">
        <f t="shared" si="124"/>
        <v xml:space="preserve"> </v>
      </c>
      <c r="AO322" s="130"/>
      <c r="AP322" s="130"/>
    </row>
    <row r="323" spans="1:42">
      <c r="A323" s="131" t="s">
        <v>191</v>
      </c>
      <c r="B323" s="132">
        <v>5</v>
      </c>
      <c r="C323" s="118" t="s">
        <v>128</v>
      </c>
      <c r="D323" s="118">
        <v>2019</v>
      </c>
      <c r="E323" s="133">
        <v>0</v>
      </c>
      <c r="F323" s="133">
        <v>0</v>
      </c>
      <c r="G323" s="133">
        <v>1</v>
      </c>
      <c r="H323" s="134">
        <v>16</v>
      </c>
      <c r="I323" s="133">
        <v>17</v>
      </c>
      <c r="J323" s="135"/>
      <c r="K323" s="136">
        <f t="shared" ref="K323:N323" si="810">K322</f>
        <v>220</v>
      </c>
      <c r="L323" s="136">
        <f t="shared" si="810"/>
        <v>90</v>
      </c>
      <c r="M323" s="137">
        <f t="shared" si="810"/>
        <v>223</v>
      </c>
      <c r="N323" s="136">
        <f t="shared" si="810"/>
        <v>530</v>
      </c>
      <c r="O323" s="135"/>
      <c r="P323" s="136">
        <f t="shared" si="798"/>
        <v>1</v>
      </c>
      <c r="Q323" s="136">
        <f t="shared" ref="Q323:S323" si="811">G323+Q322</f>
        <v>9</v>
      </c>
      <c r="R323" s="137">
        <f t="shared" si="811"/>
        <v>22</v>
      </c>
      <c r="S323" s="136">
        <f t="shared" si="811"/>
        <v>32</v>
      </c>
      <c r="T323" s="139"/>
      <c r="U323" s="140">
        <f t="shared" ref="U323:X323" si="812">P323/K323</f>
        <v>4.5454545454545452E-3</v>
      </c>
      <c r="V323" s="140">
        <f t="shared" si="812"/>
        <v>0.1</v>
      </c>
      <c r="W323" s="141">
        <f t="shared" si="812"/>
        <v>9.8654708520179366E-2</v>
      </c>
      <c r="X323" s="140">
        <f t="shared" si="812"/>
        <v>6.0377358490566038E-2</v>
      </c>
      <c r="Y323" s="146" t="s">
        <v>191</v>
      </c>
      <c r="Z323" s="143"/>
      <c r="AA323" s="138">
        <v>530</v>
      </c>
      <c r="AB323" s="136">
        <v>530</v>
      </c>
      <c r="AC323" s="128">
        <v>32</v>
      </c>
      <c r="AD323" s="135"/>
      <c r="AE323" s="127">
        <f>N318</f>
        <v>106</v>
      </c>
      <c r="AF323" s="127"/>
      <c r="AG323" s="130"/>
      <c r="AH323" s="130" t="str">
        <f t="shared" si="118"/>
        <v xml:space="preserve"> </v>
      </c>
      <c r="AI323" s="130" t="str">
        <f t="shared" si="119"/>
        <v xml:space="preserve"> </v>
      </c>
      <c r="AJ323" s="144" t="str">
        <f t="shared" si="120"/>
        <v xml:space="preserve"> </v>
      </c>
      <c r="AK323" s="128" t="str">
        <f t="shared" si="121"/>
        <v xml:space="preserve"> </v>
      </c>
      <c r="AL323" s="128" t="str">
        <f t="shared" si="122"/>
        <v xml:space="preserve"> </v>
      </c>
      <c r="AM323" s="128" t="str">
        <f t="shared" si="123"/>
        <v xml:space="preserve"> </v>
      </c>
      <c r="AN323" s="130">
        <f t="shared" si="124"/>
        <v>0</v>
      </c>
      <c r="AO323" s="130"/>
      <c r="AP323" s="130"/>
    </row>
    <row r="324" spans="1:42">
      <c r="A324" s="131"/>
      <c r="B324" s="132"/>
      <c r="C324" s="118"/>
      <c r="D324" s="118"/>
      <c r="E324" s="133"/>
      <c r="F324" s="133"/>
      <c r="G324" s="133"/>
      <c r="H324" s="134"/>
      <c r="I324" s="133"/>
      <c r="J324" s="135"/>
      <c r="K324" s="136"/>
      <c r="L324" s="136"/>
      <c r="M324" s="137"/>
      <c r="N324" s="136"/>
      <c r="O324" s="135"/>
      <c r="P324" s="136"/>
      <c r="Q324" s="136"/>
      <c r="R324" s="137"/>
      <c r="S324" s="136"/>
      <c r="T324" s="139"/>
      <c r="U324" s="140"/>
      <c r="V324" s="140"/>
      <c r="W324" s="141"/>
      <c r="X324" s="140"/>
      <c r="Y324" s="142"/>
      <c r="Z324" s="143"/>
      <c r="AA324" s="136"/>
      <c r="AB324" s="136" t="s">
        <v>1566</v>
      </c>
      <c r="AC324" s="128" t="s">
        <v>1566</v>
      </c>
      <c r="AD324" s="135"/>
      <c r="AE324" s="127" t="s">
        <v>1566</v>
      </c>
      <c r="AF324" s="127"/>
      <c r="AG324" s="130"/>
      <c r="AH324" s="130" t="str">
        <f t="shared" si="118"/>
        <v xml:space="preserve"> </v>
      </c>
      <c r="AI324" s="130" t="str">
        <f t="shared" si="119"/>
        <v xml:space="preserve"> </v>
      </c>
      <c r="AJ324" s="144" t="str">
        <f t="shared" si="120"/>
        <v xml:space="preserve"> </v>
      </c>
      <c r="AK324" s="128" t="str">
        <f t="shared" si="121"/>
        <v xml:space="preserve"> </v>
      </c>
      <c r="AL324" s="128" t="str">
        <f t="shared" si="122"/>
        <v xml:space="preserve"> </v>
      </c>
      <c r="AM324" s="128" t="str">
        <f t="shared" si="123"/>
        <v xml:space="preserve"> </v>
      </c>
      <c r="AN324" s="130" t="str">
        <f t="shared" si="124"/>
        <v xml:space="preserve"> </v>
      </c>
      <c r="AO324" s="130"/>
      <c r="AP324" s="130"/>
    </row>
    <row r="325" spans="1:42">
      <c r="A325" s="131" t="s">
        <v>192</v>
      </c>
      <c r="B325" s="132">
        <v>8</v>
      </c>
      <c r="C325" s="118" t="s">
        <v>167</v>
      </c>
      <c r="D325" s="118">
        <v>2014</v>
      </c>
      <c r="E325" s="133">
        <v>1</v>
      </c>
      <c r="F325" s="133">
        <v>13</v>
      </c>
      <c r="G325" s="133">
        <v>8</v>
      </c>
      <c r="H325" s="134">
        <v>330</v>
      </c>
      <c r="I325" s="133">
        <f t="shared" ref="I325:I330" si="813">E325+F325+G325+H325</f>
        <v>352</v>
      </c>
      <c r="J325" s="135"/>
      <c r="K325" s="136"/>
      <c r="L325" s="136"/>
      <c r="M325" s="137"/>
      <c r="N325" s="136"/>
      <c r="O325" s="135"/>
      <c r="P325" s="136">
        <f>E325+F325</f>
        <v>14</v>
      </c>
      <c r="Q325" s="136">
        <f t="shared" ref="Q325:S325" si="814">G325</f>
        <v>8</v>
      </c>
      <c r="R325" s="137">
        <f t="shared" si="814"/>
        <v>330</v>
      </c>
      <c r="S325" s="136">
        <f t="shared" si="814"/>
        <v>352</v>
      </c>
      <c r="T325" s="139"/>
      <c r="U325" s="140"/>
      <c r="V325" s="140"/>
      <c r="W325" s="141"/>
      <c r="X325" s="140"/>
      <c r="Y325" s="142"/>
      <c r="Z325" s="143"/>
      <c r="AA325" s="136"/>
      <c r="AB325" s="136" t="s">
        <v>1566</v>
      </c>
      <c r="AC325" s="128" t="s">
        <v>1566</v>
      </c>
      <c r="AD325" s="135"/>
      <c r="AE325" s="127"/>
      <c r="AF325" s="127"/>
      <c r="AG325" s="130"/>
      <c r="AH325" s="130" t="str">
        <f t="shared" si="118"/>
        <v xml:space="preserve"> </v>
      </c>
      <c r="AI325" s="130">
        <f t="shared" si="119"/>
        <v>14</v>
      </c>
      <c r="AJ325" s="144" t="str">
        <f t="shared" si="120"/>
        <v xml:space="preserve"> </v>
      </c>
      <c r="AK325" s="128" t="str">
        <f t="shared" si="121"/>
        <v xml:space="preserve"> </v>
      </c>
      <c r="AL325" s="128" t="str">
        <f t="shared" si="122"/>
        <v xml:space="preserve"> </v>
      </c>
      <c r="AM325" s="128" t="str">
        <f t="shared" si="123"/>
        <v xml:space="preserve"> </v>
      </c>
      <c r="AN325" s="130" t="str">
        <f t="shared" si="124"/>
        <v xml:space="preserve"> </v>
      </c>
      <c r="AO325" s="130"/>
      <c r="AP325" s="130"/>
    </row>
    <row r="326" spans="1:42">
      <c r="A326" s="131" t="s">
        <v>192</v>
      </c>
      <c r="B326" s="132">
        <v>8</v>
      </c>
      <c r="C326" s="118" t="s">
        <v>167</v>
      </c>
      <c r="D326" s="118">
        <v>2015</v>
      </c>
      <c r="E326" s="133">
        <v>20</v>
      </c>
      <c r="F326" s="133">
        <v>58</v>
      </c>
      <c r="G326" s="133">
        <v>581</v>
      </c>
      <c r="H326" s="134">
        <v>764</v>
      </c>
      <c r="I326" s="133">
        <f t="shared" si="813"/>
        <v>1423</v>
      </c>
      <c r="J326" s="135"/>
      <c r="K326" s="136">
        <v>327</v>
      </c>
      <c r="L326" s="136">
        <f>ROUND('HCD Assigned 5th Cycle RHNA'!F347/B326,0)</f>
        <v>132</v>
      </c>
      <c r="M326" s="137">
        <v>414</v>
      </c>
      <c r="N326" s="136">
        <v>872</v>
      </c>
      <c r="O326" s="135"/>
      <c r="P326" s="136">
        <f t="shared" ref="P326:P330" si="815">E326+F326+P325</f>
        <v>92</v>
      </c>
      <c r="Q326" s="136">
        <f t="shared" ref="Q326:S326" si="816">G326+Q325</f>
        <v>589</v>
      </c>
      <c r="R326" s="137">
        <f t="shared" si="816"/>
        <v>1094</v>
      </c>
      <c r="S326" s="136">
        <f t="shared" si="816"/>
        <v>1775</v>
      </c>
      <c r="T326" s="139"/>
      <c r="U326" s="140">
        <f t="shared" ref="U326:X326" si="817">P326/K326</f>
        <v>0.28134556574923547</v>
      </c>
      <c r="V326" s="140">
        <f t="shared" si="817"/>
        <v>4.4621212121212119</v>
      </c>
      <c r="W326" s="141">
        <f t="shared" si="817"/>
        <v>2.6425120772946862</v>
      </c>
      <c r="X326" s="140">
        <f t="shared" si="817"/>
        <v>2.0355504587155964</v>
      </c>
      <c r="Y326" s="142"/>
      <c r="Z326" s="143"/>
      <c r="AA326" s="136"/>
      <c r="AB326" s="136" t="s">
        <v>1566</v>
      </c>
      <c r="AC326" s="128" t="s">
        <v>1566</v>
      </c>
      <c r="AD326" s="135"/>
      <c r="AE326" s="127"/>
      <c r="AF326" s="127"/>
      <c r="AG326" s="130"/>
      <c r="AH326" s="130" t="str">
        <f t="shared" si="118"/>
        <v xml:space="preserve"> </v>
      </c>
      <c r="AI326" s="130" t="str">
        <f t="shared" si="119"/>
        <v xml:space="preserve"> </v>
      </c>
      <c r="AJ326" s="130">
        <f t="shared" si="120"/>
        <v>78</v>
      </c>
      <c r="AK326" s="128" t="str">
        <f t="shared" si="121"/>
        <v xml:space="preserve"> </v>
      </c>
      <c r="AL326" s="128" t="str">
        <f t="shared" si="122"/>
        <v xml:space="preserve"> </v>
      </c>
      <c r="AM326" s="128" t="str">
        <f t="shared" si="123"/>
        <v xml:space="preserve"> </v>
      </c>
      <c r="AN326" s="130" t="str">
        <f t="shared" si="124"/>
        <v xml:space="preserve"> </v>
      </c>
      <c r="AO326" s="130"/>
      <c r="AP326" s="130"/>
    </row>
    <row r="327" spans="1:42">
      <c r="A327" s="131" t="s">
        <v>192</v>
      </c>
      <c r="B327" s="132">
        <v>8</v>
      </c>
      <c r="C327" s="118" t="s">
        <v>167</v>
      </c>
      <c r="D327" s="118">
        <v>2016</v>
      </c>
      <c r="E327" s="133">
        <v>3</v>
      </c>
      <c r="F327" s="133">
        <v>64</v>
      </c>
      <c r="G327" s="133">
        <v>240</v>
      </c>
      <c r="H327" s="134">
        <v>692</v>
      </c>
      <c r="I327" s="133">
        <f t="shared" si="813"/>
        <v>999</v>
      </c>
      <c r="J327" s="135"/>
      <c r="K327" s="136">
        <f t="shared" ref="K327:N327" si="818">K326*2</f>
        <v>654</v>
      </c>
      <c r="L327" s="136">
        <f t="shared" si="818"/>
        <v>264</v>
      </c>
      <c r="M327" s="137">
        <f t="shared" si="818"/>
        <v>828</v>
      </c>
      <c r="N327" s="136">
        <f t="shared" si="818"/>
        <v>1744</v>
      </c>
      <c r="O327" s="135"/>
      <c r="P327" s="136">
        <f t="shared" si="815"/>
        <v>159</v>
      </c>
      <c r="Q327" s="136">
        <f t="shared" ref="Q327:S327" si="819">G327+Q326</f>
        <v>829</v>
      </c>
      <c r="R327" s="137">
        <f t="shared" si="819"/>
        <v>1786</v>
      </c>
      <c r="S327" s="136">
        <f t="shared" si="819"/>
        <v>2774</v>
      </c>
      <c r="T327" s="139"/>
      <c r="U327" s="140">
        <f t="shared" ref="U327:X327" si="820">P327/K327</f>
        <v>0.24311926605504589</v>
      </c>
      <c r="V327" s="140">
        <f t="shared" si="820"/>
        <v>3.1401515151515151</v>
      </c>
      <c r="W327" s="141">
        <f t="shared" si="820"/>
        <v>2.1570048309178742</v>
      </c>
      <c r="X327" s="140">
        <f t="shared" si="820"/>
        <v>1.5905963302752293</v>
      </c>
      <c r="Y327" s="142"/>
      <c r="Z327" s="143"/>
      <c r="AA327" s="136"/>
      <c r="AB327" s="136" t="s">
        <v>1566</v>
      </c>
      <c r="AC327" s="128" t="s">
        <v>1566</v>
      </c>
      <c r="AD327" s="135"/>
      <c r="AE327" s="127" t="s">
        <v>1566</v>
      </c>
      <c r="AF327" s="127"/>
      <c r="AG327" s="130"/>
      <c r="AH327" s="130" t="str">
        <f t="shared" si="118"/>
        <v xml:space="preserve"> </v>
      </c>
      <c r="AI327" s="130" t="str">
        <f t="shared" si="119"/>
        <v xml:space="preserve"> </v>
      </c>
      <c r="AJ327" s="144" t="str">
        <f t="shared" si="120"/>
        <v xml:space="preserve"> </v>
      </c>
      <c r="AK327" s="128">
        <f t="shared" si="121"/>
        <v>67</v>
      </c>
      <c r="AL327" s="128" t="str">
        <f t="shared" si="122"/>
        <v xml:space="preserve"> </v>
      </c>
      <c r="AM327" s="128" t="str">
        <f t="shared" si="123"/>
        <v xml:space="preserve"> </v>
      </c>
      <c r="AN327" s="130" t="str">
        <f t="shared" si="124"/>
        <v xml:space="preserve"> </v>
      </c>
      <c r="AO327" s="130"/>
      <c r="AP327" s="130"/>
    </row>
    <row r="328" spans="1:42">
      <c r="A328" s="131" t="s">
        <v>192</v>
      </c>
      <c r="B328" s="132">
        <v>8</v>
      </c>
      <c r="C328" s="118" t="s">
        <v>167</v>
      </c>
      <c r="D328" s="118">
        <v>2017</v>
      </c>
      <c r="E328" s="133">
        <v>15</v>
      </c>
      <c r="F328" s="133">
        <v>36</v>
      </c>
      <c r="G328" s="133">
        <v>293</v>
      </c>
      <c r="H328" s="134">
        <v>757</v>
      </c>
      <c r="I328" s="133">
        <f t="shared" si="813"/>
        <v>1101</v>
      </c>
      <c r="J328" s="135"/>
      <c r="K328" s="136">
        <f t="shared" ref="K328:N328" si="821">K326*3</f>
        <v>981</v>
      </c>
      <c r="L328" s="136">
        <f t="shared" si="821"/>
        <v>396</v>
      </c>
      <c r="M328" s="137">
        <f t="shared" si="821"/>
        <v>1242</v>
      </c>
      <c r="N328" s="136">
        <f t="shared" si="821"/>
        <v>2616</v>
      </c>
      <c r="O328" s="135"/>
      <c r="P328" s="136">
        <f t="shared" si="815"/>
        <v>210</v>
      </c>
      <c r="Q328" s="136">
        <f t="shared" ref="Q328:S328" si="822">G328+Q327</f>
        <v>1122</v>
      </c>
      <c r="R328" s="137">
        <f t="shared" si="822"/>
        <v>2543</v>
      </c>
      <c r="S328" s="136">
        <f t="shared" si="822"/>
        <v>3875</v>
      </c>
      <c r="T328" s="139"/>
      <c r="U328" s="140">
        <f t="shared" ref="U328:X328" si="823">P328/K328</f>
        <v>0.21406727828746178</v>
      </c>
      <c r="V328" s="140">
        <f t="shared" si="823"/>
        <v>2.8333333333333335</v>
      </c>
      <c r="W328" s="141">
        <f t="shared" si="823"/>
        <v>2.0475040257648955</v>
      </c>
      <c r="X328" s="140">
        <f t="shared" si="823"/>
        <v>1.481269113149847</v>
      </c>
      <c r="Y328" s="142"/>
      <c r="Z328" s="143"/>
      <c r="AA328" s="136"/>
      <c r="AB328" s="136" t="s">
        <v>1566</v>
      </c>
      <c r="AC328" s="128" t="s">
        <v>1566</v>
      </c>
      <c r="AD328" s="135"/>
      <c r="AE328" s="127" t="s">
        <v>1566</v>
      </c>
      <c r="AF328" s="127"/>
      <c r="AG328" s="130"/>
      <c r="AH328" s="130" t="str">
        <f t="shared" si="118"/>
        <v xml:space="preserve"> </v>
      </c>
      <c r="AI328" s="130" t="str">
        <f t="shared" si="119"/>
        <v xml:space="preserve"> </v>
      </c>
      <c r="AJ328" s="144" t="str">
        <f t="shared" si="120"/>
        <v xml:space="preserve"> </v>
      </c>
      <c r="AK328" s="128" t="str">
        <f t="shared" si="121"/>
        <v xml:space="preserve"> </v>
      </c>
      <c r="AL328" s="128">
        <f t="shared" si="122"/>
        <v>51</v>
      </c>
      <c r="AM328" s="128" t="str">
        <f t="shared" si="123"/>
        <v xml:space="preserve"> </v>
      </c>
      <c r="AN328" s="130" t="str">
        <f t="shared" si="124"/>
        <v xml:space="preserve"> </v>
      </c>
      <c r="AO328" s="130"/>
      <c r="AP328" s="130"/>
    </row>
    <row r="329" spans="1:42">
      <c r="A329" s="131" t="s">
        <v>192</v>
      </c>
      <c r="B329" s="132">
        <v>8</v>
      </c>
      <c r="C329" s="118" t="s">
        <v>167</v>
      </c>
      <c r="D329" s="118">
        <v>2018</v>
      </c>
      <c r="E329" s="133">
        <v>15</v>
      </c>
      <c r="F329" s="133">
        <v>41</v>
      </c>
      <c r="G329" s="133">
        <v>10</v>
      </c>
      <c r="H329" s="134">
        <v>595</v>
      </c>
      <c r="I329" s="133">
        <f t="shared" si="813"/>
        <v>661</v>
      </c>
      <c r="J329" s="135"/>
      <c r="K329" s="136">
        <f t="shared" ref="K329:N329" si="824">K326*4</f>
        <v>1308</v>
      </c>
      <c r="L329" s="136">
        <f t="shared" si="824"/>
        <v>528</v>
      </c>
      <c r="M329" s="137">
        <f t="shared" si="824"/>
        <v>1656</v>
      </c>
      <c r="N329" s="136">
        <f t="shared" si="824"/>
        <v>3488</v>
      </c>
      <c r="O329" s="135"/>
      <c r="P329" s="136">
        <f t="shared" si="815"/>
        <v>266</v>
      </c>
      <c r="Q329" s="136">
        <f t="shared" ref="Q329:S329" si="825">G329+Q328</f>
        <v>1132</v>
      </c>
      <c r="R329" s="137">
        <f t="shared" si="825"/>
        <v>3138</v>
      </c>
      <c r="S329" s="136">
        <f t="shared" si="825"/>
        <v>4536</v>
      </c>
      <c r="T329" s="139"/>
      <c r="U329" s="140">
        <f t="shared" ref="U329:X329" si="826">P329/K329</f>
        <v>0.20336391437308868</v>
      </c>
      <c r="V329" s="140">
        <f t="shared" si="826"/>
        <v>2.143939393939394</v>
      </c>
      <c r="W329" s="141">
        <f t="shared" si="826"/>
        <v>1.894927536231884</v>
      </c>
      <c r="X329" s="140">
        <f t="shared" si="826"/>
        <v>1.3004587155963303</v>
      </c>
      <c r="Y329" s="142"/>
      <c r="Z329" s="143"/>
      <c r="AA329" s="136"/>
      <c r="AB329" s="136" t="s">
        <v>1566</v>
      </c>
      <c r="AC329" s="128" t="s">
        <v>1566</v>
      </c>
      <c r="AD329" s="135"/>
      <c r="AE329" s="127" t="s">
        <v>1566</v>
      </c>
      <c r="AF329" s="127"/>
      <c r="AG329" s="130"/>
      <c r="AH329" s="130" t="str">
        <f t="shared" si="118"/>
        <v xml:space="preserve"> </v>
      </c>
      <c r="AI329" s="130" t="str">
        <f t="shared" si="119"/>
        <v xml:space="preserve"> </v>
      </c>
      <c r="AJ329" s="144" t="str">
        <f t="shared" si="120"/>
        <v xml:space="preserve"> </v>
      </c>
      <c r="AK329" s="128" t="str">
        <f t="shared" si="121"/>
        <v xml:space="preserve"> </v>
      </c>
      <c r="AL329" s="128" t="str">
        <f t="shared" si="122"/>
        <v xml:space="preserve"> </v>
      </c>
      <c r="AM329" s="128">
        <f t="shared" si="123"/>
        <v>56</v>
      </c>
      <c r="AN329" s="130" t="str">
        <f t="shared" si="124"/>
        <v xml:space="preserve"> </v>
      </c>
      <c r="AO329" s="130"/>
      <c r="AP329" s="130"/>
    </row>
    <row r="330" spans="1:42">
      <c r="A330" s="131" t="s">
        <v>192</v>
      </c>
      <c r="B330" s="132">
        <v>8</v>
      </c>
      <c r="C330" s="118" t="s">
        <v>167</v>
      </c>
      <c r="D330" s="118">
        <v>2019</v>
      </c>
      <c r="E330" s="133">
        <v>1</v>
      </c>
      <c r="F330" s="133">
        <v>21</v>
      </c>
      <c r="G330" s="133">
        <v>78</v>
      </c>
      <c r="H330" s="134">
        <v>965</v>
      </c>
      <c r="I330" s="133">
        <f t="shared" si="813"/>
        <v>1065</v>
      </c>
      <c r="J330" s="135"/>
      <c r="K330" s="136">
        <f t="shared" ref="K330:N330" si="827">K326*5</f>
        <v>1635</v>
      </c>
      <c r="L330" s="136">
        <f t="shared" si="827"/>
        <v>660</v>
      </c>
      <c r="M330" s="137">
        <f t="shared" si="827"/>
        <v>2070</v>
      </c>
      <c r="N330" s="136">
        <f t="shared" si="827"/>
        <v>4360</v>
      </c>
      <c r="O330" s="135"/>
      <c r="P330" s="136">
        <f t="shared" si="815"/>
        <v>288</v>
      </c>
      <c r="Q330" s="136">
        <f t="shared" ref="Q330:S330" si="828">G330+Q329</f>
        <v>1210</v>
      </c>
      <c r="R330" s="137">
        <f t="shared" si="828"/>
        <v>4103</v>
      </c>
      <c r="S330" s="136">
        <f t="shared" si="828"/>
        <v>5601</v>
      </c>
      <c r="T330" s="139"/>
      <c r="U330" s="140">
        <f t="shared" ref="U330:X330" si="829">P330/K330</f>
        <v>0.1761467889908257</v>
      </c>
      <c r="V330" s="140">
        <f t="shared" si="829"/>
        <v>1.8333333333333333</v>
      </c>
      <c r="W330" s="141">
        <f t="shared" si="829"/>
        <v>1.9821256038647344</v>
      </c>
      <c r="X330" s="140">
        <f t="shared" si="829"/>
        <v>1.2846330275229358</v>
      </c>
      <c r="Y330" s="146" t="s">
        <v>192</v>
      </c>
      <c r="Z330" s="143"/>
      <c r="AA330" s="138">
        <v>6977</v>
      </c>
      <c r="AB330" s="136">
        <v>4360</v>
      </c>
      <c r="AC330" s="128">
        <v>5601</v>
      </c>
      <c r="AD330" s="135"/>
      <c r="AE330" s="127">
        <f>N326</f>
        <v>872</v>
      </c>
      <c r="AF330" s="127"/>
      <c r="AG330" s="130"/>
      <c r="AH330" s="130" t="str">
        <f t="shared" si="118"/>
        <v xml:space="preserve"> </v>
      </c>
      <c r="AI330" s="130" t="str">
        <f t="shared" si="119"/>
        <v xml:space="preserve"> </v>
      </c>
      <c r="AJ330" s="144" t="str">
        <f t="shared" si="120"/>
        <v xml:space="preserve"> </v>
      </c>
      <c r="AK330" s="128" t="str">
        <f t="shared" si="121"/>
        <v xml:space="preserve"> </v>
      </c>
      <c r="AL330" s="128" t="str">
        <f t="shared" si="122"/>
        <v xml:space="preserve"> </v>
      </c>
      <c r="AM330" s="128" t="str">
        <f t="shared" si="123"/>
        <v xml:space="preserve"> </v>
      </c>
      <c r="AN330" s="130">
        <f t="shared" si="124"/>
        <v>22</v>
      </c>
      <c r="AO330" s="130"/>
      <c r="AP330" s="130"/>
    </row>
    <row r="331" spans="1:42">
      <c r="A331" s="131"/>
      <c r="B331" s="132"/>
      <c r="C331" s="118"/>
      <c r="D331" s="118"/>
      <c r="E331" s="133"/>
      <c r="F331" s="133"/>
      <c r="G331" s="133"/>
      <c r="H331" s="134"/>
      <c r="I331" s="133"/>
      <c r="J331" s="135"/>
      <c r="K331" s="136"/>
      <c r="L331" s="136"/>
      <c r="M331" s="137"/>
      <c r="N331" s="136"/>
      <c r="O331" s="135"/>
      <c r="P331" s="136"/>
      <c r="Q331" s="136"/>
      <c r="R331" s="137"/>
      <c r="S331" s="136"/>
      <c r="T331" s="139"/>
      <c r="U331" s="140"/>
      <c r="V331" s="140"/>
      <c r="W331" s="141"/>
      <c r="X331" s="140"/>
      <c r="Y331" s="142"/>
      <c r="Z331" s="143"/>
      <c r="AA331" s="136"/>
      <c r="AB331" s="136" t="s">
        <v>1566</v>
      </c>
      <c r="AC331" s="128" t="s">
        <v>1566</v>
      </c>
      <c r="AD331" s="135"/>
      <c r="AE331" s="127" t="s">
        <v>1566</v>
      </c>
      <c r="AF331" s="127"/>
      <c r="AG331" s="130"/>
      <c r="AH331" s="130" t="str">
        <f t="shared" si="118"/>
        <v xml:space="preserve"> </v>
      </c>
      <c r="AI331" s="130" t="str">
        <f t="shared" si="119"/>
        <v xml:space="preserve"> </v>
      </c>
      <c r="AJ331" s="144" t="str">
        <f t="shared" si="120"/>
        <v xml:space="preserve"> </v>
      </c>
      <c r="AK331" s="128" t="str">
        <f t="shared" si="121"/>
        <v xml:space="preserve"> </v>
      </c>
      <c r="AL331" s="128" t="str">
        <f t="shared" si="122"/>
        <v xml:space="preserve"> </v>
      </c>
      <c r="AM331" s="128" t="str">
        <f t="shared" si="123"/>
        <v xml:space="preserve"> </v>
      </c>
      <c r="AN331" s="130" t="str">
        <f t="shared" si="124"/>
        <v xml:space="preserve"> </v>
      </c>
      <c r="AO331" s="130"/>
      <c r="AP331" s="130"/>
    </row>
    <row r="332" spans="1:42">
      <c r="A332" s="131" t="s">
        <v>193</v>
      </c>
      <c r="B332" s="132">
        <v>8</v>
      </c>
      <c r="C332" s="118" t="s">
        <v>167</v>
      </c>
      <c r="D332" s="118">
        <v>2014</v>
      </c>
      <c r="E332" s="133">
        <v>12</v>
      </c>
      <c r="F332" s="133">
        <v>97</v>
      </c>
      <c r="G332" s="133">
        <v>46</v>
      </c>
      <c r="H332" s="134">
        <v>229</v>
      </c>
      <c r="I332" s="133">
        <f t="shared" ref="I332:I337" si="830">E332+F332+G332+H332</f>
        <v>384</v>
      </c>
      <c r="J332" s="135"/>
      <c r="K332" s="136"/>
      <c r="L332" s="136"/>
      <c r="M332" s="137"/>
      <c r="N332" s="136"/>
      <c r="O332" s="135"/>
      <c r="P332" s="136">
        <f>E332+F332</f>
        <v>109</v>
      </c>
      <c r="Q332" s="136">
        <f t="shared" ref="Q332:S332" si="831">G332</f>
        <v>46</v>
      </c>
      <c r="R332" s="137">
        <f t="shared" si="831"/>
        <v>229</v>
      </c>
      <c r="S332" s="136">
        <f t="shared" si="831"/>
        <v>384</v>
      </c>
      <c r="T332" s="139"/>
      <c r="U332" s="140"/>
      <c r="V332" s="140"/>
      <c r="W332" s="141"/>
      <c r="X332" s="140"/>
      <c r="Y332" s="142"/>
      <c r="Z332" s="143"/>
      <c r="AA332" s="136"/>
      <c r="AB332" s="136"/>
      <c r="AC332" s="128"/>
      <c r="AD332" s="135"/>
      <c r="AE332" s="127"/>
      <c r="AF332" s="127"/>
      <c r="AG332" s="130"/>
      <c r="AH332" s="130" t="str">
        <f t="shared" si="118"/>
        <v xml:space="preserve"> </v>
      </c>
      <c r="AI332" s="130">
        <f t="shared" si="119"/>
        <v>109</v>
      </c>
      <c r="AJ332" s="144" t="str">
        <f t="shared" si="120"/>
        <v xml:space="preserve"> </v>
      </c>
      <c r="AK332" s="128" t="str">
        <f t="shared" si="121"/>
        <v xml:space="preserve"> </v>
      </c>
      <c r="AL332" s="128" t="str">
        <f t="shared" si="122"/>
        <v xml:space="preserve"> </v>
      </c>
      <c r="AM332" s="128" t="str">
        <f t="shared" si="123"/>
        <v xml:space="preserve"> </v>
      </c>
      <c r="AN332" s="130" t="str">
        <f t="shared" si="124"/>
        <v xml:space="preserve"> </v>
      </c>
      <c r="AO332" s="130"/>
      <c r="AP332" s="130"/>
    </row>
    <row r="333" spans="1:42">
      <c r="A333" s="131" t="s">
        <v>193</v>
      </c>
      <c r="B333" s="132">
        <v>8</v>
      </c>
      <c r="C333" s="118" t="s">
        <v>167</v>
      </c>
      <c r="D333" s="118">
        <v>2015</v>
      </c>
      <c r="E333" s="133">
        <v>50</v>
      </c>
      <c r="F333" s="133">
        <v>80</v>
      </c>
      <c r="G333" s="133">
        <v>73</v>
      </c>
      <c r="H333" s="134">
        <v>760</v>
      </c>
      <c r="I333" s="133">
        <f t="shared" si="830"/>
        <v>963</v>
      </c>
      <c r="J333" s="135"/>
      <c r="K333" s="136">
        <v>364</v>
      </c>
      <c r="L333" s="136">
        <f>ROUND('HCD Assigned 5th Cycle RHNA'!F356/B333,0)</f>
        <v>169</v>
      </c>
      <c r="M333" s="137">
        <v>522</v>
      </c>
      <c r="N333" s="136">
        <v>1056</v>
      </c>
      <c r="O333" s="135"/>
      <c r="P333" s="136">
        <f t="shared" ref="P333:P337" si="832">E333+F333+P332</f>
        <v>239</v>
      </c>
      <c r="Q333" s="136">
        <f t="shared" ref="Q333:S333" si="833">G333+Q332</f>
        <v>119</v>
      </c>
      <c r="R333" s="137">
        <f t="shared" si="833"/>
        <v>989</v>
      </c>
      <c r="S333" s="136">
        <f t="shared" si="833"/>
        <v>1347</v>
      </c>
      <c r="T333" s="139"/>
      <c r="U333" s="140">
        <f t="shared" ref="U333:X333" si="834">P333/K333</f>
        <v>0.65659340659340659</v>
      </c>
      <c r="V333" s="140">
        <f t="shared" si="834"/>
        <v>0.70414201183431957</v>
      </c>
      <c r="W333" s="141">
        <f t="shared" si="834"/>
        <v>1.8946360153256705</v>
      </c>
      <c r="X333" s="140">
        <f t="shared" si="834"/>
        <v>1.2755681818181819</v>
      </c>
      <c r="Y333" s="142"/>
      <c r="Z333" s="143"/>
      <c r="AA333" s="136"/>
      <c r="AB333" s="136" t="s">
        <v>1566</v>
      </c>
      <c r="AC333" s="128" t="s">
        <v>1566</v>
      </c>
      <c r="AD333" s="135"/>
      <c r="AE333" s="127"/>
      <c r="AF333" s="127"/>
      <c r="AG333" s="130"/>
      <c r="AH333" s="130" t="str">
        <f t="shared" si="118"/>
        <v xml:space="preserve"> </v>
      </c>
      <c r="AI333" s="130" t="str">
        <f t="shared" si="119"/>
        <v xml:space="preserve"> </v>
      </c>
      <c r="AJ333" s="130">
        <f t="shared" si="120"/>
        <v>130</v>
      </c>
      <c r="AK333" s="128" t="str">
        <f t="shared" si="121"/>
        <v xml:space="preserve"> </v>
      </c>
      <c r="AL333" s="128" t="str">
        <f t="shared" si="122"/>
        <v xml:space="preserve"> </v>
      </c>
      <c r="AM333" s="128" t="str">
        <f t="shared" si="123"/>
        <v xml:space="preserve"> </v>
      </c>
      <c r="AN333" s="130" t="str">
        <f t="shared" si="124"/>
        <v xml:space="preserve"> </v>
      </c>
      <c r="AO333" s="130"/>
      <c r="AP333" s="130"/>
    </row>
    <row r="334" spans="1:42">
      <c r="A334" s="131" t="s">
        <v>193</v>
      </c>
      <c r="B334" s="132">
        <v>8</v>
      </c>
      <c r="C334" s="118" t="s">
        <v>167</v>
      </c>
      <c r="D334" s="118">
        <v>2016</v>
      </c>
      <c r="E334" s="133">
        <v>119</v>
      </c>
      <c r="F334" s="133">
        <v>27</v>
      </c>
      <c r="G334" s="133">
        <v>92</v>
      </c>
      <c r="H334" s="134">
        <v>836</v>
      </c>
      <c r="I334" s="133">
        <f t="shared" si="830"/>
        <v>1074</v>
      </c>
      <c r="J334" s="135"/>
      <c r="K334" s="136">
        <f t="shared" ref="K334:N334" si="835">K333*2</f>
        <v>728</v>
      </c>
      <c r="L334" s="136">
        <f t="shared" si="835"/>
        <v>338</v>
      </c>
      <c r="M334" s="137">
        <f t="shared" si="835"/>
        <v>1044</v>
      </c>
      <c r="N334" s="136">
        <f t="shared" si="835"/>
        <v>2112</v>
      </c>
      <c r="O334" s="135"/>
      <c r="P334" s="136">
        <f t="shared" si="832"/>
        <v>385</v>
      </c>
      <c r="Q334" s="136">
        <f t="shared" ref="Q334:S334" si="836">G334+Q333</f>
        <v>211</v>
      </c>
      <c r="R334" s="137">
        <f t="shared" si="836"/>
        <v>1825</v>
      </c>
      <c r="S334" s="136">
        <f t="shared" si="836"/>
        <v>2421</v>
      </c>
      <c r="T334" s="139"/>
      <c r="U334" s="140">
        <f t="shared" ref="U334:X334" si="837">P334/K334</f>
        <v>0.52884615384615385</v>
      </c>
      <c r="V334" s="140">
        <f t="shared" si="837"/>
        <v>0.62426035502958577</v>
      </c>
      <c r="W334" s="141">
        <f t="shared" si="837"/>
        <v>1.7480842911877394</v>
      </c>
      <c r="X334" s="140">
        <f t="shared" si="837"/>
        <v>1.1463068181818181</v>
      </c>
      <c r="Y334" s="142"/>
      <c r="Z334" s="143"/>
      <c r="AA334" s="136"/>
      <c r="AB334" s="136" t="s">
        <v>1566</v>
      </c>
      <c r="AC334" s="128" t="s">
        <v>1566</v>
      </c>
      <c r="AD334" s="135"/>
      <c r="AE334" s="127" t="s">
        <v>1566</v>
      </c>
      <c r="AF334" s="127"/>
      <c r="AG334" s="130"/>
      <c r="AH334" s="130" t="str">
        <f t="shared" si="118"/>
        <v xml:space="preserve"> </v>
      </c>
      <c r="AI334" s="130" t="str">
        <f t="shared" si="119"/>
        <v xml:space="preserve"> </v>
      </c>
      <c r="AJ334" s="144" t="str">
        <f t="shared" si="120"/>
        <v xml:space="preserve"> </v>
      </c>
      <c r="AK334" s="128">
        <f t="shared" si="121"/>
        <v>146</v>
      </c>
      <c r="AL334" s="128" t="str">
        <f t="shared" si="122"/>
        <v xml:space="preserve"> </v>
      </c>
      <c r="AM334" s="128" t="str">
        <f t="shared" si="123"/>
        <v xml:space="preserve"> </v>
      </c>
      <c r="AN334" s="130" t="str">
        <f t="shared" si="124"/>
        <v xml:space="preserve"> </v>
      </c>
      <c r="AO334" s="130"/>
      <c r="AP334" s="130"/>
    </row>
    <row r="335" spans="1:42">
      <c r="A335" s="131" t="s">
        <v>193</v>
      </c>
      <c r="B335" s="132">
        <v>8</v>
      </c>
      <c r="C335" s="118" t="s">
        <v>167</v>
      </c>
      <c r="D335" s="118">
        <v>2017</v>
      </c>
      <c r="E335" s="133">
        <v>80</v>
      </c>
      <c r="F335" s="133">
        <v>78</v>
      </c>
      <c r="G335" s="133">
        <v>144</v>
      </c>
      <c r="H335" s="134">
        <v>819</v>
      </c>
      <c r="I335" s="133">
        <f t="shared" si="830"/>
        <v>1121</v>
      </c>
      <c r="J335" s="135"/>
      <c r="K335" s="136">
        <f t="shared" ref="K335:N335" si="838">K333*3</f>
        <v>1092</v>
      </c>
      <c r="L335" s="136">
        <f t="shared" si="838"/>
        <v>507</v>
      </c>
      <c r="M335" s="137">
        <f t="shared" si="838"/>
        <v>1566</v>
      </c>
      <c r="N335" s="136">
        <f t="shared" si="838"/>
        <v>3168</v>
      </c>
      <c r="O335" s="135"/>
      <c r="P335" s="136">
        <f t="shared" si="832"/>
        <v>543</v>
      </c>
      <c r="Q335" s="136">
        <f t="shared" ref="Q335:S335" si="839">G335+Q334</f>
        <v>355</v>
      </c>
      <c r="R335" s="137">
        <f t="shared" si="839"/>
        <v>2644</v>
      </c>
      <c r="S335" s="136">
        <f t="shared" si="839"/>
        <v>3542</v>
      </c>
      <c r="T335" s="139"/>
      <c r="U335" s="140">
        <f t="shared" ref="U335:X335" si="840">P335/K335</f>
        <v>0.49725274725274726</v>
      </c>
      <c r="V335" s="140">
        <f t="shared" si="840"/>
        <v>0.70019723865877714</v>
      </c>
      <c r="W335" s="141">
        <f t="shared" si="840"/>
        <v>1.6883780332056195</v>
      </c>
      <c r="X335" s="140">
        <f t="shared" si="840"/>
        <v>1.1180555555555556</v>
      </c>
      <c r="Y335" s="142"/>
      <c r="Z335" s="143"/>
      <c r="AA335" s="136"/>
      <c r="AB335" s="136" t="s">
        <v>1566</v>
      </c>
      <c r="AC335" s="128" t="s">
        <v>1566</v>
      </c>
      <c r="AD335" s="135"/>
      <c r="AE335" s="127" t="s">
        <v>1566</v>
      </c>
      <c r="AF335" s="127"/>
      <c r="AG335" s="130"/>
      <c r="AH335" s="130" t="str">
        <f t="shared" si="118"/>
        <v xml:space="preserve"> </v>
      </c>
      <c r="AI335" s="130" t="str">
        <f t="shared" si="119"/>
        <v xml:space="preserve"> </v>
      </c>
      <c r="AJ335" s="144" t="str">
        <f t="shared" si="120"/>
        <v xml:space="preserve"> </v>
      </c>
      <c r="AK335" s="128" t="str">
        <f t="shared" si="121"/>
        <v xml:space="preserve"> </v>
      </c>
      <c r="AL335" s="128">
        <f t="shared" si="122"/>
        <v>158</v>
      </c>
      <c r="AM335" s="128" t="str">
        <f t="shared" si="123"/>
        <v xml:space="preserve"> </v>
      </c>
      <c r="AN335" s="130" t="str">
        <f t="shared" si="124"/>
        <v xml:space="preserve"> </v>
      </c>
      <c r="AO335" s="130"/>
      <c r="AP335" s="130"/>
    </row>
    <row r="336" spans="1:42">
      <c r="A336" s="131" t="s">
        <v>193</v>
      </c>
      <c r="B336" s="132">
        <v>8</v>
      </c>
      <c r="C336" s="118" t="s">
        <v>167</v>
      </c>
      <c r="D336" s="118">
        <v>2018</v>
      </c>
      <c r="E336" s="133">
        <v>124</v>
      </c>
      <c r="F336" s="133">
        <v>210</v>
      </c>
      <c r="G336" s="133">
        <v>134</v>
      </c>
      <c r="H336" s="134">
        <v>637</v>
      </c>
      <c r="I336" s="133">
        <f t="shared" si="830"/>
        <v>1105</v>
      </c>
      <c r="J336" s="135"/>
      <c r="K336" s="136">
        <f t="shared" ref="K336:N336" si="841">K333*4</f>
        <v>1456</v>
      </c>
      <c r="L336" s="136">
        <f t="shared" si="841"/>
        <v>676</v>
      </c>
      <c r="M336" s="137">
        <f t="shared" si="841"/>
        <v>2088</v>
      </c>
      <c r="N336" s="136">
        <f t="shared" si="841"/>
        <v>4224</v>
      </c>
      <c r="O336" s="135"/>
      <c r="P336" s="136">
        <f t="shared" si="832"/>
        <v>877</v>
      </c>
      <c r="Q336" s="136">
        <f t="shared" ref="Q336:S336" si="842">G336+Q335</f>
        <v>489</v>
      </c>
      <c r="R336" s="137">
        <f t="shared" si="842"/>
        <v>3281</v>
      </c>
      <c r="S336" s="136">
        <f t="shared" si="842"/>
        <v>4647</v>
      </c>
      <c r="T336" s="139"/>
      <c r="U336" s="140">
        <f t="shared" ref="U336:X336" si="843">P336/K336</f>
        <v>0.6023351648351648</v>
      </c>
      <c r="V336" s="140">
        <f t="shared" si="843"/>
        <v>0.72337278106508873</v>
      </c>
      <c r="W336" s="141">
        <f t="shared" si="843"/>
        <v>1.571360153256705</v>
      </c>
      <c r="X336" s="140">
        <f t="shared" si="843"/>
        <v>1.1001420454545454</v>
      </c>
      <c r="Y336" s="142"/>
      <c r="Z336" s="143"/>
      <c r="AA336" s="136"/>
      <c r="AB336" s="136" t="s">
        <v>1566</v>
      </c>
      <c r="AC336" s="128" t="s">
        <v>1566</v>
      </c>
      <c r="AD336" s="135"/>
      <c r="AE336" s="127" t="s">
        <v>1566</v>
      </c>
      <c r="AF336" s="127"/>
      <c r="AG336" s="130"/>
      <c r="AH336" s="130" t="str">
        <f t="shared" si="118"/>
        <v xml:space="preserve"> </v>
      </c>
      <c r="AI336" s="130" t="str">
        <f t="shared" si="119"/>
        <v xml:space="preserve"> </v>
      </c>
      <c r="AJ336" s="144" t="str">
        <f t="shared" si="120"/>
        <v xml:space="preserve"> </v>
      </c>
      <c r="AK336" s="128" t="str">
        <f t="shared" si="121"/>
        <v xml:space="preserve"> </v>
      </c>
      <c r="AL336" s="128" t="str">
        <f t="shared" si="122"/>
        <v xml:space="preserve"> </v>
      </c>
      <c r="AM336" s="128">
        <f t="shared" si="123"/>
        <v>334</v>
      </c>
      <c r="AN336" s="130" t="str">
        <f t="shared" si="124"/>
        <v xml:space="preserve"> </v>
      </c>
      <c r="AO336" s="130"/>
      <c r="AP336" s="130"/>
    </row>
    <row r="337" spans="1:42">
      <c r="A337" s="131" t="s">
        <v>193</v>
      </c>
      <c r="B337" s="132">
        <v>8</v>
      </c>
      <c r="C337" s="118" t="s">
        <v>194</v>
      </c>
      <c r="D337" s="118">
        <v>2019</v>
      </c>
      <c r="E337" s="133">
        <v>49</v>
      </c>
      <c r="F337" s="133">
        <v>117</v>
      </c>
      <c r="G337" s="133">
        <v>196</v>
      </c>
      <c r="H337" s="134">
        <v>1312</v>
      </c>
      <c r="I337" s="133">
        <f t="shared" si="830"/>
        <v>1674</v>
      </c>
      <c r="J337" s="135"/>
      <c r="K337" s="136">
        <f t="shared" ref="K337:N337" si="844">K333*5</f>
        <v>1820</v>
      </c>
      <c r="L337" s="136">
        <f t="shared" si="844"/>
        <v>845</v>
      </c>
      <c r="M337" s="137">
        <f t="shared" si="844"/>
        <v>2610</v>
      </c>
      <c r="N337" s="136">
        <f t="shared" si="844"/>
        <v>5280</v>
      </c>
      <c r="O337" s="135"/>
      <c r="P337" s="136">
        <f t="shared" si="832"/>
        <v>1043</v>
      </c>
      <c r="Q337" s="136">
        <f t="shared" ref="Q337:S337" si="845">G337+Q336</f>
        <v>685</v>
      </c>
      <c r="R337" s="137">
        <f t="shared" si="845"/>
        <v>4593</v>
      </c>
      <c r="S337" s="136">
        <f t="shared" si="845"/>
        <v>6321</v>
      </c>
      <c r="T337" s="139"/>
      <c r="U337" s="140">
        <f t="shared" ref="U337:X337" si="846">P337/K337</f>
        <v>0.57307692307692304</v>
      </c>
      <c r="V337" s="140">
        <f t="shared" si="846"/>
        <v>0.81065088757396453</v>
      </c>
      <c r="W337" s="141">
        <f t="shared" si="846"/>
        <v>1.7597701149425287</v>
      </c>
      <c r="X337" s="140">
        <f t="shared" si="846"/>
        <v>1.197159090909091</v>
      </c>
      <c r="Y337" s="146" t="s">
        <v>193</v>
      </c>
      <c r="Z337" s="143"/>
      <c r="AA337" s="138">
        <v>8444</v>
      </c>
      <c r="AB337" s="136">
        <v>5280</v>
      </c>
      <c r="AC337" s="128">
        <v>6321</v>
      </c>
      <c r="AD337" s="135"/>
      <c r="AE337" s="127">
        <f>N333</f>
        <v>1056</v>
      </c>
      <c r="AF337" s="127"/>
      <c r="AG337" s="130"/>
      <c r="AH337" s="130" t="str">
        <f t="shared" si="118"/>
        <v xml:space="preserve"> </v>
      </c>
      <c r="AI337" s="130" t="str">
        <f t="shared" si="119"/>
        <v xml:space="preserve"> </v>
      </c>
      <c r="AJ337" s="144" t="str">
        <f t="shared" si="120"/>
        <v xml:space="preserve"> </v>
      </c>
      <c r="AK337" s="128" t="str">
        <f t="shared" si="121"/>
        <v xml:space="preserve"> </v>
      </c>
      <c r="AL337" s="128" t="str">
        <f t="shared" si="122"/>
        <v xml:space="preserve"> </v>
      </c>
      <c r="AM337" s="128" t="str">
        <f t="shared" si="123"/>
        <v xml:space="preserve"> </v>
      </c>
      <c r="AN337" s="130">
        <f t="shared" si="124"/>
        <v>166</v>
      </c>
      <c r="AO337" s="130"/>
      <c r="AP337" s="130"/>
    </row>
    <row r="338" spans="1:42">
      <c r="A338" s="131"/>
      <c r="B338" s="132"/>
      <c r="C338" s="118"/>
      <c r="D338" s="118"/>
      <c r="E338" s="133"/>
      <c r="F338" s="133"/>
      <c r="G338" s="133"/>
      <c r="H338" s="134"/>
      <c r="I338" s="133"/>
      <c r="J338" s="135"/>
      <c r="K338" s="136"/>
      <c r="L338" s="136"/>
      <c r="M338" s="137"/>
      <c r="N338" s="136"/>
      <c r="O338" s="135"/>
      <c r="P338" s="136"/>
      <c r="Q338" s="136"/>
      <c r="R338" s="137"/>
      <c r="S338" s="136"/>
      <c r="T338" s="139"/>
      <c r="U338" s="140"/>
      <c r="V338" s="140"/>
      <c r="W338" s="141"/>
      <c r="X338" s="140"/>
      <c r="Y338" s="142"/>
      <c r="Z338" s="143"/>
      <c r="AA338" s="136"/>
      <c r="AB338" s="136" t="s">
        <v>1566</v>
      </c>
      <c r="AC338" s="128" t="s">
        <v>1566</v>
      </c>
      <c r="AD338" s="135"/>
      <c r="AE338" s="127" t="s">
        <v>1566</v>
      </c>
      <c r="AF338" s="127"/>
      <c r="AG338" s="130"/>
      <c r="AH338" s="130" t="str">
        <f t="shared" si="118"/>
        <v xml:space="preserve"> </v>
      </c>
      <c r="AI338" s="130" t="str">
        <f t="shared" si="119"/>
        <v xml:space="preserve"> </v>
      </c>
      <c r="AJ338" s="144" t="str">
        <f t="shared" si="120"/>
        <v xml:space="preserve"> </v>
      </c>
      <c r="AK338" s="128" t="str">
        <f t="shared" si="121"/>
        <v xml:space="preserve"> </v>
      </c>
      <c r="AL338" s="128" t="str">
        <f t="shared" si="122"/>
        <v xml:space="preserve"> </v>
      </c>
      <c r="AM338" s="128" t="str">
        <f t="shared" si="123"/>
        <v xml:space="preserve"> </v>
      </c>
      <c r="AN338" s="130" t="str">
        <f t="shared" si="124"/>
        <v xml:space="preserve"> </v>
      </c>
      <c r="AO338" s="130"/>
      <c r="AP338" s="130"/>
    </row>
    <row r="339" spans="1:42">
      <c r="A339" s="131" t="s">
        <v>195</v>
      </c>
      <c r="B339" s="132">
        <v>8</v>
      </c>
      <c r="C339" s="118" t="s">
        <v>142</v>
      </c>
      <c r="D339" s="118">
        <v>2015</v>
      </c>
      <c r="E339" s="133">
        <v>1</v>
      </c>
      <c r="F339" s="133">
        <v>3</v>
      </c>
      <c r="G339" s="133">
        <v>71</v>
      </c>
      <c r="H339" s="134">
        <v>193</v>
      </c>
      <c r="I339" s="133">
        <f>E339+F339+G339+H339</f>
        <v>268</v>
      </c>
      <c r="J339" s="135"/>
      <c r="K339" s="136"/>
      <c r="L339" s="136"/>
      <c r="M339" s="137"/>
      <c r="N339" s="136"/>
      <c r="O339" s="135"/>
      <c r="P339" s="138">
        <f>E339+F339</f>
        <v>4</v>
      </c>
      <c r="Q339" s="136">
        <f t="shared" ref="Q339:S339" si="847">G339</f>
        <v>71</v>
      </c>
      <c r="R339" s="137">
        <f t="shared" si="847"/>
        <v>193</v>
      </c>
      <c r="S339" s="136">
        <f t="shared" si="847"/>
        <v>268</v>
      </c>
      <c r="T339" s="139"/>
      <c r="U339" s="140"/>
      <c r="V339" s="140"/>
      <c r="W339" s="141"/>
      <c r="X339" s="140"/>
      <c r="Y339" s="142"/>
      <c r="Z339" s="143"/>
      <c r="AA339" s="136"/>
      <c r="AB339" s="136" t="s">
        <v>1566</v>
      </c>
      <c r="AC339" s="128" t="s">
        <v>1566</v>
      </c>
      <c r="AD339" s="135"/>
      <c r="AE339" s="127"/>
      <c r="AF339" s="127"/>
      <c r="AG339" s="130"/>
      <c r="AH339" s="130" t="str">
        <f t="shared" si="118"/>
        <v xml:space="preserve"> </v>
      </c>
      <c r="AI339" s="130" t="str">
        <f t="shared" si="119"/>
        <v xml:space="preserve"> </v>
      </c>
      <c r="AJ339" s="130">
        <f t="shared" si="120"/>
        <v>4</v>
      </c>
      <c r="AK339" s="128" t="str">
        <f t="shared" si="121"/>
        <v xml:space="preserve"> </v>
      </c>
      <c r="AL339" s="128" t="str">
        <f t="shared" si="122"/>
        <v xml:space="preserve"> </v>
      </c>
      <c r="AM339" s="128" t="str">
        <f t="shared" si="123"/>
        <v xml:space="preserve"> </v>
      </c>
      <c r="AN339" s="130" t="str">
        <f t="shared" si="124"/>
        <v xml:space="preserve"> </v>
      </c>
      <c r="AO339" s="130"/>
      <c r="AP339" s="130"/>
    </row>
    <row r="340" spans="1:42">
      <c r="A340" s="131" t="s">
        <v>195</v>
      </c>
      <c r="B340" s="132">
        <v>8</v>
      </c>
      <c r="C340" s="118" t="s">
        <v>142</v>
      </c>
      <c r="D340" s="118">
        <v>2016</v>
      </c>
      <c r="E340" s="133">
        <v>34</v>
      </c>
      <c r="F340" s="133">
        <v>218</v>
      </c>
      <c r="G340" s="133">
        <v>610</v>
      </c>
      <c r="H340" s="134">
        <v>400</v>
      </c>
      <c r="I340" s="133">
        <v>1262</v>
      </c>
      <c r="J340" s="135"/>
      <c r="K340" s="136">
        <f>ROUND((5225+3350)/8,0)</f>
        <v>1072</v>
      </c>
      <c r="L340" s="136">
        <f>ROUND('HCD Assigned 5th Cycle RHNA'!F534/B340,0)</f>
        <v>459</v>
      </c>
      <c r="M340" s="137">
        <f>ROUND(9085/8,0)</f>
        <v>1136</v>
      </c>
      <c r="N340" s="136">
        <v>2666</v>
      </c>
      <c r="O340" s="135"/>
      <c r="P340" s="136">
        <f t="shared" ref="P340:P343" si="848">E340+F340+P339</f>
        <v>256</v>
      </c>
      <c r="Q340" s="136">
        <f t="shared" ref="Q340:S340" si="849">G340+Q339</f>
        <v>681</v>
      </c>
      <c r="R340" s="137">
        <f t="shared" si="849"/>
        <v>593</v>
      </c>
      <c r="S340" s="136">
        <f t="shared" si="849"/>
        <v>1530</v>
      </c>
      <c r="T340" s="139"/>
      <c r="U340" s="140">
        <f t="shared" ref="U340:X340" si="850">P340/K340</f>
        <v>0.23880597014925373</v>
      </c>
      <c r="V340" s="140">
        <f t="shared" si="850"/>
        <v>1.4836601307189543</v>
      </c>
      <c r="W340" s="141">
        <f t="shared" si="850"/>
        <v>0.52200704225352113</v>
      </c>
      <c r="X340" s="140">
        <f t="shared" si="850"/>
        <v>0.57389347336834207</v>
      </c>
      <c r="Y340" s="142"/>
      <c r="Z340" s="143"/>
      <c r="AA340" s="136"/>
      <c r="AB340" s="136" t="s">
        <v>1566</v>
      </c>
      <c r="AC340" s="128" t="s">
        <v>1566</v>
      </c>
      <c r="AD340" s="135"/>
      <c r="AE340" s="127"/>
      <c r="AF340" s="127"/>
      <c r="AG340" s="130"/>
      <c r="AH340" s="130" t="str">
        <f t="shared" si="118"/>
        <v xml:space="preserve"> </v>
      </c>
      <c r="AI340" s="130" t="str">
        <f t="shared" si="119"/>
        <v xml:space="preserve"> </v>
      </c>
      <c r="AJ340" s="144" t="str">
        <f t="shared" si="120"/>
        <v xml:space="preserve"> </v>
      </c>
      <c r="AK340" s="128">
        <f t="shared" si="121"/>
        <v>252</v>
      </c>
      <c r="AL340" s="128" t="str">
        <f t="shared" si="122"/>
        <v xml:space="preserve"> </v>
      </c>
      <c r="AM340" s="128" t="str">
        <f t="shared" si="123"/>
        <v xml:space="preserve"> </v>
      </c>
      <c r="AN340" s="130" t="str">
        <f t="shared" si="124"/>
        <v xml:space="preserve"> </v>
      </c>
      <c r="AO340" s="130"/>
      <c r="AP340" s="130"/>
    </row>
    <row r="341" spans="1:42">
      <c r="A341" s="131" t="s">
        <v>195</v>
      </c>
      <c r="B341" s="132">
        <v>8</v>
      </c>
      <c r="C341" s="118" t="s">
        <v>142</v>
      </c>
      <c r="D341" s="118">
        <v>2017</v>
      </c>
      <c r="E341" s="133">
        <v>0</v>
      </c>
      <c r="F341" s="133">
        <v>0</v>
      </c>
      <c r="G341" s="133">
        <v>98</v>
      </c>
      <c r="H341" s="134">
        <v>338</v>
      </c>
      <c r="I341" s="133">
        <v>436</v>
      </c>
      <c r="J341" s="135"/>
      <c r="K341" s="136">
        <f t="shared" ref="K341:N341" si="851">K340*2</f>
        <v>2144</v>
      </c>
      <c r="L341" s="136">
        <f t="shared" si="851"/>
        <v>918</v>
      </c>
      <c r="M341" s="137">
        <f t="shared" si="851"/>
        <v>2272</v>
      </c>
      <c r="N341" s="136">
        <f t="shared" si="851"/>
        <v>5332</v>
      </c>
      <c r="O341" s="135"/>
      <c r="P341" s="136">
        <f t="shared" si="848"/>
        <v>256</v>
      </c>
      <c r="Q341" s="136">
        <f t="shared" ref="Q341:S341" si="852">G341+Q340</f>
        <v>779</v>
      </c>
      <c r="R341" s="137">
        <f t="shared" si="852"/>
        <v>931</v>
      </c>
      <c r="S341" s="136">
        <f t="shared" si="852"/>
        <v>1966</v>
      </c>
      <c r="T341" s="139"/>
      <c r="U341" s="140">
        <f t="shared" ref="U341:X341" si="853">P341/K341</f>
        <v>0.11940298507462686</v>
      </c>
      <c r="V341" s="140">
        <f t="shared" si="853"/>
        <v>0.84858387799564272</v>
      </c>
      <c r="W341" s="141">
        <f t="shared" si="853"/>
        <v>0.40977112676056338</v>
      </c>
      <c r="X341" s="140">
        <f t="shared" si="853"/>
        <v>0.36871717929482373</v>
      </c>
      <c r="Y341" s="142"/>
      <c r="Z341" s="143"/>
      <c r="AA341" s="136"/>
      <c r="AB341" s="136" t="s">
        <v>1566</v>
      </c>
      <c r="AC341" s="128" t="s">
        <v>1566</v>
      </c>
      <c r="AD341" s="135"/>
      <c r="AE341" s="127" t="s">
        <v>1566</v>
      </c>
      <c r="AF341" s="127"/>
      <c r="AG341" s="130"/>
      <c r="AH341" s="130" t="str">
        <f t="shared" si="118"/>
        <v xml:space="preserve"> </v>
      </c>
      <c r="AI341" s="130" t="str">
        <f t="shared" si="119"/>
        <v xml:space="preserve"> </v>
      </c>
      <c r="AJ341" s="144" t="str">
        <f t="shared" si="120"/>
        <v xml:space="preserve"> </v>
      </c>
      <c r="AK341" s="128" t="str">
        <f t="shared" si="121"/>
        <v xml:space="preserve"> </v>
      </c>
      <c r="AL341" s="128">
        <f t="shared" si="122"/>
        <v>0</v>
      </c>
      <c r="AM341" s="128" t="str">
        <f t="shared" si="123"/>
        <v xml:space="preserve"> </v>
      </c>
      <c r="AN341" s="130" t="str">
        <f t="shared" si="124"/>
        <v xml:space="preserve"> </v>
      </c>
      <c r="AO341" s="130"/>
      <c r="AP341" s="130"/>
    </row>
    <row r="342" spans="1:42">
      <c r="A342" s="131" t="s">
        <v>195</v>
      </c>
      <c r="B342" s="132">
        <v>8</v>
      </c>
      <c r="C342" s="118" t="s">
        <v>142</v>
      </c>
      <c r="D342" s="118">
        <v>2018</v>
      </c>
      <c r="E342" s="133">
        <v>0</v>
      </c>
      <c r="F342" s="133">
        <v>13</v>
      </c>
      <c r="G342" s="133">
        <v>91</v>
      </c>
      <c r="H342" s="134">
        <v>401</v>
      </c>
      <c r="I342" s="133">
        <v>505</v>
      </c>
      <c r="J342" s="135"/>
      <c r="K342" s="136">
        <f t="shared" ref="K342:N342" si="854">K340*3</f>
        <v>3216</v>
      </c>
      <c r="L342" s="136">
        <f t="shared" si="854"/>
        <v>1377</v>
      </c>
      <c r="M342" s="137">
        <f t="shared" si="854"/>
        <v>3408</v>
      </c>
      <c r="N342" s="136">
        <f t="shared" si="854"/>
        <v>7998</v>
      </c>
      <c r="O342" s="135"/>
      <c r="P342" s="136">
        <f t="shared" si="848"/>
        <v>269</v>
      </c>
      <c r="Q342" s="136">
        <f t="shared" ref="Q342:S342" si="855">G342+Q341</f>
        <v>870</v>
      </c>
      <c r="R342" s="137">
        <f t="shared" si="855"/>
        <v>1332</v>
      </c>
      <c r="S342" s="136">
        <f t="shared" si="855"/>
        <v>2471</v>
      </c>
      <c r="T342" s="139"/>
      <c r="U342" s="140">
        <f t="shared" ref="U342:X342" si="856">P342/K342</f>
        <v>8.3644278606965175E-2</v>
      </c>
      <c r="V342" s="140">
        <f t="shared" si="856"/>
        <v>0.63180827886710245</v>
      </c>
      <c r="W342" s="141">
        <f t="shared" si="856"/>
        <v>0.39084507042253519</v>
      </c>
      <c r="X342" s="140">
        <f t="shared" si="856"/>
        <v>0.30895223805951488</v>
      </c>
      <c r="Y342" s="142"/>
      <c r="Z342" s="143"/>
      <c r="AA342" s="136"/>
      <c r="AB342" s="136" t="s">
        <v>1566</v>
      </c>
      <c r="AC342" s="128" t="s">
        <v>1566</v>
      </c>
      <c r="AD342" s="135"/>
      <c r="AE342" s="127" t="s">
        <v>1566</v>
      </c>
      <c r="AF342" s="127"/>
      <c r="AG342" s="130"/>
      <c r="AH342" s="130" t="str">
        <f t="shared" si="118"/>
        <v xml:space="preserve"> </v>
      </c>
      <c r="AI342" s="130" t="str">
        <f t="shared" si="119"/>
        <v xml:space="preserve"> </v>
      </c>
      <c r="AJ342" s="144" t="str">
        <f t="shared" si="120"/>
        <v xml:space="preserve"> </v>
      </c>
      <c r="AK342" s="128" t="str">
        <f t="shared" si="121"/>
        <v xml:space="preserve"> </v>
      </c>
      <c r="AL342" s="128" t="str">
        <f t="shared" si="122"/>
        <v xml:space="preserve"> </v>
      </c>
      <c r="AM342" s="128">
        <f t="shared" si="123"/>
        <v>13</v>
      </c>
      <c r="AN342" s="130" t="str">
        <f t="shared" si="124"/>
        <v xml:space="preserve"> </v>
      </c>
      <c r="AO342" s="130"/>
      <c r="AP342" s="130"/>
    </row>
    <row r="343" spans="1:42">
      <c r="A343" s="131" t="s">
        <v>195</v>
      </c>
      <c r="B343" s="132">
        <v>8</v>
      </c>
      <c r="C343" s="118" t="s">
        <v>142</v>
      </c>
      <c r="D343" s="118">
        <v>2019</v>
      </c>
      <c r="E343" s="133">
        <v>30</v>
      </c>
      <c r="F343" s="133">
        <v>175</v>
      </c>
      <c r="G343" s="133">
        <v>142</v>
      </c>
      <c r="H343" s="134">
        <v>458</v>
      </c>
      <c r="I343" s="133">
        <f>E343+F343+G343+H343</f>
        <v>805</v>
      </c>
      <c r="J343" s="135"/>
      <c r="K343" s="136">
        <f t="shared" ref="K343:N343" si="857">K340*4</f>
        <v>4288</v>
      </c>
      <c r="L343" s="136">
        <f t="shared" si="857"/>
        <v>1836</v>
      </c>
      <c r="M343" s="137">
        <f t="shared" si="857"/>
        <v>4544</v>
      </c>
      <c r="N343" s="136">
        <f t="shared" si="857"/>
        <v>10664</v>
      </c>
      <c r="O343" s="135"/>
      <c r="P343" s="136">
        <f t="shared" si="848"/>
        <v>474</v>
      </c>
      <c r="Q343" s="136">
        <f t="shared" ref="Q343:S343" si="858">G343+Q342</f>
        <v>1012</v>
      </c>
      <c r="R343" s="137">
        <f t="shared" si="858"/>
        <v>1790</v>
      </c>
      <c r="S343" s="136">
        <f t="shared" si="858"/>
        <v>3276</v>
      </c>
      <c r="T343" s="139"/>
      <c r="U343" s="140">
        <f t="shared" ref="U343:X343" si="859">P343/K343</f>
        <v>0.11054104477611941</v>
      </c>
      <c r="V343" s="140">
        <f t="shared" si="859"/>
        <v>0.55119825708060999</v>
      </c>
      <c r="W343" s="141">
        <f t="shared" si="859"/>
        <v>0.39392605633802819</v>
      </c>
      <c r="X343" s="140">
        <f t="shared" si="859"/>
        <v>0.30720180045011253</v>
      </c>
      <c r="Y343" s="146" t="s">
        <v>195</v>
      </c>
      <c r="Z343" s="143"/>
      <c r="AA343" s="138">
        <v>21330</v>
      </c>
      <c r="AB343" s="136">
        <v>10664</v>
      </c>
      <c r="AC343" s="128">
        <v>3276</v>
      </c>
      <c r="AD343" s="135"/>
      <c r="AE343" s="127">
        <f>N340</f>
        <v>2666</v>
      </c>
      <c r="AF343" s="127"/>
      <c r="AG343" s="130"/>
      <c r="AH343" s="130" t="str">
        <f t="shared" si="118"/>
        <v xml:space="preserve"> </v>
      </c>
      <c r="AI343" s="130" t="str">
        <f t="shared" si="119"/>
        <v xml:space="preserve"> </v>
      </c>
      <c r="AJ343" s="144" t="str">
        <f t="shared" si="120"/>
        <v xml:space="preserve"> </v>
      </c>
      <c r="AK343" s="128" t="str">
        <f t="shared" si="121"/>
        <v xml:space="preserve"> </v>
      </c>
      <c r="AL343" s="128" t="str">
        <f t="shared" si="122"/>
        <v xml:space="preserve"> </v>
      </c>
      <c r="AM343" s="128" t="str">
        <f t="shared" si="123"/>
        <v xml:space="preserve"> </v>
      </c>
      <c r="AN343" s="130">
        <f t="shared" si="124"/>
        <v>205</v>
      </c>
      <c r="AO343" s="130"/>
      <c r="AP343" s="130"/>
    </row>
    <row r="344" spans="1:42">
      <c r="A344" s="131"/>
      <c r="B344" s="132"/>
      <c r="C344" s="118"/>
      <c r="D344" s="118"/>
      <c r="E344" s="133"/>
      <c r="F344" s="133"/>
      <c r="G344" s="133"/>
      <c r="H344" s="134"/>
      <c r="I344" s="133"/>
      <c r="J344" s="135"/>
      <c r="K344" s="136"/>
      <c r="L344" s="136"/>
      <c r="M344" s="137"/>
      <c r="N344" s="136"/>
      <c r="O344" s="135"/>
      <c r="P344" s="136"/>
      <c r="Q344" s="136"/>
      <c r="R344" s="137"/>
      <c r="S344" s="136"/>
      <c r="T344" s="139"/>
      <c r="U344" s="140"/>
      <c r="V344" s="140"/>
      <c r="W344" s="141"/>
      <c r="X344" s="140"/>
      <c r="Y344" s="142"/>
      <c r="Z344" s="143"/>
      <c r="AA344" s="136"/>
      <c r="AB344" s="136" t="s">
        <v>1566</v>
      </c>
      <c r="AC344" s="128" t="s">
        <v>1566</v>
      </c>
      <c r="AD344" s="135"/>
      <c r="AE344" s="127" t="s">
        <v>1566</v>
      </c>
      <c r="AF344" s="127"/>
      <c r="AG344" s="130"/>
      <c r="AH344" s="130" t="str">
        <f t="shared" si="118"/>
        <v xml:space="preserve"> </v>
      </c>
      <c r="AI344" s="130" t="str">
        <f t="shared" si="119"/>
        <v xml:space="preserve"> </v>
      </c>
      <c r="AJ344" s="144" t="str">
        <f t="shared" si="120"/>
        <v xml:space="preserve"> </v>
      </c>
      <c r="AK344" s="128" t="str">
        <f t="shared" si="121"/>
        <v xml:space="preserve"> </v>
      </c>
      <c r="AL344" s="128" t="str">
        <f t="shared" si="122"/>
        <v xml:space="preserve"> </v>
      </c>
      <c r="AM344" s="128" t="str">
        <f t="shared" si="123"/>
        <v xml:space="preserve"> </v>
      </c>
      <c r="AN344" s="130" t="str">
        <f t="shared" si="124"/>
        <v xml:space="preserve"> </v>
      </c>
      <c r="AO344" s="130"/>
      <c r="AP344" s="130"/>
    </row>
    <row r="345" spans="1:42">
      <c r="A345" s="131" t="s">
        <v>196</v>
      </c>
      <c r="B345" s="132">
        <v>8</v>
      </c>
      <c r="C345" s="118" t="s">
        <v>175</v>
      </c>
      <c r="D345" s="118">
        <v>2013</v>
      </c>
      <c r="E345" s="133">
        <v>0</v>
      </c>
      <c r="F345" s="133">
        <v>0</v>
      </c>
      <c r="G345" s="133">
        <v>4</v>
      </c>
      <c r="H345" s="134">
        <v>58</v>
      </c>
      <c r="I345" s="133">
        <f>E345+F345+G345+H345</f>
        <v>62</v>
      </c>
      <c r="J345" s="135"/>
      <c r="K345" s="136"/>
      <c r="L345" s="136"/>
      <c r="M345" s="137"/>
      <c r="N345" s="136"/>
      <c r="O345" s="135"/>
      <c r="P345" s="136">
        <f>E345+F345</f>
        <v>0</v>
      </c>
      <c r="Q345" s="136">
        <f t="shared" ref="Q345:S345" si="860">G345</f>
        <v>4</v>
      </c>
      <c r="R345" s="137">
        <f t="shared" si="860"/>
        <v>58</v>
      </c>
      <c r="S345" s="136">
        <f t="shared" si="860"/>
        <v>62</v>
      </c>
      <c r="T345" s="139"/>
      <c r="U345" s="140"/>
      <c r="V345" s="140"/>
      <c r="W345" s="141"/>
      <c r="X345" s="140"/>
      <c r="Y345" s="142"/>
      <c r="Z345" s="143"/>
      <c r="AA345" s="136"/>
      <c r="AB345" s="136"/>
      <c r="AC345" s="128"/>
      <c r="AD345" s="135"/>
      <c r="AE345" s="127"/>
      <c r="AF345" s="127"/>
      <c r="AG345" s="130"/>
      <c r="AH345" s="130">
        <f t="shared" si="118"/>
        <v>0</v>
      </c>
      <c r="AI345" s="130" t="str">
        <f t="shared" si="119"/>
        <v xml:space="preserve"> </v>
      </c>
      <c r="AJ345" s="144" t="str">
        <f t="shared" si="120"/>
        <v xml:space="preserve"> </v>
      </c>
      <c r="AK345" s="128" t="str">
        <f t="shared" si="121"/>
        <v xml:space="preserve"> </v>
      </c>
      <c r="AL345" s="128" t="str">
        <f t="shared" si="122"/>
        <v xml:space="preserve"> </v>
      </c>
      <c r="AM345" s="128" t="str">
        <f t="shared" si="123"/>
        <v xml:space="preserve"> </v>
      </c>
      <c r="AN345" s="130" t="str">
        <f t="shared" si="124"/>
        <v xml:space="preserve"> </v>
      </c>
      <c r="AO345" s="130"/>
      <c r="AP345" s="130"/>
    </row>
    <row r="346" spans="1:42">
      <c r="A346" s="131" t="s">
        <v>196</v>
      </c>
      <c r="B346" s="132">
        <v>8</v>
      </c>
      <c r="C346" s="118" t="s">
        <v>175</v>
      </c>
      <c r="D346" s="118">
        <v>2014</v>
      </c>
      <c r="E346" s="133">
        <v>0</v>
      </c>
      <c r="F346" s="133">
        <v>0</v>
      </c>
      <c r="G346" s="133">
        <v>7</v>
      </c>
      <c r="H346" s="134">
        <v>69</v>
      </c>
      <c r="I346" s="133">
        <v>76</v>
      </c>
      <c r="J346" s="135"/>
      <c r="K346" s="136">
        <f>ROUND((813+569)/8,0)</f>
        <v>173</v>
      </c>
      <c r="L346" s="136">
        <f>ROUND('HCD Assigned 5th Cycle RHNA'!F395/B346,0)</f>
        <v>80</v>
      </c>
      <c r="M346" s="137">
        <v>180</v>
      </c>
      <c r="N346" s="136">
        <v>433</v>
      </c>
      <c r="O346" s="135"/>
      <c r="P346" s="136">
        <f t="shared" ref="P346:P351" si="861">E346+F346+P345</f>
        <v>0</v>
      </c>
      <c r="Q346" s="136">
        <f t="shared" ref="Q346:S346" si="862">G346+Q345</f>
        <v>11</v>
      </c>
      <c r="R346" s="137">
        <f t="shared" si="862"/>
        <v>127</v>
      </c>
      <c r="S346" s="136">
        <f t="shared" si="862"/>
        <v>138</v>
      </c>
      <c r="T346" s="139"/>
      <c r="U346" s="140">
        <f t="shared" ref="U346:X346" si="863">P346/K346</f>
        <v>0</v>
      </c>
      <c r="V346" s="140">
        <f t="shared" si="863"/>
        <v>0.13750000000000001</v>
      </c>
      <c r="W346" s="141">
        <f t="shared" si="863"/>
        <v>0.7055555555555556</v>
      </c>
      <c r="X346" s="140">
        <f t="shared" si="863"/>
        <v>0.3187066974595843</v>
      </c>
      <c r="Y346" s="142"/>
      <c r="Z346" s="143"/>
      <c r="AA346" s="136"/>
      <c r="AB346" s="136" t="s">
        <v>1566</v>
      </c>
      <c r="AC346" s="128" t="s">
        <v>1566</v>
      </c>
      <c r="AD346" s="135"/>
      <c r="AE346" s="127"/>
      <c r="AF346" s="127"/>
      <c r="AG346" s="130"/>
      <c r="AH346" s="130" t="str">
        <f t="shared" si="118"/>
        <v xml:space="preserve"> </v>
      </c>
      <c r="AI346" s="130">
        <f t="shared" si="119"/>
        <v>0</v>
      </c>
      <c r="AJ346" s="144" t="str">
        <f t="shared" si="120"/>
        <v xml:space="preserve"> </v>
      </c>
      <c r="AK346" s="128" t="str">
        <f t="shared" si="121"/>
        <v xml:space="preserve"> </v>
      </c>
      <c r="AL346" s="128" t="str">
        <f t="shared" si="122"/>
        <v xml:space="preserve"> </v>
      </c>
      <c r="AM346" s="128" t="str">
        <f t="shared" si="123"/>
        <v xml:space="preserve"> </v>
      </c>
      <c r="AN346" s="130" t="str">
        <f t="shared" si="124"/>
        <v xml:space="preserve"> </v>
      </c>
      <c r="AO346" s="130"/>
      <c r="AP346" s="130"/>
    </row>
    <row r="347" spans="1:42">
      <c r="A347" s="131" t="s">
        <v>196</v>
      </c>
      <c r="B347" s="132">
        <v>8</v>
      </c>
      <c r="C347" s="118" t="s">
        <v>175</v>
      </c>
      <c r="D347" s="118">
        <v>2015</v>
      </c>
      <c r="E347" s="133">
        <v>46</v>
      </c>
      <c r="F347" s="133">
        <v>39</v>
      </c>
      <c r="G347" s="133">
        <v>54</v>
      </c>
      <c r="H347" s="134">
        <v>21</v>
      </c>
      <c r="I347" s="133">
        <v>160</v>
      </c>
      <c r="J347" s="135"/>
      <c r="K347" s="136">
        <f t="shared" ref="K347:N347" si="864">K346*2</f>
        <v>346</v>
      </c>
      <c r="L347" s="136">
        <f t="shared" si="864"/>
        <v>160</v>
      </c>
      <c r="M347" s="137">
        <f t="shared" si="864"/>
        <v>360</v>
      </c>
      <c r="N347" s="136">
        <f t="shared" si="864"/>
        <v>866</v>
      </c>
      <c r="O347" s="135"/>
      <c r="P347" s="136">
        <f t="shared" si="861"/>
        <v>85</v>
      </c>
      <c r="Q347" s="136">
        <f t="shared" ref="Q347:S347" si="865">G347+Q346</f>
        <v>65</v>
      </c>
      <c r="R347" s="137">
        <f t="shared" si="865"/>
        <v>148</v>
      </c>
      <c r="S347" s="136">
        <f t="shared" si="865"/>
        <v>298</v>
      </c>
      <c r="T347" s="139"/>
      <c r="U347" s="140">
        <f t="shared" ref="U347:X347" si="866">P347/K347</f>
        <v>0.24566473988439305</v>
      </c>
      <c r="V347" s="140">
        <f t="shared" si="866"/>
        <v>0.40625</v>
      </c>
      <c r="W347" s="141">
        <f t="shared" si="866"/>
        <v>0.41111111111111109</v>
      </c>
      <c r="X347" s="140">
        <f t="shared" si="866"/>
        <v>0.34411085450346418</v>
      </c>
      <c r="Y347" s="142"/>
      <c r="Z347" s="143"/>
      <c r="AA347" s="136"/>
      <c r="AB347" s="136" t="s">
        <v>1566</v>
      </c>
      <c r="AC347" s="128" t="s">
        <v>1566</v>
      </c>
      <c r="AD347" s="135"/>
      <c r="AE347" s="127"/>
      <c r="AF347" s="127"/>
      <c r="AG347" s="130"/>
      <c r="AH347" s="130" t="str">
        <f t="shared" si="118"/>
        <v xml:space="preserve"> </v>
      </c>
      <c r="AI347" s="130" t="str">
        <f t="shared" si="119"/>
        <v xml:space="preserve"> </v>
      </c>
      <c r="AJ347" s="130">
        <f t="shared" si="120"/>
        <v>85</v>
      </c>
      <c r="AK347" s="128" t="str">
        <f t="shared" si="121"/>
        <v xml:space="preserve"> </v>
      </c>
      <c r="AL347" s="128" t="str">
        <f t="shared" si="122"/>
        <v xml:space="preserve"> </v>
      </c>
      <c r="AM347" s="128" t="str">
        <f t="shared" si="123"/>
        <v xml:space="preserve"> </v>
      </c>
      <c r="AN347" s="130" t="str">
        <f t="shared" si="124"/>
        <v xml:space="preserve"> </v>
      </c>
      <c r="AO347" s="130"/>
      <c r="AP347" s="130"/>
    </row>
    <row r="348" spans="1:42">
      <c r="A348" s="131" t="s">
        <v>196</v>
      </c>
      <c r="B348" s="132">
        <v>8</v>
      </c>
      <c r="C348" s="118" t="s">
        <v>175</v>
      </c>
      <c r="D348" s="118">
        <v>2016</v>
      </c>
      <c r="E348" s="133">
        <v>1</v>
      </c>
      <c r="F348" s="133">
        <v>5</v>
      </c>
      <c r="G348" s="133">
        <v>49</v>
      </c>
      <c r="H348" s="134">
        <v>10</v>
      </c>
      <c r="I348" s="133">
        <v>65</v>
      </c>
      <c r="J348" s="135"/>
      <c r="K348" s="136">
        <f t="shared" ref="K348:N348" si="867">K346*3</f>
        <v>519</v>
      </c>
      <c r="L348" s="136">
        <f t="shared" si="867"/>
        <v>240</v>
      </c>
      <c r="M348" s="137">
        <f t="shared" si="867"/>
        <v>540</v>
      </c>
      <c r="N348" s="136">
        <f t="shared" si="867"/>
        <v>1299</v>
      </c>
      <c r="O348" s="135"/>
      <c r="P348" s="136">
        <f t="shared" si="861"/>
        <v>91</v>
      </c>
      <c r="Q348" s="136">
        <f t="shared" ref="Q348:S348" si="868">G348+Q347</f>
        <v>114</v>
      </c>
      <c r="R348" s="137">
        <f t="shared" si="868"/>
        <v>158</v>
      </c>
      <c r="S348" s="136">
        <f t="shared" si="868"/>
        <v>363</v>
      </c>
      <c r="T348" s="139"/>
      <c r="U348" s="140">
        <f t="shared" ref="U348:X348" si="869">P348/K348</f>
        <v>0.17533718689788053</v>
      </c>
      <c r="V348" s="140">
        <f t="shared" si="869"/>
        <v>0.47499999999999998</v>
      </c>
      <c r="W348" s="141">
        <f t="shared" si="869"/>
        <v>0.29259259259259257</v>
      </c>
      <c r="X348" s="140">
        <f t="shared" si="869"/>
        <v>0.27944572748267898</v>
      </c>
      <c r="Y348" s="142"/>
      <c r="Z348" s="143"/>
      <c r="AA348" s="136"/>
      <c r="AB348" s="136" t="s">
        <v>1566</v>
      </c>
      <c r="AC348" s="128" t="s">
        <v>1566</v>
      </c>
      <c r="AD348" s="135"/>
      <c r="AE348" s="127" t="s">
        <v>1566</v>
      </c>
      <c r="AF348" s="127"/>
      <c r="AG348" s="130"/>
      <c r="AH348" s="130" t="str">
        <f t="shared" si="118"/>
        <v xml:space="preserve"> </v>
      </c>
      <c r="AI348" s="130" t="str">
        <f t="shared" si="119"/>
        <v xml:space="preserve"> </v>
      </c>
      <c r="AJ348" s="144" t="str">
        <f t="shared" si="120"/>
        <v xml:space="preserve"> </v>
      </c>
      <c r="AK348" s="128">
        <f t="shared" si="121"/>
        <v>6</v>
      </c>
      <c r="AL348" s="128" t="str">
        <f t="shared" si="122"/>
        <v xml:space="preserve"> </v>
      </c>
      <c r="AM348" s="128" t="str">
        <f t="shared" si="123"/>
        <v xml:space="preserve"> </v>
      </c>
      <c r="AN348" s="130" t="str">
        <f t="shared" si="124"/>
        <v xml:space="preserve"> </v>
      </c>
      <c r="AO348" s="130"/>
      <c r="AP348" s="130"/>
    </row>
    <row r="349" spans="1:42">
      <c r="A349" s="131" t="s">
        <v>196</v>
      </c>
      <c r="B349" s="132">
        <v>8</v>
      </c>
      <c r="C349" s="118" t="s">
        <v>175</v>
      </c>
      <c r="D349" s="118">
        <v>2017</v>
      </c>
      <c r="E349" s="133">
        <v>2</v>
      </c>
      <c r="F349" s="133">
        <v>4</v>
      </c>
      <c r="G349" s="133">
        <v>41</v>
      </c>
      <c r="H349" s="134">
        <v>14</v>
      </c>
      <c r="I349" s="133">
        <v>61</v>
      </c>
      <c r="J349" s="135"/>
      <c r="K349" s="136">
        <f t="shared" ref="K349:N349" si="870">K346*4</f>
        <v>692</v>
      </c>
      <c r="L349" s="136">
        <f t="shared" si="870"/>
        <v>320</v>
      </c>
      <c r="M349" s="137">
        <f t="shared" si="870"/>
        <v>720</v>
      </c>
      <c r="N349" s="136">
        <f t="shared" si="870"/>
        <v>1732</v>
      </c>
      <c r="O349" s="135"/>
      <c r="P349" s="136">
        <f t="shared" si="861"/>
        <v>97</v>
      </c>
      <c r="Q349" s="136">
        <f t="shared" ref="Q349:S349" si="871">G349+Q348</f>
        <v>155</v>
      </c>
      <c r="R349" s="137">
        <f t="shared" si="871"/>
        <v>172</v>
      </c>
      <c r="S349" s="136">
        <f t="shared" si="871"/>
        <v>424</v>
      </c>
      <c r="T349" s="139"/>
      <c r="U349" s="140">
        <f t="shared" ref="U349:X349" si="872">P349/K349</f>
        <v>0.14017341040462428</v>
      </c>
      <c r="V349" s="140">
        <f t="shared" si="872"/>
        <v>0.484375</v>
      </c>
      <c r="W349" s="141">
        <f t="shared" si="872"/>
        <v>0.2388888888888889</v>
      </c>
      <c r="X349" s="140">
        <f t="shared" si="872"/>
        <v>0.24480369515011546</v>
      </c>
      <c r="Y349" s="142"/>
      <c r="Z349" s="143"/>
      <c r="AA349" s="136"/>
      <c r="AB349" s="136" t="s">
        <v>1566</v>
      </c>
      <c r="AC349" s="128" t="s">
        <v>1566</v>
      </c>
      <c r="AD349" s="135"/>
      <c r="AE349" s="127" t="s">
        <v>1566</v>
      </c>
      <c r="AF349" s="127"/>
      <c r="AG349" s="130"/>
      <c r="AH349" s="130" t="str">
        <f t="shared" si="118"/>
        <v xml:space="preserve"> </v>
      </c>
      <c r="AI349" s="130" t="str">
        <f t="shared" si="119"/>
        <v xml:space="preserve"> </v>
      </c>
      <c r="AJ349" s="144" t="str">
        <f t="shared" si="120"/>
        <v xml:space="preserve"> </v>
      </c>
      <c r="AK349" s="128" t="str">
        <f t="shared" si="121"/>
        <v xml:space="preserve"> </v>
      </c>
      <c r="AL349" s="128">
        <f t="shared" si="122"/>
        <v>6</v>
      </c>
      <c r="AM349" s="128" t="str">
        <f t="shared" si="123"/>
        <v xml:space="preserve"> </v>
      </c>
      <c r="AN349" s="130" t="str">
        <f t="shared" si="124"/>
        <v xml:space="preserve"> </v>
      </c>
      <c r="AO349" s="130"/>
      <c r="AP349" s="130"/>
    </row>
    <row r="350" spans="1:42">
      <c r="A350" s="131" t="s">
        <v>196</v>
      </c>
      <c r="B350" s="132">
        <v>8</v>
      </c>
      <c r="C350" s="118" t="s">
        <v>175</v>
      </c>
      <c r="D350" s="118">
        <v>2018</v>
      </c>
      <c r="E350" s="133">
        <v>2</v>
      </c>
      <c r="F350" s="133">
        <v>1</v>
      </c>
      <c r="G350" s="133">
        <v>2</v>
      </c>
      <c r="H350" s="134">
        <v>57</v>
      </c>
      <c r="I350" s="133">
        <v>62</v>
      </c>
      <c r="J350" s="135"/>
      <c r="K350" s="136">
        <f t="shared" ref="K350:L350" si="873">K346*5</f>
        <v>865</v>
      </c>
      <c r="L350" s="136">
        <f t="shared" si="873"/>
        <v>400</v>
      </c>
      <c r="M350" s="137">
        <f t="shared" ref="M350:N350" si="874">M346*4</f>
        <v>720</v>
      </c>
      <c r="N350" s="136">
        <f t="shared" si="874"/>
        <v>1732</v>
      </c>
      <c r="O350" s="135"/>
      <c r="P350" s="136">
        <f t="shared" si="861"/>
        <v>100</v>
      </c>
      <c r="Q350" s="136">
        <f t="shared" ref="Q350:S350" si="875">G350+Q349</f>
        <v>157</v>
      </c>
      <c r="R350" s="137">
        <f t="shared" si="875"/>
        <v>229</v>
      </c>
      <c r="S350" s="136">
        <f t="shared" si="875"/>
        <v>486</v>
      </c>
      <c r="T350" s="139"/>
      <c r="U350" s="140">
        <f t="shared" ref="U350:X350" si="876">P350/K350</f>
        <v>0.11560693641618497</v>
      </c>
      <c r="V350" s="140">
        <f t="shared" si="876"/>
        <v>0.39250000000000002</v>
      </c>
      <c r="W350" s="141">
        <f t="shared" si="876"/>
        <v>0.31805555555555554</v>
      </c>
      <c r="X350" s="140">
        <f t="shared" si="876"/>
        <v>0.28060046189376442</v>
      </c>
      <c r="Y350" s="142"/>
      <c r="Z350" s="143"/>
      <c r="AA350" s="136"/>
      <c r="AB350" s="136" t="s">
        <v>1566</v>
      </c>
      <c r="AC350" s="128" t="s">
        <v>1566</v>
      </c>
      <c r="AD350" s="135"/>
      <c r="AE350" s="127" t="s">
        <v>1566</v>
      </c>
      <c r="AF350" s="127"/>
      <c r="AG350" s="130"/>
      <c r="AH350" s="130" t="str">
        <f t="shared" si="118"/>
        <v xml:space="preserve"> </v>
      </c>
      <c r="AI350" s="130" t="str">
        <f t="shared" si="119"/>
        <v xml:space="preserve"> </v>
      </c>
      <c r="AJ350" s="144" t="str">
        <f t="shared" si="120"/>
        <v xml:space="preserve"> </v>
      </c>
      <c r="AK350" s="128" t="str">
        <f t="shared" si="121"/>
        <v xml:space="preserve"> </v>
      </c>
      <c r="AL350" s="128" t="str">
        <f t="shared" si="122"/>
        <v xml:space="preserve"> </v>
      </c>
      <c r="AM350" s="128">
        <f t="shared" si="123"/>
        <v>3</v>
      </c>
      <c r="AN350" s="130" t="str">
        <f t="shared" si="124"/>
        <v xml:space="preserve"> </v>
      </c>
      <c r="AO350" s="130"/>
      <c r="AP350" s="130"/>
    </row>
    <row r="351" spans="1:42">
      <c r="A351" s="131" t="s">
        <v>196</v>
      </c>
      <c r="B351" s="132">
        <v>8</v>
      </c>
      <c r="C351" s="118" t="s">
        <v>175</v>
      </c>
      <c r="D351" s="118">
        <v>2019</v>
      </c>
      <c r="E351" s="133">
        <v>0</v>
      </c>
      <c r="F351" s="133">
        <v>0</v>
      </c>
      <c r="G351" s="133">
        <v>0</v>
      </c>
      <c r="H351" s="134">
        <v>59</v>
      </c>
      <c r="I351" s="133">
        <f>E351+F351+G351+H351</f>
        <v>59</v>
      </c>
      <c r="J351" s="135"/>
      <c r="K351" s="136">
        <f t="shared" ref="K351:N351" si="877">K346*6</f>
        <v>1038</v>
      </c>
      <c r="L351" s="136">
        <f t="shared" si="877"/>
        <v>480</v>
      </c>
      <c r="M351" s="136">
        <f t="shared" si="877"/>
        <v>1080</v>
      </c>
      <c r="N351" s="166">
        <f t="shared" si="877"/>
        <v>2598</v>
      </c>
      <c r="O351" s="135"/>
      <c r="P351" s="136">
        <f t="shared" si="861"/>
        <v>100</v>
      </c>
      <c r="Q351" s="136">
        <f t="shared" ref="Q351:S351" si="878">G351+Q350</f>
        <v>157</v>
      </c>
      <c r="R351" s="137">
        <f t="shared" si="878"/>
        <v>288</v>
      </c>
      <c r="S351" s="136">
        <f t="shared" si="878"/>
        <v>545</v>
      </c>
      <c r="T351" s="139"/>
      <c r="U351" s="140">
        <f t="shared" ref="U351:X351" si="879">P351/K351</f>
        <v>9.6339113680154145E-2</v>
      </c>
      <c r="V351" s="140">
        <f t="shared" si="879"/>
        <v>0.32708333333333334</v>
      </c>
      <c r="W351" s="141">
        <f t="shared" si="879"/>
        <v>0.26666666666666666</v>
      </c>
      <c r="X351" s="140">
        <f t="shared" si="879"/>
        <v>0.20977675134719015</v>
      </c>
      <c r="Y351" s="146" t="s">
        <v>196</v>
      </c>
      <c r="Z351" s="143"/>
      <c r="AA351" s="138">
        <v>3463</v>
      </c>
      <c r="AB351" s="136">
        <v>2598</v>
      </c>
      <c r="AC351" s="128">
        <v>545</v>
      </c>
      <c r="AD351" s="135"/>
      <c r="AE351" s="127">
        <f>N346</f>
        <v>433</v>
      </c>
      <c r="AF351" s="127"/>
      <c r="AG351" s="130"/>
      <c r="AH351" s="130" t="str">
        <f t="shared" si="118"/>
        <v xml:space="preserve"> </v>
      </c>
      <c r="AI351" s="130" t="str">
        <f t="shared" si="119"/>
        <v xml:space="preserve"> </v>
      </c>
      <c r="AJ351" s="144" t="str">
        <f t="shared" si="120"/>
        <v xml:space="preserve"> </v>
      </c>
      <c r="AK351" s="128" t="str">
        <f t="shared" si="121"/>
        <v xml:space="preserve"> </v>
      </c>
      <c r="AL351" s="128" t="str">
        <f t="shared" si="122"/>
        <v xml:space="preserve"> </v>
      </c>
      <c r="AM351" s="128" t="str">
        <f t="shared" si="123"/>
        <v xml:space="preserve"> </v>
      </c>
      <c r="AN351" s="130">
        <f t="shared" si="124"/>
        <v>0</v>
      </c>
      <c r="AO351" s="130"/>
      <c r="AP351" s="130"/>
    </row>
    <row r="352" spans="1:42">
      <c r="A352" s="131"/>
      <c r="B352" s="132"/>
      <c r="C352" s="118"/>
      <c r="D352" s="118"/>
      <c r="E352" s="133"/>
      <c r="F352" s="133"/>
      <c r="G352" s="133"/>
      <c r="H352" s="134"/>
      <c r="I352" s="133"/>
      <c r="J352" s="135"/>
      <c r="K352" s="136"/>
      <c r="L352" s="136"/>
      <c r="M352" s="137"/>
      <c r="N352" s="136"/>
      <c r="O352" s="135"/>
      <c r="P352" s="136"/>
      <c r="Q352" s="136"/>
      <c r="R352" s="137"/>
      <c r="S352" s="136"/>
      <c r="T352" s="139"/>
      <c r="U352" s="140"/>
      <c r="V352" s="140"/>
      <c r="W352" s="141"/>
      <c r="X352" s="140"/>
      <c r="Y352" s="142"/>
      <c r="Z352" s="143"/>
      <c r="AA352" s="136"/>
      <c r="AB352" s="136" t="s">
        <v>1566</v>
      </c>
      <c r="AC352" s="128" t="s">
        <v>1566</v>
      </c>
      <c r="AD352" s="135"/>
      <c r="AE352" s="127" t="s">
        <v>1566</v>
      </c>
      <c r="AF352" s="127"/>
      <c r="AG352" s="130"/>
      <c r="AH352" s="130" t="str">
        <f t="shared" si="118"/>
        <v xml:space="preserve"> </v>
      </c>
      <c r="AI352" s="130" t="str">
        <f t="shared" si="119"/>
        <v xml:space="preserve"> </v>
      </c>
      <c r="AJ352" s="144" t="str">
        <f t="shared" si="120"/>
        <v xml:space="preserve"> </v>
      </c>
      <c r="AK352" s="128" t="str">
        <f t="shared" si="121"/>
        <v xml:space="preserve"> </v>
      </c>
      <c r="AL352" s="128" t="str">
        <f t="shared" si="122"/>
        <v xml:space="preserve"> </v>
      </c>
      <c r="AM352" s="128" t="str">
        <f t="shared" si="123"/>
        <v xml:space="preserve"> </v>
      </c>
      <c r="AN352" s="130" t="str">
        <f t="shared" si="124"/>
        <v xml:space="preserve"> </v>
      </c>
      <c r="AO352" s="130"/>
      <c r="AP352" s="130"/>
    </row>
    <row r="353" spans="1:42">
      <c r="A353" s="131" t="s">
        <v>197</v>
      </c>
      <c r="B353" s="132">
        <v>5</v>
      </c>
      <c r="C353" s="118" t="s">
        <v>128</v>
      </c>
      <c r="D353" s="118">
        <v>2014</v>
      </c>
      <c r="E353" s="133">
        <v>16</v>
      </c>
      <c r="F353" s="133">
        <v>33</v>
      </c>
      <c r="G353" s="133">
        <v>7</v>
      </c>
      <c r="H353" s="134">
        <v>52</v>
      </c>
      <c r="I353" s="133">
        <v>108</v>
      </c>
      <c r="J353" s="135"/>
      <c r="K353" s="136">
        <f>ROUND((225+160)/5,0)</f>
        <v>77</v>
      </c>
      <c r="L353" s="136">
        <f>ROUND('HCD Assigned 5th Cycle RHNA'!F623/B353,0)</f>
        <v>37</v>
      </c>
      <c r="M353" s="137">
        <f>ROUND(425/5,0)</f>
        <v>85</v>
      </c>
      <c r="N353" s="136">
        <v>199</v>
      </c>
      <c r="O353" s="135"/>
      <c r="P353" s="136">
        <f>E353+F353</f>
        <v>49</v>
      </c>
      <c r="Q353" s="136">
        <f t="shared" ref="Q353:S353" si="880">G353</f>
        <v>7</v>
      </c>
      <c r="R353" s="137">
        <f t="shared" si="880"/>
        <v>52</v>
      </c>
      <c r="S353" s="136">
        <f t="shared" si="880"/>
        <v>108</v>
      </c>
      <c r="T353" s="139"/>
      <c r="U353" s="140">
        <f t="shared" ref="U353:X353" si="881">P353/K353</f>
        <v>0.63636363636363635</v>
      </c>
      <c r="V353" s="140">
        <f t="shared" si="881"/>
        <v>0.1891891891891892</v>
      </c>
      <c r="W353" s="141">
        <f t="shared" si="881"/>
        <v>0.61176470588235299</v>
      </c>
      <c r="X353" s="140">
        <f t="shared" si="881"/>
        <v>0.542713567839196</v>
      </c>
      <c r="Y353" s="142"/>
      <c r="Z353" s="143"/>
      <c r="AA353" s="136"/>
      <c r="AB353" s="136" t="s">
        <v>1566</v>
      </c>
      <c r="AC353" s="128" t="s">
        <v>1566</v>
      </c>
      <c r="AD353" s="135"/>
      <c r="AE353" s="127"/>
      <c r="AF353" s="127"/>
      <c r="AG353" s="130"/>
      <c r="AH353" s="130" t="str">
        <f t="shared" si="118"/>
        <v xml:space="preserve"> </v>
      </c>
      <c r="AI353" s="130">
        <f t="shared" si="119"/>
        <v>49</v>
      </c>
      <c r="AJ353" s="144" t="str">
        <f t="shared" si="120"/>
        <v xml:space="preserve"> </v>
      </c>
      <c r="AK353" s="128" t="str">
        <f t="shared" si="121"/>
        <v xml:space="preserve"> </v>
      </c>
      <c r="AL353" s="128" t="str">
        <f t="shared" si="122"/>
        <v xml:space="preserve"> </v>
      </c>
      <c r="AM353" s="128" t="str">
        <f t="shared" si="123"/>
        <v xml:space="preserve"> </v>
      </c>
      <c r="AN353" s="130" t="str">
        <f t="shared" si="124"/>
        <v xml:space="preserve"> </v>
      </c>
      <c r="AO353" s="130"/>
      <c r="AP353" s="130"/>
    </row>
    <row r="354" spans="1:42">
      <c r="A354" s="131" t="s">
        <v>197</v>
      </c>
      <c r="B354" s="132">
        <v>5</v>
      </c>
      <c r="C354" s="118" t="s">
        <v>128</v>
      </c>
      <c r="D354" s="118">
        <v>2015</v>
      </c>
      <c r="E354" s="133">
        <v>0</v>
      </c>
      <c r="F354" s="133">
        <v>0</v>
      </c>
      <c r="G354" s="133">
        <v>1</v>
      </c>
      <c r="H354" s="134">
        <v>0</v>
      </c>
      <c r="I354" s="133">
        <v>1</v>
      </c>
      <c r="J354" s="135"/>
      <c r="K354" s="136">
        <f t="shared" ref="K354:N354" si="882">K353*2</f>
        <v>154</v>
      </c>
      <c r="L354" s="136">
        <f t="shared" si="882"/>
        <v>74</v>
      </c>
      <c r="M354" s="137">
        <f t="shared" si="882"/>
        <v>170</v>
      </c>
      <c r="N354" s="136">
        <f t="shared" si="882"/>
        <v>398</v>
      </c>
      <c r="O354" s="135"/>
      <c r="P354" s="136">
        <f t="shared" ref="P354:P358" si="883">E354+F354+P353</f>
        <v>49</v>
      </c>
      <c r="Q354" s="136">
        <f t="shared" ref="Q354:S354" si="884">G354+Q353</f>
        <v>8</v>
      </c>
      <c r="R354" s="137">
        <f t="shared" si="884"/>
        <v>52</v>
      </c>
      <c r="S354" s="136">
        <f t="shared" si="884"/>
        <v>109</v>
      </c>
      <c r="T354" s="139"/>
      <c r="U354" s="140">
        <f t="shared" ref="U354:X354" si="885">P354/K354</f>
        <v>0.31818181818181818</v>
      </c>
      <c r="V354" s="140">
        <f t="shared" si="885"/>
        <v>0.10810810810810811</v>
      </c>
      <c r="W354" s="141">
        <f t="shared" si="885"/>
        <v>0.30588235294117649</v>
      </c>
      <c r="X354" s="140">
        <f t="shared" si="885"/>
        <v>0.27386934673366836</v>
      </c>
      <c r="Y354" s="142"/>
      <c r="Z354" s="143"/>
      <c r="AA354" s="136"/>
      <c r="AB354" s="136" t="s">
        <v>1566</v>
      </c>
      <c r="AC354" s="128" t="s">
        <v>1566</v>
      </c>
      <c r="AD354" s="135"/>
      <c r="AE354" s="127"/>
      <c r="AF354" s="127"/>
      <c r="AG354" s="130"/>
      <c r="AH354" s="130" t="str">
        <f t="shared" si="118"/>
        <v xml:space="preserve"> </v>
      </c>
      <c r="AI354" s="130" t="str">
        <f t="shared" si="119"/>
        <v xml:space="preserve"> </v>
      </c>
      <c r="AJ354" s="130">
        <f t="shared" si="120"/>
        <v>0</v>
      </c>
      <c r="AK354" s="128" t="str">
        <f t="shared" si="121"/>
        <v xml:space="preserve"> </v>
      </c>
      <c r="AL354" s="128" t="str">
        <f t="shared" si="122"/>
        <v xml:space="preserve"> </v>
      </c>
      <c r="AM354" s="128" t="str">
        <f t="shared" si="123"/>
        <v xml:space="preserve"> </v>
      </c>
      <c r="AN354" s="130" t="str">
        <f t="shared" si="124"/>
        <v xml:space="preserve"> </v>
      </c>
      <c r="AO354" s="130"/>
      <c r="AP354" s="130"/>
    </row>
    <row r="355" spans="1:42">
      <c r="A355" s="131" t="s">
        <v>197</v>
      </c>
      <c r="B355" s="132">
        <v>5</v>
      </c>
      <c r="C355" s="118" t="s">
        <v>128</v>
      </c>
      <c r="D355" s="118">
        <v>2016</v>
      </c>
      <c r="E355" s="133">
        <v>0</v>
      </c>
      <c r="F355" s="133">
        <v>23</v>
      </c>
      <c r="G355" s="133">
        <v>12</v>
      </c>
      <c r="H355" s="134">
        <v>0</v>
      </c>
      <c r="I355" s="133">
        <v>35</v>
      </c>
      <c r="J355" s="135"/>
      <c r="K355" s="136">
        <f t="shared" ref="K355:N355" si="886">K353*3</f>
        <v>231</v>
      </c>
      <c r="L355" s="136">
        <f t="shared" si="886"/>
        <v>111</v>
      </c>
      <c r="M355" s="137">
        <f t="shared" si="886"/>
        <v>255</v>
      </c>
      <c r="N355" s="136">
        <f t="shared" si="886"/>
        <v>597</v>
      </c>
      <c r="O355" s="135"/>
      <c r="P355" s="136">
        <f t="shared" si="883"/>
        <v>72</v>
      </c>
      <c r="Q355" s="136">
        <f t="shared" ref="Q355:S355" si="887">G355+Q354</f>
        <v>20</v>
      </c>
      <c r="R355" s="137">
        <f t="shared" si="887"/>
        <v>52</v>
      </c>
      <c r="S355" s="136">
        <f t="shared" si="887"/>
        <v>144</v>
      </c>
      <c r="T355" s="139"/>
      <c r="U355" s="140">
        <f t="shared" ref="U355:X355" si="888">P355/K355</f>
        <v>0.31168831168831168</v>
      </c>
      <c r="V355" s="140">
        <f t="shared" si="888"/>
        <v>0.18018018018018017</v>
      </c>
      <c r="W355" s="141">
        <f t="shared" si="888"/>
        <v>0.20392156862745098</v>
      </c>
      <c r="X355" s="140">
        <f t="shared" si="888"/>
        <v>0.24120603015075376</v>
      </c>
      <c r="Y355" s="142"/>
      <c r="Z355" s="143"/>
      <c r="AA355" s="136"/>
      <c r="AB355" s="136" t="s">
        <v>1566</v>
      </c>
      <c r="AC355" s="128" t="s">
        <v>1566</v>
      </c>
      <c r="AD355" s="135"/>
      <c r="AE355" s="127" t="s">
        <v>1566</v>
      </c>
      <c r="AF355" s="127"/>
      <c r="AG355" s="130"/>
      <c r="AH355" s="130" t="str">
        <f t="shared" si="118"/>
        <v xml:space="preserve"> </v>
      </c>
      <c r="AI355" s="130" t="str">
        <f t="shared" si="119"/>
        <v xml:space="preserve"> </v>
      </c>
      <c r="AJ355" s="144" t="str">
        <f t="shared" si="120"/>
        <v xml:space="preserve"> </v>
      </c>
      <c r="AK355" s="128">
        <f t="shared" si="121"/>
        <v>23</v>
      </c>
      <c r="AL355" s="128" t="str">
        <f t="shared" si="122"/>
        <v xml:space="preserve"> </v>
      </c>
      <c r="AM355" s="128" t="str">
        <f t="shared" si="123"/>
        <v xml:space="preserve"> </v>
      </c>
      <c r="AN355" s="130" t="str">
        <f t="shared" si="124"/>
        <v xml:space="preserve"> </v>
      </c>
      <c r="AO355" s="130"/>
      <c r="AP355" s="130"/>
    </row>
    <row r="356" spans="1:42">
      <c r="A356" s="131" t="s">
        <v>197</v>
      </c>
      <c r="B356" s="132">
        <v>5</v>
      </c>
      <c r="C356" s="118" t="s">
        <v>128</v>
      </c>
      <c r="D356" s="118">
        <v>2017</v>
      </c>
      <c r="E356" s="133">
        <v>0</v>
      </c>
      <c r="F356" s="133">
        <v>58</v>
      </c>
      <c r="G356" s="133">
        <v>75</v>
      </c>
      <c r="H356" s="134">
        <v>0</v>
      </c>
      <c r="I356" s="133">
        <v>133</v>
      </c>
      <c r="J356" s="135"/>
      <c r="K356" s="136">
        <f t="shared" ref="K356:N356" si="889">K353*4</f>
        <v>308</v>
      </c>
      <c r="L356" s="136">
        <f t="shared" si="889"/>
        <v>148</v>
      </c>
      <c r="M356" s="137">
        <f t="shared" si="889"/>
        <v>340</v>
      </c>
      <c r="N356" s="136">
        <f t="shared" si="889"/>
        <v>796</v>
      </c>
      <c r="O356" s="135"/>
      <c r="P356" s="136">
        <f t="shared" si="883"/>
        <v>130</v>
      </c>
      <c r="Q356" s="136">
        <f t="shared" ref="Q356:S356" si="890">G356+Q355</f>
        <v>95</v>
      </c>
      <c r="R356" s="137">
        <f t="shared" si="890"/>
        <v>52</v>
      </c>
      <c r="S356" s="136">
        <f t="shared" si="890"/>
        <v>277</v>
      </c>
      <c r="T356" s="139"/>
      <c r="U356" s="140">
        <f t="shared" ref="U356:X356" si="891">P356/K356</f>
        <v>0.42207792207792205</v>
      </c>
      <c r="V356" s="140">
        <f t="shared" si="891"/>
        <v>0.64189189189189189</v>
      </c>
      <c r="W356" s="141">
        <f t="shared" si="891"/>
        <v>0.15294117647058825</v>
      </c>
      <c r="X356" s="140">
        <f t="shared" si="891"/>
        <v>0.3479899497487437</v>
      </c>
      <c r="Y356" s="142"/>
      <c r="Z356" s="143"/>
      <c r="AA356" s="136"/>
      <c r="AB356" s="136" t="s">
        <v>1566</v>
      </c>
      <c r="AC356" s="128" t="s">
        <v>1566</v>
      </c>
      <c r="AD356" s="135"/>
      <c r="AE356" s="127" t="s">
        <v>1566</v>
      </c>
      <c r="AF356" s="127"/>
      <c r="AG356" s="130"/>
      <c r="AH356" s="130" t="str">
        <f t="shared" si="118"/>
        <v xml:space="preserve"> </v>
      </c>
      <c r="AI356" s="130" t="str">
        <f t="shared" si="119"/>
        <v xml:space="preserve"> </v>
      </c>
      <c r="AJ356" s="144" t="str">
        <f t="shared" si="120"/>
        <v xml:space="preserve"> </v>
      </c>
      <c r="AK356" s="128" t="str">
        <f t="shared" si="121"/>
        <v xml:space="preserve"> </v>
      </c>
      <c r="AL356" s="128">
        <f t="shared" si="122"/>
        <v>58</v>
      </c>
      <c r="AM356" s="128" t="str">
        <f t="shared" si="123"/>
        <v xml:space="preserve"> </v>
      </c>
      <c r="AN356" s="130" t="str">
        <f t="shared" si="124"/>
        <v xml:space="preserve"> </v>
      </c>
      <c r="AO356" s="130"/>
      <c r="AP356" s="130"/>
    </row>
    <row r="357" spans="1:42">
      <c r="A357" s="131" t="s">
        <v>197</v>
      </c>
      <c r="B357" s="132">
        <v>5</v>
      </c>
      <c r="C357" s="118" t="s">
        <v>128</v>
      </c>
      <c r="D357" s="118">
        <v>2018</v>
      </c>
      <c r="E357" s="133">
        <v>0</v>
      </c>
      <c r="F357" s="133">
        <v>2</v>
      </c>
      <c r="G357" s="133">
        <v>7</v>
      </c>
      <c r="H357" s="134">
        <v>13</v>
      </c>
      <c r="I357" s="133">
        <v>22</v>
      </c>
      <c r="J357" s="135"/>
      <c r="K357" s="136">
        <f t="shared" ref="K357:N357" si="892">K353*5</f>
        <v>385</v>
      </c>
      <c r="L357" s="136">
        <f t="shared" si="892"/>
        <v>185</v>
      </c>
      <c r="M357" s="137">
        <f t="shared" si="892"/>
        <v>425</v>
      </c>
      <c r="N357" s="136">
        <f t="shared" si="892"/>
        <v>995</v>
      </c>
      <c r="O357" s="135"/>
      <c r="P357" s="136">
        <f t="shared" si="883"/>
        <v>132</v>
      </c>
      <c r="Q357" s="136">
        <f t="shared" ref="Q357:S357" si="893">G357+Q356</f>
        <v>102</v>
      </c>
      <c r="R357" s="137">
        <f t="shared" si="893"/>
        <v>65</v>
      </c>
      <c r="S357" s="136">
        <f t="shared" si="893"/>
        <v>299</v>
      </c>
      <c r="T357" s="139"/>
      <c r="U357" s="140">
        <f t="shared" ref="U357:X357" si="894">P357/K357</f>
        <v>0.34285714285714286</v>
      </c>
      <c r="V357" s="140">
        <f t="shared" si="894"/>
        <v>0.55135135135135138</v>
      </c>
      <c r="W357" s="141">
        <f t="shared" si="894"/>
        <v>0.15294117647058825</v>
      </c>
      <c r="X357" s="140">
        <f t="shared" si="894"/>
        <v>0.30050251256281407</v>
      </c>
      <c r="Y357" s="142"/>
      <c r="Z357" s="143"/>
      <c r="AA357" s="136"/>
      <c r="AB357" s="136" t="s">
        <v>1566</v>
      </c>
      <c r="AC357" s="128" t="s">
        <v>1566</v>
      </c>
      <c r="AD357" s="135"/>
      <c r="AE357" s="127" t="s">
        <v>1566</v>
      </c>
      <c r="AF357" s="127"/>
      <c r="AG357" s="130"/>
      <c r="AH357" s="130" t="str">
        <f t="shared" si="118"/>
        <v xml:space="preserve"> </v>
      </c>
      <c r="AI357" s="130" t="str">
        <f t="shared" si="119"/>
        <v xml:space="preserve"> </v>
      </c>
      <c r="AJ357" s="144" t="str">
        <f t="shared" si="120"/>
        <v xml:space="preserve"> </v>
      </c>
      <c r="AK357" s="128" t="str">
        <f t="shared" si="121"/>
        <v xml:space="preserve"> </v>
      </c>
      <c r="AL357" s="128" t="str">
        <f t="shared" si="122"/>
        <v xml:space="preserve"> </v>
      </c>
      <c r="AM357" s="128">
        <f t="shared" si="123"/>
        <v>2</v>
      </c>
      <c r="AN357" s="130" t="str">
        <f t="shared" si="124"/>
        <v xml:space="preserve"> </v>
      </c>
      <c r="AO357" s="130"/>
      <c r="AP357" s="130"/>
    </row>
    <row r="358" spans="1:42">
      <c r="A358" s="131" t="s">
        <v>197</v>
      </c>
      <c r="B358" s="132">
        <v>5</v>
      </c>
      <c r="C358" s="118" t="s">
        <v>128</v>
      </c>
      <c r="D358" s="118">
        <v>2019</v>
      </c>
      <c r="E358" s="133">
        <v>5</v>
      </c>
      <c r="F358" s="133">
        <v>23</v>
      </c>
      <c r="G358" s="133">
        <v>16</v>
      </c>
      <c r="H358" s="134">
        <v>47</v>
      </c>
      <c r="I358" s="133">
        <f>E358+F358+G358+H358</f>
        <v>91</v>
      </c>
      <c r="J358" s="135"/>
      <c r="K358" s="136">
        <f t="shared" ref="K358:N358" si="895">K357</f>
        <v>385</v>
      </c>
      <c r="L358" s="136">
        <f t="shared" si="895"/>
        <v>185</v>
      </c>
      <c r="M358" s="137">
        <f t="shared" si="895"/>
        <v>425</v>
      </c>
      <c r="N358" s="136">
        <f t="shared" si="895"/>
        <v>995</v>
      </c>
      <c r="O358" s="135"/>
      <c r="P358" s="136">
        <f t="shared" si="883"/>
        <v>160</v>
      </c>
      <c r="Q358" s="136">
        <f t="shared" ref="Q358:S358" si="896">G358+Q357</f>
        <v>118</v>
      </c>
      <c r="R358" s="137">
        <f t="shared" si="896"/>
        <v>112</v>
      </c>
      <c r="S358" s="136">
        <f t="shared" si="896"/>
        <v>390</v>
      </c>
      <c r="T358" s="139"/>
      <c r="U358" s="140">
        <f t="shared" ref="U358:X358" si="897">P358/K358</f>
        <v>0.41558441558441561</v>
      </c>
      <c r="V358" s="140">
        <f t="shared" si="897"/>
        <v>0.63783783783783787</v>
      </c>
      <c r="W358" s="141">
        <f t="shared" si="897"/>
        <v>0.2635294117647059</v>
      </c>
      <c r="X358" s="140">
        <f t="shared" si="897"/>
        <v>0.39195979899497485</v>
      </c>
      <c r="Y358" s="146" t="s">
        <v>197</v>
      </c>
      <c r="Z358" s="143"/>
      <c r="AA358" s="138">
        <v>995</v>
      </c>
      <c r="AB358" s="136">
        <v>995</v>
      </c>
      <c r="AC358" s="128">
        <v>390</v>
      </c>
      <c r="AD358" s="135"/>
      <c r="AE358" s="127">
        <f>N353</f>
        <v>199</v>
      </c>
      <c r="AF358" s="127"/>
      <c r="AG358" s="130"/>
      <c r="AH358" s="130" t="str">
        <f t="shared" si="118"/>
        <v xml:space="preserve"> </v>
      </c>
      <c r="AI358" s="130" t="str">
        <f t="shared" si="119"/>
        <v xml:space="preserve"> </v>
      </c>
      <c r="AJ358" s="144" t="str">
        <f t="shared" si="120"/>
        <v xml:space="preserve"> </v>
      </c>
      <c r="AK358" s="128" t="str">
        <f t="shared" si="121"/>
        <v xml:space="preserve"> </v>
      </c>
      <c r="AL358" s="128" t="str">
        <f t="shared" si="122"/>
        <v xml:space="preserve"> </v>
      </c>
      <c r="AM358" s="128" t="str">
        <f t="shared" si="123"/>
        <v xml:space="preserve"> </v>
      </c>
      <c r="AN358" s="130">
        <f t="shared" si="124"/>
        <v>28</v>
      </c>
      <c r="AO358" s="130"/>
      <c r="AP358" s="130"/>
    </row>
    <row r="359" spans="1:42">
      <c r="A359" s="131"/>
      <c r="B359" s="132"/>
      <c r="C359" s="118"/>
      <c r="D359" s="118"/>
      <c r="E359" s="133"/>
      <c r="F359" s="133"/>
      <c r="G359" s="133"/>
      <c r="H359" s="134"/>
      <c r="I359" s="133"/>
      <c r="J359" s="135"/>
      <c r="K359" s="136"/>
      <c r="L359" s="136"/>
      <c r="M359" s="137"/>
      <c r="N359" s="136"/>
      <c r="O359" s="135"/>
      <c r="P359" s="136"/>
      <c r="Q359" s="136"/>
      <c r="R359" s="137"/>
      <c r="S359" s="136"/>
      <c r="T359" s="139"/>
      <c r="U359" s="140"/>
      <c r="V359" s="140"/>
      <c r="W359" s="141"/>
      <c r="X359" s="140"/>
      <c r="Y359" s="142"/>
      <c r="Z359" s="143"/>
      <c r="AA359" s="136"/>
      <c r="AB359" s="136" t="s">
        <v>1566</v>
      </c>
      <c r="AC359" s="128" t="s">
        <v>1566</v>
      </c>
      <c r="AD359" s="135"/>
      <c r="AE359" s="127"/>
      <c r="AF359" s="127"/>
      <c r="AG359" s="130"/>
      <c r="AH359" s="130" t="str">
        <f t="shared" si="118"/>
        <v xml:space="preserve"> </v>
      </c>
      <c r="AI359" s="130" t="str">
        <f t="shared" si="119"/>
        <v xml:space="preserve"> </v>
      </c>
      <c r="AJ359" s="144" t="str">
        <f t="shared" si="120"/>
        <v xml:space="preserve"> </v>
      </c>
      <c r="AK359" s="128" t="str">
        <f t="shared" si="121"/>
        <v xml:space="preserve"> </v>
      </c>
      <c r="AL359" s="128" t="str">
        <f t="shared" si="122"/>
        <v xml:space="preserve"> </v>
      </c>
      <c r="AM359" s="128" t="str">
        <f t="shared" si="123"/>
        <v xml:space="preserve"> </v>
      </c>
      <c r="AN359" s="130" t="str">
        <f t="shared" si="124"/>
        <v xml:space="preserve"> </v>
      </c>
      <c r="AO359" s="130"/>
      <c r="AP359" s="130"/>
    </row>
    <row r="360" spans="1:42">
      <c r="A360" s="131" t="s">
        <v>198</v>
      </c>
      <c r="B360" s="132">
        <v>5</v>
      </c>
      <c r="C360" s="118" t="s">
        <v>128</v>
      </c>
      <c r="D360" s="118">
        <v>2014</v>
      </c>
      <c r="E360" s="133">
        <v>0</v>
      </c>
      <c r="F360" s="133">
        <v>0</v>
      </c>
      <c r="G360" s="133">
        <v>0</v>
      </c>
      <c r="H360" s="134">
        <v>0</v>
      </c>
      <c r="I360" s="133">
        <v>0</v>
      </c>
      <c r="J360" s="135"/>
      <c r="K360" s="136">
        <f>ROUND((2+2)/5,0)</f>
        <v>1</v>
      </c>
      <c r="L360" s="138">
        <v>0</v>
      </c>
      <c r="M360" s="147">
        <f>ROUND(4/5,0)</f>
        <v>1</v>
      </c>
      <c r="N360" s="136">
        <f>ROUND(11/5,0)</f>
        <v>2</v>
      </c>
      <c r="O360" s="135"/>
      <c r="P360" s="136">
        <f t="shared" ref="P360:P364" si="898">E360+F360</f>
        <v>0</v>
      </c>
      <c r="Q360" s="136">
        <f t="shared" ref="Q360:S360" si="899">G360</f>
        <v>0</v>
      </c>
      <c r="R360" s="137">
        <f t="shared" si="899"/>
        <v>0</v>
      </c>
      <c r="S360" s="136">
        <f t="shared" si="899"/>
        <v>0</v>
      </c>
      <c r="T360" s="139"/>
      <c r="U360" s="140">
        <f t="shared" ref="U360:U365" si="900">P360/K360</f>
        <v>0</v>
      </c>
      <c r="V360" s="153">
        <v>0</v>
      </c>
      <c r="W360" s="141">
        <f t="shared" ref="W360:X360" si="901">R360/M360</f>
        <v>0</v>
      </c>
      <c r="X360" s="140">
        <f t="shared" si="901"/>
        <v>0</v>
      </c>
      <c r="Y360" s="142"/>
      <c r="Z360" s="143"/>
      <c r="AA360" s="136"/>
      <c r="AB360" s="136" t="s">
        <v>1566</v>
      </c>
      <c r="AC360" s="128" t="s">
        <v>1566</v>
      </c>
      <c r="AD360" s="135"/>
      <c r="AE360" s="127"/>
      <c r="AF360" s="127"/>
      <c r="AG360" s="130"/>
      <c r="AH360" s="130" t="str">
        <f t="shared" si="118"/>
        <v xml:space="preserve"> </v>
      </c>
      <c r="AI360" s="130">
        <f t="shared" si="119"/>
        <v>0</v>
      </c>
      <c r="AJ360" s="144" t="str">
        <f t="shared" si="120"/>
        <v xml:space="preserve"> </v>
      </c>
      <c r="AK360" s="128" t="str">
        <f t="shared" si="121"/>
        <v xml:space="preserve"> </v>
      </c>
      <c r="AL360" s="128" t="str">
        <f t="shared" si="122"/>
        <v xml:space="preserve"> </v>
      </c>
      <c r="AM360" s="128" t="str">
        <f t="shared" si="123"/>
        <v xml:space="preserve"> </v>
      </c>
      <c r="AN360" s="130" t="str">
        <f t="shared" si="124"/>
        <v xml:space="preserve"> </v>
      </c>
      <c r="AO360" s="130"/>
      <c r="AP360" s="130"/>
    </row>
    <row r="361" spans="1:42">
      <c r="A361" s="131" t="s">
        <v>198</v>
      </c>
      <c r="B361" s="132">
        <v>5</v>
      </c>
      <c r="C361" s="118" t="s">
        <v>128</v>
      </c>
      <c r="D361" s="118">
        <v>2015</v>
      </c>
      <c r="E361" s="133">
        <v>0</v>
      </c>
      <c r="F361" s="133">
        <v>0</v>
      </c>
      <c r="G361" s="133">
        <v>0</v>
      </c>
      <c r="H361" s="134">
        <v>0</v>
      </c>
      <c r="I361" s="133">
        <v>0</v>
      </c>
      <c r="J361" s="135"/>
      <c r="K361" s="136">
        <f>K360*2</f>
        <v>2</v>
      </c>
      <c r="L361" s="138">
        <v>0</v>
      </c>
      <c r="M361" s="137">
        <f t="shared" ref="M361:N361" si="902">M360*2</f>
        <v>2</v>
      </c>
      <c r="N361" s="136">
        <f t="shared" si="902"/>
        <v>4</v>
      </c>
      <c r="O361" s="135"/>
      <c r="P361" s="136">
        <f t="shared" si="898"/>
        <v>0</v>
      </c>
      <c r="Q361" s="136">
        <f t="shared" ref="Q361:Q365" si="903">G361+Q360</f>
        <v>0</v>
      </c>
      <c r="R361" s="137">
        <f t="shared" ref="R361:S361" si="904">H361</f>
        <v>0</v>
      </c>
      <c r="S361" s="136">
        <f t="shared" si="904"/>
        <v>0</v>
      </c>
      <c r="T361" s="139"/>
      <c r="U361" s="140">
        <f t="shared" si="900"/>
        <v>0</v>
      </c>
      <c r="V361" s="153">
        <v>0</v>
      </c>
      <c r="W361" s="141">
        <f t="shared" ref="W361:X361" si="905">R361/M361</f>
        <v>0</v>
      </c>
      <c r="X361" s="140">
        <f t="shared" si="905"/>
        <v>0</v>
      </c>
      <c r="Y361" s="142"/>
      <c r="Z361" s="143"/>
      <c r="AA361" s="136"/>
      <c r="AB361" s="136" t="s">
        <v>1566</v>
      </c>
      <c r="AC361" s="128" t="s">
        <v>1566</v>
      </c>
      <c r="AD361" s="135"/>
      <c r="AE361" s="127"/>
      <c r="AF361" s="127"/>
      <c r="AG361" s="130"/>
      <c r="AH361" s="130" t="str">
        <f t="shared" si="118"/>
        <v xml:space="preserve"> </v>
      </c>
      <c r="AI361" s="130" t="str">
        <f t="shared" si="119"/>
        <v xml:space="preserve"> </v>
      </c>
      <c r="AJ361" s="130">
        <f t="shared" si="120"/>
        <v>0</v>
      </c>
      <c r="AK361" s="128" t="str">
        <f t="shared" si="121"/>
        <v xml:space="preserve"> </v>
      </c>
      <c r="AL361" s="128" t="str">
        <f t="shared" si="122"/>
        <v xml:space="preserve"> </v>
      </c>
      <c r="AM361" s="128" t="str">
        <f t="shared" si="123"/>
        <v xml:space="preserve"> </v>
      </c>
      <c r="AN361" s="130" t="str">
        <f t="shared" si="124"/>
        <v xml:space="preserve"> </v>
      </c>
      <c r="AO361" s="130"/>
      <c r="AP361" s="130"/>
    </row>
    <row r="362" spans="1:42">
      <c r="A362" s="131" t="s">
        <v>198</v>
      </c>
      <c r="B362" s="132">
        <v>5</v>
      </c>
      <c r="C362" s="118" t="s">
        <v>128</v>
      </c>
      <c r="D362" s="118">
        <v>2016</v>
      </c>
      <c r="E362" s="133">
        <v>0</v>
      </c>
      <c r="F362" s="133">
        <v>0</v>
      </c>
      <c r="G362" s="133">
        <v>0</v>
      </c>
      <c r="H362" s="134">
        <v>0</v>
      </c>
      <c r="I362" s="133">
        <v>0</v>
      </c>
      <c r="J362" s="135"/>
      <c r="K362" s="136">
        <f>K360*3</f>
        <v>3</v>
      </c>
      <c r="L362" s="138">
        <v>1</v>
      </c>
      <c r="M362" s="137">
        <f t="shared" ref="M362:N362" si="906">M360*3</f>
        <v>3</v>
      </c>
      <c r="N362" s="136">
        <f t="shared" si="906"/>
        <v>6</v>
      </c>
      <c r="O362" s="135"/>
      <c r="P362" s="136">
        <f t="shared" si="898"/>
        <v>0</v>
      </c>
      <c r="Q362" s="136">
        <f t="shared" si="903"/>
        <v>0</v>
      </c>
      <c r="R362" s="137">
        <f t="shared" ref="R362:S362" si="907">H362</f>
        <v>0</v>
      </c>
      <c r="S362" s="136">
        <f t="shared" si="907"/>
        <v>0</v>
      </c>
      <c r="T362" s="139"/>
      <c r="U362" s="140">
        <f t="shared" si="900"/>
        <v>0</v>
      </c>
      <c r="V362" s="140">
        <f t="shared" ref="V362:X362" si="908">Q362/L362</f>
        <v>0</v>
      </c>
      <c r="W362" s="141">
        <f t="shared" si="908"/>
        <v>0</v>
      </c>
      <c r="X362" s="140">
        <f t="shared" si="908"/>
        <v>0</v>
      </c>
      <c r="Y362" s="142"/>
      <c r="Z362" s="143"/>
      <c r="AA362" s="136"/>
      <c r="AB362" s="136" t="s">
        <v>1566</v>
      </c>
      <c r="AC362" s="128" t="s">
        <v>1566</v>
      </c>
      <c r="AD362" s="135"/>
      <c r="AE362" s="127"/>
      <c r="AF362" s="127"/>
      <c r="AG362" s="130"/>
      <c r="AH362" s="130" t="str">
        <f t="shared" si="118"/>
        <v xml:space="preserve"> </v>
      </c>
      <c r="AI362" s="130" t="str">
        <f t="shared" si="119"/>
        <v xml:space="preserve"> </v>
      </c>
      <c r="AJ362" s="144" t="str">
        <f t="shared" si="120"/>
        <v xml:space="preserve"> </v>
      </c>
      <c r="AK362" s="128">
        <f t="shared" si="121"/>
        <v>0</v>
      </c>
      <c r="AL362" s="128" t="str">
        <f t="shared" si="122"/>
        <v xml:space="preserve"> </v>
      </c>
      <c r="AM362" s="128" t="str">
        <f t="shared" si="123"/>
        <v xml:space="preserve"> </v>
      </c>
      <c r="AN362" s="130" t="str">
        <f t="shared" si="124"/>
        <v xml:space="preserve"> </v>
      </c>
      <c r="AO362" s="130"/>
      <c r="AP362" s="130"/>
    </row>
    <row r="363" spans="1:42">
      <c r="A363" s="131" t="s">
        <v>198</v>
      </c>
      <c r="B363" s="132">
        <v>5</v>
      </c>
      <c r="C363" s="118" t="s">
        <v>128</v>
      </c>
      <c r="D363" s="118">
        <v>2017</v>
      </c>
      <c r="E363" s="133">
        <v>0</v>
      </c>
      <c r="F363" s="133">
        <v>0</v>
      </c>
      <c r="G363" s="133">
        <v>0</v>
      </c>
      <c r="H363" s="134">
        <v>0</v>
      </c>
      <c r="I363" s="133">
        <v>0</v>
      </c>
      <c r="J363" s="135"/>
      <c r="K363" s="136">
        <f>K360*4</f>
        <v>4</v>
      </c>
      <c r="L363" s="138">
        <v>1</v>
      </c>
      <c r="M363" s="137">
        <f t="shared" ref="M363:N363" si="909">M360*4</f>
        <v>4</v>
      </c>
      <c r="N363" s="136">
        <f t="shared" si="909"/>
        <v>8</v>
      </c>
      <c r="O363" s="135"/>
      <c r="P363" s="136">
        <f t="shared" si="898"/>
        <v>0</v>
      </c>
      <c r="Q363" s="136">
        <f t="shared" si="903"/>
        <v>0</v>
      </c>
      <c r="R363" s="137">
        <f t="shared" ref="R363:S363" si="910">H363</f>
        <v>0</v>
      </c>
      <c r="S363" s="136">
        <f t="shared" si="910"/>
        <v>0</v>
      </c>
      <c r="T363" s="139"/>
      <c r="U363" s="140">
        <f t="shared" si="900"/>
        <v>0</v>
      </c>
      <c r="V363" s="140">
        <f t="shared" ref="V363:X363" si="911">Q363/L363</f>
        <v>0</v>
      </c>
      <c r="W363" s="141">
        <f t="shared" si="911"/>
        <v>0</v>
      </c>
      <c r="X363" s="140">
        <f t="shared" si="911"/>
        <v>0</v>
      </c>
      <c r="Y363" s="142"/>
      <c r="Z363" s="143"/>
      <c r="AA363" s="136"/>
      <c r="AB363" s="136" t="s">
        <v>1566</v>
      </c>
      <c r="AC363" s="128" t="s">
        <v>1566</v>
      </c>
      <c r="AD363" s="135"/>
      <c r="AE363" s="127"/>
      <c r="AF363" s="127"/>
      <c r="AG363" s="130"/>
      <c r="AH363" s="130" t="str">
        <f t="shared" si="118"/>
        <v xml:space="preserve"> </v>
      </c>
      <c r="AI363" s="130" t="str">
        <f t="shared" si="119"/>
        <v xml:space="preserve"> </v>
      </c>
      <c r="AJ363" s="144" t="str">
        <f t="shared" si="120"/>
        <v xml:space="preserve"> </v>
      </c>
      <c r="AK363" s="128" t="str">
        <f t="shared" si="121"/>
        <v xml:space="preserve"> </v>
      </c>
      <c r="AL363" s="128">
        <f t="shared" si="122"/>
        <v>0</v>
      </c>
      <c r="AM363" s="128" t="str">
        <f t="shared" si="123"/>
        <v xml:space="preserve"> </v>
      </c>
      <c r="AN363" s="130" t="str">
        <f t="shared" si="124"/>
        <v xml:space="preserve"> </v>
      </c>
      <c r="AO363" s="130"/>
      <c r="AP363" s="130"/>
    </row>
    <row r="364" spans="1:42">
      <c r="A364" s="131" t="s">
        <v>198</v>
      </c>
      <c r="B364" s="132">
        <v>5</v>
      </c>
      <c r="C364" s="118" t="s">
        <v>128</v>
      </c>
      <c r="D364" s="118">
        <v>2018</v>
      </c>
      <c r="E364" s="133">
        <v>0</v>
      </c>
      <c r="F364" s="133">
        <v>0</v>
      </c>
      <c r="G364" s="133">
        <v>0</v>
      </c>
      <c r="H364" s="134">
        <v>0</v>
      </c>
      <c r="I364" s="133">
        <v>0</v>
      </c>
      <c r="J364" s="135"/>
      <c r="K364" s="138">
        <v>4</v>
      </c>
      <c r="L364" s="138">
        <v>3</v>
      </c>
      <c r="M364" s="147">
        <v>4</v>
      </c>
      <c r="N364" s="138">
        <v>11</v>
      </c>
      <c r="O364" s="135"/>
      <c r="P364" s="136">
        <f t="shared" si="898"/>
        <v>0</v>
      </c>
      <c r="Q364" s="136">
        <f t="shared" si="903"/>
        <v>0</v>
      </c>
      <c r="R364" s="137">
        <f t="shared" ref="R364:S364" si="912">H364</f>
        <v>0</v>
      </c>
      <c r="S364" s="136">
        <f t="shared" si="912"/>
        <v>0</v>
      </c>
      <c r="T364" s="139"/>
      <c r="U364" s="140">
        <f t="shared" si="900"/>
        <v>0</v>
      </c>
      <c r="V364" s="140">
        <f t="shared" ref="V364:X364" si="913">Q364/L364</f>
        <v>0</v>
      </c>
      <c r="W364" s="141">
        <f t="shared" si="913"/>
        <v>0</v>
      </c>
      <c r="X364" s="140">
        <f t="shared" si="913"/>
        <v>0</v>
      </c>
      <c r="Y364" s="142"/>
      <c r="Z364" s="143"/>
      <c r="AA364" s="136"/>
      <c r="AB364" s="136" t="s">
        <v>1566</v>
      </c>
      <c r="AC364" s="128" t="s">
        <v>1566</v>
      </c>
      <c r="AD364" s="135"/>
      <c r="AE364" s="127"/>
      <c r="AF364" s="127"/>
      <c r="AG364" s="130"/>
      <c r="AH364" s="130" t="str">
        <f t="shared" si="118"/>
        <v xml:space="preserve"> </v>
      </c>
      <c r="AI364" s="130" t="str">
        <f t="shared" si="119"/>
        <v xml:space="preserve"> </v>
      </c>
      <c r="AJ364" s="144" t="str">
        <f t="shared" si="120"/>
        <v xml:space="preserve"> </v>
      </c>
      <c r="AK364" s="128" t="str">
        <f t="shared" si="121"/>
        <v xml:space="preserve"> </v>
      </c>
      <c r="AL364" s="128" t="str">
        <f t="shared" si="122"/>
        <v xml:space="preserve"> </v>
      </c>
      <c r="AM364" s="128">
        <f t="shared" si="123"/>
        <v>0</v>
      </c>
      <c r="AN364" s="130" t="str">
        <f t="shared" si="124"/>
        <v xml:space="preserve"> </v>
      </c>
      <c r="AO364" s="130"/>
      <c r="AP364" s="130"/>
    </row>
    <row r="365" spans="1:42">
      <c r="A365" s="131" t="s">
        <v>198</v>
      </c>
      <c r="B365" s="132">
        <v>5</v>
      </c>
      <c r="C365" s="118" t="s">
        <v>128</v>
      </c>
      <c r="D365" s="118">
        <v>2019</v>
      </c>
      <c r="E365" s="133">
        <v>0</v>
      </c>
      <c r="F365" s="133">
        <v>0</v>
      </c>
      <c r="G365" s="133">
        <v>0</v>
      </c>
      <c r="H365" s="134">
        <v>0</v>
      </c>
      <c r="I365" s="133">
        <f>E365+F365+G365+H365</f>
        <v>0</v>
      </c>
      <c r="J365" s="135"/>
      <c r="K365" s="138">
        <v>4</v>
      </c>
      <c r="L365" s="138">
        <v>3</v>
      </c>
      <c r="M365" s="147">
        <v>4</v>
      </c>
      <c r="N365" s="138">
        <v>11</v>
      </c>
      <c r="O365" s="135"/>
      <c r="P365" s="136">
        <f>E365+F365+P364</f>
        <v>0</v>
      </c>
      <c r="Q365" s="136">
        <f t="shared" si="903"/>
        <v>0</v>
      </c>
      <c r="R365" s="137">
        <f t="shared" ref="R365:S365" si="914">H365+R364</f>
        <v>0</v>
      </c>
      <c r="S365" s="136">
        <f t="shared" si="914"/>
        <v>0</v>
      </c>
      <c r="T365" s="139"/>
      <c r="U365" s="140">
        <f t="shared" si="900"/>
        <v>0</v>
      </c>
      <c r="V365" s="140">
        <f t="shared" ref="V365:X365" si="915">Q365/L365</f>
        <v>0</v>
      </c>
      <c r="W365" s="141">
        <f t="shared" si="915"/>
        <v>0</v>
      </c>
      <c r="X365" s="140">
        <f t="shared" si="915"/>
        <v>0</v>
      </c>
      <c r="Y365" s="146" t="s">
        <v>198</v>
      </c>
      <c r="Z365" s="143"/>
      <c r="AA365" s="138">
        <v>10</v>
      </c>
      <c r="AB365" s="136">
        <v>11</v>
      </c>
      <c r="AC365" s="128">
        <v>0</v>
      </c>
      <c r="AD365" s="135"/>
      <c r="AE365" s="127">
        <f>N360</f>
        <v>2</v>
      </c>
      <c r="AF365" s="127"/>
      <c r="AG365" s="130"/>
      <c r="AH365" s="130" t="str">
        <f t="shared" si="118"/>
        <v xml:space="preserve"> </v>
      </c>
      <c r="AI365" s="130" t="str">
        <f t="shared" si="119"/>
        <v xml:space="preserve"> </v>
      </c>
      <c r="AJ365" s="144" t="str">
        <f t="shared" si="120"/>
        <v xml:space="preserve"> </v>
      </c>
      <c r="AK365" s="128" t="str">
        <f t="shared" si="121"/>
        <v xml:space="preserve"> </v>
      </c>
      <c r="AL365" s="128" t="str">
        <f t="shared" si="122"/>
        <v xml:space="preserve"> </v>
      </c>
      <c r="AM365" s="128" t="str">
        <f t="shared" si="123"/>
        <v xml:space="preserve"> </v>
      </c>
      <c r="AN365" s="130">
        <f t="shared" si="124"/>
        <v>0</v>
      </c>
      <c r="AO365" s="130"/>
      <c r="AP365" s="130"/>
    </row>
    <row r="366" spans="1:42">
      <c r="A366" s="131"/>
      <c r="B366" s="132"/>
      <c r="C366" s="118"/>
      <c r="D366" s="118"/>
      <c r="E366" s="133"/>
      <c r="F366" s="133"/>
      <c r="G366" s="133"/>
      <c r="H366" s="134"/>
      <c r="I366" s="133"/>
      <c r="J366" s="135"/>
      <c r="K366" s="136"/>
      <c r="L366" s="136"/>
      <c r="M366" s="137"/>
      <c r="N366" s="136"/>
      <c r="O366" s="135"/>
      <c r="P366" s="136"/>
      <c r="Q366" s="136"/>
      <c r="R366" s="137"/>
      <c r="S366" s="136"/>
      <c r="T366" s="139"/>
      <c r="U366" s="140"/>
      <c r="V366" s="140"/>
      <c r="W366" s="141"/>
      <c r="X366" s="140"/>
      <c r="Y366" s="142"/>
      <c r="Z366" s="143"/>
      <c r="AA366" s="136"/>
      <c r="AB366" s="136" t="s">
        <v>1566</v>
      </c>
      <c r="AC366" s="128" t="s">
        <v>1566</v>
      </c>
      <c r="AD366" s="135"/>
      <c r="AE366" s="127" t="s">
        <v>1566</v>
      </c>
      <c r="AF366" s="127"/>
      <c r="AG366" s="130"/>
      <c r="AH366" s="130" t="str">
        <f t="shared" si="118"/>
        <v xml:space="preserve"> </v>
      </c>
      <c r="AI366" s="130" t="str">
        <f t="shared" si="119"/>
        <v xml:space="preserve"> </v>
      </c>
      <c r="AJ366" s="144" t="str">
        <f t="shared" si="120"/>
        <v xml:space="preserve"> </v>
      </c>
      <c r="AK366" s="128" t="str">
        <f t="shared" si="121"/>
        <v xml:space="preserve"> </v>
      </c>
      <c r="AL366" s="128" t="str">
        <f t="shared" si="122"/>
        <v xml:space="preserve"> </v>
      </c>
      <c r="AM366" s="128" t="str">
        <f t="shared" si="123"/>
        <v xml:space="preserve"> </v>
      </c>
      <c r="AN366" s="130" t="str">
        <f t="shared" si="124"/>
        <v xml:space="preserve"> </v>
      </c>
      <c r="AO366" s="130"/>
      <c r="AP366" s="130"/>
    </row>
    <row r="367" spans="1:42">
      <c r="A367" s="131" t="s">
        <v>199</v>
      </c>
      <c r="B367" s="132">
        <v>8</v>
      </c>
      <c r="C367" s="118" t="s">
        <v>142</v>
      </c>
      <c r="D367" s="118">
        <v>2015</v>
      </c>
      <c r="E367" s="133">
        <v>68</v>
      </c>
      <c r="F367" s="133">
        <v>264</v>
      </c>
      <c r="G367" s="133">
        <v>317</v>
      </c>
      <c r="H367" s="134">
        <v>892</v>
      </c>
      <c r="I367" s="133">
        <f>E367+F367+G367+H367</f>
        <v>1541</v>
      </c>
      <c r="J367" s="135"/>
      <c r="K367" s="136"/>
      <c r="L367" s="136"/>
      <c r="M367" s="137"/>
      <c r="N367" s="136"/>
      <c r="O367" s="135"/>
      <c r="P367" s="136">
        <f>E367+F367</f>
        <v>332</v>
      </c>
      <c r="Q367" s="136">
        <f t="shared" ref="Q367:S367" si="916">G367</f>
        <v>317</v>
      </c>
      <c r="R367" s="137">
        <f t="shared" si="916"/>
        <v>892</v>
      </c>
      <c r="S367" s="136">
        <f t="shared" si="916"/>
        <v>1541</v>
      </c>
      <c r="T367" s="139"/>
      <c r="U367" s="140"/>
      <c r="V367" s="140"/>
      <c r="W367" s="141"/>
      <c r="X367" s="140"/>
      <c r="Y367" s="142"/>
      <c r="Z367" s="143"/>
      <c r="AA367" s="136"/>
      <c r="AB367" s="136"/>
      <c r="AC367" s="128"/>
      <c r="AD367" s="135"/>
      <c r="AE367" s="127"/>
      <c r="AF367" s="127"/>
      <c r="AG367" s="130"/>
      <c r="AH367" s="130" t="str">
        <f t="shared" si="118"/>
        <v xml:space="preserve"> </v>
      </c>
      <c r="AI367" s="130" t="str">
        <f t="shared" si="119"/>
        <v xml:space="preserve"> </v>
      </c>
      <c r="AJ367" s="130">
        <f t="shared" si="120"/>
        <v>332</v>
      </c>
      <c r="AK367" s="128" t="str">
        <f t="shared" si="121"/>
        <v xml:space="preserve"> </v>
      </c>
      <c r="AL367" s="128" t="str">
        <f t="shared" si="122"/>
        <v xml:space="preserve"> </v>
      </c>
      <c r="AM367" s="128" t="str">
        <f t="shared" si="123"/>
        <v xml:space="preserve"> </v>
      </c>
      <c r="AN367" s="130" t="str">
        <f t="shared" si="124"/>
        <v xml:space="preserve"> </v>
      </c>
      <c r="AO367" s="130"/>
      <c r="AP367" s="130"/>
    </row>
    <row r="368" spans="1:42">
      <c r="A368" s="131" t="s">
        <v>199</v>
      </c>
      <c r="B368" s="132">
        <v>8</v>
      </c>
      <c r="C368" s="118" t="s">
        <v>142</v>
      </c>
      <c r="D368" s="118">
        <v>2016</v>
      </c>
      <c r="E368" s="133">
        <v>151</v>
      </c>
      <c r="F368" s="133">
        <v>185</v>
      </c>
      <c r="G368" s="133">
        <v>395</v>
      </c>
      <c r="H368" s="134">
        <v>641</v>
      </c>
      <c r="I368" s="133">
        <v>1372</v>
      </c>
      <c r="J368" s="135"/>
      <c r="K368" s="136">
        <f>ROUND((6215+4655)/8,0)</f>
        <v>1359</v>
      </c>
      <c r="L368" s="136">
        <f>ROUND('HCD Assigned 5th Cycle RHNA'!F545/B368,0)</f>
        <v>572</v>
      </c>
      <c r="M368" s="137">
        <f>ROUND(11465/8,0)</f>
        <v>1433</v>
      </c>
      <c r="N368" s="136">
        <f>ROUND(26910/8,0)</f>
        <v>3364</v>
      </c>
      <c r="O368" s="135"/>
      <c r="P368" s="136">
        <f t="shared" ref="P368:P371" si="917">E368+F368+P367</f>
        <v>668</v>
      </c>
      <c r="Q368" s="136">
        <f t="shared" ref="Q368:S368" si="918">G368+Q367</f>
        <v>712</v>
      </c>
      <c r="R368" s="137">
        <f t="shared" si="918"/>
        <v>1533</v>
      </c>
      <c r="S368" s="136">
        <f t="shared" si="918"/>
        <v>2913</v>
      </c>
      <c r="T368" s="139"/>
      <c r="U368" s="140">
        <f t="shared" ref="U368:X368" si="919">P368/K368</f>
        <v>0.49153789551140542</v>
      </c>
      <c r="V368" s="140">
        <f t="shared" si="919"/>
        <v>1.2447552447552448</v>
      </c>
      <c r="W368" s="141">
        <f t="shared" si="919"/>
        <v>1.0697836706210746</v>
      </c>
      <c r="X368" s="140">
        <f t="shared" si="919"/>
        <v>0.86593341260404277</v>
      </c>
      <c r="Y368" s="142"/>
      <c r="Z368" s="143"/>
      <c r="AA368" s="136"/>
      <c r="AB368" s="136" t="s">
        <v>1566</v>
      </c>
      <c r="AC368" s="128" t="s">
        <v>1566</v>
      </c>
      <c r="AD368" s="135"/>
      <c r="AE368" s="127"/>
      <c r="AF368" s="127"/>
      <c r="AG368" s="130"/>
      <c r="AH368" s="130" t="str">
        <f t="shared" si="118"/>
        <v xml:space="preserve"> </v>
      </c>
      <c r="AI368" s="130" t="str">
        <f t="shared" si="119"/>
        <v xml:space="preserve"> </v>
      </c>
      <c r="AJ368" s="144" t="str">
        <f t="shared" si="120"/>
        <v xml:space="preserve"> </v>
      </c>
      <c r="AK368" s="128">
        <f t="shared" si="121"/>
        <v>336</v>
      </c>
      <c r="AL368" s="128" t="str">
        <f t="shared" si="122"/>
        <v xml:space="preserve"> </v>
      </c>
      <c r="AM368" s="128" t="str">
        <f t="shared" si="123"/>
        <v xml:space="preserve"> </v>
      </c>
      <c r="AN368" s="130" t="str">
        <f t="shared" si="124"/>
        <v xml:space="preserve"> </v>
      </c>
      <c r="AO368" s="130"/>
      <c r="AP368" s="130"/>
    </row>
    <row r="369" spans="1:42">
      <c r="A369" s="131" t="s">
        <v>199</v>
      </c>
      <c r="B369" s="132">
        <v>8</v>
      </c>
      <c r="C369" s="118" t="s">
        <v>142</v>
      </c>
      <c r="D369" s="118">
        <v>2017</v>
      </c>
      <c r="E369" s="133">
        <v>119</v>
      </c>
      <c r="F369" s="133">
        <v>213</v>
      </c>
      <c r="G369" s="133">
        <v>133</v>
      </c>
      <c r="H369" s="134">
        <v>795</v>
      </c>
      <c r="I369" s="133">
        <v>1260</v>
      </c>
      <c r="J369" s="135"/>
      <c r="K369" s="136">
        <f t="shared" ref="K369:N369" si="920">K368*2</f>
        <v>2718</v>
      </c>
      <c r="L369" s="136">
        <f t="shared" si="920"/>
        <v>1144</v>
      </c>
      <c r="M369" s="137">
        <f t="shared" si="920"/>
        <v>2866</v>
      </c>
      <c r="N369" s="136">
        <f t="shared" si="920"/>
        <v>6728</v>
      </c>
      <c r="O369" s="135"/>
      <c r="P369" s="136">
        <f t="shared" si="917"/>
        <v>1000</v>
      </c>
      <c r="Q369" s="136">
        <f t="shared" ref="Q369:S369" si="921">G369+Q368</f>
        <v>845</v>
      </c>
      <c r="R369" s="137">
        <f t="shared" si="921"/>
        <v>2328</v>
      </c>
      <c r="S369" s="136">
        <f t="shared" si="921"/>
        <v>4173</v>
      </c>
      <c r="T369" s="139"/>
      <c r="U369" s="140">
        <f t="shared" ref="U369:X369" si="922">P369/K369</f>
        <v>0.36791758646063283</v>
      </c>
      <c r="V369" s="140">
        <f t="shared" si="922"/>
        <v>0.73863636363636365</v>
      </c>
      <c r="W369" s="141">
        <f t="shared" si="922"/>
        <v>0.81228192602930915</v>
      </c>
      <c r="X369" s="140">
        <f t="shared" si="922"/>
        <v>0.62024375743162896</v>
      </c>
      <c r="Y369" s="142"/>
      <c r="Z369" s="143"/>
      <c r="AA369" s="136"/>
      <c r="AB369" s="136" t="s">
        <v>1566</v>
      </c>
      <c r="AC369" s="128" t="s">
        <v>1566</v>
      </c>
      <c r="AD369" s="135"/>
      <c r="AE369" s="127" t="s">
        <v>1566</v>
      </c>
      <c r="AF369" s="127"/>
      <c r="AG369" s="130"/>
      <c r="AH369" s="130" t="str">
        <f t="shared" si="118"/>
        <v xml:space="preserve"> </v>
      </c>
      <c r="AI369" s="130" t="str">
        <f t="shared" si="119"/>
        <v xml:space="preserve"> </v>
      </c>
      <c r="AJ369" s="144" t="str">
        <f t="shared" si="120"/>
        <v xml:space="preserve"> </v>
      </c>
      <c r="AK369" s="128" t="str">
        <f t="shared" si="121"/>
        <v xml:space="preserve"> </v>
      </c>
      <c r="AL369" s="128">
        <f t="shared" si="122"/>
        <v>332</v>
      </c>
      <c r="AM369" s="128" t="str">
        <f t="shared" si="123"/>
        <v xml:space="preserve"> </v>
      </c>
      <c r="AN369" s="130" t="str">
        <f t="shared" si="124"/>
        <v xml:space="preserve"> </v>
      </c>
      <c r="AO369" s="130"/>
      <c r="AP369" s="130"/>
    </row>
    <row r="370" spans="1:42">
      <c r="A370" s="131" t="s">
        <v>199</v>
      </c>
      <c r="B370" s="132">
        <v>8</v>
      </c>
      <c r="C370" s="118" t="s">
        <v>142</v>
      </c>
      <c r="D370" s="118">
        <v>2018</v>
      </c>
      <c r="E370" s="133">
        <v>103</v>
      </c>
      <c r="F370" s="133">
        <v>174</v>
      </c>
      <c r="G370" s="133">
        <v>212</v>
      </c>
      <c r="H370" s="134">
        <v>977</v>
      </c>
      <c r="I370" s="133">
        <v>1466</v>
      </c>
      <c r="J370" s="135"/>
      <c r="K370" s="136">
        <f t="shared" ref="K370:N370" si="923">K368*3</f>
        <v>4077</v>
      </c>
      <c r="L370" s="136">
        <f t="shared" si="923"/>
        <v>1716</v>
      </c>
      <c r="M370" s="137">
        <f t="shared" si="923"/>
        <v>4299</v>
      </c>
      <c r="N370" s="136">
        <f t="shared" si="923"/>
        <v>10092</v>
      </c>
      <c r="O370" s="135"/>
      <c r="P370" s="136">
        <f t="shared" si="917"/>
        <v>1277</v>
      </c>
      <c r="Q370" s="136">
        <f t="shared" ref="Q370:S370" si="924">G370+Q369</f>
        <v>1057</v>
      </c>
      <c r="R370" s="137">
        <f t="shared" si="924"/>
        <v>3305</v>
      </c>
      <c r="S370" s="136">
        <f t="shared" si="924"/>
        <v>5639</v>
      </c>
      <c r="T370" s="139"/>
      <c r="U370" s="140">
        <f t="shared" ref="U370:X370" si="925">P370/K370</f>
        <v>0.31322050527348538</v>
      </c>
      <c r="V370" s="140">
        <f t="shared" si="925"/>
        <v>0.61596736596736601</v>
      </c>
      <c r="W370" s="141">
        <f t="shared" si="925"/>
        <v>0.7687834380088393</v>
      </c>
      <c r="X370" s="140">
        <f t="shared" si="925"/>
        <v>0.55875941339674995</v>
      </c>
      <c r="Y370" s="142"/>
      <c r="Z370" s="143"/>
      <c r="AA370" s="136"/>
      <c r="AB370" s="136" t="s">
        <v>1566</v>
      </c>
      <c r="AC370" s="128" t="s">
        <v>1566</v>
      </c>
      <c r="AD370" s="135"/>
      <c r="AE370" s="127" t="s">
        <v>1566</v>
      </c>
      <c r="AF370" s="127"/>
      <c r="AG370" s="130"/>
      <c r="AH370" s="130" t="str">
        <f t="shared" si="118"/>
        <v xml:space="preserve"> </v>
      </c>
      <c r="AI370" s="130" t="str">
        <f t="shared" si="119"/>
        <v xml:space="preserve"> </v>
      </c>
      <c r="AJ370" s="144" t="str">
        <f t="shared" si="120"/>
        <v xml:space="preserve"> </v>
      </c>
      <c r="AK370" s="128" t="str">
        <f t="shared" si="121"/>
        <v xml:space="preserve"> </v>
      </c>
      <c r="AL370" s="128" t="str">
        <f t="shared" si="122"/>
        <v xml:space="preserve"> </v>
      </c>
      <c r="AM370" s="128">
        <f t="shared" si="123"/>
        <v>277</v>
      </c>
      <c r="AN370" s="130" t="str">
        <f t="shared" si="124"/>
        <v xml:space="preserve"> </v>
      </c>
      <c r="AO370" s="130"/>
      <c r="AP370" s="130"/>
    </row>
    <row r="371" spans="1:42">
      <c r="A371" s="161" t="s">
        <v>199</v>
      </c>
      <c r="B371" s="162">
        <v>8</v>
      </c>
      <c r="C371" s="163" t="s">
        <v>142</v>
      </c>
      <c r="D371" s="164">
        <v>2019</v>
      </c>
      <c r="E371" s="133">
        <v>65</v>
      </c>
      <c r="F371" s="133">
        <v>210</v>
      </c>
      <c r="G371" s="133">
        <v>743</v>
      </c>
      <c r="H371" s="134">
        <v>918</v>
      </c>
      <c r="I371" s="133">
        <f>E371+F371+G371+H371</f>
        <v>1936</v>
      </c>
      <c r="J371" s="135"/>
      <c r="K371" s="136">
        <f t="shared" ref="K371:N371" si="926">K368*4</f>
        <v>5436</v>
      </c>
      <c r="L371" s="136">
        <f t="shared" si="926"/>
        <v>2288</v>
      </c>
      <c r="M371" s="137">
        <f t="shared" si="926"/>
        <v>5732</v>
      </c>
      <c r="N371" s="136">
        <f t="shared" si="926"/>
        <v>13456</v>
      </c>
      <c r="O371" s="135"/>
      <c r="P371" s="136">
        <f t="shared" si="917"/>
        <v>1552</v>
      </c>
      <c r="Q371" s="136">
        <f t="shared" ref="Q371:S371" si="927">G371+Q370</f>
        <v>1800</v>
      </c>
      <c r="R371" s="137">
        <f t="shared" si="927"/>
        <v>4223</v>
      </c>
      <c r="S371" s="136">
        <f t="shared" si="927"/>
        <v>7575</v>
      </c>
      <c r="T371" s="139"/>
      <c r="U371" s="140">
        <f t="shared" ref="U371:X371" si="928">P371/K371</f>
        <v>0.28550404709345106</v>
      </c>
      <c r="V371" s="140">
        <f t="shared" si="928"/>
        <v>0.78671328671328666</v>
      </c>
      <c r="W371" s="141">
        <f t="shared" si="928"/>
        <v>0.73674110258199577</v>
      </c>
      <c r="X371" s="140">
        <f t="shared" si="928"/>
        <v>0.56294589774078474</v>
      </c>
      <c r="Y371" s="146" t="s">
        <v>199</v>
      </c>
      <c r="Z371" s="143"/>
      <c r="AA371" s="138">
        <v>26910</v>
      </c>
      <c r="AB371" s="136">
        <v>13456</v>
      </c>
      <c r="AC371" s="128">
        <v>7575</v>
      </c>
      <c r="AD371" s="135"/>
      <c r="AE371" s="127">
        <f>N368</f>
        <v>3364</v>
      </c>
      <c r="AF371" s="127"/>
      <c r="AG371" s="130"/>
      <c r="AH371" s="130" t="str">
        <f t="shared" si="118"/>
        <v xml:space="preserve"> </v>
      </c>
      <c r="AI371" s="130" t="str">
        <f t="shared" si="119"/>
        <v xml:space="preserve"> </v>
      </c>
      <c r="AJ371" s="144" t="str">
        <f t="shared" si="120"/>
        <v xml:space="preserve"> </v>
      </c>
      <c r="AK371" s="128" t="str">
        <f t="shared" si="121"/>
        <v xml:space="preserve"> </v>
      </c>
      <c r="AL371" s="128" t="str">
        <f t="shared" si="122"/>
        <v xml:space="preserve"> </v>
      </c>
      <c r="AM371" s="128" t="str">
        <f t="shared" si="123"/>
        <v xml:space="preserve"> </v>
      </c>
      <c r="AN371" s="130">
        <f t="shared" si="124"/>
        <v>275</v>
      </c>
      <c r="AO371" s="130"/>
      <c r="AP371" s="130"/>
    </row>
    <row r="372" spans="1:42">
      <c r="A372" s="131"/>
      <c r="B372" s="132"/>
      <c r="C372" s="118"/>
      <c r="D372" s="118"/>
      <c r="E372" s="133"/>
      <c r="F372" s="133"/>
      <c r="G372" s="133"/>
      <c r="H372" s="134"/>
      <c r="I372" s="133"/>
      <c r="J372" s="135"/>
      <c r="K372" s="136"/>
      <c r="L372" s="136"/>
      <c r="M372" s="137"/>
      <c r="N372" s="136"/>
      <c r="O372" s="135"/>
      <c r="P372" s="136"/>
      <c r="Q372" s="136"/>
      <c r="R372" s="137"/>
      <c r="S372" s="136"/>
      <c r="T372" s="139"/>
      <c r="U372" s="140"/>
      <c r="V372" s="140"/>
      <c r="W372" s="141"/>
      <c r="X372" s="140"/>
      <c r="Y372" s="146"/>
      <c r="Z372" s="143"/>
      <c r="AA372" s="138"/>
      <c r="AB372" s="136" t="s">
        <v>1566</v>
      </c>
      <c r="AC372" s="128" t="s">
        <v>1566</v>
      </c>
      <c r="AD372" s="135"/>
      <c r="AE372" s="127" t="s">
        <v>1566</v>
      </c>
      <c r="AF372" s="127"/>
      <c r="AG372" s="130"/>
      <c r="AH372" s="130" t="str">
        <f t="shared" si="118"/>
        <v xml:space="preserve"> </v>
      </c>
      <c r="AI372" s="130" t="str">
        <f t="shared" si="119"/>
        <v xml:space="preserve"> </v>
      </c>
      <c r="AJ372" s="144" t="str">
        <f t="shared" si="120"/>
        <v xml:space="preserve"> </v>
      </c>
      <c r="AK372" s="128" t="str">
        <f t="shared" si="121"/>
        <v xml:space="preserve"> </v>
      </c>
      <c r="AL372" s="128" t="str">
        <f t="shared" si="122"/>
        <v xml:space="preserve"> </v>
      </c>
      <c r="AM372" s="128" t="str">
        <f t="shared" si="123"/>
        <v xml:space="preserve"> </v>
      </c>
      <c r="AN372" s="130" t="str">
        <f t="shared" si="124"/>
        <v xml:space="preserve"> </v>
      </c>
      <c r="AO372" s="130"/>
      <c r="AP372" s="130"/>
    </row>
    <row r="373" spans="1:42">
      <c r="A373" s="131" t="s">
        <v>200</v>
      </c>
      <c r="B373" s="132">
        <v>5</v>
      </c>
      <c r="C373" s="118" t="s">
        <v>128</v>
      </c>
      <c r="D373" s="118">
        <v>2014</v>
      </c>
      <c r="E373" s="133">
        <v>0</v>
      </c>
      <c r="F373" s="133">
        <v>3</v>
      </c>
      <c r="G373" s="133">
        <v>2</v>
      </c>
      <c r="H373" s="134">
        <v>0</v>
      </c>
      <c r="I373" s="133">
        <v>5</v>
      </c>
      <c r="J373" s="135"/>
      <c r="K373" s="136">
        <f>ROUND((125+90)/5,0)</f>
        <v>43</v>
      </c>
      <c r="L373" s="136">
        <f>ROUND('HCD Assigned 5th Cycle RHNA'!F629/B373,0)</f>
        <v>20</v>
      </c>
      <c r="M373" s="137">
        <f>ROUND(235/5,0)</f>
        <v>47</v>
      </c>
      <c r="N373" s="136">
        <f>ROUND(550/5,0)</f>
        <v>110</v>
      </c>
      <c r="O373" s="135"/>
      <c r="P373" s="136">
        <f>E373+F373</f>
        <v>3</v>
      </c>
      <c r="Q373" s="136">
        <f t="shared" ref="Q373:S373" si="929">G373</f>
        <v>2</v>
      </c>
      <c r="R373" s="137">
        <f t="shared" si="929"/>
        <v>0</v>
      </c>
      <c r="S373" s="136">
        <f t="shared" si="929"/>
        <v>5</v>
      </c>
      <c r="T373" s="139"/>
      <c r="U373" s="140">
        <f t="shared" ref="U373:X373" si="930">P373/K373</f>
        <v>6.9767441860465115E-2</v>
      </c>
      <c r="V373" s="140">
        <f t="shared" si="930"/>
        <v>0.1</v>
      </c>
      <c r="W373" s="141">
        <f t="shared" si="930"/>
        <v>0</v>
      </c>
      <c r="X373" s="140">
        <f t="shared" si="930"/>
        <v>4.5454545454545456E-2</v>
      </c>
      <c r="Y373" s="142"/>
      <c r="Z373" s="143"/>
      <c r="AA373" s="136"/>
      <c r="AB373" s="136" t="s">
        <v>1566</v>
      </c>
      <c r="AC373" s="128" t="s">
        <v>1566</v>
      </c>
      <c r="AD373" s="135"/>
      <c r="AE373" s="127"/>
      <c r="AF373" s="127"/>
      <c r="AG373" s="130"/>
      <c r="AH373" s="130" t="str">
        <f t="shared" si="118"/>
        <v xml:space="preserve"> </v>
      </c>
      <c r="AI373" s="130">
        <f t="shared" si="119"/>
        <v>3</v>
      </c>
      <c r="AJ373" s="144" t="str">
        <f t="shared" si="120"/>
        <v xml:space="preserve"> </v>
      </c>
      <c r="AK373" s="128" t="str">
        <f t="shared" si="121"/>
        <v xml:space="preserve"> </v>
      </c>
      <c r="AL373" s="128" t="str">
        <f t="shared" si="122"/>
        <v xml:space="preserve"> </v>
      </c>
      <c r="AM373" s="128" t="str">
        <f t="shared" si="123"/>
        <v xml:space="preserve"> </v>
      </c>
      <c r="AN373" s="130" t="str">
        <f t="shared" si="124"/>
        <v xml:space="preserve"> </v>
      </c>
      <c r="AO373" s="130"/>
      <c r="AP373" s="130"/>
    </row>
    <row r="374" spans="1:42">
      <c r="A374" s="131" t="s">
        <v>200</v>
      </c>
      <c r="B374" s="132">
        <v>5</v>
      </c>
      <c r="C374" s="118" t="s">
        <v>128</v>
      </c>
      <c r="D374" s="118">
        <v>2015</v>
      </c>
      <c r="E374" s="133">
        <v>0</v>
      </c>
      <c r="F374" s="133">
        <v>1</v>
      </c>
      <c r="G374" s="133">
        <v>2</v>
      </c>
      <c r="H374" s="134">
        <v>33</v>
      </c>
      <c r="I374" s="133">
        <v>36</v>
      </c>
      <c r="J374" s="135"/>
      <c r="K374" s="136">
        <f t="shared" ref="K374:N374" si="931">K373*2</f>
        <v>86</v>
      </c>
      <c r="L374" s="136">
        <f t="shared" si="931"/>
        <v>40</v>
      </c>
      <c r="M374" s="137">
        <f t="shared" si="931"/>
        <v>94</v>
      </c>
      <c r="N374" s="136">
        <f t="shared" si="931"/>
        <v>220</v>
      </c>
      <c r="O374" s="135"/>
      <c r="P374" s="136">
        <f t="shared" ref="P374:P378" si="932">E374+F374+P373</f>
        <v>4</v>
      </c>
      <c r="Q374" s="136">
        <f t="shared" ref="Q374:S374" si="933">G374+Q373</f>
        <v>4</v>
      </c>
      <c r="R374" s="137">
        <f t="shared" si="933"/>
        <v>33</v>
      </c>
      <c r="S374" s="136">
        <f t="shared" si="933"/>
        <v>41</v>
      </c>
      <c r="T374" s="139"/>
      <c r="U374" s="140">
        <f t="shared" ref="U374:X374" si="934">P374/K374</f>
        <v>4.6511627906976744E-2</v>
      </c>
      <c r="V374" s="140">
        <f t="shared" si="934"/>
        <v>0.1</v>
      </c>
      <c r="W374" s="141">
        <f t="shared" si="934"/>
        <v>0.35106382978723405</v>
      </c>
      <c r="X374" s="140">
        <f t="shared" si="934"/>
        <v>0.18636363636363637</v>
      </c>
      <c r="Y374" s="142"/>
      <c r="Z374" s="143"/>
      <c r="AA374" s="136"/>
      <c r="AB374" s="136" t="s">
        <v>1566</v>
      </c>
      <c r="AC374" s="128" t="s">
        <v>1566</v>
      </c>
      <c r="AD374" s="135"/>
      <c r="AE374" s="127"/>
      <c r="AF374" s="127"/>
      <c r="AG374" s="130"/>
      <c r="AH374" s="130" t="str">
        <f t="shared" si="118"/>
        <v xml:space="preserve"> </v>
      </c>
      <c r="AI374" s="130" t="str">
        <f t="shared" si="119"/>
        <v xml:space="preserve"> </v>
      </c>
      <c r="AJ374" s="130">
        <f t="shared" si="120"/>
        <v>1</v>
      </c>
      <c r="AK374" s="128" t="str">
        <f t="shared" si="121"/>
        <v xml:space="preserve"> </v>
      </c>
      <c r="AL374" s="128" t="str">
        <f t="shared" si="122"/>
        <v xml:space="preserve"> </v>
      </c>
      <c r="AM374" s="128" t="str">
        <f t="shared" si="123"/>
        <v xml:space="preserve"> </v>
      </c>
      <c r="AN374" s="130" t="str">
        <f t="shared" si="124"/>
        <v xml:space="preserve"> </v>
      </c>
      <c r="AO374" s="130"/>
      <c r="AP374" s="130"/>
    </row>
    <row r="375" spans="1:42">
      <c r="A375" s="131" t="s">
        <v>200</v>
      </c>
      <c r="B375" s="132">
        <v>5</v>
      </c>
      <c r="C375" s="118" t="s">
        <v>128</v>
      </c>
      <c r="D375" s="118">
        <v>2016</v>
      </c>
      <c r="E375" s="133">
        <v>0</v>
      </c>
      <c r="F375" s="133">
        <v>10</v>
      </c>
      <c r="G375" s="133">
        <v>2</v>
      </c>
      <c r="H375" s="134">
        <v>4</v>
      </c>
      <c r="I375" s="133">
        <v>16</v>
      </c>
      <c r="J375" s="135"/>
      <c r="K375" s="136">
        <f t="shared" ref="K375:N375" si="935">K373*3</f>
        <v>129</v>
      </c>
      <c r="L375" s="136">
        <f t="shared" si="935"/>
        <v>60</v>
      </c>
      <c r="M375" s="137">
        <f t="shared" si="935"/>
        <v>141</v>
      </c>
      <c r="N375" s="136">
        <f t="shared" si="935"/>
        <v>330</v>
      </c>
      <c r="O375" s="135"/>
      <c r="P375" s="136">
        <f t="shared" si="932"/>
        <v>14</v>
      </c>
      <c r="Q375" s="136">
        <f t="shared" ref="Q375:S375" si="936">G375+Q374</f>
        <v>6</v>
      </c>
      <c r="R375" s="137">
        <f t="shared" si="936"/>
        <v>37</v>
      </c>
      <c r="S375" s="136">
        <f t="shared" si="936"/>
        <v>57</v>
      </c>
      <c r="T375" s="139"/>
      <c r="U375" s="140">
        <f t="shared" ref="U375:X375" si="937">P375/K375</f>
        <v>0.10852713178294573</v>
      </c>
      <c r="V375" s="140">
        <f t="shared" si="937"/>
        <v>0.1</v>
      </c>
      <c r="W375" s="141">
        <f t="shared" si="937"/>
        <v>0.26241134751773049</v>
      </c>
      <c r="X375" s="140">
        <f t="shared" si="937"/>
        <v>0.17272727272727273</v>
      </c>
      <c r="Y375" s="142"/>
      <c r="Z375" s="143"/>
      <c r="AA375" s="136"/>
      <c r="AB375" s="136" t="s">
        <v>1566</v>
      </c>
      <c r="AC375" s="128" t="s">
        <v>1566</v>
      </c>
      <c r="AD375" s="135"/>
      <c r="AE375" s="127" t="s">
        <v>1566</v>
      </c>
      <c r="AF375" s="127"/>
      <c r="AG375" s="130"/>
      <c r="AH375" s="130" t="str">
        <f t="shared" si="118"/>
        <v xml:space="preserve"> </v>
      </c>
      <c r="AI375" s="130" t="str">
        <f t="shared" si="119"/>
        <v xml:space="preserve"> </v>
      </c>
      <c r="AJ375" s="144" t="str">
        <f t="shared" si="120"/>
        <v xml:space="preserve"> </v>
      </c>
      <c r="AK375" s="128">
        <f t="shared" si="121"/>
        <v>10</v>
      </c>
      <c r="AL375" s="128" t="str">
        <f t="shared" si="122"/>
        <v xml:space="preserve"> </v>
      </c>
      <c r="AM375" s="128" t="str">
        <f t="shared" si="123"/>
        <v xml:space="preserve"> </v>
      </c>
      <c r="AN375" s="130" t="str">
        <f t="shared" si="124"/>
        <v xml:space="preserve"> </v>
      </c>
      <c r="AO375" s="130"/>
      <c r="AP375" s="130"/>
    </row>
    <row r="376" spans="1:42">
      <c r="A376" s="131" t="s">
        <v>200</v>
      </c>
      <c r="B376" s="132">
        <v>5</v>
      </c>
      <c r="C376" s="118" t="s">
        <v>128</v>
      </c>
      <c r="D376" s="118">
        <v>2017</v>
      </c>
      <c r="E376" s="133">
        <v>0</v>
      </c>
      <c r="F376" s="133">
        <v>2</v>
      </c>
      <c r="G376" s="133">
        <v>1</v>
      </c>
      <c r="H376" s="134">
        <v>71</v>
      </c>
      <c r="I376" s="133">
        <v>74</v>
      </c>
      <c r="J376" s="135"/>
      <c r="K376" s="136">
        <f t="shared" ref="K376:N376" si="938">K373*4</f>
        <v>172</v>
      </c>
      <c r="L376" s="136">
        <f t="shared" si="938"/>
        <v>80</v>
      </c>
      <c r="M376" s="137">
        <f t="shared" si="938"/>
        <v>188</v>
      </c>
      <c r="N376" s="136">
        <f t="shared" si="938"/>
        <v>440</v>
      </c>
      <c r="O376" s="135"/>
      <c r="P376" s="136">
        <f t="shared" si="932"/>
        <v>16</v>
      </c>
      <c r="Q376" s="136">
        <f t="shared" ref="Q376:S376" si="939">G376+Q375</f>
        <v>7</v>
      </c>
      <c r="R376" s="137">
        <f t="shared" si="939"/>
        <v>108</v>
      </c>
      <c r="S376" s="136">
        <f t="shared" si="939"/>
        <v>131</v>
      </c>
      <c r="T376" s="139"/>
      <c r="U376" s="140">
        <f t="shared" ref="U376:X376" si="940">P376/K376</f>
        <v>9.3023255813953487E-2</v>
      </c>
      <c r="V376" s="140">
        <f t="shared" si="940"/>
        <v>8.7499999999999994E-2</v>
      </c>
      <c r="W376" s="141">
        <f t="shared" si="940"/>
        <v>0.57446808510638303</v>
      </c>
      <c r="X376" s="140">
        <f t="shared" si="940"/>
        <v>0.29772727272727273</v>
      </c>
      <c r="Y376" s="142"/>
      <c r="Z376" s="143"/>
      <c r="AA376" s="136"/>
      <c r="AB376" s="136" t="s">
        <v>1566</v>
      </c>
      <c r="AC376" s="128" t="s">
        <v>1566</v>
      </c>
      <c r="AD376" s="135"/>
      <c r="AE376" s="127" t="s">
        <v>1566</v>
      </c>
      <c r="AF376" s="127"/>
      <c r="AG376" s="130"/>
      <c r="AH376" s="130" t="str">
        <f t="shared" si="118"/>
        <v xml:space="preserve"> </v>
      </c>
      <c r="AI376" s="130" t="str">
        <f t="shared" si="119"/>
        <v xml:space="preserve"> </v>
      </c>
      <c r="AJ376" s="144" t="str">
        <f t="shared" si="120"/>
        <v xml:space="preserve"> </v>
      </c>
      <c r="AK376" s="128" t="str">
        <f t="shared" si="121"/>
        <v xml:space="preserve"> </v>
      </c>
      <c r="AL376" s="128">
        <f t="shared" si="122"/>
        <v>2</v>
      </c>
      <c r="AM376" s="128" t="str">
        <f t="shared" si="123"/>
        <v xml:space="preserve"> </v>
      </c>
      <c r="AN376" s="130" t="str">
        <f t="shared" si="124"/>
        <v xml:space="preserve"> </v>
      </c>
      <c r="AO376" s="130"/>
      <c r="AP376" s="130"/>
    </row>
    <row r="377" spans="1:42">
      <c r="A377" s="131" t="s">
        <v>200</v>
      </c>
      <c r="B377" s="132">
        <v>5</v>
      </c>
      <c r="C377" s="118" t="s">
        <v>128</v>
      </c>
      <c r="D377" s="118">
        <v>2018</v>
      </c>
      <c r="E377" s="133">
        <v>0</v>
      </c>
      <c r="F377" s="133">
        <v>0</v>
      </c>
      <c r="G377" s="133">
        <v>1</v>
      </c>
      <c r="H377" s="134">
        <v>10</v>
      </c>
      <c r="I377" s="133">
        <v>11</v>
      </c>
      <c r="J377" s="135"/>
      <c r="K377" s="136">
        <f t="shared" ref="K377:N377" si="941">K373*5</f>
        <v>215</v>
      </c>
      <c r="L377" s="136">
        <f t="shared" si="941"/>
        <v>100</v>
      </c>
      <c r="M377" s="137">
        <f t="shared" si="941"/>
        <v>235</v>
      </c>
      <c r="N377" s="136">
        <f t="shared" si="941"/>
        <v>550</v>
      </c>
      <c r="O377" s="135"/>
      <c r="P377" s="136">
        <f t="shared" si="932"/>
        <v>16</v>
      </c>
      <c r="Q377" s="136">
        <f t="shared" ref="Q377:S377" si="942">G377+Q376</f>
        <v>8</v>
      </c>
      <c r="R377" s="137">
        <f t="shared" si="942"/>
        <v>118</v>
      </c>
      <c r="S377" s="136">
        <f t="shared" si="942"/>
        <v>142</v>
      </c>
      <c r="T377" s="139"/>
      <c r="U377" s="140">
        <f t="shared" ref="U377:X377" si="943">P377/K377</f>
        <v>7.441860465116279E-2</v>
      </c>
      <c r="V377" s="140">
        <f t="shared" si="943"/>
        <v>0.08</v>
      </c>
      <c r="W377" s="141">
        <f t="shared" si="943"/>
        <v>0.50212765957446803</v>
      </c>
      <c r="X377" s="140">
        <f t="shared" si="943"/>
        <v>0.25818181818181818</v>
      </c>
      <c r="Y377" s="142"/>
      <c r="Z377" s="143"/>
      <c r="AA377" s="136"/>
      <c r="AB377" s="136" t="s">
        <v>1566</v>
      </c>
      <c r="AC377" s="128" t="s">
        <v>1566</v>
      </c>
      <c r="AD377" s="135"/>
      <c r="AE377" s="127" t="s">
        <v>1566</v>
      </c>
      <c r="AF377" s="127"/>
      <c r="AG377" s="130"/>
      <c r="AH377" s="130" t="str">
        <f t="shared" si="118"/>
        <v xml:space="preserve"> </v>
      </c>
      <c r="AI377" s="130" t="str">
        <f t="shared" si="119"/>
        <v xml:space="preserve"> </v>
      </c>
      <c r="AJ377" s="144" t="str">
        <f t="shared" si="120"/>
        <v xml:space="preserve"> </v>
      </c>
      <c r="AK377" s="128" t="str">
        <f t="shared" si="121"/>
        <v xml:space="preserve"> </v>
      </c>
      <c r="AL377" s="128" t="str">
        <f t="shared" si="122"/>
        <v xml:space="preserve"> </v>
      </c>
      <c r="AM377" s="128">
        <f t="shared" si="123"/>
        <v>0</v>
      </c>
      <c r="AN377" s="130" t="str">
        <f t="shared" si="124"/>
        <v xml:space="preserve"> </v>
      </c>
      <c r="AO377" s="130"/>
      <c r="AP377" s="130"/>
    </row>
    <row r="378" spans="1:42">
      <c r="A378" s="131" t="s">
        <v>200</v>
      </c>
      <c r="B378" s="132">
        <v>5</v>
      </c>
      <c r="C378" s="118" t="s">
        <v>128</v>
      </c>
      <c r="D378" s="118">
        <v>2019</v>
      </c>
      <c r="E378" s="133">
        <v>0</v>
      </c>
      <c r="F378" s="133">
        <v>0</v>
      </c>
      <c r="G378" s="133">
        <v>1</v>
      </c>
      <c r="H378" s="134">
        <v>18</v>
      </c>
      <c r="I378" s="133">
        <f>E378+F378+G378+H378</f>
        <v>19</v>
      </c>
      <c r="J378" s="135"/>
      <c r="K378" s="136">
        <f t="shared" ref="K378:N378" si="944">K377</f>
        <v>215</v>
      </c>
      <c r="L378" s="136">
        <f t="shared" si="944"/>
        <v>100</v>
      </c>
      <c r="M378" s="137">
        <f t="shared" si="944"/>
        <v>235</v>
      </c>
      <c r="N378" s="136">
        <f t="shared" si="944"/>
        <v>550</v>
      </c>
      <c r="O378" s="135"/>
      <c r="P378" s="136">
        <f t="shared" si="932"/>
        <v>16</v>
      </c>
      <c r="Q378" s="136">
        <f t="shared" ref="Q378:S378" si="945">G378+Q377</f>
        <v>9</v>
      </c>
      <c r="R378" s="137">
        <f t="shared" si="945"/>
        <v>136</v>
      </c>
      <c r="S378" s="136">
        <f t="shared" si="945"/>
        <v>161</v>
      </c>
      <c r="T378" s="139"/>
      <c r="U378" s="140">
        <f t="shared" ref="U378:X378" si="946">P378/K378</f>
        <v>7.441860465116279E-2</v>
      </c>
      <c r="V378" s="140">
        <f t="shared" si="946"/>
        <v>0.09</v>
      </c>
      <c r="W378" s="141">
        <f t="shared" si="946"/>
        <v>0.5787234042553191</v>
      </c>
      <c r="X378" s="140">
        <f t="shared" si="946"/>
        <v>0.29272727272727272</v>
      </c>
      <c r="Y378" s="146" t="s">
        <v>200</v>
      </c>
      <c r="Z378" s="143"/>
      <c r="AA378" s="138">
        <v>550</v>
      </c>
      <c r="AB378" s="136">
        <v>550</v>
      </c>
      <c r="AC378" s="128">
        <v>161</v>
      </c>
      <c r="AD378" s="135"/>
      <c r="AE378" s="127">
        <f>N373</f>
        <v>110</v>
      </c>
      <c r="AF378" s="127"/>
      <c r="AG378" s="130"/>
      <c r="AH378" s="130" t="str">
        <f t="shared" si="118"/>
        <v xml:space="preserve"> </v>
      </c>
      <c r="AI378" s="130" t="str">
        <f t="shared" si="119"/>
        <v xml:space="preserve"> </v>
      </c>
      <c r="AJ378" s="144" t="str">
        <f t="shared" si="120"/>
        <v xml:space="preserve"> </v>
      </c>
      <c r="AK378" s="128" t="str">
        <f t="shared" si="121"/>
        <v xml:space="preserve"> </v>
      </c>
      <c r="AL378" s="128" t="str">
        <f t="shared" si="122"/>
        <v xml:space="preserve"> </v>
      </c>
      <c r="AM378" s="128" t="str">
        <f t="shared" si="123"/>
        <v xml:space="preserve"> </v>
      </c>
      <c r="AN378" s="130">
        <f t="shared" si="124"/>
        <v>0</v>
      </c>
      <c r="AO378" s="130"/>
      <c r="AP378" s="130"/>
    </row>
    <row r="379" spans="1:42">
      <c r="A379" s="131"/>
      <c r="B379" s="132"/>
      <c r="C379" s="118"/>
      <c r="D379" s="118"/>
      <c r="E379" s="133"/>
      <c r="F379" s="133"/>
      <c r="G379" s="133"/>
      <c r="H379" s="134"/>
      <c r="I379" s="133"/>
      <c r="J379" s="135"/>
      <c r="K379" s="136"/>
      <c r="L379" s="136"/>
      <c r="M379" s="137"/>
      <c r="N379" s="136"/>
      <c r="O379" s="135"/>
      <c r="P379" s="136"/>
      <c r="Q379" s="136"/>
      <c r="R379" s="137"/>
      <c r="S379" s="136"/>
      <c r="T379" s="139"/>
      <c r="U379" s="140"/>
      <c r="V379" s="140"/>
      <c r="W379" s="141"/>
      <c r="X379" s="140"/>
      <c r="Y379" s="142"/>
      <c r="Z379" s="143"/>
      <c r="AA379" s="136"/>
      <c r="AB379" s="136" t="s">
        <v>1566</v>
      </c>
      <c r="AC379" s="128" t="s">
        <v>1566</v>
      </c>
      <c r="AD379" s="135"/>
      <c r="AE379" s="127" t="s">
        <v>1566</v>
      </c>
      <c r="AF379" s="127"/>
      <c r="AG379" s="130"/>
      <c r="AH379" s="130" t="str">
        <f t="shared" si="118"/>
        <v xml:space="preserve"> </v>
      </c>
      <c r="AI379" s="130" t="str">
        <f t="shared" si="119"/>
        <v xml:space="preserve"> </v>
      </c>
      <c r="AJ379" s="144" t="str">
        <f t="shared" si="120"/>
        <v xml:space="preserve"> </v>
      </c>
      <c r="AK379" s="128" t="str">
        <f t="shared" si="121"/>
        <v xml:space="preserve"> </v>
      </c>
      <c r="AL379" s="128" t="str">
        <f t="shared" si="122"/>
        <v xml:space="preserve"> </v>
      </c>
      <c r="AM379" s="128" t="str">
        <f t="shared" si="123"/>
        <v xml:space="preserve"> </v>
      </c>
      <c r="AN379" s="130" t="str">
        <f t="shared" si="124"/>
        <v xml:space="preserve"> </v>
      </c>
      <c r="AO379" s="130"/>
      <c r="AP379" s="130"/>
    </row>
    <row r="380" spans="1:42">
      <c r="A380" s="131" t="s">
        <v>201</v>
      </c>
      <c r="B380" s="132">
        <v>8</v>
      </c>
      <c r="C380" s="118" t="s">
        <v>140</v>
      </c>
      <c r="D380" s="118">
        <v>2014</v>
      </c>
      <c r="E380" s="133">
        <v>157</v>
      </c>
      <c r="F380" s="133">
        <v>130</v>
      </c>
      <c r="G380" s="133">
        <v>172</v>
      </c>
      <c r="H380" s="134">
        <v>516</v>
      </c>
      <c r="I380" s="133">
        <v>975</v>
      </c>
      <c r="J380" s="135"/>
      <c r="K380" s="136">
        <f>ROUND((4516+3095)/8,0)</f>
        <v>951</v>
      </c>
      <c r="L380" s="136">
        <f>ROUND('HCD Assigned 5th Cycle RHNA'!F228/B380,0)</f>
        <v>443</v>
      </c>
      <c r="M380" s="137">
        <f>ROUND(8003/8,0)</f>
        <v>1000</v>
      </c>
      <c r="N380" s="136">
        <f>ROUND(19158/8,0)</f>
        <v>2395</v>
      </c>
      <c r="O380" s="135"/>
      <c r="P380" s="136">
        <f>E380+F380</f>
        <v>287</v>
      </c>
      <c r="Q380" s="136">
        <f t="shared" ref="Q380:S380" si="947">G380</f>
        <v>172</v>
      </c>
      <c r="R380" s="137">
        <f t="shared" si="947"/>
        <v>516</v>
      </c>
      <c r="S380" s="136">
        <f t="shared" si="947"/>
        <v>975</v>
      </c>
      <c r="T380" s="139"/>
      <c r="U380" s="140">
        <f t="shared" ref="U380:X380" si="948">P380/K380</f>
        <v>0.30178759200841221</v>
      </c>
      <c r="V380" s="140">
        <f t="shared" si="948"/>
        <v>0.38826185101580135</v>
      </c>
      <c r="W380" s="141">
        <f t="shared" si="948"/>
        <v>0.51600000000000001</v>
      </c>
      <c r="X380" s="140">
        <f t="shared" si="948"/>
        <v>0.40709812108559501</v>
      </c>
      <c r="Y380" s="142"/>
      <c r="Z380" s="143"/>
      <c r="AA380" s="136"/>
      <c r="AB380" s="136" t="s">
        <v>1566</v>
      </c>
      <c r="AC380" s="128" t="s">
        <v>1566</v>
      </c>
      <c r="AD380" s="135"/>
      <c r="AE380" s="127"/>
      <c r="AF380" s="127"/>
      <c r="AG380" s="130"/>
      <c r="AH380" s="130" t="str">
        <f t="shared" si="118"/>
        <v xml:space="preserve"> </v>
      </c>
      <c r="AI380" s="130">
        <f t="shared" si="119"/>
        <v>287</v>
      </c>
      <c r="AJ380" s="144" t="str">
        <f t="shared" si="120"/>
        <v xml:space="preserve"> </v>
      </c>
      <c r="AK380" s="128" t="str">
        <f t="shared" si="121"/>
        <v xml:space="preserve"> </v>
      </c>
      <c r="AL380" s="128" t="str">
        <f t="shared" si="122"/>
        <v xml:space="preserve"> </v>
      </c>
      <c r="AM380" s="128" t="str">
        <f t="shared" si="123"/>
        <v xml:space="preserve"> </v>
      </c>
      <c r="AN380" s="130" t="str">
        <f t="shared" si="124"/>
        <v xml:space="preserve"> </v>
      </c>
      <c r="AO380" s="130"/>
      <c r="AP380" s="130"/>
    </row>
    <row r="381" spans="1:42">
      <c r="A381" s="131" t="s">
        <v>201</v>
      </c>
      <c r="B381" s="132">
        <v>8</v>
      </c>
      <c r="C381" s="118" t="s">
        <v>140</v>
      </c>
      <c r="D381" s="118">
        <v>2015</v>
      </c>
      <c r="E381" s="133">
        <v>62</v>
      </c>
      <c r="F381" s="133">
        <v>27</v>
      </c>
      <c r="G381" s="133">
        <v>83</v>
      </c>
      <c r="H381" s="134">
        <v>471</v>
      </c>
      <c r="I381" s="133">
        <v>643</v>
      </c>
      <c r="J381" s="135"/>
      <c r="K381" s="136">
        <f t="shared" ref="K381:N381" si="949">K380*2</f>
        <v>1902</v>
      </c>
      <c r="L381" s="136">
        <f t="shared" si="949"/>
        <v>886</v>
      </c>
      <c r="M381" s="137">
        <f t="shared" si="949"/>
        <v>2000</v>
      </c>
      <c r="N381" s="136">
        <f t="shared" si="949"/>
        <v>4790</v>
      </c>
      <c r="O381" s="135"/>
      <c r="P381" s="136">
        <f t="shared" ref="P381:P385" si="950">E381+F381+P380</f>
        <v>376</v>
      </c>
      <c r="Q381" s="136">
        <f t="shared" ref="Q381:S381" si="951">G381+Q380</f>
        <v>255</v>
      </c>
      <c r="R381" s="137">
        <f t="shared" si="951"/>
        <v>987</v>
      </c>
      <c r="S381" s="136">
        <f t="shared" si="951"/>
        <v>1618</v>
      </c>
      <c r="T381" s="139"/>
      <c r="U381" s="140">
        <f t="shared" ref="U381:X381" si="952">P381/K381</f>
        <v>0.19768664563617244</v>
      </c>
      <c r="V381" s="140">
        <f t="shared" si="952"/>
        <v>0.28781038374717832</v>
      </c>
      <c r="W381" s="141">
        <f t="shared" si="952"/>
        <v>0.49349999999999999</v>
      </c>
      <c r="X381" s="140">
        <f t="shared" si="952"/>
        <v>0.33778705636743217</v>
      </c>
      <c r="Y381" s="142"/>
      <c r="Z381" s="143"/>
      <c r="AA381" s="136"/>
      <c r="AB381" s="136" t="s">
        <v>1566</v>
      </c>
      <c r="AC381" s="128" t="s">
        <v>1566</v>
      </c>
      <c r="AD381" s="135"/>
      <c r="AE381" s="127"/>
      <c r="AF381" s="127"/>
      <c r="AG381" s="130"/>
      <c r="AH381" s="130" t="str">
        <f t="shared" si="118"/>
        <v xml:space="preserve"> </v>
      </c>
      <c r="AI381" s="130" t="str">
        <f t="shared" si="119"/>
        <v xml:space="preserve"> </v>
      </c>
      <c r="AJ381" s="130">
        <f t="shared" si="120"/>
        <v>89</v>
      </c>
      <c r="AK381" s="128" t="str">
        <f t="shared" si="121"/>
        <v xml:space="preserve"> </v>
      </c>
      <c r="AL381" s="128" t="str">
        <f t="shared" si="122"/>
        <v xml:space="preserve"> </v>
      </c>
      <c r="AM381" s="128" t="str">
        <f t="shared" si="123"/>
        <v xml:space="preserve"> </v>
      </c>
      <c r="AN381" s="130" t="str">
        <f t="shared" si="124"/>
        <v xml:space="preserve"> </v>
      </c>
      <c r="AO381" s="130"/>
      <c r="AP381" s="130"/>
    </row>
    <row r="382" spans="1:42">
      <c r="A382" s="131" t="s">
        <v>201</v>
      </c>
      <c r="B382" s="132">
        <v>8</v>
      </c>
      <c r="C382" s="118" t="s">
        <v>140</v>
      </c>
      <c r="D382" s="118">
        <v>2016</v>
      </c>
      <c r="E382" s="133">
        <v>88</v>
      </c>
      <c r="F382" s="133">
        <v>258</v>
      </c>
      <c r="G382" s="133">
        <v>107</v>
      </c>
      <c r="H382" s="134">
        <v>770</v>
      </c>
      <c r="I382" s="133">
        <v>1223</v>
      </c>
      <c r="J382" s="135"/>
      <c r="K382" s="136">
        <f t="shared" ref="K382:N382" si="953">K380*3</f>
        <v>2853</v>
      </c>
      <c r="L382" s="136">
        <f t="shared" si="953"/>
        <v>1329</v>
      </c>
      <c r="M382" s="137">
        <f t="shared" si="953"/>
        <v>3000</v>
      </c>
      <c r="N382" s="136">
        <f t="shared" si="953"/>
        <v>7185</v>
      </c>
      <c r="O382" s="135"/>
      <c r="P382" s="136">
        <f t="shared" si="950"/>
        <v>722</v>
      </c>
      <c r="Q382" s="136">
        <f t="shared" ref="Q382:S382" si="954">G382+Q381</f>
        <v>362</v>
      </c>
      <c r="R382" s="137">
        <f t="shared" si="954"/>
        <v>1757</v>
      </c>
      <c r="S382" s="136">
        <f t="shared" si="954"/>
        <v>2841</v>
      </c>
      <c r="T382" s="139"/>
      <c r="U382" s="140">
        <f t="shared" ref="U382:X382" si="955">P382/K382</f>
        <v>0.25306694707325622</v>
      </c>
      <c r="V382" s="140">
        <f t="shared" si="955"/>
        <v>0.27238525206922498</v>
      </c>
      <c r="W382" s="141">
        <f t="shared" si="955"/>
        <v>0.58566666666666667</v>
      </c>
      <c r="X382" s="140">
        <f t="shared" si="955"/>
        <v>0.3954070981210856</v>
      </c>
      <c r="Y382" s="142"/>
      <c r="Z382" s="143"/>
      <c r="AA382" s="136"/>
      <c r="AB382" s="136" t="s">
        <v>1566</v>
      </c>
      <c r="AC382" s="128" t="s">
        <v>1566</v>
      </c>
      <c r="AD382" s="135"/>
      <c r="AE382" s="127" t="s">
        <v>1566</v>
      </c>
      <c r="AF382" s="127"/>
      <c r="AG382" s="130"/>
      <c r="AH382" s="130" t="str">
        <f t="shared" si="118"/>
        <v xml:space="preserve"> </v>
      </c>
      <c r="AI382" s="130" t="str">
        <f t="shared" si="119"/>
        <v xml:space="preserve"> </v>
      </c>
      <c r="AJ382" s="144" t="str">
        <f t="shared" si="120"/>
        <v xml:space="preserve"> </v>
      </c>
      <c r="AK382" s="128">
        <f t="shared" si="121"/>
        <v>346</v>
      </c>
      <c r="AL382" s="128" t="str">
        <f t="shared" si="122"/>
        <v xml:space="preserve"> </v>
      </c>
      <c r="AM382" s="128" t="str">
        <f t="shared" si="123"/>
        <v xml:space="preserve"> </v>
      </c>
      <c r="AN382" s="130" t="str">
        <f t="shared" si="124"/>
        <v xml:space="preserve"> </v>
      </c>
      <c r="AO382" s="130"/>
      <c r="AP382" s="130"/>
    </row>
    <row r="383" spans="1:42">
      <c r="A383" s="131" t="s">
        <v>201</v>
      </c>
      <c r="B383" s="132">
        <v>8</v>
      </c>
      <c r="C383" s="118" t="s">
        <v>140</v>
      </c>
      <c r="D383" s="118">
        <v>2017</v>
      </c>
      <c r="E383" s="133">
        <v>175</v>
      </c>
      <c r="F383" s="133">
        <v>346</v>
      </c>
      <c r="G383" s="133">
        <v>882</v>
      </c>
      <c r="H383" s="134">
        <v>1202</v>
      </c>
      <c r="I383" s="133">
        <v>2605</v>
      </c>
      <c r="J383" s="135"/>
      <c r="K383" s="136">
        <f t="shared" ref="K383:N383" si="956">K380*4</f>
        <v>3804</v>
      </c>
      <c r="L383" s="136">
        <f t="shared" si="956"/>
        <v>1772</v>
      </c>
      <c r="M383" s="137">
        <f t="shared" si="956"/>
        <v>4000</v>
      </c>
      <c r="N383" s="136">
        <f t="shared" si="956"/>
        <v>9580</v>
      </c>
      <c r="O383" s="135"/>
      <c r="P383" s="136">
        <f t="shared" si="950"/>
        <v>1243</v>
      </c>
      <c r="Q383" s="136">
        <f t="shared" ref="Q383:S383" si="957">G383+Q382</f>
        <v>1244</v>
      </c>
      <c r="R383" s="137">
        <f t="shared" si="957"/>
        <v>2959</v>
      </c>
      <c r="S383" s="136">
        <f t="shared" si="957"/>
        <v>5446</v>
      </c>
      <c r="T383" s="139"/>
      <c r="U383" s="140">
        <f t="shared" ref="U383:X383" si="958">P383/K383</f>
        <v>0.32676130389064145</v>
      </c>
      <c r="V383" s="140">
        <f t="shared" si="958"/>
        <v>0.7020316027088036</v>
      </c>
      <c r="W383" s="141">
        <f t="shared" si="958"/>
        <v>0.73975000000000002</v>
      </c>
      <c r="X383" s="140">
        <f t="shared" si="958"/>
        <v>0.56847599164926932</v>
      </c>
      <c r="Y383" s="142"/>
      <c r="Z383" s="143"/>
      <c r="AA383" s="136"/>
      <c r="AB383" s="136" t="s">
        <v>1566</v>
      </c>
      <c r="AC383" s="128" t="s">
        <v>1566</v>
      </c>
      <c r="AD383" s="135"/>
      <c r="AE383" s="127" t="s">
        <v>1566</v>
      </c>
      <c r="AF383" s="127"/>
      <c r="AG383" s="130"/>
      <c r="AH383" s="130" t="str">
        <f t="shared" si="118"/>
        <v xml:space="preserve"> </v>
      </c>
      <c r="AI383" s="130" t="str">
        <f t="shared" si="119"/>
        <v xml:space="preserve"> </v>
      </c>
      <c r="AJ383" s="144" t="str">
        <f t="shared" si="120"/>
        <v xml:space="preserve"> </v>
      </c>
      <c r="AK383" s="128" t="str">
        <f t="shared" si="121"/>
        <v xml:space="preserve"> </v>
      </c>
      <c r="AL383" s="128">
        <f t="shared" si="122"/>
        <v>521</v>
      </c>
      <c r="AM383" s="128" t="str">
        <f t="shared" si="123"/>
        <v xml:space="preserve"> </v>
      </c>
      <c r="AN383" s="130" t="str">
        <f t="shared" si="124"/>
        <v xml:space="preserve"> </v>
      </c>
      <c r="AO383" s="130"/>
      <c r="AP383" s="130"/>
    </row>
    <row r="384" spans="1:42">
      <c r="A384" s="131" t="s">
        <v>201</v>
      </c>
      <c r="B384" s="132">
        <v>8</v>
      </c>
      <c r="C384" s="118" t="s">
        <v>140</v>
      </c>
      <c r="D384" s="118">
        <v>2018</v>
      </c>
      <c r="E384" s="133">
        <v>95</v>
      </c>
      <c r="F384" s="133">
        <v>290</v>
      </c>
      <c r="G384" s="133">
        <v>337</v>
      </c>
      <c r="H384" s="134">
        <v>935</v>
      </c>
      <c r="I384" s="133">
        <v>1657</v>
      </c>
      <c r="J384" s="135"/>
      <c r="K384" s="136">
        <f t="shared" ref="K384:N384" si="959">K380*5</f>
        <v>4755</v>
      </c>
      <c r="L384" s="136">
        <f t="shared" si="959"/>
        <v>2215</v>
      </c>
      <c r="M384" s="137">
        <f t="shared" si="959"/>
        <v>5000</v>
      </c>
      <c r="N384" s="136">
        <f t="shared" si="959"/>
        <v>11975</v>
      </c>
      <c r="O384" s="135"/>
      <c r="P384" s="136">
        <f t="shared" si="950"/>
        <v>1628</v>
      </c>
      <c r="Q384" s="136">
        <f t="shared" ref="Q384:S384" si="960">G384+Q383</f>
        <v>1581</v>
      </c>
      <c r="R384" s="137">
        <f t="shared" si="960"/>
        <v>3894</v>
      </c>
      <c r="S384" s="136">
        <f t="shared" si="960"/>
        <v>7103</v>
      </c>
      <c r="T384" s="139"/>
      <c r="U384" s="140">
        <f t="shared" ref="U384:X384" si="961">P384/K384</f>
        <v>0.34237644584647742</v>
      </c>
      <c r="V384" s="140">
        <f t="shared" si="961"/>
        <v>0.71376975169300227</v>
      </c>
      <c r="W384" s="141">
        <f t="shared" si="961"/>
        <v>0.77880000000000005</v>
      </c>
      <c r="X384" s="140">
        <f t="shared" si="961"/>
        <v>0.59315240083507303</v>
      </c>
      <c r="Y384" s="142"/>
      <c r="Z384" s="143"/>
      <c r="AA384" s="136"/>
      <c r="AB384" s="136" t="s">
        <v>1566</v>
      </c>
      <c r="AC384" s="128" t="s">
        <v>1566</v>
      </c>
      <c r="AD384" s="135"/>
      <c r="AE384" s="127" t="s">
        <v>1566</v>
      </c>
      <c r="AF384" s="127"/>
      <c r="AG384" s="130"/>
      <c r="AH384" s="130" t="str">
        <f t="shared" si="118"/>
        <v xml:space="preserve"> </v>
      </c>
      <c r="AI384" s="130" t="str">
        <f t="shared" si="119"/>
        <v xml:space="preserve"> </v>
      </c>
      <c r="AJ384" s="144" t="str">
        <f t="shared" si="120"/>
        <v xml:space="preserve"> </v>
      </c>
      <c r="AK384" s="128" t="str">
        <f t="shared" si="121"/>
        <v xml:space="preserve"> </v>
      </c>
      <c r="AL384" s="128" t="str">
        <f t="shared" si="122"/>
        <v xml:space="preserve"> </v>
      </c>
      <c r="AM384" s="128">
        <f t="shared" si="123"/>
        <v>385</v>
      </c>
      <c r="AN384" s="130" t="str">
        <f t="shared" si="124"/>
        <v xml:space="preserve"> </v>
      </c>
      <c r="AO384" s="130"/>
      <c r="AP384" s="130"/>
    </row>
    <row r="385" spans="1:42">
      <c r="A385" s="131" t="s">
        <v>201</v>
      </c>
      <c r="B385" s="132">
        <v>8</v>
      </c>
      <c r="C385" s="118" t="s">
        <v>140</v>
      </c>
      <c r="D385" s="118">
        <v>2019</v>
      </c>
      <c r="E385" s="133">
        <v>11</v>
      </c>
      <c r="F385" s="133">
        <v>35</v>
      </c>
      <c r="G385" s="133">
        <v>59</v>
      </c>
      <c r="H385" s="134">
        <v>600</v>
      </c>
      <c r="I385" s="133">
        <f>E385+F385+G385+H385</f>
        <v>705</v>
      </c>
      <c r="J385" s="135"/>
      <c r="K385" s="136">
        <f t="shared" ref="K385:N385" si="962">K380*6</f>
        <v>5706</v>
      </c>
      <c r="L385" s="136">
        <f t="shared" si="962"/>
        <v>2658</v>
      </c>
      <c r="M385" s="137">
        <f t="shared" si="962"/>
        <v>6000</v>
      </c>
      <c r="N385" s="136">
        <f t="shared" si="962"/>
        <v>14370</v>
      </c>
      <c r="O385" s="135"/>
      <c r="P385" s="136">
        <f t="shared" si="950"/>
        <v>1674</v>
      </c>
      <c r="Q385" s="136">
        <f t="shared" ref="Q385:S385" si="963">G385+Q384</f>
        <v>1640</v>
      </c>
      <c r="R385" s="137">
        <f t="shared" si="963"/>
        <v>4494</v>
      </c>
      <c r="S385" s="136">
        <f t="shared" si="963"/>
        <v>7808</v>
      </c>
      <c r="T385" s="139"/>
      <c r="U385" s="140">
        <f t="shared" ref="U385:X385" si="964">P385/K385</f>
        <v>0.29337539432176657</v>
      </c>
      <c r="V385" s="140">
        <f t="shared" si="964"/>
        <v>0.61700526711813397</v>
      </c>
      <c r="W385" s="141">
        <f t="shared" si="964"/>
        <v>0.749</v>
      </c>
      <c r="X385" s="140">
        <f t="shared" si="964"/>
        <v>0.5433542101600557</v>
      </c>
      <c r="Y385" s="146" t="s">
        <v>201</v>
      </c>
      <c r="Z385" s="143"/>
      <c r="AA385" s="138">
        <v>19158</v>
      </c>
      <c r="AB385" s="136">
        <v>14370</v>
      </c>
      <c r="AC385" s="128">
        <v>7808</v>
      </c>
      <c r="AD385" s="135"/>
      <c r="AE385" s="127">
        <f>N380</f>
        <v>2395</v>
      </c>
      <c r="AF385" s="127"/>
      <c r="AG385" s="130"/>
      <c r="AH385" s="130" t="str">
        <f t="shared" si="118"/>
        <v xml:space="preserve"> </v>
      </c>
      <c r="AI385" s="130" t="str">
        <f t="shared" si="119"/>
        <v xml:space="preserve"> </v>
      </c>
      <c r="AJ385" s="144" t="str">
        <f t="shared" si="120"/>
        <v xml:space="preserve"> </v>
      </c>
      <c r="AK385" s="128" t="str">
        <f t="shared" si="121"/>
        <v xml:space="preserve"> </v>
      </c>
      <c r="AL385" s="128" t="str">
        <f t="shared" si="122"/>
        <v xml:space="preserve"> </v>
      </c>
      <c r="AM385" s="128" t="str">
        <f t="shared" si="123"/>
        <v xml:space="preserve"> </v>
      </c>
      <c r="AN385" s="130">
        <f t="shared" si="124"/>
        <v>46</v>
      </c>
      <c r="AO385" s="130"/>
      <c r="AP385" s="130"/>
    </row>
    <row r="386" spans="1:42">
      <c r="A386" s="131"/>
      <c r="B386" s="132"/>
      <c r="C386" s="118"/>
      <c r="D386" s="118"/>
      <c r="E386" s="133"/>
      <c r="F386" s="133"/>
      <c r="G386" s="133"/>
      <c r="H386" s="134"/>
      <c r="I386" s="133"/>
      <c r="J386" s="135"/>
      <c r="K386" s="136"/>
      <c r="L386" s="136"/>
      <c r="M386" s="137"/>
      <c r="N386" s="136"/>
      <c r="O386" s="135"/>
      <c r="P386" s="136"/>
      <c r="Q386" s="136"/>
      <c r="R386" s="137"/>
      <c r="S386" s="136"/>
      <c r="T386" s="139"/>
      <c r="U386" s="140"/>
      <c r="V386" s="140"/>
      <c r="W386" s="141"/>
      <c r="X386" s="140"/>
      <c r="Y386" s="142"/>
      <c r="Z386" s="143"/>
      <c r="AA386" s="136"/>
      <c r="AB386" s="136" t="s">
        <v>1566</v>
      </c>
      <c r="AC386" s="128" t="s">
        <v>1566</v>
      </c>
      <c r="AD386" s="135"/>
      <c r="AE386" s="127" t="s">
        <v>1566</v>
      </c>
      <c r="AF386" s="127"/>
      <c r="AG386" s="130"/>
      <c r="AH386" s="130" t="str">
        <f t="shared" si="118"/>
        <v xml:space="preserve"> </v>
      </c>
      <c r="AI386" s="130" t="str">
        <f t="shared" si="119"/>
        <v xml:space="preserve"> </v>
      </c>
      <c r="AJ386" s="144" t="str">
        <f t="shared" si="120"/>
        <v xml:space="preserve"> </v>
      </c>
      <c r="AK386" s="128" t="str">
        <f t="shared" si="121"/>
        <v xml:space="preserve"> </v>
      </c>
      <c r="AL386" s="128" t="str">
        <f t="shared" si="122"/>
        <v xml:space="preserve"> </v>
      </c>
      <c r="AM386" s="128" t="str">
        <f t="shared" si="123"/>
        <v xml:space="preserve"> </v>
      </c>
      <c r="AN386" s="130" t="str">
        <f t="shared" si="124"/>
        <v xml:space="preserve"> </v>
      </c>
      <c r="AO386" s="130"/>
      <c r="AP386" s="130"/>
    </row>
    <row r="387" spans="1:42">
      <c r="A387" s="131" t="s">
        <v>202</v>
      </c>
      <c r="B387" s="132">
        <v>8</v>
      </c>
      <c r="C387" s="118" t="s">
        <v>140</v>
      </c>
      <c r="D387" s="118">
        <v>2013</v>
      </c>
      <c r="E387" s="133">
        <v>115</v>
      </c>
      <c r="F387" s="133">
        <v>19</v>
      </c>
      <c r="G387" s="133">
        <v>452</v>
      </c>
      <c r="H387" s="134">
        <v>211</v>
      </c>
      <c r="I387" s="133">
        <f t="shared" ref="I387:I388" si="965">E387+F387+G387+H387</f>
        <v>797</v>
      </c>
      <c r="J387" s="135"/>
      <c r="K387" s="136"/>
      <c r="L387" s="136"/>
      <c r="M387" s="137"/>
      <c r="N387" s="136"/>
      <c r="O387" s="135"/>
      <c r="P387" s="136">
        <f>E387+F387</f>
        <v>134</v>
      </c>
      <c r="Q387" s="136">
        <f t="shared" ref="Q387:R387" si="966">G387</f>
        <v>452</v>
      </c>
      <c r="R387" s="137">
        <f t="shared" si="966"/>
        <v>211</v>
      </c>
      <c r="S387" s="136">
        <f>P387+Q387+R387</f>
        <v>797</v>
      </c>
      <c r="T387" s="139"/>
      <c r="U387" s="140"/>
      <c r="V387" s="140"/>
      <c r="W387" s="141"/>
      <c r="X387" s="140"/>
      <c r="Y387" s="142"/>
      <c r="Z387" s="143"/>
      <c r="AA387" s="136"/>
      <c r="AB387" s="136"/>
      <c r="AC387" s="128"/>
      <c r="AD387" s="135"/>
      <c r="AE387" s="127"/>
      <c r="AF387" s="127"/>
      <c r="AG387" s="130"/>
      <c r="AH387" s="130">
        <f t="shared" si="118"/>
        <v>134</v>
      </c>
      <c r="AI387" s="130" t="str">
        <f t="shared" si="119"/>
        <v xml:space="preserve"> </v>
      </c>
      <c r="AJ387" s="144" t="str">
        <f t="shared" si="120"/>
        <v xml:space="preserve"> </v>
      </c>
      <c r="AK387" s="128" t="str">
        <f t="shared" si="121"/>
        <v xml:space="preserve"> </v>
      </c>
      <c r="AL387" s="128" t="str">
        <f t="shared" si="122"/>
        <v xml:space="preserve"> </v>
      </c>
      <c r="AM387" s="128" t="str">
        <f t="shared" si="123"/>
        <v xml:space="preserve"> </v>
      </c>
      <c r="AN387" s="130" t="str">
        <f t="shared" si="124"/>
        <v xml:space="preserve"> </v>
      </c>
      <c r="AO387" s="130"/>
      <c r="AP387" s="130"/>
    </row>
    <row r="388" spans="1:42">
      <c r="A388" s="131" t="s">
        <v>202</v>
      </c>
      <c r="B388" s="132">
        <v>8</v>
      </c>
      <c r="C388" s="118" t="s">
        <v>140</v>
      </c>
      <c r="D388" s="118">
        <v>2014</v>
      </c>
      <c r="E388" s="133">
        <v>6</v>
      </c>
      <c r="F388" s="133">
        <v>5</v>
      </c>
      <c r="G388" s="133">
        <v>83</v>
      </c>
      <c r="H388" s="134">
        <v>132</v>
      </c>
      <c r="I388" s="133">
        <f t="shared" si="965"/>
        <v>226</v>
      </c>
      <c r="J388" s="135"/>
      <c r="K388" s="136">
        <f>ROUND((2457+1724)/8,0)</f>
        <v>523</v>
      </c>
      <c r="L388" s="136">
        <f>ROUND('HCD Assigned 5th Cycle RHNA'!F399/B388,0)</f>
        <v>259</v>
      </c>
      <c r="M388" s="137">
        <v>610</v>
      </c>
      <c r="N388" s="136">
        <f>ROUND(11129/8,0)</f>
        <v>1391</v>
      </c>
      <c r="O388" s="135"/>
      <c r="P388" s="136">
        <f t="shared" ref="P388:P393" si="967">E388+F388+P387</f>
        <v>145</v>
      </c>
      <c r="Q388" s="136">
        <f t="shared" ref="Q388:S388" si="968">G388+Q387</f>
        <v>535</v>
      </c>
      <c r="R388" s="137">
        <f t="shared" si="968"/>
        <v>343</v>
      </c>
      <c r="S388" s="136">
        <f t="shared" si="968"/>
        <v>1023</v>
      </c>
      <c r="T388" s="139"/>
      <c r="U388" s="140">
        <f t="shared" ref="U388:X388" si="969">P388/K388</f>
        <v>0.27724665391969405</v>
      </c>
      <c r="V388" s="140">
        <f t="shared" si="969"/>
        <v>2.0656370656370657</v>
      </c>
      <c r="W388" s="141">
        <f t="shared" si="969"/>
        <v>0.56229508196721312</v>
      </c>
      <c r="X388" s="140">
        <f t="shared" si="969"/>
        <v>0.73544212796549246</v>
      </c>
      <c r="Y388" s="142"/>
      <c r="Z388" s="143"/>
      <c r="AA388" s="136"/>
      <c r="AB388" s="136" t="s">
        <v>1566</v>
      </c>
      <c r="AC388" s="128" t="s">
        <v>1566</v>
      </c>
      <c r="AD388" s="135"/>
      <c r="AE388" s="127"/>
      <c r="AF388" s="127"/>
      <c r="AG388" s="130"/>
      <c r="AH388" s="130" t="str">
        <f t="shared" si="118"/>
        <v xml:space="preserve"> </v>
      </c>
      <c r="AI388" s="130">
        <f t="shared" si="119"/>
        <v>11</v>
      </c>
      <c r="AJ388" s="144" t="str">
        <f t="shared" si="120"/>
        <v xml:space="preserve"> </v>
      </c>
      <c r="AK388" s="128" t="str">
        <f t="shared" si="121"/>
        <v xml:space="preserve"> </v>
      </c>
      <c r="AL388" s="128" t="str">
        <f t="shared" si="122"/>
        <v xml:space="preserve"> </v>
      </c>
      <c r="AM388" s="128" t="str">
        <f t="shared" si="123"/>
        <v xml:space="preserve"> </v>
      </c>
      <c r="AN388" s="130" t="str">
        <f t="shared" si="124"/>
        <v xml:space="preserve"> </v>
      </c>
      <c r="AO388" s="130"/>
      <c r="AP388" s="130"/>
    </row>
    <row r="389" spans="1:42">
      <c r="A389" s="131" t="s">
        <v>202</v>
      </c>
      <c r="B389" s="132">
        <v>8</v>
      </c>
      <c r="C389" s="118" t="s">
        <v>140</v>
      </c>
      <c r="D389" s="118">
        <v>2015</v>
      </c>
      <c r="E389" s="133">
        <v>58</v>
      </c>
      <c r="F389" s="133">
        <v>28</v>
      </c>
      <c r="G389" s="133">
        <v>84</v>
      </c>
      <c r="H389" s="134">
        <v>267</v>
      </c>
      <c r="I389" s="133">
        <v>437</v>
      </c>
      <c r="J389" s="135"/>
      <c r="K389" s="136">
        <f t="shared" ref="K389:N389" si="970">K388*2</f>
        <v>1046</v>
      </c>
      <c r="L389" s="136">
        <f t="shared" si="970"/>
        <v>518</v>
      </c>
      <c r="M389" s="137">
        <f t="shared" si="970"/>
        <v>1220</v>
      </c>
      <c r="N389" s="136">
        <f t="shared" si="970"/>
        <v>2782</v>
      </c>
      <c r="O389" s="135"/>
      <c r="P389" s="136">
        <f t="shared" si="967"/>
        <v>231</v>
      </c>
      <c r="Q389" s="136">
        <f t="shared" ref="Q389:S389" si="971">G389+Q388</f>
        <v>619</v>
      </c>
      <c r="R389" s="137">
        <f t="shared" si="971"/>
        <v>610</v>
      </c>
      <c r="S389" s="136">
        <f t="shared" si="971"/>
        <v>1460</v>
      </c>
      <c r="T389" s="139"/>
      <c r="U389" s="140">
        <f t="shared" ref="U389:X389" si="972">P389/K389</f>
        <v>0.2208413001912046</v>
      </c>
      <c r="V389" s="140">
        <f t="shared" si="972"/>
        <v>1.1949806949806949</v>
      </c>
      <c r="W389" s="141">
        <f t="shared" si="972"/>
        <v>0.5</v>
      </c>
      <c r="X389" s="140">
        <f t="shared" si="972"/>
        <v>0.52480230050323506</v>
      </c>
      <c r="Y389" s="142"/>
      <c r="Z389" s="143"/>
      <c r="AA389" s="136"/>
      <c r="AB389" s="136" t="s">
        <v>1566</v>
      </c>
      <c r="AC389" s="128" t="s">
        <v>1566</v>
      </c>
      <c r="AD389" s="135"/>
      <c r="AE389" s="127"/>
      <c r="AF389" s="127"/>
      <c r="AG389" s="130"/>
      <c r="AH389" s="130" t="str">
        <f t="shared" si="118"/>
        <v xml:space="preserve"> </v>
      </c>
      <c r="AI389" s="130" t="str">
        <f t="shared" si="119"/>
        <v xml:space="preserve"> </v>
      </c>
      <c r="AJ389" s="130">
        <f t="shared" si="120"/>
        <v>86</v>
      </c>
      <c r="AK389" s="128" t="str">
        <f t="shared" si="121"/>
        <v xml:space="preserve"> </v>
      </c>
      <c r="AL389" s="128" t="str">
        <f t="shared" si="122"/>
        <v xml:space="preserve"> </v>
      </c>
      <c r="AM389" s="128" t="str">
        <f t="shared" si="123"/>
        <v xml:space="preserve"> </v>
      </c>
      <c r="AN389" s="130" t="str">
        <f t="shared" si="124"/>
        <v xml:space="preserve"> </v>
      </c>
      <c r="AO389" s="130"/>
      <c r="AP389" s="130"/>
    </row>
    <row r="390" spans="1:42">
      <c r="A390" s="131" t="s">
        <v>202</v>
      </c>
      <c r="B390" s="132">
        <v>8</v>
      </c>
      <c r="C390" s="118" t="s">
        <v>140</v>
      </c>
      <c r="D390" s="118">
        <v>2016</v>
      </c>
      <c r="E390" s="133">
        <v>82</v>
      </c>
      <c r="F390" s="133">
        <v>32</v>
      </c>
      <c r="G390" s="133">
        <v>180</v>
      </c>
      <c r="H390" s="134">
        <v>431</v>
      </c>
      <c r="I390" s="133">
        <v>725</v>
      </c>
      <c r="J390" s="135"/>
      <c r="K390" s="136">
        <f t="shared" ref="K390:N390" si="973">K388*3</f>
        <v>1569</v>
      </c>
      <c r="L390" s="136">
        <f t="shared" si="973"/>
        <v>777</v>
      </c>
      <c r="M390" s="137">
        <f t="shared" si="973"/>
        <v>1830</v>
      </c>
      <c r="N390" s="136">
        <f t="shared" si="973"/>
        <v>4173</v>
      </c>
      <c r="O390" s="135"/>
      <c r="P390" s="136">
        <f t="shared" si="967"/>
        <v>345</v>
      </c>
      <c r="Q390" s="136">
        <f t="shared" ref="Q390:S390" si="974">G390+Q389</f>
        <v>799</v>
      </c>
      <c r="R390" s="137">
        <f t="shared" si="974"/>
        <v>1041</v>
      </c>
      <c r="S390" s="136">
        <f t="shared" si="974"/>
        <v>2185</v>
      </c>
      <c r="T390" s="139"/>
      <c r="U390" s="140">
        <f t="shared" ref="U390:X390" si="975">P390/K390</f>
        <v>0.21988527724665391</v>
      </c>
      <c r="V390" s="140">
        <f t="shared" si="975"/>
        <v>1.0283140283140284</v>
      </c>
      <c r="W390" s="141">
        <f t="shared" si="975"/>
        <v>0.56885245901639347</v>
      </c>
      <c r="X390" s="140">
        <f t="shared" si="975"/>
        <v>0.52360412173496285</v>
      </c>
      <c r="Y390" s="142"/>
      <c r="Z390" s="143"/>
      <c r="AA390" s="136"/>
      <c r="AB390" s="136" t="s">
        <v>1566</v>
      </c>
      <c r="AC390" s="128" t="s">
        <v>1566</v>
      </c>
      <c r="AD390" s="135"/>
      <c r="AE390" s="127" t="s">
        <v>1566</v>
      </c>
      <c r="AF390" s="127"/>
      <c r="AG390" s="130"/>
      <c r="AH390" s="130" t="str">
        <f t="shared" si="118"/>
        <v xml:space="preserve"> </v>
      </c>
      <c r="AI390" s="130" t="str">
        <f t="shared" si="119"/>
        <v xml:space="preserve"> </v>
      </c>
      <c r="AJ390" s="144" t="str">
        <f t="shared" si="120"/>
        <v xml:space="preserve"> </v>
      </c>
      <c r="AK390" s="128">
        <f t="shared" si="121"/>
        <v>114</v>
      </c>
      <c r="AL390" s="128" t="str">
        <f t="shared" si="122"/>
        <v xml:space="preserve"> </v>
      </c>
      <c r="AM390" s="128" t="str">
        <f t="shared" si="123"/>
        <v xml:space="preserve"> </v>
      </c>
      <c r="AN390" s="130" t="str">
        <f t="shared" si="124"/>
        <v xml:space="preserve"> </v>
      </c>
      <c r="AO390" s="130"/>
      <c r="AP390" s="130"/>
    </row>
    <row r="391" spans="1:42">
      <c r="A391" s="131" t="s">
        <v>202</v>
      </c>
      <c r="B391" s="132">
        <v>8</v>
      </c>
      <c r="C391" s="118" t="s">
        <v>140</v>
      </c>
      <c r="D391" s="118">
        <v>2017</v>
      </c>
      <c r="E391" s="133">
        <v>83</v>
      </c>
      <c r="F391" s="133">
        <v>14</v>
      </c>
      <c r="G391" s="133">
        <v>175</v>
      </c>
      <c r="H391" s="134">
        <v>310</v>
      </c>
      <c r="I391" s="133">
        <v>582</v>
      </c>
      <c r="J391" s="135"/>
      <c r="K391" s="136">
        <f t="shared" ref="K391:N391" si="976">K388*4</f>
        <v>2092</v>
      </c>
      <c r="L391" s="136">
        <f t="shared" si="976"/>
        <v>1036</v>
      </c>
      <c r="M391" s="137">
        <f t="shared" si="976"/>
        <v>2440</v>
      </c>
      <c r="N391" s="136">
        <f t="shared" si="976"/>
        <v>5564</v>
      </c>
      <c r="O391" s="135"/>
      <c r="P391" s="136">
        <f t="shared" si="967"/>
        <v>442</v>
      </c>
      <c r="Q391" s="136">
        <f t="shared" ref="Q391:S391" si="977">G391+Q390</f>
        <v>974</v>
      </c>
      <c r="R391" s="137">
        <f t="shared" si="977"/>
        <v>1351</v>
      </c>
      <c r="S391" s="136">
        <f t="shared" si="977"/>
        <v>2767</v>
      </c>
      <c r="T391" s="139"/>
      <c r="U391" s="140">
        <f t="shared" ref="U391:X391" si="978">P391/K391</f>
        <v>0.21128107074569791</v>
      </c>
      <c r="V391" s="140">
        <f t="shared" si="978"/>
        <v>0.94015444015444016</v>
      </c>
      <c r="W391" s="141">
        <f t="shared" si="978"/>
        <v>0.55368852459016393</v>
      </c>
      <c r="X391" s="140">
        <f t="shared" si="978"/>
        <v>0.49730409777138751</v>
      </c>
      <c r="Y391" s="142"/>
      <c r="Z391" s="143"/>
      <c r="AA391" s="136"/>
      <c r="AB391" s="136" t="s">
        <v>1566</v>
      </c>
      <c r="AC391" s="128" t="s">
        <v>1566</v>
      </c>
      <c r="AD391" s="135"/>
      <c r="AE391" s="127" t="s">
        <v>1566</v>
      </c>
      <c r="AF391" s="127"/>
      <c r="AG391" s="130"/>
      <c r="AH391" s="130" t="str">
        <f t="shared" si="118"/>
        <v xml:space="preserve"> </v>
      </c>
      <c r="AI391" s="130" t="str">
        <f t="shared" si="119"/>
        <v xml:space="preserve"> </v>
      </c>
      <c r="AJ391" s="144" t="str">
        <f t="shared" si="120"/>
        <v xml:space="preserve"> </v>
      </c>
      <c r="AK391" s="128" t="str">
        <f t="shared" si="121"/>
        <v xml:space="preserve"> </v>
      </c>
      <c r="AL391" s="128">
        <f t="shared" si="122"/>
        <v>97</v>
      </c>
      <c r="AM391" s="128" t="str">
        <f t="shared" si="123"/>
        <v xml:space="preserve"> </v>
      </c>
      <c r="AN391" s="130" t="str">
        <f t="shared" si="124"/>
        <v xml:space="preserve"> </v>
      </c>
      <c r="AO391" s="130"/>
      <c r="AP391" s="130"/>
    </row>
    <row r="392" spans="1:42">
      <c r="A392" s="131" t="s">
        <v>202</v>
      </c>
      <c r="B392" s="132">
        <v>8</v>
      </c>
      <c r="C392" s="118" t="s">
        <v>140</v>
      </c>
      <c r="D392" s="118">
        <v>2018</v>
      </c>
      <c r="E392" s="133">
        <v>60</v>
      </c>
      <c r="F392" s="133">
        <v>76</v>
      </c>
      <c r="G392" s="133">
        <v>168</v>
      </c>
      <c r="H392" s="134">
        <v>521</v>
      </c>
      <c r="I392" s="133">
        <v>825</v>
      </c>
      <c r="J392" s="135"/>
      <c r="K392" s="136">
        <f t="shared" ref="K392:N392" si="979">K388*5</f>
        <v>2615</v>
      </c>
      <c r="L392" s="136">
        <f t="shared" si="979"/>
        <v>1295</v>
      </c>
      <c r="M392" s="137">
        <f t="shared" si="979"/>
        <v>3050</v>
      </c>
      <c r="N392" s="136">
        <f t="shared" si="979"/>
        <v>6955</v>
      </c>
      <c r="O392" s="135"/>
      <c r="P392" s="136">
        <f t="shared" si="967"/>
        <v>578</v>
      </c>
      <c r="Q392" s="136">
        <f t="shared" ref="Q392:S392" si="980">G392+Q391</f>
        <v>1142</v>
      </c>
      <c r="R392" s="137">
        <f t="shared" si="980"/>
        <v>1872</v>
      </c>
      <c r="S392" s="136">
        <f t="shared" si="980"/>
        <v>3592</v>
      </c>
      <c r="T392" s="139"/>
      <c r="U392" s="140">
        <f t="shared" ref="U392:X392" si="981">P392/K392</f>
        <v>0.22103250478011471</v>
      </c>
      <c r="V392" s="140">
        <f t="shared" si="981"/>
        <v>0.88185328185328182</v>
      </c>
      <c r="W392" s="141">
        <f t="shared" si="981"/>
        <v>0.61377049180327869</v>
      </c>
      <c r="X392" s="140">
        <f t="shared" si="981"/>
        <v>0.51646297627606041</v>
      </c>
      <c r="Y392" s="142"/>
      <c r="Z392" s="143"/>
      <c r="AA392" s="138"/>
      <c r="AB392" s="136" t="s">
        <v>1566</v>
      </c>
      <c r="AC392" s="128" t="s">
        <v>1566</v>
      </c>
      <c r="AD392" s="135"/>
      <c r="AE392" s="127" t="s">
        <v>1566</v>
      </c>
      <c r="AF392" s="127"/>
      <c r="AG392" s="130"/>
      <c r="AH392" s="130" t="str">
        <f t="shared" si="118"/>
        <v xml:space="preserve"> </v>
      </c>
      <c r="AI392" s="130" t="str">
        <f t="shared" si="119"/>
        <v xml:space="preserve"> </v>
      </c>
      <c r="AJ392" s="144" t="str">
        <f t="shared" si="120"/>
        <v xml:space="preserve"> </v>
      </c>
      <c r="AK392" s="128" t="str">
        <f t="shared" si="121"/>
        <v xml:space="preserve"> </v>
      </c>
      <c r="AL392" s="128" t="str">
        <f t="shared" si="122"/>
        <v xml:space="preserve"> </v>
      </c>
      <c r="AM392" s="128">
        <f t="shared" si="123"/>
        <v>136</v>
      </c>
      <c r="AN392" s="130" t="str">
        <f t="shared" si="124"/>
        <v xml:space="preserve"> </v>
      </c>
      <c r="AO392" s="130"/>
      <c r="AP392" s="130"/>
    </row>
    <row r="393" spans="1:42">
      <c r="A393" s="131" t="s">
        <v>202</v>
      </c>
      <c r="B393" s="132">
        <v>8</v>
      </c>
      <c r="C393" s="118" t="s">
        <v>203</v>
      </c>
      <c r="D393" s="118">
        <v>2019</v>
      </c>
      <c r="E393" s="133">
        <v>58</v>
      </c>
      <c r="F393" s="133">
        <v>91</v>
      </c>
      <c r="G393" s="133">
        <v>233</v>
      </c>
      <c r="H393" s="134">
        <v>379</v>
      </c>
      <c r="I393" s="133">
        <f>E393+F393+G393+H393</f>
        <v>761</v>
      </c>
      <c r="J393" s="135"/>
      <c r="K393" s="136">
        <f t="shared" ref="K393:N393" si="982">K388*6</f>
        <v>3138</v>
      </c>
      <c r="L393" s="136">
        <f t="shared" si="982"/>
        <v>1554</v>
      </c>
      <c r="M393" s="137">
        <f t="shared" si="982"/>
        <v>3660</v>
      </c>
      <c r="N393" s="136">
        <f t="shared" si="982"/>
        <v>8346</v>
      </c>
      <c r="O393" s="135"/>
      <c r="P393" s="136">
        <f t="shared" si="967"/>
        <v>727</v>
      </c>
      <c r="Q393" s="136">
        <f t="shared" ref="Q393:S393" si="983">G393+Q392</f>
        <v>1375</v>
      </c>
      <c r="R393" s="137">
        <f t="shared" si="983"/>
        <v>2251</v>
      </c>
      <c r="S393" s="136">
        <f t="shared" si="983"/>
        <v>4353</v>
      </c>
      <c r="T393" s="139"/>
      <c r="U393" s="140">
        <f t="shared" ref="U393:X393" si="984">P393/K393</f>
        <v>0.23167622689611217</v>
      </c>
      <c r="V393" s="140">
        <f t="shared" si="984"/>
        <v>0.88481338481338478</v>
      </c>
      <c r="W393" s="141">
        <f t="shared" si="984"/>
        <v>0.61502732240437163</v>
      </c>
      <c r="X393" s="140">
        <f t="shared" si="984"/>
        <v>0.52156721782890003</v>
      </c>
      <c r="Y393" s="146" t="s">
        <v>202</v>
      </c>
      <c r="Z393" s="143"/>
      <c r="AA393" s="138">
        <v>11129</v>
      </c>
      <c r="AB393" s="136">
        <v>8346</v>
      </c>
      <c r="AC393" s="128">
        <v>4353</v>
      </c>
      <c r="AD393" s="135"/>
      <c r="AE393" s="127">
        <f>N388</f>
        <v>1391</v>
      </c>
      <c r="AF393" s="127"/>
      <c r="AG393" s="130"/>
      <c r="AH393" s="130" t="str">
        <f t="shared" si="118"/>
        <v xml:space="preserve"> </v>
      </c>
      <c r="AI393" s="130" t="str">
        <f t="shared" si="119"/>
        <v xml:space="preserve"> </v>
      </c>
      <c r="AJ393" s="144" t="str">
        <f t="shared" si="120"/>
        <v xml:space="preserve"> </v>
      </c>
      <c r="AK393" s="128" t="str">
        <f t="shared" si="121"/>
        <v xml:space="preserve"> </v>
      </c>
      <c r="AL393" s="128" t="str">
        <f t="shared" si="122"/>
        <v xml:space="preserve"> </v>
      </c>
      <c r="AM393" s="128" t="str">
        <f t="shared" si="123"/>
        <v xml:space="preserve"> </v>
      </c>
      <c r="AN393" s="130">
        <f t="shared" si="124"/>
        <v>149</v>
      </c>
      <c r="AO393" s="130"/>
      <c r="AP393" s="130"/>
    </row>
    <row r="394" spans="1:42">
      <c r="A394" s="131"/>
      <c r="B394" s="132"/>
      <c r="C394" s="118"/>
      <c r="D394" s="118"/>
      <c r="E394" s="133"/>
      <c r="F394" s="133"/>
      <c r="G394" s="133"/>
      <c r="H394" s="134"/>
      <c r="I394" s="133"/>
      <c r="J394" s="135"/>
      <c r="K394" s="136"/>
      <c r="L394" s="136"/>
      <c r="M394" s="137"/>
      <c r="N394" s="136"/>
      <c r="O394" s="135"/>
      <c r="P394" s="136"/>
      <c r="Q394" s="136"/>
      <c r="R394" s="137"/>
      <c r="S394" s="136"/>
      <c r="T394" s="139"/>
      <c r="U394" s="140"/>
      <c r="V394" s="140"/>
      <c r="W394" s="141"/>
      <c r="X394" s="140"/>
      <c r="Y394" s="142"/>
      <c r="Z394" s="143"/>
      <c r="AA394" s="136"/>
      <c r="AB394" s="136" t="s">
        <v>1566</v>
      </c>
      <c r="AC394" s="128" t="s">
        <v>1566</v>
      </c>
      <c r="AD394" s="135"/>
      <c r="AE394" s="127" t="s">
        <v>1566</v>
      </c>
      <c r="AF394" s="127"/>
      <c r="AG394" s="130"/>
      <c r="AH394" s="130" t="str">
        <f t="shared" si="118"/>
        <v xml:space="preserve"> </v>
      </c>
      <c r="AI394" s="130" t="str">
        <f t="shared" si="119"/>
        <v xml:space="preserve"> </v>
      </c>
      <c r="AJ394" s="144" t="str">
        <f t="shared" si="120"/>
        <v xml:space="preserve"> </v>
      </c>
      <c r="AK394" s="128" t="str">
        <f t="shared" si="121"/>
        <v xml:space="preserve"> </v>
      </c>
      <c r="AL394" s="128" t="str">
        <f t="shared" si="122"/>
        <v xml:space="preserve"> </v>
      </c>
      <c r="AM394" s="128" t="str">
        <f t="shared" si="123"/>
        <v xml:space="preserve"> </v>
      </c>
      <c r="AN394" s="130" t="str">
        <f t="shared" si="124"/>
        <v xml:space="preserve"> </v>
      </c>
      <c r="AO394" s="130"/>
      <c r="AP394" s="130"/>
    </row>
    <row r="395" spans="1:42">
      <c r="A395" s="131" t="s">
        <v>204</v>
      </c>
      <c r="B395" s="132">
        <v>8</v>
      </c>
      <c r="C395" s="118" t="s">
        <v>140</v>
      </c>
      <c r="D395" s="118">
        <v>2013</v>
      </c>
      <c r="E395" s="133">
        <v>0</v>
      </c>
      <c r="F395" s="133">
        <v>0</v>
      </c>
      <c r="G395" s="133">
        <v>1</v>
      </c>
      <c r="H395" s="134">
        <v>85</v>
      </c>
      <c r="I395" s="133">
        <f>E395+F395+G395+H395</f>
        <v>86</v>
      </c>
      <c r="J395" s="135"/>
      <c r="K395" s="130">
        <f>ROUND(1157+811/8,0)*1</f>
        <v>1258</v>
      </c>
      <c r="L395" s="130">
        <f>ROUND('HCD Assigned 5th Cycle RHNA'!F405/B396,0)*1</f>
        <v>122</v>
      </c>
      <c r="M395" s="156">
        <f>ROUND(2290/8,0)*1</f>
        <v>286</v>
      </c>
      <c r="N395" s="136">
        <f>K395+L395+M395</f>
        <v>1666</v>
      </c>
      <c r="O395" s="135"/>
      <c r="P395" s="136">
        <f t="shared" ref="P395:P396" si="985">E395+F395</f>
        <v>0</v>
      </c>
      <c r="Q395" s="136">
        <f t="shared" ref="Q395:S395" si="986">G395</f>
        <v>1</v>
      </c>
      <c r="R395" s="137">
        <f t="shared" si="986"/>
        <v>85</v>
      </c>
      <c r="S395" s="136">
        <f t="shared" si="986"/>
        <v>86</v>
      </c>
      <c r="T395" s="139"/>
      <c r="U395" s="140">
        <f t="shared" ref="U395:X395" si="987">P395/K395</f>
        <v>0</v>
      </c>
      <c r="V395" s="140">
        <f t="shared" si="987"/>
        <v>8.1967213114754103E-3</v>
      </c>
      <c r="W395" s="141">
        <f t="shared" si="987"/>
        <v>0.29720279720279719</v>
      </c>
      <c r="X395" s="140">
        <f t="shared" si="987"/>
        <v>5.1620648259303722E-2</v>
      </c>
      <c r="Y395" s="142"/>
      <c r="Z395" s="143"/>
      <c r="AA395" s="136"/>
      <c r="AB395" s="136"/>
      <c r="AC395" s="128"/>
      <c r="AD395" s="135"/>
      <c r="AE395" s="127"/>
      <c r="AF395" s="127"/>
      <c r="AG395" s="130"/>
      <c r="AH395" s="130">
        <f t="shared" si="118"/>
        <v>0</v>
      </c>
      <c r="AI395" s="130" t="str">
        <f t="shared" si="119"/>
        <v xml:space="preserve"> </v>
      </c>
      <c r="AJ395" s="144" t="str">
        <f t="shared" si="120"/>
        <v xml:space="preserve"> </v>
      </c>
      <c r="AK395" s="128" t="str">
        <f t="shared" si="121"/>
        <v xml:space="preserve"> </v>
      </c>
      <c r="AL395" s="128" t="str">
        <f t="shared" si="122"/>
        <v xml:space="preserve"> </v>
      </c>
      <c r="AM395" s="128" t="str">
        <f t="shared" si="123"/>
        <v xml:space="preserve"> </v>
      </c>
      <c r="AN395" s="130" t="str">
        <f t="shared" si="124"/>
        <v xml:space="preserve"> </v>
      </c>
      <c r="AO395" s="130"/>
      <c r="AP395" s="130"/>
    </row>
    <row r="396" spans="1:42">
      <c r="A396" s="131" t="s">
        <v>204</v>
      </c>
      <c r="B396" s="132">
        <v>8</v>
      </c>
      <c r="C396" s="118" t="s">
        <v>140</v>
      </c>
      <c r="D396" s="118">
        <v>2017</v>
      </c>
      <c r="E396" s="133">
        <v>0</v>
      </c>
      <c r="F396" s="133">
        <v>0</v>
      </c>
      <c r="G396" s="133">
        <v>0</v>
      </c>
      <c r="H396" s="134">
        <v>1</v>
      </c>
      <c r="I396" s="133">
        <v>1</v>
      </c>
      <c r="J396" s="135"/>
      <c r="K396" s="136">
        <f>ROUND(1157+811/8,0)*4</f>
        <v>5032</v>
      </c>
      <c r="L396" s="136">
        <f>ROUND('HCD Assigned 5th Cycle RHNA'!F405/B396,0)*4</f>
        <v>488</v>
      </c>
      <c r="M396" s="137">
        <f>ROUND(2290/8,0)*4</f>
        <v>1144</v>
      </c>
      <c r="N396" s="136">
        <f>ROUND(5231/8,0)*4</f>
        <v>2616</v>
      </c>
      <c r="O396" s="135"/>
      <c r="P396" s="136">
        <f t="shared" si="985"/>
        <v>0</v>
      </c>
      <c r="Q396" s="136">
        <f t="shared" ref="Q396:S396" si="988">G396+Q395</f>
        <v>1</v>
      </c>
      <c r="R396" s="137">
        <f t="shared" si="988"/>
        <v>86</v>
      </c>
      <c r="S396" s="136">
        <f t="shared" si="988"/>
        <v>87</v>
      </c>
      <c r="T396" s="139"/>
      <c r="U396" s="140">
        <f t="shared" ref="U396:X396" si="989">P396/K396</f>
        <v>0</v>
      </c>
      <c r="V396" s="140">
        <f t="shared" si="989"/>
        <v>2.0491803278688526E-3</v>
      </c>
      <c r="W396" s="141">
        <f t="shared" si="989"/>
        <v>7.5174825174825169E-2</v>
      </c>
      <c r="X396" s="140">
        <f t="shared" si="989"/>
        <v>3.3256880733944956E-2</v>
      </c>
      <c r="Y396" s="142"/>
      <c r="Z396" s="143"/>
      <c r="AA396" s="136"/>
      <c r="AB396" s="136" t="s">
        <v>1566</v>
      </c>
      <c r="AC396" s="128" t="s">
        <v>1566</v>
      </c>
      <c r="AD396" s="135"/>
      <c r="AE396" s="127"/>
      <c r="AF396" s="127"/>
      <c r="AG396" s="130"/>
      <c r="AH396" s="130" t="str">
        <f t="shared" si="118"/>
        <v xml:space="preserve"> </v>
      </c>
      <c r="AI396" s="130" t="str">
        <f t="shared" si="119"/>
        <v xml:space="preserve"> </v>
      </c>
      <c r="AJ396" s="144" t="str">
        <f t="shared" si="120"/>
        <v xml:space="preserve"> </v>
      </c>
      <c r="AK396" s="128" t="str">
        <f t="shared" si="121"/>
        <v xml:space="preserve"> </v>
      </c>
      <c r="AL396" s="128">
        <f t="shared" si="122"/>
        <v>0</v>
      </c>
      <c r="AM396" s="128" t="str">
        <f t="shared" si="123"/>
        <v xml:space="preserve"> </v>
      </c>
      <c r="AN396" s="130" t="str">
        <f t="shared" si="124"/>
        <v xml:space="preserve"> </v>
      </c>
      <c r="AO396" s="130"/>
      <c r="AP396" s="130"/>
    </row>
    <row r="397" spans="1:42">
      <c r="A397" s="131" t="s">
        <v>204</v>
      </c>
      <c r="B397" s="132">
        <v>8</v>
      </c>
      <c r="C397" s="118" t="s">
        <v>140</v>
      </c>
      <c r="D397" s="118">
        <v>2018</v>
      </c>
      <c r="E397" s="133">
        <v>0</v>
      </c>
      <c r="F397" s="133">
        <v>0</v>
      </c>
      <c r="G397" s="133">
        <v>0</v>
      </c>
      <c r="H397" s="134">
        <v>4</v>
      </c>
      <c r="I397" s="133">
        <v>4</v>
      </c>
      <c r="J397" s="135"/>
      <c r="K397" s="136">
        <f>ROUND(1157+811/8,0)*5</f>
        <v>6290</v>
      </c>
      <c r="L397" s="136">
        <f>ROUND('HCD Assigned 5th Cycle RHNA'!F405/B396,0)*5</f>
        <v>610</v>
      </c>
      <c r="M397" s="137">
        <f>ROUND(2290/8,0)*5</f>
        <v>1430</v>
      </c>
      <c r="N397" s="136">
        <f>ROUND(5231/8,0)*5</f>
        <v>3270</v>
      </c>
      <c r="O397" s="135"/>
      <c r="P397" s="136">
        <f t="shared" ref="P397:P398" si="990">E397+F397+P396</f>
        <v>0</v>
      </c>
      <c r="Q397" s="136">
        <f t="shared" ref="Q397:S397" si="991">G397+Q396</f>
        <v>1</v>
      </c>
      <c r="R397" s="137">
        <f t="shared" si="991"/>
        <v>90</v>
      </c>
      <c r="S397" s="136">
        <f t="shared" si="991"/>
        <v>91</v>
      </c>
      <c r="T397" s="139"/>
      <c r="U397" s="140">
        <f t="shared" ref="U397:X397" si="992">P397/K397</f>
        <v>0</v>
      </c>
      <c r="V397" s="140">
        <f t="shared" si="992"/>
        <v>1.639344262295082E-3</v>
      </c>
      <c r="W397" s="141">
        <f t="shared" si="992"/>
        <v>6.2937062937062943E-2</v>
      </c>
      <c r="X397" s="140">
        <f t="shared" si="992"/>
        <v>2.782874617737003E-2</v>
      </c>
      <c r="Y397" s="146" t="s">
        <v>204</v>
      </c>
      <c r="Z397" s="143"/>
      <c r="AA397" s="138"/>
      <c r="AB397" s="136" t="s">
        <v>1566</v>
      </c>
      <c r="AC397" s="128" t="s">
        <v>1566</v>
      </c>
      <c r="AD397" s="135"/>
      <c r="AE397" s="127"/>
      <c r="AF397" s="127"/>
      <c r="AG397" s="130"/>
      <c r="AH397" s="130" t="str">
        <f t="shared" si="118"/>
        <v xml:space="preserve"> </v>
      </c>
      <c r="AI397" s="130" t="str">
        <f t="shared" si="119"/>
        <v xml:space="preserve"> </v>
      </c>
      <c r="AJ397" s="144" t="str">
        <f t="shared" si="120"/>
        <v xml:space="preserve"> </v>
      </c>
      <c r="AK397" s="128" t="str">
        <f t="shared" si="121"/>
        <v xml:space="preserve"> </v>
      </c>
      <c r="AL397" s="128" t="str">
        <f t="shared" si="122"/>
        <v xml:space="preserve"> </v>
      </c>
      <c r="AM397" s="128">
        <f t="shared" si="123"/>
        <v>0</v>
      </c>
      <c r="AN397" s="130" t="str">
        <f t="shared" si="124"/>
        <v xml:space="preserve"> </v>
      </c>
      <c r="AO397" s="130"/>
      <c r="AP397" s="130"/>
    </row>
    <row r="398" spans="1:42">
      <c r="A398" s="131" t="s">
        <v>204</v>
      </c>
      <c r="B398" s="167">
        <v>8</v>
      </c>
      <c r="C398" s="118" t="s">
        <v>203</v>
      </c>
      <c r="D398" s="168">
        <v>2019</v>
      </c>
      <c r="E398" s="138">
        <v>14</v>
      </c>
      <c r="F398" s="138">
        <v>0</v>
      </c>
      <c r="G398" s="138">
        <v>0</v>
      </c>
      <c r="H398" s="147">
        <v>689</v>
      </c>
      <c r="I398" s="136">
        <f>E398+F398+G398+H398</f>
        <v>703</v>
      </c>
      <c r="J398" s="135"/>
      <c r="K398" s="136">
        <f>ROUND(1157+811/8,0)*6</f>
        <v>7548</v>
      </c>
      <c r="L398" s="136">
        <f>ROUND('HCD Assigned 5th Cycle RHNA'!F405/B396,0)*6</f>
        <v>732</v>
      </c>
      <c r="M398" s="156">
        <f>ROUND(2290/8,0)*6</f>
        <v>1716</v>
      </c>
      <c r="N398" s="136">
        <f>ROUND(5231/8,0)*6</f>
        <v>3924</v>
      </c>
      <c r="O398" s="135"/>
      <c r="P398" s="136">
        <f t="shared" si="990"/>
        <v>14</v>
      </c>
      <c r="Q398" s="136">
        <f t="shared" ref="Q398:S398" si="993">G398+Q397</f>
        <v>1</v>
      </c>
      <c r="R398" s="137">
        <f t="shared" si="993"/>
        <v>779</v>
      </c>
      <c r="S398" s="136">
        <f t="shared" si="993"/>
        <v>794</v>
      </c>
      <c r="T398" s="139"/>
      <c r="U398" s="169">
        <f t="shared" ref="U398:X398" si="994">P398/K398</f>
        <v>1.8547959724430313E-3</v>
      </c>
      <c r="V398" s="140">
        <f t="shared" si="994"/>
        <v>1.366120218579235E-3</v>
      </c>
      <c r="W398" s="141">
        <f t="shared" si="994"/>
        <v>0.45396270396270394</v>
      </c>
      <c r="X398" s="140">
        <f t="shared" si="994"/>
        <v>0.20234454638124363</v>
      </c>
      <c r="Y398" s="146" t="s">
        <v>204</v>
      </c>
      <c r="Z398" s="143"/>
      <c r="AA398" s="170">
        <v>5231</v>
      </c>
      <c r="AB398" s="171">
        <v>3924</v>
      </c>
      <c r="AC398" s="172">
        <v>794</v>
      </c>
      <c r="AD398" s="135"/>
      <c r="AE398" s="171">
        <f>N395</f>
        <v>1666</v>
      </c>
      <c r="AF398" s="136"/>
      <c r="AG398" s="130"/>
      <c r="AH398" s="173" t="str">
        <f t="shared" si="118"/>
        <v xml:space="preserve"> </v>
      </c>
      <c r="AI398" s="173" t="str">
        <f t="shared" si="119"/>
        <v xml:space="preserve"> </v>
      </c>
      <c r="AJ398" s="174" t="str">
        <f t="shared" si="120"/>
        <v xml:space="preserve"> </v>
      </c>
      <c r="AK398" s="175" t="str">
        <f t="shared" si="121"/>
        <v xml:space="preserve"> </v>
      </c>
      <c r="AL398" s="175" t="str">
        <f t="shared" si="122"/>
        <v xml:space="preserve"> </v>
      </c>
      <c r="AM398" s="175" t="str">
        <f t="shared" si="123"/>
        <v xml:space="preserve"> </v>
      </c>
      <c r="AN398" s="173">
        <f t="shared" si="124"/>
        <v>14</v>
      </c>
      <c r="AO398" s="130"/>
      <c r="AP398" s="130"/>
    </row>
    <row r="399" spans="1:42">
      <c r="A399" s="81"/>
      <c r="B399" s="176"/>
      <c r="C399" s="139"/>
      <c r="D399" s="139"/>
      <c r="E399" s="136"/>
      <c r="F399" s="136"/>
      <c r="G399" s="136"/>
      <c r="H399" s="136"/>
      <c r="I399" s="135"/>
      <c r="J399" s="135"/>
      <c r="K399" s="136"/>
      <c r="L399" s="136"/>
      <c r="M399" s="136"/>
      <c r="N399" s="136"/>
      <c r="O399" s="135"/>
      <c r="P399" s="136"/>
      <c r="Q399" s="136"/>
      <c r="R399" s="136"/>
      <c r="S399" s="136"/>
      <c r="T399" s="139"/>
      <c r="U399" s="140"/>
      <c r="V399" s="140"/>
      <c r="W399" s="140"/>
      <c r="X399" s="140"/>
      <c r="Y399" s="142"/>
      <c r="Z399" s="143"/>
      <c r="AA399" s="136"/>
      <c r="AB399" s="136"/>
      <c r="AC399" s="136"/>
      <c r="AD399" s="135"/>
      <c r="AE399" s="136"/>
      <c r="AF399" s="136"/>
      <c r="AG399" s="122"/>
      <c r="AH399" s="177"/>
      <c r="AI399" s="122"/>
      <c r="AJ399" s="122"/>
      <c r="AK399" s="122"/>
      <c r="AL399" s="122"/>
      <c r="AM399" s="122"/>
      <c r="AN399" s="122"/>
      <c r="AO399" s="122"/>
      <c r="AP399" s="122"/>
    </row>
    <row r="400" spans="1:42" ht="47.25">
      <c r="A400" s="79" t="s">
        <v>205</v>
      </c>
      <c r="B400" s="176"/>
      <c r="C400" s="139"/>
      <c r="D400" s="139"/>
      <c r="E400" s="136">
        <f t="shared" ref="E400:I400" si="995">SUM(E6:E398)</f>
        <v>31062</v>
      </c>
      <c r="F400" s="136">
        <f t="shared" si="995"/>
        <v>30720</v>
      </c>
      <c r="G400" s="136">
        <f t="shared" si="995"/>
        <v>81532</v>
      </c>
      <c r="H400" s="136">
        <f t="shared" si="995"/>
        <v>486977</v>
      </c>
      <c r="I400" s="136">
        <f t="shared" si="995"/>
        <v>630291</v>
      </c>
      <c r="J400" s="178" t="s">
        <v>206</v>
      </c>
      <c r="K400" s="136">
        <f t="shared" ref="K400:N400" si="996">K397+K392+K384+K377+K370+K364+K357+K350+K342+K336+K329+K322+K315+K308+K301+K295+K288+K281+K274+K267+K261+K254+K246+K239+K233+K225+K218+K213+K205+K198+K191+K184+K178+K171+K164+K159+K152+K145+K138+K131+K124+K117+K111+K107+K101+K94+K87+K80+K73+K67+K59+K52+K45+K38+K31+K24+K17+K10</f>
        <v>271684</v>
      </c>
      <c r="L400" s="136">
        <f t="shared" si="996"/>
        <v>137277</v>
      </c>
      <c r="M400" s="136">
        <f t="shared" si="996"/>
        <v>280516</v>
      </c>
      <c r="N400" s="136">
        <f t="shared" si="996"/>
        <v>666159</v>
      </c>
      <c r="O400" s="136"/>
      <c r="P400" s="136">
        <f t="shared" ref="P400:S400" si="997">P397+P392+P384+P377+P370+P364+P357+P350+P342+P336+P329+P322+P315+P308+P301+P295+P288+P281+P274+P267+P261+P254+P246+P239+P233+P225+P218+P213+P205+P198+P191+P184+P178+P171+P164+P159+P152+P145+P138+P131+P124+P117+P111+P107+P101+P94+P87+P80+P73+P67+P59+P52+P45+P38+P31+P24+P17+P10</f>
        <v>51794</v>
      </c>
      <c r="Q400" s="136">
        <f t="shared" si="997"/>
        <v>66019</v>
      </c>
      <c r="R400" s="136">
        <f t="shared" si="997"/>
        <v>396050</v>
      </c>
      <c r="S400" s="136">
        <f t="shared" si="997"/>
        <v>513863</v>
      </c>
      <c r="T400" s="139"/>
      <c r="U400" s="140">
        <f t="shared" ref="U400:X400" si="998">P400/K400</f>
        <v>0.19064059716435269</v>
      </c>
      <c r="V400" s="140">
        <f t="shared" si="998"/>
        <v>0.48091814360745061</v>
      </c>
      <c r="W400" s="140">
        <f t="shared" si="998"/>
        <v>1.4118624249597171</v>
      </c>
      <c r="X400" s="140">
        <f t="shared" si="998"/>
        <v>0.77138190732242606</v>
      </c>
      <c r="Y400" s="142"/>
      <c r="Z400" s="143"/>
      <c r="AA400" s="136">
        <f t="shared" ref="AA400:AC400" si="999">SUM(AA6:AA398)</f>
        <v>1150482</v>
      </c>
      <c r="AB400" s="136">
        <f t="shared" si="999"/>
        <v>807234</v>
      </c>
      <c r="AC400" s="136">
        <f t="shared" si="999"/>
        <v>628562</v>
      </c>
      <c r="AD400" s="135"/>
      <c r="AE400" s="136">
        <f>SUM(AE6:AE398)</f>
        <v>147260</v>
      </c>
      <c r="AF400" s="136"/>
      <c r="AG400" s="177" t="s">
        <v>207</v>
      </c>
      <c r="AH400" s="122">
        <f>SUM(AH6:AH399)</f>
        <v>3769</v>
      </c>
      <c r="AI400" s="122">
        <f t="shared" ref="AI400:AN400" si="1000">SUM(AI6:AI398)</f>
        <v>8209</v>
      </c>
      <c r="AJ400" s="122">
        <f t="shared" si="1000"/>
        <v>9819</v>
      </c>
      <c r="AK400" s="122">
        <f t="shared" si="1000"/>
        <v>9618</v>
      </c>
      <c r="AL400" s="122">
        <f t="shared" si="1000"/>
        <v>10406</v>
      </c>
      <c r="AM400" s="122">
        <f t="shared" si="1000"/>
        <v>9914</v>
      </c>
      <c r="AN400" s="122">
        <f t="shared" si="1000"/>
        <v>9988</v>
      </c>
      <c r="AO400" s="122"/>
      <c r="AP400" s="122"/>
    </row>
    <row r="401" spans="1:42" ht="47.25">
      <c r="A401" s="81"/>
      <c r="B401" s="179"/>
      <c r="C401" s="180"/>
      <c r="D401" s="180"/>
      <c r="E401" s="181"/>
      <c r="F401" s="181"/>
      <c r="G401" s="181"/>
      <c r="H401" s="181"/>
      <c r="I401" s="182"/>
      <c r="J401" s="178" t="s">
        <v>208</v>
      </c>
      <c r="K401" s="136">
        <f t="shared" ref="K401:N401" si="1001">K398+K393+K385+K378+K371+K365+K358+K351+K343+K337+K330+K323+K316+K309+K302+K296+K289+K282+K275+K268+K262+K255+K247+K240+K234+K226+K219+K214+K206+K199+K192+K185+K179+K172+K165+K160+K153+K146+K139+K132+K125+K118+K112+K108+K102+K95+K88+K81+K74+K68+K60+K53+K46+K39+K32+K25+K18+K11</f>
        <v>329011</v>
      </c>
      <c r="L401" s="136">
        <f t="shared" si="1001"/>
        <v>168559</v>
      </c>
      <c r="M401" s="136">
        <f t="shared" si="1001"/>
        <v>339992</v>
      </c>
      <c r="N401" s="136">
        <f t="shared" si="1001"/>
        <v>807234</v>
      </c>
      <c r="O401" s="182"/>
      <c r="P401" s="136">
        <f t="shared" ref="P401:S401" si="1002">P398+P393+P385+P378+P371+P365+P358+P351+P343+P337+P330+P323+P316+P309+P302+P296+P289+P282+P275+P268+P262+P255+P247+P240+P234+P226+P219+P214+P206+P199+P192+P185+P179+P172+P165+P160+P153+P146+P139+P132+P125+P118+P112+P108+P102+P95+P88+P81+P74+P68+P60+P53+P46+P39+P32+P25+P18+P11</f>
        <v>61782</v>
      </c>
      <c r="Q401" s="136">
        <f t="shared" si="1002"/>
        <v>81532</v>
      </c>
      <c r="R401" s="136">
        <f t="shared" si="1002"/>
        <v>486977</v>
      </c>
      <c r="S401" s="136">
        <f t="shared" si="1002"/>
        <v>630291</v>
      </c>
      <c r="T401" s="180"/>
      <c r="U401" s="140">
        <f t="shared" ref="U401:X401" si="1003">P401/K401</f>
        <v>0.1877809556519387</v>
      </c>
      <c r="V401" s="140">
        <f t="shared" si="1003"/>
        <v>0.4837000694118973</v>
      </c>
      <c r="W401" s="140">
        <f t="shared" si="1003"/>
        <v>1.4323189957410762</v>
      </c>
      <c r="X401" s="140">
        <f t="shared" si="1003"/>
        <v>0.7808033358357056</v>
      </c>
      <c r="Y401" s="183"/>
      <c r="Z401" s="81"/>
      <c r="AA401" s="98"/>
      <c r="AB401" s="98"/>
      <c r="AC401" s="98"/>
      <c r="AD401" s="184"/>
      <c r="AE401" s="98"/>
      <c r="AF401" s="98"/>
      <c r="AG401" s="99" t="s">
        <v>209</v>
      </c>
      <c r="AH401" s="96">
        <f>G62+G208+G228+G249+G332+G345+G387+G395</f>
        <v>2206</v>
      </c>
      <c r="AI401" s="96">
        <f>G63+G76+G83+G90+G97+G120+G127+G134+G141+G148+G155+G167+G174+G187+G194+G201+G209+G221+G229+G242+G250+G257+G270+G277+G284+G291+G304+G311+G318+G325+G346+G353+G360+G373+G380+G388+G55+G41+G34+G27+G20+G13+G6</f>
        <v>6767</v>
      </c>
      <c r="AJ401" s="96">
        <f>G7+G14+G21+G28+G35+G42+G49+G56+G64+G70+G77+G84+G91+G98+G104+G114+G121+G128+G135+G142+G149+G156+G168+G175+G181+G188+G195+G202+G210+G222+G230+G236+G243+G251+G258+G264+G271+G278+G285+G292+G298+G305+G312+G319+G326+G333+G339+G347+G354+G361+G367+G374+G381+G389</f>
        <v>13551</v>
      </c>
      <c r="AK401" s="96">
        <f>G8+G15+G22+G29+G36+G43+G50+G57+G65+G71+G78+G85+G92+G99+G105+G115+G122+G129+G136+G143+G150+G157+G162+G169+G176+G182+G189+G196+G203+G211+G216+G223+G231+G237+G244+G252+G259+G265+G272+G279+G286+G293+G299+G306+G313+G313+G320+G327+G334+G340+G348+G355+G362+G368+G375+G382+G390</f>
        <v>13881</v>
      </c>
      <c r="AL401" s="96">
        <f>G9+G16+G23+G30+G37+G44+G51+G58+G66+G72+G79+G86+G93+G100+G106+G110+G116+G123+G130+G137+G144+G151+G158+G163+G170+G177+G183+G190+G197+G204+G212+G217+G224+G232+G238+G245+G253+G260+G266+G273+G280+G287+G294+G300+G307+G314+G321+G328+G335+G341+G349+G356+G363+G369+G376+G383+G391+G396</f>
        <v>20980</v>
      </c>
      <c r="AM401" s="185">
        <f>G10+G17+G24+G31+G38+G45+G52+G59+G67+G73+G80+G87+G94+G101+G107+G111+G117+G124+G131+G138+G145+G152+G159+G164+G171+G178+G184+G191+G198+G205+G213+G218+G225+G233+G239+G246+G254+G261+G267+G274+G281+G288+G295+G301+G308+G315+G322+G329+G336+G342+G350+G357+G364+G370+G377+G384+G392+G397</f>
        <v>8316</v>
      </c>
      <c r="AN401" s="130">
        <f>G11+G18+G25+G32+G39+G46+G53+G60+G68+G74+G81+G88+G95+G102+G108+G112+G118+G125+G132+G139+G146+G153+G160+G165+G172+G179+G185+G192+G199+G206+G214+G219+G226+G234+G240+G247+G255+G262+G268+G275+G282+G289+G296+G302+G309+G316+G323+G330+G337+G343+G351+G358+G365+G371+G378+G385+G393+G398</f>
        <v>15513</v>
      </c>
      <c r="AO401" s="122"/>
      <c r="AP401" s="122"/>
    </row>
    <row r="402" spans="1:42">
      <c r="B402" s="186"/>
      <c r="C402" s="85"/>
      <c r="D402" s="85"/>
      <c r="E402" s="187"/>
      <c r="F402" s="187"/>
      <c r="G402" s="187"/>
      <c r="H402" s="187"/>
      <c r="I402" s="92"/>
      <c r="J402" s="92"/>
      <c r="K402" s="187"/>
      <c r="L402" s="187"/>
      <c r="M402" s="187"/>
      <c r="N402" s="188"/>
      <c r="O402" s="92"/>
      <c r="P402" s="187"/>
      <c r="Q402" s="187"/>
      <c r="R402" s="187"/>
      <c r="S402" s="187"/>
      <c r="T402" s="85"/>
      <c r="U402" s="189"/>
      <c r="V402" s="189"/>
      <c r="W402" s="189"/>
      <c r="X402" s="189"/>
      <c r="Y402" s="100"/>
      <c r="AA402" s="96"/>
      <c r="AB402" s="96"/>
      <c r="AC402" s="96"/>
      <c r="AD402" s="97"/>
      <c r="AE402" s="96"/>
      <c r="AF402" s="98"/>
      <c r="AG402" s="99" t="s">
        <v>210</v>
      </c>
      <c r="AH402" s="190">
        <f>H62+H208+H228+H249+H332+H345+H387+H395</f>
        <v>19798</v>
      </c>
      <c r="AI402" s="191">
        <f>H63+H76+H83+H90+H97+H120+H127+H134+H141+H148+H155+H167+H174+H187+H194+H201+H209+H221+H229+H242+H250+H257+H270+H277+H284+H291+H304+H311+H318+H325+H346+H353+H360+H373+H380+H388+H55+H41+H34+H27+H20+H13+H6</f>
        <v>49735</v>
      </c>
      <c r="AJ402" s="192">
        <f>H7+H14+H21+H28+H35+H42+H49+H56+H64+H70+H77+H84+H91+H98+H104+H114+H121+H128+H135+H142+H149+H156+H168+H175+H181+H188+H195+H202+H210+H222+H230+H236+H243+H251+H258+H264+H271+H278+H285+H292+H298+H305+H312+H319+H326+H333+H339+H347+H354+H361+H367+H374+H381+H389</f>
        <v>72450</v>
      </c>
      <c r="AK402" s="190">
        <f>H8+H15+H22+H29+H36+H43+H50+H57+H65+H71+H78+H85+H92+H99+H105+H115+H122+H129+H136+H143+H150+H157+H162+H169+H176+H182+H189+H196+H203+H211+H216+H223+H231+H237+H244+H252+H259+H265+H272+H279+H286+H293+H299+H306+H313+H313+H320+H327+H334+H340+H348+H355+H362+H368+H375+H382+H390</f>
        <v>72594</v>
      </c>
      <c r="AL402" s="191">
        <f>H9+H16+H23+H30+H37+H44+H51+H58+H66+H72+H79+H86+H93+H100+H106+H110+H116+H123+H130+H137+H144+H151+H158+H163+H170+H177+H183+H190+H197+H204+H212+H217+H224+H232+H238+H245+H253+H260+H266+H273+H280+H287+H294+H300+H307+H314+H321+H328+H335+H341+H349+H356+H363+H369+H376+H383+H391+H396</f>
        <v>85150</v>
      </c>
      <c r="AM402" s="193">
        <f>H10+H17+H24+H31+H38+H45+H52+H59+H67+H73+H80+H87+H94+H101+H107+H111+H117+H124+H131+H138+H145+H152+H159+H164+H171+H178+H184+H191+H198+H205+H213+H218+H225+H233+H239+H246+H254+H261+H267+H274+H281+H288+H295+H301+H308+H315+H322+H329+H336+H342+H350+H357+H364+H370+H377+H384+H392+H397</f>
        <v>95205</v>
      </c>
      <c r="AN402" s="190">
        <f>H11+H18+H25+H32+H39+H46+H53+H60+H68+H74+H81+H88+H95+H102+H108+H112+H118+H125+H132+H139+H146+H153+H160+H165+H172+H179+H185+H192+H199+H206+H214+H219+H226+H234+H240+H247+H255+H262+H268+H275+H282+H289+H296+H302+H309+H316+H323+H330+H337+H343+H351+H358+H365+H371+H378+H385+H393+H398</f>
        <v>90927</v>
      </c>
      <c r="AO402" s="122"/>
      <c r="AP402" s="122"/>
    </row>
    <row r="403" spans="1:42" ht="12.75">
      <c r="B403" s="186"/>
      <c r="C403" s="85"/>
      <c r="D403" s="85"/>
      <c r="E403" s="187"/>
      <c r="F403" s="187"/>
      <c r="G403" s="187"/>
      <c r="H403" s="187"/>
      <c r="I403" s="92"/>
      <c r="J403" s="92"/>
      <c r="K403" s="187"/>
      <c r="L403" s="187"/>
      <c r="M403" s="187"/>
      <c r="N403" s="187"/>
      <c r="O403" s="92"/>
      <c r="P403" s="187"/>
      <c r="Q403" s="187"/>
      <c r="R403" s="187"/>
      <c r="S403" s="187"/>
      <c r="T403" s="85"/>
      <c r="U403" s="189"/>
      <c r="V403" s="189"/>
      <c r="W403" s="189"/>
      <c r="X403" s="189"/>
      <c r="Y403" s="100"/>
      <c r="AA403" s="96"/>
      <c r="AB403" s="96"/>
      <c r="AC403" s="194"/>
      <c r="AD403" s="97"/>
      <c r="AE403" s="96"/>
      <c r="AF403" s="98"/>
      <c r="AG403" s="96"/>
      <c r="AH403" s="96"/>
      <c r="AI403" s="96"/>
      <c r="AJ403" s="96"/>
      <c r="AK403" s="96"/>
      <c r="AL403" s="96"/>
      <c r="AM403" s="96"/>
      <c r="AN403" s="96"/>
      <c r="AO403" s="96"/>
      <c r="AP403" s="96"/>
    </row>
    <row r="404" spans="1:42" ht="12.75">
      <c r="B404" s="186"/>
      <c r="C404" s="85"/>
      <c r="D404" s="85"/>
      <c r="E404" s="187"/>
      <c r="F404" s="187"/>
      <c r="G404" s="187"/>
      <c r="H404" s="187"/>
      <c r="I404" s="92"/>
      <c r="J404" s="92"/>
      <c r="K404" s="187"/>
      <c r="L404" s="187"/>
      <c r="M404" s="187"/>
      <c r="N404" s="187"/>
      <c r="O404" s="92"/>
      <c r="P404" s="187"/>
      <c r="Q404" s="187"/>
      <c r="R404" s="187"/>
      <c r="S404" s="188"/>
      <c r="T404" s="85"/>
      <c r="U404" s="189"/>
      <c r="V404" s="189"/>
      <c r="W404" s="189"/>
      <c r="X404" s="189"/>
      <c r="Y404" s="100"/>
      <c r="AA404" s="96"/>
      <c r="AB404" s="96"/>
      <c r="AC404" s="96"/>
      <c r="AD404" s="97"/>
      <c r="AE404" s="96"/>
      <c r="AF404" s="98"/>
      <c r="AG404" s="99" t="s">
        <v>211</v>
      </c>
      <c r="AH404" s="96">
        <f t="shared" ref="AH404:AN404" si="1004">AH400+AH401+AH402</f>
        <v>25773</v>
      </c>
      <c r="AI404" s="96">
        <f t="shared" si="1004"/>
        <v>64711</v>
      </c>
      <c r="AJ404" s="96">
        <f t="shared" si="1004"/>
        <v>95820</v>
      </c>
      <c r="AK404" s="96">
        <f t="shared" si="1004"/>
        <v>96093</v>
      </c>
      <c r="AL404" s="96">
        <f t="shared" si="1004"/>
        <v>116536</v>
      </c>
      <c r="AM404" s="96">
        <f t="shared" si="1004"/>
        <v>113435</v>
      </c>
      <c r="AN404" s="96">
        <f t="shared" si="1004"/>
        <v>116428</v>
      </c>
      <c r="AO404" s="96"/>
      <c r="AP404" s="96"/>
    </row>
    <row r="405" spans="1:42" ht="12.75">
      <c r="A405" s="195"/>
      <c r="B405" s="196"/>
      <c r="C405" s="197" t="s">
        <v>212</v>
      </c>
      <c r="D405" s="198"/>
      <c r="E405" s="199">
        <f t="shared" ref="E405:I405" si="1005">SUM(E6:E11)+SUM(E48:E53)+SUM(E141:E146)+SUM(E187:E192)+SUM(E257:E262)+SUM(E277:E282)+SUM(E291:E296)+SUM(E325:E330)+SUM(E332:E337)</f>
        <v>8786</v>
      </c>
      <c r="F405" s="199">
        <f t="shared" si="1005"/>
        <v>8456</v>
      </c>
      <c r="G405" s="199">
        <f t="shared" si="1005"/>
        <v>13116</v>
      </c>
      <c r="H405" s="199">
        <f t="shared" si="1005"/>
        <v>116570</v>
      </c>
      <c r="I405" s="199">
        <f t="shared" si="1005"/>
        <v>146928</v>
      </c>
      <c r="J405" s="200"/>
      <c r="K405" s="199">
        <f t="shared" ref="K405:N405" si="1006">K11+K53+K146+K192+K262+K282+K296+K330+K337</f>
        <v>46645</v>
      </c>
      <c r="L405" s="199">
        <f t="shared" si="1006"/>
        <v>20895</v>
      </c>
      <c r="M405" s="199">
        <f t="shared" si="1006"/>
        <v>49350</v>
      </c>
      <c r="N405" s="199">
        <f t="shared" si="1006"/>
        <v>117500</v>
      </c>
      <c r="O405" s="199"/>
      <c r="P405" s="199">
        <f t="shared" ref="P405:S405" si="1007">P11+P53+P146+P192+P262+P282+P296+P330+P337</f>
        <v>17242</v>
      </c>
      <c r="Q405" s="199">
        <f t="shared" si="1007"/>
        <v>13116</v>
      </c>
      <c r="R405" s="199">
        <f t="shared" si="1007"/>
        <v>116570</v>
      </c>
      <c r="S405" s="199">
        <f t="shared" si="1007"/>
        <v>146928</v>
      </c>
      <c r="T405" s="198"/>
      <c r="U405" s="201">
        <f t="shared" ref="U405:X405" si="1008">P405/K405</f>
        <v>0.36964304855825919</v>
      </c>
      <c r="V405" s="201">
        <f t="shared" si="1008"/>
        <v>0.62770997846374732</v>
      </c>
      <c r="W405" s="201">
        <f t="shared" si="1008"/>
        <v>2.3621073961499492</v>
      </c>
      <c r="X405" s="201">
        <f t="shared" si="1008"/>
        <v>1.2504510638297872</v>
      </c>
      <c r="Y405" s="100"/>
      <c r="AA405" s="96"/>
      <c r="AB405" s="96"/>
      <c r="AC405" s="96"/>
      <c r="AD405" s="97"/>
      <c r="AE405" s="96"/>
      <c r="AF405" s="98"/>
      <c r="AG405" s="96"/>
      <c r="AH405" s="96"/>
      <c r="AI405" s="96"/>
      <c r="AJ405" s="96"/>
      <c r="AK405" s="96"/>
      <c r="AL405" s="96"/>
      <c r="AM405" s="96"/>
      <c r="AN405" s="96"/>
      <c r="AO405" s="96"/>
      <c r="AP405" s="96"/>
    </row>
    <row r="406" spans="1:42" ht="12.75">
      <c r="A406" s="195"/>
      <c r="B406" s="196"/>
      <c r="C406" s="202"/>
      <c r="D406" s="198"/>
      <c r="E406" s="199"/>
      <c r="F406" s="199"/>
      <c r="G406" s="199"/>
      <c r="H406" s="199"/>
      <c r="I406" s="199"/>
      <c r="J406" s="200"/>
      <c r="K406" s="199"/>
      <c r="L406" s="199"/>
      <c r="M406" s="199"/>
      <c r="N406" s="199"/>
      <c r="O406" s="200"/>
      <c r="P406" s="199"/>
      <c r="Q406" s="199"/>
      <c r="R406" s="199"/>
      <c r="S406" s="199"/>
      <c r="T406" s="198"/>
      <c r="U406" s="201"/>
      <c r="V406" s="201"/>
      <c r="W406" s="201"/>
      <c r="X406" s="201"/>
      <c r="Y406" s="100"/>
      <c r="AA406" s="96"/>
      <c r="AB406" s="96"/>
      <c r="AC406" s="96"/>
      <c r="AD406" s="97"/>
      <c r="AE406" s="96"/>
      <c r="AF406" s="203"/>
      <c r="AG406" s="99" t="s">
        <v>213</v>
      </c>
      <c r="AH406" s="96">
        <f>AH404+AI404+AJ404+AK404+AL404+AM404+AN404</f>
        <v>628796</v>
      </c>
      <c r="AI406" s="96"/>
      <c r="AJ406" s="96"/>
      <c r="AK406" s="96"/>
      <c r="AL406" s="96"/>
      <c r="AM406" s="96"/>
      <c r="AN406" s="96"/>
      <c r="AO406" s="96"/>
      <c r="AP406" s="96"/>
    </row>
    <row r="407" spans="1:42" ht="16.5" customHeight="1">
      <c r="A407" s="195"/>
      <c r="B407" s="196"/>
      <c r="C407" s="197" t="s">
        <v>214</v>
      </c>
      <c r="D407" s="198"/>
      <c r="E407" s="199">
        <f t="shared" ref="E407:I407" si="1009">SUM(E90:E95)+SUM(E127:E132) +SUM(E201:E206)+SUM(E221:E226)+SUM(E242:E247)+SUM(E380:E385)</f>
        <v>12899</v>
      </c>
      <c r="F407" s="199">
        <f t="shared" si="1009"/>
        <v>9778</v>
      </c>
      <c r="G407" s="199">
        <f t="shared" si="1009"/>
        <v>31628</v>
      </c>
      <c r="H407" s="199">
        <f t="shared" si="1009"/>
        <v>219594</v>
      </c>
      <c r="I407" s="199">
        <f t="shared" si="1009"/>
        <v>273899</v>
      </c>
      <c r="J407" s="200"/>
      <c r="K407" s="199">
        <f t="shared" ref="K407:N407" si="1010">K95+K132+K206+K226+K247+K385</f>
        <v>122346</v>
      </c>
      <c r="L407" s="199">
        <f t="shared" si="1010"/>
        <v>53280</v>
      </c>
      <c r="M407" s="199">
        <f t="shared" si="1010"/>
        <v>128748</v>
      </c>
      <c r="N407" s="199">
        <f t="shared" si="1010"/>
        <v>304254</v>
      </c>
      <c r="O407" s="199"/>
      <c r="P407" s="199">
        <f t="shared" ref="P407:S407" si="1011">P95+P132+P206+P226+P247+P385</f>
        <v>22677</v>
      </c>
      <c r="Q407" s="199">
        <f t="shared" si="1011"/>
        <v>31628</v>
      </c>
      <c r="R407" s="199">
        <f t="shared" si="1011"/>
        <v>219594</v>
      </c>
      <c r="S407" s="199">
        <f t="shared" si="1011"/>
        <v>273899</v>
      </c>
      <c r="T407" s="198"/>
      <c r="U407" s="201">
        <f t="shared" ref="U407:X407" si="1012">P407/K407</f>
        <v>0.18535138051100977</v>
      </c>
      <c r="V407" s="201">
        <f t="shared" si="1012"/>
        <v>0.59361861861861864</v>
      </c>
      <c r="W407" s="201">
        <f t="shared" si="1012"/>
        <v>1.7056109609469661</v>
      </c>
      <c r="X407" s="201">
        <f t="shared" si="1012"/>
        <v>0.90023138561859495</v>
      </c>
      <c r="Y407" s="100"/>
      <c r="AA407" s="96"/>
      <c r="AB407" s="96"/>
      <c r="AC407" s="96"/>
      <c r="AD407" s="97"/>
      <c r="AE407" s="96"/>
      <c r="AF407" s="98"/>
      <c r="AG407" s="96"/>
      <c r="AH407" s="96"/>
      <c r="AI407" s="96"/>
      <c r="AJ407" s="96"/>
      <c r="AK407" s="96"/>
      <c r="AL407" s="204"/>
      <c r="AM407" s="96"/>
      <c r="AN407" s="96"/>
      <c r="AO407" s="96"/>
      <c r="AP407" s="96"/>
    </row>
    <row r="408" spans="1:42" ht="12.75">
      <c r="A408" s="195"/>
      <c r="B408" s="196"/>
      <c r="C408" s="202"/>
      <c r="D408" s="198"/>
      <c r="E408" s="199"/>
      <c r="F408" s="199"/>
      <c r="G408" s="199"/>
      <c r="H408" s="199"/>
      <c r="I408" s="199"/>
      <c r="J408" s="200"/>
      <c r="K408" s="199"/>
      <c r="L408" s="199"/>
      <c r="M408" s="199"/>
      <c r="N408" s="199"/>
      <c r="O408" s="200"/>
      <c r="P408" s="199"/>
      <c r="Q408" s="199"/>
      <c r="R408" s="199"/>
      <c r="S408" s="199"/>
      <c r="T408" s="198"/>
      <c r="U408" s="201"/>
      <c r="V408" s="201"/>
      <c r="W408" s="201"/>
      <c r="X408" s="201"/>
      <c r="Y408" s="100"/>
      <c r="AA408" s="96"/>
      <c r="AB408" s="96"/>
      <c r="AC408" s="96"/>
      <c r="AD408" s="97"/>
      <c r="AE408" s="96"/>
      <c r="AF408" s="98"/>
      <c r="AG408" s="96"/>
      <c r="AH408" s="96"/>
      <c r="AI408" s="96"/>
      <c r="AJ408" s="96"/>
      <c r="AK408" s="96"/>
      <c r="AL408" s="96"/>
      <c r="AM408" s="96"/>
      <c r="AN408" s="96"/>
      <c r="AO408" s="96"/>
      <c r="AP408" s="96"/>
    </row>
    <row r="409" spans="1:42" ht="12.75">
      <c r="A409" s="195"/>
      <c r="B409" s="196"/>
      <c r="C409" s="197" t="s">
        <v>215</v>
      </c>
      <c r="D409" s="198"/>
      <c r="E409" s="199">
        <f t="shared" ref="E409:I409" si="1013">SUM(E249:E255)</f>
        <v>3775</v>
      </c>
      <c r="F409" s="199">
        <f t="shared" si="1013"/>
        <v>5126</v>
      </c>
      <c r="G409" s="199">
        <f t="shared" si="1013"/>
        <v>2690</v>
      </c>
      <c r="H409" s="199">
        <f t="shared" si="1013"/>
        <v>61987</v>
      </c>
      <c r="I409" s="199">
        <f t="shared" si="1013"/>
        <v>73578</v>
      </c>
      <c r="J409" s="200"/>
      <c r="K409" s="199">
        <f t="shared" ref="K409:S409" si="1014">K255</f>
        <v>56133</v>
      </c>
      <c r="L409" s="199">
        <f t="shared" si="1014"/>
        <v>26782</v>
      </c>
      <c r="M409" s="199">
        <f t="shared" si="1014"/>
        <v>58821</v>
      </c>
      <c r="N409" s="199">
        <f t="shared" si="1014"/>
        <v>141736</v>
      </c>
      <c r="O409" s="199">
        <f t="shared" si="1014"/>
        <v>0</v>
      </c>
      <c r="P409" s="199">
        <f t="shared" si="1014"/>
        <v>8901</v>
      </c>
      <c r="Q409" s="199">
        <f t="shared" si="1014"/>
        <v>2690</v>
      </c>
      <c r="R409" s="199">
        <f t="shared" si="1014"/>
        <v>61987</v>
      </c>
      <c r="S409" s="199">
        <f t="shared" si="1014"/>
        <v>73578</v>
      </c>
      <c r="T409" s="198"/>
      <c r="U409" s="201">
        <f t="shared" ref="U409:X409" si="1015">P409/K409</f>
        <v>0.15856982523649191</v>
      </c>
      <c r="V409" s="201">
        <f t="shared" si="1015"/>
        <v>0.10044059442909417</v>
      </c>
      <c r="W409" s="201">
        <f t="shared" si="1015"/>
        <v>1.053824314445521</v>
      </c>
      <c r="X409" s="201">
        <f t="shared" si="1015"/>
        <v>0.51912005418524576</v>
      </c>
      <c r="Y409" s="100"/>
      <c r="AA409" s="96"/>
      <c r="AB409" s="96"/>
      <c r="AC409" s="96"/>
      <c r="AD409" s="97"/>
      <c r="AE409" s="96"/>
      <c r="AF409" s="98"/>
      <c r="AG409" s="96"/>
      <c r="AH409" s="194"/>
      <c r="AI409" s="96"/>
      <c r="AJ409" s="96"/>
      <c r="AK409" s="96"/>
      <c r="AL409" s="96"/>
      <c r="AM409" s="96"/>
      <c r="AN409" s="96"/>
      <c r="AO409" s="96"/>
      <c r="AP409" s="96"/>
    </row>
    <row r="410" spans="1:42" ht="12.75">
      <c r="A410" s="195"/>
      <c r="B410" s="196"/>
      <c r="C410" s="202"/>
      <c r="D410" s="198"/>
      <c r="E410" s="199"/>
      <c r="F410" s="199"/>
      <c r="G410" s="199"/>
      <c r="H410" s="199"/>
      <c r="I410" s="199"/>
      <c r="J410" s="200"/>
      <c r="K410" s="199"/>
      <c r="L410" s="199"/>
      <c r="M410" s="199"/>
      <c r="N410" s="199"/>
      <c r="O410" s="200"/>
      <c r="P410" s="199"/>
      <c r="Q410" s="199"/>
      <c r="R410" s="199"/>
      <c r="S410" s="199"/>
      <c r="T410" s="198"/>
      <c r="U410" s="201"/>
      <c r="V410" s="201"/>
      <c r="W410" s="201"/>
      <c r="X410" s="201"/>
      <c r="Y410" s="100"/>
      <c r="AA410" s="96"/>
      <c r="AB410" s="96"/>
      <c r="AC410" s="96"/>
      <c r="AD410" s="97"/>
      <c r="AE410" s="96"/>
      <c r="AF410" s="98"/>
      <c r="AG410" s="96"/>
      <c r="AH410" s="96"/>
      <c r="AI410" s="96"/>
      <c r="AJ410" s="96"/>
      <c r="AK410" s="96"/>
      <c r="AL410" s="96"/>
      <c r="AM410" s="96"/>
      <c r="AN410" s="96"/>
      <c r="AO410" s="96"/>
      <c r="AP410" s="96"/>
    </row>
    <row r="411" spans="1:42" ht="12.75">
      <c r="A411" s="195"/>
      <c r="B411" s="196"/>
      <c r="C411" s="197" t="s">
        <v>216</v>
      </c>
      <c r="D411" s="198"/>
      <c r="E411" s="205">
        <f t="shared" ref="E411:I411" si="1016">SUM(E62:E68)+SUM(E208:E214)+SUM(E228:E234)+SUM(E345:E351)+SUM(E387:E393)+SUM(E395:E398)</f>
        <v>1413</v>
      </c>
      <c r="F411" s="205">
        <f t="shared" si="1016"/>
        <v>1483</v>
      </c>
      <c r="G411" s="205">
        <f t="shared" si="1016"/>
        <v>14381</v>
      </c>
      <c r="H411" s="205">
        <f t="shared" si="1016"/>
        <v>32806</v>
      </c>
      <c r="I411" s="205">
        <f t="shared" si="1016"/>
        <v>50083</v>
      </c>
      <c r="J411" s="200"/>
      <c r="K411" s="205">
        <f t="shared" ref="K411:N411" si="1017">K68+K214+K234+K351+K393+K398</f>
        <v>37410</v>
      </c>
      <c r="L411" s="205">
        <f t="shared" si="1017"/>
        <v>14640</v>
      </c>
      <c r="M411" s="205">
        <f t="shared" si="1017"/>
        <v>32754</v>
      </c>
      <c r="N411" s="205">
        <f t="shared" si="1017"/>
        <v>78726</v>
      </c>
      <c r="O411" s="205"/>
      <c r="P411" s="205">
        <f t="shared" ref="P411:S411" si="1018">P68+P214+P234+P351+P393+P398</f>
        <v>2896</v>
      </c>
      <c r="Q411" s="205">
        <f t="shared" si="1018"/>
        <v>14381</v>
      </c>
      <c r="R411" s="205">
        <f t="shared" si="1018"/>
        <v>32806</v>
      </c>
      <c r="S411" s="205">
        <f t="shared" si="1018"/>
        <v>50083</v>
      </c>
      <c r="T411" s="198"/>
      <c r="U411" s="201">
        <f t="shared" ref="U411:X411" si="1019">P411/K411</f>
        <v>7.7412456562416465E-2</v>
      </c>
      <c r="V411" s="201">
        <f t="shared" si="1019"/>
        <v>0.98230874316939887</v>
      </c>
      <c r="W411" s="201">
        <f t="shared" si="1019"/>
        <v>1.0015875923551323</v>
      </c>
      <c r="X411" s="201">
        <f t="shared" si="1019"/>
        <v>0.63616848309326013</v>
      </c>
      <c r="Y411" s="100"/>
      <c r="AA411" s="96"/>
      <c r="AB411" s="96"/>
      <c r="AC411" s="96"/>
      <c r="AD411" s="97"/>
      <c r="AE411" s="96"/>
      <c r="AF411" s="98"/>
      <c r="AG411" s="96"/>
      <c r="AH411" s="96"/>
      <c r="AI411" s="96"/>
      <c r="AJ411" s="96"/>
      <c r="AK411" s="96"/>
      <c r="AL411" s="96"/>
      <c r="AM411" s="96"/>
      <c r="AN411" s="96"/>
      <c r="AO411" s="96"/>
      <c r="AP411" s="96"/>
    </row>
    <row r="412" spans="1:42" ht="12.75">
      <c r="A412" s="195"/>
      <c r="B412" s="196"/>
      <c r="C412" s="202"/>
      <c r="D412" s="198"/>
      <c r="E412" s="199"/>
      <c r="F412" s="199"/>
      <c r="G412" s="199"/>
      <c r="H412" s="199"/>
      <c r="I412" s="200"/>
      <c r="J412" s="200"/>
      <c r="K412" s="199"/>
      <c r="L412" s="199"/>
      <c r="M412" s="199"/>
      <c r="N412" s="199"/>
      <c r="O412" s="200"/>
      <c r="P412" s="199"/>
      <c r="Q412" s="199"/>
      <c r="R412" s="199"/>
      <c r="S412" s="199"/>
      <c r="T412" s="198"/>
      <c r="U412" s="201"/>
      <c r="V412" s="201"/>
      <c r="W412" s="201"/>
      <c r="X412" s="201"/>
      <c r="Y412" s="100"/>
      <c r="AA412" s="96"/>
      <c r="AB412" s="96"/>
      <c r="AC412" s="96"/>
      <c r="AD412" s="97"/>
      <c r="AE412" s="96"/>
      <c r="AF412" s="98"/>
      <c r="AG412" s="96"/>
      <c r="AH412" s="96"/>
      <c r="AI412" s="96"/>
      <c r="AJ412" s="96"/>
      <c r="AK412" s="96"/>
      <c r="AL412" s="96"/>
      <c r="AM412" s="96"/>
      <c r="AN412" s="96"/>
      <c r="AO412" s="96"/>
      <c r="AP412" s="96"/>
    </row>
    <row r="413" spans="1:42" ht="12.75">
      <c r="A413" s="195"/>
      <c r="B413" s="196"/>
      <c r="C413" s="197" t="s">
        <v>217</v>
      </c>
      <c r="D413" s="198"/>
      <c r="E413" s="199">
        <f t="shared" ref="E413:I413" si="1020">E405+E407+E409+E411</f>
        <v>26873</v>
      </c>
      <c r="F413" s="199">
        <f t="shared" si="1020"/>
        <v>24843</v>
      </c>
      <c r="G413" s="199">
        <f t="shared" si="1020"/>
        <v>61815</v>
      </c>
      <c r="H413" s="199">
        <f t="shared" si="1020"/>
        <v>430957</v>
      </c>
      <c r="I413" s="199">
        <f t="shared" si="1020"/>
        <v>544488</v>
      </c>
      <c r="J413" s="200"/>
      <c r="K413" s="199">
        <f t="shared" ref="K413:N413" si="1021">K405+K407+K409+K411</f>
        <v>262534</v>
      </c>
      <c r="L413" s="199">
        <f t="shared" si="1021"/>
        <v>115597</v>
      </c>
      <c r="M413" s="199">
        <f t="shared" si="1021"/>
        <v>269673</v>
      </c>
      <c r="N413" s="199">
        <f t="shared" si="1021"/>
        <v>642216</v>
      </c>
      <c r="O413" s="200"/>
      <c r="P413" s="199">
        <f t="shared" ref="P413:S413" si="1022">P405+P407+P409+P411</f>
        <v>51716</v>
      </c>
      <c r="Q413" s="199">
        <f t="shared" si="1022"/>
        <v>61815</v>
      </c>
      <c r="R413" s="199">
        <f t="shared" si="1022"/>
        <v>430957</v>
      </c>
      <c r="S413" s="199">
        <f t="shared" si="1022"/>
        <v>544488</v>
      </c>
      <c r="T413" s="198"/>
      <c r="U413" s="201"/>
      <c r="V413" s="201"/>
      <c r="W413" s="201"/>
      <c r="X413" s="201"/>
      <c r="Y413" s="100"/>
      <c r="AA413" s="96"/>
      <c r="AB413" s="96"/>
      <c r="AC413" s="96"/>
      <c r="AD413" s="97"/>
      <c r="AE413" s="96"/>
      <c r="AF413" s="98"/>
      <c r="AG413" s="96"/>
      <c r="AH413" s="96"/>
      <c r="AI413" s="96"/>
      <c r="AJ413" s="96"/>
      <c r="AK413" s="96"/>
      <c r="AL413" s="96"/>
      <c r="AM413" s="96"/>
      <c r="AN413" s="96"/>
      <c r="AO413" s="96"/>
      <c r="AP413" s="96"/>
    </row>
    <row r="414" spans="1:42" ht="12.75">
      <c r="B414" s="186"/>
      <c r="C414" s="85"/>
      <c r="D414" s="85"/>
      <c r="E414" s="187"/>
      <c r="F414" s="187"/>
      <c r="G414" s="187"/>
      <c r="H414" s="187"/>
      <c r="I414" s="92"/>
      <c r="J414" s="92"/>
      <c r="K414" s="187"/>
      <c r="L414" s="187"/>
      <c r="M414" s="187"/>
      <c r="N414" s="188"/>
      <c r="O414" s="92"/>
      <c r="P414" s="187"/>
      <c r="Q414" s="187"/>
      <c r="R414" s="187"/>
      <c r="S414" s="187"/>
      <c r="T414" s="85"/>
      <c r="U414" s="189"/>
      <c r="V414" s="189"/>
      <c r="W414" s="189"/>
      <c r="X414" s="189"/>
      <c r="Y414" s="100"/>
      <c r="AA414" s="96"/>
      <c r="AB414" s="96"/>
      <c r="AC414" s="96"/>
      <c r="AD414" s="97"/>
      <c r="AE414" s="96"/>
      <c r="AF414" s="98"/>
      <c r="AG414" s="96"/>
      <c r="AH414" s="96"/>
      <c r="AI414" s="96"/>
      <c r="AJ414" s="96"/>
      <c r="AK414" s="96"/>
      <c r="AL414" s="96"/>
      <c r="AM414" s="96"/>
      <c r="AN414" s="96"/>
      <c r="AO414" s="96"/>
      <c r="AP414" s="96"/>
    </row>
    <row r="415" spans="1:42" ht="12.75">
      <c r="B415" s="186"/>
      <c r="C415" s="85"/>
      <c r="D415" s="85"/>
      <c r="E415" s="187"/>
      <c r="F415" s="187"/>
      <c r="G415" s="187"/>
      <c r="H415" s="187"/>
      <c r="I415" s="92"/>
      <c r="J415" s="92"/>
      <c r="K415" s="187"/>
      <c r="L415" s="187"/>
      <c r="M415" s="187"/>
      <c r="N415" s="187"/>
      <c r="O415" s="92"/>
      <c r="P415" s="187"/>
      <c r="Q415" s="187"/>
      <c r="R415" s="187"/>
      <c r="S415" s="187"/>
      <c r="T415" s="85"/>
      <c r="U415" s="189"/>
      <c r="V415" s="189"/>
      <c r="W415" s="189"/>
      <c r="X415" s="189"/>
      <c r="Y415" s="100"/>
      <c r="AA415" s="96"/>
      <c r="AB415" s="96"/>
      <c r="AC415" s="96"/>
      <c r="AD415" s="97"/>
      <c r="AE415" s="96"/>
      <c r="AF415" s="98"/>
      <c r="AG415" s="96"/>
      <c r="AH415" s="96"/>
      <c r="AI415" s="96"/>
      <c r="AJ415" s="96"/>
      <c r="AK415" s="96"/>
      <c r="AL415" s="96"/>
      <c r="AM415" s="96"/>
      <c r="AN415" s="96"/>
      <c r="AO415" s="96"/>
      <c r="AP415" s="96"/>
    </row>
    <row r="416" spans="1:42" ht="12.75">
      <c r="B416" s="186"/>
      <c r="C416" s="85"/>
      <c r="D416" s="85"/>
      <c r="E416" s="187"/>
      <c r="F416" s="187"/>
      <c r="G416" s="187"/>
      <c r="H416" s="187"/>
      <c r="I416" s="92"/>
      <c r="J416" s="92"/>
      <c r="K416" s="187"/>
      <c r="L416" s="187"/>
      <c r="M416" s="187"/>
      <c r="N416" s="187"/>
      <c r="O416" s="92"/>
      <c r="P416" s="187"/>
      <c r="Q416" s="187"/>
      <c r="R416" s="187"/>
      <c r="S416" s="187"/>
      <c r="T416" s="85"/>
      <c r="U416" s="189"/>
      <c r="V416" s="189"/>
      <c r="W416" s="189"/>
      <c r="X416" s="189"/>
      <c r="Y416" s="100"/>
      <c r="AA416" s="96"/>
      <c r="AB416" s="96"/>
      <c r="AC416" s="96"/>
      <c r="AD416" s="97"/>
      <c r="AE416" s="96"/>
      <c r="AF416" s="98"/>
      <c r="AG416" s="96"/>
      <c r="AH416" s="96"/>
      <c r="AI416" s="96"/>
      <c r="AJ416" s="96"/>
      <c r="AK416" s="96"/>
      <c r="AL416" s="96"/>
      <c r="AM416" s="96"/>
      <c r="AN416" s="96"/>
      <c r="AO416" s="96"/>
      <c r="AP416" s="96"/>
    </row>
    <row r="417" spans="2:42" ht="12.75">
      <c r="B417" s="186"/>
      <c r="C417" s="85"/>
      <c r="D417" s="85"/>
      <c r="E417" s="187"/>
      <c r="F417" s="187"/>
      <c r="G417" s="187"/>
      <c r="H417" s="187"/>
      <c r="I417" s="92"/>
      <c r="J417" s="92"/>
      <c r="K417" s="187"/>
      <c r="L417" s="187"/>
      <c r="M417" s="187"/>
      <c r="N417" s="187"/>
      <c r="O417" s="92"/>
      <c r="P417" s="187"/>
      <c r="Q417" s="187"/>
      <c r="R417" s="187"/>
      <c r="S417" s="187"/>
      <c r="T417" s="85"/>
      <c r="U417" s="189"/>
      <c r="V417" s="189"/>
      <c r="W417" s="189"/>
      <c r="X417" s="189"/>
      <c r="Y417" s="100"/>
      <c r="AA417" s="96"/>
      <c r="AB417" s="96"/>
      <c r="AC417" s="96"/>
      <c r="AD417" s="97"/>
      <c r="AE417" s="96"/>
      <c r="AF417" s="98"/>
      <c r="AG417" s="96"/>
      <c r="AH417" s="96"/>
      <c r="AI417" s="96"/>
      <c r="AJ417" s="96"/>
      <c r="AK417" s="96"/>
      <c r="AL417" s="96"/>
      <c r="AM417" s="96"/>
      <c r="AN417" s="96"/>
      <c r="AO417" s="96"/>
      <c r="AP417" s="96"/>
    </row>
    <row r="418" spans="2:42" ht="12.75">
      <c r="B418" s="186"/>
      <c r="C418" s="85"/>
      <c r="D418" s="85"/>
      <c r="E418" s="187"/>
      <c r="F418" s="187"/>
      <c r="G418" s="187"/>
      <c r="H418" s="187"/>
      <c r="I418" s="92"/>
      <c r="J418" s="92"/>
      <c r="K418" s="188"/>
      <c r="L418" s="187"/>
      <c r="M418" s="187"/>
      <c r="N418" s="187"/>
      <c r="O418" s="92"/>
      <c r="P418" s="187"/>
      <c r="Q418" s="187"/>
      <c r="R418" s="187"/>
      <c r="S418" s="187"/>
      <c r="T418" s="85"/>
      <c r="U418" s="189"/>
      <c r="V418" s="189"/>
      <c r="W418" s="189"/>
      <c r="X418" s="189"/>
      <c r="Y418" s="100"/>
      <c r="AA418" s="96"/>
      <c r="AB418" s="96"/>
      <c r="AC418" s="96"/>
      <c r="AD418" s="97"/>
      <c r="AE418" s="96"/>
      <c r="AF418" s="98"/>
      <c r="AG418" s="96"/>
      <c r="AH418" s="96"/>
      <c r="AI418" s="96"/>
      <c r="AJ418" s="96"/>
      <c r="AK418" s="96"/>
      <c r="AL418" s="96"/>
      <c r="AM418" s="96"/>
      <c r="AN418" s="96"/>
      <c r="AO418" s="96"/>
      <c r="AP418" s="96"/>
    </row>
    <row r="419" spans="2:42" ht="12.75">
      <c r="B419" s="186"/>
      <c r="C419" s="85"/>
      <c r="D419" s="85"/>
      <c r="E419" s="187"/>
      <c r="F419" s="187"/>
      <c r="G419" s="187"/>
      <c r="H419" s="187"/>
      <c r="I419" s="92"/>
      <c r="J419" s="92"/>
      <c r="K419" s="187"/>
      <c r="L419" s="187"/>
      <c r="M419" s="187"/>
      <c r="N419" s="187"/>
      <c r="O419" s="92"/>
      <c r="P419" s="187"/>
      <c r="Q419" s="187"/>
      <c r="R419" s="187"/>
      <c r="S419" s="187"/>
      <c r="T419" s="85"/>
      <c r="U419" s="189"/>
      <c r="V419" s="189"/>
      <c r="W419" s="189"/>
      <c r="X419" s="189"/>
      <c r="Y419" s="100"/>
      <c r="AA419" s="96"/>
      <c r="AB419" s="96"/>
      <c r="AC419" s="96"/>
      <c r="AD419" s="97"/>
      <c r="AE419" s="96"/>
      <c r="AF419" s="98"/>
      <c r="AG419" s="96"/>
      <c r="AH419" s="96"/>
      <c r="AI419" s="96"/>
      <c r="AJ419" s="96"/>
      <c r="AK419" s="96"/>
      <c r="AL419" s="96"/>
      <c r="AM419" s="96"/>
      <c r="AN419" s="96"/>
      <c r="AO419" s="96"/>
      <c r="AP419" s="96"/>
    </row>
    <row r="420" spans="2:42" ht="12.75">
      <c r="B420" s="186"/>
      <c r="C420" s="85"/>
      <c r="D420" s="85"/>
      <c r="E420" s="187"/>
      <c r="F420" s="187"/>
      <c r="G420" s="187"/>
      <c r="H420" s="187"/>
      <c r="I420" s="92"/>
      <c r="J420" s="92"/>
      <c r="K420" s="187"/>
      <c r="L420" s="187"/>
      <c r="M420" s="187"/>
      <c r="N420" s="187"/>
      <c r="O420" s="92"/>
      <c r="P420" s="187"/>
      <c r="Q420" s="187"/>
      <c r="R420" s="187"/>
      <c r="S420" s="187"/>
      <c r="T420" s="85"/>
      <c r="U420" s="189"/>
      <c r="V420" s="189"/>
      <c r="W420" s="189"/>
      <c r="X420" s="189"/>
      <c r="Y420" s="100"/>
      <c r="AA420" s="96"/>
      <c r="AB420" s="96"/>
      <c r="AC420" s="96"/>
      <c r="AD420" s="97"/>
      <c r="AE420" s="96"/>
      <c r="AF420" s="98"/>
      <c r="AG420" s="96"/>
      <c r="AH420" s="96"/>
      <c r="AI420" s="96"/>
      <c r="AJ420" s="96"/>
      <c r="AK420" s="96"/>
      <c r="AL420" s="96"/>
      <c r="AM420" s="96"/>
      <c r="AN420" s="96"/>
      <c r="AO420" s="96"/>
      <c r="AP420" s="96"/>
    </row>
    <row r="421" spans="2:42" ht="12.75">
      <c r="B421" s="186"/>
      <c r="C421" s="85"/>
      <c r="D421" s="85"/>
      <c r="E421" s="187"/>
      <c r="F421" s="187"/>
      <c r="G421" s="187"/>
      <c r="H421" s="187"/>
      <c r="I421" s="92"/>
      <c r="J421" s="92"/>
      <c r="K421" s="187"/>
      <c r="L421" s="187"/>
      <c r="M421" s="187"/>
      <c r="N421" s="187"/>
      <c r="O421" s="92"/>
      <c r="P421" s="187"/>
      <c r="Q421" s="187"/>
      <c r="R421" s="187"/>
      <c r="S421" s="187"/>
      <c r="T421" s="85"/>
      <c r="U421" s="189"/>
      <c r="V421" s="189"/>
      <c r="W421" s="189"/>
      <c r="X421" s="189"/>
      <c r="Y421" s="100"/>
      <c r="AA421" s="96"/>
      <c r="AB421" s="96"/>
      <c r="AC421" s="96"/>
      <c r="AD421" s="97"/>
      <c r="AE421" s="96"/>
      <c r="AF421" s="98"/>
      <c r="AG421" s="96"/>
      <c r="AH421" s="96"/>
      <c r="AI421" s="96"/>
      <c r="AJ421" s="96"/>
      <c r="AK421" s="96"/>
      <c r="AL421" s="96"/>
      <c r="AM421" s="96"/>
      <c r="AN421" s="96"/>
      <c r="AO421" s="96"/>
      <c r="AP421" s="96"/>
    </row>
    <row r="422" spans="2:42" ht="12.75">
      <c r="B422" s="186"/>
      <c r="C422" s="85"/>
      <c r="D422" s="85"/>
      <c r="E422" s="187"/>
      <c r="F422" s="187"/>
      <c r="G422" s="187"/>
      <c r="H422" s="187"/>
      <c r="I422" s="92"/>
      <c r="J422" s="92"/>
      <c r="K422" s="187"/>
      <c r="L422" s="187"/>
      <c r="M422" s="187"/>
      <c r="N422" s="187"/>
      <c r="O422" s="92"/>
      <c r="P422" s="187"/>
      <c r="Q422" s="187"/>
      <c r="R422" s="187"/>
      <c r="S422" s="187"/>
      <c r="T422" s="85"/>
      <c r="U422" s="189"/>
      <c r="V422" s="189"/>
      <c r="W422" s="189"/>
      <c r="X422" s="189"/>
      <c r="Y422" s="100"/>
      <c r="AA422" s="96"/>
      <c r="AB422" s="96"/>
      <c r="AC422" s="96"/>
      <c r="AD422" s="97"/>
      <c r="AE422" s="96"/>
      <c r="AF422" s="98"/>
      <c r="AG422" s="96"/>
      <c r="AH422" s="96"/>
      <c r="AI422" s="96"/>
      <c r="AJ422" s="96"/>
      <c r="AK422" s="96"/>
      <c r="AL422" s="96"/>
      <c r="AM422" s="96"/>
      <c r="AN422" s="96"/>
      <c r="AO422" s="96"/>
      <c r="AP422" s="96"/>
    </row>
    <row r="423" spans="2:42" ht="12.75">
      <c r="B423" s="186"/>
      <c r="C423" s="85"/>
      <c r="D423" s="85"/>
      <c r="E423" s="187"/>
      <c r="F423" s="187"/>
      <c r="G423" s="187"/>
      <c r="H423" s="187"/>
      <c r="I423" s="92"/>
      <c r="J423" s="92"/>
      <c r="K423" s="187"/>
      <c r="L423" s="187"/>
      <c r="M423" s="187"/>
      <c r="N423" s="187"/>
      <c r="O423" s="92"/>
      <c r="P423" s="187"/>
      <c r="Q423" s="187"/>
      <c r="R423" s="187"/>
      <c r="S423" s="187"/>
      <c r="T423" s="85"/>
      <c r="U423" s="189"/>
      <c r="V423" s="189"/>
      <c r="W423" s="189"/>
      <c r="X423" s="189"/>
      <c r="Y423" s="100"/>
      <c r="AA423" s="96"/>
      <c r="AB423" s="96"/>
      <c r="AC423" s="96"/>
      <c r="AD423" s="97"/>
      <c r="AE423" s="96"/>
      <c r="AF423" s="98"/>
      <c r="AG423" s="96"/>
      <c r="AH423" s="96"/>
      <c r="AI423" s="96"/>
      <c r="AJ423" s="96"/>
      <c r="AK423" s="96"/>
      <c r="AL423" s="96"/>
      <c r="AM423" s="96"/>
      <c r="AN423" s="96"/>
      <c r="AO423" s="96"/>
      <c r="AP423" s="96"/>
    </row>
    <row r="424" spans="2:42" ht="12.75">
      <c r="B424" s="186"/>
      <c r="C424" s="85"/>
      <c r="D424" s="85"/>
      <c r="E424" s="187"/>
      <c r="F424" s="187"/>
      <c r="G424" s="187"/>
      <c r="H424" s="187"/>
      <c r="I424" s="92"/>
      <c r="J424" s="92"/>
      <c r="K424" s="187"/>
      <c r="L424" s="187"/>
      <c r="M424" s="187"/>
      <c r="N424" s="187"/>
      <c r="O424" s="92"/>
      <c r="P424" s="187"/>
      <c r="Q424" s="187"/>
      <c r="R424" s="187"/>
      <c r="S424" s="187"/>
      <c r="T424" s="85"/>
      <c r="U424" s="189"/>
      <c r="V424" s="189"/>
      <c r="W424" s="189"/>
      <c r="X424" s="189"/>
      <c r="Y424" s="100"/>
      <c r="AA424" s="96"/>
      <c r="AB424" s="96"/>
      <c r="AC424" s="96"/>
      <c r="AD424" s="97"/>
      <c r="AE424" s="96"/>
      <c r="AF424" s="98"/>
      <c r="AG424" s="96"/>
      <c r="AH424" s="96"/>
      <c r="AI424" s="96"/>
      <c r="AJ424" s="96"/>
      <c r="AK424" s="96"/>
      <c r="AL424" s="96"/>
      <c r="AM424" s="96"/>
      <c r="AN424" s="96"/>
      <c r="AO424" s="96"/>
      <c r="AP424" s="96"/>
    </row>
    <row r="425" spans="2:42" ht="12.75">
      <c r="B425" s="186"/>
      <c r="C425" s="85"/>
      <c r="D425" s="85"/>
      <c r="E425" s="187"/>
      <c r="F425" s="187"/>
      <c r="G425" s="187"/>
      <c r="H425" s="187"/>
      <c r="I425" s="92"/>
      <c r="J425" s="92"/>
      <c r="K425" s="187"/>
      <c r="L425" s="187"/>
      <c r="M425" s="187"/>
      <c r="N425" s="187"/>
      <c r="O425" s="92"/>
      <c r="P425" s="187"/>
      <c r="Q425" s="187"/>
      <c r="R425" s="187"/>
      <c r="S425" s="187"/>
      <c r="T425" s="85"/>
      <c r="U425" s="189"/>
      <c r="V425" s="189"/>
      <c r="W425" s="189"/>
      <c r="X425" s="189"/>
      <c r="Y425" s="100"/>
      <c r="AA425" s="96"/>
      <c r="AB425" s="96"/>
      <c r="AC425" s="96"/>
      <c r="AD425" s="97"/>
      <c r="AE425" s="96"/>
      <c r="AF425" s="98"/>
      <c r="AG425" s="96"/>
      <c r="AH425" s="96"/>
      <c r="AI425" s="96"/>
      <c r="AJ425" s="96"/>
      <c r="AK425" s="96"/>
      <c r="AL425" s="96"/>
      <c r="AM425" s="96"/>
      <c r="AN425" s="96"/>
      <c r="AO425" s="96"/>
      <c r="AP425" s="96"/>
    </row>
    <row r="426" spans="2:42" ht="12.75">
      <c r="B426" s="186"/>
      <c r="C426" s="85"/>
      <c r="D426" s="85"/>
      <c r="E426" s="187"/>
      <c r="F426" s="187"/>
      <c r="G426" s="187"/>
      <c r="H426" s="187"/>
      <c r="I426" s="92"/>
      <c r="J426" s="92"/>
      <c r="K426" s="187"/>
      <c r="L426" s="187"/>
      <c r="M426" s="187"/>
      <c r="N426" s="187"/>
      <c r="O426" s="92"/>
      <c r="P426" s="187"/>
      <c r="Q426" s="187"/>
      <c r="R426" s="187"/>
      <c r="S426" s="187"/>
      <c r="T426" s="85"/>
      <c r="U426" s="189"/>
      <c r="V426" s="189"/>
      <c r="W426" s="189"/>
      <c r="X426" s="189"/>
      <c r="Y426" s="100"/>
      <c r="AA426" s="96"/>
      <c r="AB426" s="96"/>
      <c r="AC426" s="96"/>
      <c r="AD426" s="97"/>
      <c r="AE426" s="96"/>
      <c r="AF426" s="98"/>
      <c r="AG426" s="96"/>
      <c r="AH426" s="96"/>
      <c r="AI426" s="96"/>
      <c r="AJ426" s="96"/>
      <c r="AK426" s="96"/>
      <c r="AL426" s="96"/>
      <c r="AM426" s="96"/>
      <c r="AN426" s="96"/>
      <c r="AO426" s="96"/>
      <c r="AP426" s="96"/>
    </row>
    <row r="427" spans="2:42" ht="12.75">
      <c r="B427" s="186"/>
      <c r="C427" s="85"/>
      <c r="D427" s="85"/>
      <c r="E427" s="187"/>
      <c r="F427" s="187"/>
      <c r="G427" s="187"/>
      <c r="H427" s="187"/>
      <c r="I427" s="92"/>
      <c r="J427" s="92"/>
      <c r="K427" s="187"/>
      <c r="L427" s="187"/>
      <c r="M427" s="187"/>
      <c r="N427" s="187"/>
      <c r="O427" s="92"/>
      <c r="P427" s="187"/>
      <c r="Q427" s="187"/>
      <c r="R427" s="187"/>
      <c r="S427" s="187"/>
      <c r="T427" s="85"/>
      <c r="U427" s="189"/>
      <c r="V427" s="189"/>
      <c r="W427" s="189"/>
      <c r="X427" s="189"/>
      <c r="Y427" s="100"/>
      <c r="AA427" s="96"/>
      <c r="AB427" s="96"/>
      <c r="AC427" s="96"/>
      <c r="AD427" s="97"/>
      <c r="AE427" s="96"/>
      <c r="AF427" s="98"/>
      <c r="AG427" s="96"/>
      <c r="AH427" s="96"/>
      <c r="AI427" s="96"/>
      <c r="AJ427" s="96"/>
      <c r="AK427" s="96"/>
      <c r="AL427" s="96"/>
      <c r="AM427" s="96"/>
      <c r="AN427" s="96"/>
      <c r="AO427" s="96"/>
      <c r="AP427" s="96"/>
    </row>
    <row r="428" spans="2:42" ht="12.75">
      <c r="B428" s="186"/>
      <c r="C428" s="85"/>
      <c r="D428" s="85"/>
      <c r="E428" s="187"/>
      <c r="F428" s="187"/>
      <c r="G428" s="187"/>
      <c r="H428" s="187"/>
      <c r="I428" s="92"/>
      <c r="J428" s="92"/>
      <c r="K428" s="187"/>
      <c r="L428" s="187"/>
      <c r="M428" s="187"/>
      <c r="N428" s="187"/>
      <c r="O428" s="92"/>
      <c r="P428" s="187"/>
      <c r="Q428" s="187"/>
      <c r="R428" s="187"/>
      <c r="S428" s="187"/>
      <c r="T428" s="85"/>
      <c r="U428" s="189"/>
      <c r="V428" s="189"/>
      <c r="W428" s="189"/>
      <c r="X428" s="189"/>
      <c r="Y428" s="100"/>
      <c r="AA428" s="96"/>
      <c r="AB428" s="96"/>
      <c r="AC428" s="96"/>
      <c r="AD428" s="97"/>
      <c r="AE428" s="96"/>
      <c r="AF428" s="98"/>
      <c r="AG428" s="96"/>
      <c r="AH428" s="96"/>
      <c r="AI428" s="96"/>
      <c r="AJ428" s="96"/>
      <c r="AK428" s="96"/>
      <c r="AL428" s="96"/>
      <c r="AM428" s="96"/>
      <c r="AN428" s="96"/>
      <c r="AO428" s="96"/>
      <c r="AP428" s="96"/>
    </row>
    <row r="429" spans="2:42" ht="12.75">
      <c r="B429" s="186"/>
      <c r="C429" s="85"/>
      <c r="D429" s="85"/>
      <c r="E429" s="187"/>
      <c r="F429" s="187"/>
      <c r="G429" s="187"/>
      <c r="H429" s="187"/>
      <c r="I429" s="92"/>
      <c r="J429" s="92"/>
      <c r="K429" s="187"/>
      <c r="L429" s="187"/>
      <c r="M429" s="187"/>
      <c r="N429" s="187"/>
      <c r="O429" s="92"/>
      <c r="P429" s="187"/>
      <c r="Q429" s="187"/>
      <c r="R429" s="187"/>
      <c r="S429" s="187"/>
      <c r="T429" s="85"/>
      <c r="U429" s="189"/>
      <c r="V429" s="189"/>
      <c r="W429" s="189"/>
      <c r="X429" s="189"/>
      <c r="Y429" s="100"/>
      <c r="AA429" s="96"/>
      <c r="AB429" s="96"/>
      <c r="AC429" s="96"/>
      <c r="AD429" s="97"/>
      <c r="AE429" s="96"/>
      <c r="AF429" s="98"/>
      <c r="AG429" s="96"/>
      <c r="AH429" s="96"/>
      <c r="AI429" s="96"/>
      <c r="AJ429" s="96"/>
      <c r="AK429" s="96"/>
      <c r="AL429" s="96"/>
      <c r="AM429" s="96"/>
      <c r="AN429" s="96"/>
      <c r="AO429" s="96"/>
      <c r="AP429" s="96"/>
    </row>
    <row r="430" spans="2:42" ht="12.75">
      <c r="B430" s="186"/>
      <c r="C430" s="85"/>
      <c r="D430" s="85"/>
      <c r="E430" s="187"/>
      <c r="F430" s="187"/>
      <c r="G430" s="187"/>
      <c r="H430" s="187"/>
      <c r="I430" s="92"/>
      <c r="J430" s="92"/>
      <c r="K430" s="187"/>
      <c r="L430" s="187"/>
      <c r="M430" s="187"/>
      <c r="N430" s="187"/>
      <c r="O430" s="92"/>
      <c r="P430" s="187"/>
      <c r="Q430" s="187"/>
      <c r="R430" s="187"/>
      <c r="S430" s="187"/>
      <c r="T430" s="85"/>
      <c r="U430" s="189"/>
      <c r="V430" s="189"/>
      <c r="W430" s="189"/>
      <c r="X430" s="189"/>
      <c r="Y430" s="100"/>
      <c r="AA430" s="96"/>
      <c r="AB430" s="96"/>
      <c r="AC430" s="96"/>
      <c r="AD430" s="97"/>
      <c r="AE430" s="96"/>
      <c r="AF430" s="98"/>
      <c r="AG430" s="96"/>
      <c r="AH430" s="96"/>
      <c r="AI430" s="96"/>
      <c r="AJ430" s="96"/>
      <c r="AK430" s="96"/>
      <c r="AL430" s="96"/>
      <c r="AM430" s="96"/>
      <c r="AN430" s="96"/>
      <c r="AO430" s="96"/>
      <c r="AP430" s="96"/>
    </row>
    <row r="431" spans="2:42" ht="12.75">
      <c r="B431" s="186"/>
      <c r="C431" s="85"/>
      <c r="D431" s="85"/>
      <c r="E431" s="187"/>
      <c r="F431" s="187"/>
      <c r="G431" s="187"/>
      <c r="H431" s="187"/>
      <c r="I431" s="92"/>
      <c r="J431" s="92"/>
      <c r="K431" s="187"/>
      <c r="L431" s="187"/>
      <c r="M431" s="187"/>
      <c r="N431" s="187"/>
      <c r="O431" s="92"/>
      <c r="P431" s="187"/>
      <c r="Q431" s="187"/>
      <c r="R431" s="187"/>
      <c r="S431" s="187"/>
      <c r="T431" s="85"/>
      <c r="U431" s="189"/>
      <c r="V431" s="189"/>
      <c r="W431" s="189"/>
      <c r="X431" s="189"/>
      <c r="Y431" s="100"/>
      <c r="AA431" s="96"/>
      <c r="AB431" s="96"/>
      <c r="AC431" s="96"/>
      <c r="AD431" s="97"/>
      <c r="AE431" s="96"/>
      <c r="AF431" s="98"/>
      <c r="AG431" s="96"/>
      <c r="AH431" s="96"/>
      <c r="AI431" s="96"/>
      <c r="AJ431" s="96"/>
      <c r="AK431" s="96"/>
      <c r="AL431" s="96"/>
      <c r="AM431" s="96"/>
      <c r="AN431" s="96"/>
      <c r="AO431" s="96"/>
      <c r="AP431" s="96"/>
    </row>
    <row r="432" spans="2:42" ht="12.75">
      <c r="B432" s="186"/>
      <c r="C432" s="85"/>
      <c r="D432" s="85"/>
      <c r="E432" s="187"/>
      <c r="F432" s="187"/>
      <c r="G432" s="187"/>
      <c r="H432" s="187"/>
      <c r="I432" s="92"/>
      <c r="J432" s="92"/>
      <c r="K432" s="187"/>
      <c r="L432" s="187"/>
      <c r="M432" s="187"/>
      <c r="N432" s="187"/>
      <c r="O432" s="92"/>
      <c r="P432" s="187"/>
      <c r="Q432" s="187"/>
      <c r="R432" s="187"/>
      <c r="S432" s="187"/>
      <c r="T432" s="85"/>
      <c r="U432" s="189"/>
      <c r="V432" s="189"/>
      <c r="W432" s="189"/>
      <c r="X432" s="189"/>
      <c r="Y432" s="100"/>
      <c r="AA432" s="96"/>
      <c r="AB432" s="96"/>
      <c r="AC432" s="96"/>
      <c r="AD432" s="97"/>
      <c r="AE432" s="96"/>
      <c r="AF432" s="98"/>
      <c r="AG432" s="96"/>
      <c r="AH432" s="96"/>
      <c r="AI432" s="96"/>
      <c r="AJ432" s="96"/>
      <c r="AK432" s="96"/>
      <c r="AL432" s="96"/>
      <c r="AM432" s="96"/>
      <c r="AN432" s="96"/>
      <c r="AO432" s="96"/>
      <c r="AP432" s="96"/>
    </row>
    <row r="433" spans="2:42" ht="12.75">
      <c r="B433" s="186"/>
      <c r="C433" s="85"/>
      <c r="D433" s="85"/>
      <c r="E433" s="187"/>
      <c r="F433" s="187"/>
      <c r="G433" s="187"/>
      <c r="H433" s="187"/>
      <c r="I433" s="92"/>
      <c r="J433" s="92"/>
      <c r="K433" s="187"/>
      <c r="L433" s="187"/>
      <c r="M433" s="187"/>
      <c r="N433" s="187"/>
      <c r="O433" s="92"/>
      <c r="P433" s="187"/>
      <c r="Q433" s="187"/>
      <c r="R433" s="187"/>
      <c r="S433" s="187"/>
      <c r="T433" s="85"/>
      <c r="U433" s="189"/>
      <c r="V433" s="189"/>
      <c r="W433" s="189"/>
      <c r="X433" s="189"/>
      <c r="Y433" s="100"/>
      <c r="AA433" s="96"/>
      <c r="AB433" s="96"/>
      <c r="AC433" s="96"/>
      <c r="AD433" s="97"/>
      <c r="AE433" s="96"/>
      <c r="AF433" s="98"/>
      <c r="AG433" s="96"/>
      <c r="AH433" s="96"/>
      <c r="AI433" s="96"/>
      <c r="AJ433" s="96"/>
      <c r="AK433" s="96"/>
      <c r="AL433" s="96"/>
      <c r="AM433" s="96"/>
      <c r="AN433" s="96"/>
      <c r="AO433" s="96"/>
      <c r="AP433" s="96"/>
    </row>
    <row r="434" spans="2:42" ht="12.75">
      <c r="B434" s="186"/>
      <c r="C434" s="85"/>
      <c r="D434" s="85"/>
      <c r="E434" s="187"/>
      <c r="F434" s="187"/>
      <c r="G434" s="187"/>
      <c r="H434" s="187"/>
      <c r="I434" s="92"/>
      <c r="J434" s="92"/>
      <c r="K434" s="187"/>
      <c r="L434" s="187"/>
      <c r="M434" s="187"/>
      <c r="N434" s="187"/>
      <c r="O434" s="92"/>
      <c r="P434" s="187"/>
      <c r="Q434" s="187"/>
      <c r="R434" s="187"/>
      <c r="S434" s="187"/>
      <c r="T434" s="85"/>
      <c r="U434" s="189"/>
      <c r="V434" s="189"/>
      <c r="W434" s="189"/>
      <c r="X434" s="189"/>
      <c r="Y434" s="100"/>
      <c r="AA434" s="96"/>
      <c r="AB434" s="96"/>
      <c r="AC434" s="96"/>
      <c r="AD434" s="97"/>
      <c r="AE434" s="96"/>
      <c r="AF434" s="98"/>
      <c r="AG434" s="96"/>
      <c r="AH434" s="96"/>
      <c r="AI434" s="96"/>
      <c r="AJ434" s="96"/>
      <c r="AK434" s="96"/>
      <c r="AL434" s="96"/>
      <c r="AM434" s="96"/>
      <c r="AN434" s="96"/>
      <c r="AO434" s="96"/>
      <c r="AP434" s="96"/>
    </row>
    <row r="435" spans="2:42" ht="12.75">
      <c r="B435" s="186"/>
      <c r="C435" s="85"/>
      <c r="D435" s="85"/>
      <c r="E435" s="187"/>
      <c r="F435" s="187"/>
      <c r="G435" s="187"/>
      <c r="H435" s="187"/>
      <c r="I435" s="92"/>
      <c r="J435" s="92"/>
      <c r="K435" s="187"/>
      <c r="L435" s="187"/>
      <c r="M435" s="187"/>
      <c r="N435" s="187"/>
      <c r="O435" s="92"/>
      <c r="P435" s="187"/>
      <c r="Q435" s="187"/>
      <c r="R435" s="187"/>
      <c r="S435" s="187"/>
      <c r="T435" s="85"/>
      <c r="U435" s="189"/>
      <c r="V435" s="189"/>
      <c r="W435" s="189"/>
      <c r="X435" s="189"/>
      <c r="Y435" s="100"/>
      <c r="AA435" s="96"/>
      <c r="AB435" s="96"/>
      <c r="AC435" s="96"/>
      <c r="AD435" s="97"/>
      <c r="AE435" s="96"/>
      <c r="AF435" s="98"/>
      <c r="AG435" s="96"/>
      <c r="AH435" s="96"/>
      <c r="AI435" s="96"/>
      <c r="AJ435" s="96"/>
      <c r="AK435" s="96"/>
      <c r="AL435" s="96"/>
      <c r="AM435" s="96"/>
      <c r="AN435" s="96"/>
      <c r="AO435" s="96"/>
      <c r="AP435" s="96"/>
    </row>
    <row r="436" spans="2:42" ht="12.75">
      <c r="B436" s="186"/>
      <c r="C436" s="85"/>
      <c r="D436" s="85"/>
      <c r="E436" s="187"/>
      <c r="F436" s="187"/>
      <c r="G436" s="187"/>
      <c r="H436" s="187"/>
      <c r="I436" s="92"/>
      <c r="J436" s="92"/>
      <c r="K436" s="187"/>
      <c r="L436" s="187"/>
      <c r="M436" s="187"/>
      <c r="N436" s="187"/>
      <c r="O436" s="92"/>
      <c r="P436" s="187"/>
      <c r="Q436" s="187"/>
      <c r="R436" s="187"/>
      <c r="S436" s="187"/>
      <c r="T436" s="85"/>
      <c r="U436" s="189"/>
      <c r="V436" s="189"/>
      <c r="W436" s="189"/>
      <c r="X436" s="189"/>
      <c r="Y436" s="100"/>
      <c r="AA436" s="96"/>
      <c r="AB436" s="96"/>
      <c r="AC436" s="96"/>
      <c r="AD436" s="97"/>
      <c r="AE436" s="96"/>
      <c r="AF436" s="98"/>
      <c r="AG436" s="96"/>
      <c r="AH436" s="96"/>
      <c r="AI436" s="96"/>
      <c r="AJ436" s="96"/>
      <c r="AK436" s="96"/>
      <c r="AL436" s="96"/>
      <c r="AM436" s="96"/>
      <c r="AN436" s="96"/>
      <c r="AO436" s="96"/>
      <c r="AP436" s="96"/>
    </row>
    <row r="437" spans="2:42" ht="12.75">
      <c r="B437" s="186"/>
      <c r="C437" s="85"/>
      <c r="D437" s="85"/>
      <c r="E437" s="187"/>
      <c r="F437" s="187"/>
      <c r="G437" s="187"/>
      <c r="H437" s="187"/>
      <c r="I437" s="92"/>
      <c r="J437" s="92"/>
      <c r="K437" s="187"/>
      <c r="L437" s="187"/>
      <c r="M437" s="187"/>
      <c r="N437" s="187"/>
      <c r="O437" s="92"/>
      <c r="P437" s="187"/>
      <c r="Q437" s="187"/>
      <c r="R437" s="187"/>
      <c r="S437" s="187"/>
      <c r="T437" s="85"/>
      <c r="U437" s="189"/>
      <c r="V437" s="189"/>
      <c r="W437" s="189"/>
      <c r="X437" s="189"/>
      <c r="Y437" s="100"/>
      <c r="AA437" s="96"/>
      <c r="AB437" s="96"/>
      <c r="AC437" s="96"/>
      <c r="AD437" s="97"/>
      <c r="AE437" s="96"/>
      <c r="AF437" s="98"/>
      <c r="AG437" s="96"/>
      <c r="AH437" s="96"/>
      <c r="AI437" s="96"/>
      <c r="AJ437" s="96"/>
      <c r="AK437" s="96"/>
      <c r="AL437" s="96"/>
      <c r="AM437" s="96"/>
      <c r="AN437" s="96"/>
      <c r="AO437" s="96"/>
      <c r="AP437" s="96"/>
    </row>
    <row r="438" spans="2:42" ht="12.75">
      <c r="B438" s="186"/>
      <c r="C438" s="85"/>
      <c r="D438" s="85"/>
      <c r="E438" s="187"/>
      <c r="F438" s="187"/>
      <c r="G438" s="187"/>
      <c r="H438" s="187"/>
      <c r="I438" s="92"/>
      <c r="J438" s="92"/>
      <c r="K438" s="187"/>
      <c r="L438" s="187"/>
      <c r="M438" s="187"/>
      <c r="N438" s="187"/>
      <c r="O438" s="92"/>
      <c r="P438" s="187"/>
      <c r="Q438" s="187"/>
      <c r="R438" s="187"/>
      <c r="S438" s="187"/>
      <c r="T438" s="85"/>
      <c r="U438" s="189"/>
      <c r="V438" s="189"/>
      <c r="W438" s="189"/>
      <c r="X438" s="189"/>
      <c r="Y438" s="100"/>
      <c r="AA438" s="96"/>
      <c r="AB438" s="96"/>
      <c r="AC438" s="96"/>
      <c r="AD438" s="97"/>
      <c r="AE438" s="96"/>
      <c r="AF438" s="98"/>
      <c r="AG438" s="96"/>
      <c r="AH438" s="96"/>
      <c r="AI438" s="96"/>
      <c r="AJ438" s="96"/>
      <c r="AK438" s="96"/>
      <c r="AL438" s="96"/>
      <c r="AM438" s="96"/>
      <c r="AN438" s="96"/>
      <c r="AO438" s="96"/>
      <c r="AP438" s="96"/>
    </row>
    <row r="439" spans="2:42" ht="12.75">
      <c r="B439" s="186"/>
      <c r="C439" s="85"/>
      <c r="D439" s="85"/>
      <c r="E439" s="187"/>
      <c r="F439" s="187"/>
      <c r="G439" s="187"/>
      <c r="H439" s="187"/>
      <c r="I439" s="92"/>
      <c r="J439" s="92"/>
      <c r="K439" s="187"/>
      <c r="L439" s="187"/>
      <c r="M439" s="187"/>
      <c r="N439" s="187"/>
      <c r="O439" s="92"/>
      <c r="P439" s="187"/>
      <c r="Q439" s="187"/>
      <c r="R439" s="187"/>
      <c r="S439" s="187"/>
      <c r="T439" s="85"/>
      <c r="U439" s="189"/>
      <c r="V439" s="189"/>
      <c r="W439" s="189"/>
      <c r="X439" s="189"/>
      <c r="Y439" s="100"/>
      <c r="AA439" s="96"/>
      <c r="AB439" s="96"/>
      <c r="AC439" s="96"/>
      <c r="AD439" s="97"/>
      <c r="AE439" s="96"/>
      <c r="AF439" s="98"/>
      <c r="AG439" s="96"/>
      <c r="AH439" s="96"/>
      <c r="AI439" s="96"/>
      <c r="AJ439" s="96"/>
      <c r="AK439" s="96"/>
      <c r="AL439" s="96"/>
      <c r="AM439" s="96"/>
      <c r="AN439" s="96"/>
      <c r="AO439" s="96"/>
      <c r="AP439" s="96"/>
    </row>
    <row r="440" spans="2:42" ht="12.75">
      <c r="B440" s="186"/>
      <c r="C440" s="85"/>
      <c r="D440" s="85"/>
      <c r="E440" s="187"/>
      <c r="F440" s="187"/>
      <c r="G440" s="187"/>
      <c r="H440" s="187"/>
      <c r="I440" s="92"/>
      <c r="J440" s="92"/>
      <c r="K440" s="187"/>
      <c r="L440" s="187"/>
      <c r="M440" s="187"/>
      <c r="N440" s="187"/>
      <c r="O440" s="92"/>
      <c r="P440" s="187"/>
      <c r="Q440" s="187"/>
      <c r="R440" s="187"/>
      <c r="S440" s="187"/>
      <c r="T440" s="85"/>
      <c r="U440" s="189"/>
      <c r="V440" s="189"/>
      <c r="W440" s="189"/>
      <c r="X440" s="189"/>
      <c r="Y440" s="100"/>
      <c r="AA440" s="96"/>
      <c r="AB440" s="96"/>
      <c r="AC440" s="96"/>
      <c r="AD440" s="97"/>
      <c r="AE440" s="96"/>
      <c r="AF440" s="98"/>
      <c r="AG440" s="96"/>
      <c r="AH440" s="96"/>
      <c r="AI440" s="96"/>
      <c r="AJ440" s="96"/>
      <c r="AK440" s="96"/>
      <c r="AL440" s="96"/>
      <c r="AM440" s="96"/>
      <c r="AN440" s="96"/>
      <c r="AO440" s="96"/>
      <c r="AP440" s="96"/>
    </row>
    <row r="441" spans="2:42" ht="12.75">
      <c r="B441" s="186"/>
      <c r="C441" s="85"/>
      <c r="D441" s="85"/>
      <c r="E441" s="187"/>
      <c r="F441" s="187"/>
      <c r="G441" s="187"/>
      <c r="H441" s="187"/>
      <c r="I441" s="92"/>
      <c r="J441" s="92"/>
      <c r="K441" s="187"/>
      <c r="L441" s="187"/>
      <c r="M441" s="187"/>
      <c r="N441" s="187"/>
      <c r="O441" s="92"/>
      <c r="P441" s="187"/>
      <c r="Q441" s="187"/>
      <c r="R441" s="187"/>
      <c r="S441" s="187"/>
      <c r="T441" s="85"/>
      <c r="U441" s="189"/>
      <c r="V441" s="189"/>
      <c r="W441" s="189"/>
      <c r="X441" s="189"/>
      <c r="Y441" s="100"/>
      <c r="AA441" s="96"/>
      <c r="AB441" s="96"/>
      <c r="AC441" s="96"/>
      <c r="AD441" s="97"/>
      <c r="AE441" s="96"/>
      <c r="AF441" s="98"/>
      <c r="AG441" s="96"/>
      <c r="AH441" s="96"/>
      <c r="AI441" s="96"/>
      <c r="AJ441" s="96"/>
      <c r="AK441" s="96"/>
      <c r="AL441" s="96"/>
      <c r="AM441" s="96"/>
      <c r="AN441" s="96"/>
      <c r="AO441" s="96"/>
      <c r="AP441" s="96"/>
    </row>
    <row r="442" spans="2:42" ht="12.75">
      <c r="B442" s="186"/>
      <c r="C442" s="85"/>
      <c r="D442" s="85"/>
      <c r="E442" s="187"/>
      <c r="F442" s="187"/>
      <c r="G442" s="187"/>
      <c r="H442" s="187"/>
      <c r="I442" s="92"/>
      <c r="J442" s="92"/>
      <c r="K442" s="187"/>
      <c r="L442" s="187"/>
      <c r="M442" s="187"/>
      <c r="N442" s="187"/>
      <c r="O442" s="92"/>
      <c r="P442" s="187"/>
      <c r="Q442" s="187"/>
      <c r="R442" s="187"/>
      <c r="S442" s="187"/>
      <c r="T442" s="85"/>
      <c r="U442" s="189"/>
      <c r="V442" s="189"/>
      <c r="W442" s="189"/>
      <c r="X442" s="189"/>
      <c r="Y442" s="100"/>
      <c r="AA442" s="96"/>
      <c r="AB442" s="96"/>
      <c r="AC442" s="96"/>
      <c r="AD442" s="97"/>
      <c r="AE442" s="96"/>
      <c r="AF442" s="98"/>
      <c r="AG442" s="96"/>
      <c r="AH442" s="96"/>
      <c r="AI442" s="96"/>
      <c r="AJ442" s="96"/>
      <c r="AK442" s="96"/>
      <c r="AL442" s="96"/>
      <c r="AM442" s="96"/>
      <c r="AN442" s="96"/>
      <c r="AO442" s="96"/>
      <c r="AP442" s="96"/>
    </row>
    <row r="443" spans="2:42" ht="12.75">
      <c r="B443" s="186"/>
      <c r="C443" s="85"/>
      <c r="D443" s="85"/>
      <c r="E443" s="187"/>
      <c r="F443" s="187"/>
      <c r="G443" s="187"/>
      <c r="H443" s="187"/>
      <c r="I443" s="92"/>
      <c r="J443" s="92"/>
      <c r="K443" s="187"/>
      <c r="L443" s="187"/>
      <c r="M443" s="187"/>
      <c r="N443" s="187"/>
      <c r="O443" s="92"/>
      <c r="P443" s="187"/>
      <c r="Q443" s="187"/>
      <c r="R443" s="187"/>
      <c r="S443" s="187"/>
      <c r="T443" s="85"/>
      <c r="U443" s="189"/>
      <c r="V443" s="189"/>
      <c r="W443" s="189"/>
      <c r="X443" s="189"/>
      <c r="Y443" s="100"/>
      <c r="AA443" s="96"/>
      <c r="AB443" s="96"/>
      <c r="AC443" s="96"/>
      <c r="AD443" s="97"/>
      <c r="AE443" s="96"/>
      <c r="AF443" s="98"/>
      <c r="AG443" s="96"/>
      <c r="AH443" s="96"/>
      <c r="AI443" s="96"/>
      <c r="AJ443" s="96"/>
      <c r="AK443" s="96"/>
      <c r="AL443" s="96"/>
      <c r="AM443" s="96"/>
      <c r="AN443" s="96"/>
      <c r="AO443" s="96"/>
      <c r="AP443" s="96"/>
    </row>
    <row r="444" spans="2:42" ht="12.75">
      <c r="B444" s="186"/>
      <c r="C444" s="85"/>
      <c r="D444" s="85"/>
      <c r="E444" s="187"/>
      <c r="F444" s="187"/>
      <c r="G444" s="187"/>
      <c r="H444" s="187"/>
      <c r="I444" s="92"/>
      <c r="J444" s="92"/>
      <c r="K444" s="187"/>
      <c r="L444" s="187"/>
      <c r="M444" s="187"/>
      <c r="N444" s="187"/>
      <c r="O444" s="92"/>
      <c r="P444" s="187"/>
      <c r="Q444" s="187"/>
      <c r="R444" s="187"/>
      <c r="S444" s="187"/>
      <c r="T444" s="85"/>
      <c r="U444" s="189"/>
      <c r="V444" s="189"/>
      <c r="W444" s="189"/>
      <c r="X444" s="189"/>
      <c r="Y444" s="100"/>
      <c r="AA444" s="96"/>
      <c r="AB444" s="96"/>
      <c r="AC444" s="96"/>
      <c r="AD444" s="97"/>
      <c r="AE444" s="96"/>
      <c r="AF444" s="98"/>
      <c r="AG444" s="96"/>
      <c r="AH444" s="96"/>
      <c r="AI444" s="96"/>
      <c r="AJ444" s="96"/>
      <c r="AK444" s="96"/>
      <c r="AL444" s="96"/>
      <c r="AM444" s="96"/>
      <c r="AN444" s="96"/>
      <c r="AO444" s="96"/>
      <c r="AP444" s="96"/>
    </row>
    <row r="445" spans="2:42" ht="12.75">
      <c r="B445" s="186"/>
      <c r="C445" s="85"/>
      <c r="D445" s="85"/>
      <c r="E445" s="187"/>
      <c r="F445" s="187"/>
      <c r="G445" s="187"/>
      <c r="H445" s="187"/>
      <c r="I445" s="92"/>
      <c r="J445" s="92"/>
      <c r="K445" s="187"/>
      <c r="L445" s="187"/>
      <c r="M445" s="187"/>
      <c r="N445" s="187"/>
      <c r="O445" s="92"/>
      <c r="P445" s="187"/>
      <c r="Q445" s="187"/>
      <c r="R445" s="187"/>
      <c r="S445" s="187"/>
      <c r="T445" s="85"/>
      <c r="U445" s="189"/>
      <c r="V445" s="189"/>
      <c r="W445" s="189"/>
      <c r="X445" s="189"/>
      <c r="Y445" s="100"/>
      <c r="AA445" s="96"/>
      <c r="AB445" s="96"/>
      <c r="AC445" s="96"/>
      <c r="AD445" s="97"/>
      <c r="AE445" s="96"/>
      <c r="AF445" s="98"/>
      <c r="AG445" s="96"/>
      <c r="AH445" s="96"/>
      <c r="AI445" s="96"/>
      <c r="AJ445" s="96"/>
      <c r="AK445" s="96"/>
      <c r="AL445" s="96"/>
      <c r="AM445" s="96"/>
      <c r="AN445" s="96"/>
      <c r="AO445" s="96"/>
      <c r="AP445" s="96"/>
    </row>
    <row r="446" spans="2:42" ht="12.75">
      <c r="B446" s="186"/>
      <c r="C446" s="85"/>
      <c r="D446" s="85"/>
      <c r="E446" s="187"/>
      <c r="F446" s="187"/>
      <c r="G446" s="187"/>
      <c r="H446" s="187"/>
      <c r="I446" s="92"/>
      <c r="J446" s="92"/>
      <c r="K446" s="187"/>
      <c r="L446" s="187"/>
      <c r="M446" s="187"/>
      <c r="N446" s="187"/>
      <c r="O446" s="92"/>
      <c r="P446" s="187"/>
      <c r="Q446" s="187"/>
      <c r="R446" s="187"/>
      <c r="S446" s="187"/>
      <c r="T446" s="85"/>
      <c r="U446" s="189"/>
      <c r="V446" s="189"/>
      <c r="W446" s="189"/>
      <c r="X446" s="189"/>
      <c r="Y446" s="100"/>
      <c r="AA446" s="96"/>
      <c r="AB446" s="96"/>
      <c r="AC446" s="96"/>
      <c r="AD446" s="97"/>
      <c r="AE446" s="96"/>
      <c r="AF446" s="98"/>
      <c r="AG446" s="96"/>
      <c r="AH446" s="96"/>
      <c r="AI446" s="96"/>
      <c r="AJ446" s="96"/>
      <c r="AK446" s="96"/>
      <c r="AL446" s="96"/>
      <c r="AM446" s="96"/>
      <c r="AN446" s="96"/>
      <c r="AO446" s="96"/>
      <c r="AP446" s="96"/>
    </row>
    <row r="447" spans="2:42" ht="12.75">
      <c r="B447" s="186"/>
      <c r="C447" s="85"/>
      <c r="D447" s="85"/>
      <c r="E447" s="187"/>
      <c r="F447" s="187"/>
      <c r="G447" s="187"/>
      <c r="H447" s="187"/>
      <c r="I447" s="92"/>
      <c r="J447" s="92"/>
      <c r="K447" s="187"/>
      <c r="L447" s="187"/>
      <c r="M447" s="187"/>
      <c r="N447" s="187"/>
      <c r="O447" s="92"/>
      <c r="P447" s="187"/>
      <c r="Q447" s="187"/>
      <c r="R447" s="187"/>
      <c r="S447" s="187"/>
      <c r="T447" s="85"/>
      <c r="U447" s="189"/>
      <c r="V447" s="189"/>
      <c r="W447" s="189"/>
      <c r="X447" s="189"/>
      <c r="Y447" s="100"/>
      <c r="AA447" s="96"/>
      <c r="AB447" s="96"/>
      <c r="AC447" s="96"/>
      <c r="AD447" s="97"/>
      <c r="AE447" s="96"/>
      <c r="AF447" s="98"/>
      <c r="AG447" s="96"/>
      <c r="AH447" s="96"/>
      <c r="AI447" s="96"/>
      <c r="AJ447" s="96"/>
      <c r="AK447" s="96"/>
      <c r="AL447" s="96"/>
      <c r="AM447" s="96"/>
      <c r="AN447" s="96"/>
      <c r="AO447" s="96"/>
      <c r="AP447" s="96"/>
    </row>
    <row r="448" spans="2:42" ht="12.75">
      <c r="B448" s="186"/>
      <c r="C448" s="85"/>
      <c r="D448" s="85"/>
      <c r="E448" s="187"/>
      <c r="F448" s="187"/>
      <c r="G448" s="187"/>
      <c r="H448" s="187"/>
      <c r="I448" s="92"/>
      <c r="J448" s="92"/>
      <c r="K448" s="187"/>
      <c r="L448" s="187"/>
      <c r="M448" s="187"/>
      <c r="N448" s="187"/>
      <c r="O448" s="92"/>
      <c r="P448" s="187"/>
      <c r="Q448" s="187"/>
      <c r="R448" s="187"/>
      <c r="S448" s="187"/>
      <c r="T448" s="85"/>
      <c r="U448" s="189"/>
      <c r="V448" s="189"/>
      <c r="W448" s="189"/>
      <c r="X448" s="189"/>
      <c r="Y448" s="100"/>
      <c r="AA448" s="96"/>
      <c r="AB448" s="96"/>
      <c r="AC448" s="96"/>
      <c r="AD448" s="97"/>
      <c r="AE448" s="96"/>
      <c r="AF448" s="98"/>
      <c r="AG448" s="96"/>
      <c r="AH448" s="96"/>
      <c r="AI448" s="96"/>
      <c r="AJ448" s="96"/>
      <c r="AK448" s="96"/>
      <c r="AL448" s="96"/>
      <c r="AM448" s="96"/>
      <c r="AN448" s="96"/>
      <c r="AO448" s="96"/>
      <c r="AP448" s="96"/>
    </row>
    <row r="449" spans="2:42" ht="12.75">
      <c r="B449" s="186"/>
      <c r="C449" s="85"/>
      <c r="D449" s="85"/>
      <c r="E449" s="187"/>
      <c r="F449" s="187"/>
      <c r="G449" s="187"/>
      <c r="H449" s="187"/>
      <c r="I449" s="92"/>
      <c r="J449" s="92"/>
      <c r="K449" s="187"/>
      <c r="L449" s="187"/>
      <c r="M449" s="187"/>
      <c r="N449" s="187"/>
      <c r="O449" s="92"/>
      <c r="P449" s="187"/>
      <c r="Q449" s="187"/>
      <c r="R449" s="187"/>
      <c r="S449" s="187"/>
      <c r="T449" s="85"/>
      <c r="U449" s="189"/>
      <c r="V449" s="189"/>
      <c r="W449" s="189"/>
      <c r="X449" s="189"/>
      <c r="Y449" s="100"/>
      <c r="AA449" s="96"/>
      <c r="AB449" s="96"/>
      <c r="AC449" s="96"/>
      <c r="AD449" s="97"/>
      <c r="AE449" s="96"/>
      <c r="AF449" s="98"/>
      <c r="AG449" s="96"/>
      <c r="AH449" s="96"/>
      <c r="AI449" s="96"/>
      <c r="AJ449" s="96"/>
      <c r="AK449" s="96"/>
      <c r="AL449" s="96"/>
      <c r="AM449" s="96"/>
      <c r="AN449" s="96"/>
      <c r="AO449" s="96"/>
      <c r="AP449" s="96"/>
    </row>
    <row r="450" spans="2:42" ht="12.75">
      <c r="B450" s="186"/>
      <c r="C450" s="85"/>
      <c r="D450" s="85"/>
      <c r="E450" s="187"/>
      <c r="F450" s="187"/>
      <c r="G450" s="187"/>
      <c r="H450" s="187"/>
      <c r="I450" s="92"/>
      <c r="J450" s="92"/>
      <c r="K450" s="187"/>
      <c r="L450" s="187"/>
      <c r="M450" s="187"/>
      <c r="N450" s="187"/>
      <c r="O450" s="92"/>
      <c r="P450" s="187"/>
      <c r="Q450" s="187"/>
      <c r="R450" s="187"/>
      <c r="S450" s="187"/>
      <c r="T450" s="85"/>
      <c r="U450" s="189"/>
      <c r="V450" s="189"/>
      <c r="W450" s="189"/>
      <c r="X450" s="189"/>
      <c r="Y450" s="100"/>
      <c r="AA450" s="96"/>
      <c r="AB450" s="96"/>
      <c r="AC450" s="96"/>
      <c r="AD450" s="97"/>
      <c r="AE450" s="96"/>
      <c r="AF450" s="98"/>
      <c r="AG450" s="96"/>
      <c r="AH450" s="96"/>
      <c r="AI450" s="96"/>
      <c r="AJ450" s="96"/>
      <c r="AK450" s="96"/>
      <c r="AL450" s="96"/>
      <c r="AM450" s="96"/>
      <c r="AN450" s="96"/>
      <c r="AO450" s="96"/>
      <c r="AP450" s="96"/>
    </row>
    <row r="451" spans="2:42" ht="12.75">
      <c r="B451" s="186"/>
      <c r="C451" s="85"/>
      <c r="D451" s="85"/>
      <c r="E451" s="187"/>
      <c r="F451" s="187"/>
      <c r="G451" s="187"/>
      <c r="H451" s="187"/>
      <c r="I451" s="92"/>
      <c r="J451" s="92"/>
      <c r="K451" s="187"/>
      <c r="L451" s="187"/>
      <c r="M451" s="187"/>
      <c r="N451" s="187"/>
      <c r="O451" s="92"/>
      <c r="P451" s="187"/>
      <c r="Q451" s="187"/>
      <c r="R451" s="187"/>
      <c r="S451" s="187"/>
      <c r="T451" s="85"/>
      <c r="U451" s="189"/>
      <c r="V451" s="189"/>
      <c r="W451" s="189"/>
      <c r="X451" s="189"/>
      <c r="Y451" s="100"/>
      <c r="AA451" s="96"/>
      <c r="AB451" s="96"/>
      <c r="AC451" s="96"/>
      <c r="AD451" s="97"/>
      <c r="AE451" s="96"/>
      <c r="AF451" s="98"/>
      <c r="AG451" s="96"/>
      <c r="AH451" s="96"/>
      <c r="AI451" s="96"/>
      <c r="AJ451" s="96"/>
      <c r="AK451" s="96"/>
      <c r="AL451" s="96"/>
      <c r="AM451" s="96"/>
      <c r="AN451" s="96"/>
      <c r="AO451" s="96"/>
      <c r="AP451" s="96"/>
    </row>
    <row r="452" spans="2:42" ht="12.75">
      <c r="B452" s="186"/>
      <c r="C452" s="85"/>
      <c r="D452" s="85"/>
      <c r="E452" s="187"/>
      <c r="F452" s="187"/>
      <c r="G452" s="187"/>
      <c r="H452" s="187"/>
      <c r="I452" s="92"/>
      <c r="J452" s="92"/>
      <c r="K452" s="187"/>
      <c r="L452" s="187"/>
      <c r="M452" s="187"/>
      <c r="N452" s="187"/>
      <c r="O452" s="92"/>
      <c r="P452" s="187"/>
      <c r="Q452" s="187"/>
      <c r="R452" s="187"/>
      <c r="S452" s="187"/>
      <c r="T452" s="85"/>
      <c r="U452" s="189"/>
      <c r="V452" s="189"/>
      <c r="W452" s="189"/>
      <c r="X452" s="189"/>
      <c r="Y452" s="100"/>
      <c r="AA452" s="96"/>
      <c r="AB452" s="96"/>
      <c r="AC452" s="96"/>
      <c r="AD452" s="97"/>
      <c r="AE452" s="96"/>
      <c r="AF452" s="98"/>
      <c r="AG452" s="96"/>
      <c r="AH452" s="96"/>
      <c r="AI452" s="96"/>
      <c r="AJ452" s="96"/>
      <c r="AK452" s="96"/>
      <c r="AL452" s="96"/>
      <c r="AM452" s="96"/>
      <c r="AN452" s="96"/>
      <c r="AO452" s="96"/>
      <c r="AP452" s="96"/>
    </row>
    <row r="453" spans="2:42" ht="12.75">
      <c r="B453" s="186"/>
      <c r="C453" s="85"/>
      <c r="D453" s="85"/>
      <c r="E453" s="187"/>
      <c r="F453" s="187"/>
      <c r="G453" s="187"/>
      <c r="H453" s="187"/>
      <c r="I453" s="92"/>
      <c r="J453" s="92"/>
      <c r="K453" s="187"/>
      <c r="L453" s="187"/>
      <c r="M453" s="187"/>
      <c r="N453" s="187"/>
      <c r="O453" s="92"/>
      <c r="P453" s="187"/>
      <c r="Q453" s="187"/>
      <c r="R453" s="187"/>
      <c r="S453" s="187"/>
      <c r="T453" s="85"/>
      <c r="U453" s="189"/>
      <c r="V453" s="189"/>
      <c r="W453" s="189"/>
      <c r="X453" s="189"/>
      <c r="Y453" s="100"/>
      <c r="AA453" s="96"/>
      <c r="AB453" s="96"/>
      <c r="AC453" s="96"/>
      <c r="AD453" s="97"/>
      <c r="AE453" s="96"/>
      <c r="AF453" s="98"/>
      <c r="AG453" s="96"/>
      <c r="AH453" s="96"/>
      <c r="AI453" s="96"/>
      <c r="AJ453" s="96"/>
      <c r="AK453" s="96"/>
      <c r="AL453" s="96"/>
      <c r="AM453" s="96"/>
      <c r="AN453" s="96"/>
      <c r="AO453" s="96"/>
      <c r="AP453" s="96"/>
    </row>
    <row r="454" spans="2:42" ht="12.75">
      <c r="B454" s="186"/>
      <c r="C454" s="85"/>
      <c r="D454" s="85"/>
      <c r="E454" s="187"/>
      <c r="F454" s="187"/>
      <c r="G454" s="187"/>
      <c r="H454" s="187"/>
      <c r="I454" s="92"/>
      <c r="J454" s="92"/>
      <c r="K454" s="187"/>
      <c r="L454" s="187"/>
      <c r="M454" s="187"/>
      <c r="N454" s="187"/>
      <c r="O454" s="92"/>
      <c r="P454" s="187"/>
      <c r="Q454" s="187"/>
      <c r="R454" s="187"/>
      <c r="S454" s="187"/>
      <c r="T454" s="85"/>
      <c r="U454" s="189"/>
      <c r="V454" s="189"/>
      <c r="W454" s="189"/>
      <c r="X454" s="189"/>
      <c r="Y454" s="100"/>
      <c r="AA454" s="96"/>
      <c r="AB454" s="96"/>
      <c r="AC454" s="96"/>
      <c r="AD454" s="97"/>
      <c r="AE454" s="96"/>
      <c r="AF454" s="98"/>
      <c r="AG454" s="96"/>
      <c r="AH454" s="96"/>
      <c r="AI454" s="96"/>
      <c r="AJ454" s="96"/>
      <c r="AK454" s="96"/>
      <c r="AL454" s="96"/>
      <c r="AM454" s="96"/>
      <c r="AN454" s="96"/>
      <c r="AO454" s="96"/>
      <c r="AP454" s="96"/>
    </row>
    <row r="455" spans="2:42" ht="12.75">
      <c r="B455" s="186"/>
      <c r="C455" s="85"/>
      <c r="D455" s="85"/>
      <c r="E455" s="187"/>
      <c r="F455" s="187"/>
      <c r="G455" s="187"/>
      <c r="H455" s="187"/>
      <c r="I455" s="92"/>
      <c r="J455" s="92"/>
      <c r="K455" s="187"/>
      <c r="L455" s="187"/>
      <c r="M455" s="187"/>
      <c r="N455" s="187"/>
      <c r="O455" s="92"/>
      <c r="P455" s="187"/>
      <c r="Q455" s="187"/>
      <c r="R455" s="187"/>
      <c r="S455" s="187"/>
      <c r="T455" s="85"/>
      <c r="U455" s="189"/>
      <c r="V455" s="189"/>
      <c r="W455" s="189"/>
      <c r="X455" s="189"/>
      <c r="Y455" s="100"/>
      <c r="AA455" s="96"/>
      <c r="AB455" s="96"/>
      <c r="AC455" s="96"/>
      <c r="AD455" s="97"/>
      <c r="AE455" s="96"/>
      <c r="AF455" s="98"/>
      <c r="AG455" s="96"/>
      <c r="AH455" s="96"/>
      <c r="AI455" s="96"/>
      <c r="AJ455" s="96"/>
      <c r="AK455" s="96"/>
      <c r="AL455" s="96"/>
      <c r="AM455" s="96"/>
      <c r="AN455" s="96"/>
      <c r="AO455" s="96"/>
      <c r="AP455" s="96"/>
    </row>
    <row r="456" spans="2:42" ht="12.75">
      <c r="B456" s="186"/>
      <c r="C456" s="85"/>
      <c r="D456" s="85"/>
      <c r="E456" s="187"/>
      <c r="F456" s="187"/>
      <c r="G456" s="187"/>
      <c r="H456" s="187"/>
      <c r="I456" s="92"/>
      <c r="J456" s="92"/>
      <c r="K456" s="187"/>
      <c r="L456" s="187"/>
      <c r="M456" s="187"/>
      <c r="N456" s="187"/>
      <c r="O456" s="92"/>
      <c r="P456" s="187"/>
      <c r="Q456" s="187"/>
      <c r="R456" s="187"/>
      <c r="S456" s="187"/>
      <c r="T456" s="85"/>
      <c r="U456" s="189"/>
      <c r="V456" s="189"/>
      <c r="W456" s="189"/>
      <c r="X456" s="189"/>
      <c r="Y456" s="100"/>
      <c r="AA456" s="96"/>
      <c r="AB456" s="96"/>
      <c r="AC456" s="96"/>
      <c r="AD456" s="97"/>
      <c r="AE456" s="96"/>
      <c r="AF456" s="98"/>
      <c r="AG456" s="96"/>
      <c r="AH456" s="96"/>
      <c r="AI456" s="96"/>
      <c r="AJ456" s="96"/>
      <c r="AK456" s="96"/>
      <c r="AL456" s="96"/>
      <c r="AM456" s="96"/>
      <c r="AN456" s="96"/>
      <c r="AO456" s="96"/>
      <c r="AP456" s="96"/>
    </row>
    <row r="457" spans="2:42" ht="12.75">
      <c r="B457" s="186"/>
      <c r="C457" s="85"/>
      <c r="D457" s="85"/>
      <c r="E457" s="187"/>
      <c r="F457" s="187"/>
      <c r="G457" s="187"/>
      <c r="H457" s="187"/>
      <c r="I457" s="92"/>
      <c r="J457" s="92"/>
      <c r="K457" s="187"/>
      <c r="L457" s="187"/>
      <c r="M457" s="187"/>
      <c r="N457" s="187"/>
      <c r="O457" s="92"/>
      <c r="P457" s="187"/>
      <c r="Q457" s="187"/>
      <c r="R457" s="187"/>
      <c r="S457" s="187"/>
      <c r="T457" s="85"/>
      <c r="U457" s="189"/>
      <c r="V457" s="189"/>
      <c r="W457" s="189"/>
      <c r="X457" s="189"/>
      <c r="Y457" s="100"/>
      <c r="AA457" s="96"/>
      <c r="AB457" s="96"/>
      <c r="AC457" s="96"/>
      <c r="AD457" s="97"/>
      <c r="AE457" s="96"/>
      <c r="AF457" s="98"/>
      <c r="AG457" s="96"/>
      <c r="AH457" s="96"/>
      <c r="AI457" s="96"/>
      <c r="AJ457" s="96"/>
      <c r="AK457" s="96"/>
      <c r="AL457" s="96"/>
      <c r="AM457" s="96"/>
      <c r="AN457" s="96"/>
      <c r="AO457" s="96"/>
      <c r="AP457" s="96"/>
    </row>
    <row r="458" spans="2:42" ht="12.75">
      <c r="B458" s="186"/>
      <c r="C458" s="85"/>
      <c r="D458" s="85"/>
      <c r="E458" s="187"/>
      <c r="F458" s="187"/>
      <c r="G458" s="187"/>
      <c r="H458" s="187"/>
      <c r="I458" s="92"/>
      <c r="J458" s="92"/>
      <c r="K458" s="187"/>
      <c r="L458" s="187"/>
      <c r="M458" s="187"/>
      <c r="N458" s="187"/>
      <c r="O458" s="92"/>
      <c r="P458" s="187"/>
      <c r="Q458" s="187"/>
      <c r="R458" s="187"/>
      <c r="S458" s="187"/>
      <c r="T458" s="85"/>
      <c r="U458" s="189"/>
      <c r="V458" s="189"/>
      <c r="W458" s="189"/>
      <c r="X458" s="189"/>
      <c r="Y458" s="100"/>
      <c r="AA458" s="96"/>
      <c r="AB458" s="96"/>
      <c r="AC458" s="96"/>
      <c r="AD458" s="97"/>
      <c r="AE458" s="96"/>
      <c r="AF458" s="98"/>
      <c r="AG458" s="96"/>
      <c r="AH458" s="96"/>
      <c r="AI458" s="96"/>
      <c r="AJ458" s="96"/>
      <c r="AK458" s="96"/>
      <c r="AL458" s="96"/>
      <c r="AM458" s="96"/>
      <c r="AN458" s="96"/>
      <c r="AO458" s="96"/>
      <c r="AP458" s="96"/>
    </row>
    <row r="459" spans="2:42" ht="12.75">
      <c r="B459" s="186"/>
      <c r="C459" s="85"/>
      <c r="D459" s="85"/>
      <c r="E459" s="187"/>
      <c r="F459" s="187"/>
      <c r="G459" s="187"/>
      <c r="H459" s="187"/>
      <c r="I459" s="92"/>
      <c r="J459" s="92"/>
      <c r="K459" s="187"/>
      <c r="L459" s="187"/>
      <c r="M459" s="187"/>
      <c r="N459" s="187"/>
      <c r="O459" s="92"/>
      <c r="P459" s="187"/>
      <c r="Q459" s="187"/>
      <c r="R459" s="187"/>
      <c r="S459" s="187"/>
      <c r="T459" s="85"/>
      <c r="U459" s="189"/>
      <c r="V459" s="189"/>
      <c r="W459" s="189"/>
      <c r="X459" s="189"/>
      <c r="Y459" s="100"/>
      <c r="AA459" s="96"/>
      <c r="AB459" s="96"/>
      <c r="AC459" s="96"/>
      <c r="AD459" s="97"/>
      <c r="AE459" s="96"/>
      <c r="AF459" s="98"/>
      <c r="AG459" s="96"/>
      <c r="AH459" s="96"/>
      <c r="AI459" s="96"/>
      <c r="AJ459" s="96"/>
      <c r="AK459" s="96"/>
      <c r="AL459" s="96"/>
      <c r="AM459" s="96"/>
      <c r="AN459" s="96"/>
      <c r="AO459" s="96"/>
      <c r="AP459" s="96"/>
    </row>
    <row r="460" spans="2:42" ht="12.75">
      <c r="B460" s="186"/>
      <c r="C460" s="85"/>
      <c r="D460" s="85"/>
      <c r="E460" s="187"/>
      <c r="F460" s="187"/>
      <c r="G460" s="187"/>
      <c r="H460" s="187"/>
      <c r="I460" s="92"/>
      <c r="J460" s="92"/>
      <c r="K460" s="187"/>
      <c r="L460" s="187"/>
      <c r="M460" s="187"/>
      <c r="N460" s="187"/>
      <c r="O460" s="92"/>
      <c r="P460" s="187"/>
      <c r="Q460" s="187"/>
      <c r="R460" s="187"/>
      <c r="S460" s="187"/>
      <c r="T460" s="85"/>
      <c r="U460" s="189"/>
      <c r="V460" s="189"/>
      <c r="W460" s="189"/>
      <c r="X460" s="189"/>
      <c r="Y460" s="100"/>
      <c r="AA460" s="96"/>
      <c r="AB460" s="96"/>
      <c r="AC460" s="96"/>
      <c r="AD460" s="97"/>
      <c r="AE460" s="96"/>
      <c r="AF460" s="98"/>
      <c r="AG460" s="96"/>
      <c r="AH460" s="96"/>
      <c r="AI460" s="96"/>
      <c r="AJ460" s="96"/>
      <c r="AK460" s="96"/>
      <c r="AL460" s="96"/>
      <c r="AM460" s="96"/>
      <c r="AN460" s="96"/>
      <c r="AO460" s="96"/>
      <c r="AP460" s="96"/>
    </row>
    <row r="461" spans="2:42" ht="12.75">
      <c r="B461" s="186"/>
      <c r="C461" s="85"/>
      <c r="D461" s="85"/>
      <c r="E461" s="187"/>
      <c r="F461" s="187"/>
      <c r="G461" s="187"/>
      <c r="H461" s="187"/>
      <c r="I461" s="92"/>
      <c r="J461" s="92"/>
      <c r="K461" s="187"/>
      <c r="L461" s="187"/>
      <c r="M461" s="187"/>
      <c r="N461" s="187"/>
      <c r="O461" s="92"/>
      <c r="P461" s="187"/>
      <c r="Q461" s="187"/>
      <c r="R461" s="187"/>
      <c r="S461" s="187"/>
      <c r="T461" s="85"/>
      <c r="U461" s="189"/>
      <c r="V461" s="189"/>
      <c r="W461" s="189"/>
      <c r="X461" s="189"/>
      <c r="Y461" s="100"/>
      <c r="AA461" s="96"/>
      <c r="AB461" s="96"/>
      <c r="AC461" s="96"/>
      <c r="AD461" s="97"/>
      <c r="AE461" s="96"/>
      <c r="AF461" s="98"/>
      <c r="AG461" s="96"/>
      <c r="AH461" s="96"/>
      <c r="AI461" s="96"/>
      <c r="AJ461" s="96"/>
      <c r="AK461" s="96"/>
      <c r="AL461" s="96"/>
      <c r="AM461" s="96"/>
      <c r="AN461" s="96"/>
      <c r="AO461" s="96"/>
      <c r="AP461" s="96"/>
    </row>
    <row r="462" spans="2:42" ht="12.75">
      <c r="B462" s="186"/>
      <c r="C462" s="85"/>
      <c r="D462" s="85"/>
      <c r="E462" s="187"/>
      <c r="F462" s="187"/>
      <c r="G462" s="187"/>
      <c r="H462" s="187"/>
      <c r="I462" s="92"/>
      <c r="J462" s="92"/>
      <c r="K462" s="187"/>
      <c r="L462" s="187"/>
      <c r="M462" s="187"/>
      <c r="N462" s="187"/>
      <c r="O462" s="92"/>
      <c r="P462" s="187"/>
      <c r="Q462" s="187"/>
      <c r="R462" s="187"/>
      <c r="S462" s="187"/>
      <c r="T462" s="85"/>
      <c r="U462" s="189"/>
      <c r="V462" s="189"/>
      <c r="W462" s="189"/>
      <c r="X462" s="189"/>
      <c r="Y462" s="100"/>
      <c r="AA462" s="96"/>
      <c r="AB462" s="96"/>
      <c r="AC462" s="96"/>
      <c r="AD462" s="97"/>
      <c r="AE462" s="96"/>
      <c r="AF462" s="98"/>
      <c r="AG462" s="96"/>
      <c r="AH462" s="96"/>
      <c r="AI462" s="96"/>
      <c r="AJ462" s="96"/>
      <c r="AK462" s="96"/>
      <c r="AL462" s="96"/>
      <c r="AM462" s="96"/>
      <c r="AN462" s="96"/>
      <c r="AO462" s="96"/>
      <c r="AP462" s="96"/>
    </row>
    <row r="463" spans="2:42" ht="12.75">
      <c r="B463" s="186"/>
      <c r="C463" s="85"/>
      <c r="D463" s="85"/>
      <c r="E463" s="187"/>
      <c r="F463" s="187"/>
      <c r="G463" s="187"/>
      <c r="H463" s="187"/>
      <c r="I463" s="92"/>
      <c r="J463" s="92"/>
      <c r="K463" s="187"/>
      <c r="L463" s="187"/>
      <c r="M463" s="187"/>
      <c r="N463" s="187"/>
      <c r="O463" s="92"/>
      <c r="P463" s="187"/>
      <c r="Q463" s="187"/>
      <c r="R463" s="187"/>
      <c r="S463" s="187"/>
      <c r="T463" s="85"/>
      <c r="U463" s="189"/>
      <c r="V463" s="189"/>
      <c r="W463" s="189"/>
      <c r="X463" s="189"/>
      <c r="Y463" s="100"/>
      <c r="AA463" s="96"/>
      <c r="AB463" s="96"/>
      <c r="AC463" s="96"/>
      <c r="AD463" s="97"/>
      <c r="AE463" s="96"/>
      <c r="AF463" s="98"/>
      <c r="AG463" s="96"/>
      <c r="AH463" s="96"/>
      <c r="AI463" s="96"/>
      <c r="AJ463" s="96"/>
      <c r="AK463" s="96"/>
      <c r="AL463" s="96"/>
      <c r="AM463" s="96"/>
      <c r="AN463" s="96"/>
      <c r="AO463" s="96"/>
      <c r="AP463" s="96"/>
    </row>
    <row r="464" spans="2:42" ht="12.75">
      <c r="B464" s="186"/>
      <c r="C464" s="85"/>
      <c r="D464" s="85"/>
      <c r="E464" s="187"/>
      <c r="F464" s="187"/>
      <c r="G464" s="187"/>
      <c r="H464" s="187"/>
      <c r="I464" s="92"/>
      <c r="J464" s="92"/>
      <c r="K464" s="187"/>
      <c r="L464" s="187"/>
      <c r="M464" s="187"/>
      <c r="N464" s="187"/>
      <c r="O464" s="92"/>
      <c r="P464" s="187"/>
      <c r="Q464" s="187"/>
      <c r="R464" s="187"/>
      <c r="S464" s="187"/>
      <c r="T464" s="85"/>
      <c r="U464" s="189"/>
      <c r="V464" s="189"/>
      <c r="W464" s="189"/>
      <c r="X464" s="189"/>
      <c r="Y464" s="100"/>
      <c r="AA464" s="96"/>
      <c r="AB464" s="96"/>
      <c r="AC464" s="96"/>
      <c r="AD464" s="97"/>
      <c r="AE464" s="96"/>
      <c r="AF464" s="98"/>
      <c r="AG464" s="96"/>
      <c r="AH464" s="96"/>
      <c r="AI464" s="96"/>
      <c r="AJ464" s="96"/>
      <c r="AK464" s="96"/>
      <c r="AL464" s="96"/>
      <c r="AM464" s="96"/>
      <c r="AN464" s="96"/>
      <c r="AO464" s="96"/>
      <c r="AP464" s="96"/>
    </row>
    <row r="465" spans="2:42" ht="12.75">
      <c r="B465" s="186"/>
      <c r="C465" s="85"/>
      <c r="D465" s="85"/>
      <c r="E465" s="187"/>
      <c r="F465" s="187"/>
      <c r="G465" s="187"/>
      <c r="H465" s="187"/>
      <c r="I465" s="92"/>
      <c r="J465" s="92"/>
      <c r="K465" s="187"/>
      <c r="L465" s="187"/>
      <c r="M465" s="187"/>
      <c r="N465" s="187"/>
      <c r="O465" s="92"/>
      <c r="P465" s="187"/>
      <c r="Q465" s="187"/>
      <c r="R465" s="187"/>
      <c r="S465" s="187"/>
      <c r="T465" s="85"/>
      <c r="U465" s="189"/>
      <c r="V465" s="189"/>
      <c r="W465" s="189"/>
      <c r="X465" s="189"/>
      <c r="Y465" s="100"/>
      <c r="AA465" s="96"/>
      <c r="AB465" s="96"/>
      <c r="AC465" s="96"/>
      <c r="AD465" s="97"/>
      <c r="AE465" s="96"/>
      <c r="AF465" s="98"/>
      <c r="AG465" s="96"/>
      <c r="AH465" s="96"/>
      <c r="AI465" s="96"/>
      <c r="AJ465" s="96"/>
      <c r="AK465" s="96"/>
      <c r="AL465" s="96"/>
      <c r="AM465" s="96"/>
      <c r="AN465" s="96"/>
      <c r="AO465" s="96"/>
      <c r="AP465" s="96"/>
    </row>
    <row r="466" spans="2:42" ht="12.75">
      <c r="B466" s="186"/>
      <c r="C466" s="85"/>
      <c r="D466" s="85"/>
      <c r="E466" s="187"/>
      <c r="F466" s="187"/>
      <c r="G466" s="187"/>
      <c r="H466" s="187"/>
      <c r="I466" s="92"/>
      <c r="J466" s="92"/>
      <c r="K466" s="187"/>
      <c r="L466" s="187"/>
      <c r="M466" s="187"/>
      <c r="N466" s="187"/>
      <c r="O466" s="92"/>
      <c r="P466" s="187"/>
      <c r="Q466" s="187"/>
      <c r="R466" s="187"/>
      <c r="S466" s="187"/>
      <c r="T466" s="85"/>
      <c r="U466" s="189"/>
      <c r="V466" s="189"/>
      <c r="W466" s="189"/>
      <c r="X466" s="189"/>
      <c r="Y466" s="100"/>
      <c r="AA466" s="96"/>
      <c r="AB466" s="96"/>
      <c r="AC466" s="96"/>
      <c r="AD466" s="97"/>
      <c r="AE466" s="96"/>
      <c r="AF466" s="98"/>
      <c r="AG466" s="96"/>
      <c r="AH466" s="96"/>
      <c r="AI466" s="96"/>
      <c r="AJ466" s="96"/>
      <c r="AK466" s="96"/>
      <c r="AL466" s="96"/>
      <c r="AM466" s="96"/>
      <c r="AN466" s="96"/>
      <c r="AO466" s="96"/>
      <c r="AP466" s="96"/>
    </row>
    <row r="467" spans="2:42" ht="12.75">
      <c r="B467" s="186"/>
      <c r="C467" s="85"/>
      <c r="D467" s="85"/>
      <c r="E467" s="187"/>
      <c r="F467" s="187"/>
      <c r="G467" s="187"/>
      <c r="H467" s="187"/>
      <c r="I467" s="92"/>
      <c r="J467" s="92"/>
      <c r="K467" s="187"/>
      <c r="L467" s="187"/>
      <c r="M467" s="187"/>
      <c r="N467" s="187"/>
      <c r="O467" s="92"/>
      <c r="P467" s="187"/>
      <c r="Q467" s="187"/>
      <c r="R467" s="187"/>
      <c r="S467" s="187"/>
      <c r="T467" s="85"/>
      <c r="U467" s="189"/>
      <c r="V467" s="189"/>
      <c r="W467" s="189"/>
      <c r="X467" s="189"/>
      <c r="Y467" s="100"/>
      <c r="AA467" s="96"/>
      <c r="AB467" s="96"/>
      <c r="AC467" s="96"/>
      <c r="AD467" s="97"/>
      <c r="AE467" s="96"/>
      <c r="AF467" s="98"/>
      <c r="AG467" s="96"/>
      <c r="AH467" s="96"/>
      <c r="AI467" s="96"/>
      <c r="AJ467" s="96"/>
      <c r="AK467" s="96"/>
      <c r="AL467" s="96"/>
      <c r="AM467" s="96"/>
      <c r="AN467" s="96"/>
      <c r="AO467" s="96"/>
      <c r="AP467" s="96"/>
    </row>
    <row r="468" spans="2:42" ht="12.75">
      <c r="B468" s="186"/>
      <c r="C468" s="85"/>
      <c r="D468" s="85"/>
      <c r="E468" s="187"/>
      <c r="F468" s="187"/>
      <c r="G468" s="187"/>
      <c r="H468" s="187"/>
      <c r="I468" s="92"/>
      <c r="J468" s="92"/>
      <c r="K468" s="187"/>
      <c r="L468" s="187"/>
      <c r="M468" s="187"/>
      <c r="N468" s="187"/>
      <c r="O468" s="92"/>
      <c r="P468" s="187"/>
      <c r="Q468" s="187"/>
      <c r="R468" s="187"/>
      <c r="S468" s="187"/>
      <c r="T468" s="85"/>
      <c r="U468" s="189"/>
      <c r="V468" s="189"/>
      <c r="W468" s="189"/>
      <c r="X468" s="189"/>
      <c r="Y468" s="100"/>
      <c r="AA468" s="96"/>
      <c r="AB468" s="96"/>
      <c r="AC468" s="96"/>
      <c r="AD468" s="97"/>
      <c r="AE468" s="96"/>
      <c r="AF468" s="98"/>
      <c r="AG468" s="96"/>
      <c r="AH468" s="96"/>
      <c r="AI468" s="96"/>
      <c r="AJ468" s="96"/>
      <c r="AK468" s="96"/>
      <c r="AL468" s="96"/>
      <c r="AM468" s="96"/>
      <c r="AN468" s="96"/>
      <c r="AO468" s="96"/>
      <c r="AP468" s="96"/>
    </row>
    <row r="469" spans="2:42" ht="12.75">
      <c r="B469" s="186"/>
      <c r="C469" s="85"/>
      <c r="D469" s="85"/>
      <c r="E469" s="187"/>
      <c r="F469" s="187"/>
      <c r="G469" s="187"/>
      <c r="H469" s="187"/>
      <c r="I469" s="92"/>
      <c r="J469" s="92"/>
      <c r="K469" s="187"/>
      <c r="L469" s="187"/>
      <c r="M469" s="187"/>
      <c r="N469" s="187"/>
      <c r="O469" s="92"/>
      <c r="P469" s="187"/>
      <c r="Q469" s="187"/>
      <c r="R469" s="187"/>
      <c r="S469" s="187"/>
      <c r="T469" s="85"/>
      <c r="U469" s="189"/>
      <c r="V469" s="189"/>
      <c r="W469" s="189"/>
      <c r="X469" s="189"/>
      <c r="Y469" s="100"/>
      <c r="AA469" s="96"/>
      <c r="AB469" s="96"/>
      <c r="AC469" s="96"/>
      <c r="AD469" s="97"/>
      <c r="AE469" s="96"/>
      <c r="AF469" s="98"/>
      <c r="AG469" s="96"/>
      <c r="AH469" s="96"/>
      <c r="AI469" s="96"/>
      <c r="AJ469" s="96"/>
      <c r="AK469" s="96"/>
      <c r="AL469" s="96"/>
      <c r="AM469" s="96"/>
      <c r="AN469" s="96"/>
      <c r="AO469" s="96"/>
      <c r="AP469" s="96"/>
    </row>
    <row r="470" spans="2:42" ht="12.75">
      <c r="B470" s="186"/>
      <c r="C470" s="85"/>
      <c r="D470" s="85"/>
      <c r="E470" s="187"/>
      <c r="F470" s="187"/>
      <c r="G470" s="187"/>
      <c r="H470" s="187"/>
      <c r="I470" s="92"/>
      <c r="J470" s="92"/>
      <c r="K470" s="187"/>
      <c r="L470" s="187"/>
      <c r="M470" s="187"/>
      <c r="N470" s="187"/>
      <c r="O470" s="92"/>
      <c r="P470" s="187"/>
      <c r="Q470" s="187"/>
      <c r="R470" s="187"/>
      <c r="S470" s="187"/>
      <c r="T470" s="85"/>
      <c r="U470" s="189"/>
      <c r="V470" s="189"/>
      <c r="W470" s="189"/>
      <c r="X470" s="189"/>
      <c r="Y470" s="100"/>
      <c r="AA470" s="96"/>
      <c r="AB470" s="96"/>
      <c r="AC470" s="96"/>
      <c r="AD470" s="97"/>
      <c r="AE470" s="96"/>
      <c r="AF470" s="98"/>
      <c r="AG470" s="96"/>
      <c r="AH470" s="96"/>
      <c r="AI470" s="96"/>
      <c r="AJ470" s="96"/>
      <c r="AK470" s="96"/>
      <c r="AL470" s="96"/>
      <c r="AM470" s="96"/>
      <c r="AN470" s="96"/>
      <c r="AO470" s="96"/>
      <c r="AP470" s="96"/>
    </row>
    <row r="471" spans="2:42" ht="12.75">
      <c r="B471" s="186"/>
      <c r="C471" s="85"/>
      <c r="D471" s="85"/>
      <c r="E471" s="187"/>
      <c r="F471" s="187"/>
      <c r="G471" s="187"/>
      <c r="H471" s="187"/>
      <c r="I471" s="92"/>
      <c r="J471" s="92"/>
      <c r="K471" s="187"/>
      <c r="L471" s="187"/>
      <c r="M471" s="187"/>
      <c r="N471" s="187"/>
      <c r="O471" s="92"/>
      <c r="P471" s="187"/>
      <c r="Q471" s="187"/>
      <c r="R471" s="187"/>
      <c r="S471" s="187"/>
      <c r="T471" s="85"/>
      <c r="U471" s="189"/>
      <c r="V471" s="189"/>
      <c r="W471" s="189"/>
      <c r="X471" s="189"/>
      <c r="Y471" s="100"/>
      <c r="AA471" s="96"/>
      <c r="AB471" s="96"/>
      <c r="AC471" s="96"/>
      <c r="AD471" s="97"/>
      <c r="AE471" s="96"/>
      <c r="AF471" s="98"/>
      <c r="AG471" s="96"/>
      <c r="AH471" s="96"/>
      <c r="AI471" s="96"/>
      <c r="AJ471" s="96"/>
      <c r="AK471" s="96"/>
      <c r="AL471" s="96"/>
      <c r="AM471" s="96"/>
      <c r="AN471" s="96"/>
      <c r="AO471" s="96"/>
      <c r="AP471" s="96"/>
    </row>
    <row r="472" spans="2:42" ht="12.75">
      <c r="B472" s="186"/>
      <c r="C472" s="85"/>
      <c r="D472" s="85"/>
      <c r="E472" s="187"/>
      <c r="F472" s="187"/>
      <c r="G472" s="187"/>
      <c r="H472" s="187"/>
      <c r="I472" s="92"/>
      <c r="J472" s="92"/>
      <c r="K472" s="187"/>
      <c r="L472" s="187"/>
      <c r="M472" s="187"/>
      <c r="N472" s="187"/>
      <c r="O472" s="92"/>
      <c r="P472" s="187"/>
      <c r="Q472" s="187"/>
      <c r="R472" s="187"/>
      <c r="S472" s="187"/>
      <c r="T472" s="85"/>
      <c r="U472" s="189"/>
      <c r="V472" s="189"/>
      <c r="W472" s="189"/>
      <c r="X472" s="189"/>
      <c r="Y472" s="100"/>
      <c r="AA472" s="96"/>
      <c r="AB472" s="96"/>
      <c r="AC472" s="96"/>
      <c r="AD472" s="97"/>
      <c r="AE472" s="96"/>
      <c r="AF472" s="98"/>
      <c r="AG472" s="96"/>
      <c r="AH472" s="96"/>
      <c r="AI472" s="96"/>
      <c r="AJ472" s="96"/>
      <c r="AK472" s="96"/>
      <c r="AL472" s="96"/>
      <c r="AM472" s="96"/>
      <c r="AN472" s="96"/>
      <c r="AO472" s="96"/>
      <c r="AP472" s="96"/>
    </row>
    <row r="473" spans="2:42" ht="12.75">
      <c r="B473" s="186"/>
      <c r="C473" s="85"/>
      <c r="D473" s="85"/>
      <c r="E473" s="187"/>
      <c r="F473" s="187"/>
      <c r="G473" s="187"/>
      <c r="H473" s="187"/>
      <c r="I473" s="92"/>
      <c r="J473" s="92"/>
      <c r="K473" s="187"/>
      <c r="L473" s="187"/>
      <c r="M473" s="187"/>
      <c r="N473" s="187"/>
      <c r="O473" s="92"/>
      <c r="P473" s="187"/>
      <c r="Q473" s="187"/>
      <c r="R473" s="187"/>
      <c r="S473" s="187"/>
      <c r="T473" s="85"/>
      <c r="U473" s="189"/>
      <c r="V473" s="189"/>
      <c r="W473" s="189"/>
      <c r="X473" s="189"/>
      <c r="Y473" s="100"/>
      <c r="AA473" s="96"/>
      <c r="AB473" s="96"/>
      <c r="AC473" s="96"/>
      <c r="AD473" s="97"/>
      <c r="AE473" s="96"/>
      <c r="AF473" s="98"/>
      <c r="AG473" s="96"/>
      <c r="AH473" s="96"/>
      <c r="AI473" s="96"/>
      <c r="AJ473" s="96"/>
      <c r="AK473" s="96"/>
      <c r="AL473" s="96"/>
      <c r="AM473" s="96"/>
      <c r="AN473" s="96"/>
      <c r="AO473" s="96"/>
      <c r="AP473" s="96"/>
    </row>
    <row r="474" spans="2:42" ht="12.75">
      <c r="B474" s="186"/>
      <c r="C474" s="85"/>
      <c r="D474" s="85"/>
      <c r="E474" s="187"/>
      <c r="F474" s="187"/>
      <c r="G474" s="187"/>
      <c r="H474" s="187"/>
      <c r="I474" s="92"/>
      <c r="J474" s="92"/>
      <c r="K474" s="187"/>
      <c r="L474" s="187"/>
      <c r="M474" s="187"/>
      <c r="N474" s="187"/>
      <c r="O474" s="92"/>
      <c r="P474" s="187"/>
      <c r="Q474" s="187"/>
      <c r="R474" s="187"/>
      <c r="S474" s="187"/>
      <c r="T474" s="85"/>
      <c r="U474" s="189"/>
      <c r="V474" s="189"/>
      <c r="W474" s="189"/>
      <c r="X474" s="189"/>
      <c r="Y474" s="100"/>
      <c r="AA474" s="96"/>
      <c r="AB474" s="96"/>
      <c r="AC474" s="96"/>
      <c r="AD474" s="97"/>
      <c r="AE474" s="96"/>
      <c r="AF474" s="98"/>
      <c r="AG474" s="96"/>
      <c r="AH474" s="96"/>
      <c r="AI474" s="96"/>
      <c r="AJ474" s="96"/>
      <c r="AK474" s="96"/>
      <c r="AL474" s="96"/>
      <c r="AM474" s="96"/>
      <c r="AN474" s="96"/>
      <c r="AO474" s="96"/>
      <c r="AP474" s="96"/>
    </row>
    <row r="475" spans="2:42" ht="12.75">
      <c r="B475" s="186"/>
      <c r="C475" s="85"/>
      <c r="D475" s="85"/>
      <c r="E475" s="187"/>
      <c r="F475" s="187"/>
      <c r="G475" s="187"/>
      <c r="H475" s="187"/>
      <c r="I475" s="92"/>
      <c r="J475" s="92"/>
      <c r="K475" s="187"/>
      <c r="L475" s="187"/>
      <c r="M475" s="187"/>
      <c r="N475" s="187"/>
      <c r="O475" s="92"/>
      <c r="P475" s="187"/>
      <c r="Q475" s="187"/>
      <c r="R475" s="187"/>
      <c r="S475" s="187"/>
      <c r="T475" s="85"/>
      <c r="U475" s="189"/>
      <c r="V475" s="189"/>
      <c r="W475" s="189"/>
      <c r="X475" s="189"/>
      <c r="Y475" s="100"/>
      <c r="AA475" s="96"/>
      <c r="AB475" s="96"/>
      <c r="AC475" s="96"/>
      <c r="AD475" s="97"/>
      <c r="AE475" s="96"/>
      <c r="AF475" s="98"/>
      <c r="AG475" s="96"/>
      <c r="AH475" s="96"/>
      <c r="AI475" s="96"/>
      <c r="AJ475" s="96"/>
      <c r="AK475" s="96"/>
      <c r="AL475" s="96"/>
      <c r="AM475" s="96"/>
      <c r="AN475" s="96"/>
      <c r="AO475" s="96"/>
      <c r="AP475" s="96"/>
    </row>
    <row r="476" spans="2:42" ht="12.75">
      <c r="B476" s="186"/>
      <c r="C476" s="85"/>
      <c r="D476" s="85"/>
      <c r="E476" s="187"/>
      <c r="F476" s="187"/>
      <c r="G476" s="187"/>
      <c r="H476" s="187"/>
      <c r="I476" s="92"/>
      <c r="J476" s="92"/>
      <c r="K476" s="187"/>
      <c r="L476" s="187"/>
      <c r="M476" s="187"/>
      <c r="N476" s="187"/>
      <c r="O476" s="92"/>
      <c r="P476" s="187"/>
      <c r="Q476" s="187"/>
      <c r="R476" s="187"/>
      <c r="S476" s="187"/>
      <c r="T476" s="85"/>
      <c r="U476" s="189"/>
      <c r="V476" s="189"/>
      <c r="W476" s="189"/>
      <c r="X476" s="189"/>
      <c r="Y476" s="100"/>
      <c r="AA476" s="96"/>
      <c r="AB476" s="96"/>
      <c r="AC476" s="96"/>
      <c r="AD476" s="97"/>
      <c r="AE476" s="96"/>
      <c r="AF476" s="98"/>
      <c r="AG476" s="96"/>
      <c r="AH476" s="96"/>
      <c r="AI476" s="96"/>
      <c r="AJ476" s="96"/>
      <c r="AK476" s="96"/>
      <c r="AL476" s="96"/>
      <c r="AM476" s="96"/>
      <c r="AN476" s="96"/>
      <c r="AO476" s="96"/>
      <c r="AP476" s="96"/>
    </row>
    <row r="477" spans="2:42" ht="12.75">
      <c r="B477" s="186"/>
      <c r="C477" s="85"/>
      <c r="D477" s="85"/>
      <c r="E477" s="187"/>
      <c r="F477" s="187"/>
      <c r="G477" s="187"/>
      <c r="H477" s="187"/>
      <c r="I477" s="92"/>
      <c r="J477" s="92"/>
      <c r="K477" s="187"/>
      <c r="L477" s="187"/>
      <c r="M477" s="187"/>
      <c r="N477" s="187"/>
      <c r="O477" s="92"/>
      <c r="P477" s="187"/>
      <c r="Q477" s="187"/>
      <c r="R477" s="187"/>
      <c r="S477" s="187"/>
      <c r="T477" s="85"/>
      <c r="U477" s="189"/>
      <c r="V477" s="189"/>
      <c r="W477" s="189"/>
      <c r="X477" s="189"/>
      <c r="Y477" s="100"/>
      <c r="AA477" s="96"/>
      <c r="AB477" s="96"/>
      <c r="AC477" s="96"/>
      <c r="AD477" s="97"/>
      <c r="AE477" s="96"/>
      <c r="AF477" s="98"/>
      <c r="AG477" s="96"/>
      <c r="AH477" s="96"/>
      <c r="AI477" s="96"/>
      <c r="AJ477" s="96"/>
      <c r="AK477" s="96"/>
      <c r="AL477" s="96"/>
      <c r="AM477" s="96"/>
      <c r="AN477" s="96"/>
      <c r="AO477" s="96"/>
      <c r="AP477" s="96"/>
    </row>
    <row r="478" spans="2:42" ht="12.75">
      <c r="B478" s="186"/>
      <c r="C478" s="85"/>
      <c r="D478" s="85"/>
      <c r="E478" s="187"/>
      <c r="F478" s="187"/>
      <c r="G478" s="187"/>
      <c r="H478" s="187"/>
      <c r="I478" s="92"/>
      <c r="J478" s="92"/>
      <c r="K478" s="187"/>
      <c r="L478" s="187"/>
      <c r="M478" s="187"/>
      <c r="N478" s="187"/>
      <c r="O478" s="92"/>
      <c r="P478" s="187"/>
      <c r="Q478" s="187"/>
      <c r="R478" s="187"/>
      <c r="S478" s="187"/>
      <c r="T478" s="85"/>
      <c r="U478" s="189"/>
      <c r="V478" s="189"/>
      <c r="W478" s="189"/>
      <c r="X478" s="189"/>
      <c r="Y478" s="100"/>
      <c r="AA478" s="96"/>
      <c r="AB478" s="96"/>
      <c r="AC478" s="96"/>
      <c r="AD478" s="97"/>
      <c r="AE478" s="96"/>
      <c r="AF478" s="98"/>
      <c r="AG478" s="96"/>
      <c r="AH478" s="96"/>
      <c r="AI478" s="96"/>
      <c r="AJ478" s="96"/>
      <c r="AK478" s="96"/>
      <c r="AL478" s="96"/>
      <c r="AM478" s="96"/>
      <c r="AN478" s="96"/>
      <c r="AO478" s="96"/>
      <c r="AP478" s="96"/>
    </row>
    <row r="479" spans="2:42" ht="12.75">
      <c r="B479" s="186"/>
      <c r="C479" s="85"/>
      <c r="D479" s="85"/>
      <c r="E479" s="187"/>
      <c r="F479" s="187"/>
      <c r="G479" s="187"/>
      <c r="H479" s="187"/>
      <c r="I479" s="92"/>
      <c r="J479" s="92"/>
      <c r="K479" s="187"/>
      <c r="L479" s="187"/>
      <c r="M479" s="187"/>
      <c r="N479" s="187"/>
      <c r="O479" s="92"/>
      <c r="P479" s="187"/>
      <c r="Q479" s="187"/>
      <c r="R479" s="187"/>
      <c r="S479" s="187"/>
      <c r="T479" s="85"/>
      <c r="U479" s="189"/>
      <c r="V479" s="189"/>
      <c r="W479" s="189"/>
      <c r="X479" s="189"/>
      <c r="Y479" s="100"/>
      <c r="AA479" s="96"/>
      <c r="AB479" s="96"/>
      <c r="AC479" s="96"/>
      <c r="AD479" s="97"/>
      <c r="AE479" s="96"/>
      <c r="AF479" s="98"/>
      <c r="AG479" s="96"/>
      <c r="AH479" s="96"/>
      <c r="AI479" s="96"/>
      <c r="AJ479" s="96"/>
      <c r="AK479" s="96"/>
      <c r="AL479" s="96"/>
      <c r="AM479" s="96"/>
      <c r="AN479" s="96"/>
      <c r="AO479" s="96"/>
      <c r="AP479" s="96"/>
    </row>
    <row r="480" spans="2:42" ht="12.75">
      <c r="B480" s="186"/>
      <c r="C480" s="85"/>
      <c r="D480" s="85"/>
      <c r="E480" s="187"/>
      <c r="F480" s="187"/>
      <c r="G480" s="187"/>
      <c r="H480" s="187"/>
      <c r="I480" s="92"/>
      <c r="J480" s="92"/>
      <c r="K480" s="187"/>
      <c r="L480" s="187"/>
      <c r="M480" s="187"/>
      <c r="N480" s="187"/>
      <c r="O480" s="92"/>
      <c r="P480" s="187"/>
      <c r="Q480" s="187"/>
      <c r="R480" s="187"/>
      <c r="S480" s="187"/>
      <c r="T480" s="85"/>
      <c r="U480" s="189"/>
      <c r="V480" s="189"/>
      <c r="W480" s="189"/>
      <c r="X480" s="189"/>
      <c r="Y480" s="100"/>
      <c r="AA480" s="96"/>
      <c r="AB480" s="96"/>
      <c r="AC480" s="96"/>
      <c r="AD480" s="97"/>
      <c r="AE480" s="96"/>
      <c r="AF480" s="98"/>
      <c r="AG480" s="96"/>
      <c r="AH480" s="96"/>
      <c r="AI480" s="96"/>
      <c r="AJ480" s="96"/>
      <c r="AK480" s="96"/>
      <c r="AL480" s="96"/>
      <c r="AM480" s="96"/>
      <c r="AN480" s="96"/>
      <c r="AO480" s="96"/>
      <c r="AP480" s="96"/>
    </row>
    <row r="481" spans="2:42" ht="12.75">
      <c r="B481" s="186"/>
      <c r="C481" s="85"/>
      <c r="D481" s="85"/>
      <c r="E481" s="187"/>
      <c r="F481" s="187"/>
      <c r="G481" s="187"/>
      <c r="H481" s="187"/>
      <c r="I481" s="92"/>
      <c r="J481" s="92"/>
      <c r="K481" s="187"/>
      <c r="L481" s="187"/>
      <c r="M481" s="187"/>
      <c r="N481" s="187"/>
      <c r="O481" s="92"/>
      <c r="P481" s="187"/>
      <c r="Q481" s="187"/>
      <c r="R481" s="187"/>
      <c r="S481" s="187"/>
      <c r="T481" s="85"/>
      <c r="U481" s="189"/>
      <c r="V481" s="189"/>
      <c r="W481" s="189"/>
      <c r="X481" s="189"/>
      <c r="Y481" s="100"/>
      <c r="AA481" s="96"/>
      <c r="AB481" s="96"/>
      <c r="AC481" s="96"/>
      <c r="AD481" s="97"/>
      <c r="AE481" s="96"/>
      <c r="AF481" s="98"/>
      <c r="AG481" s="96"/>
      <c r="AH481" s="96"/>
      <c r="AI481" s="96"/>
      <c r="AJ481" s="96"/>
      <c r="AK481" s="96"/>
      <c r="AL481" s="96"/>
      <c r="AM481" s="96"/>
      <c r="AN481" s="96"/>
      <c r="AO481" s="96"/>
      <c r="AP481" s="96"/>
    </row>
    <row r="482" spans="2:42" ht="12.75">
      <c r="B482" s="186"/>
      <c r="C482" s="85"/>
      <c r="D482" s="85"/>
      <c r="E482" s="187"/>
      <c r="F482" s="187"/>
      <c r="G482" s="187"/>
      <c r="H482" s="187"/>
      <c r="I482" s="92"/>
      <c r="J482" s="92"/>
      <c r="K482" s="187"/>
      <c r="L482" s="187"/>
      <c r="M482" s="187"/>
      <c r="N482" s="187"/>
      <c r="O482" s="92"/>
      <c r="P482" s="187"/>
      <c r="Q482" s="187"/>
      <c r="R482" s="187"/>
      <c r="S482" s="187"/>
      <c r="T482" s="85"/>
      <c r="U482" s="189"/>
      <c r="V482" s="189"/>
      <c r="W482" s="189"/>
      <c r="X482" s="189"/>
      <c r="Y482" s="100"/>
      <c r="AA482" s="96"/>
      <c r="AB482" s="96"/>
      <c r="AC482" s="96"/>
      <c r="AD482" s="97"/>
      <c r="AE482" s="96"/>
      <c r="AF482" s="98"/>
      <c r="AG482" s="96"/>
      <c r="AH482" s="96"/>
      <c r="AI482" s="96"/>
      <c r="AJ482" s="96"/>
      <c r="AK482" s="96"/>
      <c r="AL482" s="96"/>
      <c r="AM482" s="96"/>
      <c r="AN482" s="96"/>
      <c r="AO482" s="96"/>
      <c r="AP482" s="96"/>
    </row>
    <row r="483" spans="2:42" ht="12.75">
      <c r="B483" s="186"/>
      <c r="C483" s="85"/>
      <c r="D483" s="85"/>
      <c r="E483" s="187"/>
      <c r="F483" s="187"/>
      <c r="G483" s="187"/>
      <c r="H483" s="187"/>
      <c r="I483" s="92"/>
      <c r="J483" s="92"/>
      <c r="K483" s="187"/>
      <c r="L483" s="187"/>
      <c r="M483" s="187"/>
      <c r="N483" s="187"/>
      <c r="O483" s="92"/>
      <c r="P483" s="187"/>
      <c r="Q483" s="187"/>
      <c r="R483" s="187"/>
      <c r="S483" s="187"/>
      <c r="T483" s="85"/>
      <c r="U483" s="189"/>
      <c r="V483" s="189"/>
      <c r="W483" s="189"/>
      <c r="X483" s="189"/>
      <c r="Y483" s="100"/>
      <c r="AA483" s="96"/>
      <c r="AB483" s="96"/>
      <c r="AC483" s="96"/>
      <c r="AD483" s="97"/>
      <c r="AE483" s="96"/>
      <c r="AF483" s="98"/>
      <c r="AG483" s="96"/>
      <c r="AH483" s="96"/>
      <c r="AI483" s="96"/>
      <c r="AJ483" s="96"/>
      <c r="AK483" s="96"/>
      <c r="AL483" s="96"/>
      <c r="AM483" s="96"/>
      <c r="AN483" s="96"/>
      <c r="AO483" s="96"/>
      <c r="AP483" s="96"/>
    </row>
    <row r="484" spans="2:42" ht="12.75">
      <c r="B484" s="186"/>
      <c r="C484" s="85"/>
      <c r="D484" s="85"/>
      <c r="E484" s="187"/>
      <c r="F484" s="187"/>
      <c r="G484" s="187"/>
      <c r="H484" s="187"/>
      <c r="I484" s="92"/>
      <c r="J484" s="92"/>
      <c r="K484" s="187"/>
      <c r="L484" s="187"/>
      <c r="M484" s="187"/>
      <c r="N484" s="187"/>
      <c r="O484" s="92"/>
      <c r="P484" s="187"/>
      <c r="Q484" s="187"/>
      <c r="R484" s="187"/>
      <c r="S484" s="187"/>
      <c r="T484" s="85"/>
      <c r="U484" s="189"/>
      <c r="V484" s="189"/>
      <c r="W484" s="189"/>
      <c r="X484" s="189"/>
      <c r="Y484" s="100"/>
      <c r="AA484" s="96"/>
      <c r="AB484" s="96"/>
      <c r="AC484" s="96"/>
      <c r="AD484" s="97"/>
      <c r="AE484" s="96"/>
      <c r="AF484" s="98"/>
      <c r="AG484" s="96"/>
      <c r="AH484" s="96"/>
      <c r="AI484" s="96"/>
      <c r="AJ484" s="96"/>
      <c r="AK484" s="96"/>
      <c r="AL484" s="96"/>
      <c r="AM484" s="96"/>
      <c r="AN484" s="96"/>
      <c r="AO484" s="96"/>
      <c r="AP484" s="96"/>
    </row>
    <row r="485" spans="2:42" ht="12.75">
      <c r="B485" s="186"/>
      <c r="C485" s="85"/>
      <c r="D485" s="85"/>
      <c r="E485" s="187"/>
      <c r="F485" s="187"/>
      <c r="G485" s="187"/>
      <c r="H485" s="187"/>
      <c r="I485" s="92"/>
      <c r="J485" s="92"/>
      <c r="K485" s="187"/>
      <c r="L485" s="187"/>
      <c r="M485" s="187"/>
      <c r="N485" s="187"/>
      <c r="O485" s="92"/>
      <c r="P485" s="187"/>
      <c r="Q485" s="187"/>
      <c r="R485" s="187"/>
      <c r="S485" s="187"/>
      <c r="T485" s="85"/>
      <c r="U485" s="189"/>
      <c r="V485" s="189"/>
      <c r="W485" s="189"/>
      <c r="X485" s="189"/>
      <c r="Y485" s="100"/>
      <c r="AA485" s="96"/>
      <c r="AB485" s="96"/>
      <c r="AC485" s="96"/>
      <c r="AD485" s="97"/>
      <c r="AE485" s="96"/>
      <c r="AF485" s="98"/>
      <c r="AG485" s="96"/>
      <c r="AH485" s="96"/>
      <c r="AI485" s="96"/>
      <c r="AJ485" s="96"/>
      <c r="AK485" s="96"/>
      <c r="AL485" s="96"/>
      <c r="AM485" s="96"/>
      <c r="AN485" s="96"/>
      <c r="AO485" s="96"/>
      <c r="AP485" s="96"/>
    </row>
    <row r="486" spans="2:42" ht="12.75">
      <c r="B486" s="186"/>
      <c r="C486" s="85"/>
      <c r="D486" s="85"/>
      <c r="E486" s="187"/>
      <c r="F486" s="187"/>
      <c r="G486" s="187"/>
      <c r="H486" s="187"/>
      <c r="I486" s="92"/>
      <c r="J486" s="92"/>
      <c r="K486" s="187"/>
      <c r="L486" s="187"/>
      <c r="M486" s="187"/>
      <c r="N486" s="187"/>
      <c r="O486" s="92"/>
      <c r="P486" s="187"/>
      <c r="Q486" s="187"/>
      <c r="R486" s="187"/>
      <c r="S486" s="187"/>
      <c r="T486" s="85"/>
      <c r="U486" s="189"/>
      <c r="V486" s="189"/>
      <c r="W486" s="189"/>
      <c r="X486" s="189"/>
      <c r="Y486" s="100"/>
      <c r="AA486" s="96"/>
      <c r="AB486" s="96"/>
      <c r="AC486" s="96"/>
      <c r="AD486" s="97"/>
      <c r="AE486" s="96"/>
      <c r="AF486" s="98"/>
      <c r="AG486" s="96"/>
      <c r="AH486" s="96"/>
      <c r="AI486" s="96"/>
      <c r="AJ486" s="96"/>
      <c r="AK486" s="96"/>
      <c r="AL486" s="96"/>
      <c r="AM486" s="96"/>
      <c r="AN486" s="96"/>
      <c r="AO486" s="96"/>
      <c r="AP486" s="96"/>
    </row>
    <row r="487" spans="2:42" ht="12.75">
      <c r="B487" s="186"/>
      <c r="C487" s="85"/>
      <c r="D487" s="85"/>
      <c r="E487" s="187"/>
      <c r="F487" s="187"/>
      <c r="G487" s="187"/>
      <c r="H487" s="187"/>
      <c r="I487" s="92"/>
      <c r="J487" s="92"/>
      <c r="K487" s="187"/>
      <c r="L487" s="187"/>
      <c r="M487" s="187"/>
      <c r="N487" s="187"/>
      <c r="O487" s="92"/>
      <c r="P487" s="187"/>
      <c r="Q487" s="187"/>
      <c r="R487" s="187"/>
      <c r="S487" s="187"/>
      <c r="T487" s="85"/>
      <c r="U487" s="189"/>
      <c r="V487" s="189"/>
      <c r="W487" s="189"/>
      <c r="X487" s="189"/>
      <c r="Y487" s="100"/>
      <c r="AA487" s="96"/>
      <c r="AB487" s="96"/>
      <c r="AC487" s="96"/>
      <c r="AD487" s="97"/>
      <c r="AE487" s="96"/>
      <c r="AF487" s="98"/>
      <c r="AG487" s="96"/>
      <c r="AH487" s="96"/>
      <c r="AI487" s="96"/>
      <c r="AJ487" s="96"/>
      <c r="AK487" s="96"/>
      <c r="AL487" s="96"/>
      <c r="AM487" s="96"/>
      <c r="AN487" s="96"/>
      <c r="AO487" s="96"/>
      <c r="AP487" s="96"/>
    </row>
    <row r="488" spans="2:42" ht="12.75">
      <c r="B488" s="186"/>
      <c r="C488" s="85"/>
      <c r="D488" s="85"/>
      <c r="E488" s="187"/>
      <c r="F488" s="187"/>
      <c r="G488" s="187"/>
      <c r="H488" s="187"/>
      <c r="I488" s="92"/>
      <c r="J488" s="92"/>
      <c r="K488" s="187"/>
      <c r="L488" s="187"/>
      <c r="M488" s="187"/>
      <c r="N488" s="187"/>
      <c r="O488" s="92"/>
      <c r="P488" s="187"/>
      <c r="Q488" s="187"/>
      <c r="R488" s="187"/>
      <c r="S488" s="187"/>
      <c r="T488" s="85"/>
      <c r="U488" s="189"/>
      <c r="V488" s="189"/>
      <c r="W488" s="189"/>
      <c r="X488" s="189"/>
      <c r="Y488" s="100"/>
      <c r="AA488" s="96"/>
      <c r="AB488" s="96"/>
      <c r="AC488" s="96"/>
      <c r="AD488" s="97"/>
      <c r="AE488" s="96"/>
      <c r="AF488" s="98"/>
      <c r="AG488" s="96"/>
      <c r="AH488" s="96"/>
      <c r="AI488" s="96"/>
      <c r="AJ488" s="96"/>
      <c r="AK488" s="96"/>
      <c r="AL488" s="96"/>
      <c r="AM488" s="96"/>
      <c r="AN488" s="96"/>
      <c r="AO488" s="96"/>
      <c r="AP488" s="96"/>
    </row>
    <row r="489" spans="2:42" ht="12.75">
      <c r="B489" s="186"/>
      <c r="C489" s="85"/>
      <c r="D489" s="85"/>
      <c r="E489" s="187"/>
      <c r="F489" s="187"/>
      <c r="G489" s="187"/>
      <c r="H489" s="187"/>
      <c r="I489" s="92"/>
      <c r="J489" s="92"/>
      <c r="K489" s="187"/>
      <c r="L489" s="187"/>
      <c r="M489" s="187"/>
      <c r="N489" s="187"/>
      <c r="O489" s="92"/>
      <c r="P489" s="187"/>
      <c r="Q489" s="187"/>
      <c r="R489" s="187"/>
      <c r="S489" s="187"/>
      <c r="T489" s="85"/>
      <c r="U489" s="189"/>
      <c r="V489" s="189"/>
      <c r="W489" s="189"/>
      <c r="X489" s="189"/>
      <c r="Y489" s="100"/>
      <c r="AA489" s="96"/>
      <c r="AB489" s="96"/>
      <c r="AC489" s="96"/>
      <c r="AD489" s="97"/>
      <c r="AE489" s="96"/>
      <c r="AF489" s="98"/>
      <c r="AG489" s="96"/>
      <c r="AH489" s="96"/>
      <c r="AI489" s="96"/>
      <c r="AJ489" s="96"/>
      <c r="AK489" s="96"/>
      <c r="AL489" s="96"/>
      <c r="AM489" s="96"/>
      <c r="AN489" s="96"/>
      <c r="AO489" s="96"/>
      <c r="AP489" s="96"/>
    </row>
    <row r="490" spans="2:42" ht="12.75">
      <c r="B490" s="186"/>
      <c r="C490" s="85"/>
      <c r="D490" s="85"/>
      <c r="E490" s="187"/>
      <c r="F490" s="187"/>
      <c r="G490" s="187"/>
      <c r="H490" s="187"/>
      <c r="I490" s="92"/>
      <c r="J490" s="92"/>
      <c r="K490" s="187"/>
      <c r="L490" s="187"/>
      <c r="M490" s="187"/>
      <c r="N490" s="187"/>
      <c r="O490" s="92"/>
      <c r="P490" s="187"/>
      <c r="Q490" s="187"/>
      <c r="R490" s="187"/>
      <c r="S490" s="187"/>
      <c r="T490" s="85"/>
      <c r="U490" s="189"/>
      <c r="V490" s="189"/>
      <c r="W490" s="189"/>
      <c r="X490" s="189"/>
      <c r="Y490" s="100"/>
      <c r="AA490" s="96"/>
      <c r="AB490" s="96"/>
      <c r="AC490" s="96"/>
      <c r="AD490" s="97"/>
      <c r="AE490" s="96"/>
      <c r="AF490" s="98"/>
      <c r="AG490" s="96"/>
      <c r="AH490" s="96"/>
      <c r="AI490" s="96"/>
      <c r="AJ490" s="96"/>
      <c r="AK490" s="96"/>
      <c r="AL490" s="96"/>
      <c r="AM490" s="96"/>
      <c r="AN490" s="96"/>
      <c r="AO490" s="96"/>
      <c r="AP490" s="96"/>
    </row>
    <row r="491" spans="2:42" ht="12.75">
      <c r="B491" s="186"/>
      <c r="C491" s="85"/>
      <c r="D491" s="85"/>
      <c r="E491" s="187"/>
      <c r="F491" s="187"/>
      <c r="G491" s="187"/>
      <c r="H491" s="187"/>
      <c r="I491" s="92"/>
      <c r="J491" s="92"/>
      <c r="K491" s="187"/>
      <c r="L491" s="187"/>
      <c r="M491" s="187"/>
      <c r="N491" s="187"/>
      <c r="O491" s="92"/>
      <c r="P491" s="187"/>
      <c r="Q491" s="187"/>
      <c r="R491" s="187"/>
      <c r="S491" s="187"/>
      <c r="T491" s="85"/>
      <c r="U491" s="189"/>
      <c r="V491" s="189"/>
      <c r="W491" s="189"/>
      <c r="X491" s="189"/>
      <c r="Y491" s="100"/>
      <c r="AA491" s="96"/>
      <c r="AB491" s="96"/>
      <c r="AC491" s="96"/>
      <c r="AD491" s="97"/>
      <c r="AE491" s="96"/>
      <c r="AF491" s="98"/>
      <c r="AG491" s="96"/>
      <c r="AH491" s="96"/>
      <c r="AI491" s="96"/>
      <c r="AJ491" s="96"/>
      <c r="AK491" s="96"/>
      <c r="AL491" s="96"/>
      <c r="AM491" s="96"/>
      <c r="AN491" s="96"/>
      <c r="AO491" s="96"/>
      <c r="AP491" s="96"/>
    </row>
    <row r="492" spans="2:42" ht="12.75">
      <c r="B492" s="186"/>
      <c r="C492" s="85"/>
      <c r="D492" s="85"/>
      <c r="E492" s="187"/>
      <c r="F492" s="187"/>
      <c r="G492" s="187"/>
      <c r="H492" s="187"/>
      <c r="I492" s="92"/>
      <c r="J492" s="92"/>
      <c r="K492" s="187"/>
      <c r="L492" s="187"/>
      <c r="M492" s="187"/>
      <c r="N492" s="187"/>
      <c r="O492" s="92"/>
      <c r="P492" s="187"/>
      <c r="Q492" s="187"/>
      <c r="R492" s="187"/>
      <c r="S492" s="187"/>
      <c r="T492" s="85"/>
      <c r="U492" s="189"/>
      <c r="V492" s="189"/>
      <c r="W492" s="189"/>
      <c r="X492" s="189"/>
      <c r="Y492" s="100"/>
      <c r="AA492" s="96"/>
      <c r="AB492" s="96"/>
      <c r="AC492" s="96"/>
      <c r="AD492" s="97"/>
      <c r="AE492" s="96"/>
      <c r="AF492" s="98"/>
      <c r="AG492" s="96"/>
      <c r="AH492" s="96"/>
      <c r="AI492" s="96"/>
      <c r="AJ492" s="96"/>
      <c r="AK492" s="96"/>
      <c r="AL492" s="96"/>
      <c r="AM492" s="96"/>
      <c r="AN492" s="96"/>
      <c r="AO492" s="96"/>
      <c r="AP492" s="96"/>
    </row>
    <row r="493" spans="2:42" ht="12.75">
      <c r="B493" s="186"/>
      <c r="C493" s="85"/>
      <c r="D493" s="85"/>
      <c r="E493" s="187"/>
      <c r="F493" s="187"/>
      <c r="G493" s="187"/>
      <c r="H493" s="187"/>
      <c r="I493" s="92"/>
      <c r="J493" s="92"/>
      <c r="K493" s="187"/>
      <c r="L493" s="187"/>
      <c r="M493" s="187"/>
      <c r="N493" s="187"/>
      <c r="O493" s="92"/>
      <c r="P493" s="187"/>
      <c r="Q493" s="187"/>
      <c r="R493" s="187"/>
      <c r="S493" s="187"/>
      <c r="T493" s="85"/>
      <c r="U493" s="189"/>
      <c r="V493" s="189"/>
      <c r="W493" s="189"/>
      <c r="X493" s="189"/>
      <c r="Y493" s="100"/>
      <c r="AA493" s="96"/>
      <c r="AB493" s="96"/>
      <c r="AC493" s="96"/>
      <c r="AD493" s="97"/>
      <c r="AE493" s="96"/>
      <c r="AF493" s="98"/>
      <c r="AG493" s="96"/>
      <c r="AH493" s="96"/>
      <c r="AI493" s="96"/>
      <c r="AJ493" s="96"/>
      <c r="AK493" s="96"/>
      <c r="AL493" s="96"/>
      <c r="AM493" s="96"/>
      <c r="AN493" s="96"/>
      <c r="AO493" s="96"/>
      <c r="AP493" s="96"/>
    </row>
    <row r="494" spans="2:42" ht="12.75">
      <c r="B494" s="186"/>
      <c r="C494" s="85"/>
      <c r="D494" s="85"/>
      <c r="E494" s="187"/>
      <c r="F494" s="187"/>
      <c r="G494" s="187"/>
      <c r="H494" s="187"/>
      <c r="I494" s="92"/>
      <c r="J494" s="92"/>
      <c r="K494" s="187"/>
      <c r="L494" s="187"/>
      <c r="M494" s="187"/>
      <c r="N494" s="187"/>
      <c r="O494" s="92"/>
      <c r="P494" s="187"/>
      <c r="Q494" s="187"/>
      <c r="R494" s="187"/>
      <c r="S494" s="187"/>
      <c r="T494" s="85"/>
      <c r="U494" s="189"/>
      <c r="V494" s="189"/>
      <c r="W494" s="189"/>
      <c r="X494" s="189"/>
      <c r="Y494" s="100"/>
      <c r="AA494" s="96"/>
      <c r="AB494" s="96"/>
      <c r="AC494" s="96"/>
      <c r="AD494" s="97"/>
      <c r="AE494" s="96"/>
      <c r="AF494" s="98"/>
      <c r="AG494" s="96"/>
      <c r="AH494" s="96"/>
      <c r="AI494" s="96"/>
      <c r="AJ494" s="96"/>
      <c r="AK494" s="96"/>
      <c r="AL494" s="96"/>
      <c r="AM494" s="96"/>
      <c r="AN494" s="96"/>
      <c r="AO494" s="96"/>
      <c r="AP494" s="96"/>
    </row>
    <row r="495" spans="2:42" ht="12.75">
      <c r="B495" s="186"/>
      <c r="C495" s="85"/>
      <c r="D495" s="85"/>
      <c r="E495" s="187"/>
      <c r="F495" s="187"/>
      <c r="G495" s="187"/>
      <c r="H495" s="187"/>
      <c r="I495" s="92"/>
      <c r="J495" s="92"/>
      <c r="K495" s="187"/>
      <c r="L495" s="187"/>
      <c r="M495" s="187"/>
      <c r="N495" s="187"/>
      <c r="O495" s="92"/>
      <c r="P495" s="187"/>
      <c r="Q495" s="187"/>
      <c r="R495" s="187"/>
      <c r="S495" s="187"/>
      <c r="T495" s="85"/>
      <c r="U495" s="189"/>
      <c r="V495" s="189"/>
      <c r="W495" s="189"/>
      <c r="X495" s="189"/>
      <c r="Y495" s="100"/>
      <c r="AA495" s="96"/>
      <c r="AB495" s="96"/>
      <c r="AC495" s="96"/>
      <c r="AD495" s="97"/>
      <c r="AE495" s="96"/>
      <c r="AF495" s="98"/>
      <c r="AG495" s="96"/>
      <c r="AH495" s="96"/>
      <c r="AI495" s="96"/>
      <c r="AJ495" s="96"/>
      <c r="AK495" s="96"/>
      <c r="AL495" s="96"/>
      <c r="AM495" s="96"/>
      <c r="AN495" s="96"/>
      <c r="AO495" s="96"/>
      <c r="AP495" s="96"/>
    </row>
    <row r="496" spans="2:42" ht="12.75">
      <c r="B496" s="186"/>
      <c r="C496" s="85"/>
      <c r="D496" s="85"/>
      <c r="E496" s="187"/>
      <c r="F496" s="187"/>
      <c r="G496" s="187"/>
      <c r="H496" s="187"/>
      <c r="I496" s="92"/>
      <c r="J496" s="92"/>
      <c r="K496" s="187"/>
      <c r="L496" s="187"/>
      <c r="M496" s="187"/>
      <c r="N496" s="187"/>
      <c r="O496" s="92"/>
      <c r="P496" s="187"/>
      <c r="Q496" s="187"/>
      <c r="R496" s="187"/>
      <c r="S496" s="187"/>
      <c r="T496" s="85"/>
      <c r="U496" s="189"/>
      <c r="V496" s="189"/>
      <c r="W496" s="189"/>
      <c r="X496" s="189"/>
      <c r="Y496" s="100"/>
      <c r="AA496" s="96"/>
      <c r="AB496" s="96"/>
      <c r="AC496" s="96"/>
      <c r="AD496" s="97"/>
      <c r="AE496" s="96"/>
      <c r="AF496" s="98"/>
      <c r="AG496" s="96"/>
      <c r="AH496" s="96"/>
      <c r="AI496" s="96"/>
      <c r="AJ496" s="96"/>
      <c r="AK496" s="96"/>
      <c r="AL496" s="96"/>
      <c r="AM496" s="96"/>
      <c r="AN496" s="96"/>
      <c r="AO496" s="96"/>
      <c r="AP496" s="96"/>
    </row>
    <row r="497" spans="2:42" ht="12.75">
      <c r="B497" s="186"/>
      <c r="C497" s="85"/>
      <c r="D497" s="85"/>
      <c r="E497" s="187"/>
      <c r="F497" s="187"/>
      <c r="G497" s="187"/>
      <c r="H497" s="187"/>
      <c r="I497" s="92"/>
      <c r="J497" s="92"/>
      <c r="K497" s="187"/>
      <c r="L497" s="187"/>
      <c r="M497" s="187"/>
      <c r="N497" s="187"/>
      <c r="O497" s="92"/>
      <c r="P497" s="187"/>
      <c r="Q497" s="187"/>
      <c r="R497" s="187"/>
      <c r="S497" s="187"/>
      <c r="T497" s="85"/>
      <c r="U497" s="189"/>
      <c r="V497" s="189"/>
      <c r="W497" s="189"/>
      <c r="X497" s="189"/>
      <c r="Y497" s="100"/>
      <c r="AA497" s="96"/>
      <c r="AB497" s="96"/>
      <c r="AC497" s="96"/>
      <c r="AD497" s="97"/>
      <c r="AE497" s="96"/>
      <c r="AF497" s="98"/>
      <c r="AG497" s="96"/>
      <c r="AH497" s="96"/>
      <c r="AI497" s="96"/>
      <c r="AJ497" s="96"/>
      <c r="AK497" s="96"/>
      <c r="AL497" s="96"/>
      <c r="AM497" s="96"/>
      <c r="AN497" s="96"/>
      <c r="AO497" s="96"/>
      <c r="AP497" s="96"/>
    </row>
    <row r="498" spans="2:42" ht="12.75">
      <c r="B498" s="186"/>
      <c r="C498" s="85"/>
      <c r="D498" s="85"/>
      <c r="E498" s="187"/>
      <c r="F498" s="187"/>
      <c r="G498" s="187"/>
      <c r="H498" s="187"/>
      <c r="I498" s="92"/>
      <c r="J498" s="92"/>
      <c r="K498" s="187"/>
      <c r="L498" s="187"/>
      <c r="M498" s="187"/>
      <c r="N498" s="187"/>
      <c r="O498" s="92"/>
      <c r="P498" s="187"/>
      <c r="Q498" s="187"/>
      <c r="R498" s="187"/>
      <c r="S498" s="187"/>
      <c r="T498" s="85"/>
      <c r="U498" s="189"/>
      <c r="V498" s="189"/>
      <c r="W498" s="189"/>
      <c r="X498" s="189"/>
      <c r="Y498" s="100"/>
      <c r="AA498" s="96"/>
      <c r="AB498" s="96"/>
      <c r="AC498" s="96"/>
      <c r="AD498" s="97"/>
      <c r="AE498" s="96"/>
      <c r="AF498" s="98"/>
      <c r="AG498" s="96"/>
      <c r="AH498" s="96"/>
      <c r="AI498" s="96"/>
      <c r="AJ498" s="96"/>
      <c r="AK498" s="96"/>
      <c r="AL498" s="96"/>
      <c r="AM498" s="96"/>
      <c r="AN498" s="96"/>
      <c r="AO498" s="96"/>
      <c r="AP498" s="96"/>
    </row>
    <row r="499" spans="2:42" ht="12.75">
      <c r="B499" s="186"/>
      <c r="C499" s="85"/>
      <c r="D499" s="85"/>
      <c r="E499" s="187"/>
      <c r="F499" s="187"/>
      <c r="G499" s="187"/>
      <c r="H499" s="187"/>
      <c r="I499" s="92"/>
      <c r="J499" s="92"/>
      <c r="K499" s="187"/>
      <c r="L499" s="187"/>
      <c r="M499" s="187"/>
      <c r="N499" s="187"/>
      <c r="O499" s="92"/>
      <c r="P499" s="187"/>
      <c r="Q499" s="187"/>
      <c r="R499" s="187"/>
      <c r="S499" s="187"/>
      <c r="T499" s="85"/>
      <c r="U499" s="189"/>
      <c r="V499" s="189"/>
      <c r="W499" s="189"/>
      <c r="X499" s="189"/>
      <c r="Y499" s="100"/>
      <c r="AA499" s="96"/>
      <c r="AB499" s="96"/>
      <c r="AC499" s="96"/>
      <c r="AD499" s="97"/>
      <c r="AE499" s="96"/>
      <c r="AF499" s="98"/>
      <c r="AG499" s="96"/>
      <c r="AH499" s="96"/>
      <c r="AI499" s="96"/>
      <c r="AJ499" s="96"/>
      <c r="AK499" s="96"/>
      <c r="AL499" s="96"/>
      <c r="AM499" s="96"/>
      <c r="AN499" s="96"/>
      <c r="AO499" s="96"/>
      <c r="AP499" s="96"/>
    </row>
    <row r="500" spans="2:42" ht="12.75">
      <c r="B500" s="186"/>
      <c r="C500" s="85"/>
      <c r="D500" s="85"/>
      <c r="E500" s="187"/>
      <c r="F500" s="187"/>
      <c r="G500" s="187"/>
      <c r="H500" s="187"/>
      <c r="I500" s="92"/>
      <c r="J500" s="92"/>
      <c r="K500" s="187"/>
      <c r="L500" s="187"/>
      <c r="M500" s="187"/>
      <c r="N500" s="187"/>
      <c r="O500" s="92"/>
      <c r="P500" s="187"/>
      <c r="Q500" s="187"/>
      <c r="R500" s="187"/>
      <c r="S500" s="187"/>
      <c r="T500" s="85"/>
      <c r="U500" s="189"/>
      <c r="V500" s="189"/>
      <c r="W500" s="189"/>
      <c r="X500" s="189"/>
      <c r="Y500" s="100"/>
      <c r="AA500" s="96"/>
      <c r="AB500" s="96"/>
      <c r="AC500" s="96"/>
      <c r="AD500" s="97"/>
      <c r="AE500" s="96"/>
      <c r="AF500" s="98"/>
      <c r="AG500" s="96"/>
      <c r="AH500" s="96"/>
      <c r="AI500" s="96"/>
      <c r="AJ500" s="96"/>
      <c r="AK500" s="96"/>
      <c r="AL500" s="96"/>
      <c r="AM500" s="96"/>
      <c r="AN500" s="96"/>
      <c r="AO500" s="96"/>
      <c r="AP500" s="96"/>
    </row>
    <row r="501" spans="2:42" ht="12.75">
      <c r="B501" s="186"/>
      <c r="C501" s="85"/>
      <c r="D501" s="85"/>
      <c r="E501" s="187"/>
      <c r="F501" s="187"/>
      <c r="G501" s="187"/>
      <c r="H501" s="187"/>
      <c r="I501" s="92"/>
      <c r="J501" s="92"/>
      <c r="K501" s="187"/>
      <c r="L501" s="187"/>
      <c r="M501" s="187"/>
      <c r="N501" s="187"/>
      <c r="O501" s="92"/>
      <c r="P501" s="187"/>
      <c r="Q501" s="187"/>
      <c r="R501" s="187"/>
      <c r="S501" s="187"/>
      <c r="T501" s="85"/>
      <c r="U501" s="189"/>
      <c r="V501" s="189"/>
      <c r="W501" s="189"/>
      <c r="X501" s="189"/>
      <c r="Y501" s="100"/>
      <c r="AA501" s="96"/>
      <c r="AB501" s="96"/>
      <c r="AC501" s="96"/>
      <c r="AD501" s="97"/>
      <c r="AE501" s="96"/>
      <c r="AF501" s="98"/>
      <c r="AG501" s="96"/>
      <c r="AH501" s="96"/>
      <c r="AI501" s="96"/>
      <c r="AJ501" s="96"/>
      <c r="AK501" s="96"/>
      <c r="AL501" s="96"/>
      <c r="AM501" s="96"/>
      <c r="AN501" s="96"/>
      <c r="AO501" s="96"/>
      <c r="AP501" s="96"/>
    </row>
    <row r="502" spans="2:42" ht="12.75">
      <c r="B502" s="186"/>
      <c r="C502" s="85"/>
      <c r="D502" s="85"/>
      <c r="E502" s="187"/>
      <c r="F502" s="187"/>
      <c r="G502" s="187"/>
      <c r="H502" s="187"/>
      <c r="I502" s="92"/>
      <c r="J502" s="92"/>
      <c r="K502" s="187"/>
      <c r="L502" s="187"/>
      <c r="M502" s="187"/>
      <c r="N502" s="187"/>
      <c r="O502" s="92"/>
      <c r="P502" s="187"/>
      <c r="Q502" s="187"/>
      <c r="R502" s="187"/>
      <c r="S502" s="187"/>
      <c r="T502" s="85"/>
      <c r="U502" s="189"/>
      <c r="V502" s="189"/>
      <c r="W502" s="189"/>
      <c r="X502" s="189"/>
      <c r="Y502" s="100"/>
      <c r="AA502" s="96"/>
      <c r="AB502" s="96"/>
      <c r="AC502" s="96"/>
      <c r="AD502" s="97"/>
      <c r="AE502" s="96"/>
      <c r="AF502" s="98"/>
      <c r="AG502" s="96"/>
      <c r="AH502" s="96"/>
      <c r="AI502" s="96"/>
      <c r="AJ502" s="96"/>
      <c r="AK502" s="96"/>
      <c r="AL502" s="96"/>
      <c r="AM502" s="96"/>
      <c r="AN502" s="96"/>
      <c r="AO502" s="96"/>
      <c r="AP502" s="96"/>
    </row>
    <row r="503" spans="2:42" ht="12.75">
      <c r="B503" s="186"/>
      <c r="C503" s="85"/>
      <c r="D503" s="85"/>
      <c r="E503" s="187"/>
      <c r="F503" s="187"/>
      <c r="G503" s="187"/>
      <c r="H503" s="187"/>
      <c r="I503" s="92"/>
      <c r="J503" s="92"/>
      <c r="K503" s="187"/>
      <c r="L503" s="187"/>
      <c r="M503" s="187"/>
      <c r="N503" s="187"/>
      <c r="O503" s="92"/>
      <c r="P503" s="187"/>
      <c r="Q503" s="187"/>
      <c r="R503" s="187"/>
      <c r="S503" s="187"/>
      <c r="T503" s="85"/>
      <c r="U503" s="189"/>
      <c r="V503" s="189"/>
      <c r="W503" s="189"/>
      <c r="X503" s="189"/>
      <c r="Y503" s="100"/>
      <c r="AA503" s="96"/>
      <c r="AB503" s="96"/>
      <c r="AC503" s="96"/>
      <c r="AD503" s="97"/>
      <c r="AE503" s="96"/>
      <c r="AF503" s="98"/>
      <c r="AG503" s="96"/>
      <c r="AH503" s="96"/>
      <c r="AI503" s="96"/>
      <c r="AJ503" s="96"/>
      <c r="AK503" s="96"/>
      <c r="AL503" s="96"/>
      <c r="AM503" s="96"/>
      <c r="AN503" s="96"/>
      <c r="AO503" s="96"/>
      <c r="AP503" s="96"/>
    </row>
    <row r="504" spans="2:42" ht="12.75">
      <c r="B504" s="186"/>
      <c r="C504" s="85"/>
      <c r="D504" s="85"/>
      <c r="E504" s="187"/>
      <c r="F504" s="187"/>
      <c r="G504" s="187"/>
      <c r="H504" s="187"/>
      <c r="I504" s="92"/>
      <c r="J504" s="92"/>
      <c r="K504" s="187"/>
      <c r="L504" s="187"/>
      <c r="M504" s="187"/>
      <c r="N504" s="187"/>
      <c r="O504" s="92"/>
      <c r="P504" s="187"/>
      <c r="Q504" s="187"/>
      <c r="R504" s="187"/>
      <c r="S504" s="187"/>
      <c r="T504" s="85"/>
      <c r="U504" s="189"/>
      <c r="V504" s="189"/>
      <c r="W504" s="189"/>
      <c r="X504" s="189"/>
      <c r="Y504" s="100"/>
      <c r="AA504" s="96"/>
      <c r="AB504" s="96"/>
      <c r="AC504" s="96"/>
      <c r="AD504" s="97"/>
      <c r="AE504" s="96"/>
      <c r="AF504" s="98"/>
      <c r="AG504" s="96"/>
      <c r="AH504" s="96"/>
      <c r="AI504" s="96"/>
      <c r="AJ504" s="96"/>
      <c r="AK504" s="96"/>
      <c r="AL504" s="96"/>
      <c r="AM504" s="96"/>
      <c r="AN504" s="96"/>
      <c r="AO504" s="96"/>
      <c r="AP504" s="96"/>
    </row>
    <row r="505" spans="2:42" ht="12.75">
      <c r="B505" s="186"/>
      <c r="C505" s="85"/>
      <c r="D505" s="85"/>
      <c r="E505" s="187"/>
      <c r="F505" s="187"/>
      <c r="G505" s="187"/>
      <c r="H505" s="187"/>
      <c r="I505" s="92"/>
      <c r="J505" s="92"/>
      <c r="K505" s="187"/>
      <c r="L505" s="187"/>
      <c r="M505" s="187"/>
      <c r="N505" s="187"/>
      <c r="O505" s="92"/>
      <c r="P505" s="187"/>
      <c r="Q505" s="187"/>
      <c r="R505" s="187"/>
      <c r="S505" s="187"/>
      <c r="T505" s="85"/>
      <c r="U505" s="189"/>
      <c r="V505" s="189"/>
      <c r="W505" s="189"/>
      <c r="X505" s="189"/>
      <c r="Y505" s="100"/>
      <c r="AA505" s="96"/>
      <c r="AB505" s="96"/>
      <c r="AC505" s="96"/>
      <c r="AD505" s="97"/>
      <c r="AE505" s="96"/>
      <c r="AF505" s="98"/>
      <c r="AG505" s="96"/>
      <c r="AH505" s="96"/>
      <c r="AI505" s="96"/>
      <c r="AJ505" s="96"/>
      <c r="AK505" s="96"/>
      <c r="AL505" s="96"/>
      <c r="AM505" s="96"/>
      <c r="AN505" s="96"/>
      <c r="AO505" s="96"/>
      <c r="AP505" s="96"/>
    </row>
    <row r="506" spans="2:42" ht="12.75">
      <c r="B506" s="186"/>
      <c r="C506" s="85"/>
      <c r="D506" s="85"/>
      <c r="E506" s="187"/>
      <c r="F506" s="187"/>
      <c r="G506" s="187"/>
      <c r="H506" s="187"/>
      <c r="I506" s="92"/>
      <c r="J506" s="92"/>
      <c r="K506" s="187"/>
      <c r="L506" s="187"/>
      <c r="M506" s="187"/>
      <c r="N506" s="187"/>
      <c r="O506" s="92"/>
      <c r="P506" s="187"/>
      <c r="Q506" s="187"/>
      <c r="R506" s="187"/>
      <c r="S506" s="187"/>
      <c r="T506" s="85"/>
      <c r="U506" s="189"/>
      <c r="V506" s="189"/>
      <c r="W506" s="189"/>
      <c r="X506" s="189"/>
      <c r="Y506" s="100"/>
      <c r="AA506" s="96"/>
      <c r="AB506" s="96"/>
      <c r="AC506" s="96"/>
      <c r="AD506" s="97"/>
      <c r="AE506" s="96"/>
      <c r="AF506" s="98"/>
      <c r="AG506" s="96"/>
      <c r="AH506" s="96"/>
      <c r="AI506" s="96"/>
      <c r="AJ506" s="96"/>
      <c r="AK506" s="96"/>
      <c r="AL506" s="96"/>
      <c r="AM506" s="96"/>
      <c r="AN506" s="96"/>
      <c r="AO506" s="96"/>
      <c r="AP506" s="96"/>
    </row>
    <row r="507" spans="2:42" ht="12.75">
      <c r="B507" s="186"/>
      <c r="C507" s="85"/>
      <c r="D507" s="85"/>
      <c r="E507" s="187"/>
      <c r="F507" s="187"/>
      <c r="G507" s="187"/>
      <c r="H507" s="187"/>
      <c r="I507" s="92"/>
      <c r="J507" s="92"/>
      <c r="K507" s="187"/>
      <c r="L507" s="187"/>
      <c r="M507" s="187"/>
      <c r="N507" s="187"/>
      <c r="O507" s="92"/>
      <c r="P507" s="187"/>
      <c r="Q507" s="187"/>
      <c r="R507" s="187"/>
      <c r="S507" s="187"/>
      <c r="T507" s="85"/>
      <c r="U507" s="189"/>
      <c r="V507" s="189"/>
      <c r="W507" s="189"/>
      <c r="X507" s="189"/>
      <c r="Y507" s="100"/>
      <c r="AA507" s="96"/>
      <c r="AB507" s="96"/>
      <c r="AC507" s="96"/>
      <c r="AD507" s="97"/>
      <c r="AE507" s="96"/>
      <c r="AF507" s="98"/>
      <c r="AG507" s="96"/>
      <c r="AH507" s="96"/>
      <c r="AI507" s="96"/>
      <c r="AJ507" s="96"/>
      <c r="AK507" s="96"/>
      <c r="AL507" s="96"/>
      <c r="AM507" s="96"/>
      <c r="AN507" s="96"/>
      <c r="AO507" s="96"/>
      <c r="AP507" s="96"/>
    </row>
    <row r="508" spans="2:42" ht="12.75">
      <c r="B508" s="186"/>
      <c r="C508" s="85"/>
      <c r="D508" s="85"/>
      <c r="E508" s="187"/>
      <c r="F508" s="187"/>
      <c r="G508" s="187"/>
      <c r="H508" s="187"/>
      <c r="I508" s="92"/>
      <c r="J508" s="92"/>
      <c r="K508" s="187"/>
      <c r="L508" s="187"/>
      <c r="M508" s="187"/>
      <c r="N508" s="187"/>
      <c r="O508" s="92"/>
      <c r="P508" s="187"/>
      <c r="Q508" s="187"/>
      <c r="R508" s="187"/>
      <c r="S508" s="187"/>
      <c r="T508" s="85"/>
      <c r="U508" s="189"/>
      <c r="V508" s="189"/>
      <c r="W508" s="189"/>
      <c r="X508" s="189"/>
      <c r="Y508" s="100"/>
      <c r="AA508" s="96"/>
      <c r="AB508" s="96"/>
      <c r="AC508" s="96"/>
      <c r="AD508" s="97"/>
      <c r="AE508" s="96"/>
      <c r="AF508" s="98"/>
      <c r="AG508" s="96"/>
      <c r="AH508" s="96"/>
      <c r="AI508" s="96"/>
      <c r="AJ508" s="96"/>
      <c r="AK508" s="96"/>
      <c r="AL508" s="96"/>
      <c r="AM508" s="96"/>
      <c r="AN508" s="96"/>
      <c r="AO508" s="96"/>
      <c r="AP508" s="96"/>
    </row>
    <row r="509" spans="2:42" ht="12.75">
      <c r="B509" s="186"/>
      <c r="C509" s="85"/>
      <c r="D509" s="85"/>
      <c r="E509" s="187"/>
      <c r="F509" s="187"/>
      <c r="G509" s="187"/>
      <c r="H509" s="187"/>
      <c r="I509" s="92"/>
      <c r="J509" s="92"/>
      <c r="K509" s="187"/>
      <c r="L509" s="187"/>
      <c r="M509" s="187"/>
      <c r="N509" s="187"/>
      <c r="O509" s="92"/>
      <c r="P509" s="187"/>
      <c r="Q509" s="187"/>
      <c r="R509" s="187"/>
      <c r="S509" s="187"/>
      <c r="T509" s="85"/>
      <c r="U509" s="189"/>
      <c r="V509" s="189"/>
      <c r="W509" s="189"/>
      <c r="X509" s="189"/>
      <c r="Y509" s="100"/>
      <c r="AA509" s="96"/>
      <c r="AB509" s="96"/>
      <c r="AC509" s="96"/>
      <c r="AD509" s="97"/>
      <c r="AE509" s="96"/>
      <c r="AF509" s="98"/>
      <c r="AG509" s="96"/>
      <c r="AH509" s="96"/>
      <c r="AI509" s="96"/>
      <c r="AJ509" s="96"/>
      <c r="AK509" s="96"/>
      <c r="AL509" s="96"/>
      <c r="AM509" s="96"/>
      <c r="AN509" s="96"/>
      <c r="AO509" s="96"/>
      <c r="AP509" s="96"/>
    </row>
    <row r="510" spans="2:42" ht="12.75">
      <c r="B510" s="186"/>
      <c r="C510" s="85"/>
      <c r="D510" s="85"/>
      <c r="E510" s="187"/>
      <c r="F510" s="187"/>
      <c r="G510" s="187"/>
      <c r="H510" s="187"/>
      <c r="I510" s="92"/>
      <c r="J510" s="92"/>
      <c r="K510" s="187"/>
      <c r="L510" s="187"/>
      <c r="M510" s="187"/>
      <c r="N510" s="187"/>
      <c r="O510" s="92"/>
      <c r="P510" s="187"/>
      <c r="Q510" s="187"/>
      <c r="R510" s="187"/>
      <c r="S510" s="187"/>
      <c r="T510" s="85"/>
      <c r="U510" s="189"/>
      <c r="V510" s="189"/>
      <c r="W510" s="189"/>
      <c r="X510" s="189"/>
      <c r="Y510" s="100"/>
      <c r="AA510" s="96"/>
      <c r="AB510" s="96"/>
      <c r="AC510" s="96"/>
      <c r="AD510" s="97"/>
      <c r="AE510" s="96"/>
      <c r="AF510" s="98"/>
      <c r="AG510" s="96"/>
      <c r="AH510" s="96"/>
      <c r="AI510" s="96"/>
      <c r="AJ510" s="96"/>
      <c r="AK510" s="96"/>
      <c r="AL510" s="96"/>
      <c r="AM510" s="96"/>
      <c r="AN510" s="96"/>
      <c r="AO510" s="96"/>
      <c r="AP510" s="96"/>
    </row>
    <row r="511" spans="2:42" ht="12.75">
      <c r="B511" s="186"/>
      <c r="C511" s="85"/>
      <c r="D511" s="85"/>
      <c r="E511" s="187"/>
      <c r="F511" s="187"/>
      <c r="G511" s="187"/>
      <c r="H511" s="187"/>
      <c r="I511" s="92"/>
      <c r="J511" s="92"/>
      <c r="K511" s="187"/>
      <c r="L511" s="187"/>
      <c r="M511" s="187"/>
      <c r="N511" s="187"/>
      <c r="O511" s="92"/>
      <c r="P511" s="187"/>
      <c r="Q511" s="187"/>
      <c r="R511" s="187"/>
      <c r="S511" s="187"/>
      <c r="T511" s="85"/>
      <c r="U511" s="189"/>
      <c r="V511" s="189"/>
      <c r="W511" s="189"/>
      <c r="X511" s="189"/>
      <c r="Y511" s="100"/>
      <c r="AA511" s="96"/>
      <c r="AB511" s="96"/>
      <c r="AC511" s="96"/>
      <c r="AD511" s="97"/>
      <c r="AE511" s="96"/>
      <c r="AF511" s="98"/>
      <c r="AG511" s="96"/>
      <c r="AH511" s="96"/>
      <c r="AI511" s="96"/>
      <c r="AJ511" s="96"/>
      <c r="AK511" s="96"/>
      <c r="AL511" s="96"/>
      <c r="AM511" s="96"/>
      <c r="AN511" s="96"/>
      <c r="AO511" s="96"/>
      <c r="AP511" s="96"/>
    </row>
    <row r="512" spans="2:42" ht="12.75">
      <c r="B512" s="186"/>
      <c r="C512" s="85"/>
      <c r="D512" s="85"/>
      <c r="E512" s="187"/>
      <c r="F512" s="187"/>
      <c r="G512" s="187"/>
      <c r="H512" s="187"/>
      <c r="I512" s="92"/>
      <c r="J512" s="92"/>
      <c r="K512" s="187"/>
      <c r="L512" s="187"/>
      <c r="M512" s="187"/>
      <c r="N512" s="187"/>
      <c r="O512" s="92"/>
      <c r="P512" s="187"/>
      <c r="Q512" s="187"/>
      <c r="R512" s="187"/>
      <c r="S512" s="187"/>
      <c r="T512" s="85"/>
      <c r="U512" s="189"/>
      <c r="V512" s="189"/>
      <c r="W512" s="189"/>
      <c r="X512" s="189"/>
      <c r="Y512" s="100"/>
      <c r="AA512" s="96"/>
      <c r="AB512" s="96"/>
      <c r="AC512" s="96"/>
      <c r="AD512" s="97"/>
      <c r="AE512" s="96"/>
      <c r="AF512" s="98"/>
      <c r="AG512" s="96"/>
      <c r="AH512" s="96"/>
      <c r="AI512" s="96"/>
      <c r="AJ512" s="96"/>
      <c r="AK512" s="96"/>
      <c r="AL512" s="96"/>
      <c r="AM512" s="96"/>
      <c r="AN512" s="96"/>
      <c r="AO512" s="96"/>
      <c r="AP512" s="96"/>
    </row>
    <row r="513" spans="2:42" ht="12.75">
      <c r="B513" s="186"/>
      <c r="C513" s="85"/>
      <c r="D513" s="85"/>
      <c r="E513" s="187"/>
      <c r="F513" s="187"/>
      <c r="G513" s="187"/>
      <c r="H513" s="187"/>
      <c r="I513" s="92"/>
      <c r="J513" s="92"/>
      <c r="K513" s="187"/>
      <c r="L513" s="187"/>
      <c r="M513" s="187"/>
      <c r="N513" s="187"/>
      <c r="O513" s="92"/>
      <c r="P513" s="187"/>
      <c r="Q513" s="187"/>
      <c r="R513" s="187"/>
      <c r="S513" s="187"/>
      <c r="T513" s="85"/>
      <c r="U513" s="189"/>
      <c r="V513" s="189"/>
      <c r="W513" s="189"/>
      <c r="X513" s="189"/>
      <c r="Y513" s="100"/>
      <c r="AA513" s="96"/>
      <c r="AB513" s="96"/>
      <c r="AC513" s="96"/>
      <c r="AD513" s="97"/>
      <c r="AE513" s="96"/>
      <c r="AF513" s="98"/>
      <c r="AG513" s="96"/>
      <c r="AH513" s="96"/>
      <c r="AI513" s="96"/>
      <c r="AJ513" s="96"/>
      <c r="AK513" s="96"/>
      <c r="AL513" s="96"/>
      <c r="AM513" s="96"/>
      <c r="AN513" s="96"/>
      <c r="AO513" s="96"/>
      <c r="AP513" s="96"/>
    </row>
    <row r="514" spans="2:42" ht="12.75">
      <c r="B514" s="186"/>
      <c r="C514" s="85"/>
      <c r="D514" s="85"/>
      <c r="E514" s="187"/>
      <c r="F514" s="187"/>
      <c r="G514" s="187"/>
      <c r="H514" s="187"/>
      <c r="I514" s="92"/>
      <c r="J514" s="92"/>
      <c r="K514" s="187"/>
      <c r="L514" s="187"/>
      <c r="M514" s="187"/>
      <c r="N514" s="187"/>
      <c r="O514" s="92"/>
      <c r="P514" s="187"/>
      <c r="Q514" s="187"/>
      <c r="R514" s="187"/>
      <c r="S514" s="187"/>
      <c r="T514" s="85"/>
      <c r="U514" s="189"/>
      <c r="V514" s="189"/>
      <c r="W514" s="189"/>
      <c r="X514" s="189"/>
      <c r="Y514" s="100"/>
      <c r="AA514" s="96"/>
      <c r="AB514" s="96"/>
      <c r="AC514" s="96"/>
      <c r="AD514" s="97"/>
      <c r="AE514" s="96"/>
      <c r="AF514" s="98"/>
      <c r="AG514" s="96"/>
      <c r="AH514" s="96"/>
      <c r="AI514" s="96"/>
      <c r="AJ514" s="96"/>
      <c r="AK514" s="96"/>
      <c r="AL514" s="96"/>
      <c r="AM514" s="96"/>
      <c r="AN514" s="96"/>
      <c r="AO514" s="96"/>
      <c r="AP514" s="96"/>
    </row>
    <row r="515" spans="2:42" ht="12.75">
      <c r="B515" s="186"/>
      <c r="C515" s="85"/>
      <c r="D515" s="85"/>
      <c r="E515" s="187"/>
      <c r="F515" s="187"/>
      <c r="G515" s="187"/>
      <c r="H515" s="187"/>
      <c r="I515" s="92"/>
      <c r="J515" s="92"/>
      <c r="K515" s="187"/>
      <c r="L515" s="187"/>
      <c r="M515" s="187"/>
      <c r="N515" s="187"/>
      <c r="O515" s="92"/>
      <c r="P515" s="187"/>
      <c r="Q515" s="187"/>
      <c r="R515" s="187"/>
      <c r="S515" s="187"/>
      <c r="T515" s="85"/>
      <c r="U515" s="189"/>
      <c r="V515" s="189"/>
      <c r="W515" s="189"/>
      <c r="X515" s="189"/>
      <c r="Y515" s="100"/>
      <c r="AA515" s="96"/>
      <c r="AB515" s="96"/>
      <c r="AC515" s="96"/>
      <c r="AD515" s="97"/>
      <c r="AE515" s="96"/>
      <c r="AF515" s="98"/>
      <c r="AG515" s="96"/>
      <c r="AH515" s="96"/>
      <c r="AI515" s="96"/>
      <c r="AJ515" s="96"/>
      <c r="AK515" s="96"/>
      <c r="AL515" s="96"/>
      <c r="AM515" s="96"/>
      <c r="AN515" s="96"/>
      <c r="AO515" s="96"/>
      <c r="AP515" s="96"/>
    </row>
    <row r="516" spans="2:42" ht="12.75">
      <c r="B516" s="186"/>
      <c r="C516" s="85"/>
      <c r="D516" s="85"/>
      <c r="E516" s="187"/>
      <c r="F516" s="187"/>
      <c r="G516" s="187"/>
      <c r="H516" s="187"/>
      <c r="I516" s="92"/>
      <c r="J516" s="92"/>
      <c r="K516" s="187"/>
      <c r="L516" s="187"/>
      <c r="M516" s="187"/>
      <c r="N516" s="187"/>
      <c r="O516" s="92"/>
      <c r="P516" s="187"/>
      <c r="Q516" s="187"/>
      <c r="R516" s="187"/>
      <c r="S516" s="187"/>
      <c r="T516" s="85"/>
      <c r="U516" s="189"/>
      <c r="V516" s="189"/>
      <c r="W516" s="189"/>
      <c r="X516" s="189"/>
      <c r="Y516" s="100"/>
      <c r="AA516" s="96"/>
      <c r="AB516" s="96"/>
      <c r="AC516" s="96"/>
      <c r="AD516" s="97"/>
      <c r="AE516" s="96"/>
      <c r="AF516" s="98"/>
      <c r="AG516" s="96"/>
      <c r="AH516" s="96"/>
      <c r="AI516" s="96"/>
      <c r="AJ516" s="96"/>
      <c r="AK516" s="96"/>
      <c r="AL516" s="96"/>
      <c r="AM516" s="96"/>
      <c r="AN516" s="96"/>
      <c r="AO516" s="96"/>
      <c r="AP516" s="96"/>
    </row>
    <row r="517" spans="2:42" ht="12.75">
      <c r="B517" s="186"/>
      <c r="C517" s="85"/>
      <c r="D517" s="85"/>
      <c r="E517" s="187"/>
      <c r="F517" s="187"/>
      <c r="G517" s="187"/>
      <c r="H517" s="187"/>
      <c r="I517" s="92"/>
      <c r="J517" s="92"/>
      <c r="K517" s="187"/>
      <c r="L517" s="187"/>
      <c r="M517" s="187"/>
      <c r="N517" s="187"/>
      <c r="O517" s="92"/>
      <c r="P517" s="187"/>
      <c r="Q517" s="187"/>
      <c r="R517" s="187"/>
      <c r="S517" s="187"/>
      <c r="T517" s="85"/>
      <c r="U517" s="189"/>
      <c r="V517" s="189"/>
      <c r="W517" s="189"/>
      <c r="X517" s="189"/>
      <c r="Y517" s="100"/>
      <c r="AA517" s="96"/>
      <c r="AB517" s="96"/>
      <c r="AC517" s="96"/>
      <c r="AD517" s="97"/>
      <c r="AE517" s="96"/>
      <c r="AF517" s="98"/>
      <c r="AG517" s="96"/>
      <c r="AH517" s="96"/>
      <c r="AI517" s="96"/>
      <c r="AJ517" s="96"/>
      <c r="AK517" s="96"/>
      <c r="AL517" s="96"/>
      <c r="AM517" s="96"/>
      <c r="AN517" s="96"/>
      <c r="AO517" s="96"/>
      <c r="AP517" s="96"/>
    </row>
    <row r="518" spans="2:42" ht="12.75">
      <c r="B518" s="186"/>
      <c r="C518" s="85"/>
      <c r="D518" s="85"/>
      <c r="E518" s="187"/>
      <c r="F518" s="187"/>
      <c r="G518" s="187"/>
      <c r="H518" s="187"/>
      <c r="I518" s="92"/>
      <c r="J518" s="92"/>
      <c r="K518" s="187"/>
      <c r="L518" s="187"/>
      <c r="M518" s="187"/>
      <c r="N518" s="187"/>
      <c r="O518" s="92"/>
      <c r="P518" s="187"/>
      <c r="Q518" s="187"/>
      <c r="R518" s="187"/>
      <c r="S518" s="187"/>
      <c r="T518" s="85"/>
      <c r="U518" s="189"/>
      <c r="V518" s="189"/>
      <c r="W518" s="189"/>
      <c r="X518" s="189"/>
      <c r="Y518" s="100"/>
      <c r="AA518" s="96"/>
      <c r="AB518" s="96"/>
      <c r="AC518" s="96"/>
      <c r="AD518" s="97"/>
      <c r="AE518" s="96"/>
      <c r="AF518" s="98"/>
      <c r="AG518" s="96"/>
      <c r="AH518" s="96"/>
      <c r="AI518" s="96"/>
      <c r="AJ518" s="96"/>
      <c r="AK518" s="96"/>
      <c r="AL518" s="96"/>
      <c r="AM518" s="96"/>
      <c r="AN518" s="96"/>
      <c r="AO518" s="96"/>
      <c r="AP518" s="96"/>
    </row>
    <row r="519" spans="2:42" ht="12.75">
      <c r="B519" s="186"/>
      <c r="C519" s="85"/>
      <c r="D519" s="85"/>
      <c r="E519" s="187"/>
      <c r="F519" s="187"/>
      <c r="G519" s="187"/>
      <c r="H519" s="187"/>
      <c r="I519" s="92"/>
      <c r="J519" s="92"/>
      <c r="K519" s="187"/>
      <c r="L519" s="187"/>
      <c r="M519" s="187"/>
      <c r="N519" s="187"/>
      <c r="O519" s="92"/>
      <c r="P519" s="187"/>
      <c r="Q519" s="187"/>
      <c r="R519" s="187"/>
      <c r="S519" s="187"/>
      <c r="T519" s="85"/>
      <c r="U519" s="189"/>
      <c r="V519" s="189"/>
      <c r="W519" s="189"/>
      <c r="X519" s="189"/>
      <c r="Y519" s="100"/>
      <c r="AA519" s="96"/>
      <c r="AB519" s="96"/>
      <c r="AC519" s="96"/>
      <c r="AD519" s="97"/>
      <c r="AE519" s="96"/>
      <c r="AF519" s="98"/>
      <c r="AG519" s="96"/>
      <c r="AH519" s="96"/>
      <c r="AI519" s="96"/>
      <c r="AJ519" s="96"/>
      <c r="AK519" s="96"/>
      <c r="AL519" s="96"/>
      <c r="AM519" s="96"/>
      <c r="AN519" s="96"/>
      <c r="AO519" s="96"/>
      <c r="AP519" s="96"/>
    </row>
    <row r="520" spans="2:42" ht="12.75">
      <c r="B520" s="186"/>
      <c r="C520" s="85"/>
      <c r="D520" s="85"/>
      <c r="E520" s="187"/>
      <c r="F520" s="187"/>
      <c r="G520" s="187"/>
      <c r="H520" s="187"/>
      <c r="I520" s="92"/>
      <c r="J520" s="92"/>
      <c r="K520" s="187"/>
      <c r="L520" s="187"/>
      <c r="M520" s="187"/>
      <c r="N520" s="187"/>
      <c r="O520" s="92"/>
      <c r="P520" s="187"/>
      <c r="Q520" s="187"/>
      <c r="R520" s="187"/>
      <c r="S520" s="187"/>
      <c r="T520" s="85"/>
      <c r="U520" s="189"/>
      <c r="V520" s="189"/>
      <c r="W520" s="189"/>
      <c r="X520" s="189"/>
      <c r="Y520" s="100"/>
      <c r="AA520" s="96"/>
      <c r="AB520" s="96"/>
      <c r="AC520" s="96"/>
      <c r="AD520" s="97"/>
      <c r="AE520" s="96"/>
      <c r="AF520" s="98"/>
      <c r="AG520" s="96"/>
      <c r="AH520" s="96"/>
      <c r="AI520" s="96"/>
      <c r="AJ520" s="96"/>
      <c r="AK520" s="96"/>
      <c r="AL520" s="96"/>
      <c r="AM520" s="96"/>
      <c r="AN520" s="96"/>
      <c r="AO520" s="96"/>
      <c r="AP520" s="96"/>
    </row>
    <row r="521" spans="2:42" ht="12.75">
      <c r="B521" s="186"/>
      <c r="C521" s="85"/>
      <c r="D521" s="85"/>
      <c r="E521" s="187"/>
      <c r="F521" s="187"/>
      <c r="G521" s="187"/>
      <c r="H521" s="187"/>
      <c r="I521" s="92"/>
      <c r="J521" s="92"/>
      <c r="K521" s="187"/>
      <c r="L521" s="187"/>
      <c r="M521" s="187"/>
      <c r="N521" s="187"/>
      <c r="O521" s="92"/>
      <c r="P521" s="187"/>
      <c r="Q521" s="187"/>
      <c r="R521" s="187"/>
      <c r="S521" s="187"/>
      <c r="T521" s="85"/>
      <c r="U521" s="189"/>
      <c r="V521" s="189"/>
      <c r="W521" s="189"/>
      <c r="X521" s="189"/>
      <c r="Y521" s="100"/>
      <c r="AA521" s="96"/>
      <c r="AB521" s="96"/>
      <c r="AC521" s="96"/>
      <c r="AD521" s="97"/>
      <c r="AE521" s="96"/>
      <c r="AF521" s="98"/>
      <c r="AG521" s="96"/>
      <c r="AH521" s="96"/>
      <c r="AI521" s="96"/>
      <c r="AJ521" s="96"/>
      <c r="AK521" s="96"/>
      <c r="AL521" s="96"/>
      <c r="AM521" s="96"/>
      <c r="AN521" s="96"/>
      <c r="AO521" s="96"/>
      <c r="AP521" s="96"/>
    </row>
    <row r="522" spans="2:42" ht="12.75">
      <c r="B522" s="186"/>
      <c r="C522" s="85"/>
      <c r="D522" s="85"/>
      <c r="E522" s="187"/>
      <c r="F522" s="187"/>
      <c r="G522" s="187"/>
      <c r="H522" s="187"/>
      <c r="I522" s="92"/>
      <c r="J522" s="92"/>
      <c r="K522" s="187"/>
      <c r="L522" s="187"/>
      <c r="M522" s="187"/>
      <c r="N522" s="187"/>
      <c r="O522" s="92"/>
      <c r="P522" s="187"/>
      <c r="Q522" s="187"/>
      <c r="R522" s="187"/>
      <c r="S522" s="187"/>
      <c r="T522" s="85"/>
      <c r="U522" s="189"/>
      <c r="V522" s="189"/>
      <c r="W522" s="189"/>
      <c r="X522" s="189"/>
      <c r="Y522" s="100"/>
      <c r="AA522" s="96"/>
      <c r="AB522" s="96"/>
      <c r="AC522" s="96"/>
      <c r="AD522" s="97"/>
      <c r="AE522" s="96"/>
      <c r="AF522" s="98"/>
      <c r="AG522" s="96"/>
      <c r="AH522" s="96"/>
      <c r="AI522" s="96"/>
      <c r="AJ522" s="96"/>
      <c r="AK522" s="96"/>
      <c r="AL522" s="96"/>
      <c r="AM522" s="96"/>
      <c r="AN522" s="96"/>
      <c r="AO522" s="96"/>
      <c r="AP522" s="96"/>
    </row>
    <row r="523" spans="2:42" ht="12.75">
      <c r="B523" s="186"/>
      <c r="C523" s="85"/>
      <c r="D523" s="85"/>
      <c r="E523" s="187"/>
      <c r="F523" s="187"/>
      <c r="G523" s="187"/>
      <c r="H523" s="187"/>
      <c r="I523" s="92"/>
      <c r="J523" s="92"/>
      <c r="K523" s="187"/>
      <c r="L523" s="187"/>
      <c r="M523" s="187"/>
      <c r="N523" s="187"/>
      <c r="O523" s="92"/>
      <c r="P523" s="187"/>
      <c r="Q523" s="187"/>
      <c r="R523" s="187"/>
      <c r="S523" s="187"/>
      <c r="T523" s="85"/>
      <c r="U523" s="189"/>
      <c r="V523" s="189"/>
      <c r="W523" s="189"/>
      <c r="X523" s="189"/>
      <c r="Y523" s="100"/>
      <c r="AA523" s="96"/>
      <c r="AB523" s="96"/>
      <c r="AC523" s="96"/>
      <c r="AD523" s="97"/>
      <c r="AE523" s="96"/>
      <c r="AF523" s="98"/>
      <c r="AG523" s="96"/>
      <c r="AH523" s="96"/>
      <c r="AI523" s="96"/>
      <c r="AJ523" s="96"/>
      <c r="AK523" s="96"/>
      <c r="AL523" s="96"/>
      <c r="AM523" s="96"/>
      <c r="AN523" s="96"/>
      <c r="AO523" s="96"/>
      <c r="AP523" s="96"/>
    </row>
    <row r="524" spans="2:42" ht="12.75">
      <c r="B524" s="186"/>
      <c r="C524" s="85"/>
      <c r="D524" s="85"/>
      <c r="E524" s="187"/>
      <c r="F524" s="187"/>
      <c r="G524" s="187"/>
      <c r="H524" s="187"/>
      <c r="I524" s="92"/>
      <c r="J524" s="92"/>
      <c r="K524" s="187"/>
      <c r="L524" s="187"/>
      <c r="M524" s="187"/>
      <c r="N524" s="187"/>
      <c r="O524" s="92"/>
      <c r="P524" s="187"/>
      <c r="Q524" s="187"/>
      <c r="R524" s="187"/>
      <c r="S524" s="187"/>
      <c r="T524" s="85"/>
      <c r="U524" s="189"/>
      <c r="V524" s="189"/>
      <c r="W524" s="189"/>
      <c r="X524" s="189"/>
      <c r="Y524" s="100"/>
      <c r="AA524" s="96"/>
      <c r="AB524" s="96"/>
      <c r="AC524" s="96"/>
      <c r="AD524" s="97"/>
      <c r="AE524" s="96"/>
      <c r="AF524" s="98"/>
      <c r="AG524" s="96"/>
      <c r="AH524" s="96"/>
      <c r="AI524" s="96"/>
      <c r="AJ524" s="96"/>
      <c r="AK524" s="96"/>
      <c r="AL524" s="96"/>
      <c r="AM524" s="96"/>
      <c r="AN524" s="96"/>
      <c r="AO524" s="96"/>
      <c r="AP524" s="96"/>
    </row>
    <row r="525" spans="2:42" ht="12.75">
      <c r="B525" s="186"/>
      <c r="C525" s="85"/>
      <c r="D525" s="85"/>
      <c r="E525" s="187"/>
      <c r="F525" s="187"/>
      <c r="G525" s="187"/>
      <c r="H525" s="187"/>
      <c r="I525" s="92"/>
      <c r="J525" s="92"/>
      <c r="K525" s="187"/>
      <c r="L525" s="187"/>
      <c r="M525" s="187"/>
      <c r="N525" s="187"/>
      <c r="O525" s="92"/>
      <c r="P525" s="187"/>
      <c r="Q525" s="187"/>
      <c r="R525" s="187"/>
      <c r="S525" s="187"/>
      <c r="T525" s="85"/>
      <c r="U525" s="189"/>
      <c r="V525" s="189"/>
      <c r="W525" s="189"/>
      <c r="X525" s="189"/>
      <c r="Y525" s="100"/>
      <c r="AA525" s="96"/>
      <c r="AB525" s="96"/>
      <c r="AC525" s="96"/>
      <c r="AD525" s="97"/>
      <c r="AE525" s="96"/>
      <c r="AF525" s="98"/>
      <c r="AG525" s="96"/>
      <c r="AH525" s="96"/>
      <c r="AI525" s="96"/>
      <c r="AJ525" s="96"/>
      <c r="AK525" s="96"/>
      <c r="AL525" s="96"/>
      <c r="AM525" s="96"/>
      <c r="AN525" s="96"/>
      <c r="AO525" s="96"/>
      <c r="AP525" s="96"/>
    </row>
    <row r="526" spans="2:42" ht="12.75">
      <c r="B526" s="186"/>
      <c r="C526" s="85"/>
      <c r="D526" s="85"/>
      <c r="E526" s="187"/>
      <c r="F526" s="187"/>
      <c r="G526" s="187"/>
      <c r="H526" s="187"/>
      <c r="I526" s="92"/>
      <c r="J526" s="92"/>
      <c r="K526" s="187"/>
      <c r="L526" s="187"/>
      <c r="M526" s="187"/>
      <c r="N526" s="187"/>
      <c r="O526" s="92"/>
      <c r="P526" s="187"/>
      <c r="Q526" s="187"/>
      <c r="R526" s="187"/>
      <c r="S526" s="187"/>
      <c r="T526" s="85"/>
      <c r="U526" s="189"/>
      <c r="V526" s="189"/>
      <c r="W526" s="189"/>
      <c r="X526" s="189"/>
      <c r="Y526" s="100"/>
      <c r="AA526" s="96"/>
      <c r="AB526" s="96"/>
      <c r="AC526" s="96"/>
      <c r="AD526" s="97"/>
      <c r="AE526" s="96"/>
      <c r="AF526" s="98"/>
      <c r="AG526" s="96"/>
      <c r="AH526" s="96"/>
      <c r="AI526" s="96"/>
      <c r="AJ526" s="96"/>
      <c r="AK526" s="96"/>
      <c r="AL526" s="96"/>
      <c r="AM526" s="96"/>
      <c r="AN526" s="96"/>
      <c r="AO526" s="96"/>
      <c r="AP526" s="96"/>
    </row>
    <row r="527" spans="2:42" ht="12.75">
      <c r="B527" s="186"/>
      <c r="C527" s="85"/>
      <c r="D527" s="85"/>
      <c r="E527" s="187"/>
      <c r="F527" s="187"/>
      <c r="G527" s="187"/>
      <c r="H527" s="187"/>
      <c r="I527" s="92"/>
      <c r="J527" s="92"/>
      <c r="K527" s="187"/>
      <c r="L527" s="187"/>
      <c r="M527" s="187"/>
      <c r="N527" s="187"/>
      <c r="O527" s="92"/>
      <c r="P527" s="187"/>
      <c r="Q527" s="187"/>
      <c r="R527" s="187"/>
      <c r="S527" s="187"/>
      <c r="T527" s="85"/>
      <c r="U527" s="189"/>
      <c r="V527" s="189"/>
      <c r="W527" s="189"/>
      <c r="X527" s="189"/>
      <c r="Y527" s="100"/>
      <c r="AA527" s="96"/>
      <c r="AB527" s="96"/>
      <c r="AC527" s="96"/>
      <c r="AD527" s="97"/>
      <c r="AE527" s="96"/>
      <c r="AF527" s="98"/>
      <c r="AG527" s="96"/>
      <c r="AH527" s="96"/>
      <c r="AI527" s="96"/>
      <c r="AJ527" s="96"/>
      <c r="AK527" s="96"/>
      <c r="AL527" s="96"/>
      <c r="AM527" s="96"/>
      <c r="AN527" s="96"/>
      <c r="AO527" s="96"/>
      <c r="AP527" s="96"/>
    </row>
    <row r="528" spans="2:42" ht="12.75">
      <c r="B528" s="186"/>
      <c r="C528" s="85"/>
      <c r="D528" s="85"/>
      <c r="E528" s="187"/>
      <c r="F528" s="187"/>
      <c r="G528" s="187"/>
      <c r="H528" s="187"/>
      <c r="I528" s="92"/>
      <c r="J528" s="92"/>
      <c r="K528" s="187"/>
      <c r="L528" s="187"/>
      <c r="M528" s="187"/>
      <c r="N528" s="187"/>
      <c r="O528" s="92"/>
      <c r="P528" s="187"/>
      <c r="Q528" s="187"/>
      <c r="R528" s="187"/>
      <c r="S528" s="187"/>
      <c r="T528" s="85"/>
      <c r="U528" s="189"/>
      <c r="V528" s="189"/>
      <c r="W528" s="189"/>
      <c r="X528" s="189"/>
      <c r="Y528" s="100"/>
      <c r="AA528" s="96"/>
      <c r="AB528" s="96"/>
      <c r="AC528" s="96"/>
      <c r="AD528" s="97"/>
      <c r="AE528" s="96"/>
      <c r="AF528" s="98"/>
      <c r="AG528" s="96"/>
      <c r="AH528" s="96"/>
      <c r="AI528" s="96"/>
      <c r="AJ528" s="96"/>
      <c r="AK528" s="96"/>
      <c r="AL528" s="96"/>
      <c r="AM528" s="96"/>
      <c r="AN528" s="96"/>
      <c r="AO528" s="96"/>
      <c r="AP528" s="96"/>
    </row>
    <row r="529" spans="2:42" ht="12.75">
      <c r="B529" s="186"/>
      <c r="C529" s="85"/>
      <c r="D529" s="85"/>
      <c r="E529" s="187"/>
      <c r="F529" s="187"/>
      <c r="G529" s="187"/>
      <c r="H529" s="187"/>
      <c r="I529" s="92"/>
      <c r="J529" s="92"/>
      <c r="K529" s="187"/>
      <c r="L529" s="187"/>
      <c r="M529" s="187"/>
      <c r="N529" s="187"/>
      <c r="O529" s="92"/>
      <c r="P529" s="187"/>
      <c r="Q529" s="187"/>
      <c r="R529" s="187"/>
      <c r="S529" s="187"/>
      <c r="T529" s="85"/>
      <c r="U529" s="189"/>
      <c r="V529" s="189"/>
      <c r="W529" s="189"/>
      <c r="X529" s="189"/>
      <c r="Y529" s="100"/>
      <c r="AA529" s="96"/>
      <c r="AB529" s="96"/>
      <c r="AC529" s="96"/>
      <c r="AD529" s="97"/>
      <c r="AE529" s="96"/>
      <c r="AF529" s="98"/>
      <c r="AG529" s="96"/>
      <c r="AH529" s="96"/>
      <c r="AI529" s="96"/>
      <c r="AJ529" s="96"/>
      <c r="AK529" s="96"/>
      <c r="AL529" s="96"/>
      <c r="AM529" s="96"/>
      <c r="AN529" s="96"/>
      <c r="AO529" s="96"/>
      <c r="AP529" s="96"/>
    </row>
    <row r="530" spans="2:42" ht="12.75">
      <c r="B530" s="186"/>
      <c r="C530" s="85"/>
      <c r="D530" s="85"/>
      <c r="E530" s="187"/>
      <c r="F530" s="187"/>
      <c r="G530" s="187"/>
      <c r="H530" s="187"/>
      <c r="I530" s="92"/>
      <c r="J530" s="92"/>
      <c r="K530" s="187"/>
      <c r="L530" s="187"/>
      <c r="M530" s="187"/>
      <c r="N530" s="187"/>
      <c r="O530" s="92"/>
      <c r="P530" s="187"/>
      <c r="Q530" s="187"/>
      <c r="R530" s="187"/>
      <c r="S530" s="187"/>
      <c r="T530" s="85"/>
      <c r="U530" s="189"/>
      <c r="V530" s="189"/>
      <c r="W530" s="189"/>
      <c r="X530" s="189"/>
      <c r="Y530" s="100"/>
      <c r="AA530" s="96"/>
      <c r="AB530" s="96"/>
      <c r="AC530" s="96"/>
      <c r="AD530" s="97"/>
      <c r="AE530" s="96"/>
      <c r="AF530" s="98"/>
      <c r="AG530" s="96"/>
      <c r="AH530" s="96"/>
      <c r="AI530" s="96"/>
      <c r="AJ530" s="96"/>
      <c r="AK530" s="96"/>
      <c r="AL530" s="96"/>
      <c r="AM530" s="96"/>
      <c r="AN530" s="96"/>
      <c r="AO530" s="96"/>
      <c r="AP530" s="96"/>
    </row>
    <row r="531" spans="2:42" ht="12.75">
      <c r="B531" s="186"/>
      <c r="C531" s="85"/>
      <c r="D531" s="85"/>
      <c r="E531" s="187"/>
      <c r="F531" s="187"/>
      <c r="G531" s="187"/>
      <c r="H531" s="187"/>
      <c r="I531" s="92"/>
      <c r="J531" s="92"/>
      <c r="K531" s="187"/>
      <c r="L531" s="187"/>
      <c r="M531" s="187"/>
      <c r="N531" s="187"/>
      <c r="O531" s="92"/>
      <c r="P531" s="187"/>
      <c r="Q531" s="187"/>
      <c r="R531" s="187"/>
      <c r="S531" s="187"/>
      <c r="T531" s="85"/>
      <c r="U531" s="189"/>
      <c r="V531" s="189"/>
      <c r="W531" s="189"/>
      <c r="X531" s="189"/>
      <c r="Y531" s="100"/>
      <c r="AA531" s="96"/>
      <c r="AB531" s="96"/>
      <c r="AC531" s="96"/>
      <c r="AD531" s="97"/>
      <c r="AE531" s="96"/>
      <c r="AF531" s="98"/>
      <c r="AG531" s="96"/>
      <c r="AH531" s="96"/>
      <c r="AI531" s="96"/>
      <c r="AJ531" s="96"/>
      <c r="AK531" s="96"/>
      <c r="AL531" s="96"/>
      <c r="AM531" s="96"/>
      <c r="AN531" s="96"/>
      <c r="AO531" s="96"/>
      <c r="AP531" s="96"/>
    </row>
    <row r="532" spans="2:42" ht="12.75">
      <c r="B532" s="186"/>
      <c r="C532" s="85"/>
      <c r="D532" s="85"/>
      <c r="E532" s="187"/>
      <c r="F532" s="187"/>
      <c r="G532" s="187"/>
      <c r="H532" s="187"/>
      <c r="I532" s="92"/>
      <c r="J532" s="92"/>
      <c r="K532" s="187"/>
      <c r="L532" s="187"/>
      <c r="M532" s="187"/>
      <c r="N532" s="187"/>
      <c r="O532" s="92"/>
      <c r="P532" s="187"/>
      <c r="Q532" s="187"/>
      <c r="R532" s="187"/>
      <c r="S532" s="187"/>
      <c r="T532" s="85"/>
      <c r="U532" s="189"/>
      <c r="V532" s="189"/>
      <c r="W532" s="189"/>
      <c r="X532" s="189"/>
      <c r="Y532" s="100"/>
      <c r="AA532" s="96"/>
      <c r="AB532" s="96"/>
      <c r="AC532" s="96"/>
      <c r="AD532" s="97"/>
      <c r="AE532" s="96"/>
      <c r="AF532" s="98"/>
      <c r="AG532" s="96"/>
      <c r="AH532" s="96"/>
      <c r="AI532" s="96"/>
      <c r="AJ532" s="96"/>
      <c r="AK532" s="96"/>
      <c r="AL532" s="96"/>
      <c r="AM532" s="96"/>
      <c r="AN532" s="96"/>
      <c r="AO532" s="96"/>
      <c r="AP532" s="96"/>
    </row>
    <row r="533" spans="2:42" ht="12.75">
      <c r="B533" s="186"/>
      <c r="C533" s="85"/>
      <c r="D533" s="85"/>
      <c r="E533" s="187"/>
      <c r="F533" s="187"/>
      <c r="G533" s="187"/>
      <c r="H533" s="187"/>
      <c r="I533" s="92"/>
      <c r="J533" s="92"/>
      <c r="K533" s="187"/>
      <c r="L533" s="187"/>
      <c r="M533" s="187"/>
      <c r="N533" s="187"/>
      <c r="O533" s="92"/>
      <c r="P533" s="187"/>
      <c r="Q533" s="187"/>
      <c r="R533" s="187"/>
      <c r="S533" s="187"/>
      <c r="T533" s="85"/>
      <c r="U533" s="189"/>
      <c r="V533" s="189"/>
      <c r="W533" s="189"/>
      <c r="X533" s="189"/>
      <c r="Y533" s="100"/>
      <c r="AA533" s="96"/>
      <c r="AB533" s="96"/>
      <c r="AC533" s="96"/>
      <c r="AD533" s="97"/>
      <c r="AE533" s="96"/>
      <c r="AF533" s="98"/>
      <c r="AG533" s="96"/>
      <c r="AH533" s="96"/>
      <c r="AI533" s="96"/>
      <c r="AJ533" s="96"/>
      <c r="AK533" s="96"/>
      <c r="AL533" s="96"/>
      <c r="AM533" s="96"/>
      <c r="AN533" s="96"/>
      <c r="AO533" s="96"/>
      <c r="AP533" s="96"/>
    </row>
    <row r="534" spans="2:42" ht="12.75">
      <c r="B534" s="186"/>
      <c r="C534" s="85"/>
      <c r="D534" s="85"/>
      <c r="E534" s="187"/>
      <c r="F534" s="187"/>
      <c r="G534" s="187"/>
      <c r="H534" s="187"/>
      <c r="I534" s="92"/>
      <c r="J534" s="92"/>
      <c r="K534" s="187"/>
      <c r="L534" s="187"/>
      <c r="M534" s="187"/>
      <c r="N534" s="187"/>
      <c r="O534" s="92"/>
      <c r="P534" s="187"/>
      <c r="Q534" s="187"/>
      <c r="R534" s="187"/>
      <c r="S534" s="187"/>
      <c r="T534" s="85"/>
      <c r="U534" s="189"/>
      <c r="V534" s="189"/>
      <c r="W534" s="189"/>
      <c r="X534" s="189"/>
      <c r="Y534" s="100"/>
      <c r="AA534" s="96"/>
      <c r="AB534" s="96"/>
      <c r="AC534" s="96"/>
      <c r="AD534" s="97"/>
      <c r="AE534" s="96"/>
      <c r="AF534" s="98"/>
      <c r="AG534" s="96"/>
      <c r="AH534" s="96"/>
      <c r="AI534" s="96"/>
      <c r="AJ534" s="96"/>
      <c r="AK534" s="96"/>
      <c r="AL534" s="96"/>
      <c r="AM534" s="96"/>
      <c r="AN534" s="96"/>
      <c r="AO534" s="96"/>
      <c r="AP534" s="96"/>
    </row>
    <row r="535" spans="2:42" ht="12.75">
      <c r="B535" s="186"/>
      <c r="C535" s="85"/>
      <c r="D535" s="85"/>
      <c r="E535" s="187"/>
      <c r="F535" s="187"/>
      <c r="G535" s="187"/>
      <c r="H535" s="187"/>
      <c r="I535" s="92"/>
      <c r="J535" s="92"/>
      <c r="K535" s="187"/>
      <c r="L535" s="187"/>
      <c r="M535" s="187"/>
      <c r="N535" s="187"/>
      <c r="O535" s="92"/>
      <c r="P535" s="187"/>
      <c r="Q535" s="187"/>
      <c r="R535" s="187"/>
      <c r="S535" s="187"/>
      <c r="T535" s="85"/>
      <c r="U535" s="189"/>
      <c r="V535" s="189"/>
      <c r="W535" s="189"/>
      <c r="X535" s="189"/>
      <c r="Y535" s="100"/>
      <c r="AA535" s="96"/>
      <c r="AB535" s="96"/>
      <c r="AC535" s="96"/>
      <c r="AD535" s="97"/>
      <c r="AE535" s="96"/>
      <c r="AF535" s="98"/>
      <c r="AG535" s="96"/>
      <c r="AH535" s="96"/>
      <c r="AI535" s="96"/>
      <c r="AJ535" s="96"/>
      <c r="AK535" s="96"/>
      <c r="AL535" s="96"/>
      <c r="AM535" s="96"/>
      <c r="AN535" s="96"/>
      <c r="AO535" s="96"/>
      <c r="AP535" s="96"/>
    </row>
    <row r="536" spans="2:42" ht="12.75">
      <c r="B536" s="186"/>
      <c r="C536" s="85"/>
      <c r="D536" s="85"/>
      <c r="E536" s="187"/>
      <c r="F536" s="187"/>
      <c r="G536" s="187"/>
      <c r="H536" s="187"/>
      <c r="I536" s="92"/>
      <c r="J536" s="92"/>
      <c r="K536" s="187"/>
      <c r="L536" s="187"/>
      <c r="M536" s="187"/>
      <c r="N536" s="187"/>
      <c r="O536" s="92"/>
      <c r="P536" s="187"/>
      <c r="Q536" s="187"/>
      <c r="R536" s="187"/>
      <c r="S536" s="187"/>
      <c r="T536" s="85"/>
      <c r="U536" s="189"/>
      <c r="V536" s="189"/>
      <c r="W536" s="189"/>
      <c r="X536" s="189"/>
      <c r="Y536" s="100"/>
      <c r="AA536" s="96"/>
      <c r="AB536" s="96"/>
      <c r="AC536" s="96"/>
      <c r="AD536" s="97"/>
      <c r="AE536" s="96"/>
      <c r="AF536" s="98"/>
      <c r="AG536" s="96"/>
      <c r="AH536" s="96"/>
      <c r="AI536" s="96"/>
      <c r="AJ536" s="96"/>
      <c r="AK536" s="96"/>
      <c r="AL536" s="96"/>
      <c r="AM536" s="96"/>
      <c r="AN536" s="96"/>
      <c r="AO536" s="96"/>
      <c r="AP536" s="96"/>
    </row>
    <row r="537" spans="2:42" ht="12.75">
      <c r="B537" s="186"/>
      <c r="C537" s="85"/>
      <c r="D537" s="85"/>
      <c r="E537" s="187"/>
      <c r="F537" s="187"/>
      <c r="G537" s="187"/>
      <c r="H537" s="187"/>
      <c r="I537" s="92"/>
      <c r="J537" s="92"/>
      <c r="K537" s="187"/>
      <c r="L537" s="187"/>
      <c r="M537" s="187"/>
      <c r="N537" s="187"/>
      <c r="O537" s="92"/>
      <c r="P537" s="187"/>
      <c r="Q537" s="187"/>
      <c r="R537" s="187"/>
      <c r="S537" s="187"/>
      <c r="T537" s="85"/>
      <c r="U537" s="189"/>
      <c r="V537" s="189"/>
      <c r="W537" s="189"/>
      <c r="X537" s="189"/>
      <c r="Y537" s="100"/>
      <c r="AA537" s="96"/>
      <c r="AB537" s="96"/>
      <c r="AC537" s="96"/>
      <c r="AD537" s="97"/>
      <c r="AE537" s="96"/>
      <c r="AF537" s="98"/>
      <c r="AG537" s="96"/>
      <c r="AH537" s="96"/>
      <c r="AI537" s="96"/>
      <c r="AJ537" s="96"/>
      <c r="AK537" s="96"/>
      <c r="AL537" s="96"/>
      <c r="AM537" s="96"/>
      <c r="AN537" s="96"/>
      <c r="AO537" s="96"/>
      <c r="AP537" s="96"/>
    </row>
    <row r="538" spans="2:42" ht="12.75">
      <c r="B538" s="186"/>
      <c r="C538" s="85"/>
      <c r="D538" s="85"/>
      <c r="E538" s="187"/>
      <c r="F538" s="187"/>
      <c r="G538" s="187"/>
      <c r="H538" s="187"/>
      <c r="I538" s="92"/>
      <c r="J538" s="92"/>
      <c r="K538" s="187"/>
      <c r="L538" s="187"/>
      <c r="M538" s="187"/>
      <c r="N538" s="187"/>
      <c r="O538" s="92"/>
      <c r="P538" s="187"/>
      <c r="Q538" s="187"/>
      <c r="R538" s="187"/>
      <c r="S538" s="187"/>
      <c r="T538" s="85"/>
      <c r="U538" s="189"/>
      <c r="V538" s="189"/>
      <c r="W538" s="189"/>
      <c r="X538" s="189"/>
      <c r="Y538" s="100"/>
      <c r="AA538" s="96"/>
      <c r="AB538" s="96"/>
      <c r="AC538" s="96"/>
      <c r="AD538" s="97"/>
      <c r="AE538" s="96"/>
      <c r="AF538" s="98"/>
      <c r="AG538" s="96"/>
      <c r="AH538" s="96"/>
      <c r="AI538" s="96"/>
      <c r="AJ538" s="96"/>
      <c r="AK538" s="96"/>
      <c r="AL538" s="96"/>
      <c r="AM538" s="96"/>
      <c r="AN538" s="96"/>
      <c r="AO538" s="96"/>
      <c r="AP538" s="96"/>
    </row>
    <row r="539" spans="2:42" ht="12.75">
      <c r="B539" s="186"/>
      <c r="C539" s="85"/>
      <c r="D539" s="85"/>
      <c r="E539" s="187"/>
      <c r="F539" s="187"/>
      <c r="G539" s="187"/>
      <c r="H539" s="187"/>
      <c r="I539" s="92"/>
      <c r="J539" s="92"/>
      <c r="K539" s="187"/>
      <c r="L539" s="187"/>
      <c r="M539" s="187"/>
      <c r="N539" s="187"/>
      <c r="O539" s="92"/>
      <c r="P539" s="187"/>
      <c r="Q539" s="187"/>
      <c r="R539" s="187"/>
      <c r="S539" s="187"/>
      <c r="T539" s="85"/>
      <c r="U539" s="189"/>
      <c r="V539" s="189"/>
      <c r="W539" s="189"/>
      <c r="X539" s="189"/>
      <c r="Y539" s="100"/>
      <c r="AA539" s="96"/>
      <c r="AB539" s="96"/>
      <c r="AC539" s="96"/>
      <c r="AD539" s="97"/>
      <c r="AE539" s="96"/>
      <c r="AF539" s="98"/>
      <c r="AG539" s="96"/>
      <c r="AH539" s="96"/>
      <c r="AI539" s="96"/>
      <c r="AJ539" s="96"/>
      <c r="AK539" s="96"/>
      <c r="AL539" s="96"/>
      <c r="AM539" s="96"/>
      <c r="AN539" s="96"/>
      <c r="AO539" s="96"/>
      <c r="AP539" s="96"/>
    </row>
    <row r="540" spans="2:42" ht="12.75">
      <c r="B540" s="186"/>
      <c r="C540" s="85"/>
      <c r="D540" s="85"/>
      <c r="E540" s="187"/>
      <c r="F540" s="187"/>
      <c r="G540" s="187"/>
      <c r="H540" s="187"/>
      <c r="I540" s="92"/>
      <c r="J540" s="92"/>
      <c r="K540" s="187"/>
      <c r="L540" s="187"/>
      <c r="M540" s="187"/>
      <c r="N540" s="187"/>
      <c r="O540" s="92"/>
      <c r="P540" s="187"/>
      <c r="Q540" s="187"/>
      <c r="R540" s="187"/>
      <c r="S540" s="187"/>
      <c r="T540" s="85"/>
      <c r="U540" s="189"/>
      <c r="V540" s="189"/>
      <c r="W540" s="189"/>
      <c r="X540" s="189"/>
      <c r="Y540" s="100"/>
      <c r="AA540" s="96"/>
      <c r="AB540" s="96"/>
      <c r="AC540" s="96"/>
      <c r="AD540" s="97"/>
      <c r="AE540" s="96"/>
      <c r="AF540" s="98"/>
      <c r="AG540" s="96"/>
      <c r="AH540" s="96"/>
      <c r="AI540" s="96"/>
      <c r="AJ540" s="96"/>
      <c r="AK540" s="96"/>
      <c r="AL540" s="96"/>
      <c r="AM540" s="96"/>
      <c r="AN540" s="96"/>
      <c r="AO540" s="96"/>
      <c r="AP540" s="96"/>
    </row>
    <row r="541" spans="2:42" ht="12.75">
      <c r="B541" s="186"/>
      <c r="C541" s="85"/>
      <c r="D541" s="85"/>
      <c r="E541" s="187"/>
      <c r="F541" s="187"/>
      <c r="G541" s="187"/>
      <c r="H541" s="187"/>
      <c r="I541" s="92"/>
      <c r="J541" s="92"/>
      <c r="K541" s="187"/>
      <c r="L541" s="187"/>
      <c r="M541" s="187"/>
      <c r="N541" s="187"/>
      <c r="O541" s="92"/>
      <c r="P541" s="187"/>
      <c r="Q541" s="187"/>
      <c r="R541" s="187"/>
      <c r="S541" s="187"/>
      <c r="T541" s="85"/>
      <c r="U541" s="189"/>
      <c r="V541" s="189"/>
      <c r="W541" s="189"/>
      <c r="X541" s="189"/>
      <c r="Y541" s="100"/>
      <c r="AA541" s="96"/>
      <c r="AB541" s="96"/>
      <c r="AC541" s="96"/>
      <c r="AD541" s="97"/>
      <c r="AE541" s="96"/>
      <c r="AF541" s="98"/>
      <c r="AG541" s="96"/>
      <c r="AH541" s="96"/>
      <c r="AI541" s="96"/>
      <c r="AJ541" s="96"/>
      <c r="AK541" s="96"/>
      <c r="AL541" s="96"/>
      <c r="AM541" s="96"/>
      <c r="AN541" s="96"/>
      <c r="AO541" s="96"/>
      <c r="AP541" s="96"/>
    </row>
    <row r="542" spans="2:42" ht="12.75">
      <c r="B542" s="186"/>
      <c r="C542" s="85"/>
      <c r="D542" s="85"/>
      <c r="E542" s="187"/>
      <c r="F542" s="187"/>
      <c r="G542" s="187"/>
      <c r="H542" s="187"/>
      <c r="I542" s="92"/>
      <c r="J542" s="92"/>
      <c r="K542" s="187"/>
      <c r="L542" s="187"/>
      <c r="M542" s="187"/>
      <c r="N542" s="187"/>
      <c r="O542" s="92"/>
      <c r="P542" s="187"/>
      <c r="Q542" s="187"/>
      <c r="R542" s="187"/>
      <c r="S542" s="187"/>
      <c r="T542" s="85"/>
      <c r="U542" s="189"/>
      <c r="V542" s="189"/>
      <c r="W542" s="189"/>
      <c r="X542" s="189"/>
      <c r="Y542" s="100"/>
      <c r="AA542" s="96"/>
      <c r="AB542" s="96"/>
      <c r="AC542" s="96"/>
      <c r="AD542" s="97"/>
      <c r="AE542" s="96"/>
      <c r="AF542" s="98"/>
      <c r="AG542" s="96"/>
      <c r="AH542" s="96"/>
      <c r="AI542" s="96"/>
      <c r="AJ542" s="96"/>
      <c r="AK542" s="96"/>
      <c r="AL542" s="96"/>
      <c r="AM542" s="96"/>
      <c r="AN542" s="96"/>
      <c r="AO542" s="96"/>
      <c r="AP542" s="96"/>
    </row>
    <row r="543" spans="2:42" ht="12.75">
      <c r="B543" s="186"/>
      <c r="C543" s="85"/>
      <c r="D543" s="85"/>
      <c r="E543" s="187"/>
      <c r="F543" s="187"/>
      <c r="G543" s="187"/>
      <c r="H543" s="187"/>
      <c r="I543" s="92"/>
      <c r="J543" s="92"/>
      <c r="K543" s="187"/>
      <c r="L543" s="187"/>
      <c r="M543" s="187"/>
      <c r="N543" s="187"/>
      <c r="O543" s="92"/>
      <c r="P543" s="187"/>
      <c r="Q543" s="187"/>
      <c r="R543" s="187"/>
      <c r="S543" s="187"/>
      <c r="T543" s="85"/>
      <c r="U543" s="189"/>
      <c r="V543" s="189"/>
      <c r="W543" s="189"/>
      <c r="X543" s="189"/>
      <c r="Y543" s="100"/>
      <c r="AA543" s="96"/>
      <c r="AB543" s="96"/>
      <c r="AC543" s="96"/>
      <c r="AD543" s="97"/>
      <c r="AE543" s="96"/>
      <c r="AF543" s="98"/>
      <c r="AG543" s="96"/>
      <c r="AH543" s="96"/>
      <c r="AI543" s="96"/>
      <c r="AJ543" s="96"/>
      <c r="AK543" s="96"/>
      <c r="AL543" s="96"/>
      <c r="AM543" s="96"/>
      <c r="AN543" s="96"/>
      <c r="AO543" s="96"/>
      <c r="AP543" s="96"/>
    </row>
    <row r="544" spans="2:42" ht="12.75">
      <c r="B544" s="186"/>
      <c r="C544" s="85"/>
      <c r="D544" s="85"/>
      <c r="E544" s="187"/>
      <c r="F544" s="187"/>
      <c r="G544" s="187"/>
      <c r="H544" s="187"/>
      <c r="I544" s="92"/>
      <c r="J544" s="92"/>
      <c r="K544" s="187"/>
      <c r="L544" s="187"/>
      <c r="M544" s="187"/>
      <c r="N544" s="187"/>
      <c r="O544" s="92"/>
      <c r="P544" s="187"/>
      <c r="Q544" s="187"/>
      <c r="R544" s="187"/>
      <c r="S544" s="187"/>
      <c r="T544" s="85"/>
      <c r="U544" s="189"/>
      <c r="V544" s="189"/>
      <c r="W544" s="189"/>
      <c r="X544" s="189"/>
      <c r="Y544" s="100"/>
      <c r="AA544" s="96"/>
      <c r="AB544" s="96"/>
      <c r="AC544" s="96"/>
      <c r="AD544" s="97"/>
      <c r="AE544" s="96"/>
      <c r="AF544" s="98"/>
      <c r="AG544" s="96"/>
      <c r="AH544" s="96"/>
      <c r="AI544" s="96"/>
      <c r="AJ544" s="96"/>
      <c r="AK544" s="96"/>
      <c r="AL544" s="96"/>
      <c r="AM544" s="96"/>
      <c r="AN544" s="96"/>
      <c r="AO544" s="96"/>
      <c r="AP544" s="96"/>
    </row>
    <row r="545" spans="2:42" ht="12.75">
      <c r="B545" s="186"/>
      <c r="C545" s="85"/>
      <c r="D545" s="85"/>
      <c r="E545" s="187"/>
      <c r="F545" s="187"/>
      <c r="G545" s="187"/>
      <c r="H545" s="187"/>
      <c r="I545" s="92"/>
      <c r="J545" s="92"/>
      <c r="K545" s="187"/>
      <c r="L545" s="187"/>
      <c r="M545" s="187"/>
      <c r="N545" s="187"/>
      <c r="O545" s="92"/>
      <c r="P545" s="187"/>
      <c r="Q545" s="187"/>
      <c r="R545" s="187"/>
      <c r="S545" s="187"/>
      <c r="T545" s="85"/>
      <c r="U545" s="189"/>
      <c r="V545" s="189"/>
      <c r="W545" s="189"/>
      <c r="X545" s="189"/>
      <c r="Y545" s="100"/>
      <c r="AA545" s="96"/>
      <c r="AB545" s="96"/>
      <c r="AC545" s="96"/>
      <c r="AD545" s="97"/>
      <c r="AE545" s="96"/>
      <c r="AF545" s="98"/>
      <c r="AG545" s="96"/>
      <c r="AH545" s="96"/>
      <c r="AI545" s="96"/>
      <c r="AJ545" s="96"/>
      <c r="AK545" s="96"/>
      <c r="AL545" s="96"/>
      <c r="AM545" s="96"/>
      <c r="AN545" s="96"/>
      <c r="AO545" s="96"/>
      <c r="AP545" s="96"/>
    </row>
    <row r="546" spans="2:42" ht="12.75">
      <c r="B546" s="186"/>
      <c r="C546" s="85"/>
      <c r="D546" s="85"/>
      <c r="E546" s="187"/>
      <c r="F546" s="187"/>
      <c r="G546" s="187"/>
      <c r="H546" s="187"/>
      <c r="I546" s="92"/>
      <c r="J546" s="92"/>
      <c r="K546" s="187"/>
      <c r="L546" s="187"/>
      <c r="M546" s="187"/>
      <c r="N546" s="187"/>
      <c r="O546" s="92"/>
      <c r="P546" s="187"/>
      <c r="Q546" s="187"/>
      <c r="R546" s="187"/>
      <c r="S546" s="187"/>
      <c r="T546" s="85"/>
      <c r="U546" s="189"/>
      <c r="V546" s="189"/>
      <c r="W546" s="189"/>
      <c r="X546" s="189"/>
      <c r="Y546" s="100"/>
      <c r="AA546" s="96"/>
      <c r="AB546" s="96"/>
      <c r="AC546" s="96"/>
      <c r="AD546" s="97"/>
      <c r="AE546" s="96"/>
      <c r="AF546" s="98"/>
      <c r="AG546" s="96"/>
      <c r="AH546" s="96"/>
      <c r="AI546" s="96"/>
      <c r="AJ546" s="96"/>
      <c r="AK546" s="96"/>
      <c r="AL546" s="96"/>
      <c r="AM546" s="96"/>
      <c r="AN546" s="96"/>
      <c r="AO546" s="96"/>
      <c r="AP546" s="96"/>
    </row>
    <row r="547" spans="2:42" ht="12.75">
      <c r="B547" s="186"/>
      <c r="C547" s="85"/>
      <c r="D547" s="85"/>
      <c r="E547" s="187"/>
      <c r="F547" s="187"/>
      <c r="G547" s="187"/>
      <c r="H547" s="187"/>
      <c r="I547" s="92"/>
      <c r="J547" s="92"/>
      <c r="K547" s="187"/>
      <c r="L547" s="187"/>
      <c r="M547" s="187"/>
      <c r="N547" s="187"/>
      <c r="O547" s="92"/>
      <c r="P547" s="187"/>
      <c r="Q547" s="187"/>
      <c r="R547" s="187"/>
      <c r="S547" s="187"/>
      <c r="T547" s="85"/>
      <c r="U547" s="189"/>
      <c r="V547" s="189"/>
      <c r="W547" s="189"/>
      <c r="X547" s="189"/>
      <c r="Y547" s="100"/>
      <c r="AA547" s="96"/>
      <c r="AB547" s="96"/>
      <c r="AC547" s="96"/>
      <c r="AD547" s="97"/>
      <c r="AE547" s="96"/>
      <c r="AF547" s="98"/>
      <c r="AG547" s="96"/>
      <c r="AH547" s="96"/>
      <c r="AI547" s="96"/>
      <c r="AJ547" s="96"/>
      <c r="AK547" s="96"/>
      <c r="AL547" s="96"/>
      <c r="AM547" s="96"/>
      <c r="AN547" s="96"/>
      <c r="AO547" s="96"/>
      <c r="AP547" s="96"/>
    </row>
    <row r="548" spans="2:42" ht="12.75">
      <c r="B548" s="186"/>
      <c r="C548" s="85"/>
      <c r="D548" s="85"/>
      <c r="E548" s="187"/>
      <c r="F548" s="187"/>
      <c r="G548" s="187"/>
      <c r="H548" s="187"/>
      <c r="I548" s="92"/>
      <c r="J548" s="92"/>
      <c r="K548" s="187"/>
      <c r="L548" s="187"/>
      <c r="M548" s="187"/>
      <c r="N548" s="187"/>
      <c r="O548" s="92"/>
      <c r="P548" s="187"/>
      <c r="Q548" s="187"/>
      <c r="R548" s="187"/>
      <c r="S548" s="187"/>
      <c r="T548" s="85"/>
      <c r="U548" s="189"/>
      <c r="V548" s="189"/>
      <c r="W548" s="189"/>
      <c r="X548" s="189"/>
      <c r="Y548" s="100"/>
      <c r="AA548" s="96"/>
      <c r="AB548" s="96"/>
      <c r="AC548" s="96"/>
      <c r="AD548" s="97"/>
      <c r="AE548" s="96"/>
      <c r="AF548" s="98"/>
      <c r="AG548" s="96"/>
      <c r="AH548" s="96"/>
      <c r="AI548" s="96"/>
      <c r="AJ548" s="96"/>
      <c r="AK548" s="96"/>
      <c r="AL548" s="96"/>
      <c r="AM548" s="96"/>
      <c r="AN548" s="96"/>
      <c r="AO548" s="96"/>
      <c r="AP548" s="96"/>
    </row>
    <row r="549" spans="2:42" ht="12.75">
      <c r="B549" s="186"/>
      <c r="C549" s="85"/>
      <c r="D549" s="85"/>
      <c r="E549" s="187"/>
      <c r="F549" s="187"/>
      <c r="G549" s="187"/>
      <c r="H549" s="187"/>
      <c r="I549" s="92"/>
      <c r="J549" s="92"/>
      <c r="K549" s="187"/>
      <c r="L549" s="187"/>
      <c r="M549" s="187"/>
      <c r="N549" s="187"/>
      <c r="O549" s="92"/>
      <c r="P549" s="187"/>
      <c r="Q549" s="187"/>
      <c r="R549" s="187"/>
      <c r="S549" s="187"/>
      <c r="T549" s="85"/>
      <c r="U549" s="189"/>
      <c r="V549" s="189"/>
      <c r="W549" s="189"/>
      <c r="X549" s="189"/>
      <c r="Y549" s="100"/>
      <c r="AA549" s="96"/>
      <c r="AB549" s="96"/>
      <c r="AC549" s="96"/>
      <c r="AD549" s="97"/>
      <c r="AE549" s="96"/>
      <c r="AF549" s="98"/>
      <c r="AG549" s="96"/>
      <c r="AH549" s="96"/>
      <c r="AI549" s="96"/>
      <c r="AJ549" s="96"/>
      <c r="AK549" s="96"/>
      <c r="AL549" s="96"/>
      <c r="AM549" s="96"/>
      <c r="AN549" s="96"/>
      <c r="AO549" s="96"/>
      <c r="AP549" s="96"/>
    </row>
    <row r="550" spans="2:42" ht="12.75">
      <c r="B550" s="186"/>
      <c r="C550" s="85"/>
      <c r="D550" s="85"/>
      <c r="E550" s="187"/>
      <c r="F550" s="187"/>
      <c r="G550" s="187"/>
      <c r="H550" s="187"/>
      <c r="I550" s="92"/>
      <c r="J550" s="92"/>
      <c r="K550" s="187"/>
      <c r="L550" s="187"/>
      <c r="M550" s="187"/>
      <c r="N550" s="187"/>
      <c r="O550" s="92"/>
      <c r="P550" s="187"/>
      <c r="Q550" s="187"/>
      <c r="R550" s="187"/>
      <c r="S550" s="187"/>
      <c r="T550" s="85"/>
      <c r="U550" s="189"/>
      <c r="V550" s="189"/>
      <c r="W550" s="189"/>
      <c r="X550" s="189"/>
      <c r="Y550" s="100"/>
      <c r="AA550" s="96"/>
      <c r="AB550" s="96"/>
      <c r="AC550" s="96"/>
      <c r="AD550" s="97"/>
      <c r="AE550" s="96"/>
      <c r="AF550" s="98"/>
      <c r="AG550" s="96"/>
      <c r="AH550" s="96"/>
      <c r="AI550" s="96"/>
      <c r="AJ550" s="96"/>
      <c r="AK550" s="96"/>
      <c r="AL550" s="96"/>
      <c r="AM550" s="96"/>
      <c r="AN550" s="96"/>
      <c r="AO550" s="96"/>
      <c r="AP550" s="96"/>
    </row>
    <row r="551" spans="2:42" ht="12.75">
      <c r="B551" s="186"/>
      <c r="C551" s="85"/>
      <c r="D551" s="85"/>
      <c r="E551" s="187"/>
      <c r="F551" s="187"/>
      <c r="G551" s="187"/>
      <c r="H551" s="187"/>
      <c r="I551" s="92"/>
      <c r="J551" s="92"/>
      <c r="K551" s="187"/>
      <c r="L551" s="187"/>
      <c r="M551" s="187"/>
      <c r="N551" s="187"/>
      <c r="O551" s="92"/>
      <c r="P551" s="187"/>
      <c r="Q551" s="187"/>
      <c r="R551" s="187"/>
      <c r="S551" s="187"/>
      <c r="T551" s="85"/>
      <c r="U551" s="189"/>
      <c r="V551" s="189"/>
      <c r="W551" s="189"/>
      <c r="X551" s="189"/>
      <c r="Y551" s="100"/>
      <c r="AA551" s="96"/>
      <c r="AB551" s="96"/>
      <c r="AC551" s="96"/>
      <c r="AD551" s="97"/>
      <c r="AE551" s="96"/>
      <c r="AF551" s="98"/>
      <c r="AG551" s="96"/>
      <c r="AH551" s="96"/>
      <c r="AI551" s="96"/>
      <c r="AJ551" s="96"/>
      <c r="AK551" s="96"/>
      <c r="AL551" s="96"/>
      <c r="AM551" s="96"/>
      <c r="AN551" s="96"/>
      <c r="AO551" s="96"/>
      <c r="AP551" s="96"/>
    </row>
    <row r="552" spans="2:42" ht="12.75">
      <c r="B552" s="186"/>
      <c r="C552" s="85"/>
      <c r="D552" s="85"/>
      <c r="E552" s="187"/>
      <c r="F552" s="187"/>
      <c r="G552" s="187"/>
      <c r="H552" s="187"/>
      <c r="I552" s="92"/>
      <c r="J552" s="92"/>
      <c r="K552" s="187"/>
      <c r="L552" s="187"/>
      <c r="M552" s="187"/>
      <c r="N552" s="187"/>
      <c r="O552" s="92"/>
      <c r="P552" s="187"/>
      <c r="Q552" s="187"/>
      <c r="R552" s="187"/>
      <c r="S552" s="187"/>
      <c r="T552" s="85"/>
      <c r="U552" s="189"/>
      <c r="V552" s="189"/>
      <c r="W552" s="189"/>
      <c r="X552" s="189"/>
      <c r="Y552" s="100"/>
      <c r="AA552" s="96"/>
      <c r="AB552" s="96"/>
      <c r="AC552" s="96"/>
      <c r="AD552" s="97"/>
      <c r="AE552" s="96"/>
      <c r="AF552" s="98"/>
      <c r="AG552" s="96"/>
      <c r="AH552" s="96"/>
      <c r="AI552" s="96"/>
      <c r="AJ552" s="96"/>
      <c r="AK552" s="96"/>
      <c r="AL552" s="96"/>
      <c r="AM552" s="96"/>
      <c r="AN552" s="96"/>
      <c r="AO552" s="96"/>
      <c r="AP552" s="96"/>
    </row>
    <row r="553" spans="2:42" ht="12.75">
      <c r="B553" s="186"/>
      <c r="C553" s="85"/>
      <c r="D553" s="85"/>
      <c r="E553" s="187"/>
      <c r="F553" s="187"/>
      <c r="G553" s="187"/>
      <c r="H553" s="187"/>
      <c r="I553" s="92"/>
      <c r="J553" s="92"/>
      <c r="K553" s="187"/>
      <c r="L553" s="187"/>
      <c r="M553" s="187"/>
      <c r="N553" s="187"/>
      <c r="O553" s="92"/>
      <c r="P553" s="187"/>
      <c r="Q553" s="187"/>
      <c r="R553" s="187"/>
      <c r="S553" s="187"/>
      <c r="T553" s="85"/>
      <c r="U553" s="189"/>
      <c r="V553" s="189"/>
      <c r="W553" s="189"/>
      <c r="X553" s="189"/>
      <c r="Y553" s="100"/>
      <c r="AA553" s="96"/>
      <c r="AB553" s="96"/>
      <c r="AC553" s="96"/>
      <c r="AD553" s="97"/>
      <c r="AE553" s="96"/>
      <c r="AF553" s="98"/>
      <c r="AG553" s="96"/>
      <c r="AH553" s="96"/>
      <c r="AI553" s="96"/>
      <c r="AJ553" s="96"/>
      <c r="AK553" s="96"/>
      <c r="AL553" s="96"/>
      <c r="AM553" s="96"/>
      <c r="AN553" s="96"/>
      <c r="AO553" s="96"/>
      <c r="AP553" s="96"/>
    </row>
    <row r="554" spans="2:42" ht="12.75">
      <c r="B554" s="186"/>
      <c r="C554" s="85"/>
      <c r="D554" s="85"/>
      <c r="E554" s="187"/>
      <c r="F554" s="187"/>
      <c r="G554" s="187"/>
      <c r="H554" s="187"/>
      <c r="I554" s="92"/>
      <c r="J554" s="92"/>
      <c r="K554" s="187"/>
      <c r="L554" s="187"/>
      <c r="M554" s="187"/>
      <c r="N554" s="187"/>
      <c r="O554" s="92"/>
      <c r="P554" s="187"/>
      <c r="Q554" s="187"/>
      <c r="R554" s="187"/>
      <c r="S554" s="187"/>
      <c r="T554" s="85"/>
      <c r="U554" s="189"/>
      <c r="V554" s="189"/>
      <c r="W554" s="189"/>
      <c r="X554" s="189"/>
      <c r="Y554" s="100"/>
      <c r="AA554" s="96"/>
      <c r="AB554" s="96"/>
      <c r="AC554" s="96"/>
      <c r="AD554" s="97"/>
      <c r="AE554" s="96"/>
      <c r="AF554" s="98"/>
      <c r="AG554" s="96"/>
      <c r="AH554" s="96"/>
      <c r="AI554" s="96"/>
      <c r="AJ554" s="96"/>
      <c r="AK554" s="96"/>
      <c r="AL554" s="96"/>
      <c r="AM554" s="96"/>
      <c r="AN554" s="96"/>
      <c r="AO554" s="96"/>
      <c r="AP554" s="96"/>
    </row>
    <row r="555" spans="2:42" ht="12.75">
      <c r="B555" s="186"/>
      <c r="C555" s="85"/>
      <c r="D555" s="85"/>
      <c r="E555" s="187"/>
      <c r="F555" s="187"/>
      <c r="G555" s="187"/>
      <c r="H555" s="187"/>
      <c r="I555" s="92"/>
      <c r="J555" s="92"/>
      <c r="K555" s="187"/>
      <c r="L555" s="187"/>
      <c r="M555" s="187"/>
      <c r="N555" s="187"/>
      <c r="O555" s="92"/>
      <c r="P555" s="187"/>
      <c r="Q555" s="187"/>
      <c r="R555" s="187"/>
      <c r="S555" s="187"/>
      <c r="T555" s="85"/>
      <c r="U555" s="189"/>
      <c r="V555" s="189"/>
      <c r="W555" s="189"/>
      <c r="X555" s="189"/>
      <c r="Y555" s="100"/>
      <c r="AA555" s="96"/>
      <c r="AB555" s="96"/>
      <c r="AC555" s="96"/>
      <c r="AD555" s="97"/>
      <c r="AE555" s="96"/>
      <c r="AF555" s="98"/>
      <c r="AG555" s="96"/>
      <c r="AH555" s="96"/>
      <c r="AI555" s="96"/>
      <c r="AJ555" s="96"/>
      <c r="AK555" s="96"/>
      <c r="AL555" s="96"/>
      <c r="AM555" s="96"/>
      <c r="AN555" s="96"/>
      <c r="AO555" s="96"/>
      <c r="AP555" s="96"/>
    </row>
    <row r="556" spans="2:42" ht="12.75">
      <c r="B556" s="186"/>
      <c r="C556" s="85"/>
      <c r="D556" s="85"/>
      <c r="E556" s="187"/>
      <c r="F556" s="187"/>
      <c r="G556" s="187"/>
      <c r="H556" s="187"/>
      <c r="I556" s="92"/>
      <c r="J556" s="92"/>
      <c r="K556" s="187"/>
      <c r="L556" s="187"/>
      <c r="M556" s="187"/>
      <c r="N556" s="187"/>
      <c r="O556" s="92"/>
      <c r="P556" s="187"/>
      <c r="Q556" s="187"/>
      <c r="R556" s="187"/>
      <c r="S556" s="187"/>
      <c r="T556" s="85"/>
      <c r="U556" s="189"/>
      <c r="V556" s="189"/>
      <c r="W556" s="189"/>
      <c r="X556" s="189"/>
      <c r="Y556" s="100"/>
      <c r="AA556" s="96"/>
      <c r="AB556" s="96"/>
      <c r="AC556" s="96"/>
      <c r="AD556" s="97"/>
      <c r="AE556" s="96"/>
      <c r="AF556" s="98"/>
      <c r="AG556" s="96"/>
      <c r="AH556" s="96"/>
      <c r="AI556" s="96"/>
      <c r="AJ556" s="96"/>
      <c r="AK556" s="96"/>
      <c r="AL556" s="96"/>
      <c r="AM556" s="96"/>
      <c r="AN556" s="96"/>
      <c r="AO556" s="96"/>
      <c r="AP556" s="96"/>
    </row>
    <row r="557" spans="2:42" ht="12.75">
      <c r="B557" s="186"/>
      <c r="C557" s="85"/>
      <c r="D557" s="85"/>
      <c r="E557" s="187"/>
      <c r="F557" s="187"/>
      <c r="G557" s="187"/>
      <c r="H557" s="187"/>
      <c r="I557" s="92"/>
      <c r="J557" s="92"/>
      <c r="K557" s="187"/>
      <c r="L557" s="187"/>
      <c r="M557" s="187"/>
      <c r="N557" s="187"/>
      <c r="O557" s="92"/>
      <c r="P557" s="187"/>
      <c r="Q557" s="187"/>
      <c r="R557" s="187"/>
      <c r="S557" s="187"/>
      <c r="T557" s="85"/>
      <c r="U557" s="189"/>
      <c r="V557" s="189"/>
      <c r="W557" s="189"/>
      <c r="X557" s="189"/>
      <c r="Y557" s="100"/>
      <c r="AA557" s="96"/>
      <c r="AB557" s="96"/>
      <c r="AC557" s="96"/>
      <c r="AD557" s="97"/>
      <c r="AE557" s="96"/>
      <c r="AF557" s="98"/>
      <c r="AG557" s="96"/>
      <c r="AH557" s="96"/>
      <c r="AI557" s="96"/>
      <c r="AJ557" s="96"/>
      <c r="AK557" s="96"/>
      <c r="AL557" s="96"/>
      <c r="AM557" s="96"/>
      <c r="AN557" s="96"/>
      <c r="AO557" s="96"/>
      <c r="AP557" s="96"/>
    </row>
    <row r="558" spans="2:42" ht="12.75">
      <c r="B558" s="186"/>
      <c r="C558" s="85"/>
      <c r="D558" s="85"/>
      <c r="E558" s="187"/>
      <c r="F558" s="187"/>
      <c r="G558" s="187"/>
      <c r="H558" s="187"/>
      <c r="I558" s="92"/>
      <c r="J558" s="92"/>
      <c r="K558" s="187"/>
      <c r="L558" s="187"/>
      <c r="M558" s="187"/>
      <c r="N558" s="187"/>
      <c r="O558" s="92"/>
      <c r="P558" s="187"/>
      <c r="Q558" s="187"/>
      <c r="R558" s="187"/>
      <c r="S558" s="187"/>
      <c r="T558" s="85"/>
      <c r="U558" s="189"/>
      <c r="V558" s="189"/>
      <c r="W558" s="189"/>
      <c r="X558" s="189"/>
      <c r="Y558" s="100"/>
      <c r="AA558" s="96"/>
      <c r="AB558" s="96"/>
      <c r="AC558" s="96"/>
      <c r="AD558" s="97"/>
      <c r="AE558" s="96"/>
      <c r="AF558" s="98"/>
      <c r="AG558" s="96"/>
      <c r="AH558" s="96"/>
      <c r="AI558" s="96"/>
      <c r="AJ558" s="96"/>
      <c r="AK558" s="96"/>
      <c r="AL558" s="96"/>
      <c r="AM558" s="96"/>
      <c r="AN558" s="96"/>
      <c r="AO558" s="96"/>
      <c r="AP558" s="96"/>
    </row>
    <row r="559" spans="2:42" ht="12.75">
      <c r="B559" s="186"/>
      <c r="C559" s="85"/>
      <c r="D559" s="85"/>
      <c r="E559" s="187"/>
      <c r="F559" s="187"/>
      <c r="G559" s="187"/>
      <c r="H559" s="187"/>
      <c r="I559" s="92"/>
      <c r="J559" s="92"/>
      <c r="K559" s="187"/>
      <c r="L559" s="187"/>
      <c r="M559" s="187"/>
      <c r="N559" s="187"/>
      <c r="O559" s="92"/>
      <c r="P559" s="187"/>
      <c r="Q559" s="187"/>
      <c r="R559" s="187"/>
      <c r="S559" s="187"/>
      <c r="T559" s="85"/>
      <c r="U559" s="189"/>
      <c r="V559" s="189"/>
      <c r="W559" s="189"/>
      <c r="X559" s="189"/>
      <c r="Y559" s="100"/>
      <c r="AA559" s="96"/>
      <c r="AB559" s="96"/>
      <c r="AC559" s="96"/>
      <c r="AD559" s="97"/>
      <c r="AE559" s="96"/>
      <c r="AF559" s="98"/>
      <c r="AG559" s="96"/>
      <c r="AH559" s="96"/>
      <c r="AI559" s="96"/>
      <c r="AJ559" s="96"/>
      <c r="AK559" s="96"/>
      <c r="AL559" s="96"/>
      <c r="AM559" s="96"/>
      <c r="AN559" s="96"/>
      <c r="AO559" s="96"/>
      <c r="AP559" s="96"/>
    </row>
    <row r="560" spans="2:42" ht="12.75">
      <c r="B560" s="186"/>
      <c r="C560" s="85"/>
      <c r="D560" s="85"/>
      <c r="E560" s="187"/>
      <c r="F560" s="187"/>
      <c r="G560" s="187"/>
      <c r="H560" s="187"/>
      <c r="I560" s="92"/>
      <c r="J560" s="92"/>
      <c r="K560" s="187"/>
      <c r="L560" s="187"/>
      <c r="M560" s="187"/>
      <c r="N560" s="187"/>
      <c r="O560" s="92"/>
      <c r="P560" s="187"/>
      <c r="Q560" s="187"/>
      <c r="R560" s="187"/>
      <c r="S560" s="187"/>
      <c r="T560" s="85"/>
      <c r="U560" s="189"/>
      <c r="V560" s="189"/>
      <c r="W560" s="189"/>
      <c r="X560" s="189"/>
      <c r="Y560" s="100"/>
      <c r="AA560" s="96"/>
      <c r="AB560" s="96"/>
      <c r="AC560" s="96"/>
      <c r="AD560" s="97"/>
      <c r="AE560" s="96"/>
      <c r="AF560" s="98"/>
      <c r="AG560" s="96"/>
      <c r="AH560" s="96"/>
      <c r="AI560" s="96"/>
      <c r="AJ560" s="96"/>
      <c r="AK560" s="96"/>
      <c r="AL560" s="96"/>
      <c r="AM560" s="96"/>
      <c r="AN560" s="96"/>
      <c r="AO560" s="96"/>
      <c r="AP560" s="96"/>
    </row>
    <row r="561" spans="2:42" ht="12.75">
      <c r="B561" s="186"/>
      <c r="C561" s="85"/>
      <c r="D561" s="85"/>
      <c r="E561" s="187"/>
      <c r="F561" s="187"/>
      <c r="G561" s="187"/>
      <c r="H561" s="187"/>
      <c r="I561" s="92"/>
      <c r="J561" s="92"/>
      <c r="K561" s="187"/>
      <c r="L561" s="187"/>
      <c r="M561" s="187"/>
      <c r="N561" s="187"/>
      <c r="O561" s="92"/>
      <c r="P561" s="187"/>
      <c r="Q561" s="187"/>
      <c r="R561" s="187"/>
      <c r="S561" s="187"/>
      <c r="T561" s="85"/>
      <c r="U561" s="189"/>
      <c r="V561" s="189"/>
      <c r="W561" s="189"/>
      <c r="X561" s="189"/>
      <c r="Y561" s="100"/>
      <c r="AA561" s="96"/>
      <c r="AB561" s="96"/>
      <c r="AC561" s="96"/>
      <c r="AD561" s="97"/>
      <c r="AE561" s="96"/>
      <c r="AF561" s="98"/>
      <c r="AG561" s="96"/>
      <c r="AH561" s="96"/>
      <c r="AI561" s="96"/>
      <c r="AJ561" s="96"/>
      <c r="AK561" s="96"/>
      <c r="AL561" s="96"/>
      <c r="AM561" s="96"/>
      <c r="AN561" s="96"/>
      <c r="AO561" s="96"/>
      <c r="AP561" s="96"/>
    </row>
    <row r="562" spans="2:42" ht="12.75">
      <c r="B562" s="186"/>
      <c r="C562" s="85"/>
      <c r="D562" s="85"/>
      <c r="E562" s="187"/>
      <c r="F562" s="187"/>
      <c r="G562" s="187"/>
      <c r="H562" s="187"/>
      <c r="I562" s="92"/>
      <c r="J562" s="92"/>
      <c r="K562" s="187"/>
      <c r="L562" s="187"/>
      <c r="M562" s="187"/>
      <c r="N562" s="187"/>
      <c r="O562" s="92"/>
      <c r="P562" s="187"/>
      <c r="Q562" s="187"/>
      <c r="R562" s="187"/>
      <c r="S562" s="187"/>
      <c r="T562" s="85"/>
      <c r="U562" s="189"/>
      <c r="V562" s="189"/>
      <c r="W562" s="189"/>
      <c r="X562" s="189"/>
      <c r="Y562" s="100"/>
      <c r="AA562" s="96"/>
      <c r="AB562" s="96"/>
      <c r="AC562" s="96"/>
      <c r="AD562" s="97"/>
      <c r="AE562" s="96"/>
      <c r="AF562" s="98"/>
      <c r="AG562" s="96"/>
      <c r="AH562" s="96"/>
      <c r="AI562" s="96"/>
      <c r="AJ562" s="96"/>
      <c r="AK562" s="96"/>
      <c r="AL562" s="96"/>
      <c r="AM562" s="96"/>
      <c r="AN562" s="96"/>
      <c r="AO562" s="96"/>
      <c r="AP562" s="96"/>
    </row>
    <row r="563" spans="2:42" ht="12.75">
      <c r="B563" s="186"/>
      <c r="C563" s="85"/>
      <c r="D563" s="85"/>
      <c r="E563" s="187"/>
      <c r="F563" s="187"/>
      <c r="G563" s="187"/>
      <c r="H563" s="187"/>
      <c r="I563" s="92"/>
      <c r="J563" s="92"/>
      <c r="K563" s="187"/>
      <c r="L563" s="187"/>
      <c r="M563" s="187"/>
      <c r="N563" s="187"/>
      <c r="O563" s="92"/>
      <c r="P563" s="187"/>
      <c r="Q563" s="187"/>
      <c r="R563" s="187"/>
      <c r="S563" s="187"/>
      <c r="T563" s="85"/>
      <c r="U563" s="189"/>
      <c r="V563" s="189"/>
      <c r="W563" s="189"/>
      <c r="X563" s="189"/>
      <c r="Y563" s="100"/>
      <c r="AA563" s="96"/>
      <c r="AB563" s="96"/>
      <c r="AC563" s="96"/>
      <c r="AD563" s="97"/>
      <c r="AE563" s="96"/>
      <c r="AF563" s="98"/>
      <c r="AG563" s="96"/>
      <c r="AH563" s="96"/>
      <c r="AI563" s="96"/>
      <c r="AJ563" s="96"/>
      <c r="AK563" s="96"/>
      <c r="AL563" s="96"/>
      <c r="AM563" s="96"/>
      <c r="AN563" s="96"/>
      <c r="AO563" s="96"/>
      <c r="AP563" s="96"/>
    </row>
    <row r="564" spans="2:42" ht="12.75">
      <c r="B564" s="186"/>
      <c r="C564" s="85"/>
      <c r="D564" s="85"/>
      <c r="E564" s="187"/>
      <c r="F564" s="187"/>
      <c r="G564" s="187"/>
      <c r="H564" s="187"/>
      <c r="I564" s="92"/>
      <c r="J564" s="92"/>
      <c r="K564" s="187"/>
      <c r="L564" s="187"/>
      <c r="M564" s="187"/>
      <c r="N564" s="187"/>
      <c r="O564" s="92"/>
      <c r="P564" s="187"/>
      <c r="Q564" s="187"/>
      <c r="R564" s="187"/>
      <c r="S564" s="187"/>
      <c r="T564" s="85"/>
      <c r="U564" s="189"/>
      <c r="V564" s="189"/>
      <c r="W564" s="189"/>
      <c r="X564" s="189"/>
      <c r="Y564" s="100"/>
      <c r="AA564" s="96"/>
      <c r="AB564" s="96"/>
      <c r="AC564" s="96"/>
      <c r="AD564" s="97"/>
      <c r="AE564" s="96"/>
      <c r="AF564" s="98"/>
      <c r="AG564" s="96"/>
      <c r="AH564" s="96"/>
      <c r="AI564" s="96"/>
      <c r="AJ564" s="96"/>
      <c r="AK564" s="96"/>
      <c r="AL564" s="96"/>
      <c r="AM564" s="96"/>
      <c r="AN564" s="96"/>
      <c r="AO564" s="96"/>
      <c r="AP564" s="96"/>
    </row>
    <row r="565" spans="2:42" ht="12.75">
      <c r="B565" s="186"/>
      <c r="C565" s="85"/>
      <c r="D565" s="85"/>
      <c r="E565" s="187"/>
      <c r="F565" s="187"/>
      <c r="G565" s="187"/>
      <c r="H565" s="187"/>
      <c r="I565" s="92"/>
      <c r="J565" s="92"/>
      <c r="K565" s="187"/>
      <c r="L565" s="187"/>
      <c r="M565" s="187"/>
      <c r="N565" s="187"/>
      <c r="O565" s="92"/>
      <c r="P565" s="187"/>
      <c r="Q565" s="187"/>
      <c r="R565" s="187"/>
      <c r="S565" s="187"/>
      <c r="T565" s="85"/>
      <c r="U565" s="189"/>
      <c r="V565" s="189"/>
      <c r="W565" s="189"/>
      <c r="X565" s="189"/>
      <c r="Y565" s="100"/>
      <c r="AA565" s="96"/>
      <c r="AB565" s="96"/>
      <c r="AC565" s="96"/>
      <c r="AD565" s="97"/>
      <c r="AE565" s="96"/>
      <c r="AF565" s="98"/>
      <c r="AG565" s="96"/>
      <c r="AH565" s="96"/>
      <c r="AI565" s="96"/>
      <c r="AJ565" s="96"/>
      <c r="AK565" s="96"/>
      <c r="AL565" s="96"/>
      <c r="AM565" s="96"/>
      <c r="AN565" s="96"/>
      <c r="AO565" s="96"/>
      <c r="AP565" s="96"/>
    </row>
    <row r="566" spans="2:42" ht="12.75">
      <c r="B566" s="186"/>
      <c r="C566" s="85"/>
      <c r="D566" s="85"/>
      <c r="E566" s="187"/>
      <c r="F566" s="187"/>
      <c r="G566" s="187"/>
      <c r="H566" s="187"/>
      <c r="I566" s="92"/>
      <c r="J566" s="92"/>
      <c r="K566" s="187"/>
      <c r="L566" s="187"/>
      <c r="M566" s="187"/>
      <c r="N566" s="187"/>
      <c r="O566" s="92"/>
      <c r="P566" s="187"/>
      <c r="Q566" s="187"/>
      <c r="R566" s="187"/>
      <c r="S566" s="187"/>
      <c r="T566" s="85"/>
      <c r="U566" s="189"/>
      <c r="V566" s="189"/>
      <c r="W566" s="189"/>
      <c r="X566" s="189"/>
      <c r="Y566" s="100"/>
      <c r="AA566" s="96"/>
      <c r="AB566" s="96"/>
      <c r="AC566" s="96"/>
      <c r="AD566" s="97"/>
      <c r="AE566" s="96"/>
      <c r="AF566" s="98"/>
      <c r="AG566" s="96"/>
      <c r="AH566" s="96"/>
      <c r="AI566" s="96"/>
      <c r="AJ566" s="96"/>
      <c r="AK566" s="96"/>
      <c r="AL566" s="96"/>
      <c r="AM566" s="96"/>
      <c r="AN566" s="96"/>
      <c r="AO566" s="96"/>
      <c r="AP566" s="96"/>
    </row>
    <row r="567" spans="2:42" ht="12.75">
      <c r="B567" s="186"/>
      <c r="C567" s="85"/>
      <c r="D567" s="85"/>
      <c r="E567" s="187"/>
      <c r="F567" s="187"/>
      <c r="G567" s="187"/>
      <c r="H567" s="187"/>
      <c r="I567" s="92"/>
      <c r="J567" s="92"/>
      <c r="K567" s="187"/>
      <c r="L567" s="187"/>
      <c r="M567" s="187"/>
      <c r="N567" s="187"/>
      <c r="O567" s="92"/>
      <c r="P567" s="187"/>
      <c r="Q567" s="187"/>
      <c r="R567" s="187"/>
      <c r="S567" s="187"/>
      <c r="T567" s="85"/>
      <c r="U567" s="189"/>
      <c r="V567" s="189"/>
      <c r="W567" s="189"/>
      <c r="X567" s="189"/>
      <c r="Y567" s="100"/>
      <c r="AA567" s="96"/>
      <c r="AB567" s="96"/>
      <c r="AC567" s="96"/>
      <c r="AD567" s="97"/>
      <c r="AE567" s="96"/>
      <c r="AF567" s="98"/>
      <c r="AG567" s="96"/>
      <c r="AH567" s="96"/>
      <c r="AI567" s="96"/>
      <c r="AJ567" s="96"/>
      <c r="AK567" s="96"/>
      <c r="AL567" s="96"/>
      <c r="AM567" s="96"/>
      <c r="AN567" s="96"/>
      <c r="AO567" s="96"/>
      <c r="AP567" s="96"/>
    </row>
    <row r="568" spans="2:42" ht="12.75">
      <c r="B568" s="186"/>
      <c r="C568" s="85"/>
      <c r="D568" s="85"/>
      <c r="E568" s="187"/>
      <c r="F568" s="187"/>
      <c r="G568" s="187"/>
      <c r="H568" s="187"/>
      <c r="I568" s="92"/>
      <c r="J568" s="92"/>
      <c r="K568" s="187"/>
      <c r="L568" s="187"/>
      <c r="M568" s="187"/>
      <c r="N568" s="187"/>
      <c r="O568" s="92"/>
      <c r="P568" s="187"/>
      <c r="Q568" s="187"/>
      <c r="R568" s="187"/>
      <c r="S568" s="187"/>
      <c r="T568" s="85"/>
      <c r="U568" s="189"/>
      <c r="V568" s="189"/>
      <c r="W568" s="189"/>
      <c r="X568" s="189"/>
      <c r="Y568" s="100"/>
      <c r="AA568" s="96"/>
      <c r="AB568" s="96"/>
      <c r="AC568" s="96"/>
      <c r="AD568" s="97"/>
      <c r="AE568" s="96"/>
      <c r="AF568" s="98"/>
      <c r="AG568" s="96"/>
      <c r="AH568" s="96"/>
      <c r="AI568" s="96"/>
      <c r="AJ568" s="96"/>
      <c r="AK568" s="96"/>
      <c r="AL568" s="96"/>
      <c r="AM568" s="96"/>
      <c r="AN568" s="96"/>
      <c r="AO568" s="96"/>
      <c r="AP568" s="96"/>
    </row>
    <row r="569" spans="2:42" ht="12.75">
      <c r="B569" s="186"/>
      <c r="C569" s="85"/>
      <c r="D569" s="85"/>
      <c r="E569" s="187"/>
      <c r="F569" s="187"/>
      <c r="G569" s="187"/>
      <c r="H569" s="187"/>
      <c r="I569" s="92"/>
      <c r="J569" s="92"/>
      <c r="K569" s="187"/>
      <c r="L569" s="187"/>
      <c r="M569" s="187"/>
      <c r="N569" s="187"/>
      <c r="O569" s="92"/>
      <c r="P569" s="187"/>
      <c r="Q569" s="187"/>
      <c r="R569" s="187"/>
      <c r="S569" s="187"/>
      <c r="T569" s="85"/>
      <c r="U569" s="189"/>
      <c r="V569" s="189"/>
      <c r="W569" s="189"/>
      <c r="X569" s="189"/>
      <c r="Y569" s="100"/>
      <c r="AA569" s="96"/>
      <c r="AB569" s="96"/>
      <c r="AC569" s="96"/>
      <c r="AD569" s="97"/>
      <c r="AE569" s="96"/>
      <c r="AF569" s="98"/>
      <c r="AG569" s="96"/>
      <c r="AH569" s="96"/>
      <c r="AI569" s="96"/>
      <c r="AJ569" s="96"/>
      <c r="AK569" s="96"/>
      <c r="AL569" s="96"/>
      <c r="AM569" s="96"/>
      <c r="AN569" s="96"/>
      <c r="AO569" s="96"/>
      <c r="AP569" s="96"/>
    </row>
    <row r="570" spans="2:42" ht="12.75">
      <c r="B570" s="186"/>
      <c r="C570" s="85"/>
      <c r="D570" s="85"/>
      <c r="E570" s="187"/>
      <c r="F570" s="187"/>
      <c r="G570" s="187"/>
      <c r="H570" s="187"/>
      <c r="I570" s="92"/>
      <c r="J570" s="92"/>
      <c r="K570" s="187"/>
      <c r="L570" s="187"/>
      <c r="M570" s="187"/>
      <c r="N570" s="187"/>
      <c r="O570" s="92"/>
      <c r="P570" s="187"/>
      <c r="Q570" s="187"/>
      <c r="R570" s="187"/>
      <c r="S570" s="187"/>
      <c r="T570" s="85"/>
      <c r="U570" s="189"/>
      <c r="V570" s="189"/>
      <c r="W570" s="189"/>
      <c r="X570" s="189"/>
      <c r="Y570" s="100"/>
      <c r="AA570" s="96"/>
      <c r="AB570" s="96"/>
      <c r="AC570" s="96"/>
      <c r="AD570" s="97"/>
      <c r="AE570" s="96"/>
      <c r="AF570" s="98"/>
      <c r="AG570" s="96"/>
      <c r="AH570" s="96"/>
      <c r="AI570" s="96"/>
      <c r="AJ570" s="96"/>
      <c r="AK570" s="96"/>
      <c r="AL570" s="96"/>
      <c r="AM570" s="96"/>
      <c r="AN570" s="96"/>
      <c r="AO570" s="96"/>
      <c r="AP570" s="96"/>
    </row>
    <row r="571" spans="2:42" ht="12.75">
      <c r="B571" s="186"/>
      <c r="C571" s="85"/>
      <c r="D571" s="85"/>
      <c r="E571" s="187"/>
      <c r="F571" s="187"/>
      <c r="G571" s="187"/>
      <c r="H571" s="187"/>
      <c r="I571" s="92"/>
      <c r="J571" s="92"/>
      <c r="K571" s="187"/>
      <c r="L571" s="187"/>
      <c r="M571" s="187"/>
      <c r="N571" s="187"/>
      <c r="O571" s="92"/>
      <c r="P571" s="187"/>
      <c r="Q571" s="187"/>
      <c r="R571" s="187"/>
      <c r="S571" s="187"/>
      <c r="T571" s="85"/>
      <c r="U571" s="189"/>
      <c r="V571" s="189"/>
      <c r="W571" s="189"/>
      <c r="X571" s="189"/>
      <c r="Y571" s="100"/>
      <c r="AA571" s="96"/>
      <c r="AB571" s="96"/>
      <c r="AC571" s="96"/>
      <c r="AD571" s="97"/>
      <c r="AE571" s="96"/>
      <c r="AF571" s="98"/>
      <c r="AG571" s="96"/>
      <c r="AH571" s="96"/>
      <c r="AI571" s="96"/>
      <c r="AJ571" s="96"/>
      <c r="AK571" s="96"/>
      <c r="AL571" s="96"/>
      <c r="AM571" s="96"/>
      <c r="AN571" s="96"/>
      <c r="AO571" s="96"/>
      <c r="AP571" s="96"/>
    </row>
    <row r="572" spans="2:42" ht="12.75">
      <c r="B572" s="186"/>
      <c r="C572" s="85"/>
      <c r="D572" s="85"/>
      <c r="E572" s="187"/>
      <c r="F572" s="187"/>
      <c r="G572" s="187"/>
      <c r="H572" s="187"/>
      <c r="I572" s="92"/>
      <c r="J572" s="92"/>
      <c r="K572" s="187"/>
      <c r="L572" s="187"/>
      <c r="M572" s="187"/>
      <c r="N572" s="187"/>
      <c r="O572" s="92"/>
      <c r="P572" s="187"/>
      <c r="Q572" s="187"/>
      <c r="R572" s="187"/>
      <c r="S572" s="187"/>
      <c r="T572" s="85"/>
      <c r="U572" s="189"/>
      <c r="V572" s="189"/>
      <c r="W572" s="189"/>
      <c r="X572" s="189"/>
      <c r="Y572" s="100"/>
      <c r="AA572" s="96"/>
      <c r="AB572" s="96"/>
      <c r="AC572" s="96"/>
      <c r="AD572" s="97"/>
      <c r="AE572" s="96"/>
      <c r="AF572" s="98"/>
      <c r="AG572" s="96"/>
      <c r="AH572" s="96"/>
      <c r="AI572" s="96"/>
      <c r="AJ572" s="96"/>
      <c r="AK572" s="96"/>
      <c r="AL572" s="96"/>
      <c r="AM572" s="96"/>
      <c r="AN572" s="96"/>
      <c r="AO572" s="96"/>
      <c r="AP572" s="96"/>
    </row>
    <row r="573" spans="2:42" ht="12.75">
      <c r="B573" s="186"/>
      <c r="C573" s="85"/>
      <c r="D573" s="85"/>
      <c r="E573" s="187"/>
      <c r="F573" s="187"/>
      <c r="G573" s="187"/>
      <c r="H573" s="187"/>
      <c r="I573" s="92"/>
      <c r="J573" s="92"/>
      <c r="K573" s="187"/>
      <c r="L573" s="187"/>
      <c r="M573" s="187"/>
      <c r="N573" s="187"/>
      <c r="O573" s="92"/>
      <c r="P573" s="187"/>
      <c r="Q573" s="187"/>
      <c r="R573" s="187"/>
      <c r="S573" s="187"/>
      <c r="T573" s="85"/>
      <c r="U573" s="189"/>
      <c r="V573" s="189"/>
      <c r="W573" s="189"/>
      <c r="X573" s="189"/>
      <c r="Y573" s="100"/>
      <c r="AA573" s="96"/>
      <c r="AB573" s="96"/>
      <c r="AC573" s="96"/>
      <c r="AD573" s="97"/>
      <c r="AE573" s="96"/>
      <c r="AF573" s="98"/>
      <c r="AG573" s="96"/>
      <c r="AH573" s="96"/>
      <c r="AI573" s="96"/>
      <c r="AJ573" s="96"/>
      <c r="AK573" s="96"/>
      <c r="AL573" s="96"/>
      <c r="AM573" s="96"/>
      <c r="AN573" s="96"/>
      <c r="AO573" s="96"/>
      <c r="AP573" s="96"/>
    </row>
    <row r="574" spans="2:42" ht="12.75">
      <c r="B574" s="186"/>
      <c r="C574" s="85"/>
      <c r="D574" s="85"/>
      <c r="E574" s="187"/>
      <c r="F574" s="187"/>
      <c r="G574" s="187"/>
      <c r="H574" s="187"/>
      <c r="I574" s="92"/>
      <c r="J574" s="92"/>
      <c r="K574" s="187"/>
      <c r="L574" s="187"/>
      <c r="M574" s="187"/>
      <c r="N574" s="187"/>
      <c r="O574" s="92"/>
      <c r="P574" s="187"/>
      <c r="Q574" s="187"/>
      <c r="R574" s="187"/>
      <c r="S574" s="187"/>
      <c r="T574" s="85"/>
      <c r="U574" s="189"/>
      <c r="V574" s="189"/>
      <c r="W574" s="189"/>
      <c r="X574" s="189"/>
      <c r="Y574" s="100"/>
      <c r="AA574" s="96"/>
      <c r="AB574" s="96"/>
      <c r="AC574" s="96"/>
      <c r="AD574" s="97"/>
      <c r="AE574" s="96"/>
      <c r="AF574" s="98"/>
      <c r="AG574" s="96"/>
      <c r="AH574" s="96"/>
      <c r="AI574" s="96"/>
      <c r="AJ574" s="96"/>
      <c r="AK574" s="96"/>
      <c r="AL574" s="96"/>
      <c r="AM574" s="96"/>
      <c r="AN574" s="96"/>
      <c r="AO574" s="96"/>
      <c r="AP574" s="96"/>
    </row>
    <row r="575" spans="2:42" ht="12.75">
      <c r="B575" s="186"/>
      <c r="C575" s="85"/>
      <c r="D575" s="85"/>
      <c r="E575" s="187"/>
      <c r="F575" s="187"/>
      <c r="G575" s="187"/>
      <c r="H575" s="187"/>
      <c r="I575" s="92"/>
      <c r="J575" s="92"/>
      <c r="K575" s="187"/>
      <c r="L575" s="187"/>
      <c r="M575" s="187"/>
      <c r="N575" s="187"/>
      <c r="O575" s="92"/>
      <c r="P575" s="187"/>
      <c r="Q575" s="187"/>
      <c r="R575" s="187"/>
      <c r="S575" s="187"/>
      <c r="T575" s="85"/>
      <c r="U575" s="189"/>
      <c r="V575" s="189"/>
      <c r="W575" s="189"/>
      <c r="X575" s="189"/>
      <c r="Y575" s="100"/>
      <c r="AA575" s="96"/>
      <c r="AB575" s="96"/>
      <c r="AC575" s="96"/>
      <c r="AD575" s="97"/>
      <c r="AE575" s="96"/>
      <c r="AF575" s="98"/>
      <c r="AG575" s="96"/>
      <c r="AH575" s="96"/>
      <c r="AI575" s="96"/>
      <c r="AJ575" s="96"/>
      <c r="AK575" s="96"/>
      <c r="AL575" s="96"/>
      <c r="AM575" s="96"/>
      <c r="AN575" s="96"/>
      <c r="AO575" s="96"/>
      <c r="AP575" s="96"/>
    </row>
    <row r="576" spans="2:42" ht="12.75">
      <c r="B576" s="186"/>
      <c r="C576" s="85"/>
      <c r="D576" s="85"/>
      <c r="E576" s="187"/>
      <c r="F576" s="187"/>
      <c r="G576" s="187"/>
      <c r="H576" s="187"/>
      <c r="I576" s="92"/>
      <c r="J576" s="92"/>
      <c r="K576" s="187"/>
      <c r="L576" s="187"/>
      <c r="M576" s="187"/>
      <c r="N576" s="187"/>
      <c r="O576" s="92"/>
      <c r="P576" s="187"/>
      <c r="Q576" s="187"/>
      <c r="R576" s="187"/>
      <c r="S576" s="187"/>
      <c r="T576" s="85"/>
      <c r="U576" s="189"/>
      <c r="V576" s="189"/>
      <c r="W576" s="189"/>
      <c r="X576" s="189"/>
      <c r="Y576" s="100"/>
      <c r="AA576" s="96"/>
      <c r="AB576" s="96"/>
      <c r="AC576" s="96"/>
      <c r="AD576" s="97"/>
      <c r="AE576" s="96"/>
      <c r="AF576" s="98"/>
      <c r="AG576" s="96"/>
      <c r="AH576" s="96"/>
      <c r="AI576" s="96"/>
      <c r="AJ576" s="96"/>
      <c r="AK576" s="96"/>
      <c r="AL576" s="96"/>
      <c r="AM576" s="96"/>
      <c r="AN576" s="96"/>
      <c r="AO576" s="96"/>
      <c r="AP576" s="96"/>
    </row>
    <row r="577" spans="2:42" ht="12.75">
      <c r="B577" s="186"/>
      <c r="C577" s="85"/>
      <c r="D577" s="85"/>
      <c r="E577" s="187"/>
      <c r="F577" s="187"/>
      <c r="G577" s="187"/>
      <c r="H577" s="187"/>
      <c r="I577" s="92"/>
      <c r="J577" s="92"/>
      <c r="K577" s="187"/>
      <c r="L577" s="187"/>
      <c r="M577" s="187"/>
      <c r="N577" s="187"/>
      <c r="O577" s="92"/>
      <c r="P577" s="187"/>
      <c r="Q577" s="187"/>
      <c r="R577" s="187"/>
      <c r="S577" s="187"/>
      <c r="T577" s="85"/>
      <c r="U577" s="189"/>
      <c r="V577" s="189"/>
      <c r="W577" s="189"/>
      <c r="X577" s="189"/>
      <c r="Y577" s="100"/>
      <c r="AA577" s="96"/>
      <c r="AB577" s="96"/>
      <c r="AC577" s="96"/>
      <c r="AD577" s="97"/>
      <c r="AE577" s="96"/>
      <c r="AF577" s="98"/>
      <c r="AG577" s="96"/>
      <c r="AH577" s="96"/>
      <c r="AI577" s="96"/>
      <c r="AJ577" s="96"/>
      <c r="AK577" s="96"/>
      <c r="AL577" s="96"/>
      <c r="AM577" s="96"/>
      <c r="AN577" s="96"/>
      <c r="AO577" s="96"/>
      <c r="AP577" s="96"/>
    </row>
    <row r="578" spans="2:42" ht="12.75">
      <c r="B578" s="186"/>
      <c r="C578" s="85"/>
      <c r="D578" s="85"/>
      <c r="E578" s="187"/>
      <c r="F578" s="187"/>
      <c r="G578" s="187"/>
      <c r="H578" s="187"/>
      <c r="I578" s="92"/>
      <c r="J578" s="92"/>
      <c r="K578" s="187"/>
      <c r="L578" s="187"/>
      <c r="M578" s="187"/>
      <c r="N578" s="187"/>
      <c r="O578" s="92"/>
      <c r="P578" s="187"/>
      <c r="Q578" s="187"/>
      <c r="R578" s="187"/>
      <c r="S578" s="187"/>
      <c r="T578" s="85"/>
      <c r="U578" s="189"/>
      <c r="V578" s="189"/>
      <c r="W578" s="189"/>
      <c r="X578" s="189"/>
      <c r="Y578" s="100"/>
      <c r="AA578" s="96"/>
      <c r="AB578" s="96"/>
      <c r="AC578" s="96"/>
      <c r="AD578" s="97"/>
      <c r="AE578" s="96"/>
      <c r="AF578" s="98"/>
      <c r="AG578" s="96"/>
      <c r="AH578" s="96"/>
      <c r="AI578" s="96"/>
      <c r="AJ578" s="96"/>
      <c r="AK578" s="96"/>
      <c r="AL578" s="96"/>
      <c r="AM578" s="96"/>
      <c r="AN578" s="96"/>
      <c r="AO578" s="96"/>
      <c r="AP578" s="96"/>
    </row>
    <row r="579" spans="2:42" ht="12.75">
      <c r="B579" s="186"/>
      <c r="C579" s="85"/>
      <c r="D579" s="85"/>
      <c r="E579" s="187"/>
      <c r="F579" s="187"/>
      <c r="G579" s="187"/>
      <c r="H579" s="187"/>
      <c r="I579" s="92"/>
      <c r="J579" s="92"/>
      <c r="K579" s="187"/>
      <c r="L579" s="187"/>
      <c r="M579" s="187"/>
      <c r="N579" s="187"/>
      <c r="O579" s="92"/>
      <c r="P579" s="187"/>
      <c r="Q579" s="187"/>
      <c r="R579" s="187"/>
      <c r="S579" s="187"/>
      <c r="T579" s="85"/>
      <c r="U579" s="189"/>
      <c r="V579" s="189"/>
      <c r="W579" s="189"/>
      <c r="X579" s="189"/>
      <c r="Y579" s="100"/>
      <c r="AA579" s="96"/>
      <c r="AB579" s="96"/>
      <c r="AC579" s="96"/>
      <c r="AD579" s="97"/>
      <c r="AE579" s="96"/>
      <c r="AF579" s="98"/>
      <c r="AG579" s="96"/>
      <c r="AH579" s="96"/>
      <c r="AI579" s="96"/>
      <c r="AJ579" s="96"/>
      <c r="AK579" s="96"/>
      <c r="AL579" s="96"/>
      <c r="AM579" s="96"/>
      <c r="AN579" s="96"/>
      <c r="AO579" s="96"/>
      <c r="AP579" s="96"/>
    </row>
    <row r="580" spans="2:42" ht="12.75">
      <c r="B580" s="186"/>
      <c r="C580" s="85"/>
      <c r="D580" s="85"/>
      <c r="E580" s="187"/>
      <c r="F580" s="187"/>
      <c r="G580" s="187"/>
      <c r="H580" s="187"/>
      <c r="I580" s="92"/>
      <c r="J580" s="92"/>
      <c r="K580" s="187"/>
      <c r="L580" s="187"/>
      <c r="M580" s="187"/>
      <c r="N580" s="187"/>
      <c r="O580" s="92"/>
      <c r="P580" s="187"/>
      <c r="Q580" s="187"/>
      <c r="R580" s="187"/>
      <c r="S580" s="187"/>
      <c r="T580" s="85"/>
      <c r="U580" s="189"/>
      <c r="V580" s="189"/>
      <c r="W580" s="189"/>
      <c r="X580" s="189"/>
      <c r="Y580" s="100"/>
      <c r="AA580" s="96"/>
      <c r="AB580" s="96"/>
      <c r="AC580" s="96"/>
      <c r="AD580" s="97"/>
      <c r="AE580" s="96"/>
      <c r="AF580" s="98"/>
      <c r="AG580" s="96"/>
      <c r="AH580" s="96"/>
      <c r="AI580" s="96"/>
      <c r="AJ580" s="96"/>
      <c r="AK580" s="96"/>
      <c r="AL580" s="96"/>
      <c r="AM580" s="96"/>
      <c r="AN580" s="96"/>
      <c r="AO580" s="96"/>
      <c r="AP580" s="96"/>
    </row>
    <row r="581" spans="2:42" ht="12.75">
      <c r="B581" s="186"/>
      <c r="C581" s="85"/>
      <c r="D581" s="85"/>
      <c r="E581" s="187"/>
      <c r="F581" s="187"/>
      <c r="G581" s="187"/>
      <c r="H581" s="187"/>
      <c r="I581" s="92"/>
      <c r="J581" s="92"/>
      <c r="K581" s="187"/>
      <c r="L581" s="187"/>
      <c r="M581" s="187"/>
      <c r="N581" s="187"/>
      <c r="O581" s="92"/>
      <c r="P581" s="187"/>
      <c r="Q581" s="187"/>
      <c r="R581" s="187"/>
      <c r="S581" s="187"/>
      <c r="T581" s="85"/>
      <c r="U581" s="189"/>
      <c r="V581" s="189"/>
      <c r="W581" s="189"/>
      <c r="X581" s="189"/>
      <c r="Y581" s="100"/>
      <c r="AA581" s="96"/>
      <c r="AB581" s="96"/>
      <c r="AC581" s="96"/>
      <c r="AD581" s="97"/>
      <c r="AE581" s="96"/>
      <c r="AF581" s="98"/>
      <c r="AG581" s="96"/>
      <c r="AH581" s="96"/>
      <c r="AI581" s="96"/>
      <c r="AJ581" s="96"/>
      <c r="AK581" s="96"/>
      <c r="AL581" s="96"/>
      <c r="AM581" s="96"/>
      <c r="AN581" s="96"/>
      <c r="AO581" s="96"/>
      <c r="AP581" s="96"/>
    </row>
    <row r="582" spans="2:42" ht="12.75">
      <c r="B582" s="186"/>
      <c r="C582" s="85"/>
      <c r="D582" s="85"/>
      <c r="E582" s="187"/>
      <c r="F582" s="187"/>
      <c r="G582" s="187"/>
      <c r="H582" s="187"/>
      <c r="I582" s="92"/>
      <c r="J582" s="92"/>
      <c r="K582" s="187"/>
      <c r="L582" s="187"/>
      <c r="M582" s="187"/>
      <c r="N582" s="187"/>
      <c r="O582" s="92"/>
      <c r="P582" s="187"/>
      <c r="Q582" s="187"/>
      <c r="R582" s="187"/>
      <c r="S582" s="187"/>
      <c r="T582" s="85"/>
      <c r="U582" s="189"/>
      <c r="V582" s="189"/>
      <c r="W582" s="189"/>
      <c r="X582" s="189"/>
      <c r="Y582" s="100"/>
      <c r="AA582" s="96"/>
      <c r="AB582" s="96"/>
      <c r="AC582" s="96"/>
      <c r="AD582" s="97"/>
      <c r="AE582" s="96"/>
      <c r="AF582" s="98"/>
      <c r="AG582" s="96"/>
      <c r="AH582" s="96"/>
      <c r="AI582" s="96"/>
      <c r="AJ582" s="96"/>
      <c r="AK582" s="96"/>
      <c r="AL582" s="96"/>
      <c r="AM582" s="96"/>
      <c r="AN582" s="96"/>
      <c r="AO582" s="96"/>
      <c r="AP582" s="96"/>
    </row>
    <row r="583" spans="2:42" ht="12.75">
      <c r="B583" s="186"/>
      <c r="C583" s="85"/>
      <c r="D583" s="85"/>
      <c r="E583" s="187"/>
      <c r="F583" s="187"/>
      <c r="G583" s="187"/>
      <c r="H583" s="187"/>
      <c r="I583" s="92"/>
      <c r="J583" s="92"/>
      <c r="K583" s="187"/>
      <c r="L583" s="187"/>
      <c r="M583" s="187"/>
      <c r="N583" s="187"/>
      <c r="O583" s="92"/>
      <c r="P583" s="187"/>
      <c r="Q583" s="187"/>
      <c r="R583" s="187"/>
      <c r="S583" s="187"/>
      <c r="T583" s="85"/>
      <c r="U583" s="189"/>
      <c r="V583" s="189"/>
      <c r="W583" s="189"/>
      <c r="X583" s="189"/>
      <c r="Y583" s="100"/>
      <c r="AA583" s="96"/>
      <c r="AB583" s="96"/>
      <c r="AC583" s="96"/>
      <c r="AD583" s="97"/>
      <c r="AE583" s="96"/>
      <c r="AF583" s="98"/>
      <c r="AG583" s="96"/>
      <c r="AH583" s="96"/>
      <c r="AI583" s="96"/>
      <c r="AJ583" s="96"/>
      <c r="AK583" s="96"/>
      <c r="AL583" s="96"/>
      <c r="AM583" s="96"/>
      <c r="AN583" s="96"/>
      <c r="AO583" s="96"/>
      <c r="AP583" s="96"/>
    </row>
    <row r="584" spans="2:42" ht="12.75">
      <c r="B584" s="186"/>
      <c r="C584" s="85"/>
      <c r="D584" s="85"/>
      <c r="E584" s="187"/>
      <c r="F584" s="187"/>
      <c r="G584" s="187"/>
      <c r="H584" s="187"/>
      <c r="I584" s="92"/>
      <c r="J584" s="92"/>
      <c r="K584" s="187"/>
      <c r="L584" s="187"/>
      <c r="M584" s="187"/>
      <c r="N584" s="187"/>
      <c r="O584" s="92"/>
      <c r="P584" s="187"/>
      <c r="Q584" s="187"/>
      <c r="R584" s="187"/>
      <c r="S584" s="187"/>
      <c r="T584" s="85"/>
      <c r="U584" s="189"/>
      <c r="V584" s="189"/>
      <c r="W584" s="189"/>
      <c r="X584" s="189"/>
      <c r="Y584" s="100"/>
      <c r="AA584" s="96"/>
      <c r="AB584" s="96"/>
      <c r="AC584" s="96"/>
      <c r="AD584" s="97"/>
      <c r="AE584" s="96"/>
      <c r="AF584" s="98"/>
      <c r="AG584" s="96"/>
      <c r="AH584" s="96"/>
      <c r="AI584" s="96"/>
      <c r="AJ584" s="96"/>
      <c r="AK584" s="96"/>
      <c r="AL584" s="96"/>
      <c r="AM584" s="96"/>
      <c r="AN584" s="96"/>
      <c r="AO584" s="96"/>
      <c r="AP584" s="96"/>
    </row>
    <row r="585" spans="2:42" ht="12.75">
      <c r="B585" s="186"/>
      <c r="C585" s="85"/>
      <c r="D585" s="85"/>
      <c r="E585" s="187"/>
      <c r="F585" s="187"/>
      <c r="G585" s="187"/>
      <c r="H585" s="187"/>
      <c r="I585" s="92"/>
      <c r="J585" s="92"/>
      <c r="K585" s="187"/>
      <c r="L585" s="187"/>
      <c r="M585" s="187"/>
      <c r="N585" s="187"/>
      <c r="O585" s="92"/>
      <c r="P585" s="187"/>
      <c r="Q585" s="187"/>
      <c r="R585" s="187"/>
      <c r="S585" s="187"/>
      <c r="T585" s="85"/>
      <c r="U585" s="189"/>
      <c r="V585" s="189"/>
      <c r="W585" s="189"/>
      <c r="X585" s="189"/>
      <c r="Y585" s="100"/>
      <c r="AA585" s="96"/>
      <c r="AB585" s="96"/>
      <c r="AC585" s="96"/>
      <c r="AD585" s="97"/>
      <c r="AE585" s="96"/>
      <c r="AF585" s="98"/>
      <c r="AG585" s="96"/>
      <c r="AH585" s="96"/>
      <c r="AI585" s="96"/>
      <c r="AJ585" s="96"/>
      <c r="AK585" s="96"/>
      <c r="AL585" s="96"/>
      <c r="AM585" s="96"/>
      <c r="AN585" s="96"/>
      <c r="AO585" s="96"/>
      <c r="AP585" s="96"/>
    </row>
    <row r="586" spans="2:42" ht="12.75">
      <c r="B586" s="186"/>
      <c r="C586" s="85"/>
      <c r="D586" s="85"/>
      <c r="E586" s="187"/>
      <c r="F586" s="187"/>
      <c r="G586" s="187"/>
      <c r="H586" s="187"/>
      <c r="I586" s="92"/>
      <c r="J586" s="92"/>
      <c r="K586" s="187"/>
      <c r="L586" s="187"/>
      <c r="M586" s="187"/>
      <c r="N586" s="187"/>
      <c r="O586" s="92"/>
      <c r="P586" s="187"/>
      <c r="Q586" s="187"/>
      <c r="R586" s="187"/>
      <c r="S586" s="187"/>
      <c r="T586" s="85"/>
      <c r="U586" s="189"/>
      <c r="V586" s="189"/>
      <c r="W586" s="189"/>
      <c r="X586" s="189"/>
      <c r="Y586" s="100"/>
      <c r="AA586" s="96"/>
      <c r="AB586" s="96"/>
      <c r="AC586" s="96"/>
      <c r="AD586" s="97"/>
      <c r="AE586" s="96"/>
      <c r="AF586" s="98"/>
      <c r="AG586" s="96"/>
      <c r="AH586" s="96"/>
      <c r="AI586" s="96"/>
      <c r="AJ586" s="96"/>
      <c r="AK586" s="96"/>
      <c r="AL586" s="96"/>
      <c r="AM586" s="96"/>
      <c r="AN586" s="96"/>
      <c r="AO586" s="96"/>
      <c r="AP586" s="96"/>
    </row>
    <row r="587" spans="2:42" ht="12.75">
      <c r="B587" s="186"/>
      <c r="C587" s="85"/>
      <c r="D587" s="85"/>
      <c r="E587" s="187"/>
      <c r="F587" s="187"/>
      <c r="G587" s="187"/>
      <c r="H587" s="187"/>
      <c r="I587" s="92"/>
      <c r="J587" s="92"/>
      <c r="K587" s="187"/>
      <c r="L587" s="187"/>
      <c r="M587" s="187"/>
      <c r="N587" s="187"/>
      <c r="O587" s="92"/>
      <c r="P587" s="187"/>
      <c r="Q587" s="187"/>
      <c r="R587" s="187"/>
      <c r="S587" s="187"/>
      <c r="T587" s="85"/>
      <c r="U587" s="189"/>
      <c r="V587" s="189"/>
      <c r="W587" s="189"/>
      <c r="X587" s="189"/>
      <c r="Y587" s="100"/>
      <c r="AA587" s="96"/>
      <c r="AB587" s="96"/>
      <c r="AC587" s="96"/>
      <c r="AD587" s="97"/>
      <c r="AE587" s="96"/>
      <c r="AF587" s="98"/>
      <c r="AG587" s="96"/>
      <c r="AH587" s="96"/>
      <c r="AI587" s="96"/>
      <c r="AJ587" s="96"/>
      <c r="AK587" s="96"/>
      <c r="AL587" s="96"/>
      <c r="AM587" s="96"/>
      <c r="AN587" s="96"/>
      <c r="AO587" s="96"/>
      <c r="AP587" s="96"/>
    </row>
    <row r="588" spans="2:42" ht="12.75">
      <c r="B588" s="186"/>
      <c r="C588" s="85"/>
      <c r="D588" s="85"/>
      <c r="E588" s="187"/>
      <c r="F588" s="187"/>
      <c r="G588" s="187"/>
      <c r="H588" s="187"/>
      <c r="I588" s="92"/>
      <c r="J588" s="92"/>
      <c r="K588" s="187"/>
      <c r="L588" s="187"/>
      <c r="M588" s="187"/>
      <c r="N588" s="187"/>
      <c r="O588" s="92"/>
      <c r="P588" s="187"/>
      <c r="Q588" s="187"/>
      <c r="R588" s="187"/>
      <c r="S588" s="187"/>
      <c r="T588" s="85"/>
      <c r="U588" s="189"/>
      <c r="V588" s="189"/>
      <c r="W588" s="189"/>
      <c r="X588" s="189"/>
      <c r="Y588" s="100"/>
      <c r="AA588" s="96"/>
      <c r="AB588" s="96"/>
      <c r="AC588" s="96"/>
      <c r="AD588" s="97"/>
      <c r="AE588" s="96"/>
      <c r="AF588" s="98"/>
      <c r="AG588" s="96"/>
      <c r="AH588" s="96"/>
      <c r="AI588" s="96"/>
      <c r="AJ588" s="96"/>
      <c r="AK588" s="96"/>
      <c r="AL588" s="96"/>
      <c r="AM588" s="96"/>
      <c r="AN588" s="96"/>
      <c r="AO588" s="96"/>
      <c r="AP588" s="96"/>
    </row>
    <row r="589" spans="2:42" ht="12.75">
      <c r="B589" s="186"/>
      <c r="C589" s="85"/>
      <c r="D589" s="85"/>
      <c r="E589" s="187"/>
      <c r="F589" s="187"/>
      <c r="G589" s="187"/>
      <c r="H589" s="187"/>
      <c r="I589" s="92"/>
      <c r="J589" s="92"/>
      <c r="K589" s="187"/>
      <c r="L589" s="187"/>
      <c r="M589" s="187"/>
      <c r="N589" s="187"/>
      <c r="O589" s="92"/>
      <c r="P589" s="187"/>
      <c r="Q589" s="187"/>
      <c r="R589" s="187"/>
      <c r="S589" s="187"/>
      <c r="T589" s="85"/>
      <c r="U589" s="189"/>
      <c r="V589" s="189"/>
      <c r="W589" s="189"/>
      <c r="X589" s="189"/>
      <c r="Y589" s="100"/>
      <c r="AA589" s="96"/>
      <c r="AB589" s="96"/>
      <c r="AC589" s="96"/>
      <c r="AD589" s="97"/>
      <c r="AE589" s="96"/>
      <c r="AF589" s="98"/>
      <c r="AG589" s="96"/>
      <c r="AH589" s="96"/>
      <c r="AI589" s="96"/>
      <c r="AJ589" s="96"/>
      <c r="AK589" s="96"/>
      <c r="AL589" s="96"/>
      <c r="AM589" s="96"/>
      <c r="AN589" s="96"/>
      <c r="AO589" s="96"/>
      <c r="AP589" s="96"/>
    </row>
    <row r="590" spans="2:42" ht="12.75">
      <c r="B590" s="186"/>
      <c r="C590" s="85"/>
      <c r="D590" s="85"/>
      <c r="E590" s="187"/>
      <c r="F590" s="187"/>
      <c r="G590" s="187"/>
      <c r="H590" s="187"/>
      <c r="I590" s="92"/>
      <c r="J590" s="92"/>
      <c r="K590" s="187"/>
      <c r="L590" s="187"/>
      <c r="M590" s="187"/>
      <c r="N590" s="187"/>
      <c r="O590" s="92"/>
      <c r="P590" s="187"/>
      <c r="Q590" s="187"/>
      <c r="R590" s="187"/>
      <c r="S590" s="187"/>
      <c r="T590" s="85"/>
      <c r="U590" s="189"/>
      <c r="V590" s="189"/>
      <c r="W590" s="189"/>
      <c r="X590" s="189"/>
      <c r="Y590" s="100"/>
      <c r="AA590" s="96"/>
      <c r="AB590" s="96"/>
      <c r="AC590" s="96"/>
      <c r="AD590" s="97"/>
      <c r="AE590" s="96"/>
      <c r="AF590" s="98"/>
      <c r="AG590" s="96"/>
      <c r="AH590" s="96"/>
      <c r="AI590" s="96"/>
      <c r="AJ590" s="96"/>
      <c r="AK590" s="96"/>
      <c r="AL590" s="96"/>
      <c r="AM590" s="96"/>
      <c r="AN590" s="96"/>
      <c r="AO590" s="96"/>
      <c r="AP590" s="96"/>
    </row>
    <row r="591" spans="2:42" ht="12.75">
      <c r="B591" s="186"/>
      <c r="C591" s="85"/>
      <c r="D591" s="85"/>
      <c r="E591" s="187"/>
      <c r="F591" s="187"/>
      <c r="G591" s="187"/>
      <c r="H591" s="187"/>
      <c r="I591" s="92"/>
      <c r="J591" s="92"/>
      <c r="K591" s="187"/>
      <c r="L591" s="187"/>
      <c r="M591" s="187"/>
      <c r="N591" s="187"/>
      <c r="O591" s="92"/>
      <c r="P591" s="187"/>
      <c r="Q591" s="187"/>
      <c r="R591" s="187"/>
      <c r="S591" s="187"/>
      <c r="T591" s="85"/>
      <c r="U591" s="189"/>
      <c r="V591" s="189"/>
      <c r="W591" s="189"/>
      <c r="X591" s="189"/>
      <c r="Y591" s="100"/>
      <c r="AA591" s="96"/>
      <c r="AB591" s="96"/>
      <c r="AC591" s="96"/>
      <c r="AD591" s="97"/>
      <c r="AE591" s="96"/>
      <c r="AF591" s="98"/>
      <c r="AG591" s="96"/>
      <c r="AH591" s="96"/>
      <c r="AI591" s="96"/>
      <c r="AJ591" s="96"/>
      <c r="AK591" s="96"/>
      <c r="AL591" s="96"/>
      <c r="AM591" s="96"/>
      <c r="AN591" s="96"/>
      <c r="AO591" s="96"/>
      <c r="AP591" s="96"/>
    </row>
    <row r="592" spans="2:42" ht="12.75">
      <c r="B592" s="186"/>
      <c r="C592" s="85"/>
      <c r="D592" s="85"/>
      <c r="E592" s="187"/>
      <c r="F592" s="187"/>
      <c r="G592" s="187"/>
      <c r="H592" s="187"/>
      <c r="I592" s="92"/>
      <c r="J592" s="92"/>
      <c r="K592" s="187"/>
      <c r="L592" s="187"/>
      <c r="M592" s="187"/>
      <c r="N592" s="187"/>
      <c r="O592" s="92"/>
      <c r="P592" s="187"/>
      <c r="Q592" s="187"/>
      <c r="R592" s="187"/>
      <c r="S592" s="187"/>
      <c r="T592" s="85"/>
      <c r="U592" s="189"/>
      <c r="V592" s="189"/>
      <c r="W592" s="189"/>
      <c r="X592" s="189"/>
      <c r="Y592" s="100"/>
      <c r="AA592" s="96"/>
      <c r="AB592" s="96"/>
      <c r="AC592" s="96"/>
      <c r="AD592" s="97"/>
      <c r="AE592" s="96"/>
      <c r="AF592" s="98"/>
      <c r="AG592" s="96"/>
      <c r="AH592" s="96"/>
      <c r="AI592" s="96"/>
      <c r="AJ592" s="96"/>
      <c r="AK592" s="96"/>
      <c r="AL592" s="96"/>
      <c r="AM592" s="96"/>
      <c r="AN592" s="96"/>
      <c r="AO592" s="96"/>
      <c r="AP592" s="96"/>
    </row>
    <row r="593" spans="2:42" ht="12.75">
      <c r="B593" s="186"/>
      <c r="C593" s="85"/>
      <c r="D593" s="85"/>
      <c r="E593" s="187"/>
      <c r="F593" s="187"/>
      <c r="G593" s="187"/>
      <c r="H593" s="187"/>
      <c r="I593" s="92"/>
      <c r="J593" s="92"/>
      <c r="K593" s="187"/>
      <c r="L593" s="187"/>
      <c r="M593" s="187"/>
      <c r="N593" s="187"/>
      <c r="O593" s="92"/>
      <c r="P593" s="187"/>
      <c r="Q593" s="187"/>
      <c r="R593" s="187"/>
      <c r="S593" s="187"/>
      <c r="T593" s="85"/>
      <c r="U593" s="189"/>
      <c r="V593" s="189"/>
      <c r="W593" s="189"/>
      <c r="X593" s="189"/>
      <c r="Y593" s="100"/>
      <c r="AA593" s="96"/>
      <c r="AB593" s="96"/>
      <c r="AC593" s="96"/>
      <c r="AD593" s="97"/>
      <c r="AE593" s="96"/>
      <c r="AF593" s="98"/>
      <c r="AG593" s="96"/>
      <c r="AH593" s="96"/>
      <c r="AI593" s="96"/>
      <c r="AJ593" s="96"/>
      <c r="AK593" s="96"/>
      <c r="AL593" s="96"/>
      <c r="AM593" s="96"/>
      <c r="AN593" s="96"/>
      <c r="AO593" s="96"/>
      <c r="AP593" s="96"/>
    </row>
    <row r="594" spans="2:42" ht="12.75">
      <c r="B594" s="186"/>
      <c r="C594" s="85"/>
      <c r="D594" s="85"/>
      <c r="E594" s="187"/>
      <c r="F594" s="187"/>
      <c r="G594" s="187"/>
      <c r="H594" s="187"/>
      <c r="I594" s="92"/>
      <c r="J594" s="92"/>
      <c r="K594" s="187"/>
      <c r="L594" s="187"/>
      <c r="M594" s="187"/>
      <c r="N594" s="187"/>
      <c r="O594" s="92"/>
      <c r="P594" s="187"/>
      <c r="Q594" s="187"/>
      <c r="R594" s="187"/>
      <c r="S594" s="187"/>
      <c r="T594" s="85"/>
      <c r="U594" s="189"/>
      <c r="V594" s="189"/>
      <c r="W594" s="189"/>
      <c r="X594" s="189"/>
      <c r="Y594" s="100"/>
      <c r="AA594" s="96"/>
      <c r="AB594" s="96"/>
      <c r="AC594" s="96"/>
      <c r="AD594" s="97"/>
      <c r="AE594" s="96"/>
      <c r="AF594" s="98"/>
      <c r="AG594" s="96"/>
      <c r="AH594" s="96"/>
      <c r="AI594" s="96"/>
      <c r="AJ594" s="96"/>
      <c r="AK594" s="96"/>
      <c r="AL594" s="96"/>
      <c r="AM594" s="96"/>
      <c r="AN594" s="96"/>
      <c r="AO594" s="96"/>
      <c r="AP594" s="96"/>
    </row>
    <row r="595" spans="2:42" ht="12.75">
      <c r="B595" s="186"/>
      <c r="C595" s="85"/>
      <c r="D595" s="85"/>
      <c r="E595" s="187"/>
      <c r="F595" s="187"/>
      <c r="G595" s="187"/>
      <c r="H595" s="187"/>
      <c r="I595" s="92"/>
      <c r="J595" s="92"/>
      <c r="K595" s="187"/>
      <c r="L595" s="187"/>
      <c r="M595" s="187"/>
      <c r="N595" s="187"/>
      <c r="O595" s="92"/>
      <c r="P595" s="187"/>
      <c r="Q595" s="187"/>
      <c r="R595" s="187"/>
      <c r="S595" s="187"/>
      <c r="T595" s="85"/>
      <c r="U595" s="189"/>
      <c r="V595" s="189"/>
      <c r="W595" s="189"/>
      <c r="X595" s="189"/>
      <c r="Y595" s="100"/>
      <c r="AA595" s="96"/>
      <c r="AB595" s="96"/>
      <c r="AC595" s="96"/>
      <c r="AD595" s="97"/>
      <c r="AE595" s="96"/>
      <c r="AF595" s="98"/>
      <c r="AG595" s="96"/>
      <c r="AH595" s="96"/>
      <c r="AI595" s="96"/>
      <c r="AJ595" s="96"/>
      <c r="AK595" s="96"/>
      <c r="AL595" s="96"/>
      <c r="AM595" s="96"/>
      <c r="AN595" s="96"/>
      <c r="AO595" s="96"/>
      <c r="AP595" s="96"/>
    </row>
    <row r="596" spans="2:42" ht="12.75">
      <c r="B596" s="186"/>
      <c r="C596" s="85"/>
      <c r="D596" s="85"/>
      <c r="E596" s="187"/>
      <c r="F596" s="187"/>
      <c r="G596" s="187"/>
      <c r="H596" s="187"/>
      <c r="I596" s="92"/>
      <c r="J596" s="92"/>
      <c r="K596" s="187"/>
      <c r="L596" s="187"/>
      <c r="M596" s="187"/>
      <c r="N596" s="187"/>
      <c r="O596" s="92"/>
      <c r="P596" s="187"/>
      <c r="Q596" s="187"/>
      <c r="R596" s="187"/>
      <c r="S596" s="187"/>
      <c r="T596" s="85"/>
      <c r="U596" s="189"/>
      <c r="V596" s="189"/>
      <c r="W596" s="189"/>
      <c r="X596" s="189"/>
      <c r="Y596" s="100"/>
      <c r="AA596" s="96"/>
      <c r="AB596" s="96"/>
      <c r="AC596" s="96"/>
      <c r="AD596" s="97"/>
      <c r="AE596" s="96"/>
      <c r="AF596" s="98"/>
      <c r="AG596" s="96"/>
      <c r="AH596" s="96"/>
      <c r="AI596" s="96"/>
      <c r="AJ596" s="96"/>
      <c r="AK596" s="96"/>
      <c r="AL596" s="96"/>
      <c r="AM596" s="96"/>
      <c r="AN596" s="96"/>
      <c r="AO596" s="96"/>
      <c r="AP596" s="96"/>
    </row>
    <row r="597" spans="2:42" ht="12.75">
      <c r="B597" s="186"/>
      <c r="C597" s="85"/>
      <c r="D597" s="85"/>
      <c r="E597" s="187"/>
      <c r="F597" s="187"/>
      <c r="G597" s="187"/>
      <c r="H597" s="187"/>
      <c r="I597" s="92"/>
      <c r="J597" s="92"/>
      <c r="K597" s="187"/>
      <c r="L597" s="187"/>
      <c r="M597" s="187"/>
      <c r="N597" s="187"/>
      <c r="O597" s="92"/>
      <c r="P597" s="187"/>
      <c r="Q597" s="187"/>
      <c r="R597" s="187"/>
      <c r="S597" s="187"/>
      <c r="T597" s="85"/>
      <c r="U597" s="189"/>
      <c r="V597" s="189"/>
      <c r="W597" s="189"/>
      <c r="X597" s="189"/>
      <c r="Y597" s="100"/>
      <c r="AA597" s="96"/>
      <c r="AB597" s="96"/>
      <c r="AC597" s="96"/>
      <c r="AD597" s="97"/>
      <c r="AE597" s="96"/>
      <c r="AF597" s="98"/>
      <c r="AG597" s="96"/>
      <c r="AH597" s="96"/>
      <c r="AI597" s="96"/>
      <c r="AJ597" s="96"/>
      <c r="AK597" s="96"/>
      <c r="AL597" s="96"/>
      <c r="AM597" s="96"/>
      <c r="AN597" s="96"/>
      <c r="AO597" s="96"/>
      <c r="AP597" s="96"/>
    </row>
    <row r="598" spans="2:42" ht="12.75">
      <c r="B598" s="186"/>
      <c r="C598" s="85"/>
      <c r="D598" s="85"/>
      <c r="E598" s="187"/>
      <c r="F598" s="187"/>
      <c r="G598" s="187"/>
      <c r="H598" s="187"/>
      <c r="I598" s="92"/>
      <c r="J598" s="92"/>
      <c r="K598" s="187"/>
      <c r="L598" s="187"/>
      <c r="M598" s="187"/>
      <c r="N598" s="187"/>
      <c r="O598" s="92"/>
      <c r="P598" s="187"/>
      <c r="Q598" s="187"/>
      <c r="R598" s="187"/>
      <c r="S598" s="187"/>
      <c r="T598" s="85"/>
      <c r="U598" s="189"/>
      <c r="V598" s="189"/>
      <c r="W598" s="189"/>
      <c r="X598" s="189"/>
      <c r="Y598" s="100"/>
      <c r="AA598" s="96"/>
      <c r="AB598" s="96"/>
      <c r="AC598" s="96"/>
      <c r="AD598" s="97"/>
      <c r="AE598" s="96"/>
      <c r="AF598" s="98"/>
      <c r="AG598" s="96"/>
      <c r="AH598" s="96"/>
      <c r="AI598" s="96"/>
      <c r="AJ598" s="96"/>
      <c r="AK598" s="96"/>
      <c r="AL598" s="96"/>
      <c r="AM598" s="96"/>
      <c r="AN598" s="96"/>
      <c r="AO598" s="96"/>
      <c r="AP598" s="96"/>
    </row>
    <row r="599" spans="2:42" ht="12.75">
      <c r="B599" s="186"/>
      <c r="C599" s="85"/>
      <c r="D599" s="85"/>
      <c r="E599" s="187"/>
      <c r="F599" s="187"/>
      <c r="G599" s="187"/>
      <c r="H599" s="187"/>
      <c r="I599" s="92"/>
      <c r="J599" s="92"/>
      <c r="K599" s="187"/>
      <c r="L599" s="187"/>
      <c r="M599" s="187"/>
      <c r="N599" s="187"/>
      <c r="O599" s="92"/>
      <c r="P599" s="187"/>
      <c r="Q599" s="187"/>
      <c r="R599" s="187"/>
      <c r="S599" s="187"/>
      <c r="T599" s="85"/>
      <c r="U599" s="189"/>
      <c r="V599" s="189"/>
      <c r="W599" s="189"/>
      <c r="X599" s="189"/>
      <c r="Y599" s="100"/>
      <c r="AA599" s="96"/>
      <c r="AB599" s="96"/>
      <c r="AC599" s="96"/>
      <c r="AD599" s="97"/>
      <c r="AE599" s="96"/>
      <c r="AF599" s="98"/>
      <c r="AG599" s="96"/>
      <c r="AH599" s="96"/>
      <c r="AI599" s="96"/>
      <c r="AJ599" s="96"/>
      <c r="AK599" s="96"/>
      <c r="AL599" s="96"/>
      <c r="AM599" s="96"/>
      <c r="AN599" s="96"/>
      <c r="AO599" s="96"/>
      <c r="AP599" s="96"/>
    </row>
    <row r="600" spans="2:42" ht="12.75">
      <c r="B600" s="186"/>
      <c r="C600" s="85"/>
      <c r="D600" s="85"/>
      <c r="E600" s="187"/>
      <c r="F600" s="187"/>
      <c r="G600" s="187"/>
      <c r="H600" s="187"/>
      <c r="I600" s="92"/>
      <c r="J600" s="92"/>
      <c r="K600" s="187"/>
      <c r="L600" s="187"/>
      <c r="M600" s="187"/>
      <c r="N600" s="187"/>
      <c r="O600" s="92"/>
      <c r="P600" s="187"/>
      <c r="Q600" s="187"/>
      <c r="R600" s="187"/>
      <c r="S600" s="187"/>
      <c r="T600" s="85"/>
      <c r="U600" s="189"/>
      <c r="V600" s="189"/>
      <c r="W600" s="189"/>
      <c r="X600" s="189"/>
      <c r="Y600" s="100"/>
      <c r="AA600" s="96"/>
      <c r="AB600" s="96"/>
      <c r="AC600" s="96"/>
      <c r="AD600" s="97"/>
      <c r="AE600" s="96"/>
      <c r="AF600" s="98"/>
      <c r="AG600" s="96"/>
      <c r="AH600" s="96"/>
      <c r="AI600" s="96"/>
      <c r="AJ600" s="96"/>
      <c r="AK600" s="96"/>
      <c r="AL600" s="96"/>
      <c r="AM600" s="96"/>
      <c r="AN600" s="96"/>
      <c r="AO600" s="96"/>
      <c r="AP600" s="96"/>
    </row>
    <row r="601" spans="2:42" ht="12.75">
      <c r="B601" s="186"/>
      <c r="C601" s="85"/>
      <c r="D601" s="85"/>
      <c r="E601" s="187"/>
      <c r="F601" s="187"/>
      <c r="G601" s="187"/>
      <c r="H601" s="187"/>
      <c r="I601" s="92"/>
      <c r="J601" s="92"/>
      <c r="K601" s="187"/>
      <c r="L601" s="187"/>
      <c r="M601" s="187"/>
      <c r="N601" s="187"/>
      <c r="O601" s="92"/>
      <c r="P601" s="187"/>
      <c r="Q601" s="187"/>
      <c r="R601" s="187"/>
      <c r="S601" s="187"/>
      <c r="T601" s="85"/>
      <c r="U601" s="189"/>
      <c r="V601" s="189"/>
      <c r="W601" s="189"/>
      <c r="X601" s="189"/>
      <c r="Y601" s="100"/>
      <c r="AA601" s="96"/>
      <c r="AB601" s="96"/>
      <c r="AC601" s="96"/>
      <c r="AD601" s="97"/>
      <c r="AE601" s="96"/>
      <c r="AF601" s="98"/>
      <c r="AG601" s="96"/>
      <c r="AH601" s="96"/>
      <c r="AI601" s="96"/>
      <c r="AJ601" s="96"/>
      <c r="AK601" s="96"/>
      <c r="AL601" s="96"/>
      <c r="AM601" s="96"/>
      <c r="AN601" s="96"/>
      <c r="AO601" s="96"/>
      <c r="AP601" s="96"/>
    </row>
    <row r="602" spans="2:42" ht="12.75">
      <c r="B602" s="186"/>
      <c r="C602" s="85"/>
      <c r="D602" s="85"/>
      <c r="E602" s="187"/>
      <c r="F602" s="187"/>
      <c r="G602" s="187"/>
      <c r="H602" s="187"/>
      <c r="I602" s="92"/>
      <c r="J602" s="92"/>
      <c r="K602" s="187"/>
      <c r="L602" s="187"/>
      <c r="M602" s="187"/>
      <c r="N602" s="187"/>
      <c r="O602" s="92"/>
      <c r="P602" s="187"/>
      <c r="Q602" s="187"/>
      <c r="R602" s="187"/>
      <c r="S602" s="187"/>
      <c r="T602" s="85"/>
      <c r="U602" s="189"/>
      <c r="V602" s="189"/>
      <c r="W602" s="189"/>
      <c r="X602" s="189"/>
      <c r="Y602" s="100"/>
      <c r="AA602" s="96"/>
      <c r="AB602" s="96"/>
      <c r="AC602" s="96"/>
      <c r="AD602" s="97"/>
      <c r="AE602" s="96"/>
      <c r="AF602" s="98"/>
      <c r="AG602" s="96"/>
      <c r="AH602" s="96"/>
      <c r="AI602" s="96"/>
      <c r="AJ602" s="96"/>
      <c r="AK602" s="96"/>
      <c r="AL602" s="96"/>
      <c r="AM602" s="96"/>
      <c r="AN602" s="96"/>
      <c r="AO602" s="96"/>
      <c r="AP602" s="96"/>
    </row>
    <row r="603" spans="2:42" ht="12.75">
      <c r="B603" s="186"/>
      <c r="C603" s="85"/>
      <c r="D603" s="85"/>
      <c r="E603" s="187"/>
      <c r="F603" s="187"/>
      <c r="G603" s="187"/>
      <c r="H603" s="187"/>
      <c r="I603" s="92"/>
      <c r="J603" s="92"/>
      <c r="K603" s="187"/>
      <c r="L603" s="187"/>
      <c r="M603" s="187"/>
      <c r="N603" s="187"/>
      <c r="O603" s="92"/>
      <c r="P603" s="187"/>
      <c r="Q603" s="187"/>
      <c r="R603" s="187"/>
      <c r="S603" s="187"/>
      <c r="T603" s="85"/>
      <c r="U603" s="189"/>
      <c r="V603" s="189"/>
      <c r="W603" s="189"/>
      <c r="X603" s="189"/>
      <c r="Y603" s="100"/>
      <c r="AA603" s="96"/>
      <c r="AB603" s="96"/>
      <c r="AC603" s="96"/>
      <c r="AD603" s="97"/>
      <c r="AE603" s="96"/>
      <c r="AF603" s="98"/>
      <c r="AG603" s="96"/>
      <c r="AH603" s="96"/>
      <c r="AI603" s="96"/>
      <c r="AJ603" s="96"/>
      <c r="AK603" s="96"/>
      <c r="AL603" s="96"/>
      <c r="AM603" s="96"/>
      <c r="AN603" s="96"/>
      <c r="AO603" s="96"/>
      <c r="AP603" s="96"/>
    </row>
    <row r="604" spans="2:42" ht="12.75">
      <c r="B604" s="186"/>
      <c r="C604" s="85"/>
      <c r="D604" s="85"/>
      <c r="E604" s="187"/>
      <c r="F604" s="187"/>
      <c r="G604" s="187"/>
      <c r="H604" s="187"/>
      <c r="I604" s="92"/>
      <c r="J604" s="92"/>
      <c r="K604" s="187"/>
      <c r="L604" s="187"/>
      <c r="M604" s="187"/>
      <c r="N604" s="187"/>
      <c r="O604" s="92"/>
      <c r="P604" s="187"/>
      <c r="Q604" s="187"/>
      <c r="R604" s="187"/>
      <c r="S604" s="187"/>
      <c r="T604" s="85"/>
      <c r="U604" s="189"/>
      <c r="V604" s="189"/>
      <c r="W604" s="189"/>
      <c r="X604" s="189"/>
      <c r="Y604" s="100"/>
      <c r="AA604" s="96"/>
      <c r="AB604" s="96"/>
      <c r="AC604" s="96"/>
      <c r="AD604" s="97"/>
      <c r="AE604" s="96"/>
      <c r="AF604" s="98"/>
      <c r="AG604" s="96"/>
      <c r="AH604" s="96"/>
      <c r="AI604" s="96"/>
      <c r="AJ604" s="96"/>
      <c r="AK604" s="96"/>
      <c r="AL604" s="96"/>
      <c r="AM604" s="96"/>
      <c r="AN604" s="96"/>
      <c r="AO604" s="96"/>
      <c r="AP604" s="96"/>
    </row>
    <row r="605" spans="2:42" ht="12.75">
      <c r="B605" s="186"/>
      <c r="C605" s="85"/>
      <c r="D605" s="85"/>
      <c r="E605" s="187"/>
      <c r="F605" s="187"/>
      <c r="G605" s="187"/>
      <c r="H605" s="187"/>
      <c r="I605" s="92"/>
      <c r="J605" s="92"/>
      <c r="K605" s="187"/>
      <c r="L605" s="187"/>
      <c r="M605" s="187"/>
      <c r="N605" s="187"/>
      <c r="O605" s="92"/>
      <c r="P605" s="187"/>
      <c r="Q605" s="187"/>
      <c r="R605" s="187"/>
      <c r="S605" s="187"/>
      <c r="T605" s="85"/>
      <c r="U605" s="189"/>
      <c r="V605" s="189"/>
      <c r="W605" s="189"/>
      <c r="X605" s="189"/>
      <c r="Y605" s="100"/>
      <c r="AA605" s="96"/>
      <c r="AB605" s="96"/>
      <c r="AC605" s="96"/>
      <c r="AD605" s="97"/>
      <c r="AE605" s="96"/>
      <c r="AF605" s="98"/>
      <c r="AG605" s="96"/>
      <c r="AH605" s="96"/>
      <c r="AI605" s="96"/>
      <c r="AJ605" s="96"/>
      <c r="AK605" s="96"/>
      <c r="AL605" s="96"/>
      <c r="AM605" s="96"/>
      <c r="AN605" s="96"/>
      <c r="AO605" s="96"/>
      <c r="AP605" s="96"/>
    </row>
    <row r="606" spans="2:42" ht="12.75">
      <c r="B606" s="186"/>
      <c r="C606" s="85"/>
      <c r="D606" s="85"/>
      <c r="E606" s="187"/>
      <c r="F606" s="187"/>
      <c r="G606" s="187"/>
      <c r="H606" s="187"/>
      <c r="I606" s="92"/>
      <c r="J606" s="92"/>
      <c r="K606" s="187"/>
      <c r="L606" s="187"/>
      <c r="M606" s="187"/>
      <c r="N606" s="187"/>
      <c r="O606" s="92"/>
      <c r="P606" s="187"/>
      <c r="Q606" s="187"/>
      <c r="R606" s="187"/>
      <c r="S606" s="187"/>
      <c r="T606" s="85"/>
      <c r="U606" s="189"/>
      <c r="V606" s="189"/>
      <c r="W606" s="189"/>
      <c r="X606" s="189"/>
      <c r="Y606" s="100"/>
      <c r="AA606" s="96"/>
      <c r="AB606" s="96"/>
      <c r="AC606" s="96"/>
      <c r="AD606" s="97"/>
      <c r="AE606" s="96"/>
      <c r="AF606" s="98"/>
      <c r="AG606" s="96"/>
      <c r="AH606" s="96"/>
      <c r="AI606" s="96"/>
      <c r="AJ606" s="96"/>
      <c r="AK606" s="96"/>
      <c r="AL606" s="96"/>
      <c r="AM606" s="96"/>
      <c r="AN606" s="96"/>
      <c r="AO606" s="96"/>
      <c r="AP606" s="96"/>
    </row>
    <row r="607" spans="2:42" ht="12.75">
      <c r="B607" s="186"/>
      <c r="C607" s="85"/>
      <c r="D607" s="85"/>
      <c r="E607" s="187"/>
      <c r="F607" s="187"/>
      <c r="G607" s="187"/>
      <c r="H607" s="187"/>
      <c r="I607" s="92"/>
      <c r="J607" s="92"/>
      <c r="K607" s="187"/>
      <c r="L607" s="187"/>
      <c r="M607" s="187"/>
      <c r="N607" s="187"/>
      <c r="O607" s="92"/>
      <c r="P607" s="187"/>
      <c r="Q607" s="187"/>
      <c r="R607" s="187"/>
      <c r="S607" s="187"/>
      <c r="T607" s="85"/>
      <c r="U607" s="189"/>
      <c r="V607" s="189"/>
      <c r="W607" s="189"/>
      <c r="X607" s="189"/>
      <c r="Y607" s="100"/>
      <c r="AA607" s="96"/>
      <c r="AB607" s="96"/>
      <c r="AC607" s="96"/>
      <c r="AD607" s="97"/>
      <c r="AE607" s="96"/>
      <c r="AF607" s="98"/>
      <c r="AG607" s="96"/>
      <c r="AH607" s="96"/>
      <c r="AI607" s="96"/>
      <c r="AJ607" s="96"/>
      <c r="AK607" s="96"/>
      <c r="AL607" s="96"/>
      <c r="AM607" s="96"/>
      <c r="AN607" s="96"/>
      <c r="AO607" s="96"/>
      <c r="AP607" s="96"/>
    </row>
    <row r="608" spans="2:42" ht="12.75">
      <c r="B608" s="186"/>
      <c r="C608" s="85"/>
      <c r="D608" s="85"/>
      <c r="E608" s="187"/>
      <c r="F608" s="187"/>
      <c r="G608" s="187"/>
      <c r="H608" s="187"/>
      <c r="I608" s="92"/>
      <c r="J608" s="92"/>
      <c r="K608" s="187"/>
      <c r="L608" s="187"/>
      <c r="M608" s="187"/>
      <c r="N608" s="187"/>
      <c r="O608" s="92"/>
      <c r="P608" s="187"/>
      <c r="Q608" s="187"/>
      <c r="R608" s="187"/>
      <c r="S608" s="187"/>
      <c r="T608" s="85"/>
      <c r="U608" s="189"/>
      <c r="V608" s="189"/>
      <c r="W608" s="189"/>
      <c r="X608" s="189"/>
      <c r="Y608" s="100"/>
      <c r="AA608" s="96"/>
      <c r="AB608" s="96"/>
      <c r="AC608" s="96"/>
      <c r="AD608" s="97"/>
      <c r="AE608" s="96"/>
      <c r="AF608" s="98"/>
      <c r="AG608" s="96"/>
      <c r="AH608" s="96"/>
      <c r="AI608" s="96"/>
      <c r="AJ608" s="96"/>
      <c r="AK608" s="96"/>
      <c r="AL608" s="96"/>
      <c r="AM608" s="96"/>
      <c r="AN608" s="96"/>
      <c r="AO608" s="96"/>
      <c r="AP608" s="96"/>
    </row>
    <row r="609" spans="2:42" ht="12.75">
      <c r="B609" s="186"/>
      <c r="C609" s="85"/>
      <c r="D609" s="85"/>
      <c r="E609" s="187"/>
      <c r="F609" s="187"/>
      <c r="G609" s="187"/>
      <c r="H609" s="187"/>
      <c r="I609" s="92"/>
      <c r="J609" s="92"/>
      <c r="K609" s="187"/>
      <c r="L609" s="187"/>
      <c r="M609" s="187"/>
      <c r="N609" s="187"/>
      <c r="O609" s="92"/>
      <c r="P609" s="187"/>
      <c r="Q609" s="187"/>
      <c r="R609" s="187"/>
      <c r="S609" s="187"/>
      <c r="T609" s="85"/>
      <c r="U609" s="189"/>
      <c r="V609" s="189"/>
      <c r="W609" s="189"/>
      <c r="X609" s="189"/>
      <c r="Y609" s="100"/>
      <c r="AA609" s="96"/>
      <c r="AB609" s="96"/>
      <c r="AC609" s="96"/>
      <c r="AD609" s="97"/>
      <c r="AE609" s="96"/>
      <c r="AF609" s="98"/>
      <c r="AG609" s="96"/>
      <c r="AH609" s="96"/>
      <c r="AI609" s="96"/>
      <c r="AJ609" s="96"/>
      <c r="AK609" s="96"/>
      <c r="AL609" s="96"/>
      <c r="AM609" s="96"/>
      <c r="AN609" s="96"/>
      <c r="AO609" s="96"/>
      <c r="AP609" s="96"/>
    </row>
    <row r="610" spans="2:42" ht="12.75">
      <c r="B610" s="186"/>
      <c r="C610" s="85"/>
      <c r="D610" s="85"/>
      <c r="E610" s="187"/>
      <c r="F610" s="187"/>
      <c r="G610" s="187"/>
      <c r="H610" s="187"/>
      <c r="I610" s="92"/>
      <c r="J610" s="92"/>
      <c r="K610" s="187"/>
      <c r="L610" s="187"/>
      <c r="M610" s="187"/>
      <c r="N610" s="187"/>
      <c r="O610" s="92"/>
      <c r="P610" s="187"/>
      <c r="Q610" s="187"/>
      <c r="R610" s="187"/>
      <c r="S610" s="187"/>
      <c r="T610" s="85"/>
      <c r="U610" s="189"/>
      <c r="V610" s="189"/>
      <c r="W610" s="189"/>
      <c r="X610" s="189"/>
      <c r="Y610" s="100"/>
      <c r="AA610" s="96"/>
      <c r="AB610" s="96"/>
      <c r="AC610" s="96"/>
      <c r="AD610" s="97"/>
      <c r="AE610" s="96"/>
      <c r="AF610" s="98"/>
      <c r="AG610" s="96"/>
      <c r="AH610" s="96"/>
      <c r="AI610" s="96"/>
      <c r="AJ610" s="96"/>
      <c r="AK610" s="96"/>
      <c r="AL610" s="96"/>
      <c r="AM610" s="96"/>
      <c r="AN610" s="96"/>
      <c r="AO610" s="96"/>
      <c r="AP610" s="96"/>
    </row>
    <row r="611" spans="2:42" ht="12.75">
      <c r="B611" s="186"/>
      <c r="C611" s="85"/>
      <c r="D611" s="85"/>
      <c r="E611" s="187"/>
      <c r="F611" s="187"/>
      <c r="G611" s="187"/>
      <c r="H611" s="187"/>
      <c r="I611" s="92"/>
      <c r="J611" s="92"/>
      <c r="K611" s="187"/>
      <c r="L611" s="187"/>
      <c r="M611" s="187"/>
      <c r="N611" s="187"/>
      <c r="O611" s="92"/>
      <c r="P611" s="187"/>
      <c r="Q611" s="187"/>
      <c r="R611" s="187"/>
      <c r="S611" s="187"/>
      <c r="T611" s="85"/>
      <c r="U611" s="189"/>
      <c r="V611" s="189"/>
      <c r="W611" s="189"/>
      <c r="X611" s="189"/>
      <c r="Y611" s="100"/>
      <c r="AA611" s="96"/>
      <c r="AB611" s="96"/>
      <c r="AC611" s="96"/>
      <c r="AD611" s="97"/>
      <c r="AE611" s="96"/>
      <c r="AF611" s="98"/>
      <c r="AG611" s="96"/>
      <c r="AH611" s="96"/>
      <c r="AI611" s="96"/>
      <c r="AJ611" s="96"/>
      <c r="AK611" s="96"/>
      <c r="AL611" s="96"/>
      <c r="AM611" s="96"/>
      <c r="AN611" s="96"/>
      <c r="AO611" s="96"/>
      <c r="AP611" s="96"/>
    </row>
    <row r="612" spans="2:42" ht="12.75">
      <c r="B612" s="186"/>
      <c r="C612" s="85"/>
      <c r="D612" s="85"/>
      <c r="E612" s="187"/>
      <c r="F612" s="187"/>
      <c r="G612" s="187"/>
      <c r="H612" s="187"/>
      <c r="I612" s="92"/>
      <c r="J612" s="92"/>
      <c r="K612" s="187"/>
      <c r="L612" s="187"/>
      <c r="M612" s="187"/>
      <c r="N612" s="187"/>
      <c r="O612" s="92"/>
      <c r="P612" s="187"/>
      <c r="Q612" s="187"/>
      <c r="R612" s="187"/>
      <c r="S612" s="187"/>
      <c r="T612" s="85"/>
      <c r="U612" s="189"/>
      <c r="V612" s="189"/>
      <c r="W612" s="189"/>
      <c r="X612" s="189"/>
      <c r="Y612" s="100"/>
      <c r="AA612" s="96"/>
      <c r="AB612" s="96"/>
      <c r="AC612" s="96"/>
      <c r="AD612" s="97"/>
      <c r="AE612" s="96"/>
      <c r="AF612" s="98"/>
      <c r="AG612" s="96"/>
      <c r="AH612" s="96"/>
      <c r="AI612" s="96"/>
      <c r="AJ612" s="96"/>
      <c r="AK612" s="96"/>
      <c r="AL612" s="96"/>
      <c r="AM612" s="96"/>
      <c r="AN612" s="96"/>
      <c r="AO612" s="96"/>
      <c r="AP612" s="96"/>
    </row>
    <row r="613" spans="2:42" ht="12.75">
      <c r="B613" s="186"/>
      <c r="C613" s="85"/>
      <c r="D613" s="85"/>
      <c r="E613" s="187"/>
      <c r="F613" s="187"/>
      <c r="G613" s="187"/>
      <c r="H613" s="187"/>
      <c r="I613" s="92"/>
      <c r="J613" s="92"/>
      <c r="K613" s="187"/>
      <c r="L613" s="187"/>
      <c r="M613" s="187"/>
      <c r="N613" s="187"/>
      <c r="O613" s="92"/>
      <c r="P613" s="187"/>
      <c r="Q613" s="187"/>
      <c r="R613" s="187"/>
      <c r="S613" s="187"/>
      <c r="T613" s="85"/>
      <c r="U613" s="189"/>
      <c r="V613" s="189"/>
      <c r="W613" s="189"/>
      <c r="X613" s="189"/>
      <c r="Y613" s="100"/>
      <c r="AA613" s="96"/>
      <c r="AB613" s="96"/>
      <c r="AC613" s="96"/>
      <c r="AD613" s="97"/>
      <c r="AE613" s="96"/>
      <c r="AF613" s="98"/>
      <c r="AG613" s="96"/>
      <c r="AH613" s="96"/>
      <c r="AI613" s="96"/>
      <c r="AJ613" s="96"/>
      <c r="AK613" s="96"/>
      <c r="AL613" s="96"/>
      <c r="AM613" s="96"/>
      <c r="AN613" s="96"/>
      <c r="AO613" s="96"/>
      <c r="AP613" s="96"/>
    </row>
    <row r="614" spans="2:42" ht="12.75">
      <c r="B614" s="186"/>
      <c r="C614" s="85"/>
      <c r="D614" s="85"/>
      <c r="E614" s="187"/>
      <c r="F614" s="187"/>
      <c r="G614" s="187"/>
      <c r="H614" s="187"/>
      <c r="I614" s="92"/>
      <c r="J614" s="92"/>
      <c r="K614" s="187"/>
      <c r="L614" s="187"/>
      <c r="M614" s="187"/>
      <c r="N614" s="187"/>
      <c r="O614" s="92"/>
      <c r="P614" s="187"/>
      <c r="Q614" s="187"/>
      <c r="R614" s="187"/>
      <c r="S614" s="187"/>
      <c r="T614" s="85"/>
      <c r="U614" s="189"/>
      <c r="V614" s="189"/>
      <c r="W614" s="189"/>
      <c r="X614" s="189"/>
      <c r="Y614" s="100"/>
      <c r="AA614" s="96"/>
      <c r="AB614" s="96"/>
      <c r="AC614" s="96"/>
      <c r="AD614" s="97"/>
      <c r="AE614" s="96"/>
      <c r="AF614" s="98"/>
      <c r="AG614" s="96"/>
      <c r="AH614" s="96"/>
      <c r="AI614" s="96"/>
      <c r="AJ614" s="96"/>
      <c r="AK614" s="96"/>
      <c r="AL614" s="96"/>
      <c r="AM614" s="96"/>
      <c r="AN614" s="96"/>
      <c r="AO614" s="96"/>
      <c r="AP614" s="96"/>
    </row>
    <row r="615" spans="2:42" ht="12.75">
      <c r="B615" s="186"/>
      <c r="C615" s="85"/>
      <c r="D615" s="85"/>
      <c r="E615" s="187"/>
      <c r="F615" s="187"/>
      <c r="G615" s="187"/>
      <c r="H615" s="187"/>
      <c r="I615" s="92"/>
      <c r="J615" s="92"/>
      <c r="K615" s="187"/>
      <c r="L615" s="187"/>
      <c r="M615" s="187"/>
      <c r="N615" s="187"/>
      <c r="O615" s="92"/>
      <c r="P615" s="187"/>
      <c r="Q615" s="187"/>
      <c r="R615" s="187"/>
      <c r="S615" s="187"/>
      <c r="T615" s="85"/>
      <c r="U615" s="189"/>
      <c r="V615" s="189"/>
      <c r="W615" s="189"/>
      <c r="X615" s="189"/>
      <c r="Y615" s="100"/>
      <c r="AA615" s="96"/>
      <c r="AB615" s="96"/>
      <c r="AC615" s="96"/>
      <c r="AD615" s="97"/>
      <c r="AE615" s="96"/>
      <c r="AF615" s="98"/>
      <c r="AG615" s="96"/>
      <c r="AH615" s="96"/>
      <c r="AI615" s="96"/>
      <c r="AJ615" s="96"/>
      <c r="AK615" s="96"/>
      <c r="AL615" s="96"/>
      <c r="AM615" s="96"/>
      <c r="AN615" s="96"/>
      <c r="AO615" s="96"/>
      <c r="AP615" s="96"/>
    </row>
    <row r="616" spans="2:42" ht="12.75">
      <c r="B616" s="186"/>
      <c r="C616" s="85"/>
      <c r="D616" s="85"/>
      <c r="E616" s="187"/>
      <c r="F616" s="187"/>
      <c r="G616" s="187"/>
      <c r="H616" s="187"/>
      <c r="I616" s="92"/>
      <c r="J616" s="92"/>
      <c r="K616" s="187"/>
      <c r="L616" s="187"/>
      <c r="M616" s="187"/>
      <c r="N616" s="187"/>
      <c r="O616" s="92"/>
      <c r="P616" s="187"/>
      <c r="Q616" s="187"/>
      <c r="R616" s="187"/>
      <c r="S616" s="187"/>
      <c r="T616" s="85"/>
      <c r="U616" s="189"/>
      <c r="V616" s="189"/>
      <c r="W616" s="189"/>
      <c r="X616" s="189"/>
      <c r="Y616" s="100"/>
      <c r="AA616" s="96"/>
      <c r="AB616" s="96"/>
      <c r="AC616" s="96"/>
      <c r="AD616" s="97"/>
      <c r="AE616" s="96"/>
      <c r="AF616" s="98"/>
      <c r="AG616" s="96"/>
      <c r="AH616" s="96"/>
      <c r="AI616" s="96"/>
      <c r="AJ616" s="96"/>
      <c r="AK616" s="96"/>
      <c r="AL616" s="96"/>
      <c r="AM616" s="96"/>
      <c r="AN616" s="96"/>
      <c r="AO616" s="96"/>
      <c r="AP616" s="96"/>
    </row>
    <row r="617" spans="2:42" ht="12.75">
      <c r="B617" s="186"/>
      <c r="C617" s="85"/>
      <c r="D617" s="85"/>
      <c r="E617" s="187"/>
      <c r="F617" s="187"/>
      <c r="G617" s="187"/>
      <c r="H617" s="187"/>
      <c r="I617" s="92"/>
      <c r="J617" s="92"/>
      <c r="K617" s="187"/>
      <c r="L617" s="187"/>
      <c r="M617" s="187"/>
      <c r="N617" s="187"/>
      <c r="O617" s="92"/>
      <c r="P617" s="187"/>
      <c r="Q617" s="187"/>
      <c r="R617" s="187"/>
      <c r="S617" s="187"/>
      <c r="T617" s="85"/>
      <c r="U617" s="189"/>
      <c r="V617" s="189"/>
      <c r="W617" s="189"/>
      <c r="X617" s="189"/>
      <c r="Y617" s="100"/>
      <c r="AA617" s="96"/>
      <c r="AB617" s="96"/>
      <c r="AC617" s="96"/>
      <c r="AD617" s="97"/>
      <c r="AE617" s="96"/>
      <c r="AF617" s="98"/>
      <c r="AG617" s="96"/>
      <c r="AH617" s="96"/>
      <c r="AI617" s="96"/>
      <c r="AJ617" s="96"/>
      <c r="AK617" s="96"/>
      <c r="AL617" s="96"/>
      <c r="AM617" s="96"/>
      <c r="AN617" s="96"/>
      <c r="AO617" s="96"/>
      <c r="AP617" s="96"/>
    </row>
    <row r="618" spans="2:42" ht="12.75">
      <c r="B618" s="186"/>
      <c r="C618" s="85"/>
      <c r="D618" s="85"/>
      <c r="E618" s="187"/>
      <c r="F618" s="187"/>
      <c r="G618" s="187"/>
      <c r="H618" s="187"/>
      <c r="I618" s="92"/>
      <c r="J618" s="92"/>
      <c r="K618" s="187"/>
      <c r="L618" s="187"/>
      <c r="M618" s="187"/>
      <c r="N618" s="187"/>
      <c r="O618" s="92"/>
      <c r="P618" s="187"/>
      <c r="Q618" s="187"/>
      <c r="R618" s="187"/>
      <c r="S618" s="187"/>
      <c r="T618" s="85"/>
      <c r="U618" s="189"/>
      <c r="V618" s="189"/>
      <c r="W618" s="189"/>
      <c r="X618" s="189"/>
      <c r="Y618" s="100"/>
      <c r="AA618" s="96"/>
      <c r="AB618" s="96"/>
      <c r="AC618" s="96"/>
      <c r="AD618" s="97"/>
      <c r="AE618" s="96"/>
      <c r="AF618" s="98"/>
      <c r="AG618" s="96"/>
      <c r="AH618" s="96"/>
      <c r="AI618" s="96"/>
      <c r="AJ618" s="96"/>
      <c r="AK618" s="96"/>
      <c r="AL618" s="96"/>
      <c r="AM618" s="96"/>
      <c r="AN618" s="96"/>
      <c r="AO618" s="96"/>
      <c r="AP618" s="96"/>
    </row>
    <row r="619" spans="2:42" ht="12.75">
      <c r="B619" s="186"/>
      <c r="C619" s="85"/>
      <c r="D619" s="85"/>
      <c r="E619" s="187"/>
      <c r="F619" s="187"/>
      <c r="G619" s="187"/>
      <c r="H619" s="187"/>
      <c r="I619" s="92"/>
      <c r="J619" s="92"/>
      <c r="K619" s="187"/>
      <c r="L619" s="187"/>
      <c r="M619" s="187"/>
      <c r="N619" s="187"/>
      <c r="O619" s="92"/>
      <c r="P619" s="187"/>
      <c r="Q619" s="187"/>
      <c r="R619" s="187"/>
      <c r="S619" s="187"/>
      <c r="T619" s="85"/>
      <c r="U619" s="189"/>
      <c r="V619" s="189"/>
      <c r="W619" s="189"/>
      <c r="X619" s="189"/>
      <c r="Y619" s="100"/>
      <c r="AA619" s="96"/>
      <c r="AB619" s="96"/>
      <c r="AC619" s="96"/>
      <c r="AD619" s="97"/>
      <c r="AE619" s="96"/>
      <c r="AF619" s="98"/>
      <c r="AG619" s="96"/>
      <c r="AH619" s="96"/>
      <c r="AI619" s="96"/>
      <c r="AJ619" s="96"/>
      <c r="AK619" s="96"/>
      <c r="AL619" s="96"/>
      <c r="AM619" s="96"/>
      <c r="AN619" s="96"/>
      <c r="AO619" s="96"/>
      <c r="AP619" s="96"/>
    </row>
    <row r="620" spans="2:42" ht="12.75">
      <c r="B620" s="186"/>
      <c r="C620" s="85"/>
      <c r="D620" s="85"/>
      <c r="E620" s="187"/>
      <c r="F620" s="187"/>
      <c r="G620" s="187"/>
      <c r="H620" s="187"/>
      <c r="I620" s="92"/>
      <c r="J620" s="92"/>
      <c r="K620" s="187"/>
      <c r="L620" s="187"/>
      <c r="M620" s="187"/>
      <c r="N620" s="187"/>
      <c r="O620" s="92"/>
      <c r="P620" s="187"/>
      <c r="Q620" s="187"/>
      <c r="R620" s="187"/>
      <c r="S620" s="187"/>
      <c r="T620" s="85"/>
      <c r="U620" s="189"/>
      <c r="V620" s="189"/>
      <c r="W620" s="189"/>
      <c r="X620" s="189"/>
      <c r="Y620" s="100"/>
      <c r="AA620" s="96"/>
      <c r="AB620" s="96"/>
      <c r="AC620" s="96"/>
      <c r="AD620" s="97"/>
      <c r="AE620" s="96"/>
      <c r="AF620" s="98"/>
      <c r="AG620" s="96"/>
      <c r="AH620" s="96"/>
      <c r="AI620" s="96"/>
      <c r="AJ620" s="96"/>
      <c r="AK620" s="96"/>
      <c r="AL620" s="96"/>
      <c r="AM620" s="96"/>
      <c r="AN620" s="96"/>
      <c r="AO620" s="96"/>
      <c r="AP620" s="96"/>
    </row>
    <row r="621" spans="2:42" ht="12.75">
      <c r="B621" s="186"/>
      <c r="C621" s="85"/>
      <c r="D621" s="85"/>
      <c r="E621" s="187"/>
      <c r="F621" s="187"/>
      <c r="G621" s="187"/>
      <c r="H621" s="187"/>
      <c r="I621" s="92"/>
      <c r="J621" s="92"/>
      <c r="K621" s="187"/>
      <c r="L621" s="187"/>
      <c r="M621" s="187"/>
      <c r="N621" s="187"/>
      <c r="O621" s="92"/>
      <c r="P621" s="187"/>
      <c r="Q621" s="187"/>
      <c r="R621" s="187"/>
      <c r="S621" s="187"/>
      <c r="T621" s="85"/>
      <c r="U621" s="189"/>
      <c r="V621" s="189"/>
      <c r="W621" s="189"/>
      <c r="X621" s="189"/>
      <c r="Y621" s="100"/>
      <c r="AA621" s="96"/>
      <c r="AB621" s="96"/>
      <c r="AC621" s="96"/>
      <c r="AD621" s="97"/>
      <c r="AE621" s="96"/>
      <c r="AF621" s="98"/>
      <c r="AG621" s="96"/>
      <c r="AH621" s="96"/>
      <c r="AI621" s="96"/>
      <c r="AJ621" s="96"/>
      <c r="AK621" s="96"/>
      <c r="AL621" s="96"/>
      <c r="AM621" s="96"/>
      <c r="AN621" s="96"/>
      <c r="AO621" s="96"/>
      <c r="AP621" s="96"/>
    </row>
    <row r="622" spans="2:42" ht="12.75">
      <c r="B622" s="186"/>
      <c r="C622" s="85"/>
      <c r="D622" s="85"/>
      <c r="E622" s="187"/>
      <c r="F622" s="187"/>
      <c r="G622" s="187"/>
      <c r="H622" s="187"/>
      <c r="I622" s="92"/>
      <c r="J622" s="92"/>
      <c r="K622" s="187"/>
      <c r="L622" s="187"/>
      <c r="M622" s="187"/>
      <c r="N622" s="187"/>
      <c r="O622" s="92"/>
      <c r="P622" s="187"/>
      <c r="Q622" s="187"/>
      <c r="R622" s="187"/>
      <c r="S622" s="187"/>
      <c r="T622" s="85"/>
      <c r="U622" s="189"/>
      <c r="V622" s="189"/>
      <c r="W622" s="189"/>
      <c r="X622" s="189"/>
      <c r="Y622" s="100"/>
      <c r="AA622" s="96"/>
      <c r="AB622" s="96"/>
      <c r="AC622" s="96"/>
      <c r="AD622" s="97"/>
      <c r="AE622" s="96"/>
      <c r="AF622" s="98"/>
      <c r="AG622" s="96"/>
      <c r="AH622" s="96"/>
      <c r="AI622" s="96"/>
      <c r="AJ622" s="96"/>
      <c r="AK622" s="96"/>
      <c r="AL622" s="96"/>
      <c r="AM622" s="96"/>
      <c r="AN622" s="96"/>
      <c r="AO622" s="96"/>
      <c r="AP622" s="96"/>
    </row>
    <row r="623" spans="2:42" ht="12.75">
      <c r="B623" s="186"/>
      <c r="C623" s="85"/>
      <c r="D623" s="85"/>
      <c r="E623" s="187"/>
      <c r="F623" s="187"/>
      <c r="G623" s="187"/>
      <c r="H623" s="187"/>
      <c r="I623" s="92"/>
      <c r="J623" s="92"/>
      <c r="K623" s="187"/>
      <c r="L623" s="187"/>
      <c r="M623" s="187"/>
      <c r="N623" s="187"/>
      <c r="O623" s="92"/>
      <c r="P623" s="187"/>
      <c r="Q623" s="187"/>
      <c r="R623" s="187"/>
      <c r="S623" s="187"/>
      <c r="T623" s="85"/>
      <c r="U623" s="189"/>
      <c r="V623" s="189"/>
      <c r="W623" s="189"/>
      <c r="X623" s="189"/>
      <c r="Y623" s="100"/>
      <c r="AA623" s="96"/>
      <c r="AB623" s="96"/>
      <c r="AC623" s="96"/>
      <c r="AD623" s="97"/>
      <c r="AE623" s="96"/>
      <c r="AF623" s="98"/>
      <c r="AG623" s="96"/>
      <c r="AH623" s="96"/>
      <c r="AI623" s="96"/>
      <c r="AJ623" s="96"/>
      <c r="AK623" s="96"/>
      <c r="AL623" s="96"/>
      <c r="AM623" s="96"/>
      <c r="AN623" s="96"/>
      <c r="AO623" s="96"/>
      <c r="AP623" s="96"/>
    </row>
    <row r="624" spans="2:42" ht="12.75">
      <c r="B624" s="186"/>
      <c r="C624" s="85"/>
      <c r="D624" s="85"/>
      <c r="E624" s="187"/>
      <c r="F624" s="187"/>
      <c r="G624" s="187"/>
      <c r="H624" s="187"/>
      <c r="I624" s="92"/>
      <c r="J624" s="92"/>
      <c r="K624" s="187"/>
      <c r="L624" s="187"/>
      <c r="M624" s="187"/>
      <c r="N624" s="187"/>
      <c r="O624" s="92"/>
      <c r="P624" s="187"/>
      <c r="Q624" s="187"/>
      <c r="R624" s="187"/>
      <c r="S624" s="187"/>
      <c r="T624" s="85"/>
      <c r="U624" s="189"/>
      <c r="V624" s="189"/>
      <c r="W624" s="189"/>
      <c r="X624" s="189"/>
      <c r="Y624" s="100"/>
      <c r="AA624" s="96"/>
      <c r="AB624" s="96"/>
      <c r="AC624" s="96"/>
      <c r="AD624" s="97"/>
      <c r="AE624" s="96"/>
      <c r="AF624" s="98"/>
      <c r="AG624" s="96"/>
      <c r="AH624" s="96"/>
      <c r="AI624" s="96"/>
      <c r="AJ624" s="96"/>
      <c r="AK624" s="96"/>
      <c r="AL624" s="96"/>
      <c r="AM624" s="96"/>
      <c r="AN624" s="96"/>
      <c r="AO624" s="96"/>
      <c r="AP624" s="96"/>
    </row>
    <row r="625" spans="2:42" ht="12.75">
      <c r="B625" s="186"/>
      <c r="C625" s="85"/>
      <c r="D625" s="85"/>
      <c r="E625" s="187"/>
      <c r="F625" s="187"/>
      <c r="G625" s="187"/>
      <c r="H625" s="187"/>
      <c r="I625" s="92"/>
      <c r="J625" s="92"/>
      <c r="K625" s="187"/>
      <c r="L625" s="187"/>
      <c r="M625" s="187"/>
      <c r="N625" s="187"/>
      <c r="O625" s="92"/>
      <c r="P625" s="187"/>
      <c r="Q625" s="187"/>
      <c r="R625" s="187"/>
      <c r="S625" s="187"/>
      <c r="T625" s="85"/>
      <c r="U625" s="189"/>
      <c r="V625" s="189"/>
      <c r="W625" s="189"/>
      <c r="X625" s="189"/>
      <c r="Y625" s="100"/>
      <c r="AA625" s="96"/>
      <c r="AB625" s="96"/>
      <c r="AC625" s="96"/>
      <c r="AD625" s="97"/>
      <c r="AE625" s="96"/>
      <c r="AF625" s="98"/>
      <c r="AG625" s="96"/>
      <c r="AH625" s="96"/>
      <c r="AI625" s="96"/>
      <c r="AJ625" s="96"/>
      <c r="AK625" s="96"/>
      <c r="AL625" s="96"/>
      <c r="AM625" s="96"/>
      <c r="AN625" s="96"/>
      <c r="AO625" s="96"/>
      <c r="AP625" s="96"/>
    </row>
    <row r="626" spans="2:42" ht="12.75">
      <c r="B626" s="186"/>
      <c r="C626" s="85"/>
      <c r="D626" s="85"/>
      <c r="E626" s="187"/>
      <c r="F626" s="187"/>
      <c r="G626" s="187"/>
      <c r="H626" s="187"/>
      <c r="I626" s="92"/>
      <c r="J626" s="92"/>
      <c r="K626" s="187"/>
      <c r="L626" s="187"/>
      <c r="M626" s="187"/>
      <c r="N626" s="187"/>
      <c r="O626" s="92"/>
      <c r="P626" s="187"/>
      <c r="Q626" s="187"/>
      <c r="R626" s="187"/>
      <c r="S626" s="187"/>
      <c r="T626" s="85"/>
      <c r="U626" s="189"/>
      <c r="V626" s="189"/>
      <c r="W626" s="189"/>
      <c r="X626" s="189"/>
      <c r="Y626" s="100"/>
      <c r="AA626" s="96"/>
      <c r="AB626" s="96"/>
      <c r="AC626" s="96"/>
      <c r="AD626" s="97"/>
      <c r="AE626" s="96"/>
      <c r="AF626" s="98"/>
      <c r="AG626" s="96"/>
      <c r="AH626" s="96"/>
      <c r="AI626" s="96"/>
      <c r="AJ626" s="96"/>
      <c r="AK626" s="96"/>
      <c r="AL626" s="96"/>
      <c r="AM626" s="96"/>
      <c r="AN626" s="96"/>
      <c r="AO626" s="96"/>
      <c r="AP626" s="96"/>
    </row>
    <row r="627" spans="2:42" ht="12.75">
      <c r="B627" s="186"/>
      <c r="C627" s="85"/>
      <c r="D627" s="85"/>
      <c r="E627" s="187"/>
      <c r="F627" s="187"/>
      <c r="G627" s="187"/>
      <c r="H627" s="187"/>
      <c r="I627" s="92"/>
      <c r="J627" s="92"/>
      <c r="K627" s="187"/>
      <c r="L627" s="187"/>
      <c r="M627" s="187"/>
      <c r="N627" s="187"/>
      <c r="O627" s="92"/>
      <c r="P627" s="187"/>
      <c r="Q627" s="187"/>
      <c r="R627" s="187"/>
      <c r="S627" s="187"/>
      <c r="T627" s="85"/>
      <c r="U627" s="189"/>
      <c r="V627" s="189"/>
      <c r="W627" s="189"/>
      <c r="X627" s="189"/>
      <c r="Y627" s="100"/>
      <c r="AA627" s="96"/>
      <c r="AB627" s="96"/>
      <c r="AC627" s="96"/>
      <c r="AD627" s="97"/>
      <c r="AE627" s="96"/>
      <c r="AF627" s="98"/>
      <c r="AG627" s="96"/>
      <c r="AH627" s="96"/>
      <c r="AI627" s="96"/>
      <c r="AJ627" s="96"/>
      <c r="AK627" s="96"/>
      <c r="AL627" s="96"/>
      <c r="AM627" s="96"/>
      <c r="AN627" s="96"/>
      <c r="AO627" s="96"/>
      <c r="AP627" s="96"/>
    </row>
    <row r="628" spans="2:42" ht="12.75">
      <c r="B628" s="186"/>
      <c r="C628" s="85"/>
      <c r="D628" s="85"/>
      <c r="E628" s="187"/>
      <c r="F628" s="187"/>
      <c r="G628" s="187"/>
      <c r="H628" s="187"/>
      <c r="I628" s="92"/>
      <c r="J628" s="92"/>
      <c r="K628" s="187"/>
      <c r="L628" s="187"/>
      <c r="M628" s="187"/>
      <c r="N628" s="187"/>
      <c r="O628" s="92"/>
      <c r="P628" s="187"/>
      <c r="Q628" s="187"/>
      <c r="R628" s="187"/>
      <c r="S628" s="187"/>
      <c r="T628" s="85"/>
      <c r="U628" s="189"/>
      <c r="V628" s="189"/>
      <c r="W628" s="189"/>
      <c r="X628" s="189"/>
      <c r="Y628" s="100"/>
      <c r="AA628" s="96"/>
      <c r="AB628" s="96"/>
      <c r="AC628" s="96"/>
      <c r="AD628" s="97"/>
      <c r="AE628" s="96"/>
      <c r="AF628" s="98"/>
      <c r="AG628" s="96"/>
      <c r="AH628" s="96"/>
      <c r="AI628" s="96"/>
      <c r="AJ628" s="96"/>
      <c r="AK628" s="96"/>
      <c r="AL628" s="96"/>
      <c r="AM628" s="96"/>
      <c r="AN628" s="96"/>
      <c r="AO628" s="96"/>
      <c r="AP628" s="96"/>
    </row>
    <row r="629" spans="2:42" ht="12.75">
      <c r="B629" s="186"/>
      <c r="C629" s="85"/>
      <c r="D629" s="85"/>
      <c r="E629" s="187"/>
      <c r="F629" s="187"/>
      <c r="G629" s="187"/>
      <c r="H629" s="187"/>
      <c r="I629" s="92"/>
      <c r="J629" s="92"/>
      <c r="K629" s="187"/>
      <c r="L629" s="187"/>
      <c r="M629" s="187"/>
      <c r="N629" s="187"/>
      <c r="O629" s="92"/>
      <c r="P629" s="187"/>
      <c r="Q629" s="187"/>
      <c r="R629" s="187"/>
      <c r="S629" s="187"/>
      <c r="T629" s="85"/>
      <c r="U629" s="189"/>
      <c r="V629" s="189"/>
      <c r="W629" s="189"/>
      <c r="X629" s="189"/>
      <c r="Y629" s="100"/>
      <c r="AA629" s="96"/>
      <c r="AB629" s="96"/>
      <c r="AC629" s="96"/>
      <c r="AD629" s="97"/>
      <c r="AE629" s="96"/>
      <c r="AF629" s="98"/>
      <c r="AG629" s="96"/>
      <c r="AH629" s="96"/>
      <c r="AI629" s="96"/>
      <c r="AJ629" s="96"/>
      <c r="AK629" s="96"/>
      <c r="AL629" s="96"/>
      <c r="AM629" s="96"/>
      <c r="AN629" s="96"/>
      <c r="AO629" s="96"/>
      <c r="AP629" s="96"/>
    </row>
    <row r="630" spans="2:42" ht="12.75">
      <c r="B630" s="186"/>
      <c r="C630" s="85"/>
      <c r="D630" s="85"/>
      <c r="E630" s="187"/>
      <c r="F630" s="187"/>
      <c r="G630" s="187"/>
      <c r="H630" s="187"/>
      <c r="I630" s="92"/>
      <c r="J630" s="92"/>
      <c r="K630" s="187"/>
      <c r="L630" s="187"/>
      <c r="M630" s="187"/>
      <c r="N630" s="187"/>
      <c r="O630" s="92"/>
      <c r="P630" s="187"/>
      <c r="Q630" s="187"/>
      <c r="R630" s="187"/>
      <c r="S630" s="187"/>
      <c r="T630" s="85"/>
      <c r="U630" s="189"/>
      <c r="V630" s="189"/>
      <c r="W630" s="189"/>
      <c r="X630" s="189"/>
      <c r="Y630" s="100"/>
      <c r="AA630" s="96"/>
      <c r="AB630" s="96"/>
      <c r="AC630" s="96"/>
      <c r="AD630" s="97"/>
      <c r="AE630" s="96"/>
      <c r="AF630" s="98"/>
      <c r="AG630" s="96"/>
      <c r="AH630" s="96"/>
      <c r="AI630" s="96"/>
      <c r="AJ630" s="96"/>
      <c r="AK630" s="96"/>
      <c r="AL630" s="96"/>
      <c r="AM630" s="96"/>
      <c r="AN630" s="96"/>
      <c r="AO630" s="96"/>
      <c r="AP630" s="96"/>
    </row>
    <row r="631" spans="2:42" ht="12.75">
      <c r="B631" s="186"/>
      <c r="C631" s="85"/>
      <c r="D631" s="85"/>
      <c r="E631" s="187"/>
      <c r="F631" s="187"/>
      <c r="G631" s="187"/>
      <c r="H631" s="187"/>
      <c r="I631" s="92"/>
      <c r="J631" s="92"/>
      <c r="K631" s="187"/>
      <c r="L631" s="187"/>
      <c r="M631" s="187"/>
      <c r="N631" s="187"/>
      <c r="O631" s="92"/>
      <c r="P631" s="187"/>
      <c r="Q631" s="187"/>
      <c r="R631" s="187"/>
      <c r="S631" s="187"/>
      <c r="T631" s="85"/>
      <c r="U631" s="189"/>
      <c r="V631" s="189"/>
      <c r="W631" s="189"/>
      <c r="X631" s="189"/>
      <c r="Y631" s="100"/>
      <c r="AA631" s="96"/>
      <c r="AB631" s="96"/>
      <c r="AC631" s="96"/>
      <c r="AD631" s="97"/>
      <c r="AE631" s="96"/>
      <c r="AF631" s="98"/>
      <c r="AG631" s="96"/>
      <c r="AH631" s="96"/>
      <c r="AI631" s="96"/>
      <c r="AJ631" s="96"/>
      <c r="AK631" s="96"/>
      <c r="AL631" s="96"/>
      <c r="AM631" s="96"/>
      <c r="AN631" s="96"/>
      <c r="AO631" s="96"/>
      <c r="AP631" s="96"/>
    </row>
    <row r="632" spans="2:42" ht="12.75">
      <c r="B632" s="186"/>
      <c r="C632" s="85"/>
      <c r="D632" s="85"/>
      <c r="E632" s="187"/>
      <c r="F632" s="187"/>
      <c r="G632" s="187"/>
      <c r="H632" s="187"/>
      <c r="I632" s="92"/>
      <c r="J632" s="92"/>
      <c r="K632" s="187"/>
      <c r="L632" s="187"/>
      <c r="M632" s="187"/>
      <c r="N632" s="187"/>
      <c r="O632" s="92"/>
      <c r="P632" s="187"/>
      <c r="Q632" s="187"/>
      <c r="R632" s="187"/>
      <c r="S632" s="187"/>
      <c r="T632" s="85"/>
      <c r="U632" s="189"/>
      <c r="V632" s="189"/>
      <c r="W632" s="189"/>
      <c r="X632" s="189"/>
      <c r="Y632" s="100"/>
      <c r="AA632" s="96"/>
      <c r="AB632" s="96"/>
      <c r="AC632" s="96"/>
      <c r="AD632" s="97"/>
      <c r="AE632" s="96"/>
      <c r="AF632" s="98"/>
      <c r="AG632" s="96"/>
      <c r="AH632" s="96"/>
      <c r="AI632" s="96"/>
      <c r="AJ632" s="96"/>
      <c r="AK632" s="96"/>
      <c r="AL632" s="96"/>
      <c r="AM632" s="96"/>
      <c r="AN632" s="96"/>
      <c r="AO632" s="96"/>
      <c r="AP632" s="96"/>
    </row>
    <row r="633" spans="2:42" ht="12.75">
      <c r="B633" s="186"/>
      <c r="C633" s="85"/>
      <c r="D633" s="85"/>
      <c r="E633" s="187"/>
      <c r="F633" s="187"/>
      <c r="G633" s="187"/>
      <c r="H633" s="187"/>
      <c r="I633" s="92"/>
      <c r="J633" s="92"/>
      <c r="K633" s="187"/>
      <c r="L633" s="187"/>
      <c r="M633" s="187"/>
      <c r="N633" s="187"/>
      <c r="O633" s="92"/>
      <c r="P633" s="187"/>
      <c r="Q633" s="187"/>
      <c r="R633" s="187"/>
      <c r="S633" s="187"/>
      <c r="T633" s="85"/>
      <c r="U633" s="189"/>
      <c r="V633" s="189"/>
      <c r="W633" s="189"/>
      <c r="X633" s="189"/>
      <c r="Y633" s="100"/>
      <c r="AA633" s="96"/>
      <c r="AB633" s="96"/>
      <c r="AC633" s="96"/>
      <c r="AD633" s="97"/>
      <c r="AE633" s="96"/>
      <c r="AF633" s="98"/>
      <c r="AG633" s="96"/>
      <c r="AH633" s="96"/>
      <c r="AI633" s="96"/>
      <c r="AJ633" s="96"/>
      <c r="AK633" s="96"/>
      <c r="AL633" s="96"/>
      <c r="AM633" s="96"/>
      <c r="AN633" s="96"/>
      <c r="AO633" s="96"/>
      <c r="AP633" s="96"/>
    </row>
    <row r="634" spans="2:42" ht="12.75">
      <c r="B634" s="186"/>
      <c r="C634" s="85"/>
      <c r="D634" s="85"/>
      <c r="E634" s="187"/>
      <c r="F634" s="187"/>
      <c r="G634" s="187"/>
      <c r="H634" s="187"/>
      <c r="I634" s="92"/>
      <c r="J634" s="92"/>
      <c r="K634" s="187"/>
      <c r="L634" s="187"/>
      <c r="M634" s="187"/>
      <c r="N634" s="187"/>
      <c r="O634" s="92"/>
      <c r="P634" s="187"/>
      <c r="Q634" s="187"/>
      <c r="R634" s="187"/>
      <c r="S634" s="187"/>
      <c r="T634" s="85"/>
      <c r="U634" s="189"/>
      <c r="V634" s="189"/>
      <c r="W634" s="189"/>
      <c r="X634" s="189"/>
      <c r="Y634" s="100"/>
      <c r="AA634" s="96"/>
      <c r="AB634" s="96"/>
      <c r="AC634" s="96"/>
      <c r="AD634" s="97"/>
      <c r="AE634" s="96"/>
      <c r="AF634" s="98"/>
      <c r="AG634" s="96"/>
      <c r="AH634" s="96"/>
      <c r="AI634" s="96"/>
      <c r="AJ634" s="96"/>
      <c r="AK634" s="96"/>
      <c r="AL634" s="96"/>
      <c r="AM634" s="96"/>
      <c r="AN634" s="96"/>
      <c r="AO634" s="96"/>
      <c r="AP634" s="96"/>
    </row>
    <row r="635" spans="2:42" ht="12.75">
      <c r="B635" s="186"/>
      <c r="C635" s="85"/>
      <c r="D635" s="85"/>
      <c r="E635" s="187"/>
      <c r="F635" s="187"/>
      <c r="G635" s="187"/>
      <c r="H635" s="187"/>
      <c r="I635" s="92"/>
      <c r="J635" s="92"/>
      <c r="K635" s="187"/>
      <c r="L635" s="187"/>
      <c r="M635" s="187"/>
      <c r="N635" s="187"/>
      <c r="O635" s="92"/>
      <c r="P635" s="187"/>
      <c r="Q635" s="187"/>
      <c r="R635" s="187"/>
      <c r="S635" s="187"/>
      <c r="T635" s="85"/>
      <c r="U635" s="189"/>
      <c r="V635" s="189"/>
      <c r="W635" s="189"/>
      <c r="X635" s="189"/>
      <c r="Y635" s="100"/>
      <c r="AA635" s="96"/>
      <c r="AB635" s="96"/>
      <c r="AC635" s="96"/>
      <c r="AD635" s="97"/>
      <c r="AE635" s="96"/>
      <c r="AF635" s="98"/>
      <c r="AG635" s="96"/>
      <c r="AH635" s="96"/>
      <c r="AI635" s="96"/>
      <c r="AJ635" s="96"/>
      <c r="AK635" s="96"/>
      <c r="AL635" s="96"/>
      <c r="AM635" s="96"/>
      <c r="AN635" s="96"/>
      <c r="AO635" s="96"/>
      <c r="AP635" s="96"/>
    </row>
    <row r="636" spans="2:42" ht="12.75">
      <c r="B636" s="186"/>
      <c r="C636" s="85"/>
      <c r="D636" s="85"/>
      <c r="E636" s="187"/>
      <c r="F636" s="187"/>
      <c r="G636" s="187"/>
      <c r="H636" s="187"/>
      <c r="I636" s="92"/>
      <c r="J636" s="92"/>
      <c r="K636" s="187"/>
      <c r="L636" s="187"/>
      <c r="M636" s="187"/>
      <c r="N636" s="187"/>
      <c r="O636" s="92"/>
      <c r="P636" s="187"/>
      <c r="Q636" s="187"/>
      <c r="R636" s="187"/>
      <c r="S636" s="187"/>
      <c r="T636" s="85"/>
      <c r="U636" s="189"/>
      <c r="V636" s="189"/>
      <c r="W636" s="189"/>
      <c r="X636" s="189"/>
      <c r="Y636" s="100"/>
      <c r="AA636" s="96"/>
      <c r="AB636" s="96"/>
      <c r="AC636" s="96"/>
      <c r="AD636" s="97"/>
      <c r="AE636" s="96"/>
      <c r="AF636" s="98"/>
      <c r="AG636" s="96"/>
      <c r="AH636" s="96"/>
      <c r="AI636" s="96"/>
      <c r="AJ636" s="96"/>
      <c r="AK636" s="96"/>
      <c r="AL636" s="96"/>
      <c r="AM636" s="96"/>
      <c r="AN636" s="96"/>
      <c r="AO636" s="96"/>
      <c r="AP636" s="96"/>
    </row>
    <row r="637" spans="2:42" ht="12.75">
      <c r="B637" s="186"/>
      <c r="C637" s="85"/>
      <c r="D637" s="85"/>
      <c r="E637" s="187"/>
      <c r="F637" s="187"/>
      <c r="G637" s="187"/>
      <c r="H637" s="187"/>
      <c r="I637" s="92"/>
      <c r="J637" s="92"/>
      <c r="K637" s="187"/>
      <c r="L637" s="187"/>
      <c r="M637" s="187"/>
      <c r="N637" s="187"/>
      <c r="O637" s="92"/>
      <c r="P637" s="187"/>
      <c r="Q637" s="187"/>
      <c r="R637" s="187"/>
      <c r="S637" s="187"/>
      <c r="T637" s="85"/>
      <c r="U637" s="189"/>
      <c r="V637" s="189"/>
      <c r="W637" s="189"/>
      <c r="X637" s="189"/>
      <c r="Y637" s="100"/>
      <c r="AA637" s="96"/>
      <c r="AB637" s="96"/>
      <c r="AC637" s="96"/>
      <c r="AD637" s="97"/>
      <c r="AE637" s="96"/>
      <c r="AF637" s="98"/>
      <c r="AG637" s="96"/>
      <c r="AH637" s="96"/>
      <c r="AI637" s="96"/>
      <c r="AJ637" s="96"/>
      <c r="AK637" s="96"/>
      <c r="AL637" s="96"/>
      <c r="AM637" s="96"/>
      <c r="AN637" s="96"/>
      <c r="AO637" s="96"/>
      <c r="AP637" s="96"/>
    </row>
    <row r="638" spans="2:42" ht="12.75">
      <c r="B638" s="186"/>
      <c r="C638" s="85"/>
      <c r="D638" s="85"/>
      <c r="E638" s="187"/>
      <c r="F638" s="187"/>
      <c r="G638" s="187"/>
      <c r="H638" s="187"/>
      <c r="I638" s="92"/>
      <c r="J638" s="92"/>
      <c r="K638" s="187"/>
      <c r="L638" s="187"/>
      <c r="M638" s="187"/>
      <c r="N638" s="187"/>
      <c r="O638" s="92"/>
      <c r="P638" s="187"/>
      <c r="Q638" s="187"/>
      <c r="R638" s="187"/>
      <c r="S638" s="187"/>
      <c r="T638" s="85"/>
      <c r="U638" s="189"/>
      <c r="V638" s="189"/>
      <c r="W638" s="189"/>
      <c r="X638" s="189"/>
      <c r="Y638" s="100"/>
      <c r="AA638" s="96"/>
      <c r="AB638" s="96"/>
      <c r="AC638" s="96"/>
      <c r="AD638" s="97"/>
      <c r="AE638" s="96"/>
      <c r="AF638" s="98"/>
      <c r="AG638" s="96"/>
      <c r="AH638" s="96"/>
      <c r="AI638" s="96"/>
      <c r="AJ638" s="96"/>
      <c r="AK638" s="96"/>
      <c r="AL638" s="96"/>
      <c r="AM638" s="96"/>
      <c r="AN638" s="96"/>
      <c r="AO638" s="96"/>
      <c r="AP638" s="96"/>
    </row>
    <row r="639" spans="2:42" ht="12.75">
      <c r="B639" s="186"/>
      <c r="C639" s="85"/>
      <c r="D639" s="85"/>
      <c r="E639" s="187"/>
      <c r="F639" s="187"/>
      <c r="G639" s="187"/>
      <c r="H639" s="187"/>
      <c r="I639" s="92"/>
      <c r="J639" s="92"/>
      <c r="K639" s="187"/>
      <c r="L639" s="187"/>
      <c r="M639" s="187"/>
      <c r="N639" s="187"/>
      <c r="O639" s="92"/>
      <c r="P639" s="187"/>
      <c r="Q639" s="187"/>
      <c r="R639" s="187"/>
      <c r="S639" s="187"/>
      <c r="T639" s="85"/>
      <c r="U639" s="189"/>
      <c r="V639" s="189"/>
      <c r="W639" s="189"/>
      <c r="X639" s="189"/>
      <c r="Y639" s="100"/>
      <c r="AA639" s="96"/>
      <c r="AB639" s="96"/>
      <c r="AC639" s="96"/>
      <c r="AD639" s="97"/>
      <c r="AE639" s="96"/>
      <c r="AF639" s="98"/>
      <c r="AG639" s="96"/>
      <c r="AH639" s="96"/>
      <c r="AI639" s="96"/>
      <c r="AJ639" s="96"/>
      <c r="AK639" s="96"/>
      <c r="AL639" s="96"/>
      <c r="AM639" s="96"/>
      <c r="AN639" s="96"/>
      <c r="AO639" s="96"/>
      <c r="AP639" s="96"/>
    </row>
    <row r="640" spans="2:42" ht="12.75">
      <c r="B640" s="186"/>
      <c r="C640" s="85"/>
      <c r="D640" s="85"/>
      <c r="E640" s="187"/>
      <c r="F640" s="187"/>
      <c r="G640" s="187"/>
      <c r="H640" s="187"/>
      <c r="I640" s="92"/>
      <c r="J640" s="92"/>
      <c r="K640" s="187"/>
      <c r="L640" s="187"/>
      <c r="M640" s="187"/>
      <c r="N640" s="187"/>
      <c r="O640" s="92"/>
      <c r="P640" s="187"/>
      <c r="Q640" s="187"/>
      <c r="R640" s="187"/>
      <c r="S640" s="187"/>
      <c r="T640" s="85"/>
      <c r="U640" s="189"/>
      <c r="V640" s="189"/>
      <c r="W640" s="189"/>
      <c r="X640" s="189"/>
      <c r="Y640" s="100"/>
      <c r="AA640" s="96"/>
      <c r="AB640" s="96"/>
      <c r="AC640" s="96"/>
      <c r="AD640" s="97"/>
      <c r="AE640" s="96"/>
      <c r="AF640" s="98"/>
      <c r="AG640" s="96"/>
      <c r="AH640" s="96"/>
      <c r="AI640" s="96"/>
      <c r="AJ640" s="96"/>
      <c r="AK640" s="96"/>
      <c r="AL640" s="96"/>
      <c r="AM640" s="96"/>
      <c r="AN640" s="96"/>
      <c r="AO640" s="96"/>
      <c r="AP640" s="96"/>
    </row>
    <row r="641" spans="2:42" ht="12.75">
      <c r="B641" s="186"/>
      <c r="C641" s="85"/>
      <c r="D641" s="85"/>
      <c r="E641" s="187"/>
      <c r="F641" s="187"/>
      <c r="G641" s="187"/>
      <c r="H641" s="187"/>
      <c r="I641" s="92"/>
      <c r="J641" s="92"/>
      <c r="K641" s="187"/>
      <c r="L641" s="187"/>
      <c r="M641" s="187"/>
      <c r="N641" s="187"/>
      <c r="O641" s="92"/>
      <c r="P641" s="187"/>
      <c r="Q641" s="187"/>
      <c r="R641" s="187"/>
      <c r="S641" s="187"/>
      <c r="T641" s="85"/>
      <c r="U641" s="189"/>
      <c r="V641" s="189"/>
      <c r="W641" s="189"/>
      <c r="X641" s="189"/>
      <c r="Y641" s="100"/>
      <c r="AA641" s="96"/>
      <c r="AB641" s="96"/>
      <c r="AC641" s="96"/>
      <c r="AD641" s="97"/>
      <c r="AE641" s="96"/>
      <c r="AF641" s="98"/>
      <c r="AG641" s="96"/>
      <c r="AH641" s="96"/>
      <c r="AI641" s="96"/>
      <c r="AJ641" s="96"/>
      <c r="AK641" s="96"/>
      <c r="AL641" s="96"/>
      <c r="AM641" s="96"/>
      <c r="AN641" s="96"/>
      <c r="AO641" s="96"/>
      <c r="AP641" s="96"/>
    </row>
    <row r="642" spans="2:42" ht="12.75">
      <c r="B642" s="186"/>
      <c r="C642" s="85"/>
      <c r="D642" s="85"/>
      <c r="E642" s="187"/>
      <c r="F642" s="187"/>
      <c r="G642" s="187"/>
      <c r="H642" s="187"/>
      <c r="I642" s="92"/>
      <c r="J642" s="92"/>
      <c r="K642" s="187"/>
      <c r="L642" s="187"/>
      <c r="M642" s="187"/>
      <c r="N642" s="187"/>
      <c r="O642" s="92"/>
      <c r="P642" s="187"/>
      <c r="Q642" s="187"/>
      <c r="R642" s="187"/>
      <c r="S642" s="187"/>
      <c r="T642" s="85"/>
      <c r="U642" s="189"/>
      <c r="V642" s="189"/>
      <c r="W642" s="189"/>
      <c r="X642" s="189"/>
      <c r="Y642" s="100"/>
      <c r="AA642" s="96"/>
      <c r="AB642" s="96"/>
      <c r="AC642" s="96"/>
      <c r="AD642" s="97"/>
      <c r="AE642" s="96"/>
      <c r="AF642" s="98"/>
      <c r="AG642" s="96"/>
      <c r="AH642" s="96"/>
      <c r="AI642" s="96"/>
      <c r="AJ642" s="96"/>
      <c r="AK642" s="96"/>
      <c r="AL642" s="96"/>
      <c r="AM642" s="96"/>
      <c r="AN642" s="96"/>
      <c r="AO642" s="96"/>
      <c r="AP642" s="96"/>
    </row>
    <row r="643" spans="2:42" ht="12.75">
      <c r="B643" s="186"/>
      <c r="C643" s="85"/>
      <c r="D643" s="85"/>
      <c r="E643" s="187"/>
      <c r="F643" s="187"/>
      <c r="G643" s="187"/>
      <c r="H643" s="187"/>
      <c r="I643" s="92"/>
      <c r="J643" s="92"/>
      <c r="K643" s="187"/>
      <c r="L643" s="187"/>
      <c r="M643" s="187"/>
      <c r="N643" s="187"/>
      <c r="O643" s="92"/>
      <c r="P643" s="187"/>
      <c r="Q643" s="187"/>
      <c r="R643" s="187"/>
      <c r="S643" s="187"/>
      <c r="T643" s="85"/>
      <c r="U643" s="189"/>
      <c r="V643" s="189"/>
      <c r="W643" s="189"/>
      <c r="X643" s="189"/>
      <c r="Y643" s="100"/>
      <c r="AA643" s="96"/>
      <c r="AB643" s="96"/>
      <c r="AC643" s="96"/>
      <c r="AD643" s="97"/>
      <c r="AE643" s="96"/>
      <c r="AF643" s="98"/>
      <c r="AG643" s="96"/>
      <c r="AH643" s="96"/>
      <c r="AI643" s="96"/>
      <c r="AJ643" s="96"/>
      <c r="AK643" s="96"/>
      <c r="AL643" s="96"/>
      <c r="AM643" s="96"/>
      <c r="AN643" s="96"/>
      <c r="AO643" s="96"/>
      <c r="AP643" s="96"/>
    </row>
    <row r="644" spans="2:42" ht="12.75">
      <c r="B644" s="186"/>
      <c r="C644" s="85"/>
      <c r="D644" s="85"/>
      <c r="E644" s="187"/>
      <c r="F644" s="187"/>
      <c r="G644" s="187"/>
      <c r="H644" s="187"/>
      <c r="I644" s="92"/>
      <c r="J644" s="92"/>
      <c r="K644" s="187"/>
      <c r="L644" s="187"/>
      <c r="M644" s="187"/>
      <c r="N644" s="187"/>
      <c r="O644" s="92"/>
      <c r="P644" s="187"/>
      <c r="Q644" s="187"/>
      <c r="R644" s="187"/>
      <c r="S644" s="187"/>
      <c r="T644" s="85"/>
      <c r="U644" s="189"/>
      <c r="V644" s="189"/>
      <c r="W644" s="189"/>
      <c r="X644" s="189"/>
      <c r="Y644" s="100"/>
      <c r="AA644" s="96"/>
      <c r="AB644" s="96"/>
      <c r="AC644" s="96"/>
      <c r="AD644" s="97"/>
      <c r="AE644" s="96"/>
      <c r="AF644" s="98"/>
      <c r="AG644" s="96"/>
      <c r="AH644" s="96"/>
      <c r="AI644" s="96"/>
      <c r="AJ644" s="96"/>
      <c r="AK644" s="96"/>
      <c r="AL644" s="96"/>
      <c r="AM644" s="96"/>
      <c r="AN644" s="96"/>
      <c r="AO644" s="96"/>
      <c r="AP644" s="96"/>
    </row>
    <row r="645" spans="2:42" ht="12.75">
      <c r="B645" s="186"/>
      <c r="C645" s="85"/>
      <c r="D645" s="85"/>
      <c r="E645" s="187"/>
      <c r="F645" s="187"/>
      <c r="G645" s="187"/>
      <c r="H645" s="187"/>
      <c r="I645" s="92"/>
      <c r="J645" s="92"/>
      <c r="K645" s="187"/>
      <c r="L645" s="187"/>
      <c r="M645" s="187"/>
      <c r="N645" s="187"/>
      <c r="O645" s="92"/>
      <c r="P645" s="187"/>
      <c r="Q645" s="187"/>
      <c r="R645" s="187"/>
      <c r="S645" s="187"/>
      <c r="T645" s="85"/>
      <c r="U645" s="189"/>
      <c r="V645" s="189"/>
      <c r="W645" s="189"/>
      <c r="X645" s="189"/>
      <c r="Y645" s="100"/>
      <c r="AA645" s="96"/>
      <c r="AB645" s="96"/>
      <c r="AC645" s="96"/>
      <c r="AD645" s="97"/>
      <c r="AE645" s="96"/>
      <c r="AF645" s="98"/>
      <c r="AG645" s="96"/>
      <c r="AH645" s="96"/>
      <c r="AI645" s="96"/>
      <c r="AJ645" s="96"/>
      <c r="AK645" s="96"/>
      <c r="AL645" s="96"/>
      <c r="AM645" s="96"/>
      <c r="AN645" s="96"/>
      <c r="AO645" s="96"/>
      <c r="AP645" s="96"/>
    </row>
    <row r="646" spans="2:42" ht="12.75">
      <c r="B646" s="186"/>
      <c r="C646" s="85"/>
      <c r="D646" s="85"/>
      <c r="E646" s="187"/>
      <c r="F646" s="187"/>
      <c r="G646" s="187"/>
      <c r="H646" s="187"/>
      <c r="I646" s="92"/>
      <c r="J646" s="92"/>
      <c r="K646" s="187"/>
      <c r="L646" s="187"/>
      <c r="M646" s="187"/>
      <c r="N646" s="187"/>
      <c r="O646" s="92"/>
      <c r="P646" s="187"/>
      <c r="Q646" s="187"/>
      <c r="R646" s="187"/>
      <c r="S646" s="187"/>
      <c r="T646" s="85"/>
      <c r="U646" s="189"/>
      <c r="V646" s="189"/>
      <c r="W646" s="189"/>
      <c r="X646" s="189"/>
      <c r="Y646" s="100"/>
      <c r="AA646" s="96"/>
      <c r="AB646" s="96"/>
      <c r="AC646" s="96"/>
      <c r="AD646" s="97"/>
      <c r="AE646" s="96"/>
      <c r="AF646" s="98"/>
      <c r="AG646" s="96"/>
      <c r="AH646" s="96"/>
      <c r="AI646" s="96"/>
      <c r="AJ646" s="96"/>
      <c r="AK646" s="96"/>
      <c r="AL646" s="96"/>
      <c r="AM646" s="96"/>
      <c r="AN646" s="96"/>
      <c r="AO646" s="96"/>
      <c r="AP646" s="96"/>
    </row>
    <row r="647" spans="2:42" ht="12.75">
      <c r="B647" s="186"/>
      <c r="C647" s="85"/>
      <c r="D647" s="85"/>
      <c r="E647" s="187"/>
      <c r="F647" s="187"/>
      <c r="G647" s="187"/>
      <c r="H647" s="187"/>
      <c r="I647" s="92"/>
      <c r="J647" s="92"/>
      <c r="K647" s="187"/>
      <c r="L647" s="187"/>
      <c r="M647" s="187"/>
      <c r="N647" s="187"/>
      <c r="O647" s="92"/>
      <c r="P647" s="187"/>
      <c r="Q647" s="187"/>
      <c r="R647" s="187"/>
      <c r="S647" s="187"/>
      <c r="T647" s="85"/>
      <c r="U647" s="189"/>
      <c r="V647" s="189"/>
      <c r="W647" s="189"/>
      <c r="X647" s="189"/>
      <c r="Y647" s="100"/>
      <c r="AA647" s="96"/>
      <c r="AB647" s="96"/>
      <c r="AC647" s="96"/>
      <c r="AD647" s="97"/>
      <c r="AE647" s="96"/>
      <c r="AF647" s="98"/>
      <c r="AG647" s="96"/>
      <c r="AH647" s="96"/>
      <c r="AI647" s="96"/>
      <c r="AJ647" s="96"/>
      <c r="AK647" s="96"/>
      <c r="AL647" s="96"/>
      <c r="AM647" s="96"/>
      <c r="AN647" s="96"/>
      <c r="AO647" s="96"/>
      <c r="AP647" s="96"/>
    </row>
    <row r="648" spans="2:42" ht="12.75">
      <c r="B648" s="186"/>
      <c r="C648" s="85"/>
      <c r="D648" s="85"/>
      <c r="E648" s="187"/>
      <c r="F648" s="187"/>
      <c r="G648" s="187"/>
      <c r="H648" s="187"/>
      <c r="I648" s="92"/>
      <c r="J648" s="92"/>
      <c r="K648" s="187"/>
      <c r="L648" s="187"/>
      <c r="M648" s="187"/>
      <c r="N648" s="187"/>
      <c r="O648" s="92"/>
      <c r="P648" s="187"/>
      <c r="Q648" s="187"/>
      <c r="R648" s="187"/>
      <c r="S648" s="187"/>
      <c r="T648" s="85"/>
      <c r="U648" s="189"/>
      <c r="V648" s="189"/>
      <c r="W648" s="189"/>
      <c r="X648" s="189"/>
      <c r="Y648" s="100"/>
      <c r="AA648" s="96"/>
      <c r="AB648" s="96"/>
      <c r="AC648" s="96"/>
      <c r="AD648" s="97"/>
      <c r="AE648" s="96"/>
      <c r="AF648" s="98"/>
      <c r="AG648" s="96"/>
      <c r="AH648" s="96"/>
      <c r="AI648" s="96"/>
      <c r="AJ648" s="96"/>
      <c r="AK648" s="96"/>
      <c r="AL648" s="96"/>
      <c r="AM648" s="96"/>
      <c r="AN648" s="96"/>
      <c r="AO648" s="96"/>
      <c r="AP648" s="96"/>
    </row>
    <row r="649" spans="2:42" ht="12.75">
      <c r="B649" s="186"/>
      <c r="C649" s="85"/>
      <c r="D649" s="85"/>
      <c r="E649" s="187"/>
      <c r="F649" s="187"/>
      <c r="G649" s="187"/>
      <c r="H649" s="187"/>
      <c r="I649" s="92"/>
      <c r="J649" s="92"/>
      <c r="K649" s="187"/>
      <c r="L649" s="187"/>
      <c r="M649" s="187"/>
      <c r="N649" s="187"/>
      <c r="O649" s="92"/>
      <c r="P649" s="187"/>
      <c r="Q649" s="187"/>
      <c r="R649" s="187"/>
      <c r="S649" s="187"/>
      <c r="T649" s="85"/>
      <c r="U649" s="189"/>
      <c r="V649" s="189"/>
      <c r="W649" s="189"/>
      <c r="X649" s="189"/>
      <c r="Y649" s="100"/>
      <c r="AA649" s="96"/>
      <c r="AB649" s="96"/>
      <c r="AC649" s="96"/>
      <c r="AD649" s="97"/>
      <c r="AE649" s="96"/>
      <c r="AF649" s="98"/>
      <c r="AG649" s="96"/>
      <c r="AH649" s="96"/>
      <c r="AI649" s="96"/>
      <c r="AJ649" s="96"/>
      <c r="AK649" s="96"/>
      <c r="AL649" s="96"/>
      <c r="AM649" s="96"/>
      <c r="AN649" s="96"/>
      <c r="AO649" s="96"/>
      <c r="AP649" s="96"/>
    </row>
    <row r="650" spans="2:42" ht="12.75">
      <c r="B650" s="186"/>
      <c r="C650" s="85"/>
      <c r="D650" s="85"/>
      <c r="E650" s="187"/>
      <c r="F650" s="187"/>
      <c r="G650" s="187"/>
      <c r="H650" s="187"/>
      <c r="I650" s="92"/>
      <c r="J650" s="92"/>
      <c r="K650" s="187"/>
      <c r="L650" s="187"/>
      <c r="M650" s="187"/>
      <c r="N650" s="187"/>
      <c r="O650" s="92"/>
      <c r="P650" s="187"/>
      <c r="Q650" s="187"/>
      <c r="R650" s="187"/>
      <c r="S650" s="187"/>
      <c r="T650" s="85"/>
      <c r="U650" s="189"/>
      <c r="V650" s="189"/>
      <c r="W650" s="189"/>
      <c r="X650" s="189"/>
      <c r="Y650" s="100"/>
      <c r="AA650" s="96"/>
      <c r="AB650" s="96"/>
      <c r="AC650" s="96"/>
      <c r="AD650" s="97"/>
      <c r="AE650" s="96"/>
      <c r="AF650" s="98"/>
      <c r="AG650" s="96"/>
      <c r="AH650" s="96"/>
      <c r="AI650" s="96"/>
      <c r="AJ650" s="96"/>
      <c r="AK650" s="96"/>
      <c r="AL650" s="96"/>
      <c r="AM650" s="96"/>
      <c r="AN650" s="96"/>
      <c r="AO650" s="96"/>
      <c r="AP650" s="96"/>
    </row>
    <row r="651" spans="2:42" ht="12.75">
      <c r="B651" s="186"/>
      <c r="C651" s="85"/>
      <c r="D651" s="85"/>
      <c r="E651" s="187"/>
      <c r="F651" s="187"/>
      <c r="G651" s="187"/>
      <c r="H651" s="187"/>
      <c r="I651" s="92"/>
      <c r="J651" s="92"/>
      <c r="K651" s="187"/>
      <c r="L651" s="187"/>
      <c r="M651" s="187"/>
      <c r="N651" s="187"/>
      <c r="O651" s="92"/>
      <c r="P651" s="187"/>
      <c r="Q651" s="187"/>
      <c r="R651" s="187"/>
      <c r="S651" s="187"/>
      <c r="T651" s="85"/>
      <c r="U651" s="189"/>
      <c r="V651" s="189"/>
      <c r="W651" s="189"/>
      <c r="X651" s="189"/>
      <c r="Y651" s="100"/>
      <c r="AA651" s="96"/>
      <c r="AB651" s="96"/>
      <c r="AC651" s="96"/>
      <c r="AD651" s="97"/>
      <c r="AE651" s="96"/>
      <c r="AF651" s="98"/>
      <c r="AG651" s="96"/>
      <c r="AH651" s="96"/>
      <c r="AI651" s="96"/>
      <c r="AJ651" s="96"/>
      <c r="AK651" s="96"/>
      <c r="AL651" s="96"/>
      <c r="AM651" s="96"/>
      <c r="AN651" s="96"/>
      <c r="AO651" s="96"/>
      <c r="AP651" s="96"/>
    </row>
    <row r="652" spans="2:42" ht="12.75">
      <c r="B652" s="186"/>
      <c r="C652" s="85"/>
      <c r="D652" s="85"/>
      <c r="E652" s="187"/>
      <c r="F652" s="187"/>
      <c r="G652" s="187"/>
      <c r="H652" s="187"/>
      <c r="I652" s="92"/>
      <c r="J652" s="92"/>
      <c r="K652" s="187"/>
      <c r="L652" s="187"/>
      <c r="M652" s="187"/>
      <c r="N652" s="187"/>
      <c r="O652" s="92"/>
      <c r="P652" s="187"/>
      <c r="Q652" s="187"/>
      <c r="R652" s="187"/>
      <c r="S652" s="187"/>
      <c r="T652" s="85"/>
      <c r="U652" s="189"/>
      <c r="V652" s="189"/>
      <c r="W652" s="189"/>
      <c r="X652" s="189"/>
      <c r="Y652" s="100"/>
      <c r="AA652" s="96"/>
      <c r="AB652" s="96"/>
      <c r="AC652" s="96"/>
      <c r="AD652" s="97"/>
      <c r="AE652" s="96"/>
      <c r="AF652" s="98"/>
      <c r="AG652" s="96"/>
      <c r="AH652" s="96"/>
      <c r="AI652" s="96"/>
      <c r="AJ652" s="96"/>
      <c r="AK652" s="96"/>
      <c r="AL652" s="96"/>
      <c r="AM652" s="96"/>
      <c r="AN652" s="96"/>
      <c r="AO652" s="96"/>
      <c r="AP652" s="96"/>
    </row>
    <row r="653" spans="2:42" ht="12.75">
      <c r="B653" s="186"/>
      <c r="C653" s="85"/>
      <c r="D653" s="85"/>
      <c r="E653" s="187"/>
      <c r="F653" s="187"/>
      <c r="G653" s="187"/>
      <c r="H653" s="187"/>
      <c r="I653" s="92"/>
      <c r="J653" s="92"/>
      <c r="K653" s="187"/>
      <c r="L653" s="187"/>
      <c r="M653" s="187"/>
      <c r="N653" s="187"/>
      <c r="O653" s="92"/>
      <c r="P653" s="187"/>
      <c r="Q653" s="187"/>
      <c r="R653" s="187"/>
      <c r="S653" s="187"/>
      <c r="T653" s="85"/>
      <c r="U653" s="189"/>
      <c r="V653" s="189"/>
      <c r="W653" s="189"/>
      <c r="X653" s="189"/>
      <c r="Y653" s="100"/>
      <c r="AA653" s="96"/>
      <c r="AB653" s="96"/>
      <c r="AC653" s="96"/>
      <c r="AD653" s="97"/>
      <c r="AE653" s="96"/>
      <c r="AF653" s="98"/>
      <c r="AG653" s="96"/>
      <c r="AH653" s="96"/>
      <c r="AI653" s="96"/>
      <c r="AJ653" s="96"/>
      <c r="AK653" s="96"/>
      <c r="AL653" s="96"/>
      <c r="AM653" s="96"/>
      <c r="AN653" s="96"/>
      <c r="AO653" s="96"/>
      <c r="AP653" s="96"/>
    </row>
    <row r="654" spans="2:42" ht="12.75">
      <c r="B654" s="186"/>
      <c r="C654" s="85"/>
      <c r="D654" s="85"/>
      <c r="E654" s="187"/>
      <c r="F654" s="187"/>
      <c r="G654" s="187"/>
      <c r="H654" s="187"/>
      <c r="I654" s="92"/>
      <c r="J654" s="92"/>
      <c r="K654" s="187"/>
      <c r="L654" s="187"/>
      <c r="M654" s="187"/>
      <c r="N654" s="187"/>
      <c r="O654" s="92"/>
      <c r="P654" s="187"/>
      <c r="Q654" s="187"/>
      <c r="R654" s="187"/>
      <c r="S654" s="187"/>
      <c r="T654" s="85"/>
      <c r="U654" s="189"/>
      <c r="V654" s="189"/>
      <c r="W654" s="189"/>
      <c r="X654" s="189"/>
      <c r="Y654" s="100"/>
      <c r="AA654" s="96"/>
      <c r="AB654" s="96"/>
      <c r="AC654" s="96"/>
      <c r="AD654" s="97"/>
      <c r="AE654" s="96"/>
      <c r="AF654" s="98"/>
      <c r="AG654" s="96"/>
      <c r="AH654" s="96"/>
      <c r="AI654" s="96"/>
      <c r="AJ654" s="96"/>
      <c r="AK654" s="96"/>
      <c r="AL654" s="96"/>
      <c r="AM654" s="96"/>
      <c r="AN654" s="96"/>
      <c r="AO654" s="96"/>
      <c r="AP654" s="96"/>
    </row>
    <row r="655" spans="2:42" ht="12.75">
      <c r="B655" s="186"/>
      <c r="C655" s="85"/>
      <c r="D655" s="85"/>
      <c r="E655" s="187"/>
      <c r="F655" s="187"/>
      <c r="G655" s="187"/>
      <c r="H655" s="187"/>
      <c r="I655" s="92"/>
      <c r="J655" s="92"/>
      <c r="K655" s="187"/>
      <c r="L655" s="187"/>
      <c r="M655" s="187"/>
      <c r="N655" s="187"/>
      <c r="O655" s="92"/>
      <c r="P655" s="187"/>
      <c r="Q655" s="187"/>
      <c r="R655" s="187"/>
      <c r="S655" s="187"/>
      <c r="T655" s="85"/>
      <c r="U655" s="189"/>
      <c r="V655" s="189"/>
      <c r="W655" s="189"/>
      <c r="X655" s="189"/>
      <c r="Y655" s="100"/>
      <c r="AA655" s="96"/>
      <c r="AB655" s="96"/>
      <c r="AC655" s="96"/>
      <c r="AD655" s="97"/>
      <c r="AE655" s="96"/>
      <c r="AF655" s="98"/>
      <c r="AG655" s="96"/>
      <c r="AH655" s="96"/>
      <c r="AI655" s="96"/>
      <c r="AJ655" s="96"/>
      <c r="AK655" s="96"/>
      <c r="AL655" s="96"/>
      <c r="AM655" s="96"/>
      <c r="AN655" s="96"/>
      <c r="AO655" s="96"/>
      <c r="AP655" s="96"/>
    </row>
    <row r="656" spans="2:42" ht="12.75">
      <c r="B656" s="186"/>
      <c r="C656" s="85"/>
      <c r="D656" s="85"/>
      <c r="E656" s="187"/>
      <c r="F656" s="187"/>
      <c r="G656" s="187"/>
      <c r="H656" s="187"/>
      <c r="I656" s="92"/>
      <c r="J656" s="92"/>
      <c r="K656" s="187"/>
      <c r="L656" s="187"/>
      <c r="M656" s="187"/>
      <c r="N656" s="187"/>
      <c r="O656" s="92"/>
      <c r="P656" s="187"/>
      <c r="Q656" s="187"/>
      <c r="R656" s="187"/>
      <c r="S656" s="187"/>
      <c r="T656" s="85"/>
      <c r="U656" s="189"/>
      <c r="V656" s="189"/>
      <c r="W656" s="189"/>
      <c r="X656" s="189"/>
      <c r="Y656" s="100"/>
      <c r="AA656" s="96"/>
      <c r="AB656" s="96"/>
      <c r="AC656" s="96"/>
      <c r="AD656" s="97"/>
      <c r="AE656" s="96"/>
      <c r="AF656" s="98"/>
      <c r="AG656" s="96"/>
      <c r="AH656" s="96"/>
      <c r="AI656" s="96"/>
      <c r="AJ656" s="96"/>
      <c r="AK656" s="96"/>
      <c r="AL656" s="96"/>
      <c r="AM656" s="96"/>
      <c r="AN656" s="96"/>
      <c r="AO656" s="96"/>
      <c r="AP656" s="96"/>
    </row>
    <row r="657" spans="2:42" ht="12.75">
      <c r="B657" s="186"/>
      <c r="C657" s="85"/>
      <c r="D657" s="85"/>
      <c r="E657" s="187"/>
      <c r="F657" s="187"/>
      <c r="G657" s="187"/>
      <c r="H657" s="187"/>
      <c r="I657" s="92"/>
      <c r="J657" s="92"/>
      <c r="K657" s="187"/>
      <c r="L657" s="187"/>
      <c r="M657" s="187"/>
      <c r="N657" s="187"/>
      <c r="O657" s="92"/>
      <c r="P657" s="187"/>
      <c r="Q657" s="187"/>
      <c r="R657" s="187"/>
      <c r="S657" s="187"/>
      <c r="T657" s="85"/>
      <c r="U657" s="189"/>
      <c r="V657" s="189"/>
      <c r="W657" s="189"/>
      <c r="X657" s="189"/>
      <c r="Y657" s="100"/>
      <c r="AA657" s="96"/>
      <c r="AB657" s="96"/>
      <c r="AC657" s="96"/>
      <c r="AD657" s="97"/>
      <c r="AE657" s="96"/>
      <c r="AF657" s="98"/>
      <c r="AG657" s="96"/>
      <c r="AH657" s="96"/>
      <c r="AI657" s="96"/>
      <c r="AJ657" s="96"/>
      <c r="AK657" s="96"/>
      <c r="AL657" s="96"/>
      <c r="AM657" s="96"/>
      <c r="AN657" s="96"/>
      <c r="AO657" s="96"/>
      <c r="AP657" s="96"/>
    </row>
    <row r="658" spans="2:42" ht="12.75">
      <c r="B658" s="186"/>
      <c r="C658" s="85"/>
      <c r="D658" s="85"/>
      <c r="E658" s="187"/>
      <c r="F658" s="187"/>
      <c r="G658" s="187"/>
      <c r="H658" s="187"/>
      <c r="I658" s="92"/>
      <c r="J658" s="92"/>
      <c r="K658" s="187"/>
      <c r="L658" s="187"/>
      <c r="M658" s="187"/>
      <c r="N658" s="187"/>
      <c r="O658" s="92"/>
      <c r="P658" s="187"/>
      <c r="Q658" s="187"/>
      <c r="R658" s="187"/>
      <c r="S658" s="187"/>
      <c r="T658" s="85"/>
      <c r="U658" s="189"/>
      <c r="V658" s="189"/>
      <c r="W658" s="189"/>
      <c r="X658" s="189"/>
      <c r="Y658" s="100"/>
      <c r="AA658" s="96"/>
      <c r="AB658" s="96"/>
      <c r="AC658" s="96"/>
      <c r="AD658" s="97"/>
      <c r="AE658" s="96"/>
      <c r="AF658" s="98"/>
      <c r="AG658" s="96"/>
      <c r="AH658" s="96"/>
      <c r="AI658" s="96"/>
      <c r="AJ658" s="96"/>
      <c r="AK658" s="96"/>
      <c r="AL658" s="96"/>
      <c r="AM658" s="96"/>
      <c r="AN658" s="96"/>
      <c r="AO658" s="96"/>
      <c r="AP658" s="96"/>
    </row>
    <row r="659" spans="2:42" ht="12.75">
      <c r="B659" s="186"/>
      <c r="C659" s="85"/>
      <c r="D659" s="85"/>
      <c r="E659" s="187"/>
      <c r="F659" s="187"/>
      <c r="G659" s="187"/>
      <c r="H659" s="187"/>
      <c r="I659" s="92"/>
      <c r="J659" s="92"/>
      <c r="K659" s="187"/>
      <c r="L659" s="187"/>
      <c r="M659" s="187"/>
      <c r="N659" s="187"/>
      <c r="O659" s="92"/>
      <c r="P659" s="187"/>
      <c r="Q659" s="187"/>
      <c r="R659" s="187"/>
      <c r="S659" s="187"/>
      <c r="T659" s="85"/>
      <c r="U659" s="189"/>
      <c r="V659" s="189"/>
      <c r="W659" s="189"/>
      <c r="X659" s="189"/>
      <c r="Y659" s="100"/>
      <c r="AA659" s="96"/>
      <c r="AB659" s="96"/>
      <c r="AC659" s="96"/>
      <c r="AD659" s="97"/>
      <c r="AE659" s="96"/>
      <c r="AF659" s="98"/>
      <c r="AG659" s="96"/>
      <c r="AH659" s="96"/>
      <c r="AI659" s="96"/>
      <c r="AJ659" s="96"/>
      <c r="AK659" s="96"/>
      <c r="AL659" s="96"/>
      <c r="AM659" s="96"/>
      <c r="AN659" s="96"/>
      <c r="AO659" s="96"/>
      <c r="AP659" s="96"/>
    </row>
    <row r="660" spans="2:42" ht="12.75">
      <c r="B660" s="186"/>
      <c r="C660" s="85"/>
      <c r="D660" s="85"/>
      <c r="E660" s="187"/>
      <c r="F660" s="187"/>
      <c r="G660" s="187"/>
      <c r="H660" s="187"/>
      <c r="I660" s="92"/>
      <c r="J660" s="92"/>
      <c r="K660" s="187"/>
      <c r="L660" s="187"/>
      <c r="M660" s="187"/>
      <c r="N660" s="187"/>
      <c r="O660" s="92"/>
      <c r="P660" s="187"/>
      <c r="Q660" s="187"/>
      <c r="R660" s="187"/>
      <c r="S660" s="187"/>
      <c r="T660" s="85"/>
      <c r="U660" s="189"/>
      <c r="V660" s="189"/>
      <c r="W660" s="189"/>
      <c r="X660" s="189"/>
      <c r="Y660" s="100"/>
      <c r="AA660" s="96"/>
      <c r="AB660" s="96"/>
      <c r="AC660" s="96"/>
      <c r="AD660" s="97"/>
      <c r="AE660" s="96"/>
      <c r="AF660" s="98"/>
      <c r="AG660" s="96"/>
      <c r="AH660" s="96"/>
      <c r="AI660" s="96"/>
      <c r="AJ660" s="96"/>
      <c r="AK660" s="96"/>
      <c r="AL660" s="96"/>
      <c r="AM660" s="96"/>
      <c r="AN660" s="96"/>
      <c r="AO660" s="96"/>
      <c r="AP660" s="96"/>
    </row>
    <row r="661" spans="2:42" ht="12.75">
      <c r="B661" s="186"/>
      <c r="C661" s="85"/>
      <c r="D661" s="85"/>
      <c r="E661" s="187"/>
      <c r="F661" s="187"/>
      <c r="G661" s="187"/>
      <c r="H661" s="187"/>
      <c r="I661" s="92"/>
      <c r="J661" s="92"/>
      <c r="K661" s="187"/>
      <c r="L661" s="187"/>
      <c r="M661" s="187"/>
      <c r="N661" s="187"/>
      <c r="O661" s="92"/>
      <c r="P661" s="187"/>
      <c r="Q661" s="187"/>
      <c r="R661" s="187"/>
      <c r="S661" s="187"/>
      <c r="T661" s="85"/>
      <c r="U661" s="189"/>
      <c r="V661" s="189"/>
      <c r="W661" s="189"/>
      <c r="X661" s="189"/>
      <c r="Y661" s="100"/>
      <c r="AA661" s="96"/>
      <c r="AB661" s="96"/>
      <c r="AC661" s="96"/>
      <c r="AD661" s="97"/>
      <c r="AE661" s="96"/>
      <c r="AF661" s="98"/>
      <c r="AG661" s="96"/>
      <c r="AH661" s="96"/>
      <c r="AI661" s="96"/>
      <c r="AJ661" s="96"/>
      <c r="AK661" s="96"/>
      <c r="AL661" s="96"/>
      <c r="AM661" s="96"/>
      <c r="AN661" s="96"/>
      <c r="AO661" s="96"/>
      <c r="AP661" s="96"/>
    </row>
    <row r="662" spans="2:42" ht="12.75">
      <c r="B662" s="186"/>
      <c r="C662" s="85"/>
      <c r="D662" s="85"/>
      <c r="E662" s="187"/>
      <c r="F662" s="187"/>
      <c r="G662" s="187"/>
      <c r="H662" s="187"/>
      <c r="I662" s="92"/>
      <c r="J662" s="92"/>
      <c r="K662" s="187"/>
      <c r="L662" s="187"/>
      <c r="M662" s="187"/>
      <c r="N662" s="187"/>
      <c r="O662" s="92"/>
      <c r="P662" s="187"/>
      <c r="Q662" s="187"/>
      <c r="R662" s="187"/>
      <c r="S662" s="187"/>
      <c r="T662" s="85"/>
      <c r="U662" s="189"/>
      <c r="V662" s="189"/>
      <c r="W662" s="189"/>
      <c r="X662" s="189"/>
      <c r="Y662" s="100"/>
      <c r="AA662" s="96"/>
      <c r="AB662" s="96"/>
      <c r="AC662" s="96"/>
      <c r="AD662" s="97"/>
      <c r="AE662" s="96"/>
      <c r="AF662" s="98"/>
      <c r="AG662" s="96"/>
      <c r="AH662" s="96"/>
      <c r="AI662" s="96"/>
      <c r="AJ662" s="96"/>
      <c r="AK662" s="96"/>
      <c r="AL662" s="96"/>
      <c r="AM662" s="96"/>
      <c r="AN662" s="96"/>
      <c r="AO662" s="96"/>
      <c r="AP662" s="96"/>
    </row>
    <row r="663" spans="2:42" ht="12.75">
      <c r="B663" s="186"/>
      <c r="C663" s="85"/>
      <c r="D663" s="85"/>
      <c r="E663" s="187"/>
      <c r="F663" s="187"/>
      <c r="G663" s="187"/>
      <c r="H663" s="187"/>
      <c r="I663" s="92"/>
      <c r="J663" s="92"/>
      <c r="K663" s="187"/>
      <c r="L663" s="187"/>
      <c r="M663" s="187"/>
      <c r="N663" s="187"/>
      <c r="O663" s="92"/>
      <c r="P663" s="187"/>
      <c r="Q663" s="187"/>
      <c r="R663" s="187"/>
      <c r="S663" s="187"/>
      <c r="T663" s="85"/>
      <c r="U663" s="189"/>
      <c r="V663" s="189"/>
      <c r="W663" s="189"/>
      <c r="X663" s="189"/>
      <c r="Y663" s="100"/>
      <c r="AA663" s="96"/>
      <c r="AB663" s="96"/>
      <c r="AC663" s="96"/>
      <c r="AD663" s="97"/>
      <c r="AE663" s="96"/>
      <c r="AF663" s="98"/>
      <c r="AG663" s="96"/>
      <c r="AH663" s="96"/>
      <c r="AI663" s="96"/>
      <c r="AJ663" s="96"/>
      <c r="AK663" s="96"/>
      <c r="AL663" s="96"/>
      <c r="AM663" s="96"/>
      <c r="AN663" s="96"/>
      <c r="AO663" s="96"/>
      <c r="AP663" s="96"/>
    </row>
    <row r="664" spans="2:42" ht="12.75">
      <c r="B664" s="186"/>
      <c r="C664" s="85"/>
      <c r="D664" s="85"/>
      <c r="E664" s="187"/>
      <c r="F664" s="187"/>
      <c r="G664" s="187"/>
      <c r="H664" s="187"/>
      <c r="I664" s="92"/>
      <c r="J664" s="92"/>
      <c r="K664" s="187"/>
      <c r="L664" s="187"/>
      <c r="M664" s="187"/>
      <c r="N664" s="187"/>
      <c r="O664" s="92"/>
      <c r="P664" s="187"/>
      <c r="Q664" s="187"/>
      <c r="R664" s="187"/>
      <c r="S664" s="187"/>
      <c r="T664" s="85"/>
      <c r="U664" s="189"/>
      <c r="V664" s="189"/>
      <c r="W664" s="189"/>
      <c r="X664" s="189"/>
      <c r="Y664" s="100"/>
      <c r="AA664" s="96"/>
      <c r="AB664" s="96"/>
      <c r="AC664" s="96"/>
      <c r="AD664" s="97"/>
      <c r="AE664" s="96"/>
      <c r="AF664" s="98"/>
      <c r="AG664" s="96"/>
      <c r="AH664" s="96"/>
      <c r="AI664" s="96"/>
      <c r="AJ664" s="96"/>
      <c r="AK664" s="96"/>
      <c r="AL664" s="96"/>
      <c r="AM664" s="96"/>
      <c r="AN664" s="96"/>
      <c r="AO664" s="96"/>
      <c r="AP664" s="96"/>
    </row>
    <row r="665" spans="2:42" ht="12.75">
      <c r="B665" s="186"/>
      <c r="C665" s="85"/>
      <c r="D665" s="85"/>
      <c r="E665" s="187"/>
      <c r="F665" s="187"/>
      <c r="G665" s="187"/>
      <c r="H665" s="187"/>
      <c r="I665" s="92"/>
      <c r="J665" s="92"/>
      <c r="K665" s="187"/>
      <c r="L665" s="187"/>
      <c r="M665" s="187"/>
      <c r="N665" s="187"/>
      <c r="O665" s="92"/>
      <c r="P665" s="187"/>
      <c r="Q665" s="187"/>
      <c r="R665" s="187"/>
      <c r="S665" s="187"/>
      <c r="T665" s="85"/>
      <c r="U665" s="189"/>
      <c r="V665" s="189"/>
      <c r="W665" s="189"/>
      <c r="X665" s="189"/>
      <c r="Y665" s="100"/>
      <c r="AA665" s="96"/>
      <c r="AB665" s="96"/>
      <c r="AC665" s="96"/>
      <c r="AD665" s="97"/>
      <c r="AE665" s="96"/>
      <c r="AF665" s="98"/>
      <c r="AG665" s="96"/>
      <c r="AH665" s="96"/>
      <c r="AI665" s="96"/>
      <c r="AJ665" s="96"/>
      <c r="AK665" s="96"/>
      <c r="AL665" s="96"/>
      <c r="AM665" s="96"/>
      <c r="AN665" s="96"/>
      <c r="AO665" s="96"/>
      <c r="AP665" s="96"/>
    </row>
    <row r="666" spans="2:42" ht="12.75">
      <c r="B666" s="186"/>
      <c r="C666" s="85"/>
      <c r="D666" s="85"/>
      <c r="E666" s="187"/>
      <c r="F666" s="187"/>
      <c r="G666" s="187"/>
      <c r="H666" s="187"/>
      <c r="I666" s="92"/>
      <c r="J666" s="92"/>
      <c r="K666" s="187"/>
      <c r="L666" s="187"/>
      <c r="M666" s="187"/>
      <c r="N666" s="187"/>
      <c r="O666" s="92"/>
      <c r="P666" s="187"/>
      <c r="Q666" s="187"/>
      <c r="R666" s="187"/>
      <c r="S666" s="187"/>
      <c r="T666" s="85"/>
      <c r="U666" s="189"/>
      <c r="V666" s="189"/>
      <c r="W666" s="189"/>
      <c r="X666" s="189"/>
      <c r="Y666" s="100"/>
      <c r="AA666" s="96"/>
      <c r="AB666" s="96"/>
      <c r="AC666" s="96"/>
      <c r="AD666" s="97"/>
      <c r="AE666" s="96"/>
      <c r="AF666" s="98"/>
      <c r="AG666" s="96"/>
      <c r="AH666" s="96"/>
      <c r="AI666" s="96"/>
      <c r="AJ666" s="96"/>
      <c r="AK666" s="96"/>
      <c r="AL666" s="96"/>
      <c r="AM666" s="96"/>
      <c r="AN666" s="96"/>
      <c r="AO666" s="96"/>
      <c r="AP666" s="96"/>
    </row>
    <row r="667" spans="2:42" ht="12.75">
      <c r="B667" s="186"/>
      <c r="C667" s="85"/>
      <c r="D667" s="85"/>
      <c r="E667" s="187"/>
      <c r="F667" s="187"/>
      <c r="G667" s="187"/>
      <c r="H667" s="187"/>
      <c r="I667" s="92"/>
      <c r="J667" s="92"/>
      <c r="K667" s="187"/>
      <c r="L667" s="187"/>
      <c r="M667" s="187"/>
      <c r="N667" s="187"/>
      <c r="O667" s="92"/>
      <c r="P667" s="187"/>
      <c r="Q667" s="187"/>
      <c r="R667" s="187"/>
      <c r="S667" s="187"/>
      <c r="T667" s="85"/>
      <c r="U667" s="189"/>
      <c r="V667" s="189"/>
      <c r="W667" s="189"/>
      <c r="X667" s="189"/>
      <c r="Y667" s="100"/>
      <c r="AA667" s="96"/>
      <c r="AB667" s="96"/>
      <c r="AC667" s="96"/>
      <c r="AD667" s="97"/>
      <c r="AE667" s="96"/>
      <c r="AF667" s="98"/>
      <c r="AG667" s="96"/>
      <c r="AH667" s="96"/>
      <c r="AI667" s="96"/>
      <c r="AJ667" s="96"/>
      <c r="AK667" s="96"/>
      <c r="AL667" s="96"/>
      <c r="AM667" s="96"/>
      <c r="AN667" s="96"/>
      <c r="AO667" s="96"/>
      <c r="AP667" s="96"/>
    </row>
    <row r="668" spans="2:42" ht="12.75">
      <c r="B668" s="186"/>
      <c r="C668" s="85"/>
      <c r="D668" s="85"/>
      <c r="E668" s="187"/>
      <c r="F668" s="187"/>
      <c r="G668" s="187"/>
      <c r="H668" s="187"/>
      <c r="I668" s="92"/>
      <c r="J668" s="92"/>
      <c r="K668" s="187"/>
      <c r="L668" s="187"/>
      <c r="M668" s="187"/>
      <c r="N668" s="187"/>
      <c r="O668" s="92"/>
      <c r="P668" s="187"/>
      <c r="Q668" s="187"/>
      <c r="R668" s="187"/>
      <c r="S668" s="187"/>
      <c r="T668" s="85"/>
      <c r="U668" s="189"/>
      <c r="V668" s="189"/>
      <c r="W668" s="189"/>
      <c r="X668" s="189"/>
      <c r="Y668" s="100"/>
      <c r="AA668" s="96"/>
      <c r="AB668" s="96"/>
      <c r="AC668" s="96"/>
      <c r="AD668" s="97"/>
      <c r="AE668" s="96"/>
      <c r="AF668" s="98"/>
      <c r="AG668" s="96"/>
      <c r="AH668" s="96"/>
      <c r="AI668" s="96"/>
      <c r="AJ668" s="96"/>
      <c r="AK668" s="96"/>
      <c r="AL668" s="96"/>
      <c r="AM668" s="96"/>
      <c r="AN668" s="96"/>
      <c r="AO668" s="96"/>
      <c r="AP668" s="96"/>
    </row>
    <row r="669" spans="2:42" ht="12.75">
      <c r="B669" s="186"/>
      <c r="C669" s="85"/>
      <c r="D669" s="85"/>
      <c r="E669" s="187"/>
      <c r="F669" s="187"/>
      <c r="G669" s="187"/>
      <c r="H669" s="187"/>
      <c r="I669" s="92"/>
      <c r="J669" s="92"/>
      <c r="K669" s="187"/>
      <c r="L669" s="187"/>
      <c r="M669" s="187"/>
      <c r="N669" s="187"/>
      <c r="O669" s="92"/>
      <c r="P669" s="187"/>
      <c r="Q669" s="187"/>
      <c r="R669" s="187"/>
      <c r="S669" s="187"/>
      <c r="T669" s="85"/>
      <c r="U669" s="189"/>
      <c r="V669" s="189"/>
      <c r="W669" s="189"/>
      <c r="X669" s="189"/>
      <c r="Y669" s="100"/>
      <c r="AA669" s="96"/>
      <c r="AB669" s="96"/>
      <c r="AC669" s="96"/>
      <c r="AD669" s="97"/>
      <c r="AE669" s="96"/>
      <c r="AF669" s="98"/>
      <c r="AG669" s="96"/>
      <c r="AH669" s="96"/>
      <c r="AI669" s="96"/>
      <c r="AJ669" s="96"/>
      <c r="AK669" s="96"/>
      <c r="AL669" s="96"/>
      <c r="AM669" s="96"/>
      <c r="AN669" s="96"/>
      <c r="AO669" s="96"/>
      <c r="AP669" s="96"/>
    </row>
    <row r="670" spans="2:42" ht="12.75">
      <c r="B670" s="186"/>
      <c r="C670" s="85"/>
      <c r="D670" s="85"/>
      <c r="E670" s="187"/>
      <c r="F670" s="187"/>
      <c r="G670" s="187"/>
      <c r="H670" s="187"/>
      <c r="I670" s="92"/>
      <c r="J670" s="92"/>
      <c r="K670" s="187"/>
      <c r="L670" s="187"/>
      <c r="M670" s="187"/>
      <c r="N670" s="187"/>
      <c r="O670" s="92"/>
      <c r="P670" s="187"/>
      <c r="Q670" s="187"/>
      <c r="R670" s="187"/>
      <c r="S670" s="187"/>
      <c r="T670" s="85"/>
      <c r="U670" s="189"/>
      <c r="V670" s="189"/>
      <c r="W670" s="189"/>
      <c r="X670" s="189"/>
      <c r="Y670" s="100"/>
      <c r="AA670" s="96"/>
      <c r="AB670" s="96"/>
      <c r="AC670" s="96"/>
      <c r="AD670" s="97"/>
      <c r="AE670" s="96"/>
      <c r="AF670" s="98"/>
      <c r="AG670" s="96"/>
      <c r="AH670" s="96"/>
      <c r="AI670" s="96"/>
      <c r="AJ670" s="96"/>
      <c r="AK670" s="96"/>
      <c r="AL670" s="96"/>
      <c r="AM670" s="96"/>
      <c r="AN670" s="96"/>
      <c r="AO670" s="96"/>
      <c r="AP670" s="96"/>
    </row>
    <row r="671" spans="2:42" ht="12.75">
      <c r="B671" s="186"/>
      <c r="C671" s="85"/>
      <c r="D671" s="85"/>
      <c r="E671" s="187"/>
      <c r="F671" s="187"/>
      <c r="G671" s="187"/>
      <c r="H671" s="187"/>
      <c r="I671" s="92"/>
      <c r="J671" s="92"/>
      <c r="K671" s="187"/>
      <c r="L671" s="187"/>
      <c r="M671" s="187"/>
      <c r="N671" s="187"/>
      <c r="O671" s="92"/>
      <c r="P671" s="187"/>
      <c r="Q671" s="187"/>
      <c r="R671" s="187"/>
      <c r="S671" s="187"/>
      <c r="T671" s="85"/>
      <c r="U671" s="189"/>
      <c r="V671" s="189"/>
      <c r="W671" s="189"/>
      <c r="X671" s="189"/>
      <c r="Y671" s="100"/>
      <c r="AA671" s="96"/>
      <c r="AB671" s="96"/>
      <c r="AC671" s="96"/>
      <c r="AD671" s="97"/>
      <c r="AE671" s="96"/>
      <c r="AF671" s="98"/>
      <c r="AG671" s="96"/>
      <c r="AH671" s="96"/>
      <c r="AI671" s="96"/>
      <c r="AJ671" s="96"/>
      <c r="AK671" s="96"/>
      <c r="AL671" s="96"/>
      <c r="AM671" s="96"/>
      <c r="AN671" s="96"/>
      <c r="AO671" s="96"/>
      <c r="AP671" s="96"/>
    </row>
    <row r="672" spans="2:42" ht="12.75">
      <c r="B672" s="186"/>
      <c r="C672" s="85"/>
      <c r="D672" s="85"/>
      <c r="E672" s="187"/>
      <c r="F672" s="187"/>
      <c r="G672" s="187"/>
      <c r="H672" s="187"/>
      <c r="I672" s="92"/>
      <c r="J672" s="92"/>
      <c r="K672" s="187"/>
      <c r="L672" s="187"/>
      <c r="M672" s="187"/>
      <c r="N672" s="187"/>
      <c r="O672" s="92"/>
      <c r="P672" s="187"/>
      <c r="Q672" s="187"/>
      <c r="R672" s="187"/>
      <c r="S672" s="187"/>
      <c r="T672" s="85"/>
      <c r="U672" s="189"/>
      <c r="V672" s="189"/>
      <c r="W672" s="189"/>
      <c r="X672" s="189"/>
      <c r="Y672" s="100"/>
      <c r="AA672" s="96"/>
      <c r="AB672" s="96"/>
      <c r="AC672" s="96"/>
      <c r="AD672" s="97"/>
      <c r="AE672" s="96"/>
      <c r="AF672" s="98"/>
      <c r="AG672" s="96"/>
      <c r="AH672" s="96"/>
      <c r="AI672" s="96"/>
      <c r="AJ672" s="96"/>
      <c r="AK672" s="96"/>
      <c r="AL672" s="96"/>
      <c r="AM672" s="96"/>
      <c r="AN672" s="96"/>
      <c r="AO672" s="96"/>
      <c r="AP672" s="96"/>
    </row>
    <row r="673" spans="2:42" ht="12.75">
      <c r="B673" s="186"/>
      <c r="C673" s="85"/>
      <c r="D673" s="85"/>
      <c r="E673" s="187"/>
      <c r="F673" s="187"/>
      <c r="G673" s="187"/>
      <c r="H673" s="187"/>
      <c r="I673" s="92"/>
      <c r="J673" s="92"/>
      <c r="K673" s="187"/>
      <c r="L673" s="187"/>
      <c r="M673" s="187"/>
      <c r="N673" s="187"/>
      <c r="O673" s="92"/>
      <c r="P673" s="187"/>
      <c r="Q673" s="187"/>
      <c r="R673" s="187"/>
      <c r="S673" s="187"/>
      <c r="T673" s="85"/>
      <c r="U673" s="189"/>
      <c r="V673" s="189"/>
      <c r="W673" s="189"/>
      <c r="X673" s="189"/>
      <c r="Y673" s="100"/>
      <c r="AA673" s="96"/>
      <c r="AB673" s="96"/>
      <c r="AC673" s="96"/>
      <c r="AD673" s="97"/>
      <c r="AE673" s="96"/>
      <c r="AF673" s="98"/>
      <c r="AG673" s="96"/>
      <c r="AH673" s="96"/>
      <c r="AI673" s="96"/>
      <c r="AJ673" s="96"/>
      <c r="AK673" s="96"/>
      <c r="AL673" s="96"/>
      <c r="AM673" s="96"/>
      <c r="AN673" s="96"/>
      <c r="AO673" s="96"/>
      <c r="AP673" s="96"/>
    </row>
    <row r="674" spans="2:42" ht="12.75">
      <c r="B674" s="186"/>
      <c r="C674" s="85"/>
      <c r="D674" s="85"/>
      <c r="E674" s="187"/>
      <c r="F674" s="187"/>
      <c r="G674" s="187"/>
      <c r="H674" s="187"/>
      <c r="I674" s="92"/>
      <c r="J674" s="92"/>
      <c r="K674" s="187"/>
      <c r="L674" s="187"/>
      <c r="M674" s="187"/>
      <c r="N674" s="187"/>
      <c r="O674" s="92"/>
      <c r="P674" s="187"/>
      <c r="Q674" s="187"/>
      <c r="R674" s="187"/>
      <c r="S674" s="187"/>
      <c r="T674" s="85"/>
      <c r="U674" s="189"/>
      <c r="V674" s="189"/>
      <c r="W674" s="189"/>
      <c r="X674" s="189"/>
      <c r="Y674" s="100"/>
      <c r="AA674" s="96"/>
      <c r="AB674" s="96"/>
      <c r="AC674" s="96"/>
      <c r="AD674" s="97"/>
      <c r="AE674" s="96"/>
      <c r="AF674" s="98"/>
      <c r="AG674" s="96"/>
      <c r="AH674" s="96"/>
      <c r="AI674" s="96"/>
      <c r="AJ674" s="96"/>
      <c r="AK674" s="96"/>
      <c r="AL674" s="96"/>
      <c r="AM674" s="96"/>
      <c r="AN674" s="96"/>
      <c r="AO674" s="96"/>
      <c r="AP674" s="96"/>
    </row>
    <row r="675" spans="2:42" ht="12.75">
      <c r="B675" s="186"/>
      <c r="C675" s="85"/>
      <c r="D675" s="85"/>
      <c r="E675" s="187"/>
      <c r="F675" s="187"/>
      <c r="G675" s="187"/>
      <c r="H675" s="187"/>
      <c r="I675" s="92"/>
      <c r="J675" s="92"/>
      <c r="K675" s="187"/>
      <c r="L675" s="187"/>
      <c r="M675" s="187"/>
      <c r="N675" s="187"/>
      <c r="O675" s="92"/>
      <c r="P675" s="187"/>
      <c r="Q675" s="187"/>
      <c r="R675" s="187"/>
      <c r="S675" s="187"/>
      <c r="T675" s="85"/>
      <c r="U675" s="189"/>
      <c r="V675" s="189"/>
      <c r="W675" s="189"/>
      <c r="X675" s="189"/>
      <c r="Y675" s="100"/>
      <c r="AA675" s="96"/>
      <c r="AB675" s="96"/>
      <c r="AC675" s="96"/>
      <c r="AD675" s="97"/>
      <c r="AE675" s="96"/>
      <c r="AF675" s="98"/>
      <c r="AG675" s="96"/>
      <c r="AH675" s="96"/>
      <c r="AI675" s="96"/>
      <c r="AJ675" s="96"/>
      <c r="AK675" s="96"/>
      <c r="AL675" s="96"/>
      <c r="AM675" s="96"/>
      <c r="AN675" s="96"/>
      <c r="AO675" s="96"/>
      <c r="AP675" s="96"/>
    </row>
    <row r="676" spans="2:42" ht="12.75">
      <c r="B676" s="186"/>
      <c r="C676" s="85"/>
      <c r="D676" s="85"/>
      <c r="E676" s="187"/>
      <c r="F676" s="187"/>
      <c r="G676" s="187"/>
      <c r="H676" s="187"/>
      <c r="I676" s="92"/>
      <c r="J676" s="92"/>
      <c r="K676" s="187"/>
      <c r="L676" s="187"/>
      <c r="M676" s="187"/>
      <c r="N676" s="187"/>
      <c r="O676" s="92"/>
      <c r="P676" s="187"/>
      <c r="Q676" s="187"/>
      <c r="R676" s="187"/>
      <c r="S676" s="187"/>
      <c r="T676" s="85"/>
      <c r="U676" s="189"/>
      <c r="V676" s="189"/>
      <c r="W676" s="189"/>
      <c r="X676" s="189"/>
      <c r="Y676" s="100"/>
      <c r="AA676" s="96"/>
      <c r="AB676" s="96"/>
      <c r="AC676" s="96"/>
      <c r="AD676" s="97"/>
      <c r="AE676" s="96"/>
      <c r="AF676" s="98"/>
      <c r="AG676" s="96"/>
      <c r="AH676" s="96"/>
      <c r="AI676" s="96"/>
      <c r="AJ676" s="96"/>
      <c r="AK676" s="96"/>
      <c r="AL676" s="96"/>
      <c r="AM676" s="96"/>
      <c r="AN676" s="96"/>
      <c r="AO676" s="96"/>
      <c r="AP676" s="96"/>
    </row>
    <row r="677" spans="2:42" ht="12.75">
      <c r="B677" s="186"/>
      <c r="C677" s="85"/>
      <c r="D677" s="85"/>
      <c r="E677" s="187"/>
      <c r="F677" s="187"/>
      <c r="G677" s="187"/>
      <c r="H677" s="187"/>
      <c r="I677" s="92"/>
      <c r="J677" s="92"/>
      <c r="K677" s="187"/>
      <c r="L677" s="187"/>
      <c r="M677" s="187"/>
      <c r="N677" s="187"/>
      <c r="O677" s="92"/>
      <c r="P677" s="187"/>
      <c r="Q677" s="187"/>
      <c r="R677" s="187"/>
      <c r="S677" s="187"/>
      <c r="T677" s="85"/>
      <c r="U677" s="189"/>
      <c r="V677" s="189"/>
      <c r="W677" s="189"/>
      <c r="X677" s="189"/>
      <c r="Y677" s="100"/>
      <c r="AA677" s="96"/>
      <c r="AB677" s="96"/>
      <c r="AC677" s="96"/>
      <c r="AD677" s="97"/>
      <c r="AE677" s="96"/>
      <c r="AF677" s="98"/>
      <c r="AG677" s="96"/>
      <c r="AH677" s="96"/>
      <c r="AI677" s="96"/>
      <c r="AJ677" s="96"/>
      <c r="AK677" s="96"/>
      <c r="AL677" s="96"/>
      <c r="AM677" s="96"/>
      <c r="AN677" s="96"/>
      <c r="AO677" s="96"/>
      <c r="AP677" s="96"/>
    </row>
    <row r="678" spans="2:42" ht="12.75">
      <c r="B678" s="186"/>
      <c r="C678" s="85"/>
      <c r="D678" s="85"/>
      <c r="E678" s="187"/>
      <c r="F678" s="187"/>
      <c r="G678" s="187"/>
      <c r="H678" s="187"/>
      <c r="I678" s="92"/>
      <c r="J678" s="92"/>
      <c r="K678" s="187"/>
      <c r="L678" s="187"/>
      <c r="M678" s="187"/>
      <c r="N678" s="187"/>
      <c r="O678" s="92"/>
      <c r="P678" s="187"/>
      <c r="Q678" s="187"/>
      <c r="R678" s="187"/>
      <c r="S678" s="187"/>
      <c r="T678" s="85"/>
      <c r="U678" s="189"/>
      <c r="V678" s="189"/>
      <c r="W678" s="189"/>
      <c r="X678" s="189"/>
      <c r="Y678" s="100"/>
      <c r="AA678" s="96"/>
      <c r="AB678" s="96"/>
      <c r="AC678" s="96"/>
      <c r="AD678" s="97"/>
      <c r="AE678" s="96"/>
      <c r="AF678" s="98"/>
      <c r="AG678" s="96"/>
      <c r="AH678" s="96"/>
      <c r="AI678" s="96"/>
      <c r="AJ678" s="96"/>
      <c r="AK678" s="96"/>
      <c r="AL678" s="96"/>
      <c r="AM678" s="96"/>
      <c r="AN678" s="96"/>
      <c r="AO678" s="96"/>
      <c r="AP678" s="96"/>
    </row>
    <row r="679" spans="2:42" ht="12.75">
      <c r="B679" s="186"/>
      <c r="C679" s="85"/>
      <c r="D679" s="85"/>
      <c r="E679" s="187"/>
      <c r="F679" s="187"/>
      <c r="G679" s="187"/>
      <c r="H679" s="187"/>
      <c r="I679" s="92"/>
      <c r="J679" s="92"/>
      <c r="K679" s="187"/>
      <c r="L679" s="187"/>
      <c r="M679" s="187"/>
      <c r="N679" s="187"/>
      <c r="O679" s="92"/>
      <c r="P679" s="187"/>
      <c r="Q679" s="187"/>
      <c r="R679" s="187"/>
      <c r="S679" s="187"/>
      <c r="T679" s="85"/>
      <c r="U679" s="189"/>
      <c r="V679" s="189"/>
      <c r="W679" s="189"/>
      <c r="X679" s="189"/>
      <c r="Y679" s="100"/>
      <c r="AA679" s="96"/>
      <c r="AB679" s="96"/>
      <c r="AC679" s="96"/>
      <c r="AD679" s="97"/>
      <c r="AE679" s="96"/>
      <c r="AF679" s="98"/>
      <c r="AG679" s="96"/>
      <c r="AH679" s="96"/>
      <c r="AI679" s="96"/>
      <c r="AJ679" s="96"/>
      <c r="AK679" s="96"/>
      <c r="AL679" s="96"/>
      <c r="AM679" s="96"/>
      <c r="AN679" s="96"/>
      <c r="AO679" s="96"/>
      <c r="AP679" s="96"/>
    </row>
    <row r="680" spans="2:42" ht="12.75">
      <c r="B680" s="186"/>
      <c r="C680" s="85"/>
      <c r="D680" s="85"/>
      <c r="E680" s="187"/>
      <c r="F680" s="187"/>
      <c r="G680" s="187"/>
      <c r="H680" s="187"/>
      <c r="I680" s="92"/>
      <c r="J680" s="92"/>
      <c r="K680" s="187"/>
      <c r="L680" s="187"/>
      <c r="M680" s="187"/>
      <c r="N680" s="187"/>
      <c r="O680" s="92"/>
      <c r="P680" s="187"/>
      <c r="Q680" s="187"/>
      <c r="R680" s="187"/>
      <c r="S680" s="187"/>
      <c r="T680" s="85"/>
      <c r="U680" s="189"/>
      <c r="V680" s="189"/>
      <c r="W680" s="189"/>
      <c r="X680" s="189"/>
      <c r="Y680" s="100"/>
      <c r="AA680" s="96"/>
      <c r="AB680" s="96"/>
      <c r="AC680" s="96"/>
      <c r="AD680" s="97"/>
      <c r="AE680" s="96"/>
      <c r="AF680" s="98"/>
      <c r="AG680" s="96"/>
      <c r="AH680" s="96"/>
      <c r="AI680" s="96"/>
      <c r="AJ680" s="96"/>
      <c r="AK680" s="96"/>
      <c r="AL680" s="96"/>
      <c r="AM680" s="96"/>
      <c r="AN680" s="96"/>
      <c r="AO680" s="96"/>
      <c r="AP680" s="96"/>
    </row>
    <row r="681" spans="2:42" ht="12.75">
      <c r="B681" s="186"/>
      <c r="C681" s="85"/>
      <c r="D681" s="85"/>
      <c r="E681" s="187"/>
      <c r="F681" s="187"/>
      <c r="G681" s="187"/>
      <c r="H681" s="187"/>
      <c r="I681" s="92"/>
      <c r="J681" s="92"/>
      <c r="K681" s="187"/>
      <c r="L681" s="187"/>
      <c r="M681" s="187"/>
      <c r="N681" s="187"/>
      <c r="O681" s="92"/>
      <c r="P681" s="187"/>
      <c r="Q681" s="187"/>
      <c r="R681" s="187"/>
      <c r="S681" s="187"/>
      <c r="T681" s="85"/>
      <c r="U681" s="189"/>
      <c r="V681" s="189"/>
      <c r="W681" s="189"/>
      <c r="X681" s="189"/>
      <c r="Y681" s="100"/>
      <c r="AA681" s="96"/>
      <c r="AB681" s="96"/>
      <c r="AC681" s="96"/>
      <c r="AD681" s="97"/>
      <c r="AE681" s="96"/>
      <c r="AF681" s="98"/>
      <c r="AG681" s="96"/>
      <c r="AH681" s="96"/>
      <c r="AI681" s="96"/>
      <c r="AJ681" s="96"/>
      <c r="AK681" s="96"/>
      <c r="AL681" s="96"/>
      <c r="AM681" s="96"/>
      <c r="AN681" s="96"/>
      <c r="AO681" s="96"/>
      <c r="AP681" s="96"/>
    </row>
    <row r="682" spans="2:42" ht="12.75">
      <c r="B682" s="186"/>
      <c r="C682" s="85"/>
      <c r="D682" s="85"/>
      <c r="E682" s="187"/>
      <c r="F682" s="187"/>
      <c r="G682" s="187"/>
      <c r="H682" s="187"/>
      <c r="I682" s="92"/>
      <c r="J682" s="92"/>
      <c r="K682" s="187"/>
      <c r="L682" s="187"/>
      <c r="M682" s="187"/>
      <c r="N682" s="187"/>
      <c r="O682" s="92"/>
      <c r="P682" s="187"/>
      <c r="Q682" s="187"/>
      <c r="R682" s="187"/>
      <c r="S682" s="187"/>
      <c r="T682" s="85"/>
      <c r="U682" s="189"/>
      <c r="V682" s="189"/>
      <c r="W682" s="189"/>
      <c r="X682" s="189"/>
      <c r="Y682" s="100"/>
      <c r="AA682" s="96"/>
      <c r="AB682" s="96"/>
      <c r="AC682" s="96"/>
      <c r="AD682" s="97"/>
      <c r="AE682" s="96"/>
      <c r="AF682" s="98"/>
      <c r="AG682" s="96"/>
      <c r="AH682" s="96"/>
      <c r="AI682" s="96"/>
      <c r="AJ682" s="96"/>
      <c r="AK682" s="96"/>
      <c r="AL682" s="96"/>
      <c r="AM682" s="96"/>
      <c r="AN682" s="96"/>
      <c r="AO682" s="96"/>
      <c r="AP682" s="96"/>
    </row>
    <row r="683" spans="2:42" ht="12.75">
      <c r="B683" s="186"/>
      <c r="C683" s="85"/>
      <c r="D683" s="85"/>
      <c r="E683" s="187"/>
      <c r="F683" s="187"/>
      <c r="G683" s="187"/>
      <c r="H683" s="187"/>
      <c r="I683" s="92"/>
      <c r="J683" s="92"/>
      <c r="K683" s="187"/>
      <c r="L683" s="187"/>
      <c r="M683" s="187"/>
      <c r="N683" s="187"/>
      <c r="O683" s="92"/>
      <c r="P683" s="187"/>
      <c r="Q683" s="187"/>
      <c r="R683" s="187"/>
      <c r="S683" s="187"/>
      <c r="T683" s="85"/>
      <c r="U683" s="189"/>
      <c r="V683" s="189"/>
      <c r="W683" s="189"/>
      <c r="X683" s="189"/>
      <c r="Y683" s="100"/>
      <c r="AA683" s="96"/>
      <c r="AB683" s="96"/>
      <c r="AC683" s="96"/>
      <c r="AD683" s="97"/>
      <c r="AE683" s="96"/>
      <c r="AF683" s="98"/>
      <c r="AG683" s="96"/>
      <c r="AH683" s="96"/>
      <c r="AI683" s="96"/>
      <c r="AJ683" s="96"/>
      <c r="AK683" s="96"/>
      <c r="AL683" s="96"/>
      <c r="AM683" s="96"/>
      <c r="AN683" s="96"/>
      <c r="AO683" s="96"/>
      <c r="AP683" s="96"/>
    </row>
    <row r="684" spans="2:42" ht="12.75">
      <c r="B684" s="186"/>
      <c r="C684" s="85"/>
      <c r="D684" s="85"/>
      <c r="E684" s="187"/>
      <c r="F684" s="187"/>
      <c r="G684" s="187"/>
      <c r="H684" s="187"/>
      <c r="I684" s="92"/>
      <c r="J684" s="92"/>
      <c r="K684" s="187"/>
      <c r="L684" s="187"/>
      <c r="M684" s="187"/>
      <c r="N684" s="187"/>
      <c r="O684" s="92"/>
      <c r="P684" s="187"/>
      <c r="Q684" s="187"/>
      <c r="R684" s="187"/>
      <c r="S684" s="187"/>
      <c r="T684" s="85"/>
      <c r="U684" s="189"/>
      <c r="V684" s="189"/>
      <c r="W684" s="189"/>
      <c r="X684" s="189"/>
      <c r="Y684" s="100"/>
      <c r="AA684" s="96"/>
      <c r="AB684" s="96"/>
      <c r="AC684" s="96"/>
      <c r="AD684" s="97"/>
      <c r="AE684" s="96"/>
      <c r="AF684" s="98"/>
      <c r="AG684" s="96"/>
      <c r="AH684" s="96"/>
      <c r="AI684" s="96"/>
      <c r="AJ684" s="96"/>
      <c r="AK684" s="96"/>
      <c r="AL684" s="96"/>
      <c r="AM684" s="96"/>
      <c r="AN684" s="96"/>
      <c r="AO684" s="96"/>
      <c r="AP684" s="96"/>
    </row>
    <row r="685" spans="2:42" ht="12.75">
      <c r="B685" s="186"/>
      <c r="C685" s="85"/>
      <c r="D685" s="85"/>
      <c r="E685" s="187"/>
      <c r="F685" s="187"/>
      <c r="G685" s="187"/>
      <c r="H685" s="187"/>
      <c r="I685" s="92"/>
      <c r="J685" s="92"/>
      <c r="K685" s="187"/>
      <c r="L685" s="187"/>
      <c r="M685" s="187"/>
      <c r="N685" s="187"/>
      <c r="O685" s="92"/>
      <c r="P685" s="187"/>
      <c r="Q685" s="187"/>
      <c r="R685" s="187"/>
      <c r="S685" s="187"/>
      <c r="T685" s="85"/>
      <c r="U685" s="189"/>
      <c r="V685" s="189"/>
      <c r="W685" s="189"/>
      <c r="X685" s="189"/>
      <c r="Y685" s="100"/>
      <c r="AA685" s="96"/>
      <c r="AB685" s="96"/>
      <c r="AC685" s="96"/>
      <c r="AD685" s="97"/>
      <c r="AE685" s="96"/>
      <c r="AF685" s="98"/>
      <c r="AG685" s="96"/>
      <c r="AH685" s="96"/>
      <c r="AI685" s="96"/>
      <c r="AJ685" s="96"/>
      <c r="AK685" s="96"/>
      <c r="AL685" s="96"/>
      <c r="AM685" s="96"/>
      <c r="AN685" s="96"/>
      <c r="AO685" s="96"/>
      <c r="AP685" s="96"/>
    </row>
    <row r="686" spans="2:42" ht="12.75">
      <c r="B686" s="186"/>
      <c r="C686" s="85"/>
      <c r="D686" s="85"/>
      <c r="E686" s="187"/>
      <c r="F686" s="187"/>
      <c r="G686" s="187"/>
      <c r="H686" s="187"/>
      <c r="I686" s="92"/>
      <c r="J686" s="92"/>
      <c r="K686" s="187"/>
      <c r="L686" s="187"/>
      <c r="M686" s="187"/>
      <c r="N686" s="187"/>
      <c r="O686" s="92"/>
      <c r="P686" s="187"/>
      <c r="Q686" s="187"/>
      <c r="R686" s="187"/>
      <c r="S686" s="187"/>
      <c r="T686" s="85"/>
      <c r="U686" s="189"/>
      <c r="V686" s="189"/>
      <c r="W686" s="189"/>
      <c r="X686" s="189"/>
      <c r="Y686" s="100"/>
      <c r="AA686" s="96"/>
      <c r="AB686" s="96"/>
      <c r="AC686" s="96"/>
      <c r="AD686" s="97"/>
      <c r="AE686" s="96"/>
      <c r="AF686" s="98"/>
      <c r="AG686" s="96"/>
      <c r="AH686" s="96"/>
      <c r="AI686" s="96"/>
      <c r="AJ686" s="96"/>
      <c r="AK686" s="96"/>
      <c r="AL686" s="96"/>
      <c r="AM686" s="96"/>
      <c r="AN686" s="96"/>
      <c r="AO686" s="96"/>
      <c r="AP686" s="96"/>
    </row>
    <row r="687" spans="2:42" ht="12.75">
      <c r="B687" s="186"/>
      <c r="C687" s="85"/>
      <c r="D687" s="85"/>
      <c r="E687" s="187"/>
      <c r="F687" s="187"/>
      <c r="G687" s="187"/>
      <c r="H687" s="187"/>
      <c r="I687" s="92"/>
      <c r="J687" s="92"/>
      <c r="K687" s="187"/>
      <c r="L687" s="187"/>
      <c r="M687" s="187"/>
      <c r="N687" s="187"/>
      <c r="O687" s="92"/>
      <c r="P687" s="187"/>
      <c r="Q687" s="187"/>
      <c r="R687" s="187"/>
      <c r="S687" s="187"/>
      <c r="T687" s="85"/>
      <c r="U687" s="189"/>
      <c r="V687" s="189"/>
      <c r="W687" s="189"/>
      <c r="X687" s="189"/>
      <c r="Y687" s="100"/>
      <c r="AA687" s="96"/>
      <c r="AB687" s="96"/>
      <c r="AC687" s="96"/>
      <c r="AD687" s="97"/>
      <c r="AE687" s="96"/>
      <c r="AF687" s="98"/>
      <c r="AG687" s="96"/>
      <c r="AH687" s="96"/>
      <c r="AI687" s="96"/>
      <c r="AJ687" s="96"/>
      <c r="AK687" s="96"/>
      <c r="AL687" s="96"/>
      <c r="AM687" s="96"/>
      <c r="AN687" s="96"/>
      <c r="AO687" s="96"/>
      <c r="AP687" s="96"/>
    </row>
    <row r="688" spans="2:42" ht="12.75">
      <c r="B688" s="186"/>
      <c r="C688" s="85"/>
      <c r="D688" s="85"/>
      <c r="E688" s="187"/>
      <c r="F688" s="187"/>
      <c r="G688" s="187"/>
      <c r="H688" s="187"/>
      <c r="I688" s="92"/>
      <c r="J688" s="92"/>
      <c r="K688" s="187"/>
      <c r="L688" s="187"/>
      <c r="M688" s="187"/>
      <c r="N688" s="187"/>
      <c r="O688" s="92"/>
      <c r="P688" s="187"/>
      <c r="Q688" s="187"/>
      <c r="R688" s="187"/>
      <c r="S688" s="187"/>
      <c r="T688" s="85"/>
      <c r="U688" s="189"/>
      <c r="V688" s="189"/>
      <c r="W688" s="189"/>
      <c r="X688" s="189"/>
      <c r="Y688" s="100"/>
      <c r="AA688" s="96"/>
      <c r="AB688" s="96"/>
      <c r="AC688" s="96"/>
      <c r="AD688" s="97"/>
      <c r="AE688" s="96"/>
      <c r="AF688" s="98"/>
      <c r="AG688" s="96"/>
      <c r="AH688" s="96"/>
      <c r="AI688" s="96"/>
      <c r="AJ688" s="96"/>
      <c r="AK688" s="96"/>
      <c r="AL688" s="96"/>
      <c r="AM688" s="96"/>
      <c r="AN688" s="96"/>
      <c r="AO688" s="96"/>
      <c r="AP688" s="96"/>
    </row>
    <row r="689" spans="2:42" ht="12.75">
      <c r="B689" s="186"/>
      <c r="C689" s="85"/>
      <c r="D689" s="85"/>
      <c r="E689" s="187"/>
      <c r="F689" s="187"/>
      <c r="G689" s="187"/>
      <c r="H689" s="187"/>
      <c r="I689" s="92"/>
      <c r="J689" s="92"/>
      <c r="K689" s="187"/>
      <c r="L689" s="187"/>
      <c r="M689" s="187"/>
      <c r="N689" s="187"/>
      <c r="O689" s="92"/>
      <c r="P689" s="187"/>
      <c r="Q689" s="187"/>
      <c r="R689" s="187"/>
      <c r="S689" s="187"/>
      <c r="T689" s="85"/>
      <c r="U689" s="189"/>
      <c r="V689" s="189"/>
      <c r="W689" s="189"/>
      <c r="X689" s="189"/>
      <c r="Y689" s="100"/>
      <c r="AA689" s="96"/>
      <c r="AB689" s="96"/>
      <c r="AC689" s="96"/>
      <c r="AD689" s="97"/>
      <c r="AE689" s="96"/>
      <c r="AF689" s="98"/>
      <c r="AG689" s="96"/>
      <c r="AH689" s="96"/>
      <c r="AI689" s="96"/>
      <c r="AJ689" s="96"/>
      <c r="AK689" s="96"/>
      <c r="AL689" s="96"/>
      <c r="AM689" s="96"/>
      <c r="AN689" s="96"/>
      <c r="AO689" s="96"/>
      <c r="AP689" s="96"/>
    </row>
    <row r="690" spans="2:42" ht="12.75">
      <c r="B690" s="186"/>
      <c r="C690" s="85"/>
      <c r="D690" s="85"/>
      <c r="E690" s="187"/>
      <c r="F690" s="187"/>
      <c r="G690" s="187"/>
      <c r="H690" s="187"/>
      <c r="I690" s="92"/>
      <c r="J690" s="92"/>
      <c r="K690" s="187"/>
      <c r="L690" s="187"/>
      <c r="M690" s="187"/>
      <c r="N690" s="187"/>
      <c r="O690" s="92"/>
      <c r="P690" s="187"/>
      <c r="Q690" s="187"/>
      <c r="R690" s="187"/>
      <c r="S690" s="187"/>
      <c r="T690" s="85"/>
      <c r="U690" s="189"/>
      <c r="V690" s="189"/>
      <c r="W690" s="189"/>
      <c r="X690" s="189"/>
      <c r="Y690" s="100"/>
      <c r="AA690" s="96"/>
      <c r="AB690" s="96"/>
      <c r="AC690" s="96"/>
      <c r="AD690" s="97"/>
      <c r="AE690" s="96"/>
      <c r="AF690" s="98"/>
      <c r="AG690" s="96"/>
      <c r="AH690" s="96"/>
      <c r="AI690" s="96"/>
      <c r="AJ690" s="96"/>
      <c r="AK690" s="96"/>
      <c r="AL690" s="96"/>
      <c r="AM690" s="96"/>
      <c r="AN690" s="96"/>
      <c r="AO690" s="96"/>
      <c r="AP690" s="96"/>
    </row>
    <row r="691" spans="2:42" ht="12.75">
      <c r="B691" s="186"/>
      <c r="C691" s="85"/>
      <c r="D691" s="85"/>
      <c r="E691" s="187"/>
      <c r="F691" s="187"/>
      <c r="G691" s="187"/>
      <c r="H691" s="187"/>
      <c r="I691" s="92"/>
      <c r="J691" s="92"/>
      <c r="K691" s="187"/>
      <c r="L691" s="187"/>
      <c r="M691" s="187"/>
      <c r="N691" s="187"/>
      <c r="O691" s="92"/>
      <c r="P691" s="187"/>
      <c r="Q691" s="187"/>
      <c r="R691" s="187"/>
      <c r="S691" s="187"/>
      <c r="T691" s="85"/>
      <c r="U691" s="189"/>
      <c r="V691" s="189"/>
      <c r="W691" s="189"/>
      <c r="X691" s="189"/>
      <c r="Y691" s="100"/>
      <c r="AA691" s="96"/>
      <c r="AB691" s="96"/>
      <c r="AC691" s="96"/>
      <c r="AD691" s="97"/>
      <c r="AE691" s="96"/>
      <c r="AF691" s="98"/>
      <c r="AG691" s="96"/>
      <c r="AH691" s="96"/>
      <c r="AI691" s="96"/>
      <c r="AJ691" s="96"/>
      <c r="AK691" s="96"/>
      <c r="AL691" s="96"/>
      <c r="AM691" s="96"/>
      <c r="AN691" s="96"/>
      <c r="AO691" s="96"/>
      <c r="AP691" s="96"/>
    </row>
    <row r="692" spans="2:42" ht="12.75">
      <c r="B692" s="186"/>
      <c r="C692" s="85"/>
      <c r="D692" s="85"/>
      <c r="E692" s="187"/>
      <c r="F692" s="187"/>
      <c r="G692" s="187"/>
      <c r="H692" s="187"/>
      <c r="I692" s="92"/>
      <c r="J692" s="92"/>
      <c r="K692" s="187"/>
      <c r="L692" s="187"/>
      <c r="M692" s="187"/>
      <c r="N692" s="187"/>
      <c r="O692" s="92"/>
      <c r="P692" s="187"/>
      <c r="Q692" s="187"/>
      <c r="R692" s="187"/>
      <c r="S692" s="187"/>
      <c r="T692" s="85"/>
      <c r="U692" s="189"/>
      <c r="V692" s="189"/>
      <c r="W692" s="189"/>
      <c r="X692" s="189"/>
      <c r="Y692" s="100"/>
      <c r="AA692" s="96"/>
      <c r="AB692" s="96"/>
      <c r="AC692" s="96"/>
      <c r="AD692" s="97"/>
      <c r="AE692" s="96"/>
      <c r="AF692" s="98"/>
      <c r="AG692" s="96"/>
      <c r="AH692" s="96"/>
      <c r="AI692" s="96"/>
      <c r="AJ692" s="96"/>
      <c r="AK692" s="96"/>
      <c r="AL692" s="96"/>
      <c r="AM692" s="96"/>
      <c r="AN692" s="96"/>
      <c r="AO692" s="96"/>
      <c r="AP692" s="96"/>
    </row>
    <row r="693" spans="2:42" ht="12.75">
      <c r="B693" s="186"/>
      <c r="C693" s="85"/>
      <c r="D693" s="85"/>
      <c r="E693" s="187"/>
      <c r="F693" s="187"/>
      <c r="G693" s="187"/>
      <c r="H693" s="187"/>
      <c r="I693" s="92"/>
      <c r="J693" s="92"/>
      <c r="K693" s="187"/>
      <c r="L693" s="187"/>
      <c r="M693" s="187"/>
      <c r="N693" s="187"/>
      <c r="O693" s="92"/>
      <c r="P693" s="187"/>
      <c r="Q693" s="187"/>
      <c r="R693" s="187"/>
      <c r="S693" s="187"/>
      <c r="T693" s="85"/>
      <c r="U693" s="189"/>
      <c r="V693" s="189"/>
      <c r="W693" s="189"/>
      <c r="X693" s="189"/>
      <c r="Y693" s="100"/>
      <c r="AA693" s="96"/>
      <c r="AB693" s="96"/>
      <c r="AC693" s="96"/>
      <c r="AD693" s="97"/>
      <c r="AE693" s="96"/>
      <c r="AF693" s="98"/>
      <c r="AG693" s="96"/>
      <c r="AH693" s="96"/>
      <c r="AI693" s="96"/>
      <c r="AJ693" s="96"/>
      <c r="AK693" s="96"/>
      <c r="AL693" s="96"/>
      <c r="AM693" s="96"/>
      <c r="AN693" s="96"/>
      <c r="AO693" s="96"/>
      <c r="AP693" s="96"/>
    </row>
    <row r="694" spans="2:42" ht="12.75">
      <c r="B694" s="186"/>
      <c r="C694" s="85"/>
      <c r="D694" s="85"/>
      <c r="E694" s="187"/>
      <c r="F694" s="187"/>
      <c r="G694" s="187"/>
      <c r="H694" s="187"/>
      <c r="I694" s="92"/>
      <c r="J694" s="92"/>
      <c r="K694" s="187"/>
      <c r="L694" s="187"/>
      <c r="M694" s="187"/>
      <c r="N694" s="187"/>
      <c r="O694" s="92"/>
      <c r="P694" s="187"/>
      <c r="Q694" s="187"/>
      <c r="R694" s="187"/>
      <c r="S694" s="187"/>
      <c r="T694" s="85"/>
      <c r="U694" s="189"/>
      <c r="V694" s="189"/>
      <c r="W694" s="189"/>
      <c r="X694" s="189"/>
      <c r="Y694" s="100"/>
      <c r="AA694" s="96"/>
      <c r="AB694" s="96"/>
      <c r="AC694" s="96"/>
      <c r="AD694" s="97"/>
      <c r="AE694" s="96"/>
      <c r="AF694" s="98"/>
      <c r="AG694" s="96"/>
      <c r="AH694" s="96"/>
      <c r="AI694" s="96"/>
      <c r="AJ694" s="96"/>
      <c r="AK694" s="96"/>
      <c r="AL694" s="96"/>
      <c r="AM694" s="96"/>
      <c r="AN694" s="96"/>
      <c r="AO694" s="96"/>
      <c r="AP694" s="96"/>
    </row>
    <row r="695" spans="2:42" ht="12.75">
      <c r="B695" s="186"/>
      <c r="C695" s="85"/>
      <c r="D695" s="85"/>
      <c r="E695" s="187"/>
      <c r="F695" s="187"/>
      <c r="G695" s="187"/>
      <c r="H695" s="187"/>
      <c r="I695" s="92"/>
      <c r="J695" s="92"/>
      <c r="K695" s="187"/>
      <c r="L695" s="187"/>
      <c r="M695" s="187"/>
      <c r="N695" s="187"/>
      <c r="O695" s="92"/>
      <c r="P695" s="187"/>
      <c r="Q695" s="187"/>
      <c r="R695" s="187"/>
      <c r="S695" s="187"/>
      <c r="T695" s="85"/>
      <c r="U695" s="189"/>
      <c r="V695" s="189"/>
      <c r="W695" s="189"/>
      <c r="X695" s="189"/>
      <c r="Y695" s="100"/>
      <c r="AA695" s="96"/>
      <c r="AB695" s="96"/>
      <c r="AC695" s="96"/>
      <c r="AD695" s="97"/>
      <c r="AE695" s="96"/>
      <c r="AF695" s="98"/>
      <c r="AG695" s="96"/>
      <c r="AH695" s="96"/>
      <c r="AI695" s="96"/>
      <c r="AJ695" s="96"/>
      <c r="AK695" s="96"/>
      <c r="AL695" s="96"/>
      <c r="AM695" s="96"/>
      <c r="AN695" s="96"/>
      <c r="AO695" s="96"/>
      <c r="AP695" s="96"/>
    </row>
    <row r="696" spans="2:42" ht="12.75">
      <c r="B696" s="186"/>
      <c r="C696" s="85"/>
      <c r="D696" s="85"/>
      <c r="E696" s="187"/>
      <c r="F696" s="187"/>
      <c r="G696" s="187"/>
      <c r="H696" s="187"/>
      <c r="I696" s="92"/>
      <c r="J696" s="92"/>
      <c r="K696" s="187"/>
      <c r="L696" s="187"/>
      <c r="M696" s="187"/>
      <c r="N696" s="187"/>
      <c r="O696" s="92"/>
      <c r="P696" s="187"/>
      <c r="Q696" s="187"/>
      <c r="R696" s="187"/>
      <c r="S696" s="187"/>
      <c r="T696" s="85"/>
      <c r="U696" s="189"/>
      <c r="V696" s="189"/>
      <c r="W696" s="189"/>
      <c r="X696" s="189"/>
      <c r="Y696" s="100"/>
      <c r="AA696" s="96"/>
      <c r="AB696" s="96"/>
      <c r="AC696" s="96"/>
      <c r="AD696" s="97"/>
      <c r="AE696" s="96"/>
      <c r="AF696" s="98"/>
      <c r="AG696" s="96"/>
      <c r="AH696" s="96"/>
      <c r="AI696" s="96"/>
      <c r="AJ696" s="96"/>
      <c r="AK696" s="96"/>
      <c r="AL696" s="96"/>
      <c r="AM696" s="96"/>
      <c r="AN696" s="96"/>
      <c r="AO696" s="96"/>
      <c r="AP696" s="96"/>
    </row>
    <row r="697" spans="2:42" ht="12.75">
      <c r="B697" s="186"/>
      <c r="C697" s="85"/>
      <c r="D697" s="85"/>
      <c r="E697" s="187"/>
      <c r="F697" s="187"/>
      <c r="G697" s="187"/>
      <c r="H697" s="187"/>
      <c r="I697" s="92"/>
      <c r="J697" s="92"/>
      <c r="K697" s="187"/>
      <c r="L697" s="187"/>
      <c r="M697" s="187"/>
      <c r="N697" s="187"/>
      <c r="O697" s="92"/>
      <c r="P697" s="187"/>
      <c r="Q697" s="187"/>
      <c r="R697" s="187"/>
      <c r="S697" s="187"/>
      <c r="T697" s="85"/>
      <c r="U697" s="189"/>
      <c r="V697" s="189"/>
      <c r="W697" s="189"/>
      <c r="X697" s="189"/>
      <c r="Y697" s="100"/>
      <c r="AA697" s="96"/>
      <c r="AB697" s="96"/>
      <c r="AC697" s="96"/>
      <c r="AD697" s="97"/>
      <c r="AE697" s="96"/>
      <c r="AF697" s="98"/>
      <c r="AG697" s="96"/>
      <c r="AH697" s="96"/>
      <c r="AI697" s="96"/>
      <c r="AJ697" s="96"/>
      <c r="AK697" s="96"/>
      <c r="AL697" s="96"/>
      <c r="AM697" s="96"/>
      <c r="AN697" s="96"/>
      <c r="AO697" s="96"/>
      <c r="AP697" s="96"/>
    </row>
    <row r="698" spans="2:42" ht="12.75">
      <c r="B698" s="186"/>
      <c r="C698" s="85"/>
      <c r="D698" s="85"/>
      <c r="E698" s="187"/>
      <c r="F698" s="187"/>
      <c r="G698" s="187"/>
      <c r="H698" s="187"/>
      <c r="I698" s="92"/>
      <c r="J698" s="92"/>
      <c r="K698" s="187"/>
      <c r="L698" s="187"/>
      <c r="M698" s="187"/>
      <c r="N698" s="187"/>
      <c r="O698" s="92"/>
      <c r="P698" s="187"/>
      <c r="Q698" s="187"/>
      <c r="R698" s="187"/>
      <c r="S698" s="187"/>
      <c r="T698" s="85"/>
      <c r="U698" s="189"/>
      <c r="V698" s="189"/>
      <c r="W698" s="189"/>
      <c r="X698" s="189"/>
      <c r="Y698" s="100"/>
      <c r="AA698" s="96"/>
      <c r="AB698" s="96"/>
      <c r="AC698" s="96"/>
      <c r="AD698" s="97"/>
      <c r="AE698" s="96"/>
      <c r="AF698" s="98"/>
      <c r="AG698" s="96"/>
      <c r="AH698" s="96"/>
      <c r="AI698" s="96"/>
      <c r="AJ698" s="96"/>
      <c r="AK698" s="96"/>
      <c r="AL698" s="96"/>
      <c r="AM698" s="96"/>
      <c r="AN698" s="96"/>
      <c r="AO698" s="96"/>
      <c r="AP698" s="96"/>
    </row>
    <row r="699" spans="2:42" ht="12.75">
      <c r="B699" s="186"/>
      <c r="C699" s="85"/>
      <c r="D699" s="85"/>
      <c r="E699" s="187"/>
      <c r="F699" s="187"/>
      <c r="G699" s="187"/>
      <c r="H699" s="187"/>
      <c r="I699" s="92"/>
      <c r="J699" s="92"/>
      <c r="K699" s="187"/>
      <c r="L699" s="187"/>
      <c r="M699" s="187"/>
      <c r="N699" s="187"/>
      <c r="O699" s="92"/>
      <c r="P699" s="187"/>
      <c r="Q699" s="187"/>
      <c r="R699" s="187"/>
      <c r="S699" s="187"/>
      <c r="T699" s="85"/>
      <c r="U699" s="189"/>
      <c r="V699" s="189"/>
      <c r="W699" s="189"/>
      <c r="X699" s="189"/>
      <c r="Y699" s="100"/>
      <c r="AA699" s="96"/>
      <c r="AB699" s="96"/>
      <c r="AC699" s="96"/>
      <c r="AD699" s="97"/>
      <c r="AE699" s="96"/>
      <c r="AF699" s="98"/>
      <c r="AG699" s="96"/>
      <c r="AH699" s="96"/>
      <c r="AI699" s="96"/>
      <c r="AJ699" s="96"/>
      <c r="AK699" s="96"/>
      <c r="AL699" s="96"/>
      <c r="AM699" s="96"/>
      <c r="AN699" s="96"/>
      <c r="AO699" s="96"/>
      <c r="AP699" s="96"/>
    </row>
    <row r="700" spans="2:42" ht="12.75">
      <c r="B700" s="186"/>
      <c r="C700" s="85"/>
      <c r="D700" s="85"/>
      <c r="E700" s="187"/>
      <c r="F700" s="187"/>
      <c r="G700" s="187"/>
      <c r="H700" s="187"/>
      <c r="I700" s="92"/>
      <c r="J700" s="92"/>
      <c r="K700" s="187"/>
      <c r="L700" s="187"/>
      <c r="M700" s="187"/>
      <c r="N700" s="187"/>
      <c r="O700" s="92"/>
      <c r="P700" s="187"/>
      <c r="Q700" s="187"/>
      <c r="R700" s="187"/>
      <c r="S700" s="187"/>
      <c r="T700" s="85"/>
      <c r="U700" s="189"/>
      <c r="V700" s="189"/>
      <c r="W700" s="189"/>
      <c r="X700" s="189"/>
      <c r="Y700" s="100"/>
      <c r="AA700" s="96"/>
      <c r="AB700" s="96"/>
      <c r="AC700" s="96"/>
      <c r="AD700" s="97"/>
      <c r="AE700" s="96"/>
      <c r="AF700" s="98"/>
      <c r="AG700" s="96"/>
      <c r="AH700" s="96"/>
      <c r="AI700" s="96"/>
      <c r="AJ700" s="96"/>
      <c r="AK700" s="96"/>
      <c r="AL700" s="96"/>
      <c r="AM700" s="96"/>
      <c r="AN700" s="96"/>
      <c r="AO700" s="96"/>
      <c r="AP700" s="96"/>
    </row>
    <row r="701" spans="2:42" ht="12.75">
      <c r="B701" s="186"/>
      <c r="C701" s="85"/>
      <c r="D701" s="85"/>
      <c r="E701" s="187"/>
      <c r="F701" s="187"/>
      <c r="G701" s="187"/>
      <c r="H701" s="187"/>
      <c r="I701" s="92"/>
      <c r="J701" s="92"/>
      <c r="K701" s="187"/>
      <c r="L701" s="187"/>
      <c r="M701" s="187"/>
      <c r="N701" s="187"/>
      <c r="O701" s="92"/>
      <c r="P701" s="187"/>
      <c r="Q701" s="187"/>
      <c r="R701" s="187"/>
      <c r="S701" s="187"/>
      <c r="T701" s="85"/>
      <c r="U701" s="189"/>
      <c r="V701" s="189"/>
      <c r="W701" s="189"/>
      <c r="X701" s="189"/>
      <c r="Y701" s="100"/>
      <c r="AA701" s="96"/>
      <c r="AB701" s="96"/>
      <c r="AC701" s="96"/>
      <c r="AD701" s="97"/>
      <c r="AE701" s="96"/>
      <c r="AF701" s="98"/>
      <c r="AG701" s="96"/>
      <c r="AH701" s="96"/>
      <c r="AI701" s="96"/>
      <c r="AJ701" s="96"/>
      <c r="AK701" s="96"/>
      <c r="AL701" s="96"/>
      <c r="AM701" s="96"/>
      <c r="AN701" s="96"/>
      <c r="AO701" s="96"/>
      <c r="AP701" s="96"/>
    </row>
    <row r="702" spans="2:42" ht="12.75">
      <c r="B702" s="186"/>
      <c r="C702" s="85"/>
      <c r="D702" s="85"/>
      <c r="E702" s="187"/>
      <c r="F702" s="187"/>
      <c r="G702" s="187"/>
      <c r="H702" s="187"/>
      <c r="I702" s="92"/>
      <c r="J702" s="92"/>
      <c r="K702" s="187"/>
      <c r="L702" s="187"/>
      <c r="M702" s="187"/>
      <c r="N702" s="187"/>
      <c r="O702" s="92"/>
      <c r="P702" s="187"/>
      <c r="Q702" s="187"/>
      <c r="R702" s="187"/>
      <c r="S702" s="187"/>
      <c r="T702" s="85"/>
      <c r="U702" s="189"/>
      <c r="V702" s="189"/>
      <c r="W702" s="189"/>
      <c r="X702" s="189"/>
      <c r="Y702" s="100"/>
      <c r="AA702" s="96"/>
      <c r="AB702" s="96"/>
      <c r="AC702" s="96"/>
      <c r="AD702" s="97"/>
      <c r="AE702" s="96"/>
      <c r="AF702" s="98"/>
      <c r="AG702" s="96"/>
      <c r="AH702" s="96"/>
      <c r="AI702" s="96"/>
      <c r="AJ702" s="96"/>
      <c r="AK702" s="96"/>
      <c r="AL702" s="96"/>
      <c r="AM702" s="96"/>
      <c r="AN702" s="96"/>
      <c r="AO702" s="96"/>
      <c r="AP702" s="96"/>
    </row>
    <row r="703" spans="2:42" ht="12.75">
      <c r="B703" s="186"/>
      <c r="C703" s="85"/>
      <c r="D703" s="85"/>
      <c r="E703" s="187"/>
      <c r="F703" s="187"/>
      <c r="G703" s="187"/>
      <c r="H703" s="187"/>
      <c r="I703" s="92"/>
      <c r="J703" s="92"/>
      <c r="K703" s="187"/>
      <c r="L703" s="187"/>
      <c r="M703" s="187"/>
      <c r="N703" s="187"/>
      <c r="O703" s="92"/>
      <c r="P703" s="187"/>
      <c r="Q703" s="187"/>
      <c r="R703" s="187"/>
      <c r="S703" s="187"/>
      <c r="T703" s="85"/>
      <c r="U703" s="189"/>
      <c r="V703" s="189"/>
      <c r="W703" s="189"/>
      <c r="X703" s="189"/>
      <c r="Y703" s="100"/>
      <c r="AA703" s="96"/>
      <c r="AB703" s="96"/>
      <c r="AC703" s="96"/>
      <c r="AD703" s="97"/>
      <c r="AE703" s="96"/>
      <c r="AF703" s="98"/>
      <c r="AG703" s="96"/>
      <c r="AH703" s="96"/>
      <c r="AI703" s="96"/>
      <c r="AJ703" s="96"/>
      <c r="AK703" s="96"/>
      <c r="AL703" s="96"/>
      <c r="AM703" s="96"/>
      <c r="AN703" s="96"/>
      <c r="AO703" s="96"/>
      <c r="AP703" s="96"/>
    </row>
    <row r="704" spans="2:42" ht="12.75">
      <c r="B704" s="186"/>
      <c r="C704" s="85"/>
      <c r="D704" s="85"/>
      <c r="E704" s="187"/>
      <c r="F704" s="187"/>
      <c r="G704" s="187"/>
      <c r="H704" s="187"/>
      <c r="I704" s="92"/>
      <c r="J704" s="92"/>
      <c r="K704" s="187"/>
      <c r="L704" s="187"/>
      <c r="M704" s="187"/>
      <c r="N704" s="187"/>
      <c r="O704" s="92"/>
      <c r="P704" s="187"/>
      <c r="Q704" s="187"/>
      <c r="R704" s="187"/>
      <c r="S704" s="187"/>
      <c r="T704" s="85"/>
      <c r="U704" s="189"/>
      <c r="V704" s="189"/>
      <c r="W704" s="189"/>
      <c r="X704" s="189"/>
      <c r="Y704" s="100"/>
      <c r="AA704" s="96"/>
      <c r="AB704" s="96"/>
      <c r="AC704" s="96"/>
      <c r="AD704" s="97"/>
      <c r="AE704" s="96"/>
      <c r="AF704" s="98"/>
      <c r="AG704" s="96"/>
      <c r="AH704" s="96"/>
      <c r="AI704" s="96"/>
      <c r="AJ704" s="96"/>
      <c r="AK704" s="96"/>
      <c r="AL704" s="96"/>
      <c r="AM704" s="96"/>
      <c r="AN704" s="96"/>
      <c r="AO704" s="96"/>
      <c r="AP704" s="96"/>
    </row>
    <row r="705" spans="2:42" ht="12.75">
      <c r="B705" s="186"/>
      <c r="C705" s="85"/>
      <c r="D705" s="85"/>
      <c r="E705" s="187"/>
      <c r="F705" s="187"/>
      <c r="G705" s="187"/>
      <c r="H705" s="187"/>
      <c r="I705" s="92"/>
      <c r="J705" s="92"/>
      <c r="K705" s="187"/>
      <c r="L705" s="187"/>
      <c r="M705" s="187"/>
      <c r="N705" s="187"/>
      <c r="O705" s="92"/>
      <c r="P705" s="187"/>
      <c r="Q705" s="187"/>
      <c r="R705" s="187"/>
      <c r="S705" s="187"/>
      <c r="T705" s="85"/>
      <c r="U705" s="189"/>
      <c r="V705" s="189"/>
      <c r="W705" s="189"/>
      <c r="X705" s="189"/>
      <c r="Y705" s="100"/>
      <c r="AA705" s="96"/>
      <c r="AB705" s="96"/>
      <c r="AC705" s="96"/>
      <c r="AD705" s="97"/>
      <c r="AE705" s="96"/>
      <c r="AF705" s="98"/>
      <c r="AG705" s="96"/>
      <c r="AH705" s="96"/>
      <c r="AI705" s="96"/>
      <c r="AJ705" s="96"/>
      <c r="AK705" s="96"/>
      <c r="AL705" s="96"/>
      <c r="AM705" s="96"/>
      <c r="AN705" s="96"/>
      <c r="AO705" s="96"/>
      <c r="AP705" s="96"/>
    </row>
    <row r="706" spans="2:42" ht="12.75">
      <c r="B706" s="186"/>
      <c r="C706" s="85"/>
      <c r="D706" s="85"/>
      <c r="E706" s="187"/>
      <c r="F706" s="187"/>
      <c r="G706" s="187"/>
      <c r="H706" s="187"/>
      <c r="I706" s="92"/>
      <c r="J706" s="92"/>
      <c r="K706" s="187"/>
      <c r="L706" s="187"/>
      <c r="M706" s="187"/>
      <c r="N706" s="187"/>
      <c r="O706" s="92"/>
      <c r="P706" s="187"/>
      <c r="Q706" s="187"/>
      <c r="R706" s="187"/>
      <c r="S706" s="187"/>
      <c r="T706" s="85"/>
      <c r="U706" s="189"/>
      <c r="V706" s="189"/>
      <c r="W706" s="189"/>
      <c r="X706" s="189"/>
      <c r="Y706" s="100"/>
      <c r="AA706" s="96"/>
      <c r="AB706" s="96"/>
      <c r="AC706" s="96"/>
      <c r="AD706" s="97"/>
      <c r="AE706" s="96"/>
      <c r="AF706" s="98"/>
      <c r="AG706" s="96"/>
      <c r="AH706" s="96"/>
      <c r="AI706" s="96"/>
      <c r="AJ706" s="96"/>
      <c r="AK706" s="96"/>
      <c r="AL706" s="96"/>
      <c r="AM706" s="96"/>
      <c r="AN706" s="96"/>
      <c r="AO706" s="96"/>
      <c r="AP706" s="96"/>
    </row>
    <row r="707" spans="2:42" ht="12.75">
      <c r="B707" s="186"/>
      <c r="C707" s="85"/>
      <c r="D707" s="85"/>
      <c r="E707" s="187"/>
      <c r="F707" s="187"/>
      <c r="G707" s="187"/>
      <c r="H707" s="187"/>
      <c r="I707" s="92"/>
      <c r="J707" s="92"/>
      <c r="K707" s="187"/>
      <c r="L707" s="187"/>
      <c r="M707" s="187"/>
      <c r="N707" s="187"/>
      <c r="O707" s="92"/>
      <c r="P707" s="187"/>
      <c r="Q707" s="187"/>
      <c r="R707" s="187"/>
      <c r="S707" s="187"/>
      <c r="T707" s="85"/>
      <c r="U707" s="189"/>
      <c r="V707" s="189"/>
      <c r="W707" s="189"/>
      <c r="X707" s="189"/>
      <c r="Y707" s="100"/>
      <c r="AA707" s="96"/>
      <c r="AB707" s="96"/>
      <c r="AC707" s="96"/>
      <c r="AD707" s="97"/>
      <c r="AE707" s="96"/>
      <c r="AF707" s="98"/>
      <c r="AG707" s="96"/>
      <c r="AH707" s="96"/>
      <c r="AI707" s="96"/>
      <c r="AJ707" s="96"/>
      <c r="AK707" s="96"/>
      <c r="AL707" s="96"/>
      <c r="AM707" s="96"/>
      <c r="AN707" s="96"/>
      <c r="AO707" s="96"/>
      <c r="AP707" s="96"/>
    </row>
    <row r="708" spans="2:42" ht="12.75">
      <c r="B708" s="186"/>
      <c r="C708" s="85"/>
      <c r="D708" s="85"/>
      <c r="E708" s="187"/>
      <c r="F708" s="187"/>
      <c r="G708" s="187"/>
      <c r="H708" s="187"/>
      <c r="I708" s="92"/>
      <c r="J708" s="92"/>
      <c r="K708" s="187"/>
      <c r="L708" s="187"/>
      <c r="M708" s="187"/>
      <c r="N708" s="187"/>
      <c r="O708" s="92"/>
      <c r="P708" s="187"/>
      <c r="Q708" s="187"/>
      <c r="R708" s="187"/>
      <c r="S708" s="187"/>
      <c r="T708" s="85"/>
      <c r="U708" s="189"/>
      <c r="V708" s="189"/>
      <c r="W708" s="189"/>
      <c r="X708" s="189"/>
      <c r="Y708" s="100"/>
      <c r="AA708" s="96"/>
      <c r="AB708" s="96"/>
      <c r="AC708" s="96"/>
      <c r="AD708" s="97"/>
      <c r="AE708" s="96"/>
      <c r="AF708" s="98"/>
      <c r="AG708" s="96"/>
      <c r="AH708" s="96"/>
      <c r="AI708" s="96"/>
      <c r="AJ708" s="96"/>
      <c r="AK708" s="96"/>
      <c r="AL708" s="96"/>
      <c r="AM708" s="96"/>
      <c r="AN708" s="96"/>
      <c r="AO708" s="96"/>
      <c r="AP708" s="96"/>
    </row>
    <row r="709" spans="2:42" ht="12.75">
      <c r="B709" s="186"/>
      <c r="C709" s="85"/>
      <c r="D709" s="85"/>
      <c r="E709" s="187"/>
      <c r="F709" s="187"/>
      <c r="G709" s="187"/>
      <c r="H709" s="187"/>
      <c r="I709" s="92"/>
      <c r="J709" s="92"/>
      <c r="K709" s="187"/>
      <c r="L709" s="187"/>
      <c r="M709" s="187"/>
      <c r="N709" s="187"/>
      <c r="O709" s="92"/>
      <c r="P709" s="187"/>
      <c r="Q709" s="187"/>
      <c r="R709" s="187"/>
      <c r="S709" s="187"/>
      <c r="T709" s="85"/>
      <c r="U709" s="189"/>
      <c r="V709" s="189"/>
      <c r="W709" s="189"/>
      <c r="X709" s="189"/>
      <c r="Y709" s="100"/>
      <c r="AA709" s="96"/>
      <c r="AB709" s="96"/>
      <c r="AC709" s="96"/>
      <c r="AD709" s="97"/>
      <c r="AE709" s="96"/>
      <c r="AF709" s="98"/>
      <c r="AG709" s="96"/>
      <c r="AH709" s="96"/>
      <c r="AI709" s="96"/>
      <c r="AJ709" s="96"/>
      <c r="AK709" s="96"/>
      <c r="AL709" s="96"/>
      <c r="AM709" s="96"/>
      <c r="AN709" s="96"/>
      <c r="AO709" s="96"/>
      <c r="AP709" s="96"/>
    </row>
    <row r="710" spans="2:42" ht="12.75">
      <c r="B710" s="186"/>
      <c r="C710" s="85"/>
      <c r="D710" s="85"/>
      <c r="E710" s="187"/>
      <c r="F710" s="187"/>
      <c r="G710" s="187"/>
      <c r="H710" s="187"/>
      <c r="I710" s="92"/>
      <c r="J710" s="92"/>
      <c r="K710" s="187"/>
      <c r="L710" s="187"/>
      <c r="M710" s="187"/>
      <c r="N710" s="187"/>
      <c r="O710" s="92"/>
      <c r="P710" s="187"/>
      <c r="Q710" s="187"/>
      <c r="R710" s="187"/>
      <c r="S710" s="187"/>
      <c r="T710" s="85"/>
      <c r="U710" s="189"/>
      <c r="V710" s="189"/>
      <c r="W710" s="189"/>
      <c r="X710" s="189"/>
      <c r="Y710" s="100"/>
      <c r="AA710" s="96"/>
      <c r="AB710" s="96"/>
      <c r="AC710" s="96"/>
      <c r="AD710" s="97"/>
      <c r="AE710" s="96"/>
      <c r="AF710" s="98"/>
      <c r="AG710" s="96"/>
      <c r="AH710" s="96"/>
      <c r="AI710" s="96"/>
      <c r="AJ710" s="96"/>
      <c r="AK710" s="96"/>
      <c r="AL710" s="96"/>
      <c r="AM710" s="96"/>
      <c r="AN710" s="96"/>
      <c r="AO710" s="96"/>
      <c r="AP710" s="96"/>
    </row>
    <row r="711" spans="2:42" ht="12.75">
      <c r="B711" s="186"/>
      <c r="C711" s="85"/>
      <c r="D711" s="85"/>
      <c r="E711" s="187"/>
      <c r="F711" s="187"/>
      <c r="G711" s="187"/>
      <c r="H711" s="187"/>
      <c r="I711" s="92"/>
      <c r="J711" s="92"/>
      <c r="K711" s="187"/>
      <c r="L711" s="187"/>
      <c r="M711" s="187"/>
      <c r="N711" s="187"/>
      <c r="O711" s="92"/>
      <c r="P711" s="187"/>
      <c r="Q711" s="187"/>
      <c r="R711" s="187"/>
      <c r="S711" s="187"/>
      <c r="T711" s="85"/>
      <c r="U711" s="189"/>
      <c r="V711" s="189"/>
      <c r="W711" s="189"/>
      <c r="X711" s="189"/>
      <c r="Y711" s="100"/>
      <c r="AA711" s="96"/>
      <c r="AB711" s="96"/>
      <c r="AC711" s="96"/>
      <c r="AD711" s="97"/>
      <c r="AE711" s="96"/>
      <c r="AF711" s="98"/>
      <c r="AG711" s="96"/>
      <c r="AH711" s="96"/>
      <c r="AI711" s="96"/>
      <c r="AJ711" s="96"/>
      <c r="AK711" s="96"/>
      <c r="AL711" s="96"/>
      <c r="AM711" s="96"/>
      <c r="AN711" s="96"/>
      <c r="AO711" s="96"/>
      <c r="AP711" s="96"/>
    </row>
    <row r="712" spans="2:42" ht="12.75">
      <c r="B712" s="186"/>
      <c r="C712" s="85"/>
      <c r="D712" s="85"/>
      <c r="E712" s="187"/>
      <c r="F712" s="187"/>
      <c r="G712" s="187"/>
      <c r="H712" s="187"/>
      <c r="I712" s="92"/>
      <c r="J712" s="92"/>
      <c r="K712" s="187"/>
      <c r="L712" s="187"/>
      <c r="M712" s="187"/>
      <c r="N712" s="187"/>
      <c r="O712" s="92"/>
      <c r="P712" s="187"/>
      <c r="Q712" s="187"/>
      <c r="R712" s="187"/>
      <c r="S712" s="187"/>
      <c r="T712" s="85"/>
      <c r="U712" s="189"/>
      <c r="V712" s="189"/>
      <c r="W712" s="189"/>
      <c r="X712" s="189"/>
      <c r="Y712" s="100"/>
      <c r="AA712" s="96"/>
      <c r="AB712" s="96"/>
      <c r="AC712" s="96"/>
      <c r="AD712" s="97"/>
      <c r="AE712" s="96"/>
      <c r="AF712" s="98"/>
      <c r="AG712" s="96"/>
      <c r="AH712" s="96"/>
      <c r="AI712" s="96"/>
      <c r="AJ712" s="96"/>
      <c r="AK712" s="96"/>
      <c r="AL712" s="96"/>
      <c r="AM712" s="96"/>
      <c r="AN712" s="96"/>
      <c r="AO712" s="96"/>
      <c r="AP712" s="96"/>
    </row>
    <row r="713" spans="2:42" ht="12.75">
      <c r="B713" s="186"/>
      <c r="C713" s="85"/>
      <c r="D713" s="85"/>
      <c r="E713" s="187"/>
      <c r="F713" s="187"/>
      <c r="G713" s="187"/>
      <c r="H713" s="187"/>
      <c r="I713" s="92"/>
      <c r="J713" s="92"/>
      <c r="K713" s="187"/>
      <c r="L713" s="187"/>
      <c r="M713" s="187"/>
      <c r="N713" s="187"/>
      <c r="O713" s="92"/>
      <c r="P713" s="187"/>
      <c r="Q713" s="187"/>
      <c r="R713" s="187"/>
      <c r="S713" s="187"/>
      <c r="T713" s="85"/>
      <c r="U713" s="189"/>
      <c r="V713" s="189"/>
      <c r="W713" s="189"/>
      <c r="X713" s="189"/>
      <c r="Y713" s="100"/>
      <c r="AA713" s="96"/>
      <c r="AB713" s="96"/>
      <c r="AC713" s="96"/>
      <c r="AD713" s="97"/>
      <c r="AE713" s="96"/>
      <c r="AF713" s="98"/>
      <c r="AG713" s="96"/>
      <c r="AH713" s="96"/>
      <c r="AI713" s="96"/>
      <c r="AJ713" s="96"/>
      <c r="AK713" s="96"/>
      <c r="AL713" s="96"/>
      <c r="AM713" s="96"/>
      <c r="AN713" s="96"/>
      <c r="AO713" s="96"/>
      <c r="AP713" s="96"/>
    </row>
    <row r="714" spans="2:42" ht="12.75">
      <c r="B714" s="186"/>
      <c r="C714" s="85"/>
      <c r="D714" s="85"/>
      <c r="E714" s="187"/>
      <c r="F714" s="187"/>
      <c r="G714" s="187"/>
      <c r="H714" s="187"/>
      <c r="I714" s="92"/>
      <c r="J714" s="92"/>
      <c r="K714" s="187"/>
      <c r="L714" s="187"/>
      <c r="M714" s="187"/>
      <c r="N714" s="187"/>
      <c r="O714" s="92"/>
      <c r="P714" s="187"/>
      <c r="Q714" s="187"/>
      <c r="R714" s="187"/>
      <c r="S714" s="187"/>
      <c r="T714" s="85"/>
      <c r="U714" s="189"/>
      <c r="V714" s="189"/>
      <c r="W714" s="189"/>
      <c r="X714" s="189"/>
      <c r="Y714" s="100"/>
      <c r="AA714" s="96"/>
      <c r="AB714" s="96"/>
      <c r="AC714" s="96"/>
      <c r="AD714" s="97"/>
      <c r="AE714" s="96"/>
      <c r="AF714" s="98"/>
      <c r="AG714" s="96"/>
      <c r="AH714" s="96"/>
      <c r="AI714" s="96"/>
      <c r="AJ714" s="96"/>
      <c r="AK714" s="96"/>
      <c r="AL714" s="96"/>
      <c r="AM714" s="96"/>
      <c r="AN714" s="96"/>
      <c r="AO714" s="96"/>
      <c r="AP714" s="96"/>
    </row>
    <row r="715" spans="2:42" ht="12.75">
      <c r="B715" s="186"/>
      <c r="C715" s="85"/>
      <c r="D715" s="85"/>
      <c r="E715" s="187"/>
      <c r="F715" s="187"/>
      <c r="G715" s="187"/>
      <c r="H715" s="187"/>
      <c r="I715" s="92"/>
      <c r="J715" s="92"/>
      <c r="K715" s="187"/>
      <c r="L715" s="187"/>
      <c r="M715" s="187"/>
      <c r="N715" s="187"/>
      <c r="O715" s="92"/>
      <c r="P715" s="187"/>
      <c r="Q715" s="187"/>
      <c r="R715" s="187"/>
      <c r="S715" s="187"/>
      <c r="T715" s="85"/>
      <c r="U715" s="189"/>
      <c r="V715" s="189"/>
      <c r="W715" s="189"/>
      <c r="X715" s="189"/>
      <c r="Y715" s="100"/>
      <c r="AA715" s="96"/>
      <c r="AB715" s="96"/>
      <c r="AC715" s="96"/>
      <c r="AD715" s="97"/>
      <c r="AE715" s="96"/>
      <c r="AF715" s="98"/>
      <c r="AG715" s="96"/>
      <c r="AH715" s="96"/>
      <c r="AI715" s="96"/>
      <c r="AJ715" s="96"/>
      <c r="AK715" s="96"/>
      <c r="AL715" s="96"/>
      <c r="AM715" s="96"/>
      <c r="AN715" s="96"/>
      <c r="AO715" s="96"/>
      <c r="AP715" s="96"/>
    </row>
    <row r="716" spans="2:42" ht="12.75">
      <c r="B716" s="186"/>
      <c r="C716" s="85"/>
      <c r="D716" s="85"/>
      <c r="E716" s="187"/>
      <c r="F716" s="187"/>
      <c r="G716" s="187"/>
      <c r="H716" s="187"/>
      <c r="I716" s="92"/>
      <c r="J716" s="92"/>
      <c r="K716" s="187"/>
      <c r="L716" s="187"/>
      <c r="M716" s="187"/>
      <c r="N716" s="187"/>
      <c r="O716" s="92"/>
      <c r="P716" s="187"/>
      <c r="Q716" s="187"/>
      <c r="R716" s="187"/>
      <c r="S716" s="187"/>
      <c r="T716" s="85"/>
      <c r="U716" s="189"/>
      <c r="V716" s="189"/>
      <c r="W716" s="189"/>
      <c r="X716" s="189"/>
      <c r="Y716" s="100"/>
      <c r="AA716" s="96"/>
      <c r="AB716" s="96"/>
      <c r="AC716" s="96"/>
      <c r="AD716" s="97"/>
      <c r="AE716" s="96"/>
      <c r="AF716" s="98"/>
      <c r="AG716" s="96"/>
      <c r="AH716" s="96"/>
      <c r="AI716" s="96"/>
      <c r="AJ716" s="96"/>
      <c r="AK716" s="96"/>
      <c r="AL716" s="96"/>
      <c r="AM716" s="96"/>
      <c r="AN716" s="96"/>
      <c r="AO716" s="96"/>
      <c r="AP716" s="96"/>
    </row>
    <row r="717" spans="2:42" ht="12.75">
      <c r="B717" s="186"/>
      <c r="C717" s="85"/>
      <c r="D717" s="85"/>
      <c r="E717" s="187"/>
      <c r="F717" s="187"/>
      <c r="G717" s="187"/>
      <c r="H717" s="187"/>
      <c r="I717" s="92"/>
      <c r="J717" s="92"/>
      <c r="K717" s="187"/>
      <c r="L717" s="187"/>
      <c r="M717" s="187"/>
      <c r="N717" s="187"/>
      <c r="O717" s="92"/>
      <c r="P717" s="187"/>
      <c r="Q717" s="187"/>
      <c r="R717" s="187"/>
      <c r="S717" s="187"/>
      <c r="T717" s="85"/>
      <c r="U717" s="189"/>
      <c r="V717" s="189"/>
      <c r="W717" s="189"/>
      <c r="X717" s="189"/>
      <c r="Y717" s="100"/>
      <c r="AA717" s="96"/>
      <c r="AB717" s="96"/>
      <c r="AC717" s="96"/>
      <c r="AD717" s="97"/>
      <c r="AE717" s="96"/>
      <c r="AF717" s="98"/>
      <c r="AG717" s="96"/>
      <c r="AH717" s="96"/>
      <c r="AI717" s="96"/>
      <c r="AJ717" s="96"/>
      <c r="AK717" s="96"/>
      <c r="AL717" s="96"/>
      <c r="AM717" s="96"/>
      <c r="AN717" s="96"/>
      <c r="AO717" s="96"/>
      <c r="AP717" s="96"/>
    </row>
    <row r="718" spans="2:42" ht="12.75">
      <c r="B718" s="186"/>
      <c r="C718" s="85"/>
      <c r="D718" s="85"/>
      <c r="E718" s="187"/>
      <c r="F718" s="187"/>
      <c r="G718" s="187"/>
      <c r="H718" s="187"/>
      <c r="I718" s="92"/>
      <c r="J718" s="92"/>
      <c r="K718" s="187"/>
      <c r="L718" s="187"/>
      <c r="M718" s="187"/>
      <c r="N718" s="187"/>
      <c r="O718" s="92"/>
      <c r="P718" s="187"/>
      <c r="Q718" s="187"/>
      <c r="R718" s="187"/>
      <c r="S718" s="187"/>
      <c r="T718" s="85"/>
      <c r="U718" s="189"/>
      <c r="V718" s="189"/>
      <c r="W718" s="189"/>
      <c r="X718" s="189"/>
      <c r="Y718" s="100"/>
      <c r="AA718" s="96"/>
      <c r="AB718" s="96"/>
      <c r="AC718" s="96"/>
      <c r="AD718" s="97"/>
      <c r="AE718" s="96"/>
      <c r="AF718" s="98"/>
      <c r="AG718" s="96"/>
      <c r="AH718" s="96"/>
      <c r="AI718" s="96"/>
      <c r="AJ718" s="96"/>
      <c r="AK718" s="96"/>
      <c r="AL718" s="96"/>
      <c r="AM718" s="96"/>
      <c r="AN718" s="96"/>
      <c r="AO718" s="96"/>
      <c r="AP718" s="96"/>
    </row>
    <row r="719" spans="2:42" ht="12.75">
      <c r="B719" s="186"/>
      <c r="C719" s="85"/>
      <c r="D719" s="85"/>
      <c r="E719" s="187"/>
      <c r="F719" s="187"/>
      <c r="G719" s="187"/>
      <c r="H719" s="187"/>
      <c r="I719" s="92"/>
      <c r="J719" s="92"/>
      <c r="K719" s="187"/>
      <c r="L719" s="187"/>
      <c r="M719" s="187"/>
      <c r="N719" s="187"/>
      <c r="O719" s="92"/>
      <c r="P719" s="187"/>
      <c r="Q719" s="187"/>
      <c r="R719" s="187"/>
      <c r="S719" s="187"/>
      <c r="T719" s="85"/>
      <c r="U719" s="189"/>
      <c r="V719" s="189"/>
      <c r="W719" s="189"/>
      <c r="X719" s="189"/>
      <c r="Y719" s="100"/>
      <c r="AA719" s="96"/>
      <c r="AB719" s="96"/>
      <c r="AC719" s="96"/>
      <c r="AD719" s="97"/>
      <c r="AE719" s="96"/>
      <c r="AF719" s="98"/>
      <c r="AG719" s="96"/>
      <c r="AH719" s="96"/>
      <c r="AI719" s="96"/>
      <c r="AJ719" s="96"/>
      <c r="AK719" s="96"/>
      <c r="AL719" s="96"/>
      <c r="AM719" s="96"/>
      <c r="AN719" s="96"/>
      <c r="AO719" s="96"/>
      <c r="AP719" s="96"/>
    </row>
    <row r="720" spans="2:42" ht="12.75">
      <c r="B720" s="186"/>
      <c r="C720" s="85"/>
      <c r="D720" s="85"/>
      <c r="E720" s="187"/>
      <c r="F720" s="187"/>
      <c r="G720" s="187"/>
      <c r="H720" s="187"/>
      <c r="I720" s="92"/>
      <c r="J720" s="92"/>
      <c r="K720" s="187"/>
      <c r="L720" s="187"/>
      <c r="M720" s="187"/>
      <c r="N720" s="187"/>
      <c r="O720" s="92"/>
      <c r="P720" s="187"/>
      <c r="Q720" s="187"/>
      <c r="R720" s="187"/>
      <c r="S720" s="187"/>
      <c r="T720" s="85"/>
      <c r="U720" s="189"/>
      <c r="V720" s="189"/>
      <c r="W720" s="189"/>
      <c r="X720" s="189"/>
      <c r="Y720" s="100"/>
      <c r="AA720" s="96"/>
      <c r="AB720" s="96"/>
      <c r="AC720" s="96"/>
      <c r="AD720" s="97"/>
      <c r="AE720" s="96"/>
      <c r="AF720" s="98"/>
      <c r="AG720" s="96"/>
      <c r="AH720" s="96"/>
      <c r="AI720" s="96"/>
      <c r="AJ720" s="96"/>
      <c r="AK720" s="96"/>
      <c r="AL720" s="96"/>
      <c r="AM720" s="96"/>
      <c r="AN720" s="96"/>
      <c r="AO720" s="96"/>
      <c r="AP720" s="96"/>
    </row>
    <row r="721" spans="2:42" ht="12.75">
      <c r="B721" s="186"/>
      <c r="C721" s="85"/>
      <c r="D721" s="85"/>
      <c r="E721" s="187"/>
      <c r="F721" s="187"/>
      <c r="G721" s="187"/>
      <c r="H721" s="187"/>
      <c r="I721" s="92"/>
      <c r="J721" s="92"/>
      <c r="K721" s="187"/>
      <c r="L721" s="187"/>
      <c r="M721" s="187"/>
      <c r="N721" s="187"/>
      <c r="O721" s="92"/>
      <c r="P721" s="187"/>
      <c r="Q721" s="187"/>
      <c r="R721" s="187"/>
      <c r="S721" s="187"/>
      <c r="T721" s="85"/>
      <c r="U721" s="189"/>
      <c r="V721" s="189"/>
      <c r="W721" s="189"/>
      <c r="X721" s="189"/>
      <c r="Y721" s="100"/>
      <c r="AA721" s="96"/>
      <c r="AB721" s="96"/>
      <c r="AC721" s="96"/>
      <c r="AD721" s="97"/>
      <c r="AE721" s="96"/>
      <c r="AF721" s="98"/>
      <c r="AG721" s="96"/>
      <c r="AH721" s="96"/>
      <c r="AI721" s="96"/>
      <c r="AJ721" s="96"/>
      <c r="AK721" s="96"/>
      <c r="AL721" s="96"/>
      <c r="AM721" s="96"/>
      <c r="AN721" s="96"/>
      <c r="AO721" s="96"/>
      <c r="AP721" s="96"/>
    </row>
    <row r="722" spans="2:42" ht="12.75">
      <c r="B722" s="186"/>
      <c r="C722" s="85"/>
      <c r="D722" s="85"/>
      <c r="E722" s="187"/>
      <c r="F722" s="187"/>
      <c r="G722" s="187"/>
      <c r="H722" s="187"/>
      <c r="I722" s="92"/>
      <c r="J722" s="92"/>
      <c r="K722" s="187"/>
      <c r="L722" s="187"/>
      <c r="M722" s="187"/>
      <c r="N722" s="187"/>
      <c r="O722" s="92"/>
      <c r="P722" s="187"/>
      <c r="Q722" s="187"/>
      <c r="R722" s="187"/>
      <c r="S722" s="187"/>
      <c r="T722" s="85"/>
      <c r="U722" s="189"/>
      <c r="V722" s="189"/>
      <c r="W722" s="189"/>
      <c r="X722" s="189"/>
      <c r="Y722" s="100"/>
      <c r="AA722" s="96"/>
      <c r="AB722" s="96"/>
      <c r="AC722" s="96"/>
      <c r="AD722" s="97"/>
      <c r="AE722" s="96"/>
      <c r="AF722" s="98"/>
      <c r="AG722" s="96"/>
      <c r="AH722" s="96"/>
      <c r="AI722" s="96"/>
      <c r="AJ722" s="96"/>
      <c r="AK722" s="96"/>
      <c r="AL722" s="96"/>
      <c r="AM722" s="96"/>
      <c r="AN722" s="96"/>
      <c r="AO722" s="96"/>
      <c r="AP722" s="96"/>
    </row>
    <row r="723" spans="2:42" ht="12.75">
      <c r="B723" s="186"/>
      <c r="C723" s="85"/>
      <c r="D723" s="85"/>
      <c r="E723" s="187"/>
      <c r="F723" s="187"/>
      <c r="G723" s="187"/>
      <c r="H723" s="187"/>
      <c r="I723" s="92"/>
      <c r="J723" s="92"/>
      <c r="K723" s="187"/>
      <c r="L723" s="187"/>
      <c r="M723" s="187"/>
      <c r="N723" s="187"/>
      <c r="O723" s="92"/>
      <c r="P723" s="187"/>
      <c r="Q723" s="187"/>
      <c r="R723" s="187"/>
      <c r="S723" s="187"/>
      <c r="T723" s="85"/>
      <c r="U723" s="189"/>
      <c r="V723" s="189"/>
      <c r="W723" s="189"/>
      <c r="X723" s="189"/>
      <c r="Y723" s="100"/>
      <c r="AA723" s="96"/>
      <c r="AB723" s="96"/>
      <c r="AC723" s="96"/>
      <c r="AD723" s="97"/>
      <c r="AE723" s="96"/>
      <c r="AF723" s="98"/>
      <c r="AG723" s="96"/>
      <c r="AH723" s="96"/>
      <c r="AI723" s="96"/>
      <c r="AJ723" s="96"/>
      <c r="AK723" s="96"/>
      <c r="AL723" s="96"/>
      <c r="AM723" s="96"/>
      <c r="AN723" s="96"/>
      <c r="AO723" s="96"/>
      <c r="AP723" s="96"/>
    </row>
    <row r="724" spans="2:42" ht="12.75">
      <c r="B724" s="186"/>
      <c r="C724" s="85"/>
      <c r="D724" s="85"/>
      <c r="E724" s="187"/>
      <c r="F724" s="187"/>
      <c r="G724" s="187"/>
      <c r="H724" s="187"/>
      <c r="I724" s="92"/>
      <c r="J724" s="92"/>
      <c r="K724" s="187"/>
      <c r="L724" s="187"/>
      <c r="M724" s="187"/>
      <c r="N724" s="187"/>
      <c r="O724" s="92"/>
      <c r="P724" s="187"/>
      <c r="Q724" s="187"/>
      <c r="R724" s="187"/>
      <c r="S724" s="187"/>
      <c r="T724" s="85"/>
      <c r="U724" s="189"/>
      <c r="V724" s="189"/>
      <c r="W724" s="189"/>
      <c r="X724" s="189"/>
      <c r="Y724" s="100"/>
      <c r="AA724" s="96"/>
      <c r="AB724" s="96"/>
      <c r="AC724" s="96"/>
      <c r="AD724" s="97"/>
      <c r="AE724" s="96"/>
      <c r="AF724" s="98"/>
      <c r="AG724" s="96"/>
      <c r="AH724" s="96"/>
      <c r="AI724" s="96"/>
      <c r="AJ724" s="96"/>
      <c r="AK724" s="96"/>
      <c r="AL724" s="96"/>
      <c r="AM724" s="96"/>
      <c r="AN724" s="96"/>
      <c r="AO724" s="96"/>
      <c r="AP724" s="96"/>
    </row>
    <row r="725" spans="2:42" ht="12.75">
      <c r="B725" s="186"/>
      <c r="C725" s="85"/>
      <c r="D725" s="85"/>
      <c r="E725" s="187"/>
      <c r="F725" s="187"/>
      <c r="G725" s="187"/>
      <c r="H725" s="187"/>
      <c r="I725" s="92"/>
      <c r="J725" s="92"/>
      <c r="K725" s="187"/>
      <c r="L725" s="187"/>
      <c r="M725" s="187"/>
      <c r="N725" s="187"/>
      <c r="O725" s="92"/>
      <c r="P725" s="187"/>
      <c r="Q725" s="187"/>
      <c r="R725" s="187"/>
      <c r="S725" s="187"/>
      <c r="T725" s="85"/>
      <c r="U725" s="189"/>
      <c r="V725" s="189"/>
      <c r="W725" s="189"/>
      <c r="X725" s="189"/>
      <c r="Y725" s="100"/>
      <c r="AA725" s="96"/>
      <c r="AB725" s="96"/>
      <c r="AC725" s="96"/>
      <c r="AD725" s="97"/>
      <c r="AE725" s="96"/>
      <c r="AF725" s="98"/>
      <c r="AG725" s="96"/>
      <c r="AH725" s="96"/>
      <c r="AI725" s="96"/>
      <c r="AJ725" s="96"/>
      <c r="AK725" s="96"/>
      <c r="AL725" s="96"/>
      <c r="AM725" s="96"/>
      <c r="AN725" s="96"/>
      <c r="AO725" s="96"/>
      <c r="AP725" s="96"/>
    </row>
    <row r="726" spans="2:42" ht="12.75">
      <c r="B726" s="186"/>
      <c r="C726" s="85"/>
      <c r="D726" s="85"/>
      <c r="E726" s="187"/>
      <c r="F726" s="187"/>
      <c r="G726" s="187"/>
      <c r="H726" s="187"/>
      <c r="I726" s="92"/>
      <c r="J726" s="92"/>
      <c r="K726" s="187"/>
      <c r="L726" s="187"/>
      <c r="M726" s="187"/>
      <c r="N726" s="187"/>
      <c r="O726" s="92"/>
      <c r="P726" s="187"/>
      <c r="Q726" s="187"/>
      <c r="R726" s="187"/>
      <c r="S726" s="187"/>
      <c r="T726" s="85"/>
      <c r="U726" s="189"/>
      <c r="V726" s="189"/>
      <c r="W726" s="189"/>
      <c r="X726" s="189"/>
      <c r="Y726" s="100"/>
      <c r="AA726" s="96"/>
      <c r="AB726" s="96"/>
      <c r="AC726" s="96"/>
      <c r="AD726" s="97"/>
      <c r="AE726" s="96"/>
      <c r="AF726" s="98"/>
      <c r="AG726" s="96"/>
      <c r="AH726" s="96"/>
      <c r="AI726" s="96"/>
      <c r="AJ726" s="96"/>
      <c r="AK726" s="96"/>
      <c r="AL726" s="96"/>
      <c r="AM726" s="96"/>
      <c r="AN726" s="96"/>
      <c r="AO726" s="96"/>
      <c r="AP726" s="96"/>
    </row>
    <row r="727" spans="2:42" ht="12.75">
      <c r="B727" s="186"/>
      <c r="C727" s="85"/>
      <c r="D727" s="85"/>
      <c r="E727" s="187"/>
      <c r="F727" s="187"/>
      <c r="G727" s="187"/>
      <c r="H727" s="187"/>
      <c r="I727" s="92"/>
      <c r="J727" s="92"/>
      <c r="K727" s="187"/>
      <c r="L727" s="187"/>
      <c r="M727" s="187"/>
      <c r="N727" s="187"/>
      <c r="O727" s="92"/>
      <c r="P727" s="187"/>
      <c r="Q727" s="187"/>
      <c r="R727" s="187"/>
      <c r="S727" s="187"/>
      <c r="T727" s="85"/>
      <c r="U727" s="189"/>
      <c r="V727" s="189"/>
      <c r="W727" s="189"/>
      <c r="X727" s="189"/>
      <c r="Y727" s="100"/>
      <c r="AA727" s="96"/>
      <c r="AB727" s="96"/>
      <c r="AC727" s="96"/>
      <c r="AD727" s="97"/>
      <c r="AE727" s="96"/>
      <c r="AF727" s="98"/>
      <c r="AG727" s="96"/>
      <c r="AH727" s="96"/>
      <c r="AI727" s="96"/>
      <c r="AJ727" s="96"/>
      <c r="AK727" s="96"/>
      <c r="AL727" s="96"/>
      <c r="AM727" s="96"/>
      <c r="AN727" s="96"/>
      <c r="AO727" s="96"/>
      <c r="AP727" s="96"/>
    </row>
    <row r="728" spans="2:42" ht="12.75">
      <c r="B728" s="186"/>
      <c r="C728" s="85"/>
      <c r="D728" s="85"/>
      <c r="E728" s="187"/>
      <c r="F728" s="187"/>
      <c r="G728" s="187"/>
      <c r="H728" s="187"/>
      <c r="I728" s="92"/>
      <c r="J728" s="92"/>
      <c r="K728" s="187"/>
      <c r="L728" s="187"/>
      <c r="M728" s="187"/>
      <c r="N728" s="187"/>
      <c r="O728" s="92"/>
      <c r="P728" s="187"/>
      <c r="Q728" s="187"/>
      <c r="R728" s="187"/>
      <c r="S728" s="187"/>
      <c r="T728" s="85"/>
      <c r="U728" s="189"/>
      <c r="V728" s="189"/>
      <c r="W728" s="189"/>
      <c r="X728" s="189"/>
      <c r="Y728" s="100"/>
      <c r="AA728" s="96"/>
      <c r="AB728" s="96"/>
      <c r="AC728" s="96"/>
      <c r="AD728" s="97"/>
      <c r="AE728" s="96"/>
      <c r="AF728" s="98"/>
      <c r="AG728" s="96"/>
      <c r="AH728" s="96"/>
      <c r="AI728" s="96"/>
      <c r="AJ728" s="96"/>
      <c r="AK728" s="96"/>
      <c r="AL728" s="96"/>
      <c r="AM728" s="96"/>
      <c r="AN728" s="96"/>
      <c r="AO728" s="96"/>
      <c r="AP728" s="96"/>
    </row>
    <row r="729" spans="2:42" ht="12.75">
      <c r="B729" s="186"/>
      <c r="C729" s="85"/>
      <c r="D729" s="85"/>
      <c r="E729" s="187"/>
      <c r="F729" s="187"/>
      <c r="G729" s="187"/>
      <c r="H729" s="187"/>
      <c r="I729" s="92"/>
      <c r="J729" s="92"/>
      <c r="K729" s="187"/>
      <c r="L729" s="187"/>
      <c r="M729" s="187"/>
      <c r="N729" s="187"/>
      <c r="O729" s="92"/>
      <c r="P729" s="187"/>
      <c r="Q729" s="187"/>
      <c r="R729" s="187"/>
      <c r="S729" s="187"/>
      <c r="T729" s="85"/>
      <c r="U729" s="189"/>
      <c r="V729" s="189"/>
      <c r="W729" s="189"/>
      <c r="X729" s="189"/>
      <c r="Y729" s="100"/>
      <c r="AA729" s="96"/>
      <c r="AB729" s="96"/>
      <c r="AC729" s="96"/>
      <c r="AD729" s="97"/>
      <c r="AE729" s="96"/>
      <c r="AF729" s="98"/>
      <c r="AG729" s="96"/>
      <c r="AH729" s="96"/>
      <c r="AI729" s="96"/>
      <c r="AJ729" s="96"/>
      <c r="AK729" s="96"/>
      <c r="AL729" s="96"/>
      <c r="AM729" s="96"/>
      <c r="AN729" s="96"/>
      <c r="AO729" s="96"/>
      <c r="AP729" s="96"/>
    </row>
    <row r="730" spans="2:42" ht="12.75">
      <c r="B730" s="186"/>
      <c r="C730" s="85"/>
      <c r="D730" s="85"/>
      <c r="E730" s="187"/>
      <c r="F730" s="187"/>
      <c r="G730" s="187"/>
      <c r="H730" s="187"/>
      <c r="I730" s="92"/>
      <c r="J730" s="92"/>
      <c r="K730" s="187"/>
      <c r="L730" s="187"/>
      <c r="M730" s="187"/>
      <c r="N730" s="187"/>
      <c r="O730" s="92"/>
      <c r="P730" s="187"/>
      <c r="Q730" s="187"/>
      <c r="R730" s="187"/>
      <c r="S730" s="187"/>
      <c r="T730" s="85"/>
      <c r="U730" s="189"/>
      <c r="V730" s="189"/>
      <c r="W730" s="189"/>
      <c r="X730" s="189"/>
      <c r="Y730" s="100"/>
      <c r="AA730" s="96"/>
      <c r="AB730" s="96"/>
      <c r="AC730" s="96"/>
      <c r="AD730" s="97"/>
      <c r="AE730" s="96"/>
      <c r="AF730" s="98"/>
      <c r="AG730" s="96"/>
      <c r="AH730" s="96"/>
      <c r="AI730" s="96"/>
      <c r="AJ730" s="96"/>
      <c r="AK730" s="96"/>
      <c r="AL730" s="96"/>
      <c r="AM730" s="96"/>
      <c r="AN730" s="96"/>
      <c r="AO730" s="96"/>
      <c r="AP730" s="96"/>
    </row>
    <row r="731" spans="2:42" ht="12.75">
      <c r="B731" s="186"/>
      <c r="C731" s="85"/>
      <c r="D731" s="85"/>
      <c r="E731" s="187"/>
      <c r="F731" s="187"/>
      <c r="G731" s="187"/>
      <c r="H731" s="187"/>
      <c r="I731" s="92"/>
      <c r="J731" s="92"/>
      <c r="K731" s="187"/>
      <c r="L731" s="187"/>
      <c r="M731" s="187"/>
      <c r="N731" s="187"/>
      <c r="O731" s="92"/>
      <c r="P731" s="187"/>
      <c r="Q731" s="187"/>
      <c r="R731" s="187"/>
      <c r="S731" s="187"/>
      <c r="T731" s="85"/>
      <c r="U731" s="189"/>
      <c r="V731" s="189"/>
      <c r="W731" s="189"/>
      <c r="X731" s="189"/>
      <c r="Y731" s="100"/>
      <c r="AA731" s="96"/>
      <c r="AB731" s="96"/>
      <c r="AC731" s="96"/>
      <c r="AD731" s="97"/>
      <c r="AE731" s="96"/>
      <c r="AF731" s="98"/>
      <c r="AG731" s="96"/>
      <c r="AH731" s="96"/>
      <c r="AI731" s="96"/>
      <c r="AJ731" s="96"/>
      <c r="AK731" s="96"/>
      <c r="AL731" s="96"/>
      <c r="AM731" s="96"/>
      <c r="AN731" s="96"/>
      <c r="AO731" s="96"/>
      <c r="AP731" s="96"/>
    </row>
    <row r="732" spans="2:42" ht="12.75">
      <c r="B732" s="186"/>
      <c r="C732" s="85"/>
      <c r="D732" s="85"/>
      <c r="E732" s="187"/>
      <c r="F732" s="187"/>
      <c r="G732" s="187"/>
      <c r="H732" s="187"/>
      <c r="I732" s="92"/>
      <c r="J732" s="92"/>
      <c r="K732" s="187"/>
      <c r="L732" s="187"/>
      <c r="M732" s="187"/>
      <c r="N732" s="187"/>
      <c r="O732" s="92"/>
      <c r="P732" s="187"/>
      <c r="Q732" s="187"/>
      <c r="R732" s="187"/>
      <c r="S732" s="187"/>
      <c r="T732" s="85"/>
      <c r="U732" s="189"/>
      <c r="V732" s="189"/>
      <c r="W732" s="189"/>
      <c r="X732" s="189"/>
      <c r="Y732" s="100"/>
      <c r="AA732" s="96"/>
      <c r="AB732" s="96"/>
      <c r="AC732" s="96"/>
      <c r="AD732" s="97"/>
      <c r="AE732" s="96"/>
      <c r="AF732" s="98"/>
      <c r="AG732" s="96"/>
      <c r="AH732" s="96"/>
      <c r="AI732" s="96"/>
      <c r="AJ732" s="96"/>
      <c r="AK732" s="96"/>
      <c r="AL732" s="96"/>
      <c r="AM732" s="96"/>
      <c r="AN732" s="96"/>
      <c r="AO732" s="96"/>
      <c r="AP732" s="96"/>
    </row>
    <row r="733" spans="2:42" ht="12.75">
      <c r="B733" s="186"/>
      <c r="C733" s="85"/>
      <c r="D733" s="85"/>
      <c r="E733" s="187"/>
      <c r="F733" s="187"/>
      <c r="G733" s="187"/>
      <c r="H733" s="187"/>
      <c r="I733" s="92"/>
      <c r="J733" s="92"/>
      <c r="K733" s="187"/>
      <c r="L733" s="187"/>
      <c r="M733" s="187"/>
      <c r="N733" s="187"/>
      <c r="O733" s="92"/>
      <c r="P733" s="187"/>
      <c r="Q733" s="187"/>
      <c r="R733" s="187"/>
      <c r="S733" s="187"/>
      <c r="T733" s="85"/>
      <c r="U733" s="189"/>
      <c r="V733" s="189"/>
      <c r="W733" s="189"/>
      <c r="X733" s="189"/>
      <c r="Y733" s="100"/>
      <c r="AA733" s="96"/>
      <c r="AB733" s="96"/>
      <c r="AC733" s="96"/>
      <c r="AD733" s="97"/>
      <c r="AE733" s="96"/>
      <c r="AF733" s="98"/>
      <c r="AG733" s="96"/>
      <c r="AH733" s="96"/>
      <c r="AI733" s="96"/>
      <c r="AJ733" s="96"/>
      <c r="AK733" s="96"/>
      <c r="AL733" s="96"/>
      <c r="AM733" s="96"/>
      <c r="AN733" s="96"/>
      <c r="AO733" s="96"/>
      <c r="AP733" s="96"/>
    </row>
    <row r="734" spans="2:42" ht="12.75">
      <c r="B734" s="186"/>
      <c r="C734" s="85"/>
      <c r="D734" s="85"/>
      <c r="E734" s="187"/>
      <c r="F734" s="187"/>
      <c r="G734" s="187"/>
      <c r="H734" s="187"/>
      <c r="I734" s="92"/>
      <c r="J734" s="92"/>
      <c r="K734" s="187"/>
      <c r="L734" s="187"/>
      <c r="M734" s="187"/>
      <c r="N734" s="187"/>
      <c r="O734" s="92"/>
      <c r="P734" s="187"/>
      <c r="Q734" s="187"/>
      <c r="R734" s="187"/>
      <c r="S734" s="187"/>
      <c r="T734" s="85"/>
      <c r="U734" s="189"/>
      <c r="V734" s="189"/>
      <c r="W734" s="189"/>
      <c r="X734" s="189"/>
      <c r="Y734" s="100"/>
      <c r="AA734" s="96"/>
      <c r="AB734" s="96"/>
      <c r="AC734" s="96"/>
      <c r="AD734" s="97"/>
      <c r="AE734" s="96"/>
      <c r="AF734" s="98"/>
      <c r="AG734" s="96"/>
      <c r="AH734" s="96"/>
      <c r="AI734" s="96"/>
      <c r="AJ734" s="96"/>
      <c r="AK734" s="96"/>
      <c r="AL734" s="96"/>
      <c r="AM734" s="96"/>
      <c r="AN734" s="96"/>
      <c r="AO734" s="96"/>
      <c r="AP734" s="96"/>
    </row>
    <row r="735" spans="2:42" ht="12.75">
      <c r="B735" s="186"/>
      <c r="C735" s="85"/>
      <c r="D735" s="85"/>
      <c r="E735" s="187"/>
      <c r="F735" s="187"/>
      <c r="G735" s="187"/>
      <c r="H735" s="187"/>
      <c r="I735" s="92"/>
      <c r="J735" s="92"/>
      <c r="K735" s="187"/>
      <c r="L735" s="187"/>
      <c r="M735" s="187"/>
      <c r="N735" s="187"/>
      <c r="O735" s="92"/>
      <c r="P735" s="187"/>
      <c r="Q735" s="187"/>
      <c r="R735" s="187"/>
      <c r="S735" s="187"/>
      <c r="T735" s="85"/>
      <c r="U735" s="189"/>
      <c r="V735" s="189"/>
      <c r="W735" s="189"/>
      <c r="X735" s="189"/>
      <c r="Y735" s="100"/>
      <c r="AA735" s="96"/>
      <c r="AB735" s="96"/>
      <c r="AC735" s="96"/>
      <c r="AD735" s="97"/>
      <c r="AE735" s="96"/>
      <c r="AF735" s="98"/>
      <c r="AG735" s="96"/>
      <c r="AH735" s="96"/>
      <c r="AI735" s="96"/>
      <c r="AJ735" s="96"/>
      <c r="AK735" s="96"/>
      <c r="AL735" s="96"/>
      <c r="AM735" s="96"/>
      <c r="AN735" s="96"/>
      <c r="AO735" s="96"/>
      <c r="AP735" s="96"/>
    </row>
    <row r="736" spans="2:42" ht="12.75">
      <c r="B736" s="186"/>
      <c r="C736" s="85"/>
      <c r="D736" s="85"/>
      <c r="E736" s="187"/>
      <c r="F736" s="187"/>
      <c r="G736" s="187"/>
      <c r="H736" s="187"/>
      <c r="I736" s="92"/>
      <c r="J736" s="92"/>
      <c r="K736" s="187"/>
      <c r="L736" s="187"/>
      <c r="M736" s="187"/>
      <c r="N736" s="187"/>
      <c r="O736" s="92"/>
      <c r="P736" s="187"/>
      <c r="Q736" s="187"/>
      <c r="R736" s="187"/>
      <c r="S736" s="187"/>
      <c r="T736" s="85"/>
      <c r="U736" s="189"/>
      <c r="V736" s="189"/>
      <c r="W736" s="189"/>
      <c r="X736" s="189"/>
      <c r="Y736" s="100"/>
      <c r="AA736" s="96"/>
      <c r="AB736" s="96"/>
      <c r="AC736" s="96"/>
      <c r="AD736" s="97"/>
      <c r="AE736" s="96"/>
      <c r="AF736" s="98"/>
      <c r="AG736" s="96"/>
      <c r="AH736" s="96"/>
      <c r="AI736" s="96"/>
      <c r="AJ736" s="96"/>
      <c r="AK736" s="96"/>
      <c r="AL736" s="96"/>
      <c r="AM736" s="96"/>
      <c r="AN736" s="96"/>
      <c r="AO736" s="96"/>
      <c r="AP736" s="96"/>
    </row>
    <row r="737" spans="2:42" ht="12.75">
      <c r="B737" s="186"/>
      <c r="C737" s="85"/>
      <c r="D737" s="85"/>
      <c r="E737" s="187"/>
      <c r="F737" s="187"/>
      <c r="G737" s="187"/>
      <c r="H737" s="187"/>
      <c r="I737" s="92"/>
      <c r="J737" s="92"/>
      <c r="K737" s="187"/>
      <c r="L737" s="187"/>
      <c r="M737" s="187"/>
      <c r="N737" s="187"/>
      <c r="O737" s="92"/>
      <c r="P737" s="187"/>
      <c r="Q737" s="187"/>
      <c r="R737" s="187"/>
      <c r="S737" s="187"/>
      <c r="T737" s="85"/>
      <c r="U737" s="189"/>
      <c r="V737" s="189"/>
      <c r="W737" s="189"/>
      <c r="X737" s="189"/>
      <c r="Y737" s="100"/>
      <c r="AA737" s="96"/>
      <c r="AB737" s="96"/>
      <c r="AC737" s="96"/>
      <c r="AD737" s="97"/>
      <c r="AE737" s="96"/>
      <c r="AF737" s="98"/>
      <c r="AG737" s="96"/>
      <c r="AH737" s="96"/>
      <c r="AI737" s="96"/>
      <c r="AJ737" s="96"/>
      <c r="AK737" s="96"/>
      <c r="AL737" s="96"/>
      <c r="AM737" s="96"/>
      <c r="AN737" s="96"/>
      <c r="AO737" s="96"/>
      <c r="AP737" s="96"/>
    </row>
    <row r="738" spans="2:42" ht="12.75">
      <c r="B738" s="186"/>
      <c r="C738" s="85"/>
      <c r="D738" s="85"/>
      <c r="E738" s="187"/>
      <c r="F738" s="187"/>
      <c r="G738" s="187"/>
      <c r="H738" s="187"/>
      <c r="I738" s="92"/>
      <c r="J738" s="92"/>
      <c r="K738" s="187"/>
      <c r="L738" s="187"/>
      <c r="M738" s="187"/>
      <c r="N738" s="187"/>
      <c r="O738" s="92"/>
      <c r="P738" s="187"/>
      <c r="Q738" s="187"/>
      <c r="R738" s="187"/>
      <c r="S738" s="187"/>
      <c r="T738" s="85"/>
      <c r="U738" s="189"/>
      <c r="V738" s="189"/>
      <c r="W738" s="189"/>
      <c r="X738" s="189"/>
      <c r="Y738" s="100"/>
      <c r="AA738" s="96"/>
      <c r="AB738" s="96"/>
      <c r="AC738" s="96"/>
      <c r="AD738" s="97"/>
      <c r="AE738" s="96"/>
      <c r="AF738" s="98"/>
      <c r="AG738" s="96"/>
      <c r="AH738" s="96"/>
      <c r="AI738" s="96"/>
      <c r="AJ738" s="96"/>
      <c r="AK738" s="96"/>
      <c r="AL738" s="96"/>
      <c r="AM738" s="96"/>
      <c r="AN738" s="96"/>
      <c r="AO738" s="96"/>
      <c r="AP738" s="96"/>
    </row>
    <row r="739" spans="2:42" ht="12.75">
      <c r="B739" s="186"/>
      <c r="C739" s="85"/>
      <c r="D739" s="85"/>
      <c r="E739" s="187"/>
      <c r="F739" s="187"/>
      <c r="G739" s="187"/>
      <c r="H739" s="187"/>
      <c r="I739" s="92"/>
      <c r="J739" s="92"/>
      <c r="K739" s="187"/>
      <c r="L739" s="187"/>
      <c r="M739" s="187"/>
      <c r="N739" s="187"/>
      <c r="O739" s="92"/>
      <c r="P739" s="187"/>
      <c r="Q739" s="187"/>
      <c r="R739" s="187"/>
      <c r="S739" s="187"/>
      <c r="T739" s="85"/>
      <c r="U739" s="189"/>
      <c r="V739" s="189"/>
      <c r="W739" s="189"/>
      <c r="X739" s="189"/>
      <c r="Y739" s="100"/>
      <c r="AA739" s="96"/>
      <c r="AB739" s="96"/>
      <c r="AC739" s="96"/>
      <c r="AD739" s="97"/>
      <c r="AE739" s="96"/>
      <c r="AF739" s="98"/>
      <c r="AG739" s="96"/>
      <c r="AH739" s="96"/>
      <c r="AI739" s="96"/>
      <c r="AJ739" s="96"/>
      <c r="AK739" s="96"/>
      <c r="AL739" s="96"/>
      <c r="AM739" s="96"/>
      <c r="AN739" s="96"/>
      <c r="AO739" s="96"/>
      <c r="AP739" s="96"/>
    </row>
    <row r="740" spans="2:42" ht="12.75">
      <c r="B740" s="186"/>
      <c r="C740" s="85"/>
      <c r="D740" s="85"/>
      <c r="E740" s="187"/>
      <c r="F740" s="187"/>
      <c r="G740" s="187"/>
      <c r="H740" s="187"/>
      <c r="I740" s="92"/>
      <c r="J740" s="92"/>
      <c r="K740" s="187"/>
      <c r="L740" s="187"/>
      <c r="M740" s="187"/>
      <c r="N740" s="187"/>
      <c r="O740" s="92"/>
      <c r="P740" s="187"/>
      <c r="Q740" s="187"/>
      <c r="R740" s="187"/>
      <c r="S740" s="187"/>
      <c r="T740" s="85"/>
      <c r="U740" s="189"/>
      <c r="V740" s="189"/>
      <c r="W740" s="189"/>
      <c r="X740" s="189"/>
      <c r="Y740" s="100"/>
      <c r="AA740" s="96"/>
      <c r="AB740" s="96"/>
      <c r="AC740" s="96"/>
      <c r="AD740" s="97"/>
      <c r="AE740" s="96"/>
      <c r="AF740" s="98"/>
      <c r="AG740" s="96"/>
      <c r="AH740" s="96"/>
      <c r="AI740" s="96"/>
      <c r="AJ740" s="96"/>
      <c r="AK740" s="96"/>
      <c r="AL740" s="96"/>
      <c r="AM740" s="96"/>
      <c r="AN740" s="96"/>
      <c r="AO740" s="96"/>
      <c r="AP740" s="96"/>
    </row>
    <row r="741" spans="2:42" ht="12.75">
      <c r="B741" s="186"/>
      <c r="C741" s="85"/>
      <c r="D741" s="85"/>
      <c r="E741" s="187"/>
      <c r="F741" s="187"/>
      <c r="G741" s="187"/>
      <c r="H741" s="187"/>
      <c r="I741" s="92"/>
      <c r="J741" s="92"/>
      <c r="K741" s="187"/>
      <c r="L741" s="187"/>
      <c r="M741" s="187"/>
      <c r="N741" s="187"/>
      <c r="O741" s="92"/>
      <c r="P741" s="187"/>
      <c r="Q741" s="187"/>
      <c r="R741" s="187"/>
      <c r="S741" s="187"/>
      <c r="T741" s="85"/>
      <c r="U741" s="189"/>
      <c r="V741" s="189"/>
      <c r="W741" s="189"/>
      <c r="X741" s="189"/>
      <c r="Y741" s="100"/>
      <c r="AA741" s="96"/>
      <c r="AB741" s="96"/>
      <c r="AC741" s="96"/>
      <c r="AD741" s="97"/>
      <c r="AE741" s="96"/>
      <c r="AF741" s="98"/>
      <c r="AG741" s="96"/>
      <c r="AH741" s="96"/>
      <c r="AI741" s="96"/>
      <c r="AJ741" s="96"/>
      <c r="AK741" s="96"/>
      <c r="AL741" s="96"/>
      <c r="AM741" s="96"/>
      <c r="AN741" s="96"/>
      <c r="AO741" s="96"/>
      <c r="AP741" s="96"/>
    </row>
    <row r="742" spans="2:42" ht="12.75">
      <c r="B742" s="186"/>
      <c r="C742" s="85"/>
      <c r="D742" s="85"/>
      <c r="E742" s="187"/>
      <c r="F742" s="187"/>
      <c r="G742" s="187"/>
      <c r="H742" s="187"/>
      <c r="I742" s="92"/>
      <c r="J742" s="92"/>
      <c r="K742" s="187"/>
      <c r="L742" s="187"/>
      <c r="M742" s="187"/>
      <c r="N742" s="187"/>
      <c r="O742" s="92"/>
      <c r="P742" s="187"/>
      <c r="Q742" s="187"/>
      <c r="R742" s="187"/>
      <c r="S742" s="187"/>
      <c r="T742" s="85"/>
      <c r="U742" s="189"/>
      <c r="V742" s="189"/>
      <c r="W742" s="189"/>
      <c r="X742" s="189"/>
      <c r="Y742" s="100"/>
      <c r="AA742" s="96"/>
      <c r="AB742" s="96"/>
      <c r="AC742" s="96"/>
      <c r="AD742" s="97"/>
      <c r="AE742" s="96"/>
      <c r="AF742" s="98"/>
      <c r="AG742" s="96"/>
      <c r="AH742" s="96"/>
      <c r="AI742" s="96"/>
      <c r="AJ742" s="96"/>
      <c r="AK742" s="96"/>
      <c r="AL742" s="96"/>
      <c r="AM742" s="96"/>
      <c r="AN742" s="96"/>
      <c r="AO742" s="96"/>
      <c r="AP742" s="96"/>
    </row>
    <row r="743" spans="2:42" ht="12.75">
      <c r="B743" s="186"/>
      <c r="C743" s="85"/>
      <c r="D743" s="85"/>
      <c r="E743" s="187"/>
      <c r="F743" s="187"/>
      <c r="G743" s="187"/>
      <c r="H743" s="187"/>
      <c r="I743" s="92"/>
      <c r="J743" s="92"/>
      <c r="K743" s="187"/>
      <c r="L743" s="187"/>
      <c r="M743" s="187"/>
      <c r="N743" s="187"/>
      <c r="O743" s="92"/>
      <c r="P743" s="187"/>
      <c r="Q743" s="187"/>
      <c r="R743" s="187"/>
      <c r="S743" s="187"/>
      <c r="T743" s="85"/>
      <c r="U743" s="189"/>
      <c r="V743" s="189"/>
      <c r="W743" s="189"/>
      <c r="X743" s="189"/>
      <c r="Y743" s="100"/>
      <c r="AA743" s="96"/>
      <c r="AB743" s="96"/>
      <c r="AC743" s="96"/>
      <c r="AD743" s="97"/>
      <c r="AE743" s="96"/>
      <c r="AF743" s="98"/>
      <c r="AG743" s="96"/>
      <c r="AH743" s="96"/>
      <c r="AI743" s="96"/>
      <c r="AJ743" s="96"/>
      <c r="AK743" s="96"/>
      <c r="AL743" s="96"/>
      <c r="AM743" s="96"/>
      <c r="AN743" s="96"/>
      <c r="AO743" s="96"/>
      <c r="AP743" s="96"/>
    </row>
    <row r="744" spans="2:42" ht="12.75">
      <c r="B744" s="186"/>
      <c r="C744" s="85"/>
      <c r="D744" s="85"/>
      <c r="E744" s="187"/>
      <c r="F744" s="187"/>
      <c r="G744" s="187"/>
      <c r="H744" s="187"/>
      <c r="I744" s="92"/>
      <c r="J744" s="92"/>
      <c r="K744" s="187"/>
      <c r="L744" s="187"/>
      <c r="M744" s="187"/>
      <c r="N744" s="187"/>
      <c r="O744" s="92"/>
      <c r="P744" s="187"/>
      <c r="Q744" s="187"/>
      <c r="R744" s="187"/>
      <c r="S744" s="187"/>
      <c r="T744" s="85"/>
      <c r="U744" s="189"/>
      <c r="V744" s="189"/>
      <c r="W744" s="189"/>
      <c r="X744" s="189"/>
      <c r="Y744" s="100"/>
      <c r="AA744" s="96"/>
      <c r="AB744" s="96"/>
      <c r="AC744" s="96"/>
      <c r="AD744" s="97"/>
      <c r="AE744" s="96"/>
      <c r="AF744" s="98"/>
      <c r="AG744" s="96"/>
      <c r="AH744" s="96"/>
      <c r="AI744" s="96"/>
      <c r="AJ744" s="96"/>
      <c r="AK744" s="96"/>
      <c r="AL744" s="96"/>
      <c r="AM744" s="96"/>
      <c r="AN744" s="96"/>
      <c r="AO744" s="96"/>
      <c r="AP744" s="96"/>
    </row>
    <row r="745" spans="2:42" ht="12.75">
      <c r="B745" s="186"/>
      <c r="C745" s="85"/>
      <c r="D745" s="85"/>
      <c r="E745" s="187"/>
      <c r="F745" s="187"/>
      <c r="G745" s="187"/>
      <c r="H745" s="187"/>
      <c r="I745" s="92"/>
      <c r="J745" s="92"/>
      <c r="K745" s="187"/>
      <c r="L745" s="187"/>
      <c r="M745" s="187"/>
      <c r="N745" s="187"/>
      <c r="O745" s="92"/>
      <c r="P745" s="187"/>
      <c r="Q745" s="187"/>
      <c r="R745" s="187"/>
      <c r="S745" s="187"/>
      <c r="T745" s="85"/>
      <c r="U745" s="189"/>
      <c r="V745" s="189"/>
      <c r="W745" s="189"/>
      <c r="X745" s="189"/>
      <c r="Y745" s="100"/>
      <c r="AA745" s="96"/>
      <c r="AB745" s="96"/>
      <c r="AC745" s="96"/>
      <c r="AD745" s="97"/>
      <c r="AE745" s="96"/>
      <c r="AF745" s="98"/>
      <c r="AG745" s="96"/>
      <c r="AH745" s="96"/>
      <c r="AI745" s="96"/>
      <c r="AJ745" s="96"/>
      <c r="AK745" s="96"/>
      <c r="AL745" s="96"/>
      <c r="AM745" s="96"/>
      <c r="AN745" s="96"/>
      <c r="AO745" s="96"/>
      <c r="AP745" s="96"/>
    </row>
    <row r="746" spans="2:42" ht="12.75">
      <c r="B746" s="186"/>
      <c r="C746" s="85"/>
      <c r="D746" s="85"/>
      <c r="E746" s="187"/>
      <c r="F746" s="187"/>
      <c r="G746" s="187"/>
      <c r="H746" s="187"/>
      <c r="I746" s="92"/>
      <c r="J746" s="92"/>
      <c r="K746" s="187"/>
      <c r="L746" s="187"/>
      <c r="M746" s="187"/>
      <c r="N746" s="187"/>
      <c r="O746" s="92"/>
      <c r="P746" s="187"/>
      <c r="Q746" s="187"/>
      <c r="R746" s="187"/>
      <c r="S746" s="187"/>
      <c r="T746" s="85"/>
      <c r="U746" s="189"/>
      <c r="V746" s="189"/>
      <c r="W746" s="189"/>
      <c r="X746" s="189"/>
      <c r="Y746" s="100"/>
      <c r="AA746" s="96"/>
      <c r="AB746" s="96"/>
      <c r="AC746" s="96"/>
      <c r="AD746" s="97"/>
      <c r="AE746" s="96"/>
      <c r="AF746" s="98"/>
      <c r="AG746" s="96"/>
      <c r="AH746" s="96"/>
      <c r="AI746" s="96"/>
      <c r="AJ746" s="96"/>
      <c r="AK746" s="96"/>
      <c r="AL746" s="96"/>
      <c r="AM746" s="96"/>
      <c r="AN746" s="96"/>
      <c r="AO746" s="96"/>
      <c r="AP746" s="96"/>
    </row>
    <row r="747" spans="2:42" ht="12.75">
      <c r="B747" s="186"/>
      <c r="C747" s="85"/>
      <c r="D747" s="85"/>
      <c r="E747" s="187"/>
      <c r="F747" s="187"/>
      <c r="G747" s="187"/>
      <c r="H747" s="187"/>
      <c r="I747" s="92"/>
      <c r="J747" s="92"/>
      <c r="K747" s="187"/>
      <c r="L747" s="187"/>
      <c r="M747" s="187"/>
      <c r="N747" s="187"/>
      <c r="O747" s="92"/>
      <c r="P747" s="187"/>
      <c r="Q747" s="187"/>
      <c r="R747" s="187"/>
      <c r="S747" s="187"/>
      <c r="T747" s="85"/>
      <c r="U747" s="189"/>
      <c r="V747" s="189"/>
      <c r="W747" s="189"/>
      <c r="X747" s="189"/>
      <c r="Y747" s="100"/>
      <c r="AA747" s="96"/>
      <c r="AB747" s="96"/>
      <c r="AC747" s="96"/>
      <c r="AD747" s="97"/>
      <c r="AE747" s="96"/>
      <c r="AF747" s="98"/>
      <c r="AG747" s="96"/>
      <c r="AH747" s="96"/>
      <c r="AI747" s="96"/>
      <c r="AJ747" s="96"/>
      <c r="AK747" s="96"/>
      <c r="AL747" s="96"/>
      <c r="AM747" s="96"/>
      <c r="AN747" s="96"/>
      <c r="AO747" s="96"/>
      <c r="AP747" s="96"/>
    </row>
    <row r="748" spans="2:42" ht="12.75">
      <c r="B748" s="186"/>
      <c r="C748" s="85"/>
      <c r="D748" s="85"/>
      <c r="E748" s="187"/>
      <c r="F748" s="187"/>
      <c r="G748" s="187"/>
      <c r="H748" s="187"/>
      <c r="I748" s="92"/>
      <c r="J748" s="92"/>
      <c r="K748" s="187"/>
      <c r="L748" s="187"/>
      <c r="M748" s="187"/>
      <c r="N748" s="187"/>
      <c r="O748" s="92"/>
      <c r="P748" s="187"/>
      <c r="Q748" s="187"/>
      <c r="R748" s="187"/>
      <c r="S748" s="187"/>
      <c r="T748" s="85"/>
      <c r="U748" s="189"/>
      <c r="V748" s="189"/>
      <c r="W748" s="189"/>
      <c r="X748" s="189"/>
      <c r="Y748" s="100"/>
      <c r="AA748" s="96"/>
      <c r="AB748" s="96"/>
      <c r="AC748" s="96"/>
      <c r="AD748" s="97"/>
      <c r="AE748" s="96"/>
      <c r="AF748" s="98"/>
      <c r="AG748" s="96"/>
      <c r="AH748" s="96"/>
      <c r="AI748" s="96"/>
      <c r="AJ748" s="96"/>
      <c r="AK748" s="96"/>
      <c r="AL748" s="96"/>
      <c r="AM748" s="96"/>
      <c r="AN748" s="96"/>
      <c r="AO748" s="96"/>
      <c r="AP748" s="96"/>
    </row>
    <row r="749" spans="2:42" ht="12.75">
      <c r="B749" s="186"/>
      <c r="C749" s="85"/>
      <c r="D749" s="85"/>
      <c r="E749" s="187"/>
      <c r="F749" s="187"/>
      <c r="G749" s="187"/>
      <c r="H749" s="187"/>
      <c r="I749" s="92"/>
      <c r="J749" s="92"/>
      <c r="K749" s="187"/>
      <c r="L749" s="187"/>
      <c r="M749" s="187"/>
      <c r="N749" s="187"/>
      <c r="O749" s="92"/>
      <c r="P749" s="187"/>
      <c r="Q749" s="187"/>
      <c r="R749" s="187"/>
      <c r="S749" s="187"/>
      <c r="T749" s="85"/>
      <c r="U749" s="189"/>
      <c r="V749" s="189"/>
      <c r="W749" s="189"/>
      <c r="X749" s="189"/>
      <c r="Y749" s="100"/>
      <c r="AA749" s="96"/>
      <c r="AB749" s="96"/>
      <c r="AC749" s="96"/>
      <c r="AD749" s="97"/>
      <c r="AE749" s="96"/>
      <c r="AF749" s="98"/>
      <c r="AG749" s="96"/>
      <c r="AH749" s="96"/>
      <c r="AI749" s="96"/>
      <c r="AJ749" s="96"/>
      <c r="AK749" s="96"/>
      <c r="AL749" s="96"/>
      <c r="AM749" s="96"/>
      <c r="AN749" s="96"/>
      <c r="AO749" s="96"/>
      <c r="AP749" s="96"/>
    </row>
    <row r="750" spans="2:42" ht="12.75">
      <c r="B750" s="186"/>
      <c r="C750" s="85"/>
      <c r="D750" s="85"/>
      <c r="E750" s="187"/>
      <c r="F750" s="187"/>
      <c r="G750" s="187"/>
      <c r="H750" s="187"/>
      <c r="I750" s="92"/>
      <c r="J750" s="92"/>
      <c r="K750" s="187"/>
      <c r="L750" s="187"/>
      <c r="M750" s="187"/>
      <c r="N750" s="187"/>
      <c r="O750" s="92"/>
      <c r="P750" s="187"/>
      <c r="Q750" s="187"/>
      <c r="R750" s="187"/>
      <c r="S750" s="187"/>
      <c r="T750" s="85"/>
      <c r="U750" s="189"/>
      <c r="V750" s="189"/>
      <c r="W750" s="189"/>
      <c r="X750" s="189"/>
      <c r="Y750" s="100"/>
      <c r="AA750" s="96"/>
      <c r="AB750" s="96"/>
      <c r="AC750" s="96"/>
      <c r="AD750" s="97"/>
      <c r="AE750" s="96"/>
      <c r="AF750" s="98"/>
      <c r="AG750" s="96"/>
      <c r="AH750" s="96"/>
      <c r="AI750" s="96"/>
      <c r="AJ750" s="96"/>
      <c r="AK750" s="96"/>
      <c r="AL750" s="96"/>
      <c r="AM750" s="96"/>
      <c r="AN750" s="96"/>
      <c r="AO750" s="96"/>
      <c r="AP750" s="96"/>
    </row>
    <row r="751" spans="2:42" ht="12.75">
      <c r="B751" s="186"/>
      <c r="C751" s="85"/>
      <c r="D751" s="85"/>
      <c r="E751" s="187"/>
      <c r="F751" s="187"/>
      <c r="G751" s="187"/>
      <c r="H751" s="187"/>
      <c r="I751" s="92"/>
      <c r="J751" s="92"/>
      <c r="K751" s="187"/>
      <c r="L751" s="187"/>
      <c r="M751" s="187"/>
      <c r="N751" s="187"/>
      <c r="O751" s="92"/>
      <c r="P751" s="187"/>
      <c r="Q751" s="187"/>
      <c r="R751" s="187"/>
      <c r="S751" s="187"/>
      <c r="T751" s="85"/>
      <c r="U751" s="189"/>
      <c r="V751" s="189"/>
      <c r="W751" s="189"/>
      <c r="X751" s="189"/>
      <c r="Y751" s="100"/>
      <c r="AA751" s="96"/>
      <c r="AB751" s="96"/>
      <c r="AC751" s="96"/>
      <c r="AD751" s="97"/>
      <c r="AE751" s="96"/>
      <c r="AF751" s="98"/>
      <c r="AG751" s="96"/>
      <c r="AH751" s="96"/>
      <c r="AI751" s="96"/>
      <c r="AJ751" s="96"/>
      <c r="AK751" s="96"/>
      <c r="AL751" s="96"/>
      <c r="AM751" s="96"/>
      <c r="AN751" s="96"/>
      <c r="AO751" s="96"/>
      <c r="AP751" s="96"/>
    </row>
    <row r="752" spans="2:42" ht="12.75">
      <c r="B752" s="186"/>
      <c r="C752" s="85"/>
      <c r="D752" s="85"/>
      <c r="E752" s="187"/>
      <c r="F752" s="187"/>
      <c r="G752" s="187"/>
      <c r="H752" s="187"/>
      <c r="I752" s="92"/>
      <c r="J752" s="92"/>
      <c r="K752" s="187"/>
      <c r="L752" s="187"/>
      <c r="M752" s="187"/>
      <c r="N752" s="187"/>
      <c r="O752" s="92"/>
      <c r="P752" s="187"/>
      <c r="Q752" s="187"/>
      <c r="R752" s="187"/>
      <c r="S752" s="187"/>
      <c r="T752" s="85"/>
      <c r="U752" s="189"/>
      <c r="V752" s="189"/>
      <c r="W752" s="189"/>
      <c r="X752" s="189"/>
      <c r="Y752" s="100"/>
      <c r="AA752" s="96"/>
      <c r="AB752" s="96"/>
      <c r="AC752" s="96"/>
      <c r="AD752" s="97"/>
      <c r="AE752" s="96"/>
      <c r="AF752" s="98"/>
      <c r="AG752" s="96"/>
      <c r="AH752" s="96"/>
      <c r="AI752" s="96"/>
      <c r="AJ752" s="96"/>
      <c r="AK752" s="96"/>
      <c r="AL752" s="96"/>
      <c r="AM752" s="96"/>
      <c r="AN752" s="96"/>
      <c r="AO752" s="96"/>
      <c r="AP752" s="96"/>
    </row>
    <row r="753" spans="2:42" ht="12.75">
      <c r="B753" s="186"/>
      <c r="C753" s="85"/>
      <c r="D753" s="85"/>
      <c r="E753" s="187"/>
      <c r="F753" s="187"/>
      <c r="G753" s="187"/>
      <c r="H753" s="187"/>
      <c r="I753" s="92"/>
      <c r="J753" s="92"/>
      <c r="K753" s="187"/>
      <c r="L753" s="187"/>
      <c r="M753" s="187"/>
      <c r="N753" s="187"/>
      <c r="O753" s="92"/>
      <c r="P753" s="187"/>
      <c r="Q753" s="187"/>
      <c r="R753" s="187"/>
      <c r="S753" s="187"/>
      <c r="T753" s="85"/>
      <c r="U753" s="189"/>
      <c r="V753" s="189"/>
      <c r="W753" s="189"/>
      <c r="X753" s="189"/>
      <c r="Y753" s="100"/>
      <c r="AA753" s="96"/>
      <c r="AB753" s="96"/>
      <c r="AC753" s="96"/>
      <c r="AD753" s="97"/>
      <c r="AE753" s="96"/>
      <c r="AF753" s="98"/>
      <c r="AG753" s="96"/>
      <c r="AH753" s="96"/>
      <c r="AI753" s="96"/>
      <c r="AJ753" s="96"/>
      <c r="AK753" s="96"/>
      <c r="AL753" s="96"/>
      <c r="AM753" s="96"/>
      <c r="AN753" s="96"/>
      <c r="AO753" s="96"/>
      <c r="AP753" s="96"/>
    </row>
    <row r="754" spans="2:42" ht="12.75">
      <c r="B754" s="186"/>
      <c r="C754" s="85"/>
      <c r="D754" s="85"/>
      <c r="E754" s="187"/>
      <c r="F754" s="187"/>
      <c r="G754" s="187"/>
      <c r="H754" s="187"/>
      <c r="I754" s="92"/>
      <c r="J754" s="92"/>
      <c r="K754" s="187"/>
      <c r="L754" s="187"/>
      <c r="M754" s="187"/>
      <c r="N754" s="187"/>
      <c r="O754" s="92"/>
      <c r="P754" s="187"/>
      <c r="Q754" s="187"/>
      <c r="R754" s="187"/>
      <c r="S754" s="187"/>
      <c r="T754" s="85"/>
      <c r="U754" s="189"/>
      <c r="V754" s="189"/>
      <c r="W754" s="189"/>
      <c r="X754" s="189"/>
      <c r="Y754" s="100"/>
      <c r="AA754" s="96"/>
      <c r="AB754" s="96"/>
      <c r="AC754" s="96"/>
      <c r="AD754" s="97"/>
      <c r="AE754" s="96"/>
      <c r="AF754" s="98"/>
      <c r="AG754" s="96"/>
      <c r="AH754" s="96"/>
      <c r="AI754" s="96"/>
      <c r="AJ754" s="96"/>
      <c r="AK754" s="96"/>
      <c r="AL754" s="96"/>
      <c r="AM754" s="96"/>
      <c r="AN754" s="96"/>
      <c r="AO754" s="96"/>
      <c r="AP754" s="96"/>
    </row>
    <row r="755" spans="2:42" ht="12.75">
      <c r="B755" s="186"/>
      <c r="C755" s="85"/>
      <c r="D755" s="85"/>
      <c r="E755" s="187"/>
      <c r="F755" s="187"/>
      <c r="G755" s="187"/>
      <c r="H755" s="187"/>
      <c r="I755" s="92"/>
      <c r="J755" s="92"/>
      <c r="K755" s="187"/>
      <c r="L755" s="187"/>
      <c r="M755" s="187"/>
      <c r="N755" s="187"/>
      <c r="O755" s="92"/>
      <c r="P755" s="187"/>
      <c r="Q755" s="187"/>
      <c r="R755" s="187"/>
      <c r="S755" s="187"/>
      <c r="T755" s="85"/>
      <c r="U755" s="189"/>
      <c r="V755" s="189"/>
      <c r="W755" s="189"/>
      <c r="X755" s="189"/>
      <c r="Y755" s="100"/>
      <c r="AA755" s="96"/>
      <c r="AB755" s="96"/>
      <c r="AC755" s="96"/>
      <c r="AD755" s="97"/>
      <c r="AE755" s="96"/>
      <c r="AF755" s="98"/>
      <c r="AG755" s="96"/>
      <c r="AH755" s="96"/>
      <c r="AI755" s="96"/>
      <c r="AJ755" s="96"/>
      <c r="AK755" s="96"/>
      <c r="AL755" s="96"/>
      <c r="AM755" s="96"/>
      <c r="AN755" s="96"/>
      <c r="AO755" s="96"/>
      <c r="AP755" s="96"/>
    </row>
    <row r="756" spans="2:42" ht="12.75">
      <c r="B756" s="186"/>
      <c r="C756" s="85"/>
      <c r="D756" s="85"/>
      <c r="E756" s="187"/>
      <c r="F756" s="187"/>
      <c r="G756" s="187"/>
      <c r="H756" s="187"/>
      <c r="I756" s="92"/>
      <c r="J756" s="92"/>
      <c r="K756" s="187"/>
      <c r="L756" s="187"/>
      <c r="M756" s="187"/>
      <c r="N756" s="187"/>
      <c r="O756" s="92"/>
      <c r="P756" s="187"/>
      <c r="Q756" s="187"/>
      <c r="R756" s="187"/>
      <c r="S756" s="187"/>
      <c r="T756" s="85"/>
      <c r="U756" s="189"/>
      <c r="V756" s="189"/>
      <c r="W756" s="189"/>
      <c r="X756" s="189"/>
      <c r="Y756" s="100"/>
      <c r="AA756" s="96"/>
      <c r="AB756" s="96"/>
      <c r="AC756" s="96"/>
      <c r="AD756" s="97"/>
      <c r="AE756" s="96"/>
      <c r="AF756" s="98"/>
      <c r="AG756" s="96"/>
      <c r="AH756" s="96"/>
      <c r="AI756" s="96"/>
      <c r="AJ756" s="96"/>
      <c r="AK756" s="96"/>
      <c r="AL756" s="96"/>
      <c r="AM756" s="96"/>
      <c r="AN756" s="96"/>
      <c r="AO756" s="96"/>
      <c r="AP756" s="96"/>
    </row>
    <row r="757" spans="2:42" ht="12.75">
      <c r="B757" s="186"/>
      <c r="C757" s="85"/>
      <c r="D757" s="85"/>
      <c r="E757" s="187"/>
      <c r="F757" s="187"/>
      <c r="G757" s="187"/>
      <c r="H757" s="187"/>
      <c r="I757" s="92"/>
      <c r="J757" s="92"/>
      <c r="K757" s="187"/>
      <c r="L757" s="187"/>
      <c r="M757" s="187"/>
      <c r="N757" s="187"/>
      <c r="O757" s="92"/>
      <c r="P757" s="187"/>
      <c r="Q757" s="187"/>
      <c r="R757" s="187"/>
      <c r="S757" s="187"/>
      <c r="T757" s="85"/>
      <c r="U757" s="189"/>
      <c r="V757" s="189"/>
      <c r="W757" s="189"/>
      <c r="X757" s="189"/>
      <c r="Y757" s="100"/>
      <c r="AA757" s="96"/>
      <c r="AB757" s="96"/>
      <c r="AC757" s="96"/>
      <c r="AD757" s="97"/>
      <c r="AE757" s="96"/>
      <c r="AF757" s="98"/>
      <c r="AG757" s="96"/>
      <c r="AH757" s="96"/>
      <c r="AI757" s="96"/>
      <c r="AJ757" s="96"/>
      <c r="AK757" s="96"/>
      <c r="AL757" s="96"/>
      <c r="AM757" s="96"/>
      <c r="AN757" s="96"/>
      <c r="AO757" s="96"/>
      <c r="AP757" s="96"/>
    </row>
    <row r="758" spans="2:42" ht="12.75">
      <c r="B758" s="186"/>
      <c r="C758" s="85"/>
      <c r="D758" s="85"/>
      <c r="E758" s="187"/>
      <c r="F758" s="187"/>
      <c r="G758" s="187"/>
      <c r="H758" s="187"/>
      <c r="I758" s="92"/>
      <c r="J758" s="92"/>
      <c r="K758" s="187"/>
      <c r="L758" s="187"/>
      <c r="M758" s="187"/>
      <c r="N758" s="187"/>
      <c r="O758" s="92"/>
      <c r="P758" s="187"/>
      <c r="Q758" s="187"/>
      <c r="R758" s="187"/>
      <c r="S758" s="187"/>
      <c r="T758" s="85"/>
      <c r="U758" s="189"/>
      <c r="V758" s="189"/>
      <c r="W758" s="189"/>
      <c r="X758" s="189"/>
      <c r="Y758" s="100"/>
      <c r="AA758" s="96"/>
      <c r="AB758" s="96"/>
      <c r="AC758" s="96"/>
      <c r="AD758" s="97"/>
      <c r="AE758" s="96"/>
      <c r="AF758" s="98"/>
      <c r="AG758" s="96"/>
      <c r="AH758" s="96"/>
      <c r="AI758" s="96"/>
      <c r="AJ758" s="96"/>
      <c r="AK758" s="96"/>
      <c r="AL758" s="96"/>
      <c r="AM758" s="96"/>
      <c r="AN758" s="96"/>
      <c r="AO758" s="96"/>
      <c r="AP758" s="96"/>
    </row>
    <row r="759" spans="2:42" ht="12.75">
      <c r="B759" s="186"/>
      <c r="C759" s="85"/>
      <c r="D759" s="85"/>
      <c r="E759" s="187"/>
      <c r="F759" s="187"/>
      <c r="G759" s="187"/>
      <c r="H759" s="187"/>
      <c r="I759" s="92"/>
      <c r="J759" s="92"/>
      <c r="K759" s="187"/>
      <c r="L759" s="187"/>
      <c r="M759" s="187"/>
      <c r="N759" s="187"/>
      <c r="O759" s="92"/>
      <c r="P759" s="187"/>
      <c r="Q759" s="187"/>
      <c r="R759" s="187"/>
      <c r="S759" s="187"/>
      <c r="T759" s="85"/>
      <c r="U759" s="189"/>
      <c r="V759" s="189"/>
      <c r="W759" s="189"/>
      <c r="X759" s="189"/>
      <c r="Y759" s="100"/>
      <c r="AA759" s="96"/>
      <c r="AB759" s="96"/>
      <c r="AC759" s="96"/>
      <c r="AD759" s="97"/>
      <c r="AE759" s="96"/>
      <c r="AF759" s="98"/>
      <c r="AG759" s="96"/>
      <c r="AH759" s="96"/>
      <c r="AI759" s="96"/>
      <c r="AJ759" s="96"/>
      <c r="AK759" s="96"/>
      <c r="AL759" s="96"/>
      <c r="AM759" s="96"/>
      <c r="AN759" s="96"/>
      <c r="AO759" s="96"/>
      <c r="AP759" s="96"/>
    </row>
    <row r="760" spans="2:42" ht="12.75">
      <c r="B760" s="186"/>
      <c r="C760" s="85"/>
      <c r="D760" s="85"/>
      <c r="E760" s="187"/>
      <c r="F760" s="187"/>
      <c r="G760" s="187"/>
      <c r="H760" s="187"/>
      <c r="I760" s="92"/>
      <c r="J760" s="92"/>
      <c r="K760" s="187"/>
      <c r="L760" s="187"/>
      <c r="M760" s="187"/>
      <c r="N760" s="187"/>
      <c r="O760" s="92"/>
      <c r="P760" s="187"/>
      <c r="Q760" s="187"/>
      <c r="R760" s="187"/>
      <c r="S760" s="187"/>
      <c r="T760" s="85"/>
      <c r="U760" s="189"/>
      <c r="V760" s="189"/>
      <c r="W760" s="189"/>
      <c r="X760" s="189"/>
      <c r="Y760" s="100"/>
      <c r="AA760" s="96"/>
      <c r="AB760" s="96"/>
      <c r="AC760" s="96"/>
      <c r="AD760" s="97"/>
      <c r="AE760" s="96"/>
      <c r="AF760" s="98"/>
      <c r="AG760" s="96"/>
      <c r="AH760" s="96"/>
      <c r="AI760" s="96"/>
      <c r="AJ760" s="96"/>
      <c r="AK760" s="96"/>
      <c r="AL760" s="96"/>
      <c r="AM760" s="96"/>
      <c r="AN760" s="96"/>
      <c r="AO760" s="96"/>
      <c r="AP760" s="96"/>
    </row>
    <row r="761" spans="2:42" ht="12.75">
      <c r="B761" s="186"/>
      <c r="C761" s="85"/>
      <c r="D761" s="85"/>
      <c r="E761" s="187"/>
      <c r="F761" s="187"/>
      <c r="G761" s="187"/>
      <c r="H761" s="187"/>
      <c r="I761" s="92"/>
      <c r="J761" s="92"/>
      <c r="K761" s="187"/>
      <c r="L761" s="187"/>
      <c r="M761" s="187"/>
      <c r="N761" s="187"/>
      <c r="O761" s="92"/>
      <c r="P761" s="187"/>
      <c r="Q761" s="187"/>
      <c r="R761" s="187"/>
      <c r="S761" s="187"/>
      <c r="T761" s="85"/>
      <c r="U761" s="189"/>
      <c r="V761" s="189"/>
      <c r="W761" s="189"/>
      <c r="X761" s="189"/>
      <c r="Y761" s="100"/>
      <c r="AA761" s="96"/>
      <c r="AB761" s="96"/>
      <c r="AC761" s="96"/>
      <c r="AD761" s="97"/>
      <c r="AE761" s="96"/>
      <c r="AF761" s="98"/>
      <c r="AG761" s="96"/>
      <c r="AH761" s="96"/>
      <c r="AI761" s="96"/>
      <c r="AJ761" s="96"/>
      <c r="AK761" s="96"/>
      <c r="AL761" s="96"/>
      <c r="AM761" s="96"/>
      <c r="AN761" s="96"/>
      <c r="AO761" s="96"/>
      <c r="AP761" s="96"/>
    </row>
    <row r="762" spans="2:42" ht="12.75">
      <c r="B762" s="186"/>
      <c r="C762" s="85"/>
      <c r="D762" s="85"/>
      <c r="E762" s="187"/>
      <c r="F762" s="187"/>
      <c r="G762" s="187"/>
      <c r="H762" s="187"/>
      <c r="I762" s="92"/>
      <c r="J762" s="92"/>
      <c r="K762" s="187"/>
      <c r="L762" s="187"/>
      <c r="M762" s="187"/>
      <c r="N762" s="187"/>
      <c r="O762" s="92"/>
      <c r="P762" s="187"/>
      <c r="Q762" s="187"/>
      <c r="R762" s="187"/>
      <c r="S762" s="187"/>
      <c r="T762" s="85"/>
      <c r="U762" s="189"/>
      <c r="V762" s="189"/>
      <c r="W762" s="189"/>
      <c r="X762" s="189"/>
      <c r="Y762" s="100"/>
      <c r="AA762" s="96"/>
      <c r="AB762" s="96"/>
      <c r="AC762" s="96"/>
      <c r="AD762" s="97"/>
      <c r="AE762" s="96"/>
      <c r="AF762" s="98"/>
      <c r="AG762" s="96"/>
      <c r="AH762" s="96"/>
      <c r="AI762" s="96"/>
      <c r="AJ762" s="96"/>
      <c r="AK762" s="96"/>
      <c r="AL762" s="96"/>
      <c r="AM762" s="96"/>
      <c r="AN762" s="96"/>
      <c r="AO762" s="96"/>
      <c r="AP762" s="96"/>
    </row>
    <row r="763" spans="2:42" ht="12.75">
      <c r="B763" s="186"/>
      <c r="C763" s="85"/>
      <c r="D763" s="85"/>
      <c r="E763" s="187"/>
      <c r="F763" s="187"/>
      <c r="G763" s="187"/>
      <c r="H763" s="187"/>
      <c r="I763" s="92"/>
      <c r="J763" s="92"/>
      <c r="K763" s="187"/>
      <c r="L763" s="187"/>
      <c r="M763" s="187"/>
      <c r="N763" s="187"/>
      <c r="O763" s="92"/>
      <c r="P763" s="187"/>
      <c r="Q763" s="187"/>
      <c r="R763" s="187"/>
      <c r="S763" s="187"/>
      <c r="T763" s="85"/>
      <c r="U763" s="189"/>
      <c r="V763" s="189"/>
      <c r="W763" s="189"/>
      <c r="X763" s="189"/>
      <c r="Y763" s="100"/>
      <c r="AA763" s="96"/>
      <c r="AB763" s="96"/>
      <c r="AC763" s="96"/>
      <c r="AD763" s="97"/>
      <c r="AE763" s="96"/>
      <c r="AF763" s="98"/>
      <c r="AG763" s="96"/>
      <c r="AH763" s="96"/>
      <c r="AI763" s="96"/>
      <c r="AJ763" s="96"/>
      <c r="AK763" s="96"/>
      <c r="AL763" s="96"/>
      <c r="AM763" s="96"/>
      <c r="AN763" s="96"/>
      <c r="AO763" s="96"/>
      <c r="AP763" s="96"/>
    </row>
    <row r="764" spans="2:42" ht="12.75">
      <c r="B764" s="186"/>
      <c r="C764" s="85"/>
      <c r="D764" s="85"/>
      <c r="E764" s="187"/>
      <c r="F764" s="187"/>
      <c r="G764" s="187"/>
      <c r="H764" s="187"/>
      <c r="I764" s="92"/>
      <c r="J764" s="92"/>
      <c r="K764" s="187"/>
      <c r="L764" s="187"/>
      <c r="M764" s="187"/>
      <c r="N764" s="187"/>
      <c r="O764" s="92"/>
      <c r="P764" s="187"/>
      <c r="Q764" s="187"/>
      <c r="R764" s="187"/>
      <c r="S764" s="187"/>
      <c r="T764" s="85"/>
      <c r="U764" s="189"/>
      <c r="V764" s="189"/>
      <c r="W764" s="189"/>
      <c r="X764" s="189"/>
      <c r="Y764" s="100"/>
      <c r="AA764" s="96"/>
      <c r="AB764" s="96"/>
      <c r="AC764" s="96"/>
      <c r="AD764" s="97"/>
      <c r="AE764" s="96"/>
      <c r="AF764" s="98"/>
      <c r="AG764" s="96"/>
      <c r="AH764" s="96"/>
      <c r="AI764" s="96"/>
      <c r="AJ764" s="96"/>
      <c r="AK764" s="96"/>
      <c r="AL764" s="96"/>
      <c r="AM764" s="96"/>
      <c r="AN764" s="96"/>
      <c r="AO764" s="96"/>
      <c r="AP764" s="96"/>
    </row>
    <row r="765" spans="2:42" ht="12.75">
      <c r="B765" s="186"/>
      <c r="C765" s="85"/>
      <c r="D765" s="85"/>
      <c r="E765" s="187"/>
      <c r="F765" s="187"/>
      <c r="G765" s="187"/>
      <c r="H765" s="187"/>
      <c r="I765" s="92"/>
      <c r="J765" s="92"/>
      <c r="K765" s="187"/>
      <c r="L765" s="187"/>
      <c r="M765" s="187"/>
      <c r="N765" s="187"/>
      <c r="O765" s="92"/>
      <c r="P765" s="187"/>
      <c r="Q765" s="187"/>
      <c r="R765" s="187"/>
      <c r="S765" s="187"/>
      <c r="T765" s="85"/>
      <c r="U765" s="189"/>
      <c r="V765" s="189"/>
      <c r="W765" s="189"/>
      <c r="X765" s="189"/>
      <c r="Y765" s="100"/>
      <c r="AA765" s="96"/>
      <c r="AB765" s="96"/>
      <c r="AC765" s="96"/>
      <c r="AD765" s="97"/>
      <c r="AE765" s="96"/>
      <c r="AF765" s="98"/>
      <c r="AG765" s="96"/>
      <c r="AH765" s="96"/>
      <c r="AI765" s="96"/>
      <c r="AJ765" s="96"/>
      <c r="AK765" s="96"/>
      <c r="AL765" s="96"/>
      <c r="AM765" s="96"/>
      <c r="AN765" s="96"/>
      <c r="AO765" s="96"/>
      <c r="AP765" s="96"/>
    </row>
    <row r="766" spans="2:42" ht="12.75">
      <c r="B766" s="186"/>
      <c r="C766" s="85"/>
      <c r="D766" s="85"/>
      <c r="E766" s="187"/>
      <c r="F766" s="187"/>
      <c r="G766" s="187"/>
      <c r="H766" s="187"/>
      <c r="I766" s="92"/>
      <c r="J766" s="92"/>
      <c r="K766" s="187"/>
      <c r="L766" s="187"/>
      <c r="M766" s="187"/>
      <c r="N766" s="187"/>
      <c r="O766" s="92"/>
      <c r="P766" s="187"/>
      <c r="Q766" s="187"/>
      <c r="R766" s="187"/>
      <c r="S766" s="187"/>
      <c r="T766" s="85"/>
      <c r="U766" s="189"/>
      <c r="V766" s="189"/>
      <c r="W766" s="189"/>
      <c r="X766" s="189"/>
      <c r="Y766" s="100"/>
      <c r="AA766" s="96"/>
      <c r="AB766" s="96"/>
      <c r="AC766" s="96"/>
      <c r="AD766" s="97"/>
      <c r="AE766" s="96"/>
      <c r="AF766" s="98"/>
      <c r="AG766" s="96"/>
      <c r="AH766" s="96"/>
      <c r="AI766" s="96"/>
      <c r="AJ766" s="96"/>
      <c r="AK766" s="96"/>
      <c r="AL766" s="96"/>
      <c r="AM766" s="96"/>
      <c r="AN766" s="96"/>
      <c r="AO766" s="96"/>
      <c r="AP766" s="96"/>
    </row>
    <row r="767" spans="2:42" ht="12.75">
      <c r="B767" s="186"/>
      <c r="C767" s="85"/>
      <c r="D767" s="85"/>
      <c r="E767" s="187"/>
      <c r="F767" s="187"/>
      <c r="G767" s="187"/>
      <c r="H767" s="187"/>
      <c r="I767" s="92"/>
      <c r="J767" s="92"/>
      <c r="K767" s="187"/>
      <c r="L767" s="187"/>
      <c r="M767" s="187"/>
      <c r="N767" s="187"/>
      <c r="O767" s="92"/>
      <c r="P767" s="187"/>
      <c r="Q767" s="187"/>
      <c r="R767" s="187"/>
      <c r="S767" s="187"/>
      <c r="T767" s="85"/>
      <c r="U767" s="189"/>
      <c r="V767" s="189"/>
      <c r="W767" s="189"/>
      <c r="X767" s="189"/>
      <c r="Y767" s="100"/>
      <c r="AA767" s="96"/>
      <c r="AB767" s="96"/>
      <c r="AC767" s="96"/>
      <c r="AD767" s="97"/>
      <c r="AE767" s="96"/>
      <c r="AF767" s="98"/>
      <c r="AG767" s="96"/>
      <c r="AH767" s="96"/>
      <c r="AI767" s="96"/>
      <c r="AJ767" s="96"/>
      <c r="AK767" s="96"/>
      <c r="AL767" s="96"/>
      <c r="AM767" s="96"/>
      <c r="AN767" s="96"/>
      <c r="AO767" s="96"/>
      <c r="AP767" s="96"/>
    </row>
    <row r="768" spans="2:42" ht="12.75">
      <c r="B768" s="186"/>
      <c r="C768" s="85"/>
      <c r="D768" s="85"/>
      <c r="E768" s="187"/>
      <c r="F768" s="187"/>
      <c r="G768" s="187"/>
      <c r="H768" s="187"/>
      <c r="I768" s="92"/>
      <c r="J768" s="92"/>
      <c r="K768" s="187"/>
      <c r="L768" s="187"/>
      <c r="M768" s="187"/>
      <c r="N768" s="187"/>
      <c r="O768" s="92"/>
      <c r="P768" s="187"/>
      <c r="Q768" s="187"/>
      <c r="R768" s="187"/>
      <c r="S768" s="187"/>
      <c r="T768" s="85"/>
      <c r="U768" s="189"/>
      <c r="V768" s="189"/>
      <c r="W768" s="189"/>
      <c r="X768" s="189"/>
      <c r="Y768" s="100"/>
      <c r="AA768" s="96"/>
      <c r="AB768" s="96"/>
      <c r="AC768" s="96"/>
      <c r="AD768" s="97"/>
      <c r="AE768" s="96"/>
      <c r="AF768" s="98"/>
      <c r="AG768" s="96"/>
      <c r="AH768" s="96"/>
      <c r="AI768" s="96"/>
      <c r="AJ768" s="96"/>
      <c r="AK768" s="96"/>
      <c r="AL768" s="96"/>
      <c r="AM768" s="96"/>
      <c r="AN768" s="96"/>
      <c r="AO768" s="96"/>
      <c r="AP768" s="96"/>
    </row>
    <row r="769" spans="2:42" ht="12.75">
      <c r="B769" s="186"/>
      <c r="C769" s="85"/>
      <c r="D769" s="85"/>
      <c r="E769" s="187"/>
      <c r="F769" s="187"/>
      <c r="G769" s="187"/>
      <c r="H769" s="187"/>
      <c r="I769" s="92"/>
      <c r="J769" s="92"/>
      <c r="K769" s="187"/>
      <c r="L769" s="187"/>
      <c r="M769" s="187"/>
      <c r="N769" s="187"/>
      <c r="O769" s="92"/>
      <c r="P769" s="187"/>
      <c r="Q769" s="187"/>
      <c r="R769" s="187"/>
      <c r="S769" s="187"/>
      <c r="T769" s="85"/>
      <c r="U769" s="189"/>
      <c r="V769" s="189"/>
      <c r="W769" s="189"/>
      <c r="X769" s="189"/>
      <c r="Y769" s="100"/>
      <c r="AA769" s="96"/>
      <c r="AB769" s="96"/>
      <c r="AC769" s="96"/>
      <c r="AD769" s="97"/>
      <c r="AE769" s="96"/>
      <c r="AF769" s="98"/>
      <c r="AG769" s="96"/>
      <c r="AH769" s="96"/>
      <c r="AI769" s="96"/>
      <c r="AJ769" s="96"/>
      <c r="AK769" s="96"/>
      <c r="AL769" s="96"/>
      <c r="AM769" s="96"/>
      <c r="AN769" s="96"/>
      <c r="AO769" s="96"/>
      <c r="AP769" s="96"/>
    </row>
    <row r="770" spans="2:42" ht="12.75">
      <c r="B770" s="186"/>
      <c r="C770" s="85"/>
      <c r="D770" s="85"/>
      <c r="E770" s="187"/>
      <c r="F770" s="187"/>
      <c r="G770" s="187"/>
      <c r="H770" s="187"/>
      <c r="I770" s="92"/>
      <c r="J770" s="92"/>
      <c r="K770" s="187"/>
      <c r="L770" s="187"/>
      <c r="M770" s="187"/>
      <c r="N770" s="187"/>
      <c r="O770" s="92"/>
      <c r="P770" s="187"/>
      <c r="Q770" s="187"/>
      <c r="R770" s="187"/>
      <c r="S770" s="187"/>
      <c r="T770" s="85"/>
      <c r="U770" s="189"/>
      <c r="V770" s="189"/>
      <c r="W770" s="189"/>
      <c r="X770" s="189"/>
      <c r="Y770" s="100"/>
      <c r="AA770" s="96"/>
      <c r="AB770" s="96"/>
      <c r="AC770" s="96"/>
      <c r="AD770" s="97"/>
      <c r="AE770" s="96"/>
      <c r="AF770" s="98"/>
      <c r="AG770" s="96"/>
      <c r="AH770" s="96"/>
      <c r="AI770" s="96"/>
      <c r="AJ770" s="96"/>
      <c r="AK770" s="96"/>
      <c r="AL770" s="96"/>
      <c r="AM770" s="96"/>
      <c r="AN770" s="96"/>
      <c r="AO770" s="96"/>
      <c r="AP770" s="96"/>
    </row>
    <row r="771" spans="2:42" ht="12.75">
      <c r="B771" s="186"/>
      <c r="C771" s="85"/>
      <c r="D771" s="85"/>
      <c r="E771" s="187"/>
      <c r="F771" s="187"/>
      <c r="G771" s="187"/>
      <c r="H771" s="187"/>
      <c r="I771" s="92"/>
      <c r="J771" s="92"/>
      <c r="K771" s="187"/>
      <c r="L771" s="187"/>
      <c r="M771" s="187"/>
      <c r="N771" s="187"/>
      <c r="O771" s="92"/>
      <c r="P771" s="187"/>
      <c r="Q771" s="187"/>
      <c r="R771" s="187"/>
      <c r="S771" s="187"/>
      <c r="T771" s="85"/>
      <c r="U771" s="189"/>
      <c r="V771" s="189"/>
      <c r="W771" s="189"/>
      <c r="X771" s="189"/>
      <c r="Y771" s="100"/>
      <c r="AA771" s="96"/>
      <c r="AB771" s="96"/>
      <c r="AC771" s="96"/>
      <c r="AD771" s="97"/>
      <c r="AE771" s="96"/>
      <c r="AF771" s="98"/>
      <c r="AG771" s="96"/>
      <c r="AH771" s="96"/>
      <c r="AI771" s="96"/>
      <c r="AJ771" s="96"/>
      <c r="AK771" s="96"/>
      <c r="AL771" s="96"/>
      <c r="AM771" s="96"/>
      <c r="AN771" s="96"/>
      <c r="AO771" s="96"/>
      <c r="AP771" s="96"/>
    </row>
    <row r="772" spans="2:42" ht="12.75">
      <c r="B772" s="186"/>
      <c r="C772" s="85"/>
      <c r="D772" s="85"/>
      <c r="E772" s="187"/>
      <c r="F772" s="187"/>
      <c r="G772" s="187"/>
      <c r="H772" s="187"/>
      <c r="I772" s="92"/>
      <c r="J772" s="92"/>
      <c r="K772" s="187"/>
      <c r="L772" s="187"/>
      <c r="M772" s="187"/>
      <c r="N772" s="187"/>
      <c r="O772" s="92"/>
      <c r="P772" s="187"/>
      <c r="Q772" s="187"/>
      <c r="R772" s="187"/>
      <c r="S772" s="187"/>
      <c r="T772" s="85"/>
      <c r="U772" s="189"/>
      <c r="V772" s="189"/>
      <c r="W772" s="189"/>
      <c r="X772" s="189"/>
      <c r="Y772" s="100"/>
      <c r="AA772" s="96"/>
      <c r="AB772" s="96"/>
      <c r="AC772" s="96"/>
      <c r="AD772" s="97"/>
      <c r="AE772" s="96"/>
      <c r="AF772" s="98"/>
      <c r="AG772" s="96"/>
      <c r="AH772" s="96"/>
      <c r="AI772" s="96"/>
      <c r="AJ772" s="96"/>
      <c r="AK772" s="96"/>
      <c r="AL772" s="96"/>
      <c r="AM772" s="96"/>
      <c r="AN772" s="96"/>
      <c r="AO772" s="96"/>
      <c r="AP772" s="96"/>
    </row>
    <row r="773" spans="2:42" ht="12.75">
      <c r="B773" s="186"/>
      <c r="C773" s="85"/>
      <c r="D773" s="85"/>
      <c r="E773" s="187"/>
      <c r="F773" s="187"/>
      <c r="G773" s="187"/>
      <c r="H773" s="187"/>
      <c r="I773" s="92"/>
      <c r="J773" s="92"/>
      <c r="K773" s="187"/>
      <c r="L773" s="187"/>
      <c r="M773" s="187"/>
      <c r="N773" s="187"/>
      <c r="O773" s="92"/>
      <c r="P773" s="187"/>
      <c r="Q773" s="187"/>
      <c r="R773" s="187"/>
      <c r="S773" s="187"/>
      <c r="T773" s="85"/>
      <c r="U773" s="189"/>
      <c r="V773" s="189"/>
      <c r="W773" s="189"/>
      <c r="X773" s="189"/>
      <c r="Y773" s="100"/>
      <c r="AA773" s="96"/>
      <c r="AB773" s="96"/>
      <c r="AC773" s="96"/>
      <c r="AD773" s="97"/>
      <c r="AE773" s="96"/>
      <c r="AF773" s="98"/>
      <c r="AG773" s="96"/>
      <c r="AH773" s="96"/>
      <c r="AI773" s="96"/>
      <c r="AJ773" s="96"/>
      <c r="AK773" s="96"/>
      <c r="AL773" s="96"/>
      <c r="AM773" s="96"/>
      <c r="AN773" s="96"/>
      <c r="AO773" s="96"/>
      <c r="AP773" s="96"/>
    </row>
    <row r="774" spans="2:42" ht="12.75">
      <c r="B774" s="186"/>
      <c r="C774" s="85"/>
      <c r="D774" s="85"/>
      <c r="E774" s="187"/>
      <c r="F774" s="187"/>
      <c r="G774" s="187"/>
      <c r="H774" s="187"/>
      <c r="I774" s="92"/>
      <c r="J774" s="92"/>
      <c r="K774" s="187"/>
      <c r="L774" s="187"/>
      <c r="M774" s="187"/>
      <c r="N774" s="187"/>
      <c r="O774" s="92"/>
      <c r="P774" s="187"/>
      <c r="Q774" s="187"/>
      <c r="R774" s="187"/>
      <c r="S774" s="187"/>
      <c r="T774" s="85"/>
      <c r="U774" s="189"/>
      <c r="V774" s="189"/>
      <c r="W774" s="189"/>
      <c r="X774" s="189"/>
      <c r="Y774" s="100"/>
      <c r="AA774" s="96"/>
      <c r="AB774" s="96"/>
      <c r="AC774" s="96"/>
      <c r="AD774" s="97"/>
      <c r="AE774" s="96"/>
      <c r="AF774" s="98"/>
      <c r="AG774" s="96"/>
      <c r="AH774" s="96"/>
      <c r="AI774" s="96"/>
      <c r="AJ774" s="96"/>
      <c r="AK774" s="96"/>
      <c r="AL774" s="96"/>
      <c r="AM774" s="96"/>
      <c r="AN774" s="96"/>
      <c r="AO774" s="96"/>
      <c r="AP774" s="96"/>
    </row>
    <row r="775" spans="2:42" ht="12.75">
      <c r="B775" s="186"/>
      <c r="C775" s="85"/>
      <c r="D775" s="85"/>
      <c r="E775" s="187"/>
      <c r="F775" s="187"/>
      <c r="G775" s="187"/>
      <c r="H775" s="187"/>
      <c r="I775" s="92"/>
      <c r="J775" s="92"/>
      <c r="K775" s="187"/>
      <c r="L775" s="187"/>
      <c r="M775" s="187"/>
      <c r="N775" s="187"/>
      <c r="O775" s="92"/>
      <c r="P775" s="187"/>
      <c r="Q775" s="187"/>
      <c r="R775" s="187"/>
      <c r="S775" s="187"/>
      <c r="T775" s="85"/>
      <c r="U775" s="189"/>
      <c r="V775" s="189"/>
      <c r="W775" s="189"/>
      <c r="X775" s="189"/>
      <c r="Y775" s="100"/>
      <c r="AA775" s="96"/>
      <c r="AB775" s="96"/>
      <c r="AC775" s="96"/>
      <c r="AD775" s="97"/>
      <c r="AE775" s="96"/>
      <c r="AF775" s="98"/>
      <c r="AG775" s="96"/>
      <c r="AH775" s="96"/>
      <c r="AI775" s="96"/>
      <c r="AJ775" s="96"/>
      <c r="AK775" s="96"/>
      <c r="AL775" s="96"/>
      <c r="AM775" s="96"/>
      <c r="AN775" s="96"/>
      <c r="AO775" s="96"/>
      <c r="AP775" s="96"/>
    </row>
    <row r="776" spans="2:42" ht="12.75">
      <c r="B776" s="186"/>
      <c r="C776" s="85"/>
      <c r="D776" s="85"/>
      <c r="E776" s="187"/>
      <c r="F776" s="187"/>
      <c r="G776" s="187"/>
      <c r="H776" s="187"/>
      <c r="I776" s="92"/>
      <c r="J776" s="92"/>
      <c r="K776" s="187"/>
      <c r="L776" s="187"/>
      <c r="M776" s="187"/>
      <c r="N776" s="187"/>
      <c r="O776" s="92"/>
      <c r="P776" s="187"/>
      <c r="Q776" s="187"/>
      <c r="R776" s="187"/>
      <c r="S776" s="187"/>
      <c r="T776" s="85"/>
      <c r="U776" s="189"/>
      <c r="V776" s="189"/>
      <c r="W776" s="189"/>
      <c r="X776" s="189"/>
      <c r="Y776" s="100"/>
      <c r="AA776" s="96"/>
      <c r="AB776" s="96"/>
      <c r="AC776" s="96"/>
      <c r="AD776" s="97"/>
      <c r="AE776" s="96"/>
      <c r="AF776" s="98"/>
      <c r="AG776" s="96"/>
      <c r="AH776" s="96"/>
      <c r="AI776" s="96"/>
      <c r="AJ776" s="96"/>
      <c r="AK776" s="96"/>
      <c r="AL776" s="96"/>
      <c r="AM776" s="96"/>
      <c r="AN776" s="96"/>
      <c r="AO776" s="96"/>
      <c r="AP776" s="96"/>
    </row>
    <row r="777" spans="2:42" ht="12.75">
      <c r="B777" s="186"/>
      <c r="C777" s="85"/>
      <c r="D777" s="85"/>
      <c r="E777" s="187"/>
      <c r="F777" s="187"/>
      <c r="G777" s="187"/>
      <c r="H777" s="187"/>
      <c r="I777" s="92"/>
      <c r="J777" s="92"/>
      <c r="K777" s="187"/>
      <c r="L777" s="187"/>
      <c r="M777" s="187"/>
      <c r="N777" s="187"/>
      <c r="O777" s="92"/>
      <c r="P777" s="187"/>
      <c r="Q777" s="187"/>
      <c r="R777" s="187"/>
      <c r="S777" s="187"/>
      <c r="T777" s="85"/>
      <c r="U777" s="189"/>
      <c r="V777" s="189"/>
      <c r="W777" s="189"/>
      <c r="X777" s="189"/>
      <c r="Y777" s="100"/>
      <c r="AA777" s="96"/>
      <c r="AB777" s="96"/>
      <c r="AC777" s="96"/>
      <c r="AD777" s="97"/>
      <c r="AE777" s="96"/>
      <c r="AF777" s="98"/>
      <c r="AG777" s="96"/>
      <c r="AH777" s="96"/>
      <c r="AI777" s="96"/>
      <c r="AJ777" s="96"/>
      <c r="AK777" s="96"/>
      <c r="AL777" s="96"/>
      <c r="AM777" s="96"/>
      <c r="AN777" s="96"/>
      <c r="AO777" s="96"/>
      <c r="AP777" s="96"/>
    </row>
    <row r="778" spans="2:42" ht="12.75">
      <c r="B778" s="186"/>
      <c r="C778" s="85"/>
      <c r="D778" s="85"/>
      <c r="E778" s="187"/>
      <c r="F778" s="187"/>
      <c r="G778" s="187"/>
      <c r="H778" s="187"/>
      <c r="I778" s="92"/>
      <c r="J778" s="92"/>
      <c r="K778" s="187"/>
      <c r="L778" s="187"/>
      <c r="M778" s="187"/>
      <c r="N778" s="187"/>
      <c r="O778" s="92"/>
      <c r="P778" s="187"/>
      <c r="Q778" s="187"/>
      <c r="R778" s="187"/>
      <c r="S778" s="187"/>
      <c r="T778" s="85"/>
      <c r="U778" s="189"/>
      <c r="V778" s="189"/>
      <c r="W778" s="189"/>
      <c r="X778" s="189"/>
      <c r="Y778" s="100"/>
      <c r="AA778" s="96"/>
      <c r="AB778" s="96"/>
      <c r="AC778" s="96"/>
      <c r="AD778" s="97"/>
      <c r="AE778" s="96"/>
      <c r="AF778" s="98"/>
      <c r="AG778" s="96"/>
      <c r="AH778" s="96"/>
      <c r="AI778" s="96"/>
      <c r="AJ778" s="96"/>
      <c r="AK778" s="96"/>
      <c r="AL778" s="96"/>
      <c r="AM778" s="96"/>
      <c r="AN778" s="96"/>
      <c r="AO778" s="96"/>
      <c r="AP778" s="96"/>
    </row>
    <row r="779" spans="2:42" ht="12.75">
      <c r="B779" s="186"/>
      <c r="C779" s="85"/>
      <c r="D779" s="85"/>
      <c r="E779" s="187"/>
      <c r="F779" s="187"/>
      <c r="G779" s="187"/>
      <c r="H779" s="187"/>
      <c r="I779" s="92"/>
      <c r="J779" s="92"/>
      <c r="K779" s="187"/>
      <c r="L779" s="187"/>
      <c r="M779" s="187"/>
      <c r="N779" s="187"/>
      <c r="O779" s="92"/>
      <c r="P779" s="187"/>
      <c r="Q779" s="187"/>
      <c r="R779" s="187"/>
      <c r="S779" s="187"/>
      <c r="T779" s="85"/>
      <c r="U779" s="189"/>
      <c r="V779" s="189"/>
      <c r="W779" s="189"/>
      <c r="X779" s="189"/>
      <c r="Y779" s="100"/>
      <c r="AA779" s="96"/>
      <c r="AB779" s="96"/>
      <c r="AC779" s="96"/>
      <c r="AD779" s="97"/>
      <c r="AE779" s="96"/>
      <c r="AF779" s="98"/>
      <c r="AG779" s="96"/>
      <c r="AH779" s="96"/>
      <c r="AI779" s="96"/>
      <c r="AJ779" s="96"/>
      <c r="AK779" s="96"/>
      <c r="AL779" s="96"/>
      <c r="AM779" s="96"/>
      <c r="AN779" s="96"/>
      <c r="AO779" s="96"/>
      <c r="AP779" s="96"/>
    </row>
    <row r="780" spans="2:42" ht="12.75">
      <c r="B780" s="186"/>
      <c r="C780" s="85"/>
      <c r="D780" s="85"/>
      <c r="E780" s="187"/>
      <c r="F780" s="187"/>
      <c r="G780" s="187"/>
      <c r="H780" s="187"/>
      <c r="I780" s="92"/>
      <c r="J780" s="92"/>
      <c r="K780" s="187"/>
      <c r="L780" s="187"/>
      <c r="M780" s="187"/>
      <c r="N780" s="187"/>
      <c r="O780" s="92"/>
      <c r="P780" s="187"/>
      <c r="Q780" s="187"/>
      <c r="R780" s="187"/>
      <c r="S780" s="187"/>
      <c r="T780" s="85"/>
      <c r="U780" s="189"/>
      <c r="V780" s="189"/>
      <c r="W780" s="189"/>
      <c r="X780" s="189"/>
      <c r="Y780" s="100"/>
      <c r="AA780" s="96"/>
      <c r="AB780" s="96"/>
      <c r="AC780" s="96"/>
      <c r="AD780" s="97"/>
      <c r="AE780" s="96"/>
      <c r="AF780" s="98"/>
      <c r="AG780" s="96"/>
      <c r="AH780" s="96"/>
      <c r="AI780" s="96"/>
      <c r="AJ780" s="96"/>
      <c r="AK780" s="96"/>
      <c r="AL780" s="96"/>
      <c r="AM780" s="96"/>
      <c r="AN780" s="96"/>
      <c r="AO780" s="96"/>
      <c r="AP780" s="96"/>
    </row>
    <row r="781" spans="2:42" ht="12.75">
      <c r="B781" s="186"/>
      <c r="C781" s="85"/>
      <c r="D781" s="85"/>
      <c r="E781" s="187"/>
      <c r="F781" s="187"/>
      <c r="G781" s="187"/>
      <c r="H781" s="187"/>
      <c r="I781" s="92"/>
      <c r="J781" s="92"/>
      <c r="K781" s="187"/>
      <c r="L781" s="187"/>
      <c r="M781" s="187"/>
      <c r="N781" s="187"/>
      <c r="O781" s="92"/>
      <c r="P781" s="187"/>
      <c r="Q781" s="187"/>
      <c r="R781" s="187"/>
      <c r="S781" s="187"/>
      <c r="T781" s="85"/>
      <c r="U781" s="189"/>
      <c r="V781" s="189"/>
      <c r="W781" s="189"/>
      <c r="X781" s="189"/>
      <c r="Y781" s="100"/>
      <c r="AA781" s="96"/>
      <c r="AB781" s="96"/>
      <c r="AC781" s="96"/>
      <c r="AD781" s="97"/>
      <c r="AE781" s="96"/>
      <c r="AF781" s="98"/>
      <c r="AG781" s="96"/>
      <c r="AH781" s="96"/>
      <c r="AI781" s="96"/>
      <c r="AJ781" s="96"/>
      <c r="AK781" s="96"/>
      <c r="AL781" s="96"/>
      <c r="AM781" s="96"/>
      <c r="AN781" s="96"/>
      <c r="AO781" s="96"/>
      <c r="AP781" s="96"/>
    </row>
    <row r="782" spans="2:42" ht="12.75">
      <c r="B782" s="186"/>
      <c r="C782" s="85"/>
      <c r="D782" s="85"/>
      <c r="E782" s="187"/>
      <c r="F782" s="187"/>
      <c r="G782" s="187"/>
      <c r="H782" s="187"/>
      <c r="I782" s="92"/>
      <c r="J782" s="92"/>
      <c r="K782" s="187"/>
      <c r="L782" s="187"/>
      <c r="M782" s="187"/>
      <c r="N782" s="187"/>
      <c r="O782" s="92"/>
      <c r="P782" s="187"/>
      <c r="Q782" s="187"/>
      <c r="R782" s="187"/>
      <c r="S782" s="187"/>
      <c r="T782" s="85"/>
      <c r="U782" s="189"/>
      <c r="V782" s="189"/>
      <c r="W782" s="189"/>
      <c r="X782" s="189"/>
      <c r="Y782" s="100"/>
      <c r="AA782" s="96"/>
      <c r="AB782" s="96"/>
      <c r="AC782" s="96"/>
      <c r="AD782" s="97"/>
      <c r="AE782" s="96"/>
      <c r="AF782" s="98"/>
      <c r="AG782" s="96"/>
      <c r="AH782" s="96"/>
      <c r="AI782" s="96"/>
      <c r="AJ782" s="96"/>
      <c r="AK782" s="96"/>
      <c r="AL782" s="96"/>
      <c r="AM782" s="96"/>
      <c r="AN782" s="96"/>
      <c r="AO782" s="96"/>
      <c r="AP782" s="96"/>
    </row>
    <row r="783" spans="2:42" ht="12.75">
      <c r="B783" s="186"/>
      <c r="C783" s="85"/>
      <c r="D783" s="85"/>
      <c r="E783" s="187"/>
      <c r="F783" s="187"/>
      <c r="G783" s="187"/>
      <c r="H783" s="187"/>
      <c r="I783" s="92"/>
      <c r="J783" s="92"/>
      <c r="K783" s="187"/>
      <c r="L783" s="187"/>
      <c r="M783" s="187"/>
      <c r="N783" s="187"/>
      <c r="O783" s="92"/>
      <c r="P783" s="187"/>
      <c r="Q783" s="187"/>
      <c r="R783" s="187"/>
      <c r="S783" s="187"/>
      <c r="T783" s="85"/>
      <c r="U783" s="189"/>
      <c r="V783" s="189"/>
      <c r="W783" s="189"/>
      <c r="X783" s="189"/>
      <c r="Y783" s="100"/>
      <c r="AA783" s="96"/>
      <c r="AB783" s="96"/>
      <c r="AC783" s="96"/>
      <c r="AD783" s="97"/>
      <c r="AE783" s="96"/>
      <c r="AF783" s="98"/>
      <c r="AG783" s="96"/>
      <c r="AH783" s="96"/>
      <c r="AI783" s="96"/>
      <c r="AJ783" s="96"/>
      <c r="AK783" s="96"/>
      <c r="AL783" s="96"/>
      <c r="AM783" s="96"/>
      <c r="AN783" s="96"/>
      <c r="AO783" s="96"/>
      <c r="AP783" s="96"/>
    </row>
    <row r="784" spans="2:42" ht="12.75">
      <c r="B784" s="186"/>
      <c r="C784" s="85"/>
      <c r="D784" s="85"/>
      <c r="E784" s="187"/>
      <c r="F784" s="187"/>
      <c r="G784" s="187"/>
      <c r="H784" s="187"/>
      <c r="I784" s="92"/>
      <c r="J784" s="92"/>
      <c r="K784" s="187"/>
      <c r="L784" s="187"/>
      <c r="M784" s="187"/>
      <c r="N784" s="187"/>
      <c r="O784" s="92"/>
      <c r="P784" s="187"/>
      <c r="Q784" s="187"/>
      <c r="R784" s="187"/>
      <c r="S784" s="187"/>
      <c r="T784" s="85"/>
      <c r="U784" s="189"/>
      <c r="V784" s="189"/>
      <c r="W784" s="189"/>
      <c r="X784" s="189"/>
      <c r="Y784" s="100"/>
      <c r="AA784" s="96"/>
      <c r="AB784" s="96"/>
      <c r="AC784" s="96"/>
      <c r="AD784" s="97"/>
      <c r="AE784" s="96"/>
      <c r="AF784" s="98"/>
      <c r="AG784" s="96"/>
      <c r="AH784" s="96"/>
      <c r="AI784" s="96"/>
      <c r="AJ784" s="96"/>
      <c r="AK784" s="96"/>
      <c r="AL784" s="96"/>
      <c r="AM784" s="96"/>
      <c r="AN784" s="96"/>
      <c r="AO784" s="96"/>
      <c r="AP784" s="96"/>
    </row>
    <row r="785" spans="2:42" ht="12.75">
      <c r="B785" s="186"/>
      <c r="C785" s="85"/>
      <c r="D785" s="85"/>
      <c r="E785" s="187"/>
      <c r="F785" s="187"/>
      <c r="G785" s="187"/>
      <c r="H785" s="187"/>
      <c r="I785" s="92"/>
      <c r="J785" s="92"/>
      <c r="K785" s="187"/>
      <c r="L785" s="187"/>
      <c r="M785" s="187"/>
      <c r="N785" s="187"/>
      <c r="O785" s="92"/>
      <c r="P785" s="187"/>
      <c r="Q785" s="187"/>
      <c r="R785" s="187"/>
      <c r="S785" s="187"/>
      <c r="T785" s="85"/>
      <c r="U785" s="189"/>
      <c r="V785" s="189"/>
      <c r="W785" s="189"/>
      <c r="X785" s="189"/>
      <c r="Y785" s="100"/>
      <c r="AA785" s="96"/>
      <c r="AB785" s="96"/>
      <c r="AC785" s="96"/>
      <c r="AD785" s="97"/>
      <c r="AE785" s="96"/>
      <c r="AF785" s="98"/>
      <c r="AG785" s="96"/>
      <c r="AH785" s="96"/>
      <c r="AI785" s="96"/>
      <c r="AJ785" s="96"/>
      <c r="AK785" s="96"/>
      <c r="AL785" s="96"/>
      <c r="AM785" s="96"/>
      <c r="AN785" s="96"/>
      <c r="AO785" s="96"/>
      <c r="AP785" s="96"/>
    </row>
    <row r="786" spans="2:42" ht="12.75">
      <c r="B786" s="186"/>
      <c r="C786" s="85"/>
      <c r="D786" s="85"/>
      <c r="E786" s="187"/>
      <c r="F786" s="187"/>
      <c r="G786" s="187"/>
      <c r="H786" s="187"/>
      <c r="I786" s="92"/>
      <c r="J786" s="92"/>
      <c r="K786" s="187"/>
      <c r="L786" s="187"/>
      <c r="M786" s="187"/>
      <c r="N786" s="187"/>
      <c r="O786" s="92"/>
      <c r="P786" s="187"/>
      <c r="Q786" s="187"/>
      <c r="R786" s="187"/>
      <c r="S786" s="187"/>
      <c r="T786" s="85"/>
      <c r="U786" s="189"/>
      <c r="V786" s="189"/>
      <c r="W786" s="189"/>
      <c r="X786" s="189"/>
      <c r="Y786" s="100"/>
      <c r="AA786" s="96"/>
      <c r="AB786" s="96"/>
      <c r="AC786" s="96"/>
      <c r="AD786" s="97"/>
      <c r="AE786" s="96"/>
      <c r="AF786" s="98"/>
      <c r="AG786" s="96"/>
      <c r="AH786" s="96"/>
      <c r="AI786" s="96"/>
      <c r="AJ786" s="96"/>
      <c r="AK786" s="96"/>
      <c r="AL786" s="96"/>
      <c r="AM786" s="96"/>
      <c r="AN786" s="96"/>
      <c r="AO786" s="96"/>
      <c r="AP786" s="96"/>
    </row>
    <row r="787" spans="2:42" ht="12.75">
      <c r="B787" s="186"/>
      <c r="C787" s="85"/>
      <c r="D787" s="85"/>
      <c r="E787" s="187"/>
      <c r="F787" s="187"/>
      <c r="G787" s="187"/>
      <c r="H787" s="187"/>
      <c r="I787" s="92"/>
      <c r="J787" s="92"/>
      <c r="K787" s="187"/>
      <c r="L787" s="187"/>
      <c r="M787" s="187"/>
      <c r="N787" s="187"/>
      <c r="O787" s="92"/>
      <c r="P787" s="187"/>
      <c r="Q787" s="187"/>
      <c r="R787" s="187"/>
      <c r="S787" s="187"/>
      <c r="T787" s="85"/>
      <c r="U787" s="189"/>
      <c r="V787" s="189"/>
      <c r="W787" s="189"/>
      <c r="X787" s="189"/>
      <c r="Y787" s="100"/>
      <c r="AA787" s="96"/>
      <c r="AB787" s="96"/>
      <c r="AC787" s="96"/>
      <c r="AD787" s="97"/>
      <c r="AE787" s="96"/>
      <c r="AF787" s="98"/>
      <c r="AG787" s="96"/>
      <c r="AH787" s="96"/>
      <c r="AI787" s="96"/>
      <c r="AJ787" s="96"/>
      <c r="AK787" s="96"/>
      <c r="AL787" s="96"/>
      <c r="AM787" s="96"/>
      <c r="AN787" s="96"/>
      <c r="AO787" s="96"/>
      <c r="AP787" s="96"/>
    </row>
    <row r="788" spans="2:42" ht="12.75">
      <c r="B788" s="186"/>
      <c r="C788" s="85"/>
      <c r="D788" s="85"/>
      <c r="E788" s="187"/>
      <c r="F788" s="187"/>
      <c r="G788" s="187"/>
      <c r="H788" s="187"/>
      <c r="I788" s="92"/>
      <c r="J788" s="92"/>
      <c r="K788" s="187"/>
      <c r="L788" s="187"/>
      <c r="M788" s="187"/>
      <c r="N788" s="187"/>
      <c r="O788" s="92"/>
      <c r="P788" s="187"/>
      <c r="Q788" s="187"/>
      <c r="R788" s="187"/>
      <c r="S788" s="187"/>
      <c r="T788" s="85"/>
      <c r="U788" s="189"/>
      <c r="V788" s="189"/>
      <c r="W788" s="189"/>
      <c r="X788" s="189"/>
      <c r="Y788" s="100"/>
      <c r="AA788" s="96"/>
      <c r="AB788" s="96"/>
      <c r="AC788" s="96"/>
      <c r="AD788" s="97"/>
      <c r="AE788" s="96"/>
      <c r="AF788" s="98"/>
      <c r="AG788" s="96"/>
      <c r="AH788" s="96"/>
      <c r="AI788" s="96"/>
      <c r="AJ788" s="96"/>
      <c r="AK788" s="96"/>
      <c r="AL788" s="96"/>
      <c r="AM788" s="96"/>
      <c r="AN788" s="96"/>
      <c r="AO788" s="96"/>
      <c r="AP788" s="96"/>
    </row>
    <row r="789" spans="2:42" ht="12.75">
      <c r="B789" s="186"/>
      <c r="C789" s="85"/>
      <c r="D789" s="85"/>
      <c r="E789" s="187"/>
      <c r="F789" s="187"/>
      <c r="G789" s="187"/>
      <c r="H789" s="187"/>
      <c r="I789" s="92"/>
      <c r="J789" s="92"/>
      <c r="K789" s="187"/>
      <c r="L789" s="187"/>
      <c r="M789" s="187"/>
      <c r="N789" s="187"/>
      <c r="O789" s="92"/>
      <c r="P789" s="187"/>
      <c r="Q789" s="187"/>
      <c r="R789" s="187"/>
      <c r="S789" s="187"/>
      <c r="T789" s="85"/>
      <c r="U789" s="189"/>
      <c r="V789" s="189"/>
      <c r="W789" s="189"/>
      <c r="X789" s="189"/>
      <c r="Y789" s="100"/>
      <c r="AA789" s="96"/>
      <c r="AB789" s="96"/>
      <c r="AC789" s="96"/>
      <c r="AD789" s="97"/>
      <c r="AE789" s="96"/>
      <c r="AF789" s="98"/>
      <c r="AG789" s="96"/>
      <c r="AH789" s="96"/>
      <c r="AI789" s="96"/>
      <c r="AJ789" s="96"/>
      <c r="AK789" s="96"/>
      <c r="AL789" s="96"/>
      <c r="AM789" s="96"/>
      <c r="AN789" s="96"/>
      <c r="AO789" s="96"/>
      <c r="AP789" s="96"/>
    </row>
    <row r="790" spans="2:42" ht="12.75">
      <c r="B790" s="186"/>
      <c r="C790" s="85"/>
      <c r="D790" s="85"/>
      <c r="E790" s="187"/>
      <c r="F790" s="187"/>
      <c r="G790" s="187"/>
      <c r="H790" s="187"/>
      <c r="I790" s="92"/>
      <c r="J790" s="92"/>
      <c r="K790" s="187"/>
      <c r="L790" s="187"/>
      <c r="M790" s="187"/>
      <c r="N790" s="187"/>
      <c r="O790" s="92"/>
      <c r="P790" s="187"/>
      <c r="Q790" s="187"/>
      <c r="R790" s="187"/>
      <c r="S790" s="187"/>
      <c r="T790" s="85"/>
      <c r="U790" s="189"/>
      <c r="V790" s="189"/>
      <c r="W790" s="189"/>
      <c r="X790" s="189"/>
      <c r="Y790" s="100"/>
      <c r="AA790" s="96"/>
      <c r="AB790" s="96"/>
      <c r="AC790" s="96"/>
      <c r="AD790" s="97"/>
      <c r="AE790" s="96"/>
      <c r="AF790" s="98"/>
      <c r="AG790" s="96"/>
      <c r="AH790" s="96"/>
      <c r="AI790" s="96"/>
      <c r="AJ790" s="96"/>
      <c r="AK790" s="96"/>
      <c r="AL790" s="96"/>
      <c r="AM790" s="96"/>
      <c r="AN790" s="96"/>
      <c r="AO790" s="96"/>
      <c r="AP790" s="96"/>
    </row>
    <row r="791" spans="2:42" ht="12.75">
      <c r="B791" s="186"/>
      <c r="C791" s="85"/>
      <c r="D791" s="85"/>
      <c r="E791" s="187"/>
      <c r="F791" s="187"/>
      <c r="G791" s="187"/>
      <c r="H791" s="187"/>
      <c r="I791" s="92"/>
      <c r="J791" s="92"/>
      <c r="K791" s="187"/>
      <c r="L791" s="187"/>
      <c r="M791" s="187"/>
      <c r="N791" s="187"/>
      <c r="O791" s="92"/>
      <c r="P791" s="187"/>
      <c r="Q791" s="187"/>
      <c r="R791" s="187"/>
      <c r="S791" s="187"/>
      <c r="T791" s="85"/>
      <c r="U791" s="189"/>
      <c r="V791" s="189"/>
      <c r="W791" s="189"/>
      <c r="X791" s="189"/>
      <c r="Y791" s="100"/>
      <c r="AA791" s="96"/>
      <c r="AB791" s="96"/>
      <c r="AC791" s="96"/>
      <c r="AD791" s="97"/>
      <c r="AE791" s="96"/>
      <c r="AF791" s="98"/>
      <c r="AG791" s="96"/>
      <c r="AH791" s="96"/>
      <c r="AI791" s="96"/>
      <c r="AJ791" s="96"/>
      <c r="AK791" s="96"/>
      <c r="AL791" s="96"/>
      <c r="AM791" s="96"/>
      <c r="AN791" s="96"/>
      <c r="AO791" s="96"/>
      <c r="AP791" s="96"/>
    </row>
    <row r="792" spans="2:42" ht="12.75">
      <c r="B792" s="186"/>
      <c r="C792" s="85"/>
      <c r="D792" s="85"/>
      <c r="E792" s="187"/>
      <c r="F792" s="187"/>
      <c r="G792" s="187"/>
      <c r="H792" s="187"/>
      <c r="I792" s="92"/>
      <c r="J792" s="92"/>
      <c r="K792" s="187"/>
      <c r="L792" s="187"/>
      <c r="M792" s="187"/>
      <c r="N792" s="187"/>
      <c r="O792" s="92"/>
      <c r="P792" s="187"/>
      <c r="Q792" s="187"/>
      <c r="R792" s="187"/>
      <c r="S792" s="187"/>
      <c r="T792" s="85"/>
      <c r="U792" s="189"/>
      <c r="V792" s="189"/>
      <c r="W792" s="189"/>
      <c r="X792" s="189"/>
      <c r="Y792" s="100"/>
      <c r="AA792" s="96"/>
      <c r="AB792" s="96"/>
      <c r="AC792" s="96"/>
      <c r="AD792" s="97"/>
      <c r="AE792" s="96"/>
      <c r="AF792" s="98"/>
      <c r="AG792" s="96"/>
      <c r="AH792" s="96"/>
      <c r="AI792" s="96"/>
      <c r="AJ792" s="96"/>
      <c r="AK792" s="96"/>
      <c r="AL792" s="96"/>
      <c r="AM792" s="96"/>
      <c r="AN792" s="96"/>
      <c r="AO792" s="96"/>
      <c r="AP792" s="96"/>
    </row>
    <row r="793" spans="2:42" ht="12.75">
      <c r="B793" s="186"/>
      <c r="C793" s="85"/>
      <c r="D793" s="85"/>
      <c r="E793" s="187"/>
      <c r="F793" s="187"/>
      <c r="G793" s="187"/>
      <c r="H793" s="187"/>
      <c r="I793" s="92"/>
      <c r="J793" s="92"/>
      <c r="K793" s="187"/>
      <c r="L793" s="187"/>
      <c r="M793" s="187"/>
      <c r="N793" s="187"/>
      <c r="O793" s="92"/>
      <c r="P793" s="187"/>
      <c r="Q793" s="187"/>
      <c r="R793" s="187"/>
      <c r="S793" s="187"/>
      <c r="T793" s="85"/>
      <c r="U793" s="189"/>
      <c r="V793" s="189"/>
      <c r="W793" s="189"/>
      <c r="X793" s="189"/>
      <c r="Y793" s="100"/>
      <c r="AA793" s="96"/>
      <c r="AB793" s="96"/>
      <c r="AC793" s="96"/>
      <c r="AD793" s="97"/>
      <c r="AE793" s="96"/>
      <c r="AF793" s="98"/>
      <c r="AG793" s="96"/>
      <c r="AH793" s="96"/>
      <c r="AI793" s="96"/>
      <c r="AJ793" s="96"/>
      <c r="AK793" s="96"/>
      <c r="AL793" s="96"/>
      <c r="AM793" s="96"/>
      <c r="AN793" s="96"/>
      <c r="AO793" s="96"/>
      <c r="AP793" s="96"/>
    </row>
    <row r="794" spans="2:42" ht="12.75">
      <c r="B794" s="186"/>
      <c r="C794" s="85"/>
      <c r="D794" s="85"/>
      <c r="E794" s="187"/>
      <c r="F794" s="187"/>
      <c r="G794" s="187"/>
      <c r="H794" s="187"/>
      <c r="I794" s="92"/>
      <c r="J794" s="92"/>
      <c r="K794" s="187"/>
      <c r="L794" s="187"/>
      <c r="M794" s="187"/>
      <c r="N794" s="187"/>
      <c r="O794" s="92"/>
      <c r="P794" s="187"/>
      <c r="Q794" s="187"/>
      <c r="R794" s="187"/>
      <c r="S794" s="187"/>
      <c r="T794" s="85"/>
      <c r="U794" s="189"/>
      <c r="V794" s="189"/>
      <c r="W794" s="189"/>
      <c r="X794" s="189"/>
      <c r="Y794" s="100"/>
      <c r="AA794" s="96"/>
      <c r="AB794" s="96"/>
      <c r="AC794" s="96"/>
      <c r="AD794" s="97"/>
      <c r="AE794" s="96"/>
      <c r="AF794" s="98"/>
      <c r="AG794" s="96"/>
      <c r="AH794" s="96"/>
      <c r="AI794" s="96"/>
      <c r="AJ794" s="96"/>
      <c r="AK794" s="96"/>
      <c r="AL794" s="96"/>
      <c r="AM794" s="96"/>
      <c r="AN794" s="96"/>
      <c r="AO794" s="96"/>
      <c r="AP794" s="96"/>
    </row>
    <row r="795" spans="2:42" ht="12.75">
      <c r="B795" s="186"/>
      <c r="C795" s="85"/>
      <c r="D795" s="85"/>
      <c r="E795" s="187"/>
      <c r="F795" s="187"/>
      <c r="G795" s="187"/>
      <c r="H795" s="187"/>
      <c r="I795" s="92"/>
      <c r="J795" s="92"/>
      <c r="K795" s="187"/>
      <c r="L795" s="187"/>
      <c r="M795" s="187"/>
      <c r="N795" s="187"/>
      <c r="O795" s="92"/>
      <c r="P795" s="187"/>
      <c r="Q795" s="187"/>
      <c r="R795" s="187"/>
      <c r="S795" s="187"/>
      <c r="T795" s="85"/>
      <c r="U795" s="189"/>
      <c r="V795" s="189"/>
      <c r="W795" s="189"/>
      <c r="X795" s="189"/>
      <c r="Y795" s="100"/>
      <c r="AA795" s="96"/>
      <c r="AB795" s="96"/>
      <c r="AC795" s="96"/>
      <c r="AD795" s="97"/>
      <c r="AE795" s="96"/>
      <c r="AF795" s="98"/>
      <c r="AG795" s="96"/>
      <c r="AH795" s="96"/>
      <c r="AI795" s="96"/>
      <c r="AJ795" s="96"/>
      <c r="AK795" s="96"/>
      <c r="AL795" s="96"/>
      <c r="AM795" s="96"/>
      <c r="AN795" s="96"/>
      <c r="AO795" s="96"/>
      <c r="AP795" s="96"/>
    </row>
    <row r="796" spans="2:42" ht="12.75">
      <c r="B796" s="186"/>
      <c r="C796" s="85"/>
      <c r="D796" s="85"/>
      <c r="E796" s="187"/>
      <c r="F796" s="187"/>
      <c r="G796" s="187"/>
      <c r="H796" s="187"/>
      <c r="I796" s="92"/>
      <c r="J796" s="92"/>
      <c r="K796" s="187"/>
      <c r="L796" s="187"/>
      <c r="M796" s="187"/>
      <c r="N796" s="187"/>
      <c r="O796" s="92"/>
      <c r="P796" s="187"/>
      <c r="Q796" s="187"/>
      <c r="R796" s="187"/>
      <c r="S796" s="187"/>
      <c r="T796" s="85"/>
      <c r="U796" s="189"/>
      <c r="V796" s="189"/>
      <c r="W796" s="189"/>
      <c r="X796" s="189"/>
      <c r="Y796" s="100"/>
      <c r="AA796" s="96"/>
      <c r="AB796" s="96"/>
      <c r="AC796" s="96"/>
      <c r="AD796" s="97"/>
      <c r="AE796" s="96"/>
      <c r="AF796" s="98"/>
      <c r="AG796" s="96"/>
      <c r="AH796" s="96"/>
      <c r="AI796" s="96"/>
      <c r="AJ796" s="96"/>
      <c r="AK796" s="96"/>
      <c r="AL796" s="96"/>
      <c r="AM796" s="96"/>
      <c r="AN796" s="96"/>
      <c r="AO796" s="96"/>
      <c r="AP796" s="96"/>
    </row>
    <row r="797" spans="2:42" ht="12.75">
      <c r="B797" s="186"/>
      <c r="C797" s="85"/>
      <c r="D797" s="85"/>
      <c r="E797" s="187"/>
      <c r="F797" s="187"/>
      <c r="G797" s="187"/>
      <c r="H797" s="187"/>
      <c r="I797" s="92"/>
      <c r="J797" s="92"/>
      <c r="K797" s="187"/>
      <c r="L797" s="187"/>
      <c r="M797" s="187"/>
      <c r="N797" s="187"/>
      <c r="O797" s="92"/>
      <c r="P797" s="187"/>
      <c r="Q797" s="187"/>
      <c r="R797" s="187"/>
      <c r="S797" s="187"/>
      <c r="T797" s="85"/>
      <c r="U797" s="189"/>
      <c r="V797" s="189"/>
      <c r="W797" s="189"/>
      <c r="X797" s="189"/>
      <c r="Y797" s="100"/>
      <c r="AA797" s="96"/>
      <c r="AB797" s="96"/>
      <c r="AC797" s="96"/>
      <c r="AD797" s="97"/>
      <c r="AE797" s="96"/>
      <c r="AF797" s="98"/>
      <c r="AG797" s="96"/>
      <c r="AH797" s="96"/>
      <c r="AI797" s="96"/>
      <c r="AJ797" s="96"/>
      <c r="AK797" s="96"/>
      <c r="AL797" s="96"/>
      <c r="AM797" s="96"/>
      <c r="AN797" s="96"/>
      <c r="AO797" s="96"/>
      <c r="AP797" s="96"/>
    </row>
    <row r="798" spans="2:42" ht="12.75">
      <c r="B798" s="186"/>
      <c r="C798" s="85"/>
      <c r="D798" s="85"/>
      <c r="E798" s="187"/>
      <c r="F798" s="187"/>
      <c r="G798" s="187"/>
      <c r="H798" s="187"/>
      <c r="I798" s="92"/>
      <c r="J798" s="92"/>
      <c r="K798" s="187"/>
      <c r="L798" s="187"/>
      <c r="M798" s="187"/>
      <c r="N798" s="187"/>
      <c r="O798" s="92"/>
      <c r="P798" s="187"/>
      <c r="Q798" s="187"/>
      <c r="R798" s="187"/>
      <c r="S798" s="187"/>
      <c r="T798" s="85"/>
      <c r="U798" s="189"/>
      <c r="V798" s="189"/>
      <c r="W798" s="189"/>
      <c r="X798" s="189"/>
      <c r="Y798" s="100"/>
      <c r="AA798" s="96"/>
      <c r="AB798" s="96"/>
      <c r="AC798" s="96"/>
      <c r="AD798" s="97"/>
      <c r="AE798" s="96"/>
      <c r="AF798" s="98"/>
      <c r="AG798" s="96"/>
      <c r="AH798" s="96"/>
      <c r="AI798" s="96"/>
      <c r="AJ798" s="96"/>
      <c r="AK798" s="96"/>
      <c r="AL798" s="96"/>
      <c r="AM798" s="96"/>
      <c r="AN798" s="96"/>
      <c r="AO798" s="96"/>
      <c r="AP798" s="96"/>
    </row>
    <row r="799" spans="2:42" ht="12.75">
      <c r="B799" s="186"/>
      <c r="C799" s="85"/>
      <c r="D799" s="85"/>
      <c r="E799" s="187"/>
      <c r="F799" s="187"/>
      <c r="G799" s="187"/>
      <c r="H799" s="187"/>
      <c r="I799" s="92"/>
      <c r="J799" s="92"/>
      <c r="K799" s="187"/>
      <c r="L799" s="187"/>
      <c r="M799" s="187"/>
      <c r="N799" s="187"/>
      <c r="O799" s="92"/>
      <c r="P799" s="187"/>
      <c r="Q799" s="187"/>
      <c r="R799" s="187"/>
      <c r="S799" s="187"/>
      <c r="T799" s="85"/>
      <c r="U799" s="189"/>
      <c r="V799" s="189"/>
      <c r="W799" s="189"/>
      <c r="X799" s="189"/>
      <c r="Y799" s="100"/>
      <c r="AA799" s="96"/>
      <c r="AB799" s="96"/>
      <c r="AC799" s="96"/>
      <c r="AD799" s="97"/>
      <c r="AE799" s="96"/>
      <c r="AF799" s="98"/>
      <c r="AG799" s="96"/>
      <c r="AH799" s="96"/>
      <c r="AI799" s="96"/>
      <c r="AJ799" s="96"/>
      <c r="AK799" s="96"/>
      <c r="AL799" s="96"/>
      <c r="AM799" s="96"/>
      <c r="AN799" s="96"/>
      <c r="AO799" s="96"/>
      <c r="AP799" s="96"/>
    </row>
    <row r="800" spans="2:42" ht="12.75">
      <c r="B800" s="186"/>
      <c r="C800" s="85"/>
      <c r="D800" s="85"/>
      <c r="E800" s="187"/>
      <c r="F800" s="187"/>
      <c r="G800" s="187"/>
      <c r="H800" s="187"/>
      <c r="I800" s="92"/>
      <c r="J800" s="92"/>
      <c r="K800" s="187"/>
      <c r="L800" s="187"/>
      <c r="M800" s="187"/>
      <c r="N800" s="187"/>
      <c r="O800" s="92"/>
      <c r="P800" s="187"/>
      <c r="Q800" s="187"/>
      <c r="R800" s="187"/>
      <c r="S800" s="187"/>
      <c r="T800" s="85"/>
      <c r="U800" s="189"/>
      <c r="V800" s="189"/>
      <c r="W800" s="189"/>
      <c r="X800" s="189"/>
      <c r="Y800" s="100"/>
      <c r="AA800" s="96"/>
      <c r="AB800" s="96"/>
      <c r="AC800" s="96"/>
      <c r="AD800" s="97"/>
      <c r="AE800" s="96"/>
      <c r="AF800" s="98"/>
      <c r="AG800" s="96"/>
      <c r="AH800" s="96"/>
      <c r="AI800" s="96"/>
      <c r="AJ800" s="96"/>
      <c r="AK800" s="96"/>
      <c r="AL800" s="96"/>
      <c r="AM800" s="96"/>
      <c r="AN800" s="96"/>
      <c r="AO800" s="96"/>
      <c r="AP800" s="96"/>
    </row>
    <row r="801" spans="2:42" ht="12.75">
      <c r="B801" s="186"/>
      <c r="C801" s="85"/>
      <c r="D801" s="85"/>
      <c r="E801" s="187"/>
      <c r="F801" s="187"/>
      <c r="G801" s="187"/>
      <c r="H801" s="187"/>
      <c r="I801" s="92"/>
      <c r="J801" s="92"/>
      <c r="K801" s="187"/>
      <c r="L801" s="187"/>
      <c r="M801" s="187"/>
      <c r="N801" s="187"/>
      <c r="O801" s="92"/>
      <c r="P801" s="187"/>
      <c r="Q801" s="187"/>
      <c r="R801" s="187"/>
      <c r="S801" s="187"/>
      <c r="T801" s="85"/>
      <c r="U801" s="189"/>
      <c r="V801" s="189"/>
      <c r="W801" s="189"/>
      <c r="X801" s="189"/>
      <c r="Y801" s="100"/>
      <c r="AA801" s="96"/>
      <c r="AB801" s="96"/>
      <c r="AC801" s="96"/>
      <c r="AD801" s="97"/>
      <c r="AE801" s="96"/>
      <c r="AF801" s="98"/>
      <c r="AG801" s="96"/>
      <c r="AH801" s="96"/>
      <c r="AI801" s="96"/>
      <c r="AJ801" s="96"/>
      <c r="AK801" s="96"/>
      <c r="AL801" s="96"/>
      <c r="AM801" s="96"/>
      <c r="AN801" s="96"/>
      <c r="AO801" s="96"/>
      <c r="AP801" s="96"/>
    </row>
    <row r="802" spans="2:42" ht="12.75">
      <c r="B802" s="186"/>
      <c r="C802" s="85"/>
      <c r="D802" s="85"/>
      <c r="E802" s="187"/>
      <c r="F802" s="187"/>
      <c r="G802" s="187"/>
      <c r="H802" s="187"/>
      <c r="I802" s="92"/>
      <c r="J802" s="92"/>
      <c r="K802" s="187"/>
      <c r="L802" s="187"/>
      <c r="M802" s="187"/>
      <c r="N802" s="187"/>
      <c r="O802" s="92"/>
      <c r="P802" s="187"/>
      <c r="Q802" s="187"/>
      <c r="R802" s="187"/>
      <c r="S802" s="187"/>
      <c r="T802" s="85"/>
      <c r="U802" s="189"/>
      <c r="V802" s="189"/>
      <c r="W802" s="189"/>
      <c r="X802" s="189"/>
      <c r="Y802" s="100"/>
      <c r="AA802" s="96"/>
      <c r="AB802" s="96"/>
      <c r="AC802" s="96"/>
      <c r="AD802" s="97"/>
      <c r="AE802" s="96"/>
      <c r="AF802" s="98"/>
      <c r="AG802" s="96"/>
      <c r="AH802" s="96"/>
      <c r="AI802" s="96"/>
      <c r="AJ802" s="96"/>
      <c r="AK802" s="96"/>
      <c r="AL802" s="96"/>
      <c r="AM802" s="96"/>
      <c r="AN802" s="96"/>
      <c r="AO802" s="96"/>
      <c r="AP802" s="96"/>
    </row>
    <row r="803" spans="2:42" ht="12.75">
      <c r="B803" s="186"/>
      <c r="C803" s="85"/>
      <c r="D803" s="85"/>
      <c r="E803" s="187"/>
      <c r="F803" s="187"/>
      <c r="G803" s="187"/>
      <c r="H803" s="187"/>
      <c r="I803" s="92"/>
      <c r="J803" s="92"/>
      <c r="K803" s="187"/>
      <c r="L803" s="187"/>
      <c r="M803" s="187"/>
      <c r="N803" s="187"/>
      <c r="O803" s="92"/>
      <c r="P803" s="187"/>
      <c r="Q803" s="187"/>
      <c r="R803" s="187"/>
      <c r="S803" s="187"/>
      <c r="T803" s="85"/>
      <c r="U803" s="189"/>
      <c r="V803" s="189"/>
      <c r="W803" s="189"/>
      <c r="X803" s="189"/>
      <c r="Y803" s="100"/>
      <c r="AA803" s="96"/>
      <c r="AB803" s="96"/>
      <c r="AC803" s="96"/>
      <c r="AD803" s="97"/>
      <c r="AE803" s="96"/>
      <c r="AF803" s="98"/>
      <c r="AG803" s="96"/>
      <c r="AH803" s="96"/>
      <c r="AI803" s="96"/>
      <c r="AJ803" s="96"/>
      <c r="AK803" s="96"/>
      <c r="AL803" s="96"/>
      <c r="AM803" s="96"/>
      <c r="AN803" s="96"/>
      <c r="AO803" s="96"/>
      <c r="AP803" s="96"/>
    </row>
    <row r="804" spans="2:42" ht="12.75">
      <c r="B804" s="186"/>
      <c r="C804" s="85"/>
      <c r="D804" s="85"/>
      <c r="E804" s="187"/>
      <c r="F804" s="187"/>
      <c r="G804" s="187"/>
      <c r="H804" s="187"/>
      <c r="I804" s="92"/>
      <c r="J804" s="92"/>
      <c r="K804" s="187"/>
      <c r="L804" s="187"/>
      <c r="M804" s="187"/>
      <c r="N804" s="187"/>
      <c r="O804" s="92"/>
      <c r="P804" s="187"/>
      <c r="Q804" s="187"/>
      <c r="R804" s="187"/>
      <c r="S804" s="187"/>
      <c r="T804" s="85"/>
      <c r="U804" s="189"/>
      <c r="V804" s="189"/>
      <c r="W804" s="189"/>
      <c r="X804" s="189"/>
      <c r="Y804" s="100"/>
      <c r="AA804" s="96"/>
      <c r="AB804" s="96"/>
      <c r="AC804" s="96"/>
      <c r="AD804" s="97"/>
      <c r="AE804" s="96"/>
      <c r="AF804" s="98"/>
      <c r="AG804" s="96"/>
      <c r="AH804" s="96"/>
      <c r="AI804" s="96"/>
      <c r="AJ804" s="96"/>
      <c r="AK804" s="96"/>
      <c r="AL804" s="96"/>
      <c r="AM804" s="96"/>
      <c r="AN804" s="96"/>
      <c r="AO804" s="96"/>
      <c r="AP804" s="96"/>
    </row>
    <row r="805" spans="2:42" ht="12.75">
      <c r="B805" s="186"/>
      <c r="C805" s="85"/>
      <c r="D805" s="85"/>
      <c r="E805" s="187"/>
      <c r="F805" s="187"/>
      <c r="G805" s="187"/>
      <c r="H805" s="187"/>
      <c r="I805" s="92"/>
      <c r="J805" s="92"/>
      <c r="K805" s="187"/>
      <c r="L805" s="187"/>
      <c r="M805" s="187"/>
      <c r="N805" s="187"/>
      <c r="O805" s="92"/>
      <c r="P805" s="187"/>
      <c r="Q805" s="187"/>
      <c r="R805" s="187"/>
      <c r="S805" s="187"/>
      <c r="T805" s="85"/>
      <c r="U805" s="189"/>
      <c r="V805" s="189"/>
      <c r="W805" s="189"/>
      <c r="X805" s="189"/>
      <c r="Y805" s="100"/>
      <c r="AA805" s="96"/>
      <c r="AB805" s="96"/>
      <c r="AC805" s="96"/>
      <c r="AD805" s="97"/>
      <c r="AE805" s="96"/>
      <c r="AF805" s="98"/>
      <c r="AG805" s="96"/>
      <c r="AH805" s="96"/>
      <c r="AI805" s="96"/>
      <c r="AJ805" s="96"/>
      <c r="AK805" s="96"/>
      <c r="AL805" s="96"/>
      <c r="AM805" s="96"/>
      <c r="AN805" s="96"/>
      <c r="AO805" s="96"/>
      <c r="AP805" s="96"/>
    </row>
    <row r="806" spans="2:42" ht="12.75">
      <c r="B806" s="186"/>
      <c r="C806" s="85"/>
      <c r="D806" s="85"/>
      <c r="E806" s="187"/>
      <c r="F806" s="187"/>
      <c r="G806" s="187"/>
      <c r="H806" s="187"/>
      <c r="I806" s="92"/>
      <c r="J806" s="92"/>
      <c r="K806" s="187"/>
      <c r="L806" s="187"/>
      <c r="M806" s="187"/>
      <c r="N806" s="187"/>
      <c r="O806" s="92"/>
      <c r="P806" s="187"/>
      <c r="Q806" s="187"/>
      <c r="R806" s="187"/>
      <c r="S806" s="187"/>
      <c r="T806" s="85"/>
      <c r="U806" s="189"/>
      <c r="V806" s="189"/>
      <c r="W806" s="189"/>
      <c r="X806" s="189"/>
      <c r="Y806" s="100"/>
      <c r="AA806" s="96"/>
      <c r="AB806" s="96"/>
      <c r="AC806" s="96"/>
      <c r="AD806" s="97"/>
      <c r="AE806" s="96"/>
      <c r="AF806" s="98"/>
      <c r="AG806" s="96"/>
      <c r="AH806" s="96"/>
      <c r="AI806" s="96"/>
      <c r="AJ806" s="96"/>
      <c r="AK806" s="96"/>
      <c r="AL806" s="96"/>
      <c r="AM806" s="96"/>
      <c r="AN806" s="96"/>
      <c r="AO806" s="96"/>
      <c r="AP806" s="96"/>
    </row>
    <row r="807" spans="2:42" ht="12.75">
      <c r="B807" s="186"/>
      <c r="C807" s="85"/>
      <c r="D807" s="85"/>
      <c r="E807" s="187"/>
      <c r="F807" s="187"/>
      <c r="G807" s="187"/>
      <c r="H807" s="187"/>
      <c r="I807" s="92"/>
      <c r="J807" s="92"/>
      <c r="K807" s="187"/>
      <c r="L807" s="187"/>
      <c r="M807" s="187"/>
      <c r="N807" s="187"/>
      <c r="O807" s="92"/>
      <c r="P807" s="187"/>
      <c r="Q807" s="187"/>
      <c r="R807" s="187"/>
      <c r="S807" s="187"/>
      <c r="T807" s="85"/>
      <c r="U807" s="189"/>
      <c r="V807" s="189"/>
      <c r="W807" s="189"/>
      <c r="X807" s="189"/>
      <c r="Y807" s="100"/>
      <c r="AA807" s="96"/>
      <c r="AB807" s="96"/>
      <c r="AC807" s="96"/>
      <c r="AD807" s="97"/>
      <c r="AE807" s="96"/>
      <c r="AF807" s="98"/>
      <c r="AG807" s="96"/>
      <c r="AH807" s="96"/>
      <c r="AI807" s="96"/>
      <c r="AJ807" s="96"/>
      <c r="AK807" s="96"/>
      <c r="AL807" s="96"/>
      <c r="AM807" s="96"/>
      <c r="AN807" s="96"/>
      <c r="AO807" s="96"/>
      <c r="AP807" s="96"/>
    </row>
    <row r="808" spans="2:42" ht="12.75">
      <c r="B808" s="186"/>
      <c r="C808" s="85"/>
      <c r="D808" s="85"/>
      <c r="E808" s="187"/>
      <c r="F808" s="187"/>
      <c r="G808" s="187"/>
      <c r="H808" s="187"/>
      <c r="I808" s="92"/>
      <c r="J808" s="92"/>
      <c r="K808" s="187"/>
      <c r="L808" s="187"/>
      <c r="M808" s="187"/>
      <c r="N808" s="187"/>
      <c r="O808" s="92"/>
      <c r="P808" s="187"/>
      <c r="Q808" s="187"/>
      <c r="R808" s="187"/>
      <c r="S808" s="187"/>
      <c r="T808" s="85"/>
      <c r="U808" s="189"/>
      <c r="V808" s="189"/>
      <c r="W808" s="189"/>
      <c r="X808" s="189"/>
      <c r="Y808" s="100"/>
      <c r="AA808" s="96"/>
      <c r="AB808" s="96"/>
      <c r="AC808" s="96"/>
      <c r="AD808" s="97"/>
      <c r="AE808" s="96"/>
      <c r="AF808" s="98"/>
      <c r="AG808" s="96"/>
      <c r="AH808" s="96"/>
      <c r="AI808" s="96"/>
      <c r="AJ808" s="96"/>
      <c r="AK808" s="96"/>
      <c r="AL808" s="96"/>
      <c r="AM808" s="96"/>
      <c r="AN808" s="96"/>
      <c r="AO808" s="96"/>
      <c r="AP808" s="96"/>
    </row>
    <row r="809" spans="2:42" ht="12.75">
      <c r="B809" s="186"/>
      <c r="C809" s="85"/>
      <c r="D809" s="85"/>
      <c r="E809" s="187"/>
      <c r="F809" s="187"/>
      <c r="G809" s="187"/>
      <c r="H809" s="187"/>
      <c r="I809" s="92"/>
      <c r="J809" s="92"/>
      <c r="K809" s="187"/>
      <c r="L809" s="187"/>
      <c r="M809" s="187"/>
      <c r="N809" s="187"/>
      <c r="O809" s="92"/>
      <c r="P809" s="187"/>
      <c r="Q809" s="187"/>
      <c r="R809" s="187"/>
      <c r="S809" s="187"/>
      <c r="T809" s="85"/>
      <c r="U809" s="189"/>
      <c r="V809" s="189"/>
      <c r="W809" s="189"/>
      <c r="X809" s="189"/>
      <c r="Y809" s="100"/>
      <c r="AA809" s="96"/>
      <c r="AB809" s="96"/>
      <c r="AC809" s="96"/>
      <c r="AD809" s="97"/>
      <c r="AE809" s="96"/>
      <c r="AF809" s="98"/>
      <c r="AG809" s="96"/>
      <c r="AH809" s="96"/>
      <c r="AI809" s="96"/>
      <c r="AJ809" s="96"/>
      <c r="AK809" s="96"/>
      <c r="AL809" s="96"/>
      <c r="AM809" s="96"/>
      <c r="AN809" s="96"/>
      <c r="AO809" s="96"/>
      <c r="AP809" s="96"/>
    </row>
    <row r="810" spans="2:42" ht="12.75">
      <c r="B810" s="186"/>
      <c r="C810" s="85"/>
      <c r="D810" s="85"/>
      <c r="E810" s="187"/>
      <c r="F810" s="187"/>
      <c r="G810" s="187"/>
      <c r="H810" s="187"/>
      <c r="I810" s="92"/>
      <c r="J810" s="92"/>
      <c r="K810" s="187"/>
      <c r="L810" s="187"/>
      <c r="M810" s="187"/>
      <c r="N810" s="187"/>
      <c r="O810" s="92"/>
      <c r="P810" s="187"/>
      <c r="Q810" s="187"/>
      <c r="R810" s="187"/>
      <c r="S810" s="187"/>
      <c r="T810" s="85"/>
      <c r="U810" s="189"/>
      <c r="V810" s="189"/>
      <c r="W810" s="189"/>
      <c r="X810" s="189"/>
      <c r="Y810" s="100"/>
      <c r="AA810" s="96"/>
      <c r="AB810" s="96"/>
      <c r="AC810" s="96"/>
      <c r="AD810" s="97"/>
      <c r="AE810" s="96"/>
      <c r="AF810" s="98"/>
      <c r="AG810" s="96"/>
      <c r="AH810" s="96"/>
      <c r="AI810" s="96"/>
      <c r="AJ810" s="96"/>
      <c r="AK810" s="96"/>
      <c r="AL810" s="96"/>
      <c r="AM810" s="96"/>
      <c r="AN810" s="96"/>
      <c r="AO810" s="96"/>
      <c r="AP810" s="96"/>
    </row>
    <row r="811" spans="2:42" ht="12.75">
      <c r="B811" s="186"/>
      <c r="C811" s="85"/>
      <c r="D811" s="85"/>
      <c r="E811" s="187"/>
      <c r="F811" s="187"/>
      <c r="G811" s="187"/>
      <c r="H811" s="187"/>
      <c r="I811" s="92"/>
      <c r="J811" s="92"/>
      <c r="K811" s="187"/>
      <c r="L811" s="187"/>
      <c r="M811" s="187"/>
      <c r="N811" s="187"/>
      <c r="O811" s="92"/>
      <c r="P811" s="187"/>
      <c r="Q811" s="187"/>
      <c r="R811" s="187"/>
      <c r="S811" s="187"/>
      <c r="T811" s="85"/>
      <c r="U811" s="189"/>
      <c r="V811" s="189"/>
      <c r="W811" s="189"/>
      <c r="X811" s="189"/>
      <c r="Y811" s="100"/>
      <c r="AA811" s="96"/>
      <c r="AB811" s="96"/>
      <c r="AC811" s="96"/>
      <c r="AD811" s="97"/>
      <c r="AE811" s="96"/>
      <c r="AF811" s="98"/>
      <c r="AG811" s="96"/>
      <c r="AH811" s="96"/>
      <c r="AI811" s="96"/>
      <c r="AJ811" s="96"/>
      <c r="AK811" s="96"/>
      <c r="AL811" s="96"/>
      <c r="AM811" s="96"/>
      <c r="AN811" s="96"/>
      <c r="AO811" s="96"/>
      <c r="AP811" s="96"/>
    </row>
    <row r="812" spans="2:42" ht="12.75">
      <c r="B812" s="186"/>
      <c r="C812" s="85"/>
      <c r="D812" s="85"/>
      <c r="E812" s="187"/>
      <c r="F812" s="187"/>
      <c r="G812" s="187"/>
      <c r="H812" s="187"/>
      <c r="I812" s="92"/>
      <c r="J812" s="92"/>
      <c r="K812" s="187"/>
      <c r="L812" s="187"/>
      <c r="M812" s="187"/>
      <c r="N812" s="187"/>
      <c r="O812" s="92"/>
      <c r="P812" s="187"/>
      <c r="Q812" s="187"/>
      <c r="R812" s="187"/>
      <c r="S812" s="187"/>
      <c r="T812" s="85"/>
      <c r="U812" s="189"/>
      <c r="V812" s="189"/>
      <c r="W812" s="189"/>
      <c r="X812" s="189"/>
      <c r="Y812" s="100"/>
      <c r="AA812" s="96"/>
      <c r="AB812" s="96"/>
      <c r="AC812" s="96"/>
      <c r="AD812" s="97"/>
      <c r="AE812" s="96"/>
      <c r="AF812" s="98"/>
      <c r="AG812" s="96"/>
      <c r="AH812" s="96"/>
      <c r="AI812" s="96"/>
      <c r="AJ812" s="96"/>
      <c r="AK812" s="96"/>
      <c r="AL812" s="96"/>
      <c r="AM812" s="96"/>
      <c r="AN812" s="96"/>
      <c r="AO812" s="96"/>
      <c r="AP812" s="96"/>
    </row>
    <row r="813" spans="2:42" ht="12.75">
      <c r="B813" s="186"/>
      <c r="C813" s="85"/>
      <c r="D813" s="85"/>
      <c r="E813" s="187"/>
      <c r="F813" s="187"/>
      <c r="G813" s="187"/>
      <c r="H813" s="187"/>
      <c r="I813" s="92"/>
      <c r="J813" s="92"/>
      <c r="K813" s="187"/>
      <c r="L813" s="187"/>
      <c r="M813" s="187"/>
      <c r="N813" s="187"/>
      <c r="O813" s="92"/>
      <c r="P813" s="187"/>
      <c r="Q813" s="187"/>
      <c r="R813" s="187"/>
      <c r="S813" s="187"/>
      <c r="T813" s="85"/>
      <c r="U813" s="189"/>
      <c r="V813" s="189"/>
      <c r="W813" s="189"/>
      <c r="X813" s="189"/>
      <c r="Y813" s="100"/>
      <c r="AA813" s="96"/>
      <c r="AB813" s="96"/>
      <c r="AC813" s="96"/>
      <c r="AD813" s="97"/>
      <c r="AE813" s="96"/>
      <c r="AF813" s="98"/>
      <c r="AG813" s="96"/>
      <c r="AH813" s="96"/>
      <c r="AI813" s="96"/>
      <c r="AJ813" s="96"/>
      <c r="AK813" s="96"/>
      <c r="AL813" s="96"/>
      <c r="AM813" s="96"/>
      <c r="AN813" s="96"/>
      <c r="AO813" s="96"/>
      <c r="AP813" s="96"/>
    </row>
    <row r="814" spans="2:42" ht="12.75">
      <c r="B814" s="186"/>
      <c r="C814" s="85"/>
      <c r="D814" s="85"/>
      <c r="E814" s="187"/>
      <c r="F814" s="187"/>
      <c r="G814" s="187"/>
      <c r="H814" s="187"/>
      <c r="I814" s="92"/>
      <c r="J814" s="92"/>
      <c r="K814" s="187"/>
      <c r="L814" s="187"/>
      <c r="M814" s="187"/>
      <c r="N814" s="187"/>
      <c r="O814" s="92"/>
      <c r="P814" s="187"/>
      <c r="Q814" s="187"/>
      <c r="R814" s="187"/>
      <c r="S814" s="187"/>
      <c r="T814" s="85"/>
      <c r="U814" s="189"/>
      <c r="V814" s="189"/>
      <c r="W814" s="189"/>
      <c r="X814" s="189"/>
      <c r="Y814" s="100"/>
      <c r="AA814" s="96"/>
      <c r="AB814" s="96"/>
      <c r="AC814" s="96"/>
      <c r="AD814" s="97"/>
      <c r="AE814" s="96"/>
      <c r="AF814" s="98"/>
      <c r="AG814" s="96"/>
      <c r="AH814" s="96"/>
      <c r="AI814" s="96"/>
      <c r="AJ814" s="96"/>
      <c r="AK814" s="96"/>
      <c r="AL814" s="96"/>
      <c r="AM814" s="96"/>
      <c r="AN814" s="96"/>
      <c r="AO814" s="96"/>
      <c r="AP814" s="96"/>
    </row>
    <row r="815" spans="2:42" ht="12.75">
      <c r="B815" s="186"/>
      <c r="C815" s="85"/>
      <c r="D815" s="85"/>
      <c r="E815" s="187"/>
      <c r="F815" s="187"/>
      <c r="G815" s="187"/>
      <c r="H815" s="187"/>
      <c r="I815" s="92"/>
      <c r="J815" s="92"/>
      <c r="K815" s="187"/>
      <c r="L815" s="187"/>
      <c r="M815" s="187"/>
      <c r="N815" s="187"/>
      <c r="O815" s="92"/>
      <c r="P815" s="187"/>
      <c r="Q815" s="187"/>
      <c r="R815" s="187"/>
      <c r="S815" s="187"/>
      <c r="T815" s="85"/>
      <c r="U815" s="189"/>
      <c r="V815" s="189"/>
      <c r="W815" s="189"/>
      <c r="X815" s="189"/>
      <c r="Y815" s="100"/>
      <c r="AA815" s="96"/>
      <c r="AB815" s="96"/>
      <c r="AC815" s="96"/>
      <c r="AD815" s="97"/>
      <c r="AE815" s="96"/>
      <c r="AF815" s="98"/>
      <c r="AG815" s="96"/>
      <c r="AH815" s="96"/>
      <c r="AI815" s="96"/>
      <c r="AJ815" s="96"/>
      <c r="AK815" s="96"/>
      <c r="AL815" s="96"/>
      <c r="AM815" s="96"/>
      <c r="AN815" s="96"/>
      <c r="AO815" s="96"/>
      <c r="AP815" s="96"/>
    </row>
    <row r="816" spans="2:42" ht="12.75">
      <c r="B816" s="186"/>
      <c r="C816" s="85"/>
      <c r="D816" s="85"/>
      <c r="E816" s="187"/>
      <c r="F816" s="187"/>
      <c r="G816" s="187"/>
      <c r="H816" s="187"/>
      <c r="I816" s="92"/>
      <c r="J816" s="92"/>
      <c r="K816" s="187"/>
      <c r="L816" s="187"/>
      <c r="M816" s="187"/>
      <c r="N816" s="187"/>
      <c r="O816" s="92"/>
      <c r="P816" s="187"/>
      <c r="Q816" s="187"/>
      <c r="R816" s="187"/>
      <c r="S816" s="187"/>
      <c r="T816" s="85"/>
      <c r="U816" s="189"/>
      <c r="V816" s="189"/>
      <c r="W816" s="189"/>
      <c r="X816" s="189"/>
      <c r="Y816" s="100"/>
      <c r="AA816" s="96"/>
      <c r="AB816" s="96"/>
      <c r="AC816" s="96"/>
      <c r="AD816" s="97"/>
      <c r="AE816" s="96"/>
      <c r="AF816" s="98"/>
      <c r="AG816" s="96"/>
      <c r="AH816" s="96"/>
      <c r="AI816" s="96"/>
      <c r="AJ816" s="96"/>
      <c r="AK816" s="96"/>
      <c r="AL816" s="96"/>
      <c r="AM816" s="96"/>
      <c r="AN816" s="96"/>
      <c r="AO816" s="96"/>
      <c r="AP816" s="96"/>
    </row>
    <row r="817" spans="2:42" ht="12.75">
      <c r="B817" s="186"/>
      <c r="C817" s="85"/>
      <c r="D817" s="85"/>
      <c r="E817" s="187"/>
      <c r="F817" s="187"/>
      <c r="G817" s="187"/>
      <c r="H817" s="187"/>
      <c r="I817" s="92"/>
      <c r="J817" s="92"/>
      <c r="K817" s="187"/>
      <c r="L817" s="187"/>
      <c r="M817" s="187"/>
      <c r="N817" s="187"/>
      <c r="O817" s="92"/>
      <c r="P817" s="187"/>
      <c r="Q817" s="187"/>
      <c r="R817" s="187"/>
      <c r="S817" s="187"/>
      <c r="T817" s="85"/>
      <c r="U817" s="189"/>
      <c r="V817" s="189"/>
      <c r="W817" s="189"/>
      <c r="X817" s="189"/>
      <c r="Y817" s="100"/>
      <c r="AA817" s="96"/>
      <c r="AB817" s="96"/>
      <c r="AC817" s="96"/>
      <c r="AD817" s="97"/>
      <c r="AE817" s="96"/>
      <c r="AF817" s="98"/>
      <c r="AG817" s="96"/>
      <c r="AH817" s="96"/>
      <c r="AI817" s="96"/>
      <c r="AJ817" s="96"/>
      <c r="AK817" s="96"/>
      <c r="AL817" s="96"/>
      <c r="AM817" s="96"/>
      <c r="AN817" s="96"/>
      <c r="AO817" s="96"/>
      <c r="AP817" s="96"/>
    </row>
    <row r="818" spans="2:42" ht="12.75">
      <c r="B818" s="186"/>
      <c r="C818" s="85"/>
      <c r="D818" s="85"/>
      <c r="E818" s="187"/>
      <c r="F818" s="187"/>
      <c r="G818" s="187"/>
      <c r="H818" s="187"/>
      <c r="I818" s="92"/>
      <c r="J818" s="92"/>
      <c r="K818" s="187"/>
      <c r="L818" s="187"/>
      <c r="M818" s="187"/>
      <c r="N818" s="187"/>
      <c r="O818" s="92"/>
      <c r="P818" s="187"/>
      <c r="Q818" s="187"/>
      <c r="R818" s="187"/>
      <c r="S818" s="187"/>
      <c r="T818" s="85"/>
      <c r="U818" s="189"/>
      <c r="V818" s="189"/>
      <c r="W818" s="189"/>
      <c r="X818" s="189"/>
      <c r="Y818" s="100"/>
      <c r="AA818" s="96"/>
      <c r="AB818" s="96"/>
      <c r="AC818" s="96"/>
      <c r="AD818" s="97"/>
      <c r="AE818" s="96"/>
      <c r="AF818" s="98"/>
      <c r="AG818" s="96"/>
      <c r="AH818" s="96"/>
      <c r="AI818" s="96"/>
      <c r="AJ818" s="96"/>
      <c r="AK818" s="96"/>
      <c r="AL818" s="96"/>
      <c r="AM818" s="96"/>
      <c r="AN818" s="96"/>
      <c r="AO818" s="96"/>
      <c r="AP818" s="96"/>
    </row>
    <row r="819" spans="2:42" ht="12.75">
      <c r="B819" s="186"/>
      <c r="C819" s="85"/>
      <c r="D819" s="85"/>
      <c r="E819" s="187"/>
      <c r="F819" s="187"/>
      <c r="G819" s="187"/>
      <c r="H819" s="187"/>
      <c r="I819" s="92"/>
      <c r="J819" s="92"/>
      <c r="K819" s="187"/>
      <c r="L819" s="187"/>
      <c r="M819" s="187"/>
      <c r="N819" s="187"/>
      <c r="O819" s="92"/>
      <c r="P819" s="187"/>
      <c r="Q819" s="187"/>
      <c r="R819" s="187"/>
      <c r="S819" s="187"/>
      <c r="T819" s="85"/>
      <c r="U819" s="189"/>
      <c r="V819" s="189"/>
      <c r="W819" s="189"/>
      <c r="X819" s="189"/>
      <c r="Y819" s="100"/>
      <c r="AA819" s="96"/>
      <c r="AB819" s="96"/>
      <c r="AC819" s="96"/>
      <c r="AD819" s="97"/>
      <c r="AE819" s="96"/>
      <c r="AF819" s="98"/>
      <c r="AG819" s="96"/>
      <c r="AH819" s="96"/>
      <c r="AI819" s="96"/>
      <c r="AJ819" s="96"/>
      <c r="AK819" s="96"/>
      <c r="AL819" s="96"/>
      <c r="AM819" s="96"/>
      <c r="AN819" s="96"/>
      <c r="AO819" s="96"/>
      <c r="AP819" s="96"/>
    </row>
    <row r="820" spans="2:42" ht="12.75">
      <c r="B820" s="186"/>
      <c r="C820" s="85"/>
      <c r="D820" s="85"/>
      <c r="E820" s="187"/>
      <c r="F820" s="187"/>
      <c r="G820" s="187"/>
      <c r="H820" s="187"/>
      <c r="I820" s="92"/>
      <c r="J820" s="92"/>
      <c r="K820" s="187"/>
      <c r="L820" s="187"/>
      <c r="M820" s="187"/>
      <c r="N820" s="187"/>
      <c r="O820" s="92"/>
      <c r="P820" s="187"/>
      <c r="Q820" s="187"/>
      <c r="R820" s="187"/>
      <c r="S820" s="187"/>
      <c r="T820" s="85"/>
      <c r="U820" s="189"/>
      <c r="V820" s="189"/>
      <c r="W820" s="189"/>
      <c r="X820" s="189"/>
      <c r="Y820" s="100"/>
      <c r="AA820" s="96"/>
      <c r="AB820" s="96"/>
      <c r="AC820" s="96"/>
      <c r="AD820" s="97"/>
      <c r="AE820" s="96"/>
      <c r="AF820" s="98"/>
      <c r="AG820" s="96"/>
      <c r="AH820" s="96"/>
      <c r="AI820" s="96"/>
      <c r="AJ820" s="96"/>
      <c r="AK820" s="96"/>
      <c r="AL820" s="96"/>
      <c r="AM820" s="96"/>
      <c r="AN820" s="96"/>
      <c r="AO820" s="96"/>
      <c r="AP820" s="96"/>
    </row>
    <row r="821" spans="2:42" ht="12.75">
      <c r="B821" s="186"/>
      <c r="C821" s="85"/>
      <c r="D821" s="85"/>
      <c r="E821" s="187"/>
      <c r="F821" s="187"/>
      <c r="G821" s="187"/>
      <c r="H821" s="187"/>
      <c r="I821" s="92"/>
      <c r="J821" s="92"/>
      <c r="K821" s="187"/>
      <c r="L821" s="187"/>
      <c r="M821" s="187"/>
      <c r="N821" s="187"/>
      <c r="O821" s="92"/>
      <c r="P821" s="187"/>
      <c r="Q821" s="187"/>
      <c r="R821" s="187"/>
      <c r="S821" s="187"/>
      <c r="T821" s="85"/>
      <c r="U821" s="189"/>
      <c r="V821" s="189"/>
      <c r="W821" s="189"/>
      <c r="X821" s="189"/>
      <c r="Y821" s="100"/>
      <c r="AA821" s="96"/>
      <c r="AB821" s="96"/>
      <c r="AC821" s="96"/>
      <c r="AD821" s="97"/>
      <c r="AE821" s="96"/>
      <c r="AF821" s="98"/>
      <c r="AG821" s="96"/>
      <c r="AH821" s="96"/>
      <c r="AI821" s="96"/>
      <c r="AJ821" s="96"/>
      <c r="AK821" s="96"/>
      <c r="AL821" s="96"/>
      <c r="AM821" s="96"/>
      <c r="AN821" s="96"/>
      <c r="AO821" s="96"/>
      <c r="AP821" s="96"/>
    </row>
    <row r="822" spans="2:42" ht="12.75">
      <c r="B822" s="186"/>
      <c r="C822" s="85"/>
      <c r="D822" s="85"/>
      <c r="E822" s="187"/>
      <c r="F822" s="187"/>
      <c r="G822" s="187"/>
      <c r="H822" s="187"/>
      <c r="I822" s="92"/>
      <c r="J822" s="92"/>
      <c r="K822" s="187"/>
      <c r="L822" s="187"/>
      <c r="M822" s="187"/>
      <c r="N822" s="187"/>
      <c r="O822" s="92"/>
      <c r="P822" s="187"/>
      <c r="Q822" s="187"/>
      <c r="R822" s="187"/>
      <c r="S822" s="187"/>
      <c r="T822" s="85"/>
      <c r="U822" s="189"/>
      <c r="V822" s="189"/>
      <c r="W822" s="189"/>
      <c r="X822" s="189"/>
      <c r="Y822" s="100"/>
      <c r="AA822" s="96"/>
      <c r="AB822" s="96"/>
      <c r="AC822" s="96"/>
      <c r="AD822" s="97"/>
      <c r="AE822" s="96"/>
      <c r="AF822" s="98"/>
      <c r="AG822" s="96"/>
      <c r="AH822" s="96"/>
      <c r="AI822" s="96"/>
      <c r="AJ822" s="96"/>
      <c r="AK822" s="96"/>
      <c r="AL822" s="96"/>
      <c r="AM822" s="96"/>
      <c r="AN822" s="96"/>
      <c r="AO822" s="96"/>
      <c r="AP822" s="96"/>
    </row>
    <row r="823" spans="2:42" ht="12.75">
      <c r="B823" s="186"/>
      <c r="C823" s="85"/>
      <c r="D823" s="85"/>
      <c r="E823" s="187"/>
      <c r="F823" s="187"/>
      <c r="G823" s="187"/>
      <c r="H823" s="187"/>
      <c r="I823" s="92"/>
      <c r="J823" s="92"/>
      <c r="K823" s="187"/>
      <c r="L823" s="187"/>
      <c r="M823" s="187"/>
      <c r="N823" s="187"/>
      <c r="O823" s="92"/>
      <c r="P823" s="187"/>
      <c r="Q823" s="187"/>
      <c r="R823" s="187"/>
      <c r="S823" s="187"/>
      <c r="T823" s="85"/>
      <c r="U823" s="189"/>
      <c r="V823" s="189"/>
      <c r="W823" s="189"/>
      <c r="X823" s="189"/>
      <c r="Y823" s="100"/>
      <c r="AA823" s="96"/>
      <c r="AB823" s="96"/>
      <c r="AC823" s="96"/>
      <c r="AD823" s="97"/>
      <c r="AE823" s="96"/>
      <c r="AF823" s="98"/>
      <c r="AG823" s="96"/>
      <c r="AH823" s="96"/>
      <c r="AI823" s="96"/>
      <c r="AJ823" s="96"/>
      <c r="AK823" s="96"/>
      <c r="AL823" s="96"/>
      <c r="AM823" s="96"/>
      <c r="AN823" s="96"/>
      <c r="AO823" s="96"/>
      <c r="AP823" s="96"/>
    </row>
    <row r="824" spans="2:42" ht="12.75">
      <c r="B824" s="186"/>
      <c r="C824" s="85"/>
      <c r="D824" s="85"/>
      <c r="E824" s="187"/>
      <c r="F824" s="187"/>
      <c r="G824" s="187"/>
      <c r="H824" s="187"/>
      <c r="I824" s="92"/>
      <c r="J824" s="92"/>
      <c r="K824" s="187"/>
      <c r="L824" s="187"/>
      <c r="M824" s="187"/>
      <c r="N824" s="187"/>
      <c r="O824" s="92"/>
      <c r="P824" s="187"/>
      <c r="Q824" s="187"/>
      <c r="R824" s="187"/>
      <c r="S824" s="187"/>
      <c r="T824" s="85"/>
      <c r="U824" s="189"/>
      <c r="V824" s="189"/>
      <c r="W824" s="189"/>
      <c r="X824" s="189"/>
      <c r="Y824" s="100"/>
      <c r="AA824" s="96"/>
      <c r="AB824" s="96"/>
      <c r="AC824" s="96"/>
      <c r="AD824" s="97"/>
      <c r="AE824" s="96"/>
      <c r="AF824" s="98"/>
      <c r="AG824" s="96"/>
      <c r="AH824" s="96"/>
      <c r="AI824" s="96"/>
      <c r="AJ824" s="96"/>
      <c r="AK824" s="96"/>
      <c r="AL824" s="96"/>
      <c r="AM824" s="96"/>
      <c r="AN824" s="96"/>
      <c r="AO824" s="96"/>
      <c r="AP824" s="96"/>
    </row>
    <row r="825" spans="2:42" ht="12.75">
      <c r="B825" s="186"/>
      <c r="C825" s="85"/>
      <c r="D825" s="85"/>
      <c r="E825" s="187"/>
      <c r="F825" s="187"/>
      <c r="G825" s="187"/>
      <c r="H825" s="187"/>
      <c r="I825" s="92"/>
      <c r="J825" s="92"/>
      <c r="K825" s="187"/>
      <c r="L825" s="187"/>
      <c r="M825" s="187"/>
      <c r="N825" s="187"/>
      <c r="O825" s="92"/>
      <c r="P825" s="187"/>
      <c r="Q825" s="187"/>
      <c r="R825" s="187"/>
      <c r="S825" s="187"/>
      <c r="T825" s="85"/>
      <c r="U825" s="189"/>
      <c r="V825" s="189"/>
      <c r="W825" s="189"/>
      <c r="X825" s="189"/>
      <c r="Y825" s="100"/>
      <c r="AA825" s="96"/>
      <c r="AB825" s="96"/>
      <c r="AC825" s="96"/>
      <c r="AD825" s="97"/>
      <c r="AE825" s="96"/>
      <c r="AF825" s="98"/>
      <c r="AG825" s="96"/>
      <c r="AH825" s="96"/>
      <c r="AI825" s="96"/>
      <c r="AJ825" s="96"/>
      <c r="AK825" s="96"/>
      <c r="AL825" s="96"/>
      <c r="AM825" s="96"/>
      <c r="AN825" s="96"/>
      <c r="AO825" s="96"/>
      <c r="AP825" s="96"/>
    </row>
    <row r="826" spans="2:42" ht="12.75">
      <c r="B826" s="186"/>
      <c r="C826" s="85"/>
      <c r="D826" s="85"/>
      <c r="E826" s="187"/>
      <c r="F826" s="187"/>
      <c r="G826" s="187"/>
      <c r="H826" s="187"/>
      <c r="I826" s="92"/>
      <c r="J826" s="92"/>
      <c r="K826" s="187"/>
      <c r="L826" s="187"/>
      <c r="M826" s="187"/>
      <c r="N826" s="187"/>
      <c r="O826" s="92"/>
      <c r="P826" s="187"/>
      <c r="Q826" s="187"/>
      <c r="R826" s="187"/>
      <c r="S826" s="187"/>
      <c r="T826" s="85"/>
      <c r="U826" s="189"/>
      <c r="V826" s="189"/>
      <c r="W826" s="189"/>
      <c r="X826" s="189"/>
      <c r="Y826" s="100"/>
      <c r="AA826" s="96"/>
      <c r="AB826" s="96"/>
      <c r="AC826" s="96"/>
      <c r="AD826" s="97"/>
      <c r="AE826" s="96"/>
      <c r="AF826" s="98"/>
      <c r="AG826" s="96"/>
      <c r="AH826" s="96"/>
      <c r="AI826" s="96"/>
      <c r="AJ826" s="96"/>
      <c r="AK826" s="96"/>
      <c r="AL826" s="96"/>
      <c r="AM826" s="96"/>
      <c r="AN826" s="96"/>
      <c r="AO826" s="96"/>
      <c r="AP826" s="96"/>
    </row>
    <row r="827" spans="2:42" ht="12.75">
      <c r="B827" s="186"/>
      <c r="C827" s="85"/>
      <c r="D827" s="85"/>
      <c r="E827" s="187"/>
      <c r="F827" s="187"/>
      <c r="G827" s="187"/>
      <c r="H827" s="187"/>
      <c r="I827" s="92"/>
      <c r="J827" s="92"/>
      <c r="K827" s="187"/>
      <c r="L827" s="187"/>
      <c r="M827" s="187"/>
      <c r="N827" s="187"/>
      <c r="O827" s="92"/>
      <c r="P827" s="187"/>
      <c r="Q827" s="187"/>
      <c r="R827" s="187"/>
      <c r="S827" s="187"/>
      <c r="T827" s="85"/>
      <c r="U827" s="189"/>
      <c r="V827" s="189"/>
      <c r="W827" s="189"/>
      <c r="X827" s="189"/>
      <c r="Y827" s="100"/>
      <c r="AA827" s="96"/>
      <c r="AB827" s="96"/>
      <c r="AC827" s="96"/>
      <c r="AD827" s="97"/>
      <c r="AE827" s="96"/>
      <c r="AF827" s="98"/>
      <c r="AG827" s="96"/>
      <c r="AH827" s="96"/>
      <c r="AI827" s="96"/>
      <c r="AJ827" s="96"/>
      <c r="AK827" s="96"/>
      <c r="AL827" s="96"/>
      <c r="AM827" s="96"/>
      <c r="AN827" s="96"/>
      <c r="AO827" s="96"/>
      <c r="AP827" s="96"/>
    </row>
    <row r="828" spans="2:42" ht="12.75">
      <c r="B828" s="186"/>
      <c r="C828" s="85"/>
      <c r="D828" s="85"/>
      <c r="E828" s="187"/>
      <c r="F828" s="187"/>
      <c r="G828" s="187"/>
      <c r="H828" s="187"/>
      <c r="I828" s="92"/>
      <c r="J828" s="92"/>
      <c r="K828" s="187"/>
      <c r="L828" s="187"/>
      <c r="M828" s="187"/>
      <c r="N828" s="187"/>
      <c r="O828" s="92"/>
      <c r="P828" s="187"/>
      <c r="Q828" s="187"/>
      <c r="R828" s="187"/>
      <c r="S828" s="187"/>
      <c r="T828" s="85"/>
      <c r="U828" s="189"/>
      <c r="V828" s="189"/>
      <c r="W828" s="189"/>
      <c r="X828" s="189"/>
      <c r="Y828" s="100"/>
      <c r="AA828" s="96"/>
      <c r="AB828" s="96"/>
      <c r="AC828" s="96"/>
      <c r="AD828" s="97"/>
      <c r="AE828" s="96"/>
      <c r="AF828" s="98"/>
      <c r="AG828" s="96"/>
      <c r="AH828" s="96"/>
      <c r="AI828" s="96"/>
      <c r="AJ828" s="96"/>
      <c r="AK828" s="96"/>
      <c r="AL828" s="96"/>
      <c r="AM828" s="96"/>
      <c r="AN828" s="96"/>
      <c r="AO828" s="96"/>
      <c r="AP828" s="96"/>
    </row>
    <row r="829" spans="2:42" ht="12.75">
      <c r="B829" s="186"/>
      <c r="C829" s="85"/>
      <c r="D829" s="85"/>
      <c r="E829" s="187"/>
      <c r="F829" s="187"/>
      <c r="G829" s="187"/>
      <c r="H829" s="187"/>
      <c r="I829" s="92"/>
      <c r="J829" s="92"/>
      <c r="K829" s="187"/>
      <c r="L829" s="187"/>
      <c r="M829" s="187"/>
      <c r="N829" s="187"/>
      <c r="O829" s="92"/>
      <c r="P829" s="187"/>
      <c r="Q829" s="187"/>
      <c r="R829" s="187"/>
      <c r="S829" s="187"/>
      <c r="T829" s="85"/>
      <c r="U829" s="189"/>
      <c r="V829" s="189"/>
      <c r="W829" s="189"/>
      <c r="X829" s="189"/>
      <c r="Y829" s="100"/>
      <c r="AA829" s="96"/>
      <c r="AB829" s="96"/>
      <c r="AC829" s="96"/>
      <c r="AD829" s="97"/>
      <c r="AE829" s="96"/>
      <c r="AF829" s="98"/>
      <c r="AG829" s="96"/>
      <c r="AH829" s="96"/>
      <c r="AI829" s="96"/>
      <c r="AJ829" s="96"/>
      <c r="AK829" s="96"/>
      <c r="AL829" s="96"/>
      <c r="AM829" s="96"/>
      <c r="AN829" s="96"/>
      <c r="AO829" s="96"/>
      <c r="AP829" s="96"/>
    </row>
    <row r="830" spans="2:42" ht="12.75">
      <c r="B830" s="186"/>
      <c r="C830" s="85"/>
      <c r="D830" s="85"/>
      <c r="E830" s="187"/>
      <c r="F830" s="187"/>
      <c r="G830" s="187"/>
      <c r="H830" s="187"/>
      <c r="I830" s="92"/>
      <c r="J830" s="92"/>
      <c r="K830" s="187"/>
      <c r="L830" s="187"/>
      <c r="M830" s="187"/>
      <c r="N830" s="187"/>
      <c r="O830" s="92"/>
      <c r="P830" s="187"/>
      <c r="Q830" s="187"/>
      <c r="R830" s="187"/>
      <c r="S830" s="187"/>
      <c r="T830" s="85"/>
      <c r="U830" s="189"/>
      <c r="V830" s="189"/>
      <c r="W830" s="189"/>
      <c r="X830" s="189"/>
      <c r="Y830" s="100"/>
      <c r="AA830" s="96"/>
      <c r="AB830" s="96"/>
      <c r="AC830" s="96"/>
      <c r="AD830" s="97"/>
      <c r="AE830" s="96"/>
      <c r="AF830" s="98"/>
      <c r="AG830" s="96"/>
      <c r="AH830" s="96"/>
      <c r="AI830" s="96"/>
      <c r="AJ830" s="96"/>
      <c r="AK830" s="96"/>
      <c r="AL830" s="96"/>
      <c r="AM830" s="96"/>
      <c r="AN830" s="96"/>
      <c r="AO830" s="96"/>
      <c r="AP830" s="96"/>
    </row>
    <row r="831" spans="2:42" ht="12.75">
      <c r="B831" s="186"/>
      <c r="C831" s="85"/>
      <c r="D831" s="85"/>
      <c r="E831" s="187"/>
      <c r="F831" s="187"/>
      <c r="G831" s="187"/>
      <c r="H831" s="187"/>
      <c r="I831" s="92"/>
      <c r="J831" s="92"/>
      <c r="K831" s="187"/>
      <c r="L831" s="187"/>
      <c r="M831" s="187"/>
      <c r="N831" s="187"/>
      <c r="O831" s="92"/>
      <c r="P831" s="187"/>
      <c r="Q831" s="187"/>
      <c r="R831" s="187"/>
      <c r="S831" s="187"/>
      <c r="T831" s="85"/>
      <c r="U831" s="189"/>
      <c r="V831" s="189"/>
      <c r="W831" s="189"/>
      <c r="X831" s="189"/>
      <c r="Y831" s="100"/>
      <c r="AA831" s="96"/>
      <c r="AB831" s="96"/>
      <c r="AC831" s="96"/>
      <c r="AD831" s="97"/>
      <c r="AE831" s="96"/>
      <c r="AF831" s="98"/>
      <c r="AG831" s="96"/>
      <c r="AH831" s="96"/>
      <c r="AI831" s="96"/>
      <c r="AJ831" s="96"/>
      <c r="AK831" s="96"/>
      <c r="AL831" s="96"/>
      <c r="AM831" s="96"/>
      <c r="AN831" s="96"/>
      <c r="AO831" s="96"/>
      <c r="AP831" s="96"/>
    </row>
    <row r="832" spans="2:42" ht="12.75">
      <c r="B832" s="186"/>
      <c r="C832" s="85"/>
      <c r="D832" s="85"/>
      <c r="E832" s="187"/>
      <c r="F832" s="187"/>
      <c r="G832" s="187"/>
      <c r="H832" s="187"/>
      <c r="I832" s="92"/>
      <c r="J832" s="92"/>
      <c r="K832" s="187"/>
      <c r="L832" s="187"/>
      <c r="M832" s="187"/>
      <c r="N832" s="187"/>
      <c r="O832" s="92"/>
      <c r="P832" s="187"/>
      <c r="Q832" s="187"/>
      <c r="R832" s="187"/>
      <c r="S832" s="187"/>
      <c r="T832" s="85"/>
      <c r="U832" s="189"/>
      <c r="V832" s="189"/>
      <c r="W832" s="189"/>
      <c r="X832" s="189"/>
      <c r="Y832" s="100"/>
      <c r="AA832" s="96"/>
      <c r="AB832" s="96"/>
      <c r="AC832" s="96"/>
      <c r="AD832" s="97"/>
      <c r="AE832" s="96"/>
      <c r="AF832" s="98"/>
      <c r="AG832" s="96"/>
      <c r="AH832" s="96"/>
      <c r="AI832" s="96"/>
      <c r="AJ832" s="96"/>
      <c r="AK832" s="96"/>
      <c r="AL832" s="96"/>
      <c r="AM832" s="96"/>
      <c r="AN832" s="96"/>
      <c r="AO832" s="96"/>
      <c r="AP832" s="96"/>
    </row>
    <row r="833" spans="2:42" ht="12.75">
      <c r="B833" s="186"/>
      <c r="C833" s="85"/>
      <c r="D833" s="85"/>
      <c r="E833" s="187"/>
      <c r="F833" s="187"/>
      <c r="G833" s="187"/>
      <c r="H833" s="187"/>
      <c r="I833" s="92"/>
      <c r="J833" s="92"/>
      <c r="K833" s="187"/>
      <c r="L833" s="187"/>
      <c r="M833" s="187"/>
      <c r="N833" s="187"/>
      <c r="O833" s="92"/>
      <c r="P833" s="187"/>
      <c r="Q833" s="187"/>
      <c r="R833" s="187"/>
      <c r="S833" s="187"/>
      <c r="T833" s="85"/>
      <c r="U833" s="189"/>
      <c r="V833" s="189"/>
      <c r="W833" s="189"/>
      <c r="X833" s="189"/>
      <c r="Y833" s="100"/>
      <c r="AA833" s="96"/>
      <c r="AB833" s="96"/>
      <c r="AC833" s="96"/>
      <c r="AD833" s="97"/>
      <c r="AE833" s="96"/>
      <c r="AF833" s="98"/>
      <c r="AG833" s="96"/>
      <c r="AH833" s="96"/>
      <c r="AI833" s="96"/>
      <c r="AJ833" s="96"/>
      <c r="AK833" s="96"/>
      <c r="AL833" s="96"/>
      <c r="AM833" s="96"/>
      <c r="AN833" s="96"/>
      <c r="AO833" s="96"/>
      <c r="AP833" s="96"/>
    </row>
    <row r="834" spans="2:42" ht="12.75">
      <c r="B834" s="186"/>
      <c r="C834" s="85"/>
      <c r="D834" s="85"/>
      <c r="E834" s="187"/>
      <c r="F834" s="187"/>
      <c r="G834" s="187"/>
      <c r="H834" s="187"/>
      <c r="I834" s="92"/>
      <c r="J834" s="92"/>
      <c r="K834" s="187"/>
      <c r="L834" s="187"/>
      <c r="M834" s="187"/>
      <c r="N834" s="187"/>
      <c r="O834" s="92"/>
      <c r="P834" s="187"/>
      <c r="Q834" s="187"/>
      <c r="R834" s="187"/>
      <c r="S834" s="187"/>
      <c r="T834" s="85"/>
      <c r="U834" s="189"/>
      <c r="V834" s="189"/>
      <c r="W834" s="189"/>
      <c r="X834" s="189"/>
      <c r="Y834" s="100"/>
      <c r="AA834" s="96"/>
      <c r="AB834" s="96"/>
      <c r="AC834" s="96"/>
      <c r="AD834" s="97"/>
      <c r="AE834" s="96"/>
      <c r="AF834" s="98"/>
      <c r="AG834" s="96"/>
      <c r="AH834" s="96"/>
      <c r="AI834" s="96"/>
      <c r="AJ834" s="96"/>
      <c r="AK834" s="96"/>
      <c r="AL834" s="96"/>
      <c r="AM834" s="96"/>
      <c r="AN834" s="96"/>
      <c r="AO834" s="96"/>
      <c r="AP834" s="96"/>
    </row>
    <row r="835" spans="2:42" ht="12.75">
      <c r="B835" s="186"/>
      <c r="C835" s="85"/>
      <c r="D835" s="85"/>
      <c r="E835" s="187"/>
      <c r="F835" s="187"/>
      <c r="G835" s="187"/>
      <c r="H835" s="187"/>
      <c r="I835" s="92"/>
      <c r="J835" s="92"/>
      <c r="K835" s="187"/>
      <c r="L835" s="187"/>
      <c r="M835" s="187"/>
      <c r="N835" s="187"/>
      <c r="O835" s="92"/>
      <c r="P835" s="187"/>
      <c r="Q835" s="187"/>
      <c r="R835" s="187"/>
      <c r="S835" s="187"/>
      <c r="T835" s="85"/>
      <c r="U835" s="189"/>
      <c r="V835" s="189"/>
      <c r="W835" s="189"/>
      <c r="X835" s="189"/>
      <c r="Y835" s="100"/>
      <c r="AA835" s="96"/>
      <c r="AB835" s="96"/>
      <c r="AC835" s="96"/>
      <c r="AD835" s="97"/>
      <c r="AE835" s="96"/>
      <c r="AF835" s="98"/>
      <c r="AG835" s="96"/>
      <c r="AH835" s="96"/>
      <c r="AI835" s="96"/>
      <c r="AJ835" s="96"/>
      <c r="AK835" s="96"/>
      <c r="AL835" s="96"/>
      <c r="AM835" s="96"/>
      <c r="AN835" s="96"/>
      <c r="AO835" s="96"/>
      <c r="AP835" s="96"/>
    </row>
    <row r="836" spans="2:42" ht="12.75">
      <c r="B836" s="186"/>
      <c r="C836" s="85"/>
      <c r="D836" s="85"/>
      <c r="E836" s="187"/>
      <c r="F836" s="187"/>
      <c r="G836" s="187"/>
      <c r="H836" s="187"/>
      <c r="I836" s="92"/>
      <c r="J836" s="92"/>
      <c r="K836" s="187"/>
      <c r="L836" s="187"/>
      <c r="M836" s="187"/>
      <c r="N836" s="187"/>
      <c r="O836" s="92"/>
      <c r="P836" s="187"/>
      <c r="Q836" s="187"/>
      <c r="R836" s="187"/>
      <c r="S836" s="187"/>
      <c r="T836" s="85"/>
      <c r="U836" s="189"/>
      <c r="V836" s="189"/>
      <c r="W836" s="189"/>
      <c r="X836" s="189"/>
      <c r="Y836" s="100"/>
      <c r="AA836" s="96"/>
      <c r="AB836" s="96"/>
      <c r="AC836" s="96"/>
      <c r="AD836" s="97"/>
      <c r="AE836" s="96"/>
      <c r="AF836" s="98"/>
      <c r="AG836" s="96"/>
      <c r="AH836" s="96"/>
      <c r="AI836" s="96"/>
      <c r="AJ836" s="96"/>
      <c r="AK836" s="96"/>
      <c r="AL836" s="96"/>
      <c r="AM836" s="96"/>
      <c r="AN836" s="96"/>
      <c r="AO836" s="96"/>
      <c r="AP836" s="96"/>
    </row>
    <row r="837" spans="2:42" ht="12.75">
      <c r="B837" s="186"/>
      <c r="C837" s="85"/>
      <c r="D837" s="85"/>
      <c r="E837" s="187"/>
      <c r="F837" s="187"/>
      <c r="G837" s="187"/>
      <c r="H837" s="187"/>
      <c r="I837" s="92"/>
      <c r="J837" s="92"/>
      <c r="K837" s="187"/>
      <c r="L837" s="187"/>
      <c r="M837" s="187"/>
      <c r="N837" s="187"/>
      <c r="O837" s="92"/>
      <c r="P837" s="187"/>
      <c r="Q837" s="187"/>
      <c r="R837" s="187"/>
      <c r="S837" s="187"/>
      <c r="T837" s="85"/>
      <c r="U837" s="189"/>
      <c r="V837" s="189"/>
      <c r="W837" s="189"/>
      <c r="X837" s="189"/>
      <c r="Y837" s="100"/>
      <c r="AA837" s="96"/>
      <c r="AB837" s="96"/>
      <c r="AC837" s="96"/>
      <c r="AD837" s="97"/>
      <c r="AE837" s="96"/>
      <c r="AF837" s="98"/>
      <c r="AG837" s="96"/>
      <c r="AH837" s="96"/>
      <c r="AI837" s="96"/>
      <c r="AJ837" s="96"/>
      <c r="AK837" s="96"/>
      <c r="AL837" s="96"/>
      <c r="AM837" s="96"/>
      <c r="AN837" s="96"/>
      <c r="AO837" s="96"/>
      <c r="AP837" s="96"/>
    </row>
    <row r="838" spans="2:42" ht="12.75">
      <c r="B838" s="186"/>
      <c r="C838" s="85"/>
      <c r="D838" s="85"/>
      <c r="E838" s="187"/>
      <c r="F838" s="187"/>
      <c r="G838" s="187"/>
      <c r="H838" s="187"/>
      <c r="I838" s="92"/>
      <c r="J838" s="92"/>
      <c r="K838" s="187"/>
      <c r="L838" s="187"/>
      <c r="M838" s="187"/>
      <c r="N838" s="187"/>
      <c r="O838" s="92"/>
      <c r="P838" s="187"/>
      <c r="Q838" s="187"/>
      <c r="R838" s="187"/>
      <c r="S838" s="187"/>
      <c r="T838" s="85"/>
      <c r="U838" s="189"/>
      <c r="V838" s="189"/>
      <c r="W838" s="189"/>
      <c r="X838" s="189"/>
      <c r="Y838" s="100"/>
      <c r="AA838" s="96"/>
      <c r="AB838" s="96"/>
      <c r="AC838" s="96"/>
      <c r="AD838" s="97"/>
      <c r="AE838" s="96"/>
      <c r="AF838" s="98"/>
      <c r="AG838" s="96"/>
      <c r="AH838" s="96"/>
      <c r="AI838" s="96"/>
      <c r="AJ838" s="96"/>
      <c r="AK838" s="96"/>
      <c r="AL838" s="96"/>
      <c r="AM838" s="96"/>
      <c r="AN838" s="96"/>
      <c r="AO838" s="96"/>
      <c r="AP838" s="96"/>
    </row>
    <row r="839" spans="2:42" ht="12.75">
      <c r="B839" s="186"/>
      <c r="C839" s="85"/>
      <c r="D839" s="85"/>
      <c r="E839" s="187"/>
      <c r="F839" s="187"/>
      <c r="G839" s="187"/>
      <c r="H839" s="187"/>
      <c r="I839" s="92"/>
      <c r="J839" s="92"/>
      <c r="K839" s="187"/>
      <c r="L839" s="187"/>
      <c r="M839" s="187"/>
      <c r="N839" s="187"/>
      <c r="O839" s="92"/>
      <c r="P839" s="187"/>
      <c r="Q839" s="187"/>
      <c r="R839" s="187"/>
      <c r="S839" s="187"/>
      <c r="T839" s="85"/>
      <c r="U839" s="189"/>
      <c r="V839" s="189"/>
      <c r="W839" s="189"/>
      <c r="X839" s="189"/>
      <c r="Y839" s="100"/>
      <c r="AA839" s="96"/>
      <c r="AB839" s="96"/>
      <c r="AC839" s="96"/>
      <c r="AD839" s="97"/>
      <c r="AE839" s="96"/>
      <c r="AF839" s="98"/>
      <c r="AG839" s="96"/>
      <c r="AH839" s="96"/>
      <c r="AI839" s="96"/>
      <c r="AJ839" s="96"/>
      <c r="AK839" s="96"/>
      <c r="AL839" s="96"/>
      <c r="AM839" s="96"/>
      <c r="AN839" s="96"/>
      <c r="AO839" s="96"/>
      <c r="AP839" s="96"/>
    </row>
    <row r="840" spans="2:42" ht="12.75">
      <c r="B840" s="186"/>
      <c r="C840" s="85"/>
      <c r="D840" s="85"/>
      <c r="E840" s="187"/>
      <c r="F840" s="187"/>
      <c r="G840" s="187"/>
      <c r="H840" s="187"/>
      <c r="I840" s="92"/>
      <c r="J840" s="92"/>
      <c r="K840" s="187"/>
      <c r="L840" s="187"/>
      <c r="M840" s="187"/>
      <c r="N840" s="187"/>
      <c r="O840" s="92"/>
      <c r="P840" s="187"/>
      <c r="Q840" s="187"/>
      <c r="R840" s="187"/>
      <c r="S840" s="187"/>
      <c r="T840" s="85"/>
      <c r="U840" s="189"/>
      <c r="V840" s="189"/>
      <c r="W840" s="189"/>
      <c r="X840" s="189"/>
      <c r="Y840" s="100"/>
      <c r="AA840" s="96"/>
      <c r="AB840" s="96"/>
      <c r="AC840" s="96"/>
      <c r="AD840" s="97"/>
      <c r="AE840" s="96"/>
      <c r="AF840" s="98"/>
      <c r="AG840" s="96"/>
      <c r="AH840" s="96"/>
      <c r="AI840" s="96"/>
      <c r="AJ840" s="96"/>
      <c r="AK840" s="96"/>
      <c r="AL840" s="96"/>
      <c r="AM840" s="96"/>
      <c r="AN840" s="96"/>
      <c r="AO840" s="96"/>
      <c r="AP840" s="96"/>
    </row>
    <row r="841" spans="2:42" ht="12.75">
      <c r="B841" s="186"/>
      <c r="C841" s="85"/>
      <c r="D841" s="85"/>
      <c r="E841" s="187"/>
      <c r="F841" s="187"/>
      <c r="G841" s="187"/>
      <c r="H841" s="187"/>
      <c r="I841" s="92"/>
      <c r="J841" s="92"/>
      <c r="K841" s="187"/>
      <c r="L841" s="187"/>
      <c r="M841" s="187"/>
      <c r="N841" s="187"/>
      <c r="O841" s="92"/>
      <c r="P841" s="187"/>
      <c r="Q841" s="187"/>
      <c r="R841" s="187"/>
      <c r="S841" s="187"/>
      <c r="T841" s="85"/>
      <c r="U841" s="189"/>
      <c r="V841" s="189"/>
      <c r="W841" s="189"/>
      <c r="X841" s="189"/>
      <c r="Y841" s="100"/>
      <c r="AA841" s="96"/>
      <c r="AB841" s="96"/>
      <c r="AC841" s="96"/>
      <c r="AD841" s="97"/>
      <c r="AE841" s="96"/>
      <c r="AF841" s="98"/>
      <c r="AG841" s="96"/>
      <c r="AH841" s="96"/>
      <c r="AI841" s="96"/>
      <c r="AJ841" s="96"/>
      <c r="AK841" s="96"/>
      <c r="AL841" s="96"/>
      <c r="AM841" s="96"/>
      <c r="AN841" s="96"/>
      <c r="AO841" s="96"/>
      <c r="AP841" s="96"/>
    </row>
    <row r="842" spans="2:42" ht="12.75">
      <c r="B842" s="186"/>
      <c r="C842" s="85"/>
      <c r="D842" s="85"/>
      <c r="E842" s="187"/>
      <c r="F842" s="187"/>
      <c r="G842" s="187"/>
      <c r="H842" s="187"/>
      <c r="I842" s="92"/>
      <c r="J842" s="92"/>
      <c r="K842" s="187"/>
      <c r="L842" s="187"/>
      <c r="M842" s="187"/>
      <c r="N842" s="187"/>
      <c r="O842" s="92"/>
      <c r="P842" s="187"/>
      <c r="Q842" s="187"/>
      <c r="R842" s="187"/>
      <c r="S842" s="187"/>
      <c r="T842" s="85"/>
      <c r="U842" s="189"/>
      <c r="V842" s="189"/>
      <c r="W842" s="189"/>
      <c r="X842" s="189"/>
      <c r="Y842" s="100"/>
      <c r="AA842" s="96"/>
      <c r="AB842" s="96"/>
      <c r="AC842" s="96"/>
      <c r="AD842" s="97"/>
      <c r="AE842" s="96"/>
      <c r="AF842" s="98"/>
      <c r="AG842" s="96"/>
      <c r="AH842" s="96"/>
      <c r="AI842" s="96"/>
      <c r="AJ842" s="96"/>
      <c r="AK842" s="96"/>
      <c r="AL842" s="96"/>
      <c r="AM842" s="96"/>
      <c r="AN842" s="96"/>
      <c r="AO842" s="96"/>
      <c r="AP842" s="96"/>
    </row>
    <row r="843" spans="2:42" ht="12.75">
      <c r="B843" s="186"/>
      <c r="C843" s="85"/>
      <c r="D843" s="85"/>
      <c r="E843" s="187"/>
      <c r="F843" s="187"/>
      <c r="G843" s="187"/>
      <c r="H843" s="187"/>
      <c r="I843" s="92"/>
      <c r="J843" s="92"/>
      <c r="K843" s="187"/>
      <c r="L843" s="187"/>
      <c r="M843" s="187"/>
      <c r="N843" s="187"/>
      <c r="O843" s="92"/>
      <c r="P843" s="187"/>
      <c r="Q843" s="187"/>
      <c r="R843" s="187"/>
      <c r="S843" s="187"/>
      <c r="T843" s="85"/>
      <c r="U843" s="189"/>
      <c r="V843" s="189"/>
      <c r="W843" s="189"/>
      <c r="X843" s="189"/>
      <c r="Y843" s="100"/>
      <c r="AA843" s="96"/>
      <c r="AB843" s="96"/>
      <c r="AC843" s="96"/>
      <c r="AD843" s="97"/>
      <c r="AE843" s="96"/>
      <c r="AF843" s="98"/>
      <c r="AG843" s="96"/>
      <c r="AH843" s="96"/>
      <c r="AI843" s="96"/>
      <c r="AJ843" s="96"/>
      <c r="AK843" s="96"/>
      <c r="AL843" s="96"/>
      <c r="AM843" s="96"/>
      <c r="AN843" s="96"/>
      <c r="AO843" s="96"/>
      <c r="AP843" s="96"/>
    </row>
    <row r="844" spans="2:42" ht="12.75">
      <c r="B844" s="186"/>
      <c r="C844" s="85"/>
      <c r="D844" s="85"/>
      <c r="E844" s="187"/>
      <c r="F844" s="187"/>
      <c r="G844" s="187"/>
      <c r="H844" s="187"/>
      <c r="I844" s="92"/>
      <c r="J844" s="92"/>
      <c r="K844" s="187"/>
      <c r="L844" s="187"/>
      <c r="M844" s="187"/>
      <c r="N844" s="187"/>
      <c r="O844" s="92"/>
      <c r="P844" s="187"/>
      <c r="Q844" s="187"/>
      <c r="R844" s="187"/>
      <c r="S844" s="187"/>
      <c r="T844" s="85"/>
      <c r="U844" s="189"/>
      <c r="V844" s="189"/>
      <c r="W844" s="189"/>
      <c r="X844" s="189"/>
      <c r="Y844" s="100"/>
      <c r="AA844" s="96"/>
      <c r="AB844" s="96"/>
      <c r="AC844" s="96"/>
      <c r="AD844" s="97"/>
      <c r="AE844" s="96"/>
      <c r="AF844" s="98"/>
      <c r="AG844" s="96"/>
      <c r="AH844" s="96"/>
      <c r="AI844" s="96"/>
      <c r="AJ844" s="96"/>
      <c r="AK844" s="96"/>
      <c r="AL844" s="96"/>
      <c r="AM844" s="96"/>
      <c r="AN844" s="96"/>
      <c r="AO844" s="96"/>
      <c r="AP844" s="96"/>
    </row>
    <row r="845" spans="2:42" ht="12.75">
      <c r="B845" s="186"/>
      <c r="C845" s="85"/>
      <c r="D845" s="85"/>
      <c r="E845" s="187"/>
      <c r="F845" s="187"/>
      <c r="G845" s="187"/>
      <c r="H845" s="187"/>
      <c r="I845" s="92"/>
      <c r="J845" s="92"/>
      <c r="K845" s="187"/>
      <c r="L845" s="187"/>
      <c r="M845" s="187"/>
      <c r="N845" s="187"/>
      <c r="O845" s="92"/>
      <c r="P845" s="187"/>
      <c r="Q845" s="187"/>
      <c r="R845" s="187"/>
      <c r="S845" s="187"/>
      <c r="T845" s="85"/>
      <c r="U845" s="189"/>
      <c r="V845" s="189"/>
      <c r="W845" s="189"/>
      <c r="X845" s="189"/>
      <c r="Y845" s="100"/>
      <c r="AA845" s="96"/>
      <c r="AB845" s="96"/>
      <c r="AC845" s="96"/>
      <c r="AD845" s="97"/>
      <c r="AE845" s="96"/>
      <c r="AF845" s="98"/>
      <c r="AG845" s="96"/>
      <c r="AH845" s="96"/>
      <c r="AI845" s="96"/>
      <c r="AJ845" s="96"/>
      <c r="AK845" s="96"/>
      <c r="AL845" s="96"/>
      <c r="AM845" s="96"/>
      <c r="AN845" s="96"/>
      <c r="AO845" s="96"/>
      <c r="AP845" s="96"/>
    </row>
    <row r="846" spans="2:42" ht="12.75">
      <c r="B846" s="186"/>
      <c r="C846" s="85"/>
      <c r="D846" s="85"/>
      <c r="E846" s="187"/>
      <c r="F846" s="187"/>
      <c r="G846" s="187"/>
      <c r="H846" s="187"/>
      <c r="I846" s="92"/>
      <c r="J846" s="92"/>
      <c r="K846" s="187"/>
      <c r="L846" s="187"/>
      <c r="M846" s="187"/>
      <c r="N846" s="187"/>
      <c r="O846" s="92"/>
      <c r="P846" s="187"/>
      <c r="Q846" s="187"/>
      <c r="R846" s="187"/>
      <c r="S846" s="187"/>
      <c r="T846" s="85"/>
      <c r="U846" s="189"/>
      <c r="V846" s="189"/>
      <c r="W846" s="189"/>
      <c r="X846" s="189"/>
      <c r="Y846" s="100"/>
      <c r="AA846" s="96"/>
      <c r="AB846" s="96"/>
      <c r="AC846" s="96"/>
      <c r="AD846" s="97"/>
      <c r="AE846" s="96"/>
      <c r="AF846" s="98"/>
      <c r="AG846" s="96"/>
      <c r="AH846" s="96"/>
      <c r="AI846" s="96"/>
      <c r="AJ846" s="96"/>
      <c r="AK846" s="96"/>
      <c r="AL846" s="96"/>
      <c r="AM846" s="96"/>
      <c r="AN846" s="96"/>
      <c r="AO846" s="96"/>
      <c r="AP846" s="96"/>
    </row>
    <row r="847" spans="2:42" ht="12.75">
      <c r="B847" s="186"/>
      <c r="C847" s="85"/>
      <c r="D847" s="85"/>
      <c r="E847" s="187"/>
      <c r="F847" s="187"/>
      <c r="G847" s="187"/>
      <c r="H847" s="187"/>
      <c r="I847" s="92"/>
      <c r="J847" s="92"/>
      <c r="K847" s="187"/>
      <c r="L847" s="187"/>
      <c r="M847" s="187"/>
      <c r="N847" s="187"/>
      <c r="O847" s="92"/>
      <c r="P847" s="187"/>
      <c r="Q847" s="187"/>
      <c r="R847" s="187"/>
      <c r="S847" s="187"/>
      <c r="T847" s="85"/>
      <c r="U847" s="189"/>
      <c r="V847" s="189"/>
      <c r="W847" s="189"/>
      <c r="X847" s="189"/>
      <c r="Y847" s="100"/>
      <c r="AA847" s="96"/>
      <c r="AB847" s="96"/>
      <c r="AC847" s="96"/>
      <c r="AD847" s="97"/>
      <c r="AE847" s="96"/>
      <c r="AF847" s="98"/>
      <c r="AG847" s="96"/>
      <c r="AH847" s="96"/>
      <c r="AI847" s="96"/>
      <c r="AJ847" s="96"/>
      <c r="AK847" s="96"/>
      <c r="AL847" s="96"/>
      <c r="AM847" s="96"/>
      <c r="AN847" s="96"/>
      <c r="AO847" s="96"/>
      <c r="AP847" s="96"/>
    </row>
    <row r="848" spans="2:42" ht="12.75">
      <c r="B848" s="186"/>
      <c r="C848" s="85"/>
      <c r="D848" s="85"/>
      <c r="E848" s="187"/>
      <c r="F848" s="187"/>
      <c r="G848" s="187"/>
      <c r="H848" s="187"/>
      <c r="I848" s="92"/>
      <c r="J848" s="92"/>
      <c r="K848" s="187"/>
      <c r="L848" s="187"/>
      <c r="M848" s="187"/>
      <c r="N848" s="187"/>
      <c r="O848" s="92"/>
      <c r="P848" s="187"/>
      <c r="Q848" s="187"/>
      <c r="R848" s="187"/>
      <c r="S848" s="187"/>
      <c r="T848" s="85"/>
      <c r="U848" s="189"/>
      <c r="V848" s="189"/>
      <c r="W848" s="189"/>
      <c r="X848" s="189"/>
      <c r="Y848" s="100"/>
      <c r="AA848" s="96"/>
      <c r="AB848" s="96"/>
      <c r="AC848" s="96"/>
      <c r="AD848" s="97"/>
      <c r="AE848" s="96"/>
      <c r="AF848" s="98"/>
      <c r="AG848" s="96"/>
      <c r="AH848" s="96"/>
      <c r="AI848" s="96"/>
      <c r="AJ848" s="96"/>
      <c r="AK848" s="96"/>
      <c r="AL848" s="96"/>
      <c r="AM848" s="96"/>
      <c r="AN848" s="96"/>
      <c r="AO848" s="96"/>
      <c r="AP848" s="96"/>
    </row>
    <row r="849" spans="2:42" ht="12.75">
      <c r="B849" s="186"/>
      <c r="C849" s="85"/>
      <c r="D849" s="85"/>
      <c r="E849" s="187"/>
      <c r="F849" s="187"/>
      <c r="G849" s="187"/>
      <c r="H849" s="187"/>
      <c r="I849" s="92"/>
      <c r="J849" s="92"/>
      <c r="K849" s="187"/>
      <c r="L849" s="187"/>
      <c r="M849" s="187"/>
      <c r="N849" s="187"/>
      <c r="O849" s="92"/>
      <c r="P849" s="187"/>
      <c r="Q849" s="187"/>
      <c r="R849" s="187"/>
      <c r="S849" s="187"/>
      <c r="T849" s="85"/>
      <c r="U849" s="189"/>
      <c r="V849" s="189"/>
      <c r="W849" s="189"/>
      <c r="X849" s="189"/>
      <c r="Y849" s="100"/>
      <c r="AA849" s="96"/>
      <c r="AB849" s="96"/>
      <c r="AC849" s="96"/>
      <c r="AD849" s="97"/>
      <c r="AE849" s="96"/>
      <c r="AF849" s="98"/>
      <c r="AG849" s="96"/>
      <c r="AH849" s="96"/>
      <c r="AI849" s="96"/>
      <c r="AJ849" s="96"/>
      <c r="AK849" s="96"/>
      <c r="AL849" s="96"/>
      <c r="AM849" s="96"/>
      <c r="AN849" s="96"/>
      <c r="AO849" s="96"/>
      <c r="AP849" s="96"/>
    </row>
    <row r="850" spans="2:42" ht="12.75">
      <c r="B850" s="186"/>
      <c r="C850" s="85"/>
      <c r="D850" s="85"/>
      <c r="E850" s="187"/>
      <c r="F850" s="187"/>
      <c r="G850" s="187"/>
      <c r="H850" s="187"/>
      <c r="I850" s="92"/>
      <c r="J850" s="92"/>
      <c r="K850" s="187"/>
      <c r="L850" s="187"/>
      <c r="M850" s="187"/>
      <c r="N850" s="187"/>
      <c r="O850" s="92"/>
      <c r="P850" s="187"/>
      <c r="Q850" s="187"/>
      <c r="R850" s="187"/>
      <c r="S850" s="187"/>
      <c r="T850" s="85"/>
      <c r="U850" s="189"/>
      <c r="V850" s="189"/>
      <c r="W850" s="189"/>
      <c r="X850" s="189"/>
      <c r="Y850" s="100"/>
      <c r="AA850" s="96"/>
      <c r="AB850" s="96"/>
      <c r="AC850" s="96"/>
      <c r="AD850" s="97"/>
      <c r="AE850" s="96"/>
      <c r="AF850" s="98"/>
      <c r="AG850" s="96"/>
      <c r="AH850" s="96"/>
      <c r="AI850" s="96"/>
      <c r="AJ850" s="96"/>
      <c r="AK850" s="96"/>
      <c r="AL850" s="96"/>
      <c r="AM850" s="96"/>
      <c r="AN850" s="96"/>
      <c r="AO850" s="96"/>
      <c r="AP850" s="96"/>
    </row>
    <row r="851" spans="2:42" ht="12.75">
      <c r="B851" s="186"/>
      <c r="C851" s="85"/>
      <c r="D851" s="85"/>
      <c r="E851" s="187"/>
      <c r="F851" s="187"/>
      <c r="G851" s="187"/>
      <c r="H851" s="187"/>
      <c r="I851" s="92"/>
      <c r="J851" s="92"/>
      <c r="K851" s="187"/>
      <c r="L851" s="187"/>
      <c r="M851" s="187"/>
      <c r="N851" s="187"/>
      <c r="O851" s="92"/>
      <c r="P851" s="187"/>
      <c r="Q851" s="187"/>
      <c r="R851" s="187"/>
      <c r="S851" s="187"/>
      <c r="T851" s="85"/>
      <c r="U851" s="189"/>
      <c r="V851" s="189"/>
      <c r="W851" s="189"/>
      <c r="X851" s="189"/>
      <c r="Y851" s="100"/>
      <c r="AA851" s="96"/>
      <c r="AB851" s="96"/>
      <c r="AC851" s="96"/>
      <c r="AD851" s="97"/>
      <c r="AE851" s="96"/>
      <c r="AF851" s="98"/>
      <c r="AG851" s="96"/>
      <c r="AH851" s="96"/>
      <c r="AI851" s="96"/>
      <c r="AJ851" s="96"/>
      <c r="AK851" s="96"/>
      <c r="AL851" s="96"/>
      <c r="AM851" s="96"/>
      <c r="AN851" s="96"/>
      <c r="AO851" s="96"/>
      <c r="AP851" s="96"/>
    </row>
    <row r="852" spans="2:42" ht="12.75">
      <c r="B852" s="186"/>
      <c r="C852" s="85"/>
      <c r="D852" s="85"/>
      <c r="E852" s="187"/>
      <c r="F852" s="187"/>
      <c r="G852" s="187"/>
      <c r="H852" s="187"/>
      <c r="I852" s="92"/>
      <c r="J852" s="92"/>
      <c r="K852" s="187"/>
      <c r="L852" s="187"/>
      <c r="M852" s="187"/>
      <c r="N852" s="187"/>
      <c r="O852" s="92"/>
      <c r="P852" s="187"/>
      <c r="Q852" s="187"/>
      <c r="R852" s="187"/>
      <c r="S852" s="187"/>
      <c r="T852" s="85"/>
      <c r="U852" s="189"/>
      <c r="V852" s="189"/>
      <c r="W852" s="189"/>
      <c r="X852" s="189"/>
      <c r="Y852" s="100"/>
      <c r="AA852" s="96"/>
      <c r="AB852" s="96"/>
      <c r="AC852" s="96"/>
      <c r="AD852" s="97"/>
      <c r="AE852" s="96"/>
      <c r="AF852" s="98"/>
      <c r="AG852" s="96"/>
      <c r="AH852" s="96"/>
      <c r="AI852" s="96"/>
      <c r="AJ852" s="96"/>
      <c r="AK852" s="96"/>
      <c r="AL852" s="96"/>
      <c r="AM852" s="96"/>
      <c r="AN852" s="96"/>
      <c r="AO852" s="96"/>
      <c r="AP852" s="96"/>
    </row>
    <row r="853" spans="2:42" ht="12.75">
      <c r="B853" s="186"/>
      <c r="C853" s="85"/>
      <c r="D853" s="85"/>
      <c r="E853" s="187"/>
      <c r="F853" s="187"/>
      <c r="G853" s="187"/>
      <c r="H853" s="187"/>
      <c r="I853" s="92"/>
      <c r="J853" s="92"/>
      <c r="K853" s="187"/>
      <c r="L853" s="187"/>
      <c r="M853" s="187"/>
      <c r="N853" s="187"/>
      <c r="O853" s="92"/>
      <c r="P853" s="187"/>
      <c r="Q853" s="187"/>
      <c r="R853" s="187"/>
      <c r="S853" s="187"/>
      <c r="T853" s="85"/>
      <c r="U853" s="189"/>
      <c r="V853" s="189"/>
      <c r="W853" s="189"/>
      <c r="X853" s="189"/>
      <c r="Y853" s="100"/>
      <c r="AA853" s="96"/>
      <c r="AB853" s="96"/>
      <c r="AC853" s="96"/>
      <c r="AD853" s="97"/>
      <c r="AE853" s="96"/>
      <c r="AF853" s="98"/>
      <c r="AG853" s="96"/>
      <c r="AH853" s="96"/>
      <c r="AI853" s="96"/>
      <c r="AJ853" s="96"/>
      <c r="AK853" s="96"/>
      <c r="AL853" s="96"/>
      <c r="AM853" s="96"/>
      <c r="AN853" s="96"/>
      <c r="AO853" s="96"/>
      <c r="AP853" s="96"/>
    </row>
    <row r="854" spans="2:42" ht="12.75">
      <c r="B854" s="186"/>
      <c r="C854" s="85"/>
      <c r="D854" s="85"/>
      <c r="E854" s="187"/>
      <c r="F854" s="187"/>
      <c r="G854" s="187"/>
      <c r="H854" s="187"/>
      <c r="I854" s="92"/>
      <c r="J854" s="92"/>
      <c r="K854" s="187"/>
      <c r="L854" s="187"/>
      <c r="M854" s="187"/>
      <c r="N854" s="187"/>
      <c r="O854" s="92"/>
      <c r="P854" s="187"/>
      <c r="Q854" s="187"/>
      <c r="R854" s="187"/>
      <c r="S854" s="187"/>
      <c r="T854" s="85"/>
      <c r="U854" s="189"/>
      <c r="V854" s="189"/>
      <c r="W854" s="189"/>
      <c r="X854" s="189"/>
      <c r="Y854" s="100"/>
      <c r="AA854" s="96"/>
      <c r="AB854" s="96"/>
      <c r="AC854" s="96"/>
      <c r="AD854" s="97"/>
      <c r="AE854" s="96"/>
      <c r="AF854" s="98"/>
      <c r="AG854" s="96"/>
      <c r="AH854" s="96"/>
      <c r="AI854" s="96"/>
      <c r="AJ854" s="96"/>
      <c r="AK854" s="96"/>
      <c r="AL854" s="96"/>
      <c r="AM854" s="96"/>
      <c r="AN854" s="96"/>
      <c r="AO854" s="96"/>
      <c r="AP854" s="96"/>
    </row>
    <row r="855" spans="2:42" ht="12.75">
      <c r="B855" s="186"/>
      <c r="C855" s="85"/>
      <c r="D855" s="85"/>
      <c r="E855" s="187"/>
      <c r="F855" s="187"/>
      <c r="G855" s="187"/>
      <c r="H855" s="187"/>
      <c r="I855" s="92"/>
      <c r="J855" s="92"/>
      <c r="K855" s="187"/>
      <c r="L855" s="187"/>
      <c r="M855" s="187"/>
      <c r="N855" s="187"/>
      <c r="O855" s="92"/>
      <c r="P855" s="187"/>
      <c r="Q855" s="187"/>
      <c r="R855" s="187"/>
      <c r="S855" s="187"/>
      <c r="T855" s="85"/>
      <c r="U855" s="189"/>
      <c r="V855" s="189"/>
      <c r="W855" s="189"/>
      <c r="X855" s="189"/>
      <c r="Y855" s="100"/>
      <c r="AA855" s="96"/>
      <c r="AB855" s="96"/>
      <c r="AC855" s="96"/>
      <c r="AD855" s="97"/>
      <c r="AE855" s="96"/>
      <c r="AF855" s="98"/>
      <c r="AG855" s="96"/>
      <c r="AH855" s="96"/>
      <c r="AI855" s="96"/>
      <c r="AJ855" s="96"/>
      <c r="AK855" s="96"/>
      <c r="AL855" s="96"/>
      <c r="AM855" s="96"/>
      <c r="AN855" s="96"/>
      <c r="AO855" s="96"/>
      <c r="AP855" s="96"/>
    </row>
    <row r="856" spans="2:42" ht="12.75">
      <c r="B856" s="186"/>
      <c r="C856" s="85"/>
      <c r="D856" s="85"/>
      <c r="E856" s="187"/>
      <c r="F856" s="187"/>
      <c r="G856" s="187"/>
      <c r="H856" s="187"/>
      <c r="I856" s="92"/>
      <c r="J856" s="92"/>
      <c r="K856" s="187"/>
      <c r="L856" s="187"/>
      <c r="M856" s="187"/>
      <c r="N856" s="187"/>
      <c r="O856" s="92"/>
      <c r="P856" s="187"/>
      <c r="Q856" s="187"/>
      <c r="R856" s="187"/>
      <c r="S856" s="187"/>
      <c r="T856" s="85"/>
      <c r="U856" s="189"/>
      <c r="V856" s="189"/>
      <c r="W856" s="189"/>
      <c r="X856" s="189"/>
      <c r="Y856" s="100"/>
      <c r="AA856" s="96"/>
      <c r="AB856" s="96"/>
      <c r="AC856" s="96"/>
      <c r="AD856" s="97"/>
      <c r="AE856" s="96"/>
      <c r="AF856" s="98"/>
      <c r="AG856" s="96"/>
      <c r="AH856" s="96"/>
      <c r="AI856" s="96"/>
      <c r="AJ856" s="96"/>
      <c r="AK856" s="96"/>
      <c r="AL856" s="96"/>
      <c r="AM856" s="96"/>
      <c r="AN856" s="96"/>
      <c r="AO856" s="96"/>
      <c r="AP856" s="96"/>
    </row>
    <row r="857" spans="2:42" ht="12.75">
      <c r="B857" s="186"/>
      <c r="C857" s="85"/>
      <c r="D857" s="85"/>
      <c r="E857" s="187"/>
      <c r="F857" s="187"/>
      <c r="G857" s="187"/>
      <c r="H857" s="187"/>
      <c r="I857" s="92"/>
      <c r="J857" s="92"/>
      <c r="K857" s="187"/>
      <c r="L857" s="187"/>
      <c r="M857" s="187"/>
      <c r="N857" s="187"/>
      <c r="O857" s="92"/>
      <c r="P857" s="187"/>
      <c r="Q857" s="187"/>
      <c r="R857" s="187"/>
      <c r="S857" s="187"/>
      <c r="T857" s="85"/>
      <c r="U857" s="189"/>
      <c r="V857" s="189"/>
      <c r="W857" s="189"/>
      <c r="X857" s="189"/>
      <c r="Y857" s="100"/>
      <c r="AA857" s="96"/>
      <c r="AB857" s="96"/>
      <c r="AC857" s="96"/>
      <c r="AD857" s="97"/>
      <c r="AE857" s="96"/>
      <c r="AF857" s="98"/>
      <c r="AG857" s="96"/>
      <c r="AH857" s="96"/>
      <c r="AI857" s="96"/>
      <c r="AJ857" s="96"/>
      <c r="AK857" s="96"/>
      <c r="AL857" s="96"/>
      <c r="AM857" s="96"/>
      <c r="AN857" s="96"/>
      <c r="AO857" s="96"/>
      <c r="AP857" s="96"/>
    </row>
    <row r="858" spans="2:42" ht="12.75">
      <c r="B858" s="186"/>
      <c r="C858" s="85"/>
      <c r="D858" s="85"/>
      <c r="E858" s="187"/>
      <c r="F858" s="187"/>
      <c r="G858" s="187"/>
      <c r="H858" s="187"/>
      <c r="I858" s="92"/>
      <c r="J858" s="92"/>
      <c r="K858" s="187"/>
      <c r="L858" s="187"/>
      <c r="M858" s="187"/>
      <c r="N858" s="187"/>
      <c r="O858" s="92"/>
      <c r="P858" s="187"/>
      <c r="Q858" s="187"/>
      <c r="R858" s="187"/>
      <c r="S858" s="187"/>
      <c r="T858" s="85"/>
      <c r="U858" s="189"/>
      <c r="V858" s="189"/>
      <c r="W858" s="189"/>
      <c r="X858" s="189"/>
      <c r="Y858" s="100"/>
      <c r="AA858" s="96"/>
      <c r="AB858" s="96"/>
      <c r="AC858" s="96"/>
      <c r="AD858" s="97"/>
      <c r="AE858" s="96"/>
      <c r="AF858" s="98"/>
      <c r="AG858" s="96"/>
      <c r="AH858" s="96"/>
      <c r="AI858" s="96"/>
      <c r="AJ858" s="96"/>
      <c r="AK858" s="96"/>
      <c r="AL858" s="96"/>
      <c r="AM858" s="96"/>
      <c r="AN858" s="96"/>
      <c r="AO858" s="96"/>
      <c r="AP858" s="96"/>
    </row>
    <row r="859" spans="2:42" ht="12.75">
      <c r="B859" s="186"/>
      <c r="C859" s="85"/>
      <c r="D859" s="85"/>
      <c r="E859" s="187"/>
      <c r="F859" s="187"/>
      <c r="G859" s="187"/>
      <c r="H859" s="187"/>
      <c r="I859" s="92"/>
      <c r="J859" s="92"/>
      <c r="K859" s="187"/>
      <c r="L859" s="187"/>
      <c r="M859" s="187"/>
      <c r="N859" s="187"/>
      <c r="O859" s="92"/>
      <c r="P859" s="187"/>
      <c r="Q859" s="187"/>
      <c r="R859" s="187"/>
      <c r="S859" s="187"/>
      <c r="T859" s="85"/>
      <c r="U859" s="189"/>
      <c r="V859" s="189"/>
      <c r="W859" s="189"/>
      <c r="X859" s="189"/>
      <c r="Y859" s="100"/>
      <c r="AA859" s="96"/>
      <c r="AB859" s="96"/>
      <c r="AC859" s="96"/>
      <c r="AD859" s="97"/>
      <c r="AE859" s="96"/>
      <c r="AF859" s="98"/>
      <c r="AG859" s="96"/>
      <c r="AH859" s="96"/>
      <c r="AI859" s="96"/>
      <c r="AJ859" s="96"/>
      <c r="AK859" s="96"/>
      <c r="AL859" s="96"/>
      <c r="AM859" s="96"/>
      <c r="AN859" s="96"/>
      <c r="AO859" s="96"/>
      <c r="AP859" s="96"/>
    </row>
    <row r="860" spans="2:42" ht="12.75">
      <c r="B860" s="186"/>
      <c r="C860" s="85"/>
      <c r="D860" s="85"/>
      <c r="E860" s="187"/>
      <c r="F860" s="187"/>
      <c r="G860" s="187"/>
      <c r="H860" s="187"/>
      <c r="I860" s="92"/>
      <c r="J860" s="92"/>
      <c r="K860" s="187"/>
      <c r="L860" s="187"/>
      <c r="M860" s="187"/>
      <c r="N860" s="187"/>
      <c r="O860" s="92"/>
      <c r="P860" s="187"/>
      <c r="Q860" s="187"/>
      <c r="R860" s="187"/>
      <c r="S860" s="187"/>
      <c r="T860" s="85"/>
      <c r="U860" s="189"/>
      <c r="V860" s="189"/>
      <c r="W860" s="189"/>
      <c r="X860" s="189"/>
      <c r="Y860" s="100"/>
      <c r="AA860" s="96"/>
      <c r="AB860" s="96"/>
      <c r="AC860" s="96"/>
      <c r="AD860" s="97"/>
      <c r="AE860" s="96"/>
      <c r="AF860" s="98"/>
      <c r="AG860" s="96"/>
      <c r="AH860" s="96"/>
      <c r="AI860" s="96"/>
      <c r="AJ860" s="96"/>
      <c r="AK860" s="96"/>
      <c r="AL860" s="96"/>
      <c r="AM860" s="96"/>
      <c r="AN860" s="96"/>
      <c r="AO860" s="96"/>
      <c r="AP860" s="96"/>
    </row>
    <row r="861" spans="2:42" ht="12.75">
      <c r="B861" s="186"/>
      <c r="C861" s="85"/>
      <c r="D861" s="85"/>
      <c r="E861" s="187"/>
      <c r="F861" s="187"/>
      <c r="G861" s="187"/>
      <c r="H861" s="187"/>
      <c r="I861" s="92"/>
      <c r="J861" s="92"/>
      <c r="K861" s="187"/>
      <c r="L861" s="187"/>
      <c r="M861" s="187"/>
      <c r="N861" s="187"/>
      <c r="O861" s="92"/>
      <c r="P861" s="187"/>
      <c r="Q861" s="187"/>
      <c r="R861" s="187"/>
      <c r="S861" s="187"/>
      <c r="T861" s="85"/>
      <c r="U861" s="189"/>
      <c r="V861" s="189"/>
      <c r="W861" s="189"/>
      <c r="X861" s="189"/>
      <c r="Y861" s="100"/>
      <c r="AA861" s="96"/>
      <c r="AB861" s="96"/>
      <c r="AC861" s="96"/>
      <c r="AD861" s="97"/>
      <c r="AE861" s="96"/>
      <c r="AF861" s="98"/>
      <c r="AG861" s="96"/>
      <c r="AH861" s="96"/>
      <c r="AI861" s="96"/>
      <c r="AJ861" s="96"/>
      <c r="AK861" s="96"/>
      <c r="AL861" s="96"/>
      <c r="AM861" s="96"/>
      <c r="AN861" s="96"/>
      <c r="AO861" s="96"/>
      <c r="AP861" s="96"/>
    </row>
    <row r="862" spans="2:42" ht="12.75">
      <c r="B862" s="186"/>
      <c r="C862" s="85"/>
      <c r="D862" s="85"/>
      <c r="E862" s="187"/>
      <c r="F862" s="187"/>
      <c r="G862" s="187"/>
      <c r="H862" s="187"/>
      <c r="I862" s="92"/>
      <c r="J862" s="92"/>
      <c r="K862" s="187"/>
      <c r="L862" s="187"/>
      <c r="M862" s="187"/>
      <c r="N862" s="187"/>
      <c r="O862" s="92"/>
      <c r="P862" s="187"/>
      <c r="Q862" s="187"/>
      <c r="R862" s="187"/>
      <c r="S862" s="187"/>
      <c r="T862" s="85"/>
      <c r="U862" s="189"/>
      <c r="V862" s="189"/>
      <c r="W862" s="189"/>
      <c r="X862" s="189"/>
      <c r="Y862" s="100"/>
      <c r="AA862" s="96"/>
      <c r="AB862" s="96"/>
      <c r="AC862" s="96"/>
      <c r="AD862" s="97"/>
      <c r="AE862" s="96"/>
      <c r="AF862" s="98"/>
      <c r="AG862" s="96"/>
      <c r="AH862" s="96"/>
      <c r="AI862" s="96"/>
      <c r="AJ862" s="96"/>
      <c r="AK862" s="96"/>
      <c r="AL862" s="96"/>
      <c r="AM862" s="96"/>
      <c r="AN862" s="96"/>
      <c r="AO862" s="96"/>
      <c r="AP862" s="96"/>
    </row>
    <row r="863" spans="2:42" ht="12.75">
      <c r="B863" s="186"/>
      <c r="C863" s="85"/>
      <c r="D863" s="85"/>
      <c r="E863" s="187"/>
      <c r="F863" s="187"/>
      <c r="G863" s="187"/>
      <c r="H863" s="187"/>
      <c r="I863" s="92"/>
      <c r="J863" s="92"/>
      <c r="K863" s="187"/>
      <c r="L863" s="187"/>
      <c r="M863" s="187"/>
      <c r="N863" s="187"/>
      <c r="O863" s="92"/>
      <c r="P863" s="187"/>
      <c r="Q863" s="187"/>
      <c r="R863" s="187"/>
      <c r="S863" s="187"/>
      <c r="T863" s="85"/>
      <c r="U863" s="189"/>
      <c r="V863" s="189"/>
      <c r="W863" s="189"/>
      <c r="X863" s="189"/>
      <c r="Y863" s="100"/>
      <c r="AA863" s="96"/>
      <c r="AB863" s="96"/>
      <c r="AC863" s="96"/>
      <c r="AD863" s="97"/>
      <c r="AE863" s="96"/>
      <c r="AF863" s="98"/>
      <c r="AG863" s="96"/>
      <c r="AH863" s="96"/>
      <c r="AI863" s="96"/>
      <c r="AJ863" s="96"/>
      <c r="AK863" s="96"/>
      <c r="AL863" s="96"/>
      <c r="AM863" s="96"/>
      <c r="AN863" s="96"/>
      <c r="AO863" s="96"/>
      <c r="AP863" s="96"/>
    </row>
    <row r="864" spans="2:42" ht="12.75">
      <c r="B864" s="186"/>
      <c r="C864" s="85"/>
      <c r="D864" s="85"/>
      <c r="E864" s="187"/>
      <c r="F864" s="187"/>
      <c r="G864" s="187"/>
      <c r="H864" s="187"/>
      <c r="I864" s="92"/>
      <c r="J864" s="92"/>
      <c r="K864" s="187"/>
      <c r="L864" s="187"/>
      <c r="M864" s="187"/>
      <c r="N864" s="187"/>
      <c r="O864" s="92"/>
      <c r="P864" s="187"/>
      <c r="Q864" s="187"/>
      <c r="R864" s="187"/>
      <c r="S864" s="187"/>
      <c r="T864" s="85"/>
      <c r="U864" s="189"/>
      <c r="V864" s="189"/>
      <c r="W864" s="189"/>
      <c r="X864" s="189"/>
      <c r="Y864" s="100"/>
      <c r="AA864" s="96"/>
      <c r="AB864" s="96"/>
      <c r="AC864" s="96"/>
      <c r="AD864" s="97"/>
      <c r="AE864" s="96"/>
      <c r="AF864" s="98"/>
      <c r="AG864" s="96"/>
      <c r="AH864" s="96"/>
      <c r="AI864" s="96"/>
      <c r="AJ864" s="96"/>
      <c r="AK864" s="96"/>
      <c r="AL864" s="96"/>
      <c r="AM864" s="96"/>
      <c r="AN864" s="96"/>
      <c r="AO864" s="96"/>
      <c r="AP864" s="96"/>
    </row>
    <row r="865" spans="2:42" ht="12.75">
      <c r="B865" s="186"/>
      <c r="C865" s="85"/>
      <c r="D865" s="85"/>
      <c r="E865" s="187"/>
      <c r="F865" s="187"/>
      <c r="G865" s="187"/>
      <c r="H865" s="187"/>
      <c r="I865" s="92"/>
      <c r="J865" s="92"/>
      <c r="K865" s="187"/>
      <c r="L865" s="187"/>
      <c r="M865" s="187"/>
      <c r="N865" s="187"/>
      <c r="O865" s="92"/>
      <c r="P865" s="187"/>
      <c r="Q865" s="187"/>
      <c r="R865" s="187"/>
      <c r="S865" s="187"/>
      <c r="T865" s="85"/>
      <c r="U865" s="189"/>
      <c r="V865" s="189"/>
      <c r="W865" s="189"/>
      <c r="X865" s="189"/>
      <c r="Y865" s="100"/>
      <c r="AA865" s="96"/>
      <c r="AB865" s="96"/>
      <c r="AC865" s="96"/>
      <c r="AD865" s="97"/>
      <c r="AE865" s="96"/>
      <c r="AF865" s="98"/>
      <c r="AG865" s="96"/>
      <c r="AH865" s="96"/>
      <c r="AI865" s="96"/>
      <c r="AJ865" s="96"/>
      <c r="AK865" s="96"/>
      <c r="AL865" s="96"/>
      <c r="AM865" s="96"/>
      <c r="AN865" s="96"/>
      <c r="AO865" s="96"/>
      <c r="AP865" s="96"/>
    </row>
    <row r="866" spans="2:42" ht="12.75">
      <c r="B866" s="186"/>
      <c r="C866" s="85"/>
      <c r="D866" s="85"/>
      <c r="E866" s="187"/>
      <c r="F866" s="187"/>
      <c r="G866" s="187"/>
      <c r="H866" s="187"/>
      <c r="I866" s="92"/>
      <c r="J866" s="92"/>
      <c r="K866" s="187"/>
      <c r="L866" s="187"/>
      <c r="M866" s="187"/>
      <c r="N866" s="187"/>
      <c r="O866" s="92"/>
      <c r="P866" s="187"/>
      <c r="Q866" s="187"/>
      <c r="R866" s="187"/>
      <c r="S866" s="187"/>
      <c r="T866" s="85"/>
      <c r="U866" s="189"/>
      <c r="V866" s="189"/>
      <c r="W866" s="189"/>
      <c r="X866" s="189"/>
      <c r="Y866" s="100"/>
      <c r="AA866" s="96"/>
      <c r="AB866" s="96"/>
      <c r="AC866" s="96"/>
      <c r="AD866" s="97"/>
      <c r="AE866" s="96"/>
      <c r="AF866" s="98"/>
      <c r="AG866" s="96"/>
      <c r="AH866" s="96"/>
      <c r="AI866" s="96"/>
      <c r="AJ866" s="96"/>
      <c r="AK866" s="96"/>
      <c r="AL866" s="96"/>
      <c r="AM866" s="96"/>
      <c r="AN866" s="96"/>
      <c r="AO866" s="96"/>
      <c r="AP866" s="96"/>
    </row>
    <row r="867" spans="2:42" ht="12.75">
      <c r="B867" s="186"/>
      <c r="C867" s="85"/>
      <c r="D867" s="85"/>
      <c r="E867" s="187"/>
      <c r="F867" s="187"/>
      <c r="G867" s="187"/>
      <c r="H867" s="187"/>
      <c r="I867" s="92"/>
      <c r="J867" s="92"/>
      <c r="K867" s="187"/>
      <c r="L867" s="187"/>
      <c r="M867" s="187"/>
      <c r="N867" s="187"/>
      <c r="O867" s="92"/>
      <c r="P867" s="187"/>
      <c r="Q867" s="187"/>
      <c r="R867" s="187"/>
      <c r="S867" s="187"/>
      <c r="T867" s="85"/>
      <c r="U867" s="189"/>
      <c r="V867" s="189"/>
      <c r="W867" s="189"/>
      <c r="X867" s="189"/>
      <c r="Y867" s="100"/>
      <c r="AA867" s="96"/>
      <c r="AB867" s="96"/>
      <c r="AC867" s="96"/>
      <c r="AD867" s="97"/>
      <c r="AE867" s="96"/>
      <c r="AF867" s="98"/>
      <c r="AG867" s="96"/>
      <c r="AH867" s="96"/>
      <c r="AI867" s="96"/>
      <c r="AJ867" s="96"/>
      <c r="AK867" s="96"/>
      <c r="AL867" s="96"/>
      <c r="AM867" s="96"/>
      <c r="AN867" s="96"/>
      <c r="AO867" s="96"/>
      <c r="AP867" s="96"/>
    </row>
    <row r="868" spans="2:42" ht="12.75">
      <c r="B868" s="186"/>
      <c r="C868" s="85"/>
      <c r="D868" s="85"/>
      <c r="E868" s="187"/>
      <c r="F868" s="187"/>
      <c r="G868" s="187"/>
      <c r="H868" s="187"/>
      <c r="I868" s="92"/>
      <c r="J868" s="92"/>
      <c r="K868" s="187"/>
      <c r="L868" s="187"/>
      <c r="M868" s="187"/>
      <c r="N868" s="187"/>
      <c r="O868" s="92"/>
      <c r="P868" s="187"/>
      <c r="Q868" s="187"/>
      <c r="R868" s="187"/>
      <c r="S868" s="187"/>
      <c r="T868" s="85"/>
      <c r="U868" s="189"/>
      <c r="V868" s="189"/>
      <c r="W868" s="189"/>
      <c r="X868" s="189"/>
      <c r="Y868" s="100"/>
      <c r="AA868" s="96"/>
      <c r="AB868" s="96"/>
      <c r="AC868" s="96"/>
      <c r="AD868" s="97"/>
      <c r="AE868" s="96"/>
      <c r="AF868" s="98"/>
      <c r="AG868" s="96"/>
      <c r="AH868" s="96"/>
      <c r="AI868" s="96"/>
      <c r="AJ868" s="96"/>
      <c r="AK868" s="96"/>
      <c r="AL868" s="96"/>
      <c r="AM868" s="96"/>
      <c r="AN868" s="96"/>
      <c r="AO868" s="96"/>
      <c r="AP868" s="96"/>
    </row>
    <row r="869" spans="2:42" ht="12.75">
      <c r="B869" s="186"/>
      <c r="C869" s="85"/>
      <c r="D869" s="85"/>
      <c r="E869" s="187"/>
      <c r="F869" s="187"/>
      <c r="G869" s="187"/>
      <c r="H869" s="187"/>
      <c r="I869" s="92"/>
      <c r="J869" s="92"/>
      <c r="K869" s="187"/>
      <c r="L869" s="187"/>
      <c r="M869" s="187"/>
      <c r="N869" s="187"/>
      <c r="O869" s="92"/>
      <c r="P869" s="187"/>
      <c r="Q869" s="187"/>
      <c r="R869" s="187"/>
      <c r="S869" s="187"/>
      <c r="T869" s="85"/>
      <c r="U869" s="189"/>
      <c r="V869" s="189"/>
      <c r="W869" s="189"/>
      <c r="X869" s="189"/>
      <c r="Y869" s="100"/>
      <c r="AA869" s="96"/>
      <c r="AB869" s="96"/>
      <c r="AC869" s="96"/>
      <c r="AD869" s="97"/>
      <c r="AE869" s="96"/>
      <c r="AF869" s="98"/>
      <c r="AG869" s="96"/>
      <c r="AH869" s="96"/>
      <c r="AI869" s="96"/>
      <c r="AJ869" s="96"/>
      <c r="AK869" s="96"/>
      <c r="AL869" s="96"/>
      <c r="AM869" s="96"/>
      <c r="AN869" s="96"/>
      <c r="AO869" s="96"/>
      <c r="AP869" s="96"/>
    </row>
    <row r="870" spans="2:42" ht="12.75">
      <c r="B870" s="186"/>
      <c r="C870" s="85"/>
      <c r="D870" s="85"/>
      <c r="E870" s="187"/>
      <c r="F870" s="187"/>
      <c r="G870" s="187"/>
      <c r="H870" s="187"/>
      <c r="I870" s="92"/>
      <c r="J870" s="92"/>
      <c r="K870" s="187"/>
      <c r="L870" s="187"/>
      <c r="M870" s="187"/>
      <c r="N870" s="187"/>
      <c r="O870" s="92"/>
      <c r="P870" s="187"/>
      <c r="Q870" s="187"/>
      <c r="R870" s="187"/>
      <c r="S870" s="187"/>
      <c r="T870" s="85"/>
      <c r="U870" s="189"/>
      <c r="V870" s="189"/>
      <c r="W870" s="189"/>
      <c r="X870" s="189"/>
      <c r="Y870" s="100"/>
      <c r="AA870" s="96"/>
      <c r="AB870" s="96"/>
      <c r="AC870" s="96"/>
      <c r="AD870" s="97"/>
      <c r="AE870" s="96"/>
      <c r="AF870" s="98"/>
      <c r="AG870" s="96"/>
      <c r="AH870" s="96"/>
      <c r="AI870" s="96"/>
      <c r="AJ870" s="96"/>
      <c r="AK870" s="96"/>
      <c r="AL870" s="96"/>
      <c r="AM870" s="96"/>
      <c r="AN870" s="96"/>
      <c r="AO870" s="96"/>
      <c r="AP870" s="96"/>
    </row>
    <row r="871" spans="2:42" ht="12.75">
      <c r="B871" s="186"/>
      <c r="C871" s="85"/>
      <c r="D871" s="85"/>
      <c r="E871" s="187"/>
      <c r="F871" s="187"/>
      <c r="G871" s="187"/>
      <c r="H871" s="187"/>
      <c r="I871" s="92"/>
      <c r="J871" s="92"/>
      <c r="K871" s="187"/>
      <c r="L871" s="187"/>
      <c r="M871" s="187"/>
      <c r="N871" s="187"/>
      <c r="O871" s="92"/>
      <c r="P871" s="187"/>
      <c r="Q871" s="187"/>
      <c r="R871" s="187"/>
      <c r="S871" s="187"/>
      <c r="T871" s="85"/>
      <c r="U871" s="189"/>
      <c r="V871" s="189"/>
      <c r="W871" s="189"/>
      <c r="X871" s="189"/>
      <c r="Y871" s="100"/>
      <c r="AA871" s="96"/>
      <c r="AB871" s="96"/>
      <c r="AC871" s="96"/>
      <c r="AD871" s="97"/>
      <c r="AE871" s="96"/>
      <c r="AF871" s="98"/>
      <c r="AG871" s="96"/>
      <c r="AH871" s="96"/>
      <c r="AI871" s="96"/>
      <c r="AJ871" s="96"/>
      <c r="AK871" s="96"/>
      <c r="AL871" s="96"/>
      <c r="AM871" s="96"/>
      <c r="AN871" s="96"/>
      <c r="AO871" s="96"/>
      <c r="AP871" s="96"/>
    </row>
    <row r="872" spans="2:42" ht="12.75">
      <c r="B872" s="186"/>
      <c r="C872" s="85"/>
      <c r="D872" s="85"/>
      <c r="E872" s="187"/>
      <c r="F872" s="187"/>
      <c r="G872" s="187"/>
      <c r="H872" s="187"/>
      <c r="I872" s="92"/>
      <c r="J872" s="92"/>
      <c r="K872" s="187"/>
      <c r="L872" s="187"/>
      <c r="M872" s="187"/>
      <c r="N872" s="187"/>
      <c r="O872" s="92"/>
      <c r="P872" s="187"/>
      <c r="Q872" s="187"/>
      <c r="R872" s="187"/>
      <c r="S872" s="187"/>
      <c r="T872" s="85"/>
      <c r="U872" s="189"/>
      <c r="V872" s="189"/>
      <c r="W872" s="189"/>
      <c r="X872" s="189"/>
      <c r="Y872" s="100"/>
      <c r="AA872" s="96"/>
      <c r="AB872" s="96"/>
      <c r="AC872" s="96"/>
      <c r="AD872" s="97"/>
      <c r="AE872" s="96"/>
      <c r="AF872" s="98"/>
      <c r="AG872" s="96"/>
      <c r="AH872" s="96"/>
      <c r="AI872" s="96"/>
      <c r="AJ872" s="96"/>
      <c r="AK872" s="96"/>
      <c r="AL872" s="96"/>
      <c r="AM872" s="96"/>
      <c r="AN872" s="96"/>
      <c r="AO872" s="96"/>
      <c r="AP872" s="96"/>
    </row>
    <row r="873" spans="2:42" ht="12.75">
      <c r="B873" s="186"/>
      <c r="C873" s="85"/>
      <c r="D873" s="85"/>
      <c r="E873" s="187"/>
      <c r="F873" s="187"/>
      <c r="G873" s="187"/>
      <c r="H873" s="187"/>
      <c r="I873" s="92"/>
      <c r="J873" s="92"/>
      <c r="K873" s="187"/>
      <c r="L873" s="187"/>
      <c r="M873" s="187"/>
      <c r="N873" s="187"/>
      <c r="O873" s="92"/>
      <c r="P873" s="187"/>
      <c r="Q873" s="187"/>
      <c r="R873" s="187"/>
      <c r="S873" s="187"/>
      <c r="T873" s="85"/>
      <c r="U873" s="189"/>
      <c r="V873" s="189"/>
      <c r="W873" s="189"/>
      <c r="X873" s="189"/>
      <c r="Y873" s="100"/>
      <c r="AA873" s="96"/>
      <c r="AB873" s="96"/>
      <c r="AC873" s="96"/>
      <c r="AD873" s="97"/>
      <c r="AE873" s="96"/>
      <c r="AF873" s="98"/>
      <c r="AG873" s="96"/>
      <c r="AH873" s="96"/>
      <c r="AI873" s="96"/>
      <c r="AJ873" s="96"/>
      <c r="AK873" s="96"/>
      <c r="AL873" s="96"/>
      <c r="AM873" s="96"/>
      <c r="AN873" s="96"/>
      <c r="AO873" s="96"/>
      <c r="AP873" s="96"/>
    </row>
    <row r="874" spans="2:42" ht="12.75">
      <c r="B874" s="186"/>
      <c r="C874" s="85"/>
      <c r="D874" s="85"/>
      <c r="E874" s="187"/>
      <c r="F874" s="187"/>
      <c r="G874" s="187"/>
      <c r="H874" s="187"/>
      <c r="I874" s="92"/>
      <c r="J874" s="92"/>
      <c r="K874" s="187"/>
      <c r="L874" s="187"/>
      <c r="M874" s="187"/>
      <c r="N874" s="187"/>
      <c r="O874" s="92"/>
      <c r="P874" s="187"/>
      <c r="Q874" s="187"/>
      <c r="R874" s="187"/>
      <c r="S874" s="187"/>
      <c r="T874" s="85"/>
      <c r="U874" s="189"/>
      <c r="V874" s="189"/>
      <c r="W874" s="189"/>
      <c r="X874" s="189"/>
      <c r="Y874" s="100"/>
      <c r="AA874" s="96"/>
      <c r="AB874" s="96"/>
      <c r="AC874" s="96"/>
      <c r="AD874" s="97"/>
      <c r="AE874" s="96"/>
      <c r="AF874" s="98"/>
      <c r="AG874" s="96"/>
      <c r="AH874" s="96"/>
      <c r="AI874" s="96"/>
      <c r="AJ874" s="96"/>
      <c r="AK874" s="96"/>
      <c r="AL874" s="96"/>
      <c r="AM874" s="96"/>
      <c r="AN874" s="96"/>
      <c r="AO874" s="96"/>
      <c r="AP874" s="96"/>
    </row>
    <row r="875" spans="2:42" ht="12.75">
      <c r="B875" s="186"/>
      <c r="C875" s="85"/>
      <c r="D875" s="85"/>
      <c r="E875" s="187"/>
      <c r="F875" s="187"/>
      <c r="G875" s="187"/>
      <c r="H875" s="187"/>
      <c r="I875" s="92"/>
      <c r="J875" s="92"/>
      <c r="K875" s="187"/>
      <c r="L875" s="187"/>
      <c r="M875" s="187"/>
      <c r="N875" s="187"/>
      <c r="O875" s="92"/>
      <c r="P875" s="187"/>
      <c r="Q875" s="187"/>
      <c r="R875" s="187"/>
      <c r="S875" s="187"/>
      <c r="T875" s="85"/>
      <c r="U875" s="189"/>
      <c r="V875" s="189"/>
      <c r="W875" s="189"/>
      <c r="X875" s="189"/>
      <c r="Y875" s="100"/>
      <c r="AA875" s="96"/>
      <c r="AB875" s="96"/>
      <c r="AC875" s="96"/>
      <c r="AD875" s="97"/>
      <c r="AE875" s="96"/>
      <c r="AF875" s="98"/>
      <c r="AG875" s="96"/>
      <c r="AH875" s="96"/>
      <c r="AI875" s="96"/>
      <c r="AJ875" s="96"/>
      <c r="AK875" s="96"/>
      <c r="AL875" s="96"/>
      <c r="AM875" s="96"/>
      <c r="AN875" s="96"/>
      <c r="AO875" s="96"/>
      <c r="AP875" s="96"/>
    </row>
    <row r="876" spans="2:42" ht="12.75">
      <c r="B876" s="186"/>
      <c r="C876" s="85"/>
      <c r="D876" s="85"/>
      <c r="E876" s="187"/>
      <c r="F876" s="187"/>
      <c r="G876" s="187"/>
      <c r="H876" s="187"/>
      <c r="I876" s="92"/>
      <c r="J876" s="92"/>
      <c r="K876" s="187"/>
      <c r="L876" s="187"/>
      <c r="M876" s="187"/>
      <c r="N876" s="187"/>
      <c r="O876" s="92"/>
      <c r="P876" s="187"/>
      <c r="Q876" s="187"/>
      <c r="R876" s="187"/>
      <c r="S876" s="187"/>
      <c r="T876" s="85"/>
      <c r="U876" s="189"/>
      <c r="V876" s="189"/>
      <c r="W876" s="189"/>
      <c r="X876" s="189"/>
      <c r="Y876" s="100"/>
      <c r="AA876" s="96"/>
      <c r="AB876" s="96"/>
      <c r="AC876" s="96"/>
      <c r="AD876" s="97"/>
      <c r="AE876" s="96"/>
      <c r="AF876" s="98"/>
      <c r="AG876" s="96"/>
      <c r="AH876" s="96"/>
      <c r="AI876" s="96"/>
      <c r="AJ876" s="96"/>
      <c r="AK876" s="96"/>
      <c r="AL876" s="96"/>
      <c r="AM876" s="96"/>
      <c r="AN876" s="96"/>
      <c r="AO876" s="96"/>
      <c r="AP876" s="96"/>
    </row>
    <row r="877" spans="2:42" ht="12.75">
      <c r="B877" s="186"/>
      <c r="C877" s="85"/>
      <c r="D877" s="85"/>
      <c r="E877" s="187"/>
      <c r="F877" s="187"/>
      <c r="G877" s="187"/>
      <c r="H877" s="187"/>
      <c r="I877" s="92"/>
      <c r="J877" s="92"/>
      <c r="K877" s="187"/>
      <c r="L877" s="187"/>
      <c r="M877" s="187"/>
      <c r="N877" s="187"/>
      <c r="O877" s="92"/>
      <c r="P877" s="187"/>
      <c r="Q877" s="187"/>
      <c r="R877" s="187"/>
      <c r="S877" s="187"/>
      <c r="T877" s="85"/>
      <c r="U877" s="189"/>
      <c r="V877" s="189"/>
      <c r="W877" s="189"/>
      <c r="X877" s="189"/>
      <c r="Y877" s="100"/>
      <c r="AA877" s="96"/>
      <c r="AB877" s="96"/>
      <c r="AC877" s="96"/>
      <c r="AD877" s="97"/>
      <c r="AE877" s="96"/>
      <c r="AF877" s="98"/>
      <c r="AG877" s="96"/>
      <c r="AH877" s="96"/>
      <c r="AI877" s="96"/>
      <c r="AJ877" s="96"/>
      <c r="AK877" s="96"/>
      <c r="AL877" s="96"/>
      <c r="AM877" s="96"/>
      <c r="AN877" s="96"/>
      <c r="AO877" s="96"/>
      <c r="AP877" s="96"/>
    </row>
    <row r="878" spans="2:42" ht="12.75">
      <c r="B878" s="186"/>
      <c r="C878" s="85"/>
      <c r="D878" s="85"/>
      <c r="E878" s="187"/>
      <c r="F878" s="187"/>
      <c r="G878" s="187"/>
      <c r="H878" s="187"/>
      <c r="I878" s="92"/>
      <c r="J878" s="92"/>
      <c r="K878" s="187"/>
      <c r="L878" s="187"/>
      <c r="M878" s="187"/>
      <c r="N878" s="187"/>
      <c r="O878" s="92"/>
      <c r="P878" s="187"/>
      <c r="Q878" s="187"/>
      <c r="R878" s="187"/>
      <c r="S878" s="187"/>
      <c r="T878" s="85"/>
      <c r="U878" s="189"/>
      <c r="V878" s="189"/>
      <c r="W878" s="189"/>
      <c r="X878" s="189"/>
      <c r="Y878" s="100"/>
      <c r="AA878" s="96"/>
      <c r="AB878" s="96"/>
      <c r="AC878" s="96"/>
      <c r="AD878" s="97"/>
      <c r="AE878" s="96"/>
      <c r="AF878" s="98"/>
      <c r="AG878" s="96"/>
      <c r="AH878" s="96"/>
      <c r="AI878" s="96"/>
      <c r="AJ878" s="96"/>
      <c r="AK878" s="96"/>
      <c r="AL878" s="96"/>
      <c r="AM878" s="96"/>
      <c r="AN878" s="96"/>
      <c r="AO878" s="96"/>
      <c r="AP878" s="96"/>
    </row>
    <row r="879" spans="2:42" ht="12.75">
      <c r="B879" s="186"/>
      <c r="C879" s="85"/>
      <c r="D879" s="85"/>
      <c r="E879" s="187"/>
      <c r="F879" s="187"/>
      <c r="G879" s="187"/>
      <c r="H879" s="187"/>
      <c r="I879" s="92"/>
      <c r="J879" s="92"/>
      <c r="K879" s="187"/>
      <c r="L879" s="187"/>
      <c r="M879" s="187"/>
      <c r="N879" s="187"/>
      <c r="O879" s="92"/>
      <c r="P879" s="187"/>
      <c r="Q879" s="187"/>
      <c r="R879" s="187"/>
      <c r="S879" s="187"/>
      <c r="T879" s="85"/>
      <c r="U879" s="189"/>
      <c r="V879" s="189"/>
      <c r="W879" s="189"/>
      <c r="X879" s="189"/>
      <c r="Y879" s="100"/>
      <c r="AA879" s="96"/>
      <c r="AB879" s="96"/>
      <c r="AC879" s="96"/>
      <c r="AD879" s="97"/>
      <c r="AE879" s="96"/>
      <c r="AF879" s="98"/>
      <c r="AG879" s="96"/>
      <c r="AH879" s="96"/>
      <c r="AI879" s="96"/>
      <c r="AJ879" s="96"/>
      <c r="AK879" s="96"/>
      <c r="AL879" s="96"/>
      <c r="AM879" s="96"/>
      <c r="AN879" s="96"/>
      <c r="AO879" s="96"/>
      <c r="AP879" s="96"/>
    </row>
    <row r="880" spans="2:42" ht="12.75">
      <c r="B880" s="186"/>
      <c r="C880" s="85"/>
      <c r="D880" s="85"/>
      <c r="E880" s="187"/>
      <c r="F880" s="187"/>
      <c r="G880" s="187"/>
      <c r="H880" s="187"/>
      <c r="I880" s="92"/>
      <c r="J880" s="92"/>
      <c r="K880" s="187"/>
      <c r="L880" s="187"/>
      <c r="M880" s="187"/>
      <c r="N880" s="187"/>
      <c r="O880" s="92"/>
      <c r="P880" s="187"/>
      <c r="Q880" s="187"/>
      <c r="R880" s="187"/>
      <c r="S880" s="187"/>
      <c r="T880" s="85"/>
      <c r="U880" s="189"/>
      <c r="V880" s="189"/>
      <c r="W880" s="189"/>
      <c r="X880" s="189"/>
      <c r="Y880" s="100"/>
      <c r="AA880" s="96"/>
      <c r="AB880" s="96"/>
      <c r="AC880" s="96"/>
      <c r="AD880" s="97"/>
      <c r="AE880" s="96"/>
      <c r="AF880" s="98"/>
      <c r="AG880" s="96"/>
      <c r="AH880" s="96"/>
      <c r="AI880" s="96"/>
      <c r="AJ880" s="96"/>
      <c r="AK880" s="96"/>
      <c r="AL880" s="96"/>
      <c r="AM880" s="96"/>
      <c r="AN880" s="96"/>
      <c r="AO880" s="96"/>
      <c r="AP880" s="96"/>
    </row>
    <row r="881" spans="2:42" ht="12.75">
      <c r="B881" s="186"/>
      <c r="C881" s="85"/>
      <c r="D881" s="85"/>
      <c r="E881" s="187"/>
      <c r="F881" s="187"/>
      <c r="G881" s="187"/>
      <c r="H881" s="187"/>
      <c r="I881" s="92"/>
      <c r="J881" s="92"/>
      <c r="K881" s="187"/>
      <c r="L881" s="187"/>
      <c r="M881" s="187"/>
      <c r="N881" s="187"/>
      <c r="O881" s="92"/>
      <c r="P881" s="187"/>
      <c r="Q881" s="187"/>
      <c r="R881" s="187"/>
      <c r="S881" s="187"/>
      <c r="T881" s="85"/>
      <c r="U881" s="189"/>
      <c r="V881" s="189"/>
      <c r="W881" s="189"/>
      <c r="X881" s="189"/>
      <c r="Y881" s="100"/>
      <c r="AA881" s="96"/>
      <c r="AB881" s="96"/>
      <c r="AC881" s="96"/>
      <c r="AD881" s="97"/>
      <c r="AE881" s="96"/>
      <c r="AF881" s="98"/>
      <c r="AG881" s="96"/>
      <c r="AH881" s="96"/>
      <c r="AI881" s="96"/>
      <c r="AJ881" s="96"/>
      <c r="AK881" s="96"/>
      <c r="AL881" s="96"/>
      <c r="AM881" s="96"/>
      <c r="AN881" s="96"/>
      <c r="AO881" s="96"/>
      <c r="AP881" s="96"/>
    </row>
    <row r="882" spans="2:42" ht="12.75">
      <c r="B882" s="186"/>
      <c r="C882" s="85"/>
      <c r="D882" s="85"/>
      <c r="E882" s="187"/>
      <c r="F882" s="187"/>
      <c r="G882" s="187"/>
      <c r="H882" s="187"/>
      <c r="I882" s="92"/>
      <c r="J882" s="92"/>
      <c r="K882" s="187"/>
      <c r="L882" s="187"/>
      <c r="M882" s="187"/>
      <c r="N882" s="187"/>
      <c r="O882" s="92"/>
      <c r="P882" s="187"/>
      <c r="Q882" s="187"/>
      <c r="R882" s="187"/>
      <c r="S882" s="187"/>
      <c r="T882" s="85"/>
      <c r="U882" s="189"/>
      <c r="V882" s="189"/>
      <c r="W882" s="189"/>
      <c r="X882" s="189"/>
      <c r="Y882" s="100"/>
      <c r="AA882" s="96"/>
      <c r="AB882" s="96"/>
      <c r="AC882" s="96"/>
      <c r="AD882" s="97"/>
      <c r="AE882" s="96"/>
      <c r="AF882" s="98"/>
      <c r="AG882" s="96"/>
      <c r="AH882" s="96"/>
      <c r="AI882" s="96"/>
      <c r="AJ882" s="96"/>
      <c r="AK882" s="96"/>
      <c r="AL882" s="96"/>
      <c r="AM882" s="96"/>
      <c r="AN882" s="96"/>
      <c r="AO882" s="96"/>
      <c r="AP882" s="96"/>
    </row>
    <row r="883" spans="2:42" ht="12.75">
      <c r="B883" s="186"/>
      <c r="C883" s="85"/>
      <c r="D883" s="85"/>
      <c r="E883" s="187"/>
      <c r="F883" s="187"/>
      <c r="G883" s="187"/>
      <c r="H883" s="187"/>
      <c r="I883" s="92"/>
      <c r="J883" s="92"/>
      <c r="K883" s="187"/>
      <c r="L883" s="187"/>
      <c r="M883" s="187"/>
      <c r="N883" s="187"/>
      <c r="O883" s="92"/>
      <c r="P883" s="187"/>
      <c r="Q883" s="187"/>
      <c r="R883" s="187"/>
      <c r="S883" s="187"/>
      <c r="T883" s="85"/>
      <c r="U883" s="189"/>
      <c r="V883" s="189"/>
      <c r="W883" s="189"/>
      <c r="X883" s="189"/>
      <c r="Y883" s="100"/>
      <c r="AA883" s="96"/>
      <c r="AB883" s="96"/>
      <c r="AC883" s="96"/>
      <c r="AD883" s="97"/>
      <c r="AE883" s="96"/>
      <c r="AF883" s="98"/>
      <c r="AG883" s="96"/>
      <c r="AH883" s="96"/>
      <c r="AI883" s="96"/>
      <c r="AJ883" s="96"/>
      <c r="AK883" s="96"/>
      <c r="AL883" s="96"/>
      <c r="AM883" s="96"/>
      <c r="AN883" s="96"/>
      <c r="AO883" s="96"/>
      <c r="AP883" s="96"/>
    </row>
    <row r="884" spans="2:42" ht="12.75">
      <c r="B884" s="186"/>
      <c r="C884" s="85"/>
      <c r="D884" s="85"/>
      <c r="E884" s="187"/>
      <c r="F884" s="187"/>
      <c r="G884" s="187"/>
      <c r="H884" s="187"/>
      <c r="I884" s="92"/>
      <c r="J884" s="92"/>
      <c r="K884" s="187"/>
      <c r="L884" s="187"/>
      <c r="M884" s="187"/>
      <c r="N884" s="187"/>
      <c r="O884" s="92"/>
      <c r="P884" s="187"/>
      <c r="Q884" s="187"/>
      <c r="R884" s="187"/>
      <c r="S884" s="187"/>
      <c r="T884" s="85"/>
      <c r="U884" s="189"/>
      <c r="V884" s="189"/>
      <c r="W884" s="189"/>
      <c r="X884" s="189"/>
      <c r="Y884" s="100"/>
      <c r="AA884" s="96"/>
      <c r="AB884" s="96"/>
      <c r="AC884" s="96"/>
      <c r="AD884" s="97"/>
      <c r="AE884" s="96"/>
      <c r="AF884" s="98"/>
      <c r="AG884" s="96"/>
      <c r="AH884" s="96"/>
      <c r="AI884" s="96"/>
      <c r="AJ884" s="96"/>
      <c r="AK884" s="96"/>
      <c r="AL884" s="96"/>
      <c r="AM884" s="96"/>
      <c r="AN884" s="96"/>
      <c r="AO884" s="96"/>
      <c r="AP884" s="96"/>
    </row>
    <row r="885" spans="2:42" ht="12.75">
      <c r="B885" s="186"/>
      <c r="C885" s="85"/>
      <c r="D885" s="85"/>
      <c r="E885" s="187"/>
      <c r="F885" s="187"/>
      <c r="G885" s="187"/>
      <c r="H885" s="187"/>
      <c r="I885" s="92"/>
      <c r="J885" s="92"/>
      <c r="K885" s="187"/>
      <c r="L885" s="187"/>
      <c r="M885" s="187"/>
      <c r="N885" s="187"/>
      <c r="O885" s="92"/>
      <c r="P885" s="187"/>
      <c r="Q885" s="187"/>
      <c r="R885" s="187"/>
      <c r="S885" s="187"/>
      <c r="T885" s="85"/>
      <c r="U885" s="189"/>
      <c r="V885" s="189"/>
      <c r="W885" s="189"/>
      <c r="X885" s="189"/>
      <c r="Y885" s="100"/>
      <c r="AA885" s="96"/>
      <c r="AB885" s="96"/>
      <c r="AC885" s="96"/>
      <c r="AD885" s="97"/>
      <c r="AE885" s="96"/>
      <c r="AF885" s="98"/>
      <c r="AG885" s="96"/>
      <c r="AH885" s="96"/>
      <c r="AI885" s="96"/>
      <c r="AJ885" s="96"/>
      <c r="AK885" s="96"/>
      <c r="AL885" s="96"/>
      <c r="AM885" s="96"/>
      <c r="AN885" s="96"/>
      <c r="AO885" s="96"/>
      <c r="AP885" s="96"/>
    </row>
    <row r="886" spans="2:42" ht="12.75">
      <c r="B886" s="186"/>
      <c r="C886" s="85"/>
      <c r="D886" s="85"/>
      <c r="E886" s="187"/>
      <c r="F886" s="187"/>
      <c r="G886" s="187"/>
      <c r="H886" s="187"/>
      <c r="I886" s="92"/>
      <c r="J886" s="92"/>
      <c r="K886" s="187"/>
      <c r="L886" s="187"/>
      <c r="M886" s="187"/>
      <c r="N886" s="187"/>
      <c r="O886" s="92"/>
      <c r="P886" s="187"/>
      <c r="Q886" s="187"/>
      <c r="R886" s="187"/>
      <c r="S886" s="187"/>
      <c r="T886" s="85"/>
      <c r="U886" s="189"/>
      <c r="V886" s="189"/>
      <c r="W886" s="189"/>
      <c r="X886" s="189"/>
      <c r="Y886" s="100"/>
      <c r="AA886" s="96"/>
      <c r="AB886" s="96"/>
      <c r="AC886" s="96"/>
      <c r="AD886" s="97"/>
      <c r="AE886" s="96"/>
      <c r="AF886" s="98"/>
      <c r="AG886" s="96"/>
      <c r="AH886" s="96"/>
      <c r="AI886" s="96"/>
      <c r="AJ886" s="96"/>
      <c r="AK886" s="96"/>
      <c r="AL886" s="96"/>
      <c r="AM886" s="96"/>
      <c r="AN886" s="96"/>
      <c r="AO886" s="96"/>
      <c r="AP886" s="96"/>
    </row>
    <row r="887" spans="2:42" ht="12.75">
      <c r="B887" s="186"/>
      <c r="C887" s="85"/>
      <c r="D887" s="85"/>
      <c r="E887" s="187"/>
      <c r="F887" s="187"/>
      <c r="G887" s="187"/>
      <c r="H887" s="187"/>
      <c r="I887" s="92"/>
      <c r="J887" s="92"/>
      <c r="K887" s="187"/>
      <c r="L887" s="187"/>
      <c r="M887" s="187"/>
      <c r="N887" s="187"/>
      <c r="O887" s="92"/>
      <c r="P887" s="187"/>
      <c r="Q887" s="187"/>
      <c r="R887" s="187"/>
      <c r="S887" s="187"/>
      <c r="T887" s="85"/>
      <c r="U887" s="189"/>
      <c r="V887" s="189"/>
      <c r="W887" s="189"/>
      <c r="X887" s="189"/>
      <c r="Y887" s="100"/>
      <c r="AA887" s="96"/>
      <c r="AB887" s="96"/>
      <c r="AC887" s="96"/>
      <c r="AD887" s="97"/>
      <c r="AE887" s="96"/>
      <c r="AF887" s="98"/>
      <c r="AG887" s="96"/>
      <c r="AH887" s="96"/>
      <c r="AI887" s="96"/>
      <c r="AJ887" s="96"/>
      <c r="AK887" s="96"/>
      <c r="AL887" s="96"/>
      <c r="AM887" s="96"/>
      <c r="AN887" s="96"/>
      <c r="AO887" s="96"/>
      <c r="AP887" s="96"/>
    </row>
    <row r="888" spans="2:42" ht="12.75">
      <c r="B888" s="186"/>
      <c r="C888" s="85"/>
      <c r="D888" s="85"/>
      <c r="E888" s="187"/>
      <c r="F888" s="187"/>
      <c r="G888" s="187"/>
      <c r="H888" s="187"/>
      <c r="I888" s="92"/>
      <c r="J888" s="92"/>
      <c r="K888" s="187"/>
      <c r="L888" s="187"/>
      <c r="M888" s="187"/>
      <c r="N888" s="187"/>
      <c r="O888" s="92"/>
      <c r="P888" s="187"/>
      <c r="Q888" s="187"/>
      <c r="R888" s="187"/>
      <c r="S888" s="187"/>
      <c r="T888" s="85"/>
      <c r="U888" s="189"/>
      <c r="V888" s="189"/>
      <c r="W888" s="189"/>
      <c r="X888" s="189"/>
      <c r="Y888" s="100"/>
      <c r="AA888" s="96"/>
      <c r="AB888" s="96"/>
      <c r="AC888" s="96"/>
      <c r="AD888" s="97"/>
      <c r="AE888" s="96"/>
      <c r="AF888" s="98"/>
      <c r="AG888" s="96"/>
      <c r="AH888" s="96"/>
      <c r="AI888" s="96"/>
      <c r="AJ888" s="96"/>
      <c r="AK888" s="96"/>
      <c r="AL888" s="96"/>
      <c r="AM888" s="96"/>
      <c r="AN888" s="96"/>
      <c r="AO888" s="96"/>
      <c r="AP888" s="96"/>
    </row>
    <row r="889" spans="2:42" ht="12.75">
      <c r="B889" s="186"/>
      <c r="C889" s="85"/>
      <c r="D889" s="85"/>
      <c r="E889" s="187"/>
      <c r="F889" s="187"/>
      <c r="G889" s="187"/>
      <c r="H889" s="187"/>
      <c r="I889" s="92"/>
      <c r="J889" s="92"/>
      <c r="K889" s="187"/>
      <c r="L889" s="187"/>
      <c r="M889" s="187"/>
      <c r="N889" s="187"/>
      <c r="O889" s="92"/>
      <c r="P889" s="187"/>
      <c r="Q889" s="187"/>
      <c r="R889" s="187"/>
      <c r="S889" s="187"/>
      <c r="T889" s="85"/>
      <c r="U889" s="189"/>
      <c r="V889" s="189"/>
      <c r="W889" s="189"/>
      <c r="X889" s="189"/>
      <c r="Y889" s="100"/>
      <c r="AA889" s="96"/>
      <c r="AB889" s="96"/>
      <c r="AC889" s="96"/>
      <c r="AD889" s="97"/>
      <c r="AE889" s="96"/>
      <c r="AF889" s="98"/>
      <c r="AG889" s="96"/>
      <c r="AH889" s="96"/>
      <c r="AI889" s="96"/>
      <c r="AJ889" s="96"/>
      <c r="AK889" s="96"/>
      <c r="AL889" s="96"/>
      <c r="AM889" s="96"/>
      <c r="AN889" s="96"/>
      <c r="AO889" s="96"/>
      <c r="AP889" s="96"/>
    </row>
    <row r="890" spans="2:42" ht="12.75">
      <c r="B890" s="186"/>
      <c r="C890" s="85"/>
      <c r="D890" s="85"/>
      <c r="E890" s="187"/>
      <c r="F890" s="187"/>
      <c r="G890" s="187"/>
      <c r="H890" s="187"/>
      <c r="I890" s="92"/>
      <c r="J890" s="92"/>
      <c r="K890" s="187"/>
      <c r="L890" s="187"/>
      <c r="M890" s="187"/>
      <c r="N890" s="187"/>
      <c r="O890" s="92"/>
      <c r="P890" s="187"/>
      <c r="Q890" s="187"/>
      <c r="R890" s="187"/>
      <c r="S890" s="187"/>
      <c r="T890" s="85"/>
      <c r="U890" s="189"/>
      <c r="V890" s="189"/>
      <c r="W890" s="189"/>
      <c r="X890" s="189"/>
      <c r="Y890" s="100"/>
      <c r="AA890" s="96"/>
      <c r="AB890" s="96"/>
      <c r="AC890" s="96"/>
      <c r="AD890" s="97"/>
      <c r="AE890" s="96"/>
      <c r="AF890" s="98"/>
      <c r="AG890" s="96"/>
      <c r="AH890" s="96"/>
      <c r="AI890" s="96"/>
      <c r="AJ890" s="96"/>
      <c r="AK890" s="96"/>
      <c r="AL890" s="96"/>
      <c r="AM890" s="96"/>
      <c r="AN890" s="96"/>
      <c r="AO890" s="96"/>
      <c r="AP890" s="96"/>
    </row>
    <row r="891" spans="2:42" ht="12.75">
      <c r="B891" s="186"/>
      <c r="C891" s="85"/>
      <c r="D891" s="85"/>
      <c r="E891" s="187"/>
      <c r="F891" s="187"/>
      <c r="G891" s="187"/>
      <c r="H891" s="187"/>
      <c r="I891" s="92"/>
      <c r="J891" s="92"/>
      <c r="K891" s="187"/>
      <c r="L891" s="187"/>
      <c r="M891" s="187"/>
      <c r="N891" s="187"/>
      <c r="O891" s="92"/>
      <c r="P891" s="187"/>
      <c r="Q891" s="187"/>
      <c r="R891" s="187"/>
      <c r="S891" s="187"/>
      <c r="T891" s="85"/>
      <c r="U891" s="189"/>
      <c r="V891" s="189"/>
      <c r="W891" s="189"/>
      <c r="X891" s="189"/>
      <c r="Y891" s="100"/>
      <c r="AA891" s="96"/>
      <c r="AB891" s="96"/>
      <c r="AC891" s="96"/>
      <c r="AD891" s="97"/>
      <c r="AE891" s="96"/>
      <c r="AF891" s="98"/>
      <c r="AG891" s="96"/>
      <c r="AH891" s="96"/>
      <c r="AI891" s="96"/>
      <c r="AJ891" s="96"/>
      <c r="AK891" s="96"/>
      <c r="AL891" s="96"/>
      <c r="AM891" s="96"/>
      <c r="AN891" s="96"/>
      <c r="AO891" s="96"/>
      <c r="AP891" s="96"/>
    </row>
    <row r="892" spans="2:42" ht="12.75">
      <c r="B892" s="186"/>
      <c r="C892" s="85"/>
      <c r="D892" s="85"/>
      <c r="E892" s="187"/>
      <c r="F892" s="187"/>
      <c r="G892" s="187"/>
      <c r="H892" s="187"/>
      <c r="I892" s="92"/>
      <c r="J892" s="92"/>
      <c r="K892" s="187"/>
      <c r="L892" s="187"/>
      <c r="M892" s="187"/>
      <c r="N892" s="187"/>
      <c r="O892" s="92"/>
      <c r="P892" s="187"/>
      <c r="Q892" s="187"/>
      <c r="R892" s="187"/>
      <c r="S892" s="187"/>
      <c r="T892" s="85"/>
      <c r="U892" s="189"/>
      <c r="V892" s="189"/>
      <c r="W892" s="189"/>
      <c r="X892" s="189"/>
      <c r="Y892" s="100"/>
      <c r="AA892" s="96"/>
      <c r="AB892" s="96"/>
      <c r="AC892" s="96"/>
      <c r="AD892" s="97"/>
      <c r="AE892" s="96"/>
      <c r="AF892" s="98"/>
      <c r="AG892" s="96"/>
      <c r="AH892" s="96"/>
      <c r="AI892" s="96"/>
      <c r="AJ892" s="96"/>
      <c r="AK892" s="96"/>
      <c r="AL892" s="96"/>
      <c r="AM892" s="96"/>
      <c r="AN892" s="96"/>
      <c r="AO892" s="96"/>
      <c r="AP892" s="96"/>
    </row>
    <row r="893" spans="2:42" ht="12.75">
      <c r="B893" s="186"/>
      <c r="C893" s="85"/>
      <c r="D893" s="85"/>
      <c r="E893" s="187"/>
      <c r="F893" s="187"/>
      <c r="G893" s="187"/>
      <c r="H893" s="187"/>
      <c r="I893" s="92"/>
      <c r="J893" s="92"/>
      <c r="K893" s="187"/>
      <c r="L893" s="187"/>
      <c r="M893" s="187"/>
      <c r="N893" s="187"/>
      <c r="O893" s="92"/>
      <c r="P893" s="187"/>
      <c r="Q893" s="187"/>
      <c r="R893" s="187"/>
      <c r="S893" s="187"/>
      <c r="T893" s="85"/>
      <c r="U893" s="189"/>
      <c r="V893" s="189"/>
      <c r="W893" s="189"/>
      <c r="X893" s="189"/>
      <c r="Y893" s="100"/>
      <c r="AA893" s="96"/>
      <c r="AB893" s="96"/>
      <c r="AC893" s="96"/>
      <c r="AD893" s="97"/>
      <c r="AE893" s="96"/>
      <c r="AF893" s="98"/>
      <c r="AG893" s="96"/>
      <c r="AH893" s="96"/>
      <c r="AI893" s="96"/>
      <c r="AJ893" s="96"/>
      <c r="AK893" s="96"/>
      <c r="AL893" s="96"/>
      <c r="AM893" s="96"/>
      <c r="AN893" s="96"/>
      <c r="AO893" s="96"/>
      <c r="AP893" s="96"/>
    </row>
    <row r="894" spans="2:42" ht="12.75">
      <c r="B894" s="186"/>
      <c r="C894" s="85"/>
      <c r="D894" s="85"/>
      <c r="E894" s="187"/>
      <c r="F894" s="187"/>
      <c r="G894" s="187"/>
      <c r="H894" s="187"/>
      <c r="I894" s="92"/>
      <c r="J894" s="92"/>
      <c r="K894" s="187"/>
      <c r="L894" s="187"/>
      <c r="M894" s="187"/>
      <c r="N894" s="187"/>
      <c r="O894" s="92"/>
      <c r="P894" s="187"/>
      <c r="Q894" s="187"/>
      <c r="R894" s="187"/>
      <c r="S894" s="187"/>
      <c r="T894" s="85"/>
      <c r="U894" s="189"/>
      <c r="V894" s="189"/>
      <c r="W894" s="189"/>
      <c r="X894" s="189"/>
      <c r="Y894" s="100"/>
      <c r="AA894" s="96"/>
      <c r="AB894" s="96"/>
      <c r="AC894" s="96"/>
      <c r="AD894" s="97"/>
      <c r="AE894" s="96"/>
      <c r="AF894" s="98"/>
      <c r="AG894" s="96"/>
      <c r="AH894" s="96"/>
      <c r="AI894" s="96"/>
      <c r="AJ894" s="96"/>
      <c r="AK894" s="96"/>
      <c r="AL894" s="96"/>
      <c r="AM894" s="96"/>
      <c r="AN894" s="96"/>
      <c r="AO894" s="96"/>
      <c r="AP894" s="96"/>
    </row>
    <row r="895" spans="2:42" ht="12.75">
      <c r="B895" s="186"/>
      <c r="C895" s="85"/>
      <c r="D895" s="85"/>
      <c r="E895" s="187"/>
      <c r="F895" s="187"/>
      <c r="G895" s="187"/>
      <c r="H895" s="187"/>
      <c r="I895" s="92"/>
      <c r="J895" s="92"/>
      <c r="K895" s="187"/>
      <c r="L895" s="187"/>
      <c r="M895" s="187"/>
      <c r="N895" s="187"/>
      <c r="O895" s="92"/>
      <c r="P895" s="187"/>
      <c r="Q895" s="187"/>
      <c r="R895" s="187"/>
      <c r="S895" s="187"/>
      <c r="T895" s="85"/>
      <c r="U895" s="189"/>
      <c r="V895" s="189"/>
      <c r="W895" s="189"/>
      <c r="X895" s="189"/>
      <c r="Y895" s="100"/>
      <c r="AA895" s="96"/>
      <c r="AB895" s="96"/>
      <c r="AC895" s="96"/>
      <c r="AD895" s="97"/>
      <c r="AE895" s="96"/>
      <c r="AF895" s="98"/>
      <c r="AG895" s="96"/>
      <c r="AH895" s="96"/>
      <c r="AI895" s="96"/>
      <c r="AJ895" s="96"/>
      <c r="AK895" s="96"/>
      <c r="AL895" s="96"/>
      <c r="AM895" s="96"/>
      <c r="AN895" s="96"/>
      <c r="AO895" s="96"/>
      <c r="AP895" s="96"/>
    </row>
    <row r="896" spans="2:42" ht="12.75">
      <c r="B896" s="186"/>
      <c r="C896" s="85"/>
      <c r="D896" s="85"/>
      <c r="E896" s="187"/>
      <c r="F896" s="187"/>
      <c r="G896" s="187"/>
      <c r="H896" s="187"/>
      <c r="I896" s="92"/>
      <c r="J896" s="92"/>
      <c r="K896" s="187"/>
      <c r="L896" s="187"/>
      <c r="M896" s="187"/>
      <c r="N896" s="187"/>
      <c r="O896" s="92"/>
      <c r="P896" s="187"/>
      <c r="Q896" s="187"/>
      <c r="R896" s="187"/>
      <c r="S896" s="187"/>
      <c r="T896" s="85"/>
      <c r="U896" s="189"/>
      <c r="V896" s="189"/>
      <c r="W896" s="189"/>
      <c r="X896" s="189"/>
      <c r="Y896" s="100"/>
      <c r="AA896" s="96"/>
      <c r="AB896" s="96"/>
      <c r="AC896" s="96"/>
      <c r="AD896" s="97"/>
      <c r="AE896" s="96"/>
      <c r="AF896" s="98"/>
      <c r="AG896" s="96"/>
      <c r="AH896" s="96"/>
      <c r="AI896" s="96"/>
      <c r="AJ896" s="96"/>
      <c r="AK896" s="96"/>
      <c r="AL896" s="96"/>
      <c r="AM896" s="96"/>
      <c r="AN896" s="96"/>
      <c r="AO896" s="96"/>
      <c r="AP896" s="96"/>
    </row>
    <row r="897" spans="2:42" ht="12.75">
      <c r="B897" s="186"/>
      <c r="C897" s="85"/>
      <c r="D897" s="85"/>
      <c r="E897" s="187"/>
      <c r="F897" s="187"/>
      <c r="G897" s="187"/>
      <c r="H897" s="187"/>
      <c r="I897" s="92"/>
      <c r="J897" s="92"/>
      <c r="K897" s="187"/>
      <c r="L897" s="187"/>
      <c r="M897" s="187"/>
      <c r="N897" s="187"/>
      <c r="O897" s="92"/>
      <c r="P897" s="187"/>
      <c r="Q897" s="187"/>
      <c r="R897" s="187"/>
      <c r="S897" s="187"/>
      <c r="T897" s="85"/>
      <c r="U897" s="189"/>
      <c r="V897" s="189"/>
      <c r="W897" s="189"/>
      <c r="X897" s="189"/>
      <c r="Y897" s="100"/>
      <c r="AA897" s="96"/>
      <c r="AB897" s="96"/>
      <c r="AC897" s="96"/>
      <c r="AD897" s="97"/>
      <c r="AE897" s="96"/>
      <c r="AF897" s="98"/>
      <c r="AG897" s="96"/>
      <c r="AH897" s="96"/>
      <c r="AI897" s="96"/>
      <c r="AJ897" s="96"/>
      <c r="AK897" s="96"/>
      <c r="AL897" s="96"/>
      <c r="AM897" s="96"/>
      <c r="AN897" s="96"/>
      <c r="AO897" s="96"/>
      <c r="AP897" s="96"/>
    </row>
    <row r="898" spans="2:42" ht="12.75">
      <c r="B898" s="186"/>
      <c r="C898" s="85"/>
      <c r="D898" s="85"/>
      <c r="E898" s="187"/>
      <c r="F898" s="187"/>
      <c r="G898" s="187"/>
      <c r="H898" s="187"/>
      <c r="I898" s="92"/>
      <c r="J898" s="92"/>
      <c r="K898" s="187"/>
      <c r="L898" s="187"/>
      <c r="M898" s="187"/>
      <c r="N898" s="187"/>
      <c r="O898" s="92"/>
      <c r="P898" s="187"/>
      <c r="Q898" s="187"/>
      <c r="R898" s="187"/>
      <c r="S898" s="187"/>
      <c r="T898" s="85"/>
      <c r="U898" s="189"/>
      <c r="V898" s="189"/>
      <c r="W898" s="189"/>
      <c r="X898" s="189"/>
      <c r="Y898" s="100"/>
      <c r="AA898" s="96"/>
      <c r="AB898" s="96"/>
      <c r="AC898" s="96"/>
      <c r="AD898" s="97"/>
      <c r="AE898" s="96"/>
      <c r="AF898" s="98"/>
      <c r="AG898" s="96"/>
      <c r="AH898" s="96"/>
      <c r="AI898" s="96"/>
      <c r="AJ898" s="96"/>
      <c r="AK898" s="96"/>
      <c r="AL898" s="96"/>
      <c r="AM898" s="96"/>
      <c r="AN898" s="96"/>
      <c r="AO898" s="96"/>
      <c r="AP898" s="96"/>
    </row>
    <row r="899" spans="2:42" ht="12.75">
      <c r="B899" s="186"/>
      <c r="C899" s="85"/>
      <c r="D899" s="85"/>
      <c r="E899" s="187"/>
      <c r="F899" s="187"/>
      <c r="G899" s="187"/>
      <c r="H899" s="187"/>
      <c r="I899" s="92"/>
      <c r="J899" s="92"/>
      <c r="K899" s="187"/>
      <c r="L899" s="187"/>
      <c r="M899" s="187"/>
      <c r="N899" s="187"/>
      <c r="O899" s="92"/>
      <c r="P899" s="187"/>
      <c r="Q899" s="187"/>
      <c r="R899" s="187"/>
      <c r="S899" s="187"/>
      <c r="T899" s="85"/>
      <c r="U899" s="189"/>
      <c r="V899" s="189"/>
      <c r="W899" s="189"/>
      <c r="X899" s="189"/>
      <c r="Y899" s="100"/>
      <c r="AA899" s="96"/>
      <c r="AB899" s="96"/>
      <c r="AC899" s="96"/>
      <c r="AD899" s="97"/>
      <c r="AE899" s="96"/>
      <c r="AF899" s="98"/>
      <c r="AG899" s="96"/>
      <c r="AH899" s="96"/>
      <c r="AI899" s="96"/>
      <c r="AJ899" s="96"/>
      <c r="AK899" s="96"/>
      <c r="AL899" s="96"/>
      <c r="AM899" s="96"/>
      <c r="AN899" s="96"/>
      <c r="AO899" s="96"/>
      <c r="AP899" s="96"/>
    </row>
    <row r="900" spans="2:42" ht="12.75">
      <c r="B900" s="186"/>
      <c r="C900" s="85"/>
      <c r="D900" s="85"/>
      <c r="E900" s="187"/>
      <c r="F900" s="187"/>
      <c r="G900" s="187"/>
      <c r="H900" s="187"/>
      <c r="I900" s="92"/>
      <c r="J900" s="92"/>
      <c r="K900" s="187"/>
      <c r="L900" s="187"/>
      <c r="M900" s="187"/>
      <c r="N900" s="187"/>
      <c r="O900" s="92"/>
      <c r="P900" s="187"/>
      <c r="Q900" s="187"/>
      <c r="R900" s="187"/>
      <c r="S900" s="187"/>
      <c r="T900" s="85"/>
      <c r="U900" s="189"/>
      <c r="V900" s="189"/>
      <c r="W900" s="189"/>
      <c r="X900" s="189"/>
      <c r="Y900" s="100"/>
      <c r="AA900" s="96"/>
      <c r="AB900" s="96"/>
      <c r="AC900" s="96"/>
      <c r="AD900" s="97"/>
      <c r="AE900" s="96"/>
      <c r="AF900" s="98"/>
      <c r="AG900" s="96"/>
      <c r="AH900" s="96"/>
      <c r="AI900" s="96"/>
      <c r="AJ900" s="96"/>
      <c r="AK900" s="96"/>
      <c r="AL900" s="96"/>
      <c r="AM900" s="96"/>
      <c r="AN900" s="96"/>
      <c r="AO900" s="96"/>
      <c r="AP900" s="96"/>
    </row>
    <row r="901" spans="2:42" ht="12.75">
      <c r="B901" s="186"/>
      <c r="C901" s="85"/>
      <c r="D901" s="85"/>
      <c r="E901" s="187"/>
      <c r="F901" s="187"/>
      <c r="G901" s="187"/>
      <c r="H901" s="187"/>
      <c r="I901" s="92"/>
      <c r="J901" s="92"/>
      <c r="K901" s="187"/>
      <c r="L901" s="187"/>
      <c r="M901" s="187"/>
      <c r="N901" s="187"/>
      <c r="O901" s="92"/>
      <c r="P901" s="187"/>
      <c r="Q901" s="187"/>
      <c r="R901" s="187"/>
      <c r="S901" s="187"/>
      <c r="T901" s="85"/>
      <c r="U901" s="189"/>
      <c r="V901" s="189"/>
      <c r="W901" s="189"/>
      <c r="X901" s="189"/>
      <c r="Y901" s="100"/>
      <c r="AA901" s="96"/>
      <c r="AB901" s="96"/>
      <c r="AC901" s="96"/>
      <c r="AD901" s="97"/>
      <c r="AE901" s="96"/>
      <c r="AF901" s="98"/>
      <c r="AG901" s="96"/>
      <c r="AH901" s="96"/>
      <c r="AI901" s="96"/>
      <c r="AJ901" s="96"/>
      <c r="AK901" s="96"/>
      <c r="AL901" s="96"/>
      <c r="AM901" s="96"/>
      <c r="AN901" s="96"/>
      <c r="AO901" s="96"/>
      <c r="AP901" s="96"/>
    </row>
    <row r="902" spans="2:42" ht="12.75">
      <c r="B902" s="186"/>
      <c r="C902" s="85"/>
      <c r="D902" s="85"/>
      <c r="E902" s="187"/>
      <c r="F902" s="187"/>
      <c r="G902" s="187"/>
      <c r="H902" s="187"/>
      <c r="I902" s="92"/>
      <c r="J902" s="92"/>
      <c r="K902" s="187"/>
      <c r="L902" s="187"/>
      <c r="M902" s="187"/>
      <c r="N902" s="187"/>
      <c r="O902" s="92"/>
      <c r="P902" s="187"/>
      <c r="Q902" s="187"/>
      <c r="R902" s="187"/>
      <c r="S902" s="187"/>
      <c r="T902" s="85"/>
      <c r="U902" s="189"/>
      <c r="V902" s="189"/>
      <c r="W902" s="189"/>
      <c r="X902" s="189"/>
      <c r="Y902" s="100"/>
      <c r="AA902" s="96"/>
      <c r="AB902" s="96"/>
      <c r="AC902" s="96"/>
      <c r="AD902" s="97"/>
      <c r="AE902" s="96"/>
      <c r="AF902" s="98"/>
      <c r="AG902" s="96"/>
      <c r="AH902" s="96"/>
      <c r="AI902" s="96"/>
      <c r="AJ902" s="96"/>
      <c r="AK902" s="96"/>
      <c r="AL902" s="96"/>
      <c r="AM902" s="96"/>
      <c r="AN902" s="96"/>
      <c r="AO902" s="96"/>
      <c r="AP902" s="96"/>
    </row>
    <row r="903" spans="2:42" ht="12.75">
      <c r="B903" s="186"/>
      <c r="C903" s="85"/>
      <c r="D903" s="85"/>
      <c r="E903" s="187"/>
      <c r="F903" s="187"/>
      <c r="G903" s="187"/>
      <c r="H903" s="187"/>
      <c r="I903" s="92"/>
      <c r="J903" s="92"/>
      <c r="K903" s="187"/>
      <c r="L903" s="187"/>
      <c r="M903" s="187"/>
      <c r="N903" s="187"/>
      <c r="O903" s="92"/>
      <c r="P903" s="187"/>
      <c r="Q903" s="187"/>
      <c r="R903" s="187"/>
      <c r="S903" s="187"/>
      <c r="T903" s="85"/>
      <c r="U903" s="189"/>
      <c r="V903" s="189"/>
      <c r="W903" s="189"/>
      <c r="X903" s="189"/>
      <c r="Y903" s="100"/>
      <c r="AA903" s="96"/>
      <c r="AB903" s="96"/>
      <c r="AC903" s="96"/>
      <c r="AD903" s="97"/>
      <c r="AE903" s="96"/>
      <c r="AF903" s="98"/>
      <c r="AG903" s="96"/>
      <c r="AH903" s="96"/>
      <c r="AI903" s="96"/>
      <c r="AJ903" s="96"/>
      <c r="AK903" s="96"/>
      <c r="AL903" s="96"/>
      <c r="AM903" s="96"/>
      <c r="AN903" s="96"/>
      <c r="AO903" s="96"/>
      <c r="AP903" s="96"/>
    </row>
    <row r="904" spans="2:42" ht="12.75">
      <c r="B904" s="186"/>
      <c r="C904" s="85"/>
      <c r="D904" s="85"/>
      <c r="E904" s="187"/>
      <c r="F904" s="187"/>
      <c r="G904" s="187"/>
      <c r="H904" s="187"/>
      <c r="I904" s="92"/>
      <c r="J904" s="92"/>
      <c r="K904" s="187"/>
      <c r="L904" s="187"/>
      <c r="M904" s="187"/>
      <c r="N904" s="187"/>
      <c r="O904" s="92"/>
      <c r="P904" s="187"/>
      <c r="Q904" s="187"/>
      <c r="R904" s="187"/>
      <c r="S904" s="187"/>
      <c r="T904" s="85"/>
      <c r="U904" s="189"/>
      <c r="V904" s="189"/>
      <c r="W904" s="189"/>
      <c r="X904" s="189"/>
      <c r="Y904" s="100"/>
      <c r="AA904" s="96"/>
      <c r="AB904" s="96"/>
      <c r="AC904" s="96"/>
      <c r="AD904" s="97"/>
      <c r="AE904" s="96"/>
      <c r="AF904" s="98"/>
      <c r="AG904" s="96"/>
      <c r="AH904" s="96"/>
      <c r="AI904" s="96"/>
      <c r="AJ904" s="96"/>
      <c r="AK904" s="96"/>
      <c r="AL904" s="96"/>
      <c r="AM904" s="96"/>
      <c r="AN904" s="96"/>
      <c r="AO904" s="96"/>
      <c r="AP904" s="96"/>
    </row>
    <row r="905" spans="2:42" ht="12.75">
      <c r="B905" s="186"/>
      <c r="C905" s="85"/>
      <c r="D905" s="85"/>
      <c r="E905" s="187"/>
      <c r="F905" s="187"/>
      <c r="G905" s="187"/>
      <c r="H905" s="187"/>
      <c r="I905" s="92"/>
      <c r="J905" s="92"/>
      <c r="K905" s="187"/>
      <c r="L905" s="187"/>
      <c r="M905" s="187"/>
      <c r="N905" s="187"/>
      <c r="O905" s="92"/>
      <c r="P905" s="187"/>
      <c r="Q905" s="187"/>
      <c r="R905" s="187"/>
      <c r="S905" s="187"/>
      <c r="T905" s="85"/>
      <c r="U905" s="189"/>
      <c r="V905" s="189"/>
      <c r="W905" s="189"/>
      <c r="X905" s="189"/>
      <c r="Y905" s="100"/>
      <c r="AA905" s="96"/>
      <c r="AB905" s="96"/>
      <c r="AC905" s="96"/>
      <c r="AD905" s="97"/>
      <c r="AE905" s="96"/>
      <c r="AF905" s="98"/>
      <c r="AG905" s="96"/>
      <c r="AH905" s="96"/>
      <c r="AI905" s="96"/>
      <c r="AJ905" s="96"/>
      <c r="AK905" s="96"/>
      <c r="AL905" s="96"/>
      <c r="AM905" s="96"/>
      <c r="AN905" s="96"/>
      <c r="AO905" s="96"/>
      <c r="AP905" s="96"/>
    </row>
    <row r="906" spans="2:42" ht="12.75">
      <c r="B906" s="186"/>
      <c r="C906" s="85"/>
      <c r="D906" s="85"/>
      <c r="E906" s="187"/>
      <c r="F906" s="187"/>
      <c r="G906" s="187"/>
      <c r="H906" s="187"/>
      <c r="I906" s="92"/>
      <c r="J906" s="92"/>
      <c r="K906" s="187"/>
      <c r="L906" s="187"/>
      <c r="M906" s="187"/>
      <c r="N906" s="187"/>
      <c r="O906" s="92"/>
      <c r="P906" s="187"/>
      <c r="Q906" s="187"/>
      <c r="R906" s="187"/>
      <c r="S906" s="187"/>
      <c r="T906" s="85"/>
      <c r="U906" s="189"/>
      <c r="V906" s="189"/>
      <c r="W906" s="189"/>
      <c r="X906" s="189"/>
      <c r="Y906" s="100"/>
      <c r="AA906" s="96"/>
      <c r="AB906" s="96"/>
      <c r="AC906" s="96"/>
      <c r="AD906" s="97"/>
      <c r="AE906" s="96"/>
      <c r="AF906" s="98"/>
      <c r="AG906" s="96"/>
      <c r="AH906" s="96"/>
      <c r="AI906" s="96"/>
      <c r="AJ906" s="96"/>
      <c r="AK906" s="96"/>
      <c r="AL906" s="96"/>
      <c r="AM906" s="96"/>
      <c r="AN906" s="96"/>
      <c r="AO906" s="96"/>
      <c r="AP906" s="96"/>
    </row>
    <row r="907" spans="2:42" ht="12.75">
      <c r="B907" s="186"/>
      <c r="C907" s="85"/>
      <c r="D907" s="85"/>
      <c r="E907" s="187"/>
      <c r="F907" s="187"/>
      <c r="G907" s="187"/>
      <c r="H907" s="187"/>
      <c r="I907" s="92"/>
      <c r="J907" s="92"/>
      <c r="K907" s="187"/>
      <c r="L907" s="187"/>
      <c r="M907" s="187"/>
      <c r="N907" s="187"/>
      <c r="O907" s="92"/>
      <c r="P907" s="187"/>
      <c r="Q907" s="187"/>
      <c r="R907" s="187"/>
      <c r="S907" s="187"/>
      <c r="T907" s="85"/>
      <c r="U907" s="189"/>
      <c r="V907" s="189"/>
      <c r="W907" s="189"/>
      <c r="X907" s="189"/>
      <c r="Y907" s="100"/>
      <c r="AA907" s="96"/>
      <c r="AB907" s="96"/>
      <c r="AC907" s="96"/>
      <c r="AD907" s="97"/>
      <c r="AE907" s="96"/>
      <c r="AF907" s="98"/>
      <c r="AG907" s="96"/>
      <c r="AH907" s="96"/>
      <c r="AI907" s="96"/>
      <c r="AJ907" s="96"/>
      <c r="AK907" s="96"/>
      <c r="AL907" s="96"/>
      <c r="AM907" s="96"/>
      <c r="AN907" s="96"/>
      <c r="AO907" s="96"/>
      <c r="AP907" s="96"/>
    </row>
    <row r="908" spans="2:42" ht="12.75">
      <c r="B908" s="186"/>
      <c r="C908" s="85"/>
      <c r="D908" s="85"/>
      <c r="E908" s="187"/>
      <c r="F908" s="187"/>
      <c r="G908" s="187"/>
      <c r="H908" s="187"/>
      <c r="I908" s="92"/>
      <c r="J908" s="92"/>
      <c r="K908" s="187"/>
      <c r="L908" s="187"/>
      <c r="M908" s="187"/>
      <c r="N908" s="187"/>
      <c r="O908" s="92"/>
      <c r="P908" s="187"/>
      <c r="Q908" s="187"/>
      <c r="R908" s="187"/>
      <c r="S908" s="187"/>
      <c r="T908" s="85"/>
      <c r="U908" s="189"/>
      <c r="V908" s="189"/>
      <c r="W908" s="189"/>
      <c r="X908" s="189"/>
      <c r="Y908" s="100"/>
      <c r="AA908" s="96"/>
      <c r="AB908" s="96"/>
      <c r="AC908" s="96"/>
      <c r="AD908" s="97"/>
      <c r="AE908" s="96"/>
      <c r="AF908" s="98"/>
      <c r="AG908" s="96"/>
      <c r="AH908" s="96"/>
      <c r="AI908" s="96"/>
      <c r="AJ908" s="96"/>
      <c r="AK908" s="96"/>
      <c r="AL908" s="96"/>
      <c r="AM908" s="96"/>
      <c r="AN908" s="96"/>
      <c r="AO908" s="96"/>
      <c r="AP908" s="96"/>
    </row>
    <row r="909" spans="2:42" ht="12.75">
      <c r="B909" s="186"/>
      <c r="C909" s="85"/>
      <c r="D909" s="85"/>
      <c r="E909" s="187"/>
      <c r="F909" s="187"/>
      <c r="G909" s="187"/>
      <c r="H909" s="187"/>
      <c r="I909" s="92"/>
      <c r="J909" s="92"/>
      <c r="K909" s="187"/>
      <c r="L909" s="187"/>
      <c r="M909" s="187"/>
      <c r="N909" s="187"/>
      <c r="O909" s="92"/>
      <c r="P909" s="187"/>
      <c r="Q909" s="187"/>
      <c r="R909" s="187"/>
      <c r="S909" s="187"/>
      <c r="T909" s="85"/>
      <c r="U909" s="189"/>
      <c r="V909" s="189"/>
      <c r="W909" s="189"/>
      <c r="X909" s="189"/>
      <c r="Y909" s="100"/>
      <c r="AA909" s="96"/>
      <c r="AB909" s="96"/>
      <c r="AC909" s="96"/>
      <c r="AD909" s="97"/>
      <c r="AE909" s="96"/>
      <c r="AF909" s="98"/>
      <c r="AG909" s="96"/>
      <c r="AH909" s="96"/>
      <c r="AI909" s="96"/>
      <c r="AJ909" s="96"/>
      <c r="AK909" s="96"/>
      <c r="AL909" s="96"/>
      <c r="AM909" s="96"/>
      <c r="AN909" s="96"/>
      <c r="AO909" s="96"/>
      <c r="AP909" s="96"/>
    </row>
    <row r="910" spans="2:42" ht="12.75">
      <c r="B910" s="186"/>
      <c r="C910" s="85"/>
      <c r="D910" s="85"/>
      <c r="E910" s="187"/>
      <c r="F910" s="187"/>
      <c r="G910" s="187"/>
      <c r="H910" s="187"/>
      <c r="I910" s="92"/>
      <c r="J910" s="92"/>
      <c r="K910" s="187"/>
      <c r="L910" s="187"/>
      <c r="M910" s="187"/>
      <c r="N910" s="187"/>
      <c r="O910" s="92"/>
      <c r="P910" s="187"/>
      <c r="Q910" s="187"/>
      <c r="R910" s="187"/>
      <c r="S910" s="187"/>
      <c r="T910" s="85"/>
      <c r="U910" s="189"/>
      <c r="V910" s="189"/>
      <c r="W910" s="189"/>
      <c r="X910" s="189"/>
      <c r="Y910" s="100"/>
      <c r="AA910" s="96"/>
      <c r="AB910" s="96"/>
      <c r="AC910" s="96"/>
      <c r="AD910" s="97"/>
      <c r="AE910" s="96"/>
      <c r="AF910" s="98"/>
      <c r="AG910" s="96"/>
      <c r="AH910" s="96"/>
      <c r="AI910" s="96"/>
      <c r="AJ910" s="96"/>
      <c r="AK910" s="96"/>
      <c r="AL910" s="96"/>
      <c r="AM910" s="96"/>
      <c r="AN910" s="96"/>
      <c r="AO910" s="96"/>
      <c r="AP910" s="96"/>
    </row>
    <row r="911" spans="2:42" ht="12.75">
      <c r="B911" s="186"/>
      <c r="C911" s="85"/>
      <c r="D911" s="85"/>
      <c r="E911" s="187"/>
      <c r="F911" s="187"/>
      <c r="G911" s="187"/>
      <c r="H911" s="187"/>
      <c r="I911" s="92"/>
      <c r="J911" s="92"/>
      <c r="K911" s="187"/>
      <c r="L911" s="187"/>
      <c r="M911" s="187"/>
      <c r="N911" s="187"/>
      <c r="O911" s="92"/>
      <c r="P911" s="187"/>
      <c r="Q911" s="187"/>
      <c r="R911" s="187"/>
      <c r="S911" s="187"/>
      <c r="T911" s="85"/>
      <c r="U911" s="189"/>
      <c r="V911" s="189"/>
      <c r="W911" s="189"/>
      <c r="X911" s="189"/>
      <c r="Y911" s="100"/>
      <c r="AA911" s="96"/>
      <c r="AB911" s="96"/>
      <c r="AC911" s="96"/>
      <c r="AD911" s="97"/>
      <c r="AE911" s="96"/>
      <c r="AF911" s="98"/>
      <c r="AG911" s="96"/>
      <c r="AH911" s="96"/>
      <c r="AI911" s="96"/>
      <c r="AJ911" s="96"/>
      <c r="AK911" s="96"/>
      <c r="AL911" s="96"/>
      <c r="AM911" s="96"/>
      <c r="AN911" s="96"/>
      <c r="AO911" s="96"/>
      <c r="AP911" s="96"/>
    </row>
    <row r="912" spans="2:42" ht="12.75">
      <c r="B912" s="186"/>
      <c r="C912" s="85"/>
      <c r="D912" s="85"/>
      <c r="E912" s="187"/>
      <c r="F912" s="187"/>
      <c r="G912" s="187"/>
      <c r="H912" s="187"/>
      <c r="I912" s="92"/>
      <c r="J912" s="92"/>
      <c r="K912" s="187"/>
      <c r="L912" s="187"/>
      <c r="M912" s="187"/>
      <c r="N912" s="187"/>
      <c r="O912" s="92"/>
      <c r="P912" s="187"/>
      <c r="Q912" s="187"/>
      <c r="R912" s="187"/>
      <c r="S912" s="187"/>
      <c r="T912" s="85"/>
      <c r="U912" s="189"/>
      <c r="V912" s="189"/>
      <c r="W912" s="189"/>
      <c r="X912" s="189"/>
      <c r="Y912" s="100"/>
      <c r="AA912" s="96"/>
      <c r="AB912" s="96"/>
      <c r="AC912" s="96"/>
      <c r="AD912" s="97"/>
      <c r="AE912" s="96"/>
      <c r="AF912" s="98"/>
      <c r="AG912" s="96"/>
      <c r="AH912" s="96"/>
      <c r="AI912" s="96"/>
      <c r="AJ912" s="96"/>
      <c r="AK912" s="96"/>
      <c r="AL912" s="96"/>
      <c r="AM912" s="96"/>
      <c r="AN912" s="96"/>
      <c r="AO912" s="96"/>
      <c r="AP912" s="96"/>
    </row>
    <row r="913" spans="2:42" ht="12.75">
      <c r="B913" s="186"/>
      <c r="C913" s="85"/>
      <c r="D913" s="85"/>
      <c r="E913" s="187"/>
      <c r="F913" s="187"/>
      <c r="G913" s="187"/>
      <c r="H913" s="187"/>
      <c r="I913" s="92"/>
      <c r="J913" s="92"/>
      <c r="K913" s="187"/>
      <c r="L913" s="187"/>
      <c r="M913" s="187"/>
      <c r="N913" s="187"/>
      <c r="O913" s="92"/>
      <c r="P913" s="187"/>
      <c r="Q913" s="187"/>
      <c r="R913" s="187"/>
      <c r="S913" s="187"/>
      <c r="T913" s="85"/>
      <c r="U913" s="189"/>
      <c r="V913" s="189"/>
      <c r="W913" s="189"/>
      <c r="X913" s="189"/>
      <c r="Y913" s="100"/>
      <c r="AA913" s="96"/>
      <c r="AB913" s="96"/>
      <c r="AC913" s="96"/>
      <c r="AD913" s="97"/>
      <c r="AE913" s="96"/>
      <c r="AF913" s="98"/>
      <c r="AG913" s="96"/>
      <c r="AH913" s="96"/>
      <c r="AI913" s="96"/>
      <c r="AJ913" s="96"/>
      <c r="AK913" s="96"/>
      <c r="AL913" s="96"/>
      <c r="AM913" s="96"/>
      <c r="AN913" s="96"/>
      <c r="AO913" s="96"/>
      <c r="AP913" s="96"/>
    </row>
    <row r="914" spans="2:42" ht="12.75">
      <c r="B914" s="186"/>
      <c r="C914" s="85"/>
      <c r="D914" s="85"/>
      <c r="E914" s="187"/>
      <c r="F914" s="187"/>
      <c r="G914" s="187"/>
      <c r="H914" s="187"/>
      <c r="I914" s="92"/>
      <c r="J914" s="92"/>
      <c r="K914" s="187"/>
      <c r="L914" s="187"/>
      <c r="M914" s="187"/>
      <c r="N914" s="187"/>
      <c r="O914" s="92"/>
      <c r="P914" s="187"/>
      <c r="Q914" s="187"/>
      <c r="R914" s="187"/>
      <c r="S914" s="187"/>
      <c r="T914" s="85"/>
      <c r="U914" s="189"/>
      <c r="V914" s="189"/>
      <c r="W914" s="189"/>
      <c r="X914" s="189"/>
      <c r="Y914" s="100"/>
      <c r="AA914" s="96"/>
      <c r="AB914" s="96"/>
      <c r="AC914" s="96"/>
      <c r="AD914" s="97"/>
      <c r="AE914" s="96"/>
      <c r="AF914" s="98"/>
      <c r="AG914" s="96"/>
      <c r="AH914" s="96"/>
      <c r="AI914" s="96"/>
      <c r="AJ914" s="96"/>
      <c r="AK914" s="96"/>
      <c r="AL914" s="96"/>
      <c r="AM914" s="96"/>
      <c r="AN914" s="96"/>
      <c r="AO914" s="96"/>
      <c r="AP914" s="96"/>
    </row>
    <row r="915" spans="2:42" ht="12.75">
      <c r="B915" s="186"/>
      <c r="C915" s="85"/>
      <c r="D915" s="85"/>
      <c r="E915" s="187"/>
      <c r="F915" s="187"/>
      <c r="G915" s="187"/>
      <c r="H915" s="187"/>
      <c r="I915" s="92"/>
      <c r="J915" s="92"/>
      <c r="K915" s="187"/>
      <c r="L915" s="187"/>
      <c r="M915" s="187"/>
      <c r="N915" s="187"/>
      <c r="O915" s="92"/>
      <c r="P915" s="187"/>
      <c r="Q915" s="187"/>
      <c r="R915" s="187"/>
      <c r="S915" s="187"/>
      <c r="T915" s="85"/>
      <c r="U915" s="189"/>
      <c r="V915" s="189"/>
      <c r="W915" s="189"/>
      <c r="X915" s="189"/>
      <c r="Y915" s="100"/>
      <c r="AA915" s="96"/>
      <c r="AB915" s="96"/>
      <c r="AC915" s="96"/>
      <c r="AD915" s="97"/>
      <c r="AE915" s="96"/>
      <c r="AF915" s="98"/>
      <c r="AG915" s="96"/>
      <c r="AH915" s="96"/>
      <c r="AI915" s="96"/>
      <c r="AJ915" s="96"/>
      <c r="AK915" s="96"/>
      <c r="AL915" s="96"/>
      <c r="AM915" s="96"/>
      <c r="AN915" s="96"/>
      <c r="AO915" s="96"/>
      <c r="AP915" s="96"/>
    </row>
    <row r="916" spans="2:42" ht="12.75">
      <c r="B916" s="186"/>
      <c r="C916" s="85"/>
      <c r="D916" s="85"/>
      <c r="E916" s="187"/>
      <c r="F916" s="187"/>
      <c r="G916" s="187"/>
      <c r="H916" s="187"/>
      <c r="I916" s="92"/>
      <c r="J916" s="92"/>
      <c r="K916" s="187"/>
      <c r="L916" s="187"/>
      <c r="M916" s="187"/>
      <c r="N916" s="187"/>
      <c r="O916" s="92"/>
      <c r="P916" s="187"/>
      <c r="Q916" s="187"/>
      <c r="R916" s="187"/>
      <c r="S916" s="187"/>
      <c r="T916" s="85"/>
      <c r="U916" s="189"/>
      <c r="V916" s="189"/>
      <c r="W916" s="189"/>
      <c r="X916" s="189"/>
      <c r="Y916" s="100"/>
      <c r="AA916" s="96"/>
      <c r="AB916" s="96"/>
      <c r="AC916" s="96"/>
      <c r="AD916" s="97"/>
      <c r="AE916" s="96"/>
      <c r="AF916" s="98"/>
      <c r="AG916" s="96"/>
      <c r="AH916" s="96"/>
      <c r="AI916" s="96"/>
      <c r="AJ916" s="96"/>
      <c r="AK916" s="96"/>
      <c r="AL916" s="96"/>
      <c r="AM916" s="96"/>
      <c r="AN916" s="96"/>
      <c r="AO916" s="96"/>
      <c r="AP916" s="96"/>
    </row>
    <row r="917" spans="2:42" ht="12.75">
      <c r="B917" s="186"/>
      <c r="C917" s="85"/>
      <c r="D917" s="85"/>
      <c r="E917" s="187"/>
      <c r="F917" s="187"/>
      <c r="G917" s="187"/>
      <c r="H917" s="187"/>
      <c r="I917" s="92"/>
      <c r="J917" s="92"/>
      <c r="K917" s="187"/>
      <c r="L917" s="187"/>
      <c r="M917" s="187"/>
      <c r="N917" s="187"/>
      <c r="O917" s="92"/>
      <c r="P917" s="187"/>
      <c r="Q917" s="187"/>
      <c r="R917" s="187"/>
      <c r="S917" s="187"/>
      <c r="T917" s="85"/>
      <c r="U917" s="189"/>
      <c r="V917" s="189"/>
      <c r="W917" s="189"/>
      <c r="X917" s="189"/>
      <c r="Y917" s="100"/>
      <c r="AA917" s="96"/>
      <c r="AB917" s="96"/>
      <c r="AC917" s="96"/>
      <c r="AD917" s="97"/>
      <c r="AE917" s="96"/>
      <c r="AF917" s="98"/>
      <c r="AG917" s="96"/>
      <c r="AH917" s="96"/>
      <c r="AI917" s="96"/>
      <c r="AJ917" s="96"/>
      <c r="AK917" s="96"/>
      <c r="AL917" s="96"/>
      <c r="AM917" s="96"/>
      <c r="AN917" s="96"/>
      <c r="AO917" s="96"/>
      <c r="AP917" s="96"/>
    </row>
    <row r="918" spans="2:42" ht="12.75">
      <c r="B918" s="186"/>
      <c r="C918" s="85"/>
      <c r="D918" s="85"/>
      <c r="E918" s="187"/>
      <c r="F918" s="187"/>
      <c r="G918" s="187"/>
      <c r="H918" s="187"/>
      <c r="I918" s="92"/>
      <c r="J918" s="92"/>
      <c r="K918" s="187"/>
      <c r="L918" s="187"/>
      <c r="M918" s="187"/>
      <c r="N918" s="187"/>
      <c r="O918" s="92"/>
      <c r="P918" s="187"/>
      <c r="Q918" s="187"/>
      <c r="R918" s="187"/>
      <c r="S918" s="187"/>
      <c r="T918" s="85"/>
      <c r="U918" s="189"/>
      <c r="V918" s="189"/>
      <c r="W918" s="189"/>
      <c r="X918" s="189"/>
      <c r="Y918" s="100"/>
      <c r="AA918" s="96"/>
      <c r="AB918" s="96"/>
      <c r="AC918" s="96"/>
      <c r="AD918" s="97"/>
      <c r="AE918" s="96"/>
      <c r="AF918" s="98"/>
      <c r="AG918" s="96"/>
      <c r="AH918" s="96"/>
      <c r="AI918" s="96"/>
      <c r="AJ918" s="96"/>
      <c r="AK918" s="96"/>
      <c r="AL918" s="96"/>
      <c r="AM918" s="96"/>
      <c r="AN918" s="96"/>
      <c r="AO918" s="96"/>
      <c r="AP918" s="96"/>
    </row>
    <row r="919" spans="2:42" ht="12.75">
      <c r="B919" s="186"/>
      <c r="C919" s="85"/>
      <c r="D919" s="85"/>
      <c r="E919" s="187"/>
      <c r="F919" s="187"/>
      <c r="G919" s="187"/>
      <c r="H919" s="187"/>
      <c r="I919" s="92"/>
      <c r="J919" s="92"/>
      <c r="K919" s="187"/>
      <c r="L919" s="187"/>
      <c r="M919" s="187"/>
      <c r="N919" s="187"/>
      <c r="O919" s="92"/>
      <c r="P919" s="187"/>
      <c r="Q919" s="187"/>
      <c r="R919" s="187"/>
      <c r="S919" s="187"/>
      <c r="T919" s="85"/>
      <c r="U919" s="189"/>
      <c r="V919" s="189"/>
      <c r="W919" s="189"/>
      <c r="X919" s="189"/>
      <c r="Y919" s="100"/>
      <c r="AA919" s="96"/>
      <c r="AB919" s="96"/>
      <c r="AC919" s="96"/>
      <c r="AD919" s="97"/>
      <c r="AE919" s="96"/>
      <c r="AF919" s="98"/>
      <c r="AG919" s="96"/>
      <c r="AH919" s="96"/>
      <c r="AI919" s="96"/>
      <c r="AJ919" s="96"/>
      <c r="AK919" s="96"/>
      <c r="AL919" s="96"/>
      <c r="AM919" s="96"/>
      <c r="AN919" s="96"/>
      <c r="AO919" s="96"/>
      <c r="AP919" s="96"/>
    </row>
    <row r="920" spans="2:42" ht="12.75">
      <c r="B920" s="186"/>
      <c r="C920" s="85"/>
      <c r="D920" s="85"/>
      <c r="E920" s="187"/>
      <c r="F920" s="187"/>
      <c r="G920" s="187"/>
      <c r="H920" s="187"/>
      <c r="I920" s="92"/>
      <c r="J920" s="92"/>
      <c r="K920" s="187"/>
      <c r="L920" s="187"/>
      <c r="M920" s="187"/>
      <c r="N920" s="187"/>
      <c r="O920" s="92"/>
      <c r="P920" s="187"/>
      <c r="Q920" s="187"/>
      <c r="R920" s="187"/>
      <c r="S920" s="187"/>
      <c r="T920" s="85"/>
      <c r="U920" s="189"/>
      <c r="V920" s="189"/>
      <c r="W920" s="189"/>
      <c r="X920" s="189"/>
      <c r="Y920" s="100"/>
      <c r="AA920" s="96"/>
      <c r="AB920" s="96"/>
      <c r="AC920" s="96"/>
      <c r="AD920" s="97"/>
      <c r="AE920" s="96"/>
      <c r="AF920" s="98"/>
      <c r="AG920" s="96"/>
      <c r="AH920" s="96"/>
      <c r="AI920" s="96"/>
      <c r="AJ920" s="96"/>
      <c r="AK920" s="96"/>
      <c r="AL920" s="96"/>
      <c r="AM920" s="96"/>
      <c r="AN920" s="96"/>
      <c r="AO920" s="96"/>
      <c r="AP920" s="96"/>
    </row>
    <row r="921" spans="2:42" ht="12.75">
      <c r="B921" s="186"/>
      <c r="C921" s="85"/>
      <c r="D921" s="85"/>
      <c r="E921" s="187"/>
      <c r="F921" s="187"/>
      <c r="G921" s="187"/>
      <c r="H921" s="187"/>
      <c r="I921" s="92"/>
      <c r="J921" s="92"/>
      <c r="K921" s="187"/>
      <c r="L921" s="187"/>
      <c r="M921" s="187"/>
      <c r="N921" s="187"/>
      <c r="O921" s="92"/>
      <c r="P921" s="187"/>
      <c r="Q921" s="187"/>
      <c r="R921" s="187"/>
      <c r="S921" s="187"/>
      <c r="T921" s="85"/>
      <c r="U921" s="189"/>
      <c r="V921" s="189"/>
      <c r="W921" s="189"/>
      <c r="X921" s="189"/>
      <c r="Y921" s="100"/>
      <c r="AA921" s="96"/>
      <c r="AB921" s="96"/>
      <c r="AC921" s="96"/>
      <c r="AD921" s="97"/>
      <c r="AE921" s="96"/>
      <c r="AF921" s="98"/>
      <c r="AG921" s="96"/>
      <c r="AH921" s="96"/>
      <c r="AI921" s="96"/>
      <c r="AJ921" s="96"/>
      <c r="AK921" s="96"/>
      <c r="AL921" s="96"/>
      <c r="AM921" s="96"/>
      <c r="AN921" s="96"/>
      <c r="AO921" s="96"/>
      <c r="AP921" s="96"/>
    </row>
    <row r="922" spans="2:42" ht="12.75">
      <c r="B922" s="186"/>
      <c r="C922" s="85"/>
      <c r="D922" s="85"/>
      <c r="E922" s="187"/>
      <c r="F922" s="187"/>
      <c r="G922" s="187"/>
      <c r="H922" s="187"/>
      <c r="I922" s="92"/>
      <c r="J922" s="92"/>
      <c r="K922" s="187"/>
      <c r="L922" s="187"/>
      <c r="M922" s="187"/>
      <c r="N922" s="187"/>
      <c r="O922" s="92"/>
      <c r="P922" s="187"/>
      <c r="Q922" s="187"/>
      <c r="R922" s="187"/>
      <c r="S922" s="187"/>
      <c r="T922" s="85"/>
      <c r="U922" s="189"/>
      <c r="V922" s="189"/>
      <c r="W922" s="189"/>
      <c r="X922" s="189"/>
      <c r="Y922" s="100"/>
      <c r="AA922" s="96"/>
      <c r="AB922" s="96"/>
      <c r="AC922" s="96"/>
      <c r="AD922" s="97"/>
      <c r="AE922" s="96"/>
      <c r="AF922" s="98"/>
      <c r="AG922" s="96"/>
      <c r="AH922" s="96"/>
      <c r="AI922" s="96"/>
      <c r="AJ922" s="96"/>
      <c r="AK922" s="96"/>
      <c r="AL922" s="96"/>
      <c r="AM922" s="96"/>
      <c r="AN922" s="96"/>
      <c r="AO922" s="96"/>
      <c r="AP922" s="96"/>
    </row>
    <row r="923" spans="2:42" ht="12.75">
      <c r="B923" s="186"/>
      <c r="C923" s="85"/>
      <c r="D923" s="85"/>
      <c r="E923" s="187"/>
      <c r="F923" s="187"/>
      <c r="G923" s="187"/>
      <c r="H923" s="187"/>
      <c r="I923" s="92"/>
      <c r="J923" s="92"/>
      <c r="K923" s="187"/>
      <c r="L923" s="187"/>
      <c r="M923" s="187"/>
      <c r="N923" s="187"/>
      <c r="O923" s="92"/>
      <c r="P923" s="187"/>
      <c r="Q923" s="187"/>
      <c r="R923" s="187"/>
      <c r="S923" s="187"/>
      <c r="T923" s="85"/>
      <c r="U923" s="189"/>
      <c r="V923" s="189"/>
      <c r="W923" s="189"/>
      <c r="X923" s="189"/>
      <c r="Y923" s="100"/>
      <c r="AA923" s="96"/>
      <c r="AB923" s="96"/>
      <c r="AC923" s="96"/>
      <c r="AD923" s="97"/>
      <c r="AE923" s="96"/>
      <c r="AF923" s="98"/>
      <c r="AG923" s="96"/>
      <c r="AH923" s="96"/>
      <c r="AI923" s="96"/>
      <c r="AJ923" s="96"/>
      <c r="AK923" s="96"/>
      <c r="AL923" s="96"/>
      <c r="AM923" s="96"/>
      <c r="AN923" s="96"/>
      <c r="AO923" s="96"/>
      <c r="AP923" s="96"/>
    </row>
    <row r="924" spans="2:42" ht="12.75">
      <c r="B924" s="186"/>
      <c r="C924" s="85"/>
      <c r="D924" s="85"/>
      <c r="E924" s="187"/>
      <c r="F924" s="187"/>
      <c r="G924" s="187"/>
      <c r="H924" s="187"/>
      <c r="I924" s="92"/>
      <c r="J924" s="92"/>
      <c r="K924" s="187"/>
      <c r="L924" s="187"/>
      <c r="M924" s="187"/>
      <c r="N924" s="187"/>
      <c r="O924" s="92"/>
      <c r="P924" s="187"/>
      <c r="Q924" s="187"/>
      <c r="R924" s="187"/>
      <c r="S924" s="187"/>
      <c r="T924" s="85"/>
      <c r="U924" s="189"/>
      <c r="V924" s="189"/>
      <c r="W924" s="189"/>
      <c r="X924" s="189"/>
      <c r="Y924" s="100"/>
      <c r="AA924" s="96"/>
      <c r="AB924" s="96"/>
      <c r="AC924" s="96"/>
      <c r="AD924" s="97"/>
      <c r="AE924" s="96"/>
      <c r="AF924" s="98"/>
      <c r="AG924" s="96"/>
      <c r="AH924" s="96"/>
      <c r="AI924" s="96"/>
      <c r="AJ924" s="96"/>
      <c r="AK924" s="96"/>
      <c r="AL924" s="96"/>
      <c r="AM924" s="96"/>
      <c r="AN924" s="96"/>
      <c r="AO924" s="96"/>
      <c r="AP924" s="96"/>
    </row>
    <row r="925" spans="2:42" ht="12.75">
      <c r="B925" s="186"/>
      <c r="C925" s="85"/>
      <c r="D925" s="85"/>
      <c r="E925" s="187"/>
      <c r="F925" s="187"/>
      <c r="G925" s="187"/>
      <c r="H925" s="187"/>
      <c r="I925" s="92"/>
      <c r="J925" s="92"/>
      <c r="K925" s="187"/>
      <c r="L925" s="187"/>
      <c r="M925" s="187"/>
      <c r="N925" s="187"/>
      <c r="O925" s="92"/>
      <c r="P925" s="187"/>
      <c r="Q925" s="187"/>
      <c r="R925" s="187"/>
      <c r="S925" s="187"/>
      <c r="T925" s="85"/>
      <c r="U925" s="189"/>
      <c r="V925" s="189"/>
      <c r="W925" s="189"/>
      <c r="X925" s="189"/>
      <c r="Y925" s="100"/>
      <c r="AA925" s="96"/>
      <c r="AB925" s="96"/>
      <c r="AC925" s="96"/>
      <c r="AD925" s="97"/>
      <c r="AE925" s="96"/>
      <c r="AF925" s="98"/>
      <c r="AG925" s="96"/>
      <c r="AH925" s="96"/>
      <c r="AI925" s="96"/>
      <c r="AJ925" s="96"/>
      <c r="AK925" s="96"/>
      <c r="AL925" s="96"/>
      <c r="AM925" s="96"/>
      <c r="AN925" s="96"/>
      <c r="AO925" s="96"/>
      <c r="AP925" s="96"/>
    </row>
    <row r="926" spans="2:42" ht="12.75">
      <c r="B926" s="186"/>
      <c r="C926" s="85"/>
      <c r="D926" s="85"/>
      <c r="E926" s="187"/>
      <c r="F926" s="187"/>
      <c r="G926" s="187"/>
      <c r="H926" s="187"/>
      <c r="I926" s="92"/>
      <c r="J926" s="92"/>
      <c r="K926" s="187"/>
      <c r="L926" s="187"/>
      <c r="M926" s="187"/>
      <c r="N926" s="187"/>
      <c r="O926" s="92"/>
      <c r="P926" s="187"/>
      <c r="Q926" s="187"/>
      <c r="R926" s="187"/>
      <c r="S926" s="187"/>
      <c r="T926" s="85"/>
      <c r="U926" s="189"/>
      <c r="V926" s="189"/>
      <c r="W926" s="189"/>
      <c r="X926" s="189"/>
      <c r="Y926" s="100"/>
      <c r="AA926" s="96"/>
      <c r="AB926" s="96"/>
      <c r="AC926" s="96"/>
      <c r="AD926" s="97"/>
      <c r="AE926" s="96"/>
      <c r="AF926" s="98"/>
      <c r="AG926" s="96"/>
      <c r="AH926" s="96"/>
      <c r="AI926" s="96"/>
      <c r="AJ926" s="96"/>
      <c r="AK926" s="96"/>
      <c r="AL926" s="96"/>
      <c r="AM926" s="96"/>
      <c r="AN926" s="96"/>
      <c r="AO926" s="96"/>
      <c r="AP926" s="96"/>
    </row>
    <row r="927" spans="2:42" ht="12.75">
      <c r="B927" s="186"/>
      <c r="C927" s="85"/>
      <c r="D927" s="85"/>
      <c r="E927" s="187"/>
      <c r="F927" s="187"/>
      <c r="G927" s="187"/>
      <c r="H927" s="187"/>
      <c r="I927" s="92"/>
      <c r="J927" s="92"/>
      <c r="K927" s="187"/>
      <c r="L927" s="187"/>
      <c r="M927" s="187"/>
      <c r="N927" s="187"/>
      <c r="O927" s="92"/>
      <c r="P927" s="187"/>
      <c r="Q927" s="187"/>
      <c r="R927" s="187"/>
      <c r="S927" s="187"/>
      <c r="T927" s="85"/>
      <c r="U927" s="189"/>
      <c r="V927" s="189"/>
      <c r="W927" s="189"/>
      <c r="X927" s="189"/>
      <c r="Y927" s="100"/>
      <c r="AA927" s="96"/>
      <c r="AB927" s="96"/>
      <c r="AC927" s="96"/>
      <c r="AD927" s="97"/>
      <c r="AE927" s="96"/>
      <c r="AF927" s="98"/>
      <c r="AG927" s="96"/>
      <c r="AH927" s="96"/>
      <c r="AI927" s="96"/>
      <c r="AJ927" s="96"/>
      <c r="AK927" s="96"/>
      <c r="AL927" s="96"/>
      <c r="AM927" s="96"/>
      <c r="AN927" s="96"/>
      <c r="AO927" s="96"/>
      <c r="AP927" s="96"/>
    </row>
    <row r="928" spans="2:42" ht="12.75">
      <c r="B928" s="186"/>
      <c r="C928" s="85"/>
      <c r="D928" s="85"/>
      <c r="E928" s="187"/>
      <c r="F928" s="187"/>
      <c r="G928" s="187"/>
      <c r="H928" s="187"/>
      <c r="I928" s="92"/>
      <c r="J928" s="92"/>
      <c r="K928" s="187"/>
      <c r="L928" s="187"/>
      <c r="M928" s="187"/>
      <c r="N928" s="187"/>
      <c r="O928" s="92"/>
      <c r="P928" s="187"/>
      <c r="Q928" s="187"/>
      <c r="R928" s="187"/>
      <c r="S928" s="187"/>
      <c r="T928" s="85"/>
      <c r="U928" s="189"/>
      <c r="V928" s="189"/>
      <c r="W928" s="189"/>
      <c r="X928" s="189"/>
      <c r="Y928" s="100"/>
      <c r="AA928" s="96"/>
      <c r="AB928" s="96"/>
      <c r="AC928" s="96"/>
      <c r="AD928" s="97"/>
      <c r="AE928" s="96"/>
      <c r="AF928" s="98"/>
      <c r="AG928" s="96"/>
      <c r="AH928" s="96"/>
      <c r="AI928" s="96"/>
      <c r="AJ928" s="96"/>
      <c r="AK928" s="96"/>
      <c r="AL928" s="96"/>
      <c r="AM928" s="96"/>
      <c r="AN928" s="96"/>
      <c r="AO928" s="96"/>
      <c r="AP928" s="96"/>
    </row>
    <row r="929" spans="2:42" ht="12.75">
      <c r="B929" s="186"/>
      <c r="C929" s="85"/>
      <c r="D929" s="85"/>
      <c r="E929" s="187"/>
      <c r="F929" s="187"/>
      <c r="G929" s="187"/>
      <c r="H929" s="187"/>
      <c r="I929" s="92"/>
      <c r="J929" s="92"/>
      <c r="K929" s="187"/>
      <c r="L929" s="187"/>
      <c r="M929" s="187"/>
      <c r="N929" s="187"/>
      <c r="O929" s="92"/>
      <c r="P929" s="187"/>
      <c r="Q929" s="187"/>
      <c r="R929" s="187"/>
      <c r="S929" s="187"/>
      <c r="T929" s="85"/>
      <c r="U929" s="189"/>
      <c r="V929" s="189"/>
      <c r="W929" s="189"/>
      <c r="X929" s="189"/>
      <c r="Y929" s="100"/>
      <c r="AA929" s="96"/>
      <c r="AB929" s="96"/>
      <c r="AC929" s="96"/>
      <c r="AD929" s="97"/>
      <c r="AE929" s="96"/>
      <c r="AF929" s="98"/>
      <c r="AG929" s="96"/>
      <c r="AH929" s="96"/>
      <c r="AI929" s="96"/>
      <c r="AJ929" s="96"/>
      <c r="AK929" s="96"/>
      <c r="AL929" s="96"/>
      <c r="AM929" s="96"/>
      <c r="AN929" s="96"/>
      <c r="AO929" s="96"/>
      <c r="AP929" s="96"/>
    </row>
    <row r="930" spans="2:42" ht="12.75">
      <c r="B930" s="186"/>
      <c r="C930" s="85"/>
      <c r="D930" s="85"/>
      <c r="E930" s="187"/>
      <c r="F930" s="187"/>
      <c r="G930" s="187"/>
      <c r="H930" s="187"/>
      <c r="I930" s="92"/>
      <c r="J930" s="92"/>
      <c r="K930" s="187"/>
      <c r="L930" s="187"/>
      <c r="M930" s="187"/>
      <c r="N930" s="187"/>
      <c r="O930" s="92"/>
      <c r="P930" s="187"/>
      <c r="Q930" s="187"/>
      <c r="R930" s="187"/>
      <c r="S930" s="187"/>
      <c r="T930" s="85"/>
      <c r="U930" s="189"/>
      <c r="V930" s="189"/>
      <c r="W930" s="189"/>
      <c r="X930" s="189"/>
      <c r="Y930" s="100"/>
      <c r="AA930" s="96"/>
      <c r="AB930" s="96"/>
      <c r="AC930" s="96"/>
      <c r="AD930" s="97"/>
      <c r="AE930" s="96"/>
      <c r="AF930" s="98"/>
      <c r="AG930" s="96"/>
      <c r="AH930" s="96"/>
      <c r="AI930" s="96"/>
      <c r="AJ930" s="96"/>
      <c r="AK930" s="96"/>
      <c r="AL930" s="96"/>
      <c r="AM930" s="96"/>
      <c r="AN930" s="96"/>
      <c r="AO930" s="96"/>
      <c r="AP930" s="96"/>
    </row>
    <row r="931" spans="2:42" ht="12.75">
      <c r="B931" s="186"/>
      <c r="C931" s="85"/>
      <c r="D931" s="85"/>
      <c r="E931" s="187"/>
      <c r="F931" s="187"/>
      <c r="G931" s="187"/>
      <c r="H931" s="187"/>
      <c r="I931" s="92"/>
      <c r="J931" s="92"/>
      <c r="K931" s="187"/>
      <c r="L931" s="187"/>
      <c r="M931" s="187"/>
      <c r="N931" s="187"/>
      <c r="O931" s="92"/>
      <c r="P931" s="187"/>
      <c r="Q931" s="187"/>
      <c r="R931" s="187"/>
      <c r="S931" s="187"/>
      <c r="T931" s="85"/>
      <c r="U931" s="189"/>
      <c r="V931" s="189"/>
      <c r="W931" s="189"/>
      <c r="X931" s="189"/>
      <c r="Y931" s="100"/>
      <c r="AA931" s="96"/>
      <c r="AB931" s="96"/>
      <c r="AC931" s="96"/>
      <c r="AD931" s="97"/>
      <c r="AE931" s="96"/>
      <c r="AF931" s="98"/>
      <c r="AG931" s="96"/>
      <c r="AH931" s="96"/>
      <c r="AI931" s="96"/>
      <c r="AJ931" s="96"/>
      <c r="AK931" s="96"/>
      <c r="AL931" s="96"/>
      <c r="AM931" s="96"/>
      <c r="AN931" s="96"/>
      <c r="AO931" s="96"/>
      <c r="AP931" s="96"/>
    </row>
    <row r="932" spans="2:42" ht="12.75">
      <c r="B932" s="186"/>
      <c r="C932" s="85"/>
      <c r="D932" s="85"/>
      <c r="E932" s="187"/>
      <c r="F932" s="187"/>
      <c r="G932" s="187"/>
      <c r="H932" s="187"/>
      <c r="I932" s="92"/>
      <c r="J932" s="92"/>
      <c r="K932" s="187"/>
      <c r="L932" s="187"/>
      <c r="M932" s="187"/>
      <c r="N932" s="187"/>
      <c r="O932" s="92"/>
      <c r="P932" s="187"/>
      <c r="Q932" s="187"/>
      <c r="R932" s="187"/>
      <c r="S932" s="187"/>
      <c r="T932" s="85"/>
      <c r="U932" s="189"/>
      <c r="V932" s="189"/>
      <c r="W932" s="189"/>
      <c r="X932" s="189"/>
      <c r="Y932" s="100"/>
      <c r="AA932" s="96"/>
      <c r="AB932" s="96"/>
      <c r="AC932" s="96"/>
      <c r="AD932" s="97"/>
      <c r="AE932" s="96"/>
      <c r="AF932" s="98"/>
      <c r="AG932" s="96"/>
      <c r="AH932" s="96"/>
      <c r="AI932" s="96"/>
      <c r="AJ932" s="96"/>
      <c r="AK932" s="96"/>
      <c r="AL932" s="96"/>
      <c r="AM932" s="96"/>
      <c r="AN932" s="96"/>
      <c r="AO932" s="96"/>
      <c r="AP932" s="96"/>
    </row>
    <row r="933" spans="2:42" ht="12.75">
      <c r="B933" s="186"/>
      <c r="C933" s="85"/>
      <c r="D933" s="85"/>
      <c r="E933" s="187"/>
      <c r="F933" s="187"/>
      <c r="G933" s="187"/>
      <c r="H933" s="187"/>
      <c r="I933" s="92"/>
      <c r="J933" s="92"/>
      <c r="K933" s="187"/>
      <c r="L933" s="187"/>
      <c r="M933" s="187"/>
      <c r="N933" s="187"/>
      <c r="O933" s="92"/>
      <c r="P933" s="187"/>
      <c r="Q933" s="187"/>
      <c r="R933" s="187"/>
      <c r="S933" s="187"/>
      <c r="T933" s="85"/>
      <c r="U933" s="189"/>
      <c r="V933" s="189"/>
      <c r="W933" s="189"/>
      <c r="X933" s="189"/>
      <c r="Y933" s="100"/>
      <c r="AA933" s="96"/>
      <c r="AB933" s="96"/>
      <c r="AC933" s="96"/>
      <c r="AD933" s="97"/>
      <c r="AE933" s="96"/>
      <c r="AF933" s="98"/>
      <c r="AG933" s="96"/>
      <c r="AH933" s="96"/>
      <c r="AI933" s="96"/>
      <c r="AJ933" s="96"/>
      <c r="AK933" s="96"/>
      <c r="AL933" s="96"/>
      <c r="AM933" s="96"/>
      <c r="AN933" s="96"/>
      <c r="AO933" s="96"/>
      <c r="AP933" s="96"/>
    </row>
    <row r="934" spans="2:42" ht="12.75">
      <c r="B934" s="186"/>
      <c r="C934" s="85"/>
      <c r="D934" s="85"/>
      <c r="E934" s="187"/>
      <c r="F934" s="187"/>
      <c r="G934" s="187"/>
      <c r="H934" s="187"/>
      <c r="I934" s="92"/>
      <c r="J934" s="92"/>
      <c r="K934" s="187"/>
      <c r="L934" s="187"/>
      <c r="M934" s="187"/>
      <c r="N934" s="187"/>
      <c r="O934" s="92"/>
      <c r="P934" s="187"/>
      <c r="Q934" s="187"/>
      <c r="R934" s="187"/>
      <c r="S934" s="187"/>
      <c r="T934" s="85"/>
      <c r="U934" s="189"/>
      <c r="V934" s="189"/>
      <c r="W934" s="189"/>
      <c r="X934" s="189"/>
      <c r="Y934" s="100"/>
      <c r="AA934" s="96"/>
      <c r="AB934" s="96"/>
      <c r="AC934" s="96"/>
      <c r="AD934" s="97"/>
      <c r="AE934" s="96"/>
      <c r="AF934" s="98"/>
      <c r="AG934" s="96"/>
      <c r="AH934" s="96"/>
      <c r="AI934" s="96"/>
      <c r="AJ934" s="96"/>
      <c r="AK934" s="96"/>
      <c r="AL934" s="96"/>
      <c r="AM934" s="96"/>
      <c r="AN934" s="96"/>
      <c r="AO934" s="96"/>
      <c r="AP934" s="96"/>
    </row>
    <row r="935" spans="2:42" ht="12.75">
      <c r="B935" s="186"/>
      <c r="C935" s="85"/>
      <c r="D935" s="85"/>
      <c r="E935" s="187"/>
      <c r="F935" s="187"/>
      <c r="G935" s="187"/>
      <c r="H935" s="187"/>
      <c r="I935" s="92"/>
      <c r="J935" s="92"/>
      <c r="K935" s="187"/>
      <c r="L935" s="187"/>
      <c r="M935" s="187"/>
      <c r="N935" s="187"/>
      <c r="O935" s="92"/>
      <c r="P935" s="187"/>
      <c r="Q935" s="187"/>
      <c r="R935" s="187"/>
      <c r="S935" s="187"/>
      <c r="T935" s="85"/>
      <c r="U935" s="189"/>
      <c r="V935" s="189"/>
      <c r="W935" s="189"/>
      <c r="X935" s="189"/>
      <c r="Y935" s="100"/>
      <c r="AA935" s="96"/>
      <c r="AB935" s="96"/>
      <c r="AC935" s="96"/>
      <c r="AD935" s="97"/>
      <c r="AE935" s="96"/>
      <c r="AF935" s="98"/>
      <c r="AG935" s="96"/>
      <c r="AH935" s="96"/>
      <c r="AI935" s="96"/>
      <c r="AJ935" s="96"/>
      <c r="AK935" s="96"/>
      <c r="AL935" s="96"/>
      <c r="AM935" s="96"/>
      <c r="AN935" s="96"/>
      <c r="AO935" s="96"/>
      <c r="AP935" s="96"/>
    </row>
    <row r="936" spans="2:42" ht="12.75">
      <c r="B936" s="186"/>
      <c r="C936" s="85"/>
      <c r="D936" s="85"/>
      <c r="E936" s="187"/>
      <c r="F936" s="187"/>
      <c r="G936" s="187"/>
      <c r="H936" s="187"/>
      <c r="I936" s="92"/>
      <c r="J936" s="92"/>
      <c r="K936" s="187"/>
      <c r="L936" s="187"/>
      <c r="M936" s="187"/>
      <c r="N936" s="187"/>
      <c r="O936" s="92"/>
      <c r="P936" s="187"/>
      <c r="Q936" s="187"/>
      <c r="R936" s="187"/>
      <c r="S936" s="187"/>
      <c r="T936" s="85"/>
      <c r="U936" s="189"/>
      <c r="V936" s="189"/>
      <c r="W936" s="189"/>
      <c r="X936" s="189"/>
      <c r="Y936" s="100"/>
      <c r="AA936" s="96"/>
      <c r="AB936" s="96"/>
      <c r="AC936" s="96"/>
      <c r="AD936" s="97"/>
      <c r="AE936" s="96"/>
      <c r="AF936" s="98"/>
      <c r="AG936" s="96"/>
      <c r="AH936" s="96"/>
      <c r="AI936" s="96"/>
      <c r="AJ936" s="96"/>
      <c r="AK936" s="96"/>
      <c r="AL936" s="96"/>
      <c r="AM936" s="96"/>
      <c r="AN936" s="96"/>
      <c r="AO936" s="96"/>
      <c r="AP936" s="96"/>
    </row>
    <row r="937" spans="2:42" ht="12.75">
      <c r="B937" s="186"/>
      <c r="C937" s="85"/>
      <c r="D937" s="85"/>
      <c r="E937" s="187"/>
      <c r="F937" s="187"/>
      <c r="G937" s="187"/>
      <c r="H937" s="187"/>
      <c r="I937" s="92"/>
      <c r="J937" s="92"/>
      <c r="K937" s="187"/>
      <c r="L937" s="187"/>
      <c r="M937" s="187"/>
      <c r="N937" s="187"/>
      <c r="O937" s="92"/>
      <c r="P937" s="187"/>
      <c r="Q937" s="187"/>
      <c r="R937" s="187"/>
      <c r="S937" s="187"/>
      <c r="T937" s="85"/>
      <c r="U937" s="189"/>
      <c r="V937" s="189"/>
      <c r="W937" s="189"/>
      <c r="X937" s="189"/>
      <c r="Y937" s="100"/>
      <c r="AA937" s="96"/>
      <c r="AB937" s="96"/>
      <c r="AC937" s="96"/>
      <c r="AD937" s="97"/>
      <c r="AE937" s="96"/>
      <c r="AF937" s="98"/>
      <c r="AG937" s="96"/>
      <c r="AH937" s="96"/>
      <c r="AI937" s="96"/>
      <c r="AJ937" s="96"/>
      <c r="AK937" s="96"/>
      <c r="AL937" s="96"/>
      <c r="AM937" s="96"/>
      <c r="AN937" s="96"/>
      <c r="AO937" s="96"/>
      <c r="AP937" s="96"/>
    </row>
    <row r="938" spans="2:42" ht="12.75">
      <c r="B938" s="186"/>
      <c r="C938" s="85"/>
      <c r="D938" s="85"/>
      <c r="E938" s="187"/>
      <c r="F938" s="187"/>
      <c r="G938" s="187"/>
      <c r="H938" s="187"/>
      <c r="I938" s="92"/>
      <c r="J938" s="92"/>
      <c r="K938" s="187"/>
      <c r="L938" s="187"/>
      <c r="M938" s="187"/>
      <c r="N938" s="187"/>
      <c r="O938" s="92"/>
      <c r="P938" s="187"/>
      <c r="Q938" s="187"/>
      <c r="R938" s="187"/>
      <c r="S938" s="187"/>
      <c r="T938" s="85"/>
      <c r="U938" s="189"/>
      <c r="V938" s="189"/>
      <c r="W938" s="189"/>
      <c r="X938" s="189"/>
      <c r="Y938" s="100"/>
      <c r="AA938" s="96"/>
      <c r="AB938" s="96"/>
      <c r="AC938" s="96"/>
      <c r="AD938" s="97"/>
      <c r="AE938" s="96"/>
      <c r="AF938" s="98"/>
      <c r="AG938" s="96"/>
      <c r="AH938" s="96"/>
      <c r="AI938" s="96"/>
      <c r="AJ938" s="96"/>
      <c r="AK938" s="96"/>
      <c r="AL938" s="96"/>
      <c r="AM938" s="96"/>
      <c r="AN938" s="96"/>
      <c r="AO938" s="96"/>
      <c r="AP938" s="96"/>
    </row>
    <row r="939" spans="2:42" ht="12.75">
      <c r="B939" s="186"/>
      <c r="C939" s="85"/>
      <c r="D939" s="85"/>
      <c r="E939" s="187"/>
      <c r="F939" s="187"/>
      <c r="G939" s="187"/>
      <c r="H939" s="187"/>
      <c r="I939" s="92"/>
      <c r="J939" s="92"/>
      <c r="K939" s="187"/>
      <c r="L939" s="187"/>
      <c r="M939" s="187"/>
      <c r="N939" s="187"/>
      <c r="O939" s="92"/>
      <c r="P939" s="187"/>
      <c r="Q939" s="187"/>
      <c r="R939" s="187"/>
      <c r="S939" s="187"/>
      <c r="T939" s="85"/>
      <c r="U939" s="189"/>
      <c r="V939" s="189"/>
      <c r="W939" s="189"/>
      <c r="X939" s="189"/>
      <c r="Y939" s="100"/>
      <c r="AA939" s="96"/>
      <c r="AB939" s="96"/>
      <c r="AC939" s="96"/>
      <c r="AD939" s="97"/>
      <c r="AE939" s="96"/>
      <c r="AF939" s="98"/>
      <c r="AG939" s="96"/>
      <c r="AH939" s="96"/>
      <c r="AI939" s="96"/>
      <c r="AJ939" s="96"/>
      <c r="AK939" s="96"/>
      <c r="AL939" s="96"/>
      <c r="AM939" s="96"/>
      <c r="AN939" s="96"/>
      <c r="AO939" s="96"/>
      <c r="AP939" s="96"/>
    </row>
    <row r="940" spans="2:42" ht="12.75">
      <c r="B940" s="186"/>
      <c r="C940" s="85"/>
      <c r="D940" s="85"/>
      <c r="E940" s="187"/>
      <c r="F940" s="187"/>
      <c r="G940" s="187"/>
      <c r="H940" s="187"/>
      <c r="I940" s="92"/>
      <c r="J940" s="92"/>
      <c r="K940" s="187"/>
      <c r="L940" s="187"/>
      <c r="M940" s="187"/>
      <c r="N940" s="187"/>
      <c r="O940" s="92"/>
      <c r="P940" s="187"/>
      <c r="Q940" s="187"/>
      <c r="R940" s="187"/>
      <c r="S940" s="187"/>
      <c r="T940" s="85"/>
      <c r="U940" s="189"/>
      <c r="V940" s="189"/>
      <c r="W940" s="189"/>
      <c r="X940" s="189"/>
      <c r="Y940" s="100"/>
      <c r="AA940" s="96"/>
      <c r="AB940" s="96"/>
      <c r="AC940" s="96"/>
      <c r="AD940" s="97"/>
      <c r="AE940" s="96"/>
      <c r="AF940" s="98"/>
      <c r="AG940" s="96"/>
      <c r="AH940" s="96"/>
      <c r="AI940" s="96"/>
      <c r="AJ940" s="96"/>
      <c r="AK940" s="96"/>
      <c r="AL940" s="96"/>
      <c r="AM940" s="96"/>
      <c r="AN940" s="96"/>
      <c r="AO940" s="96"/>
      <c r="AP940" s="96"/>
    </row>
    <row r="941" spans="2:42" ht="12.75">
      <c r="B941" s="186"/>
      <c r="C941" s="85"/>
      <c r="D941" s="85"/>
      <c r="E941" s="187"/>
      <c r="F941" s="187"/>
      <c r="G941" s="187"/>
      <c r="H941" s="187"/>
      <c r="I941" s="92"/>
      <c r="J941" s="92"/>
      <c r="K941" s="187"/>
      <c r="L941" s="187"/>
      <c r="M941" s="187"/>
      <c r="N941" s="187"/>
      <c r="O941" s="92"/>
      <c r="P941" s="187"/>
      <c r="Q941" s="187"/>
      <c r="R941" s="187"/>
      <c r="S941" s="187"/>
      <c r="T941" s="85"/>
      <c r="U941" s="189"/>
      <c r="V941" s="189"/>
      <c r="W941" s="189"/>
      <c r="X941" s="189"/>
      <c r="Y941" s="100"/>
      <c r="AA941" s="96"/>
      <c r="AB941" s="96"/>
      <c r="AC941" s="96"/>
      <c r="AD941" s="97"/>
      <c r="AE941" s="96"/>
      <c r="AF941" s="98"/>
      <c r="AG941" s="96"/>
      <c r="AH941" s="96"/>
      <c r="AI941" s="96"/>
      <c r="AJ941" s="96"/>
      <c r="AK941" s="96"/>
      <c r="AL941" s="96"/>
      <c r="AM941" s="96"/>
      <c r="AN941" s="96"/>
      <c r="AO941" s="96"/>
      <c r="AP941" s="96"/>
    </row>
    <row r="942" spans="2:42" ht="12.75">
      <c r="B942" s="186"/>
      <c r="C942" s="85"/>
      <c r="D942" s="85"/>
      <c r="E942" s="187"/>
      <c r="F942" s="187"/>
      <c r="G942" s="187"/>
      <c r="H942" s="187"/>
      <c r="I942" s="92"/>
      <c r="J942" s="92"/>
      <c r="K942" s="187"/>
      <c r="L942" s="187"/>
      <c r="M942" s="187"/>
      <c r="N942" s="187"/>
      <c r="O942" s="92"/>
      <c r="P942" s="187"/>
      <c r="Q942" s="187"/>
      <c r="R942" s="187"/>
      <c r="S942" s="187"/>
      <c r="T942" s="85"/>
      <c r="U942" s="189"/>
      <c r="V942" s="189"/>
      <c r="W942" s="189"/>
      <c r="X942" s="189"/>
      <c r="Y942" s="100"/>
      <c r="AA942" s="96"/>
      <c r="AB942" s="96"/>
      <c r="AC942" s="96"/>
      <c r="AD942" s="97"/>
      <c r="AE942" s="96"/>
      <c r="AF942" s="98"/>
      <c r="AG942" s="96"/>
      <c r="AH942" s="96"/>
      <c r="AI942" s="96"/>
      <c r="AJ942" s="96"/>
      <c r="AK942" s="96"/>
      <c r="AL942" s="96"/>
      <c r="AM942" s="96"/>
      <c r="AN942" s="96"/>
      <c r="AO942" s="96"/>
      <c r="AP942" s="96"/>
    </row>
    <row r="943" spans="2:42" ht="12.75">
      <c r="B943" s="186"/>
      <c r="C943" s="85"/>
      <c r="D943" s="85"/>
      <c r="E943" s="187"/>
      <c r="F943" s="187"/>
      <c r="G943" s="187"/>
      <c r="H943" s="187"/>
      <c r="I943" s="92"/>
      <c r="J943" s="92"/>
      <c r="K943" s="187"/>
      <c r="L943" s="187"/>
      <c r="M943" s="187"/>
      <c r="N943" s="187"/>
      <c r="O943" s="92"/>
      <c r="P943" s="187"/>
      <c r="Q943" s="187"/>
      <c r="R943" s="187"/>
      <c r="S943" s="187"/>
      <c r="T943" s="85"/>
      <c r="U943" s="189"/>
      <c r="V943" s="189"/>
      <c r="W943" s="189"/>
      <c r="X943" s="189"/>
      <c r="Y943" s="100"/>
      <c r="AA943" s="96"/>
      <c r="AB943" s="96"/>
      <c r="AC943" s="96"/>
      <c r="AD943" s="97"/>
      <c r="AE943" s="96"/>
      <c r="AF943" s="98"/>
      <c r="AG943" s="96"/>
      <c r="AH943" s="96"/>
      <c r="AI943" s="96"/>
      <c r="AJ943" s="96"/>
      <c r="AK943" s="96"/>
      <c r="AL943" s="96"/>
      <c r="AM943" s="96"/>
      <c r="AN943" s="96"/>
      <c r="AO943" s="96"/>
      <c r="AP943" s="96"/>
    </row>
    <row r="944" spans="2:42" ht="12.75">
      <c r="B944" s="186"/>
      <c r="C944" s="85"/>
      <c r="D944" s="85"/>
      <c r="E944" s="187"/>
      <c r="F944" s="187"/>
      <c r="G944" s="187"/>
      <c r="H944" s="187"/>
      <c r="I944" s="92"/>
      <c r="J944" s="92"/>
      <c r="K944" s="187"/>
      <c r="L944" s="187"/>
      <c r="M944" s="187"/>
      <c r="N944" s="187"/>
      <c r="O944" s="92"/>
      <c r="P944" s="187"/>
      <c r="Q944" s="187"/>
      <c r="R944" s="187"/>
      <c r="S944" s="187"/>
      <c r="T944" s="85"/>
      <c r="U944" s="189"/>
      <c r="V944" s="189"/>
      <c r="W944" s="189"/>
      <c r="X944" s="189"/>
      <c r="Y944" s="100"/>
      <c r="AA944" s="96"/>
      <c r="AB944" s="96"/>
      <c r="AC944" s="96"/>
      <c r="AD944" s="97"/>
      <c r="AE944" s="96"/>
      <c r="AF944" s="98"/>
      <c r="AG944" s="96"/>
      <c r="AH944" s="96"/>
      <c r="AI944" s="96"/>
      <c r="AJ944" s="96"/>
      <c r="AK944" s="96"/>
      <c r="AL944" s="96"/>
      <c r="AM944" s="96"/>
      <c r="AN944" s="96"/>
      <c r="AO944" s="96"/>
      <c r="AP944" s="96"/>
    </row>
    <row r="945" spans="2:42" ht="12.75">
      <c r="B945" s="186"/>
      <c r="C945" s="85"/>
      <c r="D945" s="85"/>
      <c r="E945" s="187"/>
      <c r="F945" s="187"/>
      <c r="G945" s="187"/>
      <c r="H945" s="187"/>
      <c r="I945" s="92"/>
      <c r="J945" s="92"/>
      <c r="K945" s="187"/>
      <c r="L945" s="187"/>
      <c r="M945" s="187"/>
      <c r="N945" s="187"/>
      <c r="O945" s="92"/>
      <c r="P945" s="187"/>
      <c r="Q945" s="187"/>
      <c r="R945" s="187"/>
      <c r="S945" s="187"/>
      <c r="T945" s="85"/>
      <c r="U945" s="189"/>
      <c r="V945" s="189"/>
      <c r="W945" s="189"/>
      <c r="X945" s="189"/>
      <c r="Y945" s="100"/>
      <c r="AA945" s="96"/>
      <c r="AB945" s="96"/>
      <c r="AC945" s="96"/>
      <c r="AD945" s="97"/>
      <c r="AE945" s="96"/>
      <c r="AF945" s="98"/>
      <c r="AG945" s="96"/>
      <c r="AH945" s="96"/>
      <c r="AI945" s="96"/>
      <c r="AJ945" s="96"/>
      <c r="AK945" s="96"/>
      <c r="AL945" s="96"/>
      <c r="AM945" s="96"/>
      <c r="AN945" s="96"/>
      <c r="AO945" s="96"/>
      <c r="AP945" s="96"/>
    </row>
    <row r="946" spans="2:42" ht="12.75">
      <c r="B946" s="186"/>
      <c r="C946" s="85"/>
      <c r="D946" s="85"/>
      <c r="E946" s="187"/>
      <c r="F946" s="187"/>
      <c r="G946" s="187"/>
      <c r="H946" s="187"/>
      <c r="I946" s="92"/>
      <c r="J946" s="92"/>
      <c r="K946" s="187"/>
      <c r="L946" s="187"/>
      <c r="M946" s="187"/>
      <c r="N946" s="187"/>
      <c r="O946" s="92"/>
      <c r="P946" s="187"/>
      <c r="Q946" s="187"/>
      <c r="R946" s="187"/>
      <c r="S946" s="187"/>
      <c r="T946" s="85"/>
      <c r="U946" s="189"/>
      <c r="V946" s="189"/>
      <c r="W946" s="189"/>
      <c r="X946" s="189"/>
      <c r="Y946" s="100"/>
      <c r="AA946" s="96"/>
      <c r="AB946" s="96"/>
      <c r="AC946" s="96"/>
      <c r="AD946" s="97"/>
      <c r="AE946" s="96"/>
      <c r="AF946" s="98"/>
      <c r="AG946" s="96"/>
      <c r="AH946" s="96"/>
      <c r="AI946" s="96"/>
      <c r="AJ946" s="96"/>
      <c r="AK946" s="96"/>
      <c r="AL946" s="96"/>
      <c r="AM946" s="96"/>
      <c r="AN946" s="96"/>
      <c r="AO946" s="96"/>
      <c r="AP946" s="96"/>
    </row>
    <row r="947" spans="2:42" ht="12.75">
      <c r="B947" s="186"/>
      <c r="C947" s="85"/>
      <c r="D947" s="85"/>
      <c r="E947" s="187"/>
      <c r="F947" s="187"/>
      <c r="G947" s="187"/>
      <c r="H947" s="187"/>
      <c r="I947" s="92"/>
      <c r="J947" s="92"/>
      <c r="K947" s="187"/>
      <c r="L947" s="187"/>
      <c r="M947" s="187"/>
      <c r="N947" s="187"/>
      <c r="O947" s="92"/>
      <c r="P947" s="187"/>
      <c r="Q947" s="187"/>
      <c r="R947" s="187"/>
      <c r="S947" s="187"/>
      <c r="T947" s="85"/>
      <c r="U947" s="189"/>
      <c r="V947" s="189"/>
      <c r="W947" s="189"/>
      <c r="X947" s="189"/>
      <c r="Y947" s="100"/>
      <c r="AA947" s="96"/>
      <c r="AB947" s="96"/>
      <c r="AC947" s="96"/>
      <c r="AD947" s="97"/>
      <c r="AE947" s="96"/>
      <c r="AF947" s="98"/>
      <c r="AG947" s="96"/>
      <c r="AH947" s="96"/>
      <c r="AI947" s="96"/>
      <c r="AJ947" s="96"/>
      <c r="AK947" s="96"/>
      <c r="AL947" s="96"/>
      <c r="AM947" s="96"/>
      <c r="AN947" s="96"/>
      <c r="AO947" s="96"/>
      <c r="AP947" s="96"/>
    </row>
    <row r="948" spans="2:42" ht="12.75">
      <c r="B948" s="186"/>
      <c r="C948" s="85"/>
      <c r="D948" s="85"/>
      <c r="E948" s="187"/>
      <c r="F948" s="187"/>
      <c r="G948" s="187"/>
      <c r="H948" s="187"/>
      <c r="I948" s="92"/>
      <c r="J948" s="92"/>
      <c r="K948" s="187"/>
      <c r="L948" s="187"/>
      <c r="M948" s="187"/>
      <c r="N948" s="187"/>
      <c r="O948" s="92"/>
      <c r="P948" s="187"/>
      <c r="Q948" s="187"/>
      <c r="R948" s="187"/>
      <c r="S948" s="187"/>
      <c r="T948" s="85"/>
      <c r="U948" s="189"/>
      <c r="V948" s="189"/>
      <c r="W948" s="189"/>
      <c r="X948" s="189"/>
      <c r="Y948" s="100"/>
      <c r="AA948" s="96"/>
      <c r="AB948" s="96"/>
      <c r="AC948" s="96"/>
      <c r="AD948" s="97"/>
      <c r="AE948" s="96"/>
      <c r="AF948" s="98"/>
      <c r="AG948" s="96"/>
      <c r="AH948" s="96"/>
      <c r="AI948" s="96"/>
      <c r="AJ948" s="96"/>
      <c r="AK948" s="96"/>
      <c r="AL948" s="96"/>
      <c r="AM948" s="96"/>
      <c r="AN948" s="96"/>
      <c r="AO948" s="96"/>
      <c r="AP948" s="96"/>
    </row>
    <row r="949" spans="2:42" ht="12.75">
      <c r="B949" s="186"/>
      <c r="C949" s="85"/>
      <c r="D949" s="85"/>
      <c r="E949" s="187"/>
      <c r="F949" s="187"/>
      <c r="G949" s="187"/>
      <c r="H949" s="187"/>
      <c r="I949" s="92"/>
      <c r="J949" s="92"/>
      <c r="K949" s="187"/>
      <c r="L949" s="187"/>
      <c r="M949" s="187"/>
      <c r="N949" s="187"/>
      <c r="O949" s="92"/>
      <c r="P949" s="187"/>
      <c r="Q949" s="187"/>
      <c r="R949" s="187"/>
      <c r="S949" s="187"/>
      <c r="T949" s="85"/>
      <c r="U949" s="189"/>
      <c r="V949" s="189"/>
      <c r="W949" s="189"/>
      <c r="X949" s="189"/>
      <c r="Y949" s="100"/>
      <c r="AA949" s="96"/>
      <c r="AB949" s="96"/>
      <c r="AC949" s="96"/>
      <c r="AD949" s="97"/>
      <c r="AE949" s="96"/>
      <c r="AF949" s="98"/>
      <c r="AG949" s="96"/>
      <c r="AH949" s="96"/>
      <c r="AI949" s="96"/>
      <c r="AJ949" s="96"/>
      <c r="AK949" s="96"/>
      <c r="AL949" s="96"/>
      <c r="AM949" s="96"/>
      <c r="AN949" s="96"/>
      <c r="AO949" s="96"/>
      <c r="AP949" s="96"/>
    </row>
    <row r="950" spans="2:42" ht="12.75">
      <c r="B950" s="186"/>
      <c r="C950" s="85"/>
      <c r="D950" s="85"/>
      <c r="E950" s="187"/>
      <c r="F950" s="187"/>
      <c r="G950" s="187"/>
      <c r="H950" s="187"/>
      <c r="I950" s="92"/>
      <c r="J950" s="92"/>
      <c r="K950" s="187"/>
      <c r="L950" s="187"/>
      <c r="M950" s="187"/>
      <c r="N950" s="187"/>
      <c r="O950" s="92"/>
      <c r="P950" s="187"/>
      <c r="Q950" s="187"/>
      <c r="R950" s="187"/>
      <c r="S950" s="187"/>
      <c r="T950" s="85"/>
      <c r="U950" s="189"/>
      <c r="V950" s="189"/>
      <c r="W950" s="189"/>
      <c r="X950" s="189"/>
      <c r="Y950" s="100"/>
      <c r="AA950" s="96"/>
      <c r="AB950" s="96"/>
      <c r="AC950" s="96"/>
      <c r="AD950" s="97"/>
      <c r="AE950" s="96"/>
      <c r="AF950" s="98"/>
      <c r="AG950" s="96"/>
      <c r="AH950" s="96"/>
      <c r="AI950" s="96"/>
      <c r="AJ950" s="96"/>
      <c r="AK950" s="96"/>
      <c r="AL950" s="96"/>
      <c r="AM950" s="96"/>
      <c r="AN950" s="96"/>
      <c r="AO950" s="96"/>
      <c r="AP950" s="96"/>
    </row>
    <row r="951" spans="2:42" ht="12.75">
      <c r="B951" s="186"/>
      <c r="C951" s="85"/>
      <c r="D951" s="85"/>
      <c r="E951" s="187"/>
      <c r="F951" s="187"/>
      <c r="G951" s="187"/>
      <c r="H951" s="187"/>
      <c r="I951" s="92"/>
      <c r="J951" s="92"/>
      <c r="K951" s="187"/>
      <c r="L951" s="187"/>
      <c r="M951" s="187"/>
      <c r="N951" s="187"/>
      <c r="O951" s="92"/>
      <c r="P951" s="187"/>
      <c r="Q951" s="187"/>
      <c r="R951" s="187"/>
      <c r="S951" s="187"/>
      <c r="T951" s="85"/>
      <c r="U951" s="189"/>
      <c r="V951" s="189"/>
      <c r="W951" s="189"/>
      <c r="X951" s="189"/>
      <c r="Y951" s="100"/>
      <c r="AA951" s="96"/>
      <c r="AB951" s="96"/>
      <c r="AC951" s="96"/>
      <c r="AD951" s="97"/>
      <c r="AE951" s="96"/>
      <c r="AF951" s="98"/>
      <c r="AG951" s="96"/>
      <c r="AH951" s="96"/>
      <c r="AI951" s="96"/>
      <c r="AJ951" s="96"/>
      <c r="AK951" s="96"/>
      <c r="AL951" s="96"/>
      <c r="AM951" s="96"/>
      <c r="AN951" s="96"/>
      <c r="AO951" s="96"/>
      <c r="AP951" s="96"/>
    </row>
    <row r="952" spans="2:42" ht="12.75">
      <c r="B952" s="186"/>
      <c r="C952" s="85"/>
      <c r="D952" s="85"/>
      <c r="E952" s="187"/>
      <c r="F952" s="187"/>
      <c r="G952" s="187"/>
      <c r="H952" s="187"/>
      <c r="I952" s="92"/>
      <c r="J952" s="92"/>
      <c r="K952" s="187"/>
      <c r="L952" s="187"/>
      <c r="M952" s="187"/>
      <c r="N952" s="187"/>
      <c r="O952" s="92"/>
      <c r="P952" s="187"/>
      <c r="Q952" s="187"/>
      <c r="R952" s="187"/>
      <c r="S952" s="187"/>
      <c r="T952" s="85"/>
      <c r="U952" s="189"/>
      <c r="V952" s="189"/>
      <c r="W952" s="189"/>
      <c r="X952" s="189"/>
      <c r="Y952" s="100"/>
      <c r="AA952" s="96"/>
      <c r="AB952" s="96"/>
      <c r="AC952" s="96"/>
      <c r="AD952" s="97"/>
      <c r="AE952" s="96"/>
      <c r="AF952" s="98"/>
      <c r="AG952" s="96"/>
      <c r="AH952" s="96"/>
      <c r="AI952" s="96"/>
      <c r="AJ952" s="96"/>
      <c r="AK952" s="96"/>
      <c r="AL952" s="96"/>
      <c r="AM952" s="96"/>
      <c r="AN952" s="96"/>
      <c r="AO952" s="96"/>
      <c r="AP952" s="96"/>
    </row>
    <row r="953" spans="2:42" ht="12.75">
      <c r="B953" s="186"/>
      <c r="C953" s="85"/>
      <c r="D953" s="85"/>
      <c r="E953" s="187"/>
      <c r="F953" s="187"/>
      <c r="G953" s="187"/>
      <c r="H953" s="187"/>
      <c r="I953" s="92"/>
      <c r="J953" s="92"/>
      <c r="K953" s="187"/>
      <c r="L953" s="187"/>
      <c r="M953" s="187"/>
      <c r="N953" s="187"/>
      <c r="O953" s="92"/>
      <c r="P953" s="187"/>
      <c r="Q953" s="187"/>
      <c r="R953" s="187"/>
      <c r="S953" s="187"/>
      <c r="T953" s="85"/>
      <c r="U953" s="189"/>
      <c r="V953" s="189"/>
      <c r="W953" s="189"/>
      <c r="X953" s="189"/>
      <c r="Y953" s="100"/>
      <c r="AA953" s="96"/>
      <c r="AB953" s="96"/>
      <c r="AC953" s="96"/>
      <c r="AD953" s="97"/>
      <c r="AE953" s="96"/>
      <c r="AF953" s="98"/>
      <c r="AG953" s="96"/>
      <c r="AH953" s="96"/>
      <c r="AI953" s="96"/>
      <c r="AJ953" s="96"/>
      <c r="AK953" s="96"/>
      <c r="AL953" s="96"/>
      <c r="AM953" s="96"/>
      <c r="AN953" s="96"/>
      <c r="AO953" s="96"/>
      <c r="AP953" s="96"/>
    </row>
    <row r="954" spans="2:42" ht="12.75">
      <c r="B954" s="186"/>
      <c r="C954" s="85"/>
      <c r="D954" s="85"/>
      <c r="E954" s="187"/>
      <c r="F954" s="187"/>
      <c r="G954" s="187"/>
      <c r="H954" s="187"/>
      <c r="I954" s="92"/>
      <c r="J954" s="92"/>
      <c r="K954" s="187"/>
      <c r="L954" s="187"/>
      <c r="M954" s="187"/>
      <c r="N954" s="187"/>
      <c r="O954" s="92"/>
      <c r="P954" s="187"/>
      <c r="Q954" s="187"/>
      <c r="R954" s="187"/>
      <c r="S954" s="187"/>
      <c r="T954" s="85"/>
      <c r="U954" s="189"/>
      <c r="V954" s="189"/>
      <c r="W954" s="189"/>
      <c r="X954" s="189"/>
      <c r="Y954" s="100"/>
      <c r="AA954" s="96"/>
      <c r="AB954" s="96"/>
      <c r="AC954" s="96"/>
      <c r="AD954" s="97"/>
      <c r="AE954" s="96"/>
      <c r="AF954" s="98"/>
      <c r="AG954" s="96"/>
      <c r="AH954" s="96"/>
      <c r="AI954" s="96"/>
      <c r="AJ954" s="96"/>
      <c r="AK954" s="96"/>
      <c r="AL954" s="96"/>
      <c r="AM954" s="96"/>
      <c r="AN954" s="96"/>
      <c r="AO954" s="96"/>
      <c r="AP954" s="96"/>
    </row>
    <row r="955" spans="2:42" ht="12.75">
      <c r="B955" s="186"/>
      <c r="C955" s="85"/>
      <c r="D955" s="85"/>
      <c r="E955" s="187"/>
      <c r="F955" s="187"/>
      <c r="G955" s="187"/>
      <c r="H955" s="187"/>
      <c r="I955" s="92"/>
      <c r="J955" s="92"/>
      <c r="K955" s="187"/>
      <c r="L955" s="187"/>
      <c r="M955" s="187"/>
      <c r="N955" s="187"/>
      <c r="O955" s="92"/>
      <c r="P955" s="187"/>
      <c r="Q955" s="187"/>
      <c r="R955" s="187"/>
      <c r="S955" s="187"/>
      <c r="T955" s="85"/>
      <c r="U955" s="189"/>
      <c r="V955" s="189"/>
      <c r="W955" s="189"/>
      <c r="X955" s="189"/>
      <c r="Y955" s="100"/>
      <c r="AA955" s="96"/>
      <c r="AB955" s="96"/>
      <c r="AC955" s="96"/>
      <c r="AD955" s="97"/>
      <c r="AE955" s="96"/>
      <c r="AF955" s="98"/>
      <c r="AG955" s="96"/>
      <c r="AH955" s="96"/>
      <c r="AI955" s="96"/>
      <c r="AJ955" s="96"/>
      <c r="AK955" s="96"/>
      <c r="AL955" s="96"/>
      <c r="AM955" s="96"/>
      <c r="AN955" s="96"/>
      <c r="AO955" s="96"/>
      <c r="AP955" s="96"/>
    </row>
    <row r="956" spans="2:42" ht="12.75">
      <c r="B956" s="186"/>
      <c r="C956" s="85"/>
      <c r="D956" s="85"/>
      <c r="E956" s="187"/>
      <c r="F956" s="187"/>
      <c r="G956" s="187"/>
      <c r="H956" s="187"/>
      <c r="I956" s="92"/>
      <c r="J956" s="92"/>
      <c r="K956" s="187"/>
      <c r="L956" s="187"/>
      <c r="M956" s="187"/>
      <c r="N956" s="187"/>
      <c r="O956" s="92"/>
      <c r="P956" s="187"/>
      <c r="Q956" s="187"/>
      <c r="R956" s="187"/>
      <c r="S956" s="187"/>
      <c r="T956" s="85"/>
      <c r="U956" s="189"/>
      <c r="V956" s="189"/>
      <c r="W956" s="189"/>
      <c r="X956" s="189"/>
      <c r="Y956" s="100"/>
      <c r="AA956" s="96"/>
      <c r="AB956" s="96"/>
      <c r="AC956" s="96"/>
      <c r="AD956" s="97"/>
      <c r="AE956" s="96"/>
      <c r="AF956" s="98"/>
      <c r="AG956" s="96"/>
      <c r="AH956" s="96"/>
      <c r="AI956" s="96"/>
      <c r="AJ956" s="96"/>
      <c r="AK956" s="96"/>
      <c r="AL956" s="96"/>
      <c r="AM956" s="96"/>
      <c r="AN956" s="96"/>
      <c r="AO956" s="96"/>
      <c r="AP956" s="96"/>
    </row>
    <row r="957" spans="2:42" ht="12.75">
      <c r="B957" s="186"/>
      <c r="C957" s="85"/>
      <c r="D957" s="85"/>
      <c r="E957" s="187"/>
      <c r="F957" s="187"/>
      <c r="G957" s="187"/>
      <c r="H957" s="187"/>
      <c r="I957" s="92"/>
      <c r="J957" s="92"/>
      <c r="K957" s="187"/>
      <c r="L957" s="187"/>
      <c r="M957" s="187"/>
      <c r="N957" s="187"/>
      <c r="O957" s="92"/>
      <c r="P957" s="187"/>
      <c r="Q957" s="187"/>
      <c r="R957" s="187"/>
      <c r="S957" s="187"/>
      <c r="T957" s="85"/>
      <c r="U957" s="189"/>
      <c r="V957" s="189"/>
      <c r="W957" s="189"/>
      <c r="X957" s="189"/>
      <c r="Y957" s="100"/>
      <c r="AA957" s="96"/>
      <c r="AB957" s="96"/>
      <c r="AC957" s="96"/>
      <c r="AD957" s="97"/>
      <c r="AE957" s="96"/>
      <c r="AF957" s="98"/>
      <c r="AG957" s="96"/>
      <c r="AH957" s="96"/>
      <c r="AI957" s="96"/>
      <c r="AJ957" s="96"/>
      <c r="AK957" s="96"/>
      <c r="AL957" s="96"/>
      <c r="AM957" s="96"/>
      <c r="AN957" s="96"/>
      <c r="AO957" s="96"/>
      <c r="AP957" s="96"/>
    </row>
    <row r="958" spans="2:42" ht="12.75">
      <c r="B958" s="186"/>
      <c r="C958" s="85"/>
      <c r="D958" s="85"/>
      <c r="E958" s="187"/>
      <c r="F958" s="187"/>
      <c r="G958" s="187"/>
      <c r="H958" s="187"/>
      <c r="I958" s="92"/>
      <c r="J958" s="92"/>
      <c r="K958" s="187"/>
      <c r="L958" s="187"/>
      <c r="M958" s="187"/>
      <c r="N958" s="187"/>
      <c r="O958" s="92"/>
      <c r="P958" s="187"/>
      <c r="Q958" s="187"/>
      <c r="R958" s="187"/>
      <c r="S958" s="187"/>
      <c r="T958" s="85"/>
      <c r="U958" s="189"/>
      <c r="V958" s="189"/>
      <c r="W958" s="189"/>
      <c r="X958" s="189"/>
      <c r="Y958" s="100"/>
      <c r="AA958" s="96"/>
      <c r="AB958" s="96"/>
      <c r="AC958" s="96"/>
      <c r="AD958" s="97"/>
      <c r="AE958" s="96"/>
      <c r="AF958" s="98"/>
      <c r="AG958" s="96"/>
      <c r="AH958" s="96"/>
      <c r="AI958" s="96"/>
      <c r="AJ958" s="96"/>
      <c r="AK958" s="96"/>
      <c r="AL958" s="96"/>
      <c r="AM958" s="96"/>
      <c r="AN958" s="96"/>
      <c r="AO958" s="96"/>
      <c r="AP958" s="96"/>
    </row>
    <row r="959" spans="2:42" ht="12.75">
      <c r="B959" s="186"/>
      <c r="C959" s="85"/>
      <c r="D959" s="85"/>
      <c r="E959" s="187"/>
      <c r="F959" s="187"/>
      <c r="G959" s="187"/>
      <c r="H959" s="187"/>
      <c r="I959" s="92"/>
      <c r="J959" s="92"/>
      <c r="K959" s="187"/>
      <c r="L959" s="187"/>
      <c r="M959" s="187"/>
      <c r="N959" s="187"/>
      <c r="O959" s="92"/>
      <c r="P959" s="187"/>
      <c r="Q959" s="187"/>
      <c r="R959" s="187"/>
      <c r="S959" s="187"/>
      <c r="T959" s="85"/>
      <c r="U959" s="189"/>
      <c r="V959" s="189"/>
      <c r="W959" s="189"/>
      <c r="X959" s="189"/>
      <c r="Y959" s="100"/>
      <c r="AA959" s="96"/>
      <c r="AB959" s="96"/>
      <c r="AC959" s="96"/>
      <c r="AD959" s="97"/>
      <c r="AE959" s="96"/>
      <c r="AF959" s="98"/>
      <c r="AG959" s="96"/>
      <c r="AH959" s="96"/>
      <c r="AI959" s="96"/>
      <c r="AJ959" s="96"/>
      <c r="AK959" s="96"/>
      <c r="AL959" s="96"/>
      <c r="AM959" s="96"/>
      <c r="AN959" s="96"/>
      <c r="AO959" s="96"/>
      <c r="AP959" s="96"/>
    </row>
    <row r="960" spans="2:42" ht="12.75">
      <c r="B960" s="186"/>
      <c r="C960" s="85"/>
      <c r="D960" s="85"/>
      <c r="E960" s="187"/>
      <c r="F960" s="187"/>
      <c r="G960" s="187"/>
      <c r="H960" s="187"/>
      <c r="I960" s="92"/>
      <c r="J960" s="92"/>
      <c r="K960" s="187"/>
      <c r="L960" s="187"/>
      <c r="M960" s="187"/>
      <c r="N960" s="187"/>
      <c r="O960" s="92"/>
      <c r="P960" s="187"/>
      <c r="Q960" s="187"/>
      <c r="R960" s="187"/>
      <c r="S960" s="187"/>
      <c r="T960" s="85"/>
      <c r="U960" s="189"/>
      <c r="V960" s="189"/>
      <c r="W960" s="189"/>
      <c r="X960" s="189"/>
      <c r="Y960" s="100"/>
      <c r="AA960" s="96"/>
      <c r="AB960" s="96"/>
      <c r="AC960" s="96"/>
      <c r="AD960" s="97"/>
      <c r="AE960" s="96"/>
      <c r="AF960" s="98"/>
      <c r="AG960" s="96"/>
      <c r="AH960" s="96"/>
      <c r="AI960" s="96"/>
      <c r="AJ960" s="96"/>
      <c r="AK960" s="96"/>
      <c r="AL960" s="96"/>
      <c r="AM960" s="96"/>
      <c r="AN960" s="96"/>
      <c r="AO960" s="96"/>
      <c r="AP960" s="96"/>
    </row>
    <row r="961" spans="2:42" ht="12.75">
      <c r="B961" s="186"/>
      <c r="C961" s="85"/>
      <c r="D961" s="85"/>
      <c r="E961" s="187"/>
      <c r="F961" s="187"/>
      <c r="G961" s="187"/>
      <c r="H961" s="187"/>
      <c r="I961" s="92"/>
      <c r="J961" s="92"/>
      <c r="K961" s="187"/>
      <c r="L961" s="187"/>
      <c r="M961" s="187"/>
      <c r="N961" s="187"/>
      <c r="O961" s="92"/>
      <c r="P961" s="187"/>
      <c r="Q961" s="187"/>
      <c r="R961" s="187"/>
      <c r="S961" s="187"/>
      <c r="T961" s="85"/>
      <c r="U961" s="189"/>
      <c r="V961" s="189"/>
      <c r="W961" s="189"/>
      <c r="X961" s="189"/>
      <c r="Y961" s="100"/>
      <c r="AA961" s="96"/>
      <c r="AB961" s="96"/>
      <c r="AC961" s="96"/>
      <c r="AD961" s="97"/>
      <c r="AE961" s="96"/>
      <c r="AF961" s="98"/>
      <c r="AG961" s="96"/>
      <c r="AH961" s="96"/>
      <c r="AI961" s="96"/>
      <c r="AJ961" s="96"/>
      <c r="AK961" s="96"/>
      <c r="AL961" s="96"/>
      <c r="AM961" s="96"/>
      <c r="AN961" s="96"/>
      <c r="AO961" s="96"/>
      <c r="AP961" s="96"/>
    </row>
    <row r="962" spans="2:42" ht="12.75">
      <c r="B962" s="186"/>
      <c r="C962" s="85"/>
      <c r="D962" s="85"/>
      <c r="E962" s="187"/>
      <c r="F962" s="187"/>
      <c r="G962" s="187"/>
      <c r="H962" s="187"/>
      <c r="I962" s="92"/>
      <c r="J962" s="92"/>
      <c r="K962" s="187"/>
      <c r="L962" s="187"/>
      <c r="M962" s="187"/>
      <c r="N962" s="187"/>
      <c r="O962" s="92"/>
      <c r="P962" s="187"/>
      <c r="Q962" s="187"/>
      <c r="R962" s="187"/>
      <c r="S962" s="187"/>
      <c r="T962" s="85"/>
      <c r="U962" s="189"/>
      <c r="V962" s="189"/>
      <c r="W962" s="189"/>
      <c r="X962" s="189"/>
      <c r="Y962" s="100"/>
      <c r="AA962" s="96"/>
      <c r="AB962" s="96"/>
      <c r="AC962" s="96"/>
      <c r="AD962" s="97"/>
      <c r="AE962" s="96"/>
      <c r="AF962" s="98"/>
      <c r="AG962" s="96"/>
      <c r="AH962" s="96"/>
      <c r="AI962" s="96"/>
      <c r="AJ962" s="96"/>
      <c r="AK962" s="96"/>
      <c r="AL962" s="96"/>
      <c r="AM962" s="96"/>
      <c r="AN962" s="96"/>
      <c r="AO962" s="96"/>
      <c r="AP962" s="96"/>
    </row>
    <row r="963" spans="2:42" ht="12.75">
      <c r="B963" s="186"/>
      <c r="C963" s="85"/>
      <c r="D963" s="85"/>
      <c r="E963" s="187"/>
      <c r="F963" s="187"/>
      <c r="G963" s="187"/>
      <c r="H963" s="187"/>
      <c r="I963" s="92"/>
      <c r="J963" s="92"/>
      <c r="K963" s="187"/>
      <c r="L963" s="187"/>
      <c r="M963" s="187"/>
      <c r="N963" s="187"/>
      <c r="O963" s="92"/>
      <c r="P963" s="187"/>
      <c r="Q963" s="187"/>
      <c r="R963" s="187"/>
      <c r="S963" s="187"/>
      <c r="T963" s="85"/>
      <c r="U963" s="189"/>
      <c r="V963" s="189"/>
      <c r="W963" s="189"/>
      <c r="X963" s="189"/>
      <c r="Y963" s="100"/>
      <c r="AA963" s="96"/>
      <c r="AB963" s="96"/>
      <c r="AC963" s="96"/>
      <c r="AD963" s="97"/>
      <c r="AE963" s="96"/>
      <c r="AF963" s="98"/>
      <c r="AG963" s="96"/>
      <c r="AH963" s="96"/>
      <c r="AI963" s="96"/>
      <c r="AJ963" s="96"/>
      <c r="AK963" s="96"/>
      <c r="AL963" s="96"/>
      <c r="AM963" s="96"/>
      <c r="AN963" s="96"/>
      <c r="AO963" s="96"/>
      <c r="AP963" s="96"/>
    </row>
    <row r="964" spans="2:42" ht="12.75">
      <c r="B964" s="186"/>
      <c r="C964" s="85"/>
      <c r="D964" s="85"/>
      <c r="E964" s="187"/>
      <c r="F964" s="187"/>
      <c r="G964" s="187"/>
      <c r="H964" s="187"/>
      <c r="I964" s="92"/>
      <c r="J964" s="92"/>
      <c r="K964" s="187"/>
      <c r="L964" s="187"/>
      <c r="M964" s="187"/>
      <c r="N964" s="187"/>
      <c r="O964" s="92"/>
      <c r="P964" s="187"/>
      <c r="Q964" s="187"/>
      <c r="R964" s="187"/>
      <c r="S964" s="187"/>
      <c r="T964" s="85"/>
      <c r="U964" s="189"/>
      <c r="V964" s="189"/>
      <c r="W964" s="189"/>
      <c r="X964" s="189"/>
      <c r="Y964" s="100"/>
      <c r="AA964" s="96"/>
      <c r="AB964" s="96"/>
      <c r="AC964" s="96"/>
      <c r="AD964" s="97"/>
      <c r="AE964" s="96"/>
      <c r="AF964" s="98"/>
      <c r="AG964" s="96"/>
      <c r="AH964" s="96"/>
      <c r="AI964" s="96"/>
      <c r="AJ964" s="96"/>
      <c r="AK964" s="96"/>
      <c r="AL964" s="96"/>
      <c r="AM964" s="96"/>
      <c r="AN964" s="96"/>
      <c r="AO964" s="96"/>
      <c r="AP964" s="96"/>
    </row>
    <row r="965" spans="2:42" ht="12.75">
      <c r="B965" s="186"/>
      <c r="C965" s="85"/>
      <c r="D965" s="85"/>
      <c r="E965" s="187"/>
      <c r="F965" s="187"/>
      <c r="G965" s="187"/>
      <c r="H965" s="187"/>
      <c r="I965" s="92"/>
      <c r="J965" s="92"/>
      <c r="K965" s="187"/>
      <c r="L965" s="187"/>
      <c r="M965" s="187"/>
      <c r="N965" s="187"/>
      <c r="O965" s="92"/>
      <c r="P965" s="187"/>
      <c r="Q965" s="187"/>
      <c r="R965" s="187"/>
      <c r="S965" s="187"/>
      <c r="T965" s="85"/>
      <c r="U965" s="189"/>
      <c r="V965" s="189"/>
      <c r="W965" s="189"/>
      <c r="X965" s="189"/>
      <c r="Y965" s="100"/>
      <c r="AA965" s="96"/>
      <c r="AB965" s="96"/>
      <c r="AC965" s="96"/>
      <c r="AD965" s="97"/>
      <c r="AE965" s="96"/>
      <c r="AF965" s="98"/>
      <c r="AG965" s="96"/>
      <c r="AH965" s="96"/>
      <c r="AI965" s="96"/>
      <c r="AJ965" s="96"/>
      <c r="AK965" s="96"/>
      <c r="AL965" s="96"/>
      <c r="AM965" s="96"/>
      <c r="AN965" s="96"/>
      <c r="AO965" s="96"/>
      <c r="AP965" s="96"/>
    </row>
    <row r="966" spans="2:42" ht="12.75">
      <c r="B966" s="186"/>
      <c r="C966" s="85"/>
      <c r="D966" s="85"/>
      <c r="E966" s="187"/>
      <c r="F966" s="187"/>
      <c r="G966" s="187"/>
      <c r="H966" s="187"/>
      <c r="I966" s="92"/>
      <c r="J966" s="92"/>
      <c r="K966" s="187"/>
      <c r="L966" s="187"/>
      <c r="M966" s="187"/>
      <c r="N966" s="187"/>
      <c r="O966" s="92"/>
      <c r="P966" s="187"/>
      <c r="Q966" s="187"/>
      <c r="R966" s="187"/>
      <c r="S966" s="187"/>
      <c r="T966" s="85"/>
      <c r="U966" s="189"/>
      <c r="V966" s="189"/>
      <c r="W966" s="189"/>
      <c r="X966" s="189"/>
      <c r="Y966" s="100"/>
      <c r="AA966" s="96"/>
      <c r="AB966" s="96"/>
      <c r="AC966" s="96"/>
      <c r="AD966" s="97"/>
      <c r="AE966" s="96"/>
      <c r="AF966" s="98"/>
      <c r="AG966" s="96"/>
      <c r="AH966" s="96"/>
      <c r="AI966" s="96"/>
      <c r="AJ966" s="96"/>
      <c r="AK966" s="96"/>
      <c r="AL966" s="96"/>
      <c r="AM966" s="96"/>
      <c r="AN966" s="96"/>
      <c r="AO966" s="96"/>
      <c r="AP966" s="96"/>
    </row>
    <row r="967" spans="2:42" ht="12.75">
      <c r="B967" s="186"/>
      <c r="C967" s="85"/>
      <c r="D967" s="85"/>
      <c r="E967" s="187"/>
      <c r="F967" s="187"/>
      <c r="G967" s="187"/>
      <c r="H967" s="187"/>
      <c r="I967" s="92"/>
      <c r="J967" s="92"/>
      <c r="K967" s="187"/>
      <c r="L967" s="187"/>
      <c r="M967" s="187"/>
      <c r="N967" s="187"/>
      <c r="O967" s="92"/>
      <c r="P967" s="187"/>
      <c r="Q967" s="187"/>
      <c r="R967" s="187"/>
      <c r="S967" s="187"/>
      <c r="T967" s="85"/>
      <c r="U967" s="189"/>
      <c r="V967" s="189"/>
      <c r="W967" s="189"/>
      <c r="X967" s="189"/>
      <c r="Y967" s="100"/>
      <c r="AA967" s="96"/>
      <c r="AB967" s="96"/>
      <c r="AC967" s="96"/>
      <c r="AD967" s="97"/>
      <c r="AE967" s="96"/>
      <c r="AF967" s="98"/>
      <c r="AG967" s="96"/>
      <c r="AH967" s="96"/>
      <c r="AI967" s="96"/>
      <c r="AJ967" s="96"/>
      <c r="AK967" s="96"/>
      <c r="AL967" s="96"/>
      <c r="AM967" s="96"/>
      <c r="AN967" s="96"/>
      <c r="AO967" s="96"/>
      <c r="AP967" s="96"/>
    </row>
    <row r="968" spans="2:42" ht="12.75">
      <c r="B968" s="186"/>
      <c r="C968" s="85"/>
      <c r="D968" s="85"/>
      <c r="E968" s="187"/>
      <c r="F968" s="187"/>
      <c r="G968" s="187"/>
      <c r="H968" s="187"/>
      <c r="I968" s="92"/>
      <c r="J968" s="92"/>
      <c r="K968" s="187"/>
      <c r="L968" s="187"/>
      <c r="M968" s="187"/>
      <c r="N968" s="187"/>
      <c r="O968" s="92"/>
      <c r="P968" s="187"/>
      <c r="Q968" s="187"/>
      <c r="R968" s="187"/>
      <c r="S968" s="187"/>
      <c r="T968" s="85"/>
      <c r="U968" s="189"/>
      <c r="V968" s="189"/>
      <c r="W968" s="189"/>
      <c r="X968" s="189"/>
      <c r="Y968" s="100"/>
      <c r="AA968" s="96"/>
      <c r="AB968" s="96"/>
      <c r="AC968" s="96"/>
      <c r="AD968" s="97"/>
      <c r="AE968" s="96"/>
      <c r="AF968" s="98"/>
      <c r="AG968" s="96"/>
      <c r="AH968" s="96"/>
      <c r="AI968" s="96"/>
      <c r="AJ968" s="96"/>
      <c r="AK968" s="96"/>
      <c r="AL968" s="96"/>
      <c r="AM968" s="96"/>
      <c r="AN968" s="96"/>
      <c r="AO968" s="96"/>
      <c r="AP968" s="96"/>
    </row>
    <row r="969" spans="2:42" ht="12.75">
      <c r="B969" s="186"/>
      <c r="C969" s="85"/>
      <c r="D969" s="85"/>
      <c r="E969" s="187"/>
      <c r="F969" s="187"/>
      <c r="G969" s="187"/>
      <c r="H969" s="187"/>
      <c r="I969" s="92"/>
      <c r="J969" s="92"/>
      <c r="K969" s="187"/>
      <c r="L969" s="187"/>
      <c r="M969" s="187"/>
      <c r="N969" s="187"/>
      <c r="O969" s="92"/>
      <c r="P969" s="187"/>
      <c r="Q969" s="187"/>
      <c r="R969" s="187"/>
      <c r="S969" s="187"/>
      <c r="T969" s="85"/>
      <c r="U969" s="189"/>
      <c r="V969" s="189"/>
      <c r="W969" s="189"/>
      <c r="X969" s="189"/>
      <c r="Y969" s="100"/>
      <c r="AA969" s="96"/>
      <c r="AB969" s="96"/>
      <c r="AC969" s="96"/>
      <c r="AD969" s="97"/>
      <c r="AE969" s="96"/>
      <c r="AF969" s="98"/>
      <c r="AG969" s="96"/>
      <c r="AH969" s="96"/>
      <c r="AI969" s="96"/>
      <c r="AJ969" s="96"/>
      <c r="AK969" s="96"/>
      <c r="AL969" s="96"/>
      <c r="AM969" s="96"/>
      <c r="AN969" s="96"/>
      <c r="AO969" s="96"/>
      <c r="AP969" s="96"/>
    </row>
    <row r="970" spans="2:42" ht="12.75">
      <c r="B970" s="186"/>
      <c r="C970" s="85"/>
      <c r="D970" s="85"/>
      <c r="E970" s="187"/>
      <c r="F970" s="187"/>
      <c r="G970" s="187"/>
      <c r="H970" s="187"/>
      <c r="I970" s="92"/>
      <c r="J970" s="92"/>
      <c r="K970" s="187"/>
      <c r="L970" s="187"/>
      <c r="M970" s="187"/>
      <c r="N970" s="187"/>
      <c r="O970" s="92"/>
      <c r="P970" s="187"/>
      <c r="Q970" s="187"/>
      <c r="R970" s="187"/>
      <c r="S970" s="187"/>
      <c r="T970" s="85"/>
      <c r="U970" s="189"/>
      <c r="V970" s="189"/>
      <c r="W970" s="189"/>
      <c r="X970" s="189"/>
      <c r="Y970" s="100"/>
      <c r="AA970" s="96"/>
      <c r="AB970" s="96"/>
      <c r="AC970" s="96"/>
      <c r="AD970" s="97"/>
      <c r="AE970" s="96"/>
      <c r="AF970" s="98"/>
      <c r="AG970" s="96"/>
      <c r="AH970" s="96"/>
      <c r="AI970" s="96"/>
      <c r="AJ970" s="96"/>
      <c r="AK970" s="96"/>
      <c r="AL970" s="96"/>
      <c r="AM970" s="96"/>
      <c r="AN970" s="96"/>
      <c r="AO970" s="96"/>
      <c r="AP970" s="96"/>
    </row>
    <row r="971" spans="2:42" ht="12.75">
      <c r="B971" s="186"/>
      <c r="C971" s="85"/>
      <c r="D971" s="85"/>
      <c r="E971" s="187"/>
      <c r="F971" s="187"/>
      <c r="G971" s="187"/>
      <c r="H971" s="187"/>
      <c r="I971" s="92"/>
      <c r="J971" s="92"/>
      <c r="K971" s="187"/>
      <c r="L971" s="187"/>
      <c r="M971" s="187"/>
      <c r="N971" s="187"/>
      <c r="O971" s="92"/>
      <c r="P971" s="187"/>
      <c r="Q971" s="187"/>
      <c r="R971" s="187"/>
      <c r="S971" s="187"/>
      <c r="T971" s="85"/>
      <c r="U971" s="189"/>
      <c r="V971" s="189"/>
      <c r="W971" s="189"/>
      <c r="X971" s="189"/>
      <c r="Y971" s="100"/>
      <c r="AA971" s="96"/>
      <c r="AB971" s="96"/>
      <c r="AC971" s="96"/>
      <c r="AD971" s="97"/>
      <c r="AE971" s="96"/>
      <c r="AF971" s="98"/>
      <c r="AG971" s="96"/>
      <c r="AH971" s="96"/>
      <c r="AI971" s="96"/>
      <c r="AJ971" s="96"/>
      <c r="AK971" s="96"/>
      <c r="AL971" s="96"/>
      <c r="AM971" s="96"/>
      <c r="AN971" s="96"/>
      <c r="AO971" s="96"/>
      <c r="AP971" s="96"/>
    </row>
    <row r="972" spans="2:42" ht="12.75">
      <c r="B972" s="186"/>
      <c r="C972" s="85"/>
      <c r="D972" s="85"/>
      <c r="E972" s="187"/>
      <c r="F972" s="187"/>
      <c r="G972" s="187"/>
      <c r="H972" s="187"/>
      <c r="I972" s="92"/>
      <c r="J972" s="92"/>
      <c r="K972" s="187"/>
      <c r="L972" s="187"/>
      <c r="M972" s="187"/>
      <c r="N972" s="187"/>
      <c r="O972" s="92"/>
      <c r="P972" s="187"/>
      <c r="Q972" s="187"/>
      <c r="R972" s="187"/>
      <c r="S972" s="187"/>
      <c r="T972" s="85"/>
      <c r="U972" s="189"/>
      <c r="V972" s="189"/>
      <c r="W972" s="189"/>
      <c r="X972" s="189"/>
      <c r="Y972" s="100"/>
      <c r="AA972" s="96"/>
      <c r="AB972" s="96"/>
      <c r="AC972" s="96"/>
      <c r="AD972" s="97"/>
      <c r="AE972" s="96"/>
      <c r="AF972" s="98"/>
      <c r="AG972" s="96"/>
      <c r="AH972" s="96"/>
      <c r="AI972" s="96"/>
      <c r="AJ972" s="96"/>
      <c r="AK972" s="96"/>
      <c r="AL972" s="96"/>
      <c r="AM972" s="96"/>
      <c r="AN972" s="96"/>
      <c r="AO972" s="96"/>
      <c r="AP972" s="96"/>
    </row>
    <row r="973" spans="2:42" ht="12.75">
      <c r="B973" s="186"/>
      <c r="C973" s="85"/>
      <c r="D973" s="85"/>
      <c r="E973" s="187"/>
      <c r="F973" s="187"/>
      <c r="G973" s="187"/>
      <c r="H973" s="187"/>
      <c r="I973" s="92"/>
      <c r="J973" s="92"/>
      <c r="K973" s="187"/>
      <c r="L973" s="187"/>
      <c r="M973" s="187"/>
      <c r="N973" s="187"/>
      <c r="O973" s="92"/>
      <c r="P973" s="187"/>
      <c r="Q973" s="187"/>
      <c r="R973" s="187"/>
      <c r="S973" s="187"/>
      <c r="T973" s="85"/>
      <c r="U973" s="189"/>
      <c r="V973" s="189"/>
      <c r="W973" s="189"/>
      <c r="X973" s="189"/>
      <c r="Y973" s="100"/>
      <c r="AA973" s="96"/>
      <c r="AB973" s="96"/>
      <c r="AC973" s="96"/>
      <c r="AD973" s="97"/>
      <c r="AE973" s="96"/>
      <c r="AF973" s="98"/>
      <c r="AG973" s="96"/>
      <c r="AH973" s="96"/>
      <c r="AI973" s="96"/>
      <c r="AJ973" s="96"/>
      <c r="AK973" s="96"/>
      <c r="AL973" s="96"/>
      <c r="AM973" s="96"/>
      <c r="AN973" s="96"/>
      <c r="AO973" s="96"/>
      <c r="AP973" s="96"/>
    </row>
    <row r="974" spans="2:42" ht="12.75">
      <c r="B974" s="186"/>
      <c r="C974" s="85"/>
      <c r="D974" s="85"/>
      <c r="E974" s="187"/>
      <c r="F974" s="187"/>
      <c r="G974" s="187"/>
      <c r="H974" s="187"/>
      <c r="I974" s="92"/>
      <c r="J974" s="92"/>
      <c r="K974" s="187"/>
      <c r="L974" s="187"/>
      <c r="M974" s="187"/>
      <c r="N974" s="187"/>
      <c r="O974" s="92"/>
      <c r="P974" s="187"/>
      <c r="Q974" s="187"/>
      <c r="R974" s="187"/>
      <c r="S974" s="187"/>
      <c r="T974" s="85"/>
      <c r="U974" s="189"/>
      <c r="V974" s="189"/>
      <c r="W974" s="189"/>
      <c r="X974" s="189"/>
      <c r="Y974" s="100"/>
      <c r="AA974" s="96"/>
      <c r="AB974" s="96"/>
      <c r="AC974" s="96"/>
      <c r="AD974" s="97"/>
      <c r="AE974" s="96"/>
      <c r="AF974" s="98"/>
      <c r="AG974" s="96"/>
      <c r="AH974" s="96"/>
      <c r="AI974" s="96"/>
      <c r="AJ974" s="96"/>
      <c r="AK974" s="96"/>
      <c r="AL974" s="96"/>
      <c r="AM974" s="96"/>
      <c r="AN974" s="96"/>
      <c r="AO974" s="96"/>
      <c r="AP974" s="96"/>
    </row>
    <row r="975" spans="2:42" ht="12.75">
      <c r="B975" s="186"/>
      <c r="C975" s="85"/>
      <c r="D975" s="85"/>
      <c r="E975" s="187"/>
      <c r="F975" s="187"/>
      <c r="G975" s="187"/>
      <c r="H975" s="187"/>
      <c r="I975" s="92"/>
      <c r="J975" s="92"/>
      <c r="K975" s="187"/>
      <c r="L975" s="187"/>
      <c r="M975" s="187"/>
      <c r="N975" s="187"/>
      <c r="O975" s="92"/>
      <c r="P975" s="187"/>
      <c r="Q975" s="187"/>
      <c r="R975" s="187"/>
      <c r="S975" s="187"/>
      <c r="T975" s="85"/>
      <c r="U975" s="189"/>
      <c r="V975" s="189"/>
      <c r="W975" s="189"/>
      <c r="X975" s="189"/>
      <c r="Y975" s="100"/>
      <c r="AA975" s="96"/>
      <c r="AB975" s="96"/>
      <c r="AC975" s="96"/>
      <c r="AD975" s="97"/>
      <c r="AE975" s="96"/>
      <c r="AF975" s="98"/>
      <c r="AG975" s="96"/>
      <c r="AH975" s="96"/>
      <c r="AI975" s="96"/>
      <c r="AJ975" s="96"/>
      <c r="AK975" s="96"/>
      <c r="AL975" s="96"/>
      <c r="AM975" s="96"/>
      <c r="AN975" s="96"/>
      <c r="AO975" s="96"/>
      <c r="AP975" s="96"/>
    </row>
    <row r="976" spans="2:42" ht="12.75">
      <c r="B976" s="186"/>
      <c r="C976" s="85"/>
      <c r="D976" s="85"/>
      <c r="E976" s="187"/>
      <c r="F976" s="187"/>
      <c r="G976" s="187"/>
      <c r="H976" s="187"/>
      <c r="I976" s="92"/>
      <c r="J976" s="92"/>
      <c r="K976" s="187"/>
      <c r="L976" s="187"/>
      <c r="M976" s="187"/>
      <c r="N976" s="187"/>
      <c r="O976" s="92"/>
      <c r="P976" s="187"/>
      <c r="Q976" s="187"/>
      <c r="R976" s="187"/>
      <c r="S976" s="187"/>
      <c r="T976" s="85"/>
      <c r="U976" s="189"/>
      <c r="V976" s="189"/>
      <c r="W976" s="189"/>
      <c r="X976" s="189"/>
      <c r="Y976" s="100"/>
      <c r="AA976" s="96"/>
      <c r="AB976" s="96"/>
      <c r="AC976" s="96"/>
      <c r="AD976" s="97"/>
      <c r="AE976" s="96"/>
      <c r="AF976" s="98"/>
      <c r="AG976" s="96"/>
      <c r="AH976" s="96"/>
      <c r="AI976" s="96"/>
      <c r="AJ976" s="96"/>
      <c r="AK976" s="96"/>
      <c r="AL976" s="96"/>
      <c r="AM976" s="96"/>
      <c r="AN976" s="96"/>
      <c r="AO976" s="96"/>
      <c r="AP976" s="96"/>
    </row>
    <row r="977" spans="2:42" ht="12.75">
      <c r="B977" s="186"/>
      <c r="C977" s="85"/>
      <c r="D977" s="85"/>
      <c r="E977" s="187"/>
      <c r="F977" s="187"/>
      <c r="G977" s="187"/>
      <c r="H977" s="187"/>
      <c r="I977" s="92"/>
      <c r="J977" s="92"/>
      <c r="K977" s="187"/>
      <c r="L977" s="187"/>
      <c r="M977" s="187"/>
      <c r="N977" s="187"/>
      <c r="O977" s="92"/>
      <c r="P977" s="187"/>
      <c r="Q977" s="187"/>
      <c r="R977" s="187"/>
      <c r="S977" s="187"/>
      <c r="T977" s="85"/>
      <c r="U977" s="189"/>
      <c r="V977" s="189"/>
      <c r="W977" s="189"/>
      <c r="X977" s="189"/>
      <c r="Y977" s="100"/>
      <c r="AA977" s="96"/>
      <c r="AB977" s="96"/>
      <c r="AC977" s="96"/>
      <c r="AD977" s="97"/>
      <c r="AE977" s="96"/>
      <c r="AF977" s="98"/>
      <c r="AG977" s="96"/>
      <c r="AH977" s="96"/>
      <c r="AI977" s="96"/>
      <c r="AJ977" s="96"/>
      <c r="AK977" s="96"/>
      <c r="AL977" s="96"/>
      <c r="AM977" s="96"/>
      <c r="AN977" s="96"/>
      <c r="AO977" s="96"/>
      <c r="AP977" s="96"/>
    </row>
    <row r="978" spans="2:42" ht="12.75">
      <c r="B978" s="186"/>
      <c r="C978" s="85"/>
      <c r="D978" s="85"/>
      <c r="E978" s="187"/>
      <c r="F978" s="187"/>
      <c r="G978" s="187"/>
      <c r="H978" s="187"/>
      <c r="I978" s="92"/>
      <c r="J978" s="92"/>
      <c r="K978" s="187"/>
      <c r="L978" s="187"/>
      <c r="M978" s="187"/>
      <c r="N978" s="187"/>
      <c r="O978" s="92"/>
      <c r="P978" s="187"/>
      <c r="Q978" s="187"/>
      <c r="R978" s="187"/>
      <c r="S978" s="187"/>
      <c r="T978" s="85"/>
      <c r="U978" s="189"/>
      <c r="V978" s="189"/>
      <c r="W978" s="189"/>
      <c r="X978" s="189"/>
      <c r="Y978" s="100"/>
      <c r="AA978" s="96"/>
      <c r="AB978" s="96"/>
      <c r="AC978" s="96"/>
      <c r="AD978" s="97"/>
      <c r="AE978" s="96"/>
      <c r="AF978" s="98"/>
      <c r="AG978" s="96"/>
      <c r="AH978" s="96"/>
      <c r="AI978" s="96"/>
      <c r="AJ978" s="96"/>
      <c r="AK978" s="96"/>
      <c r="AL978" s="96"/>
      <c r="AM978" s="96"/>
      <c r="AN978" s="96"/>
      <c r="AO978" s="96"/>
      <c r="AP978" s="96"/>
    </row>
    <row r="979" spans="2:42" ht="12.75">
      <c r="B979" s="186"/>
      <c r="C979" s="85"/>
      <c r="D979" s="85"/>
      <c r="E979" s="187"/>
      <c r="F979" s="187"/>
      <c r="G979" s="187"/>
      <c r="H979" s="187"/>
      <c r="I979" s="92"/>
      <c r="J979" s="92"/>
      <c r="K979" s="187"/>
      <c r="L979" s="187"/>
      <c r="M979" s="187"/>
      <c r="N979" s="187"/>
      <c r="O979" s="92"/>
      <c r="P979" s="187"/>
      <c r="Q979" s="187"/>
      <c r="R979" s="187"/>
      <c r="S979" s="187"/>
      <c r="T979" s="85"/>
      <c r="U979" s="189"/>
      <c r="V979" s="189"/>
      <c r="W979" s="189"/>
      <c r="X979" s="189"/>
      <c r="Y979" s="100"/>
      <c r="AA979" s="96"/>
      <c r="AB979" s="96"/>
      <c r="AC979" s="96"/>
      <c r="AD979" s="97"/>
      <c r="AE979" s="96"/>
      <c r="AF979" s="98"/>
      <c r="AG979" s="96"/>
      <c r="AH979" s="96"/>
      <c r="AI979" s="96"/>
      <c r="AJ979" s="96"/>
      <c r="AK979" s="96"/>
      <c r="AL979" s="96"/>
      <c r="AM979" s="96"/>
      <c r="AN979" s="96"/>
      <c r="AO979" s="96"/>
      <c r="AP979" s="96"/>
    </row>
    <row r="980" spans="2:42" ht="12.75">
      <c r="B980" s="186"/>
      <c r="C980" s="85"/>
      <c r="D980" s="85"/>
      <c r="E980" s="187"/>
      <c r="F980" s="187"/>
      <c r="G980" s="187"/>
      <c r="H980" s="187"/>
      <c r="I980" s="92"/>
      <c r="J980" s="92"/>
      <c r="K980" s="187"/>
      <c r="L980" s="187"/>
      <c r="M980" s="187"/>
      <c r="N980" s="187"/>
      <c r="O980" s="92"/>
      <c r="P980" s="187"/>
      <c r="Q980" s="187"/>
      <c r="R980" s="187"/>
      <c r="S980" s="187"/>
      <c r="T980" s="85"/>
      <c r="U980" s="189"/>
      <c r="V980" s="189"/>
      <c r="W980" s="189"/>
      <c r="X980" s="189"/>
      <c r="Y980" s="100"/>
      <c r="AA980" s="96"/>
      <c r="AB980" s="96"/>
      <c r="AC980" s="96"/>
      <c r="AD980" s="97"/>
      <c r="AE980" s="96"/>
      <c r="AF980" s="98"/>
      <c r="AG980" s="96"/>
      <c r="AH980" s="96"/>
      <c r="AI980" s="96"/>
      <c r="AJ980" s="96"/>
      <c r="AK980" s="96"/>
      <c r="AL980" s="96"/>
      <c r="AM980" s="96"/>
      <c r="AN980" s="96"/>
      <c r="AO980" s="96"/>
      <c r="AP980" s="96"/>
    </row>
    <row r="981" spans="2:42" ht="12.75">
      <c r="B981" s="186"/>
      <c r="C981" s="85"/>
      <c r="D981" s="85"/>
      <c r="E981" s="187"/>
      <c r="F981" s="187"/>
      <c r="G981" s="187"/>
      <c r="H981" s="187"/>
      <c r="I981" s="92"/>
      <c r="J981" s="92"/>
      <c r="K981" s="187"/>
      <c r="L981" s="187"/>
      <c r="M981" s="187"/>
      <c r="N981" s="187"/>
      <c r="O981" s="92"/>
      <c r="P981" s="187"/>
      <c r="Q981" s="187"/>
      <c r="R981" s="187"/>
      <c r="S981" s="187"/>
      <c r="T981" s="85"/>
      <c r="U981" s="189"/>
      <c r="V981" s="189"/>
      <c r="W981" s="189"/>
      <c r="X981" s="189"/>
      <c r="Y981" s="100"/>
      <c r="AA981" s="96"/>
      <c r="AB981" s="96"/>
      <c r="AC981" s="96"/>
      <c r="AD981" s="97"/>
      <c r="AE981" s="96"/>
      <c r="AF981" s="98"/>
      <c r="AG981" s="96"/>
      <c r="AH981" s="96"/>
      <c r="AI981" s="96"/>
      <c r="AJ981" s="96"/>
      <c r="AK981" s="96"/>
      <c r="AL981" s="96"/>
      <c r="AM981" s="96"/>
      <c r="AN981" s="96"/>
      <c r="AO981" s="96"/>
      <c r="AP981" s="96"/>
    </row>
    <row r="982" spans="2:42" ht="12.75">
      <c r="B982" s="186"/>
      <c r="C982" s="85"/>
      <c r="D982" s="85"/>
      <c r="E982" s="187"/>
      <c r="F982" s="187"/>
      <c r="G982" s="187"/>
      <c r="H982" s="187"/>
      <c r="I982" s="92"/>
      <c r="J982" s="92"/>
      <c r="K982" s="187"/>
      <c r="L982" s="187"/>
      <c r="M982" s="187"/>
      <c r="N982" s="187"/>
      <c r="O982" s="92"/>
      <c r="P982" s="187"/>
      <c r="Q982" s="187"/>
      <c r="R982" s="187"/>
      <c r="S982" s="187"/>
      <c r="T982" s="85"/>
      <c r="U982" s="189"/>
      <c r="V982" s="189"/>
      <c r="W982" s="189"/>
      <c r="X982" s="189"/>
      <c r="Y982" s="100"/>
      <c r="AA982" s="96"/>
      <c r="AB982" s="96"/>
      <c r="AC982" s="96"/>
      <c r="AD982" s="97"/>
      <c r="AE982" s="96"/>
      <c r="AF982" s="98"/>
      <c r="AG982" s="96"/>
      <c r="AH982" s="96"/>
      <c r="AI982" s="96"/>
      <c r="AJ982" s="96"/>
      <c r="AK982" s="96"/>
      <c r="AL982" s="96"/>
      <c r="AM982" s="96"/>
      <c r="AN982" s="96"/>
      <c r="AO982" s="96"/>
      <c r="AP982" s="96"/>
    </row>
    <row r="983" spans="2:42" ht="12.75">
      <c r="B983" s="186"/>
      <c r="C983" s="85"/>
      <c r="D983" s="85"/>
      <c r="E983" s="187"/>
      <c r="F983" s="187"/>
      <c r="G983" s="187"/>
      <c r="H983" s="187"/>
      <c r="I983" s="92"/>
      <c r="J983" s="92"/>
      <c r="K983" s="187"/>
      <c r="L983" s="187"/>
      <c r="M983" s="187"/>
      <c r="N983" s="187"/>
      <c r="O983" s="92"/>
      <c r="P983" s="187"/>
      <c r="Q983" s="187"/>
      <c r="R983" s="187"/>
      <c r="S983" s="187"/>
      <c r="T983" s="85"/>
      <c r="U983" s="189"/>
      <c r="V983" s="189"/>
      <c r="W983" s="189"/>
      <c r="X983" s="189"/>
      <c r="Y983" s="100"/>
      <c r="AA983" s="96"/>
      <c r="AB983" s="96"/>
      <c r="AC983" s="96"/>
      <c r="AD983" s="97"/>
      <c r="AE983" s="96"/>
      <c r="AF983" s="98"/>
      <c r="AG983" s="96"/>
      <c r="AH983" s="96"/>
      <c r="AI983" s="96"/>
      <c r="AJ983" s="96"/>
      <c r="AK983" s="96"/>
      <c r="AL983" s="96"/>
      <c r="AM983" s="96"/>
      <c r="AN983" s="96"/>
      <c r="AO983" s="96"/>
      <c r="AP983" s="96"/>
    </row>
    <row r="984" spans="2:42" ht="12.75">
      <c r="B984" s="186"/>
      <c r="C984" s="85"/>
      <c r="D984" s="85"/>
      <c r="E984" s="187"/>
      <c r="F984" s="187"/>
      <c r="G984" s="187"/>
      <c r="H984" s="187"/>
      <c r="I984" s="92"/>
      <c r="J984" s="92"/>
      <c r="K984" s="187"/>
      <c r="L984" s="187"/>
      <c r="M984" s="187"/>
      <c r="N984" s="187"/>
      <c r="O984" s="92"/>
      <c r="P984" s="187"/>
      <c r="Q984" s="187"/>
      <c r="R984" s="187"/>
      <c r="S984" s="187"/>
      <c r="T984" s="85"/>
      <c r="U984" s="189"/>
      <c r="V984" s="189"/>
      <c r="W984" s="189"/>
      <c r="X984" s="189"/>
      <c r="Y984" s="100"/>
      <c r="AA984" s="96"/>
      <c r="AB984" s="96"/>
      <c r="AC984" s="96"/>
      <c r="AD984" s="97"/>
      <c r="AE984" s="96"/>
      <c r="AF984" s="98"/>
      <c r="AG984" s="96"/>
      <c r="AH984" s="96"/>
      <c r="AI984" s="96"/>
      <c r="AJ984" s="96"/>
      <c r="AK984" s="96"/>
      <c r="AL984" s="96"/>
      <c r="AM984" s="96"/>
      <c r="AN984" s="96"/>
      <c r="AO984" s="96"/>
      <c r="AP984" s="96"/>
    </row>
    <row r="985" spans="2:42" ht="12.75">
      <c r="B985" s="186"/>
      <c r="C985" s="85"/>
      <c r="D985" s="85"/>
      <c r="E985" s="187"/>
      <c r="F985" s="187"/>
      <c r="G985" s="187"/>
      <c r="H985" s="187"/>
      <c r="I985" s="92"/>
      <c r="J985" s="92"/>
      <c r="K985" s="187"/>
      <c r="L985" s="187"/>
      <c r="M985" s="187"/>
      <c r="N985" s="187"/>
      <c r="O985" s="92"/>
      <c r="P985" s="187"/>
      <c r="Q985" s="187"/>
      <c r="R985" s="187"/>
      <c r="S985" s="187"/>
      <c r="T985" s="85"/>
      <c r="U985" s="189"/>
      <c r="V985" s="189"/>
      <c r="W985" s="189"/>
      <c r="X985" s="189"/>
      <c r="Y985" s="100"/>
      <c r="AA985" s="96"/>
      <c r="AB985" s="96"/>
      <c r="AC985" s="96"/>
      <c r="AD985" s="97"/>
      <c r="AE985" s="96"/>
      <c r="AF985" s="98"/>
      <c r="AG985" s="96"/>
      <c r="AH985" s="96"/>
      <c r="AI985" s="96"/>
      <c r="AJ985" s="96"/>
      <c r="AK985" s="96"/>
      <c r="AL985" s="96"/>
      <c r="AM985" s="96"/>
      <c r="AN985" s="96"/>
      <c r="AO985" s="96"/>
      <c r="AP985" s="96"/>
    </row>
    <row r="986" spans="2:42" ht="12.75">
      <c r="B986" s="186"/>
      <c r="C986" s="85"/>
      <c r="D986" s="85"/>
      <c r="E986" s="187"/>
      <c r="F986" s="187"/>
      <c r="G986" s="187"/>
      <c r="H986" s="187"/>
      <c r="I986" s="92"/>
      <c r="J986" s="92"/>
      <c r="K986" s="187"/>
      <c r="L986" s="187"/>
      <c r="M986" s="187"/>
      <c r="N986" s="187"/>
      <c r="O986" s="92"/>
      <c r="P986" s="187"/>
      <c r="Q986" s="187"/>
      <c r="R986" s="187"/>
      <c r="S986" s="187"/>
      <c r="T986" s="85"/>
      <c r="U986" s="189"/>
      <c r="V986" s="189"/>
      <c r="W986" s="189"/>
      <c r="X986" s="189"/>
      <c r="Y986" s="100"/>
      <c r="AA986" s="96"/>
      <c r="AB986" s="96"/>
      <c r="AC986" s="96"/>
      <c r="AD986" s="97"/>
      <c r="AE986" s="96"/>
      <c r="AF986" s="98"/>
      <c r="AG986" s="96"/>
      <c r="AH986" s="96"/>
      <c r="AI986" s="96"/>
      <c r="AJ986" s="96"/>
      <c r="AK986" s="96"/>
      <c r="AL986" s="96"/>
      <c r="AM986" s="96"/>
      <c r="AN986" s="96"/>
      <c r="AO986" s="96"/>
      <c r="AP986" s="96"/>
    </row>
    <row r="987" spans="2:42" ht="12.75">
      <c r="B987" s="186"/>
      <c r="C987" s="85"/>
      <c r="D987" s="85"/>
      <c r="E987" s="187"/>
      <c r="F987" s="187"/>
      <c r="G987" s="187"/>
      <c r="H987" s="187"/>
      <c r="I987" s="92"/>
      <c r="J987" s="92"/>
      <c r="K987" s="187"/>
      <c r="L987" s="187"/>
      <c r="M987" s="187"/>
      <c r="N987" s="187"/>
      <c r="O987" s="92"/>
      <c r="P987" s="187"/>
      <c r="Q987" s="187"/>
      <c r="R987" s="187"/>
      <c r="S987" s="187"/>
      <c r="T987" s="85"/>
      <c r="U987" s="189"/>
      <c r="V987" s="189"/>
      <c r="W987" s="189"/>
      <c r="X987" s="189"/>
      <c r="Y987" s="100"/>
      <c r="AA987" s="96"/>
      <c r="AB987" s="96"/>
      <c r="AC987" s="96"/>
      <c r="AD987" s="97"/>
      <c r="AE987" s="96"/>
      <c r="AF987" s="98"/>
      <c r="AG987" s="96"/>
      <c r="AH987" s="96"/>
      <c r="AI987" s="96"/>
      <c r="AJ987" s="96"/>
      <c r="AK987" s="96"/>
      <c r="AL987" s="96"/>
      <c r="AM987" s="96"/>
      <c r="AN987" s="96"/>
      <c r="AO987" s="96"/>
      <c r="AP987" s="96"/>
    </row>
    <row r="988" spans="2:42" ht="12.75">
      <c r="B988" s="186"/>
      <c r="C988" s="85"/>
      <c r="D988" s="85"/>
      <c r="E988" s="187"/>
      <c r="F988" s="187"/>
      <c r="G988" s="187"/>
      <c r="H988" s="187"/>
      <c r="I988" s="92"/>
      <c r="J988" s="92"/>
      <c r="K988" s="187"/>
      <c r="L988" s="187"/>
      <c r="M988" s="187"/>
      <c r="N988" s="187"/>
      <c r="O988" s="92"/>
      <c r="P988" s="187"/>
      <c r="Q988" s="187"/>
      <c r="R988" s="187"/>
      <c r="S988" s="187"/>
      <c r="T988" s="85"/>
      <c r="U988" s="189"/>
      <c r="V988" s="189"/>
      <c r="W988" s="189"/>
      <c r="X988" s="189"/>
      <c r="Y988" s="100"/>
      <c r="AA988" s="96"/>
      <c r="AB988" s="96"/>
      <c r="AC988" s="96"/>
      <c r="AD988" s="97"/>
      <c r="AE988" s="96"/>
      <c r="AF988" s="98"/>
      <c r="AG988" s="96"/>
      <c r="AH988" s="96"/>
      <c r="AI988" s="96"/>
      <c r="AJ988" s="96"/>
      <c r="AK988" s="96"/>
      <c r="AL988" s="96"/>
      <c r="AM988" s="96"/>
      <c r="AN988" s="96"/>
      <c r="AO988" s="96"/>
      <c r="AP988" s="96"/>
    </row>
    <row r="989" spans="2:42" ht="12.75">
      <c r="B989" s="186"/>
      <c r="C989" s="85"/>
      <c r="D989" s="85"/>
      <c r="E989" s="187"/>
      <c r="F989" s="187"/>
      <c r="G989" s="187"/>
      <c r="H989" s="187"/>
      <c r="I989" s="92"/>
      <c r="J989" s="92"/>
      <c r="K989" s="187"/>
      <c r="L989" s="187"/>
      <c r="M989" s="187"/>
      <c r="N989" s="187"/>
      <c r="O989" s="92"/>
      <c r="P989" s="187"/>
      <c r="Q989" s="187"/>
      <c r="R989" s="187"/>
      <c r="S989" s="187"/>
      <c r="T989" s="85"/>
      <c r="U989" s="189"/>
      <c r="V989" s="189"/>
      <c r="W989" s="189"/>
      <c r="X989" s="189"/>
      <c r="Y989" s="100"/>
      <c r="AA989" s="96"/>
      <c r="AB989" s="96"/>
      <c r="AC989" s="96"/>
      <c r="AD989" s="97"/>
      <c r="AE989" s="96"/>
      <c r="AF989" s="98"/>
      <c r="AG989" s="96"/>
      <c r="AH989" s="96"/>
      <c r="AI989" s="96"/>
      <c r="AJ989" s="96"/>
      <c r="AK989" s="96"/>
      <c r="AL989" s="96"/>
      <c r="AM989" s="96"/>
      <c r="AN989" s="96"/>
      <c r="AO989" s="96"/>
      <c r="AP989" s="96"/>
    </row>
    <row r="990" spans="2:42" ht="12.75">
      <c r="B990" s="186"/>
      <c r="C990" s="85"/>
      <c r="D990" s="85"/>
      <c r="E990" s="187"/>
      <c r="F990" s="187"/>
      <c r="G990" s="187"/>
      <c r="H990" s="187"/>
      <c r="I990" s="92"/>
      <c r="J990" s="92"/>
      <c r="K990" s="187"/>
      <c r="L990" s="187"/>
      <c r="M990" s="187"/>
      <c r="N990" s="187"/>
      <c r="O990" s="92"/>
      <c r="P990" s="187"/>
      <c r="Q990" s="187"/>
      <c r="R990" s="187"/>
      <c r="S990" s="187"/>
      <c r="T990" s="85"/>
      <c r="U990" s="189"/>
      <c r="V990" s="189"/>
      <c r="W990" s="189"/>
      <c r="X990" s="189"/>
      <c r="Y990" s="100"/>
      <c r="AA990" s="96"/>
      <c r="AB990" s="96"/>
      <c r="AC990" s="96"/>
      <c r="AD990" s="97"/>
      <c r="AE990" s="96"/>
      <c r="AF990" s="98"/>
      <c r="AG990" s="96"/>
      <c r="AH990" s="96"/>
      <c r="AI990" s="96"/>
      <c r="AJ990" s="96"/>
      <c r="AK990" s="96"/>
      <c r="AL990" s="96"/>
      <c r="AM990" s="96"/>
      <c r="AN990" s="96"/>
      <c r="AO990" s="96"/>
      <c r="AP990" s="96"/>
    </row>
    <row r="991" spans="2:42" ht="12.75">
      <c r="B991" s="186"/>
      <c r="C991" s="85"/>
      <c r="D991" s="85"/>
      <c r="E991" s="187"/>
      <c r="F991" s="187"/>
      <c r="G991" s="187"/>
      <c r="H991" s="187"/>
      <c r="I991" s="92"/>
      <c r="J991" s="92"/>
      <c r="K991" s="187"/>
      <c r="L991" s="187"/>
      <c r="M991" s="187"/>
      <c r="N991" s="187"/>
      <c r="O991" s="92"/>
      <c r="P991" s="187"/>
      <c r="Q991" s="187"/>
      <c r="R991" s="187"/>
      <c r="S991" s="187"/>
      <c r="T991" s="85"/>
      <c r="U991" s="189"/>
      <c r="V991" s="189"/>
      <c r="W991" s="189"/>
      <c r="X991" s="189"/>
      <c r="Y991" s="100"/>
      <c r="AA991" s="96"/>
      <c r="AB991" s="96"/>
      <c r="AC991" s="96"/>
      <c r="AD991" s="97"/>
      <c r="AE991" s="96"/>
      <c r="AF991" s="98"/>
      <c r="AG991" s="96"/>
      <c r="AH991" s="96"/>
      <c r="AI991" s="96"/>
      <c r="AJ991" s="96"/>
      <c r="AK991" s="96"/>
      <c r="AL991" s="96"/>
      <c r="AM991" s="96"/>
      <c r="AN991" s="96"/>
      <c r="AO991" s="96"/>
      <c r="AP991" s="96"/>
    </row>
    <row r="992" spans="2:42" ht="12.75">
      <c r="B992" s="186"/>
      <c r="C992" s="85"/>
      <c r="D992" s="85"/>
      <c r="E992" s="187"/>
      <c r="F992" s="187"/>
      <c r="G992" s="187"/>
      <c r="H992" s="187"/>
      <c r="I992" s="92"/>
      <c r="J992" s="92"/>
      <c r="K992" s="187"/>
      <c r="L992" s="187"/>
      <c r="M992" s="187"/>
      <c r="N992" s="187"/>
      <c r="O992" s="92"/>
      <c r="P992" s="187"/>
      <c r="Q992" s="187"/>
      <c r="R992" s="187"/>
      <c r="S992" s="187"/>
      <c r="T992" s="85"/>
      <c r="U992" s="189"/>
      <c r="V992" s="189"/>
      <c r="W992" s="189"/>
      <c r="X992" s="189"/>
      <c r="Y992" s="100"/>
      <c r="AA992" s="96"/>
      <c r="AB992" s="96"/>
      <c r="AC992" s="96"/>
      <c r="AD992" s="97"/>
      <c r="AE992" s="96"/>
      <c r="AF992" s="98"/>
      <c r="AG992" s="96"/>
      <c r="AH992" s="96"/>
      <c r="AI992" s="96"/>
      <c r="AJ992" s="96"/>
      <c r="AK992" s="96"/>
      <c r="AL992" s="96"/>
      <c r="AM992" s="96"/>
      <c r="AN992" s="96"/>
      <c r="AO992" s="96"/>
      <c r="AP992" s="96"/>
    </row>
    <row r="993" spans="2:42" ht="12.75">
      <c r="B993" s="186"/>
      <c r="C993" s="85"/>
      <c r="D993" s="85"/>
      <c r="E993" s="187"/>
      <c r="F993" s="187"/>
      <c r="G993" s="187"/>
      <c r="H993" s="187"/>
      <c r="I993" s="92"/>
      <c r="J993" s="92"/>
      <c r="K993" s="187"/>
      <c r="L993" s="187"/>
      <c r="M993" s="187"/>
      <c r="N993" s="187"/>
      <c r="O993" s="92"/>
      <c r="P993" s="187"/>
      <c r="Q993" s="187"/>
      <c r="R993" s="187"/>
      <c r="S993" s="187"/>
      <c r="T993" s="85"/>
      <c r="U993" s="189"/>
      <c r="V993" s="189"/>
      <c r="W993" s="189"/>
      <c r="X993" s="189"/>
      <c r="Y993" s="100"/>
      <c r="AA993" s="96"/>
      <c r="AB993" s="96"/>
      <c r="AC993" s="96"/>
      <c r="AD993" s="97"/>
      <c r="AE993" s="96"/>
      <c r="AF993" s="98"/>
      <c r="AG993" s="96"/>
      <c r="AH993" s="96"/>
      <c r="AI993" s="96"/>
      <c r="AJ993" s="96"/>
      <c r="AK993" s="96"/>
      <c r="AL993" s="96"/>
      <c r="AM993" s="96"/>
      <c r="AN993" s="96"/>
      <c r="AO993" s="96"/>
      <c r="AP993" s="96"/>
    </row>
    <row r="994" spans="2:42" ht="12.75">
      <c r="B994" s="186"/>
      <c r="C994" s="85"/>
      <c r="D994" s="85"/>
      <c r="E994" s="187"/>
      <c r="F994" s="187"/>
      <c r="G994" s="187"/>
      <c r="H994" s="187"/>
      <c r="I994" s="92"/>
      <c r="J994" s="92"/>
      <c r="K994" s="187"/>
      <c r="L994" s="187"/>
      <c r="M994" s="187"/>
      <c r="N994" s="187"/>
      <c r="O994" s="92"/>
      <c r="P994" s="187"/>
      <c r="Q994" s="187"/>
      <c r="R994" s="187"/>
      <c r="S994" s="187"/>
      <c r="T994" s="85"/>
      <c r="U994" s="189"/>
      <c r="V994" s="189"/>
      <c r="W994" s="189"/>
      <c r="X994" s="189"/>
      <c r="Y994" s="100"/>
      <c r="AA994" s="96"/>
      <c r="AB994" s="96"/>
      <c r="AC994" s="96"/>
      <c r="AD994" s="97"/>
      <c r="AE994" s="96"/>
      <c r="AF994" s="98"/>
      <c r="AG994" s="96"/>
      <c r="AH994" s="96"/>
      <c r="AI994" s="96"/>
      <c r="AJ994" s="96"/>
      <c r="AK994" s="96"/>
      <c r="AL994" s="96"/>
      <c r="AM994" s="96"/>
      <c r="AN994" s="96"/>
      <c r="AO994" s="96"/>
      <c r="AP994" s="96"/>
    </row>
    <row r="995" spans="2:42" ht="12.75">
      <c r="B995" s="186"/>
      <c r="C995" s="85"/>
      <c r="D995" s="85"/>
      <c r="E995" s="187"/>
      <c r="F995" s="187"/>
      <c r="G995" s="187"/>
      <c r="H995" s="187"/>
      <c r="I995" s="92"/>
      <c r="J995" s="92"/>
      <c r="K995" s="187"/>
      <c r="L995" s="187"/>
      <c r="M995" s="187"/>
      <c r="N995" s="187"/>
      <c r="O995" s="92"/>
      <c r="P995" s="187"/>
      <c r="Q995" s="187"/>
      <c r="R995" s="187"/>
      <c r="S995" s="187"/>
      <c r="T995" s="85"/>
      <c r="U995" s="189"/>
      <c r="V995" s="189"/>
      <c r="W995" s="189"/>
      <c r="X995" s="189"/>
      <c r="Y995" s="100"/>
      <c r="AA995" s="96"/>
      <c r="AB995" s="96"/>
      <c r="AC995" s="96"/>
      <c r="AD995" s="97"/>
      <c r="AE995" s="96"/>
      <c r="AF995" s="98"/>
      <c r="AG995" s="96"/>
      <c r="AH995" s="96"/>
      <c r="AI995" s="96"/>
      <c r="AJ995" s="96"/>
      <c r="AK995" s="96"/>
      <c r="AL995" s="96"/>
      <c r="AM995" s="96"/>
      <c r="AN995" s="96"/>
      <c r="AO995" s="96"/>
      <c r="AP995" s="96"/>
    </row>
    <row r="996" spans="2:42" ht="12.75">
      <c r="B996" s="186"/>
      <c r="C996" s="85"/>
      <c r="D996" s="85"/>
      <c r="E996" s="187"/>
      <c r="F996" s="187"/>
      <c r="G996" s="187"/>
      <c r="H996" s="187"/>
      <c r="I996" s="92"/>
      <c r="J996" s="92"/>
      <c r="K996" s="187"/>
      <c r="L996" s="187"/>
      <c r="M996" s="187"/>
      <c r="N996" s="187"/>
      <c r="O996" s="92"/>
      <c r="P996" s="187"/>
      <c r="Q996" s="187"/>
      <c r="R996" s="187"/>
      <c r="S996" s="187"/>
      <c r="T996" s="85"/>
      <c r="U996" s="189"/>
      <c r="V996" s="189"/>
      <c r="W996" s="189"/>
      <c r="X996" s="189"/>
      <c r="Y996" s="100"/>
      <c r="AA996" s="96"/>
      <c r="AB996" s="96"/>
      <c r="AC996" s="96"/>
      <c r="AD996" s="97"/>
      <c r="AE996" s="96"/>
      <c r="AF996" s="98"/>
      <c r="AG996" s="96"/>
      <c r="AH996" s="96"/>
      <c r="AI996" s="96"/>
      <c r="AJ996" s="96"/>
      <c r="AK996" s="96"/>
      <c r="AL996" s="96"/>
      <c r="AM996" s="96"/>
      <c r="AN996" s="96"/>
      <c r="AO996" s="96"/>
      <c r="AP996" s="96"/>
    </row>
    <row r="997" spans="2:42" ht="12.75">
      <c r="B997" s="186"/>
      <c r="C997" s="85"/>
      <c r="D997" s="85"/>
      <c r="E997" s="187"/>
      <c r="F997" s="187"/>
      <c r="G997" s="187"/>
      <c r="H997" s="187"/>
      <c r="I997" s="92"/>
      <c r="J997" s="92"/>
      <c r="K997" s="187"/>
      <c r="L997" s="187"/>
      <c r="M997" s="187"/>
      <c r="N997" s="187"/>
      <c r="O997" s="92"/>
      <c r="P997" s="187"/>
      <c r="Q997" s="187"/>
      <c r="R997" s="187"/>
      <c r="S997" s="187"/>
      <c r="T997" s="85"/>
      <c r="U997" s="189"/>
      <c r="V997" s="189"/>
      <c r="W997" s="189"/>
      <c r="X997" s="189"/>
      <c r="Y997" s="100"/>
      <c r="AA997" s="96"/>
      <c r="AB997" s="96"/>
      <c r="AC997" s="96"/>
      <c r="AD997" s="97"/>
      <c r="AE997" s="96"/>
      <c r="AF997" s="98"/>
      <c r="AG997" s="96"/>
      <c r="AH997" s="96"/>
      <c r="AI997" s="96"/>
      <c r="AJ997" s="96"/>
      <c r="AK997" s="96"/>
      <c r="AL997" s="96"/>
      <c r="AM997" s="96"/>
      <c r="AN997" s="96"/>
      <c r="AO997" s="96"/>
      <c r="AP997" s="96"/>
    </row>
    <row r="998" spans="2:42" ht="12.75">
      <c r="B998" s="186"/>
      <c r="C998" s="85"/>
      <c r="D998" s="85"/>
      <c r="E998" s="187"/>
      <c r="F998" s="187"/>
      <c r="G998" s="187"/>
      <c r="H998" s="187"/>
      <c r="I998" s="92"/>
      <c r="J998" s="92"/>
      <c r="K998" s="187"/>
      <c r="L998" s="187"/>
      <c r="M998" s="187"/>
      <c r="N998" s="187"/>
      <c r="O998" s="92"/>
      <c r="P998" s="187"/>
      <c r="Q998" s="187"/>
      <c r="R998" s="187"/>
      <c r="S998" s="187"/>
      <c r="T998" s="85"/>
      <c r="U998" s="189"/>
      <c r="V998" s="189"/>
      <c r="W998" s="189"/>
      <c r="X998" s="189"/>
      <c r="Y998" s="100"/>
      <c r="AA998" s="96"/>
      <c r="AB998" s="96"/>
      <c r="AC998" s="96"/>
      <c r="AD998" s="97"/>
      <c r="AE998" s="96"/>
      <c r="AF998" s="98"/>
      <c r="AG998" s="96"/>
      <c r="AH998" s="96"/>
      <c r="AI998" s="96"/>
      <c r="AJ998" s="96"/>
      <c r="AK998" s="96"/>
      <c r="AL998" s="96"/>
      <c r="AM998" s="96"/>
      <c r="AN998" s="96"/>
      <c r="AO998" s="96"/>
      <c r="AP998" s="96"/>
    </row>
    <row r="999" spans="2:42" ht="12.75">
      <c r="B999" s="186"/>
      <c r="C999" s="85"/>
      <c r="D999" s="85"/>
      <c r="E999" s="187"/>
      <c r="F999" s="187"/>
      <c r="G999" s="187"/>
      <c r="H999" s="187"/>
      <c r="I999" s="92"/>
      <c r="J999" s="92"/>
      <c r="K999" s="187"/>
      <c r="L999" s="187"/>
      <c r="M999" s="187"/>
      <c r="N999" s="187"/>
      <c r="O999" s="92"/>
      <c r="P999" s="187"/>
      <c r="Q999" s="187"/>
      <c r="R999" s="187"/>
      <c r="S999" s="187"/>
      <c r="T999" s="85"/>
      <c r="U999" s="189"/>
      <c r="V999" s="189"/>
      <c r="W999" s="189"/>
      <c r="X999" s="189"/>
      <c r="Y999" s="100"/>
      <c r="AA999" s="96"/>
      <c r="AB999" s="96"/>
      <c r="AC999" s="96"/>
      <c r="AD999" s="97"/>
      <c r="AE999" s="96"/>
      <c r="AF999" s="98"/>
      <c r="AG999" s="96"/>
      <c r="AH999" s="96"/>
      <c r="AI999" s="96"/>
      <c r="AJ999" s="96"/>
      <c r="AK999" s="96"/>
      <c r="AL999" s="96"/>
      <c r="AM999" s="96"/>
      <c r="AN999" s="96"/>
      <c r="AO999" s="96"/>
      <c r="AP999" s="96"/>
    </row>
    <row r="1000" spans="2:42" ht="12.75">
      <c r="B1000" s="186"/>
      <c r="C1000" s="85"/>
      <c r="D1000" s="85"/>
      <c r="E1000" s="187"/>
      <c r="F1000" s="187"/>
      <c r="G1000" s="187"/>
      <c r="H1000" s="187"/>
      <c r="I1000" s="92"/>
      <c r="J1000" s="92"/>
      <c r="K1000" s="187"/>
      <c r="L1000" s="187"/>
      <c r="M1000" s="187"/>
      <c r="N1000" s="187"/>
      <c r="O1000" s="92"/>
      <c r="P1000" s="187"/>
      <c r="Q1000" s="187"/>
      <c r="R1000" s="187"/>
      <c r="S1000" s="187"/>
      <c r="T1000" s="85"/>
      <c r="U1000" s="189"/>
      <c r="V1000" s="189"/>
      <c r="W1000" s="189"/>
      <c r="X1000" s="189"/>
      <c r="Y1000" s="100"/>
      <c r="AA1000" s="96"/>
      <c r="AB1000" s="96"/>
      <c r="AC1000" s="96"/>
      <c r="AD1000" s="97"/>
      <c r="AE1000" s="96"/>
      <c r="AF1000" s="98"/>
      <c r="AG1000" s="96"/>
      <c r="AH1000" s="96"/>
      <c r="AI1000" s="96"/>
      <c r="AJ1000" s="96"/>
      <c r="AK1000" s="96"/>
      <c r="AL1000" s="96"/>
      <c r="AM1000" s="96"/>
      <c r="AN1000" s="96"/>
      <c r="AO1000" s="96"/>
      <c r="AP1000" s="96"/>
    </row>
    <row r="1001" spans="2:42" ht="12.75">
      <c r="B1001" s="186"/>
      <c r="C1001" s="85"/>
      <c r="D1001" s="85"/>
      <c r="E1001" s="187"/>
      <c r="F1001" s="187"/>
      <c r="G1001" s="187"/>
      <c r="H1001" s="187"/>
      <c r="I1001" s="92"/>
      <c r="J1001" s="92"/>
      <c r="K1001" s="187"/>
      <c r="L1001" s="187"/>
      <c r="M1001" s="187"/>
      <c r="N1001" s="187"/>
      <c r="O1001" s="92"/>
      <c r="P1001" s="187"/>
      <c r="Q1001" s="187"/>
      <c r="R1001" s="187"/>
      <c r="S1001" s="187"/>
      <c r="T1001" s="85"/>
      <c r="U1001" s="189"/>
      <c r="V1001" s="189"/>
      <c r="W1001" s="189"/>
      <c r="X1001" s="189"/>
      <c r="Y1001" s="100"/>
      <c r="AA1001" s="96"/>
      <c r="AB1001" s="96"/>
      <c r="AC1001" s="96"/>
      <c r="AD1001" s="97"/>
      <c r="AE1001" s="96"/>
      <c r="AF1001" s="98"/>
      <c r="AG1001" s="96"/>
      <c r="AH1001" s="96"/>
      <c r="AI1001" s="96"/>
      <c r="AJ1001" s="96"/>
      <c r="AK1001" s="96"/>
      <c r="AL1001" s="96"/>
      <c r="AM1001" s="96"/>
      <c r="AN1001" s="96"/>
      <c r="AO1001" s="96"/>
      <c r="AP1001" s="96"/>
    </row>
    <row r="1002" spans="2:42" ht="12.75">
      <c r="B1002" s="186"/>
      <c r="C1002" s="85"/>
      <c r="D1002" s="85"/>
      <c r="E1002" s="187"/>
      <c r="F1002" s="187"/>
      <c r="G1002" s="187"/>
      <c r="H1002" s="187"/>
      <c r="I1002" s="92"/>
      <c r="J1002" s="92"/>
      <c r="K1002" s="187"/>
      <c r="L1002" s="187"/>
      <c r="M1002" s="187"/>
      <c r="N1002" s="187"/>
      <c r="O1002" s="92"/>
      <c r="P1002" s="187"/>
      <c r="Q1002" s="187"/>
      <c r="R1002" s="187"/>
      <c r="S1002" s="187"/>
      <c r="T1002" s="85"/>
      <c r="U1002" s="189"/>
      <c r="V1002" s="189"/>
      <c r="W1002" s="189"/>
      <c r="X1002" s="189"/>
      <c r="Y1002" s="100"/>
      <c r="AA1002" s="96"/>
      <c r="AB1002" s="96"/>
      <c r="AC1002" s="96"/>
      <c r="AD1002" s="97"/>
      <c r="AE1002" s="96"/>
      <c r="AF1002" s="98"/>
      <c r="AG1002" s="96"/>
      <c r="AH1002" s="96"/>
      <c r="AI1002" s="96"/>
      <c r="AJ1002" s="96"/>
      <c r="AK1002" s="96"/>
      <c r="AL1002" s="96"/>
      <c r="AM1002" s="96"/>
      <c r="AN1002" s="96"/>
      <c r="AO1002" s="96"/>
      <c r="AP1002" s="96"/>
    </row>
    <row r="1003" spans="2:42" ht="12.75">
      <c r="B1003" s="186"/>
      <c r="C1003" s="85"/>
      <c r="D1003" s="85"/>
      <c r="E1003" s="187"/>
      <c r="F1003" s="187"/>
      <c r="G1003" s="187"/>
      <c r="H1003" s="187"/>
      <c r="I1003" s="92"/>
      <c r="J1003" s="92"/>
      <c r="K1003" s="187"/>
      <c r="L1003" s="187"/>
      <c r="M1003" s="187"/>
      <c r="N1003" s="187"/>
      <c r="O1003" s="92"/>
      <c r="P1003" s="187"/>
      <c r="Q1003" s="187"/>
      <c r="R1003" s="187"/>
      <c r="S1003" s="187"/>
      <c r="T1003" s="85"/>
      <c r="U1003" s="189"/>
      <c r="V1003" s="189"/>
      <c r="W1003" s="189"/>
      <c r="X1003" s="189"/>
      <c r="Y1003" s="100"/>
      <c r="AA1003" s="96"/>
      <c r="AB1003" s="96"/>
      <c r="AC1003" s="96"/>
      <c r="AD1003" s="97"/>
      <c r="AE1003" s="96"/>
      <c r="AF1003" s="98"/>
      <c r="AG1003" s="96"/>
      <c r="AH1003" s="96"/>
      <c r="AI1003" s="96"/>
      <c r="AJ1003" s="96"/>
      <c r="AK1003" s="96"/>
      <c r="AL1003" s="96"/>
      <c r="AM1003" s="96"/>
      <c r="AN1003" s="96"/>
      <c r="AO1003" s="96"/>
      <c r="AP1003" s="96"/>
    </row>
    <row r="1004" spans="2:42" ht="12.75">
      <c r="B1004" s="186"/>
      <c r="C1004" s="85"/>
      <c r="D1004" s="85"/>
      <c r="E1004" s="187"/>
      <c r="F1004" s="187"/>
      <c r="G1004" s="187"/>
      <c r="H1004" s="187"/>
      <c r="I1004" s="92"/>
      <c r="J1004" s="92"/>
      <c r="K1004" s="187"/>
      <c r="L1004" s="187"/>
      <c r="M1004" s="187"/>
      <c r="N1004" s="187"/>
      <c r="O1004" s="92"/>
      <c r="P1004" s="187"/>
      <c r="Q1004" s="187"/>
      <c r="R1004" s="187"/>
      <c r="S1004" s="187"/>
      <c r="T1004" s="85"/>
      <c r="U1004" s="189"/>
      <c r="V1004" s="189"/>
      <c r="W1004" s="189"/>
      <c r="X1004" s="189"/>
      <c r="Y1004" s="100"/>
      <c r="AA1004" s="96"/>
      <c r="AB1004" s="96"/>
      <c r="AC1004" s="96"/>
      <c r="AD1004" s="97"/>
      <c r="AE1004" s="96"/>
      <c r="AF1004" s="98"/>
      <c r="AG1004" s="96"/>
      <c r="AH1004" s="96"/>
      <c r="AI1004" s="96"/>
      <c r="AJ1004" s="96"/>
      <c r="AK1004" s="96"/>
      <c r="AL1004" s="96"/>
      <c r="AM1004" s="96"/>
      <c r="AN1004" s="96"/>
      <c r="AO1004" s="96"/>
      <c r="AP1004" s="96"/>
    </row>
    <row r="1005" spans="2:42" ht="12.75">
      <c r="B1005" s="186"/>
      <c r="C1005" s="85"/>
      <c r="D1005" s="85"/>
      <c r="E1005" s="187"/>
      <c r="F1005" s="187"/>
      <c r="G1005" s="187"/>
      <c r="H1005" s="187"/>
      <c r="I1005" s="92"/>
      <c r="J1005" s="92"/>
      <c r="K1005" s="187"/>
      <c r="L1005" s="187"/>
      <c r="M1005" s="187"/>
      <c r="N1005" s="187"/>
      <c r="O1005" s="92"/>
      <c r="P1005" s="187"/>
      <c r="Q1005" s="187"/>
      <c r="R1005" s="187"/>
      <c r="S1005" s="187"/>
      <c r="T1005" s="85"/>
      <c r="U1005" s="189"/>
      <c r="V1005" s="189"/>
      <c r="W1005" s="189"/>
      <c r="X1005" s="189"/>
      <c r="Y1005" s="100"/>
      <c r="AA1005" s="96"/>
      <c r="AB1005" s="96"/>
      <c r="AC1005" s="96"/>
      <c r="AD1005" s="97"/>
      <c r="AE1005" s="96"/>
      <c r="AF1005" s="98"/>
      <c r="AG1005" s="96"/>
      <c r="AH1005" s="96"/>
      <c r="AI1005" s="96"/>
      <c r="AJ1005" s="96"/>
      <c r="AK1005" s="96"/>
      <c r="AL1005" s="96"/>
      <c r="AM1005" s="96"/>
      <c r="AN1005" s="96"/>
      <c r="AO1005" s="96"/>
      <c r="AP1005" s="96"/>
    </row>
    <row r="1006" spans="2:42" ht="12.75">
      <c r="B1006" s="186"/>
      <c r="C1006" s="85"/>
      <c r="D1006" s="85"/>
      <c r="E1006" s="187"/>
      <c r="F1006" s="187"/>
      <c r="G1006" s="187"/>
      <c r="H1006" s="187"/>
      <c r="I1006" s="92"/>
      <c r="J1006" s="92"/>
      <c r="K1006" s="187"/>
      <c r="L1006" s="187"/>
      <c r="M1006" s="187"/>
      <c r="N1006" s="187"/>
      <c r="O1006" s="92"/>
      <c r="P1006" s="187"/>
      <c r="Q1006" s="187"/>
      <c r="R1006" s="187"/>
      <c r="S1006" s="187"/>
      <c r="T1006" s="85"/>
      <c r="U1006" s="189"/>
      <c r="V1006" s="189"/>
      <c r="W1006" s="189"/>
      <c r="X1006" s="189"/>
      <c r="Y1006" s="100"/>
      <c r="AA1006" s="96"/>
      <c r="AB1006" s="96"/>
      <c r="AC1006" s="96"/>
      <c r="AD1006" s="97"/>
      <c r="AE1006" s="96"/>
      <c r="AF1006" s="98"/>
      <c r="AG1006" s="96"/>
      <c r="AH1006" s="96"/>
      <c r="AI1006" s="96"/>
      <c r="AJ1006" s="96"/>
      <c r="AK1006" s="96"/>
      <c r="AL1006" s="96"/>
      <c r="AM1006" s="96"/>
      <c r="AN1006" s="96"/>
      <c r="AO1006" s="96"/>
      <c r="AP1006" s="96"/>
    </row>
    <row r="1007" spans="2:42" ht="12.75">
      <c r="B1007" s="186"/>
      <c r="C1007" s="85"/>
      <c r="D1007" s="85"/>
      <c r="E1007" s="187"/>
      <c r="F1007" s="187"/>
      <c r="G1007" s="187"/>
      <c r="H1007" s="187"/>
      <c r="I1007" s="92"/>
      <c r="J1007" s="92"/>
      <c r="K1007" s="187"/>
      <c r="L1007" s="187"/>
      <c r="M1007" s="187"/>
      <c r="N1007" s="187"/>
      <c r="O1007" s="92"/>
      <c r="P1007" s="187"/>
      <c r="Q1007" s="187"/>
      <c r="R1007" s="187"/>
      <c r="S1007" s="187"/>
      <c r="T1007" s="85"/>
      <c r="U1007" s="189"/>
      <c r="V1007" s="189"/>
      <c r="W1007" s="189"/>
      <c r="X1007" s="189"/>
      <c r="Y1007" s="100"/>
      <c r="AA1007" s="96"/>
      <c r="AB1007" s="96"/>
      <c r="AC1007" s="96"/>
      <c r="AD1007" s="97"/>
      <c r="AE1007" s="96"/>
      <c r="AF1007" s="98"/>
      <c r="AG1007" s="96"/>
      <c r="AH1007" s="96"/>
      <c r="AI1007" s="96"/>
      <c r="AJ1007" s="96"/>
      <c r="AK1007" s="96"/>
      <c r="AL1007" s="96"/>
      <c r="AM1007" s="96"/>
      <c r="AN1007" s="96"/>
      <c r="AO1007" s="96"/>
      <c r="AP1007" s="96"/>
    </row>
    <row r="1008" spans="2:42" ht="12.75">
      <c r="B1008" s="186"/>
      <c r="C1008" s="85"/>
      <c r="D1008" s="85"/>
      <c r="E1008" s="187"/>
      <c r="F1008" s="187"/>
      <c r="G1008" s="187"/>
      <c r="H1008" s="187"/>
      <c r="I1008" s="92"/>
      <c r="J1008" s="92"/>
      <c r="K1008" s="187"/>
      <c r="L1008" s="187"/>
      <c r="M1008" s="187"/>
      <c r="N1008" s="187"/>
      <c r="O1008" s="92"/>
      <c r="P1008" s="187"/>
      <c r="Q1008" s="187"/>
      <c r="R1008" s="187"/>
      <c r="S1008" s="187"/>
      <c r="T1008" s="85"/>
      <c r="U1008" s="189"/>
      <c r="V1008" s="189"/>
      <c r="W1008" s="189"/>
      <c r="X1008" s="189"/>
      <c r="Y1008" s="100"/>
      <c r="AA1008" s="96"/>
      <c r="AB1008" s="96"/>
      <c r="AC1008" s="96"/>
      <c r="AD1008" s="97"/>
      <c r="AE1008" s="96"/>
      <c r="AF1008" s="98"/>
      <c r="AG1008" s="96"/>
      <c r="AH1008" s="96"/>
      <c r="AI1008" s="96"/>
      <c r="AJ1008" s="96"/>
      <c r="AK1008" s="96"/>
      <c r="AL1008" s="96"/>
      <c r="AM1008" s="96"/>
      <c r="AN1008" s="96"/>
      <c r="AO1008" s="96"/>
      <c r="AP1008" s="96"/>
    </row>
    <row r="1009" spans="2:42" ht="12.75">
      <c r="B1009" s="186"/>
      <c r="C1009" s="85"/>
      <c r="D1009" s="85"/>
      <c r="E1009" s="187"/>
      <c r="F1009" s="187"/>
      <c r="G1009" s="187"/>
      <c r="H1009" s="187"/>
      <c r="I1009" s="92"/>
      <c r="J1009" s="92"/>
      <c r="K1009" s="187"/>
      <c r="L1009" s="187"/>
      <c r="M1009" s="187"/>
      <c r="N1009" s="187"/>
      <c r="O1009" s="92"/>
      <c r="P1009" s="187"/>
      <c r="Q1009" s="187"/>
      <c r="R1009" s="187"/>
      <c r="S1009" s="187"/>
      <c r="T1009" s="85"/>
      <c r="U1009" s="189"/>
      <c r="V1009" s="189"/>
      <c r="W1009" s="189"/>
      <c r="X1009" s="189"/>
      <c r="Y1009" s="100"/>
      <c r="AA1009" s="96"/>
      <c r="AB1009" s="96"/>
      <c r="AC1009" s="96"/>
      <c r="AD1009" s="97"/>
      <c r="AE1009" s="96"/>
      <c r="AF1009" s="98"/>
      <c r="AG1009" s="96"/>
      <c r="AH1009" s="96"/>
      <c r="AI1009" s="96"/>
      <c r="AJ1009" s="96"/>
      <c r="AK1009" s="96"/>
      <c r="AL1009" s="96"/>
      <c r="AM1009" s="96"/>
      <c r="AN1009" s="96"/>
      <c r="AO1009" s="96"/>
      <c r="AP1009" s="96"/>
    </row>
    <row r="1010" spans="2:42" ht="12.75">
      <c r="B1010" s="186"/>
      <c r="C1010" s="85"/>
      <c r="D1010" s="85"/>
      <c r="E1010" s="187"/>
      <c r="F1010" s="187"/>
      <c r="G1010" s="187"/>
      <c r="H1010" s="187"/>
      <c r="I1010" s="92"/>
      <c r="J1010" s="92"/>
      <c r="K1010" s="187"/>
      <c r="L1010" s="187"/>
      <c r="M1010" s="187"/>
      <c r="N1010" s="187"/>
      <c r="O1010" s="92"/>
      <c r="P1010" s="187"/>
      <c r="Q1010" s="187"/>
      <c r="R1010" s="187"/>
      <c r="S1010" s="187"/>
      <c r="T1010" s="85"/>
      <c r="U1010" s="189"/>
      <c r="V1010" s="189"/>
      <c r="W1010" s="189"/>
      <c r="X1010" s="189"/>
      <c r="Y1010" s="100"/>
      <c r="AA1010" s="96"/>
      <c r="AB1010" s="96"/>
      <c r="AC1010" s="96"/>
      <c r="AD1010" s="97"/>
      <c r="AE1010" s="96"/>
      <c r="AF1010" s="98"/>
      <c r="AG1010" s="96"/>
      <c r="AH1010" s="96"/>
      <c r="AI1010" s="96"/>
      <c r="AJ1010" s="96"/>
      <c r="AK1010" s="96"/>
      <c r="AL1010" s="96"/>
      <c r="AM1010" s="96"/>
      <c r="AN1010" s="96"/>
      <c r="AO1010" s="96"/>
      <c r="AP1010" s="96"/>
    </row>
    <row r="1011" spans="2:42" ht="12.75">
      <c r="B1011" s="186"/>
      <c r="C1011" s="85"/>
      <c r="D1011" s="85"/>
      <c r="E1011" s="187"/>
      <c r="F1011" s="187"/>
      <c r="G1011" s="187"/>
      <c r="H1011" s="187"/>
      <c r="I1011" s="92"/>
      <c r="J1011" s="92"/>
      <c r="K1011" s="187"/>
      <c r="L1011" s="187"/>
      <c r="M1011" s="187"/>
      <c r="N1011" s="187"/>
      <c r="O1011" s="92"/>
      <c r="P1011" s="187"/>
      <c r="Q1011" s="187"/>
      <c r="R1011" s="187"/>
      <c r="S1011" s="187"/>
      <c r="T1011" s="85"/>
      <c r="U1011" s="189"/>
      <c r="V1011" s="189"/>
      <c r="W1011" s="189"/>
      <c r="X1011" s="189"/>
      <c r="Y1011" s="100"/>
      <c r="AA1011" s="96"/>
      <c r="AB1011" s="96"/>
      <c r="AC1011" s="96"/>
      <c r="AD1011" s="97"/>
      <c r="AE1011" s="96"/>
      <c r="AF1011" s="98"/>
      <c r="AG1011" s="96"/>
      <c r="AH1011" s="96"/>
      <c r="AI1011" s="96"/>
      <c r="AJ1011" s="96"/>
      <c r="AK1011" s="96"/>
      <c r="AL1011" s="96"/>
      <c r="AM1011" s="96"/>
      <c r="AN1011" s="96"/>
      <c r="AO1011" s="96"/>
      <c r="AP1011" s="96"/>
    </row>
    <row r="1012" spans="2:42" ht="12.75">
      <c r="B1012" s="186"/>
      <c r="C1012" s="85"/>
      <c r="D1012" s="85"/>
      <c r="E1012" s="187"/>
      <c r="F1012" s="187"/>
      <c r="G1012" s="187"/>
      <c r="H1012" s="187"/>
      <c r="I1012" s="92"/>
      <c r="J1012" s="92"/>
      <c r="K1012" s="187"/>
      <c r="L1012" s="187"/>
      <c r="M1012" s="187"/>
      <c r="N1012" s="187"/>
      <c r="O1012" s="92"/>
      <c r="P1012" s="187"/>
      <c r="Q1012" s="187"/>
      <c r="R1012" s="187"/>
      <c r="S1012" s="187"/>
      <c r="T1012" s="85"/>
      <c r="U1012" s="189"/>
      <c r="V1012" s="189"/>
      <c r="W1012" s="189"/>
      <c r="X1012" s="189"/>
      <c r="Y1012" s="100"/>
      <c r="AA1012" s="96"/>
      <c r="AB1012" s="96"/>
      <c r="AC1012" s="96"/>
      <c r="AD1012" s="97"/>
      <c r="AE1012" s="96"/>
      <c r="AF1012" s="98"/>
      <c r="AG1012" s="96"/>
      <c r="AH1012" s="96"/>
      <c r="AI1012" s="96"/>
      <c r="AJ1012" s="96"/>
      <c r="AK1012" s="96"/>
      <c r="AL1012" s="96"/>
      <c r="AM1012" s="96"/>
      <c r="AN1012" s="96"/>
      <c r="AO1012" s="96"/>
      <c r="AP1012" s="96"/>
    </row>
    <row r="1013" spans="2:42" ht="12.75">
      <c r="B1013" s="186"/>
      <c r="C1013" s="85"/>
      <c r="D1013" s="85"/>
      <c r="E1013" s="187"/>
      <c r="F1013" s="187"/>
      <c r="G1013" s="187"/>
      <c r="H1013" s="187"/>
      <c r="I1013" s="92"/>
      <c r="J1013" s="92"/>
      <c r="K1013" s="187"/>
      <c r="L1013" s="187"/>
      <c r="M1013" s="187"/>
      <c r="N1013" s="187"/>
      <c r="O1013" s="92"/>
      <c r="P1013" s="187"/>
      <c r="Q1013" s="187"/>
      <c r="R1013" s="187"/>
      <c r="S1013" s="187"/>
      <c r="T1013" s="85"/>
      <c r="U1013" s="189"/>
      <c r="V1013" s="189"/>
      <c r="W1013" s="189"/>
      <c r="X1013" s="189"/>
      <c r="Y1013" s="100"/>
      <c r="AA1013" s="96"/>
      <c r="AB1013" s="96"/>
      <c r="AC1013" s="96"/>
      <c r="AD1013" s="97"/>
      <c r="AE1013" s="96"/>
      <c r="AF1013" s="98"/>
      <c r="AG1013" s="96"/>
      <c r="AH1013" s="96"/>
      <c r="AI1013" s="96"/>
      <c r="AJ1013" s="96"/>
      <c r="AK1013" s="96"/>
      <c r="AL1013" s="96"/>
      <c r="AM1013" s="96"/>
      <c r="AN1013" s="96"/>
      <c r="AO1013" s="96"/>
      <c r="AP1013" s="96"/>
    </row>
    <row r="1014" spans="2:42" ht="12.75">
      <c r="B1014" s="186"/>
      <c r="C1014" s="85"/>
      <c r="D1014" s="85"/>
      <c r="E1014" s="187"/>
      <c r="F1014" s="187"/>
      <c r="G1014" s="187"/>
      <c r="H1014" s="187"/>
      <c r="I1014" s="92"/>
      <c r="J1014" s="92"/>
      <c r="K1014" s="187"/>
      <c r="L1014" s="187"/>
      <c r="M1014" s="187"/>
      <c r="N1014" s="187"/>
      <c r="O1014" s="92"/>
      <c r="P1014" s="187"/>
      <c r="Q1014" s="187"/>
      <c r="R1014" s="187"/>
      <c r="S1014" s="187"/>
      <c r="T1014" s="85"/>
      <c r="U1014" s="189"/>
      <c r="V1014" s="189"/>
      <c r="W1014" s="189"/>
      <c r="X1014" s="189"/>
      <c r="Y1014" s="100"/>
      <c r="AA1014" s="96"/>
      <c r="AB1014" s="96"/>
      <c r="AC1014" s="96"/>
      <c r="AD1014" s="97"/>
      <c r="AE1014" s="96"/>
      <c r="AF1014" s="98"/>
      <c r="AG1014" s="96"/>
      <c r="AH1014" s="96"/>
      <c r="AI1014" s="96"/>
      <c r="AJ1014" s="96"/>
      <c r="AK1014" s="96"/>
      <c r="AL1014" s="96"/>
      <c r="AM1014" s="96"/>
      <c r="AN1014" s="96"/>
      <c r="AO1014" s="96"/>
      <c r="AP1014" s="96"/>
    </row>
    <row r="1015" spans="2:42" ht="12.75">
      <c r="B1015" s="186"/>
      <c r="C1015" s="85"/>
      <c r="D1015" s="85"/>
      <c r="E1015" s="187"/>
      <c r="F1015" s="187"/>
      <c r="G1015" s="187"/>
      <c r="H1015" s="187"/>
      <c r="I1015" s="92"/>
      <c r="J1015" s="92"/>
      <c r="K1015" s="187"/>
      <c r="L1015" s="187"/>
      <c r="M1015" s="187"/>
      <c r="N1015" s="187"/>
      <c r="O1015" s="92"/>
      <c r="P1015" s="187"/>
      <c r="Q1015" s="187"/>
      <c r="R1015" s="187"/>
      <c r="S1015" s="187"/>
      <c r="T1015" s="85"/>
      <c r="U1015" s="189"/>
      <c r="V1015" s="189"/>
      <c r="W1015" s="189"/>
      <c r="X1015" s="189"/>
      <c r="Y1015" s="100"/>
      <c r="AA1015" s="96"/>
      <c r="AB1015" s="96"/>
      <c r="AC1015" s="96"/>
      <c r="AD1015" s="97"/>
      <c r="AE1015" s="96"/>
      <c r="AF1015" s="98"/>
      <c r="AG1015" s="96"/>
      <c r="AH1015" s="96"/>
      <c r="AI1015" s="96"/>
      <c r="AJ1015" s="96"/>
      <c r="AK1015" s="96"/>
      <c r="AL1015" s="96"/>
      <c r="AM1015" s="96"/>
      <c r="AN1015" s="96"/>
      <c r="AO1015" s="96"/>
      <c r="AP1015" s="96"/>
    </row>
    <row r="1016" spans="2:42" ht="12.75">
      <c r="B1016" s="186"/>
      <c r="C1016" s="85"/>
      <c r="D1016" s="85"/>
      <c r="E1016" s="187"/>
      <c r="F1016" s="187"/>
      <c r="G1016" s="187"/>
      <c r="H1016" s="187"/>
      <c r="I1016" s="92"/>
      <c r="J1016" s="92"/>
      <c r="K1016" s="187"/>
      <c r="L1016" s="187"/>
      <c r="M1016" s="187"/>
      <c r="N1016" s="187"/>
      <c r="O1016" s="92"/>
      <c r="P1016" s="187"/>
      <c r="Q1016" s="187"/>
      <c r="R1016" s="187"/>
      <c r="S1016" s="187"/>
      <c r="T1016" s="85"/>
      <c r="U1016" s="189"/>
      <c r="V1016" s="189"/>
      <c r="W1016" s="189"/>
      <c r="X1016" s="189"/>
      <c r="Y1016" s="100"/>
      <c r="AA1016" s="96"/>
      <c r="AB1016" s="96"/>
      <c r="AC1016" s="96"/>
      <c r="AD1016" s="97"/>
      <c r="AE1016" s="96"/>
      <c r="AF1016" s="98"/>
      <c r="AG1016" s="96"/>
      <c r="AH1016" s="96"/>
      <c r="AI1016" s="96"/>
      <c r="AJ1016" s="96"/>
      <c r="AK1016" s="96"/>
      <c r="AL1016" s="96"/>
      <c r="AM1016" s="96"/>
      <c r="AN1016" s="96"/>
      <c r="AO1016" s="96"/>
      <c r="AP1016" s="96"/>
    </row>
    <row r="1017" spans="2:42" ht="12.75">
      <c r="B1017" s="186"/>
      <c r="C1017" s="85"/>
      <c r="D1017" s="85"/>
      <c r="E1017" s="187"/>
      <c r="F1017" s="187"/>
      <c r="G1017" s="187"/>
      <c r="H1017" s="187"/>
      <c r="I1017" s="92"/>
      <c r="J1017" s="92"/>
      <c r="K1017" s="187"/>
      <c r="L1017" s="187"/>
      <c r="M1017" s="187"/>
      <c r="N1017" s="187"/>
      <c r="O1017" s="92"/>
      <c r="P1017" s="187"/>
      <c r="Q1017" s="187"/>
      <c r="R1017" s="187"/>
      <c r="S1017" s="187"/>
      <c r="T1017" s="85"/>
      <c r="U1017" s="189"/>
      <c r="V1017" s="189"/>
      <c r="W1017" s="189"/>
      <c r="X1017" s="189"/>
      <c r="Y1017" s="100"/>
      <c r="AA1017" s="96"/>
      <c r="AB1017" s="96"/>
      <c r="AC1017" s="96"/>
      <c r="AD1017" s="97"/>
      <c r="AE1017" s="96"/>
      <c r="AF1017" s="98"/>
      <c r="AG1017" s="96"/>
      <c r="AH1017" s="96"/>
      <c r="AI1017" s="96"/>
      <c r="AJ1017" s="96"/>
      <c r="AK1017" s="96"/>
      <c r="AL1017" s="96"/>
      <c r="AM1017" s="96"/>
      <c r="AN1017" s="96"/>
      <c r="AO1017" s="96"/>
      <c r="AP1017" s="96"/>
    </row>
    <row r="1018" spans="2:42" ht="12.75">
      <c r="B1018" s="186"/>
      <c r="C1018" s="85"/>
      <c r="D1018" s="85"/>
      <c r="E1018" s="187"/>
      <c r="F1018" s="187"/>
      <c r="G1018" s="187"/>
      <c r="H1018" s="187"/>
      <c r="I1018" s="92"/>
      <c r="J1018" s="92"/>
      <c r="K1018" s="187"/>
      <c r="L1018" s="187"/>
      <c r="M1018" s="187"/>
      <c r="N1018" s="187"/>
      <c r="O1018" s="92"/>
      <c r="P1018" s="187"/>
      <c r="Q1018" s="187"/>
      <c r="R1018" s="187"/>
      <c r="S1018" s="187"/>
      <c r="T1018" s="85"/>
      <c r="U1018" s="189"/>
      <c r="V1018" s="189"/>
      <c r="W1018" s="189"/>
      <c r="X1018" s="189"/>
      <c r="Y1018" s="100"/>
      <c r="AA1018" s="96"/>
      <c r="AB1018" s="96"/>
      <c r="AC1018" s="96"/>
      <c r="AD1018" s="97"/>
      <c r="AE1018" s="96"/>
      <c r="AF1018" s="98"/>
      <c r="AG1018" s="96"/>
      <c r="AH1018" s="96"/>
      <c r="AI1018" s="96"/>
      <c r="AJ1018" s="96"/>
      <c r="AK1018" s="96"/>
      <c r="AL1018" s="96"/>
      <c r="AM1018" s="96"/>
      <c r="AN1018" s="96"/>
      <c r="AO1018" s="96"/>
      <c r="AP1018" s="96"/>
    </row>
    <row r="1019" spans="2:42" ht="12.75">
      <c r="B1019" s="186"/>
      <c r="C1019" s="85"/>
      <c r="D1019" s="85"/>
      <c r="E1019" s="187"/>
      <c r="F1019" s="187"/>
      <c r="G1019" s="187"/>
      <c r="H1019" s="187"/>
      <c r="I1019" s="92"/>
      <c r="J1019" s="92"/>
      <c r="K1019" s="187"/>
      <c r="L1019" s="187"/>
      <c r="M1019" s="187"/>
      <c r="N1019" s="187"/>
      <c r="O1019" s="92"/>
      <c r="P1019" s="187"/>
      <c r="Q1019" s="187"/>
      <c r="R1019" s="187"/>
      <c r="S1019" s="187"/>
      <c r="T1019" s="85"/>
      <c r="U1019" s="189"/>
      <c r="V1019" s="189"/>
      <c r="W1019" s="189"/>
      <c r="X1019" s="189"/>
      <c r="Y1019" s="100"/>
      <c r="AA1019" s="96"/>
      <c r="AB1019" s="96"/>
      <c r="AC1019" s="96"/>
      <c r="AD1019" s="97"/>
      <c r="AE1019" s="96"/>
      <c r="AF1019" s="98"/>
      <c r="AG1019" s="96"/>
      <c r="AH1019" s="96"/>
      <c r="AI1019" s="96"/>
      <c r="AJ1019" s="96"/>
      <c r="AK1019" s="96"/>
      <c r="AL1019" s="96"/>
      <c r="AM1019" s="96"/>
      <c r="AN1019" s="96"/>
      <c r="AO1019" s="96"/>
      <c r="AP1019" s="96"/>
    </row>
    <row r="1020" spans="2:42" ht="12.75">
      <c r="B1020" s="186"/>
      <c r="C1020" s="85"/>
      <c r="D1020" s="85"/>
      <c r="E1020" s="187"/>
      <c r="F1020" s="187"/>
      <c r="G1020" s="187"/>
      <c r="H1020" s="187"/>
      <c r="I1020" s="92"/>
      <c r="J1020" s="92"/>
      <c r="K1020" s="187"/>
      <c r="L1020" s="187"/>
      <c r="M1020" s="187"/>
      <c r="N1020" s="187"/>
      <c r="O1020" s="92"/>
      <c r="P1020" s="187"/>
      <c r="Q1020" s="187"/>
      <c r="R1020" s="187"/>
      <c r="S1020" s="187"/>
      <c r="T1020" s="85"/>
      <c r="U1020" s="189"/>
      <c r="V1020" s="189"/>
      <c r="W1020" s="189"/>
      <c r="X1020" s="189"/>
      <c r="Y1020" s="100"/>
      <c r="AA1020" s="96"/>
      <c r="AB1020" s="96"/>
      <c r="AC1020" s="96"/>
      <c r="AD1020" s="97"/>
      <c r="AE1020" s="96"/>
      <c r="AF1020" s="98"/>
      <c r="AG1020" s="96"/>
      <c r="AH1020" s="96"/>
      <c r="AI1020" s="96"/>
      <c r="AJ1020" s="96"/>
      <c r="AK1020" s="96"/>
      <c r="AL1020" s="96"/>
      <c r="AM1020" s="96"/>
      <c r="AN1020" s="96"/>
      <c r="AO1020" s="96"/>
      <c r="AP1020" s="96"/>
    </row>
    <row r="1021" spans="2:42" ht="12.75">
      <c r="B1021" s="186"/>
      <c r="C1021" s="85"/>
      <c r="D1021" s="85"/>
      <c r="E1021" s="187"/>
      <c r="F1021" s="187"/>
      <c r="G1021" s="187"/>
      <c r="H1021" s="187"/>
      <c r="I1021" s="92"/>
      <c r="J1021" s="92"/>
      <c r="K1021" s="187"/>
      <c r="L1021" s="187"/>
      <c r="M1021" s="187"/>
      <c r="N1021" s="187"/>
      <c r="O1021" s="92"/>
      <c r="P1021" s="187"/>
      <c r="Q1021" s="187"/>
      <c r="R1021" s="187"/>
      <c r="S1021" s="187"/>
      <c r="T1021" s="85"/>
      <c r="U1021" s="189"/>
      <c r="V1021" s="189"/>
      <c r="W1021" s="189"/>
      <c r="X1021" s="189"/>
      <c r="Y1021" s="100"/>
      <c r="AA1021" s="96"/>
      <c r="AB1021" s="96"/>
      <c r="AC1021" s="96"/>
      <c r="AD1021" s="97"/>
      <c r="AE1021" s="96"/>
      <c r="AF1021" s="98"/>
      <c r="AG1021" s="96"/>
      <c r="AH1021" s="96"/>
      <c r="AI1021" s="96"/>
      <c r="AJ1021" s="96"/>
      <c r="AK1021" s="96"/>
      <c r="AL1021" s="96"/>
      <c r="AM1021" s="96"/>
      <c r="AN1021" s="96"/>
      <c r="AO1021" s="96"/>
      <c r="AP1021" s="96"/>
    </row>
    <row r="1022" spans="2:42" ht="12.75">
      <c r="B1022" s="186"/>
      <c r="C1022" s="85"/>
      <c r="D1022" s="85"/>
      <c r="E1022" s="187"/>
      <c r="F1022" s="187"/>
      <c r="G1022" s="187"/>
      <c r="H1022" s="187"/>
      <c r="I1022" s="92"/>
      <c r="J1022" s="92"/>
      <c r="K1022" s="187"/>
      <c r="L1022" s="187"/>
      <c r="M1022" s="187"/>
      <c r="N1022" s="187"/>
      <c r="O1022" s="92"/>
      <c r="P1022" s="187"/>
      <c r="Q1022" s="187"/>
      <c r="R1022" s="187"/>
      <c r="S1022" s="187"/>
      <c r="T1022" s="85"/>
      <c r="U1022" s="189"/>
      <c r="V1022" s="189"/>
      <c r="W1022" s="189"/>
      <c r="X1022" s="189"/>
      <c r="Y1022" s="100"/>
      <c r="AA1022" s="96"/>
      <c r="AB1022" s="96"/>
      <c r="AC1022" s="96"/>
      <c r="AD1022" s="97"/>
      <c r="AE1022" s="96"/>
      <c r="AF1022" s="98"/>
      <c r="AG1022" s="96"/>
      <c r="AH1022" s="96"/>
      <c r="AI1022" s="96"/>
      <c r="AJ1022" s="96"/>
      <c r="AK1022" s="96"/>
      <c r="AL1022" s="96"/>
      <c r="AM1022" s="96"/>
      <c r="AN1022" s="96"/>
      <c r="AO1022" s="96"/>
      <c r="AP1022" s="96"/>
    </row>
    <row r="1023" spans="2:42" ht="12.75">
      <c r="B1023" s="186"/>
      <c r="C1023" s="85"/>
      <c r="D1023" s="85"/>
      <c r="E1023" s="187"/>
      <c r="F1023" s="187"/>
      <c r="G1023" s="187"/>
      <c r="H1023" s="187"/>
      <c r="I1023" s="92"/>
      <c r="J1023" s="92"/>
      <c r="K1023" s="187"/>
      <c r="L1023" s="187"/>
      <c r="M1023" s="187"/>
      <c r="N1023" s="187"/>
      <c r="O1023" s="92"/>
      <c r="P1023" s="187"/>
      <c r="Q1023" s="187"/>
      <c r="R1023" s="187"/>
      <c r="S1023" s="187"/>
      <c r="T1023" s="85"/>
      <c r="U1023" s="189"/>
      <c r="V1023" s="189"/>
      <c r="W1023" s="189"/>
      <c r="X1023" s="189"/>
      <c r="Y1023" s="100"/>
      <c r="AA1023" s="96"/>
      <c r="AB1023" s="96"/>
      <c r="AC1023" s="96"/>
      <c r="AD1023" s="97"/>
      <c r="AE1023" s="96"/>
      <c r="AF1023" s="98"/>
      <c r="AG1023" s="96"/>
      <c r="AH1023" s="96"/>
      <c r="AI1023" s="96"/>
      <c r="AJ1023" s="96"/>
      <c r="AK1023" s="96"/>
      <c r="AL1023" s="96"/>
      <c r="AM1023" s="96"/>
      <c r="AN1023" s="96"/>
      <c r="AO1023" s="96"/>
      <c r="AP1023" s="96"/>
    </row>
    <row r="1024" spans="2:42" ht="12.75">
      <c r="B1024" s="186"/>
      <c r="C1024" s="85"/>
      <c r="D1024" s="85"/>
      <c r="E1024" s="187"/>
      <c r="F1024" s="187"/>
      <c r="G1024" s="187"/>
      <c r="H1024" s="187"/>
      <c r="I1024" s="92"/>
      <c r="J1024" s="92"/>
      <c r="K1024" s="187"/>
      <c r="L1024" s="187"/>
      <c r="M1024" s="187"/>
      <c r="N1024" s="187"/>
      <c r="O1024" s="92"/>
      <c r="P1024" s="187"/>
      <c r="Q1024" s="187"/>
      <c r="R1024" s="187"/>
      <c r="S1024" s="187"/>
      <c r="T1024" s="85"/>
      <c r="U1024" s="189"/>
      <c r="V1024" s="189"/>
      <c r="W1024" s="189"/>
      <c r="X1024" s="189"/>
      <c r="Y1024" s="100"/>
      <c r="AA1024" s="96"/>
      <c r="AB1024" s="96"/>
      <c r="AC1024" s="96"/>
      <c r="AD1024" s="97"/>
      <c r="AE1024" s="96"/>
      <c r="AF1024" s="98"/>
      <c r="AG1024" s="96"/>
      <c r="AH1024" s="96"/>
      <c r="AI1024" s="96"/>
      <c r="AJ1024" s="96"/>
      <c r="AK1024" s="96"/>
      <c r="AL1024" s="96"/>
      <c r="AM1024" s="96"/>
      <c r="AN1024" s="96"/>
      <c r="AO1024" s="96"/>
      <c r="AP1024" s="96"/>
    </row>
    <row r="1025" spans="2:42" ht="12.75">
      <c r="B1025" s="186"/>
      <c r="C1025" s="85"/>
      <c r="D1025" s="85"/>
      <c r="E1025" s="187"/>
      <c r="F1025" s="187"/>
      <c r="G1025" s="187"/>
      <c r="H1025" s="187"/>
      <c r="I1025" s="92"/>
      <c r="J1025" s="92"/>
      <c r="K1025" s="187"/>
      <c r="L1025" s="187"/>
      <c r="M1025" s="187"/>
      <c r="N1025" s="187"/>
      <c r="O1025" s="92"/>
      <c r="P1025" s="187"/>
      <c r="Q1025" s="187"/>
      <c r="R1025" s="187"/>
      <c r="S1025" s="187"/>
      <c r="T1025" s="85"/>
      <c r="U1025" s="189"/>
      <c r="V1025" s="189"/>
      <c r="W1025" s="189"/>
      <c r="X1025" s="189"/>
      <c r="Y1025" s="100"/>
      <c r="AA1025" s="96"/>
      <c r="AB1025" s="96"/>
      <c r="AC1025" s="96"/>
      <c r="AD1025" s="97"/>
      <c r="AE1025" s="96"/>
      <c r="AF1025" s="98"/>
      <c r="AG1025" s="96"/>
      <c r="AH1025" s="96"/>
      <c r="AI1025" s="96"/>
      <c r="AJ1025" s="96"/>
      <c r="AK1025" s="96"/>
      <c r="AL1025" s="96"/>
      <c r="AM1025" s="96"/>
      <c r="AN1025" s="96"/>
      <c r="AO1025" s="96"/>
      <c r="AP1025" s="96"/>
    </row>
    <row r="1026" spans="2:42" ht="12.75">
      <c r="B1026" s="186"/>
      <c r="C1026" s="85"/>
      <c r="D1026" s="85"/>
      <c r="E1026" s="187"/>
      <c r="F1026" s="187"/>
      <c r="G1026" s="187"/>
      <c r="H1026" s="187"/>
      <c r="I1026" s="92"/>
      <c r="J1026" s="92"/>
      <c r="K1026" s="187"/>
      <c r="L1026" s="187"/>
      <c r="M1026" s="187"/>
      <c r="N1026" s="187"/>
      <c r="O1026" s="92"/>
      <c r="P1026" s="187"/>
      <c r="Q1026" s="187"/>
      <c r="R1026" s="187"/>
      <c r="S1026" s="187"/>
      <c r="T1026" s="85"/>
      <c r="U1026" s="189"/>
      <c r="V1026" s="189"/>
      <c r="W1026" s="189"/>
      <c r="X1026" s="189"/>
      <c r="Y1026" s="100"/>
      <c r="AA1026" s="96"/>
      <c r="AB1026" s="96"/>
      <c r="AC1026" s="96"/>
      <c r="AD1026" s="97"/>
      <c r="AE1026" s="96"/>
      <c r="AF1026" s="98"/>
      <c r="AG1026" s="96"/>
      <c r="AH1026" s="96"/>
      <c r="AI1026" s="96"/>
      <c r="AJ1026" s="96"/>
      <c r="AK1026" s="96"/>
      <c r="AL1026" s="96"/>
      <c r="AM1026" s="96"/>
      <c r="AN1026" s="96"/>
      <c r="AO1026" s="96"/>
      <c r="AP1026" s="96"/>
    </row>
    <row r="1027" spans="2:42" ht="12.75">
      <c r="B1027" s="186"/>
      <c r="C1027" s="85"/>
      <c r="D1027" s="85"/>
      <c r="E1027" s="187"/>
      <c r="F1027" s="187"/>
      <c r="G1027" s="187"/>
      <c r="H1027" s="187"/>
      <c r="I1027" s="92"/>
      <c r="J1027" s="92"/>
      <c r="K1027" s="187"/>
      <c r="L1027" s="187"/>
      <c r="M1027" s="187"/>
      <c r="N1027" s="187"/>
      <c r="O1027" s="92"/>
      <c r="P1027" s="187"/>
      <c r="Q1027" s="187"/>
      <c r="R1027" s="187"/>
      <c r="S1027" s="187"/>
      <c r="T1027" s="85"/>
      <c r="U1027" s="189"/>
      <c r="V1027" s="189"/>
      <c r="W1027" s="189"/>
      <c r="X1027" s="189"/>
      <c r="Y1027" s="100"/>
      <c r="AA1027" s="96"/>
      <c r="AB1027" s="96"/>
      <c r="AC1027" s="96"/>
      <c r="AD1027" s="97"/>
      <c r="AE1027" s="96"/>
      <c r="AF1027" s="98"/>
      <c r="AG1027" s="96"/>
      <c r="AH1027" s="96"/>
      <c r="AI1027" s="96"/>
      <c r="AJ1027" s="96"/>
      <c r="AK1027" s="96"/>
      <c r="AL1027" s="96"/>
      <c r="AM1027" s="96"/>
      <c r="AN1027" s="96"/>
      <c r="AO1027" s="96"/>
      <c r="AP1027" s="96"/>
    </row>
    <row r="1028" spans="2:42" ht="12.75">
      <c r="B1028" s="186"/>
      <c r="C1028" s="85"/>
      <c r="D1028" s="85"/>
      <c r="E1028" s="187"/>
      <c r="F1028" s="187"/>
      <c r="G1028" s="187"/>
      <c r="H1028" s="187"/>
      <c r="I1028" s="92"/>
      <c r="J1028" s="92"/>
      <c r="K1028" s="187"/>
      <c r="L1028" s="187"/>
      <c r="M1028" s="187"/>
      <c r="N1028" s="187"/>
      <c r="O1028" s="92"/>
      <c r="P1028" s="187"/>
      <c r="Q1028" s="187"/>
      <c r="R1028" s="187"/>
      <c r="S1028" s="187"/>
      <c r="T1028" s="85"/>
      <c r="U1028" s="189"/>
      <c r="V1028" s="189"/>
      <c r="W1028" s="189"/>
      <c r="X1028" s="189"/>
      <c r="Y1028" s="100"/>
      <c r="AA1028" s="96"/>
      <c r="AB1028" s="96"/>
      <c r="AC1028" s="96"/>
      <c r="AD1028" s="97"/>
      <c r="AE1028" s="96"/>
      <c r="AF1028" s="98"/>
      <c r="AG1028" s="96"/>
      <c r="AH1028" s="96"/>
      <c r="AI1028" s="96"/>
      <c r="AJ1028" s="96"/>
      <c r="AK1028" s="96"/>
      <c r="AL1028" s="96"/>
      <c r="AM1028" s="96"/>
      <c r="AN1028" s="96"/>
      <c r="AO1028" s="96"/>
      <c r="AP1028" s="96"/>
    </row>
    <row r="1029" spans="2:42" ht="12.75">
      <c r="B1029" s="186"/>
      <c r="C1029" s="85"/>
      <c r="D1029" s="85"/>
      <c r="E1029" s="187"/>
      <c r="F1029" s="187"/>
      <c r="G1029" s="187"/>
      <c r="H1029" s="187"/>
      <c r="I1029" s="92"/>
      <c r="J1029" s="92"/>
      <c r="K1029" s="187"/>
      <c r="L1029" s="187"/>
      <c r="M1029" s="187"/>
      <c r="N1029" s="187"/>
      <c r="O1029" s="92"/>
      <c r="P1029" s="187"/>
      <c r="Q1029" s="187"/>
      <c r="R1029" s="187"/>
      <c r="S1029" s="187"/>
      <c r="T1029" s="85"/>
      <c r="U1029" s="189"/>
      <c r="V1029" s="189"/>
      <c r="W1029" s="189"/>
      <c r="X1029" s="189"/>
      <c r="Y1029" s="100"/>
      <c r="AA1029" s="96"/>
      <c r="AB1029" s="96"/>
      <c r="AC1029" s="96"/>
      <c r="AD1029" s="97"/>
      <c r="AE1029" s="96"/>
      <c r="AF1029" s="98"/>
      <c r="AG1029" s="96"/>
      <c r="AH1029" s="96"/>
      <c r="AI1029" s="96"/>
      <c r="AJ1029" s="96"/>
      <c r="AK1029" s="96"/>
      <c r="AL1029" s="96"/>
      <c r="AM1029" s="96"/>
      <c r="AN1029" s="96"/>
      <c r="AO1029" s="96"/>
      <c r="AP1029" s="96"/>
    </row>
    <row r="1030" spans="2:42" ht="12.75">
      <c r="B1030" s="186"/>
      <c r="C1030" s="85"/>
      <c r="D1030" s="85"/>
      <c r="E1030" s="187"/>
      <c r="F1030" s="187"/>
      <c r="G1030" s="187"/>
      <c r="H1030" s="187"/>
      <c r="I1030" s="92"/>
      <c r="J1030" s="92"/>
      <c r="K1030" s="187"/>
      <c r="L1030" s="187"/>
      <c r="M1030" s="187"/>
      <c r="N1030" s="187"/>
      <c r="O1030" s="92"/>
      <c r="P1030" s="187"/>
      <c r="Q1030" s="187"/>
      <c r="R1030" s="187"/>
      <c r="S1030" s="187"/>
      <c r="T1030" s="85"/>
      <c r="U1030" s="189"/>
      <c r="V1030" s="189"/>
      <c r="W1030" s="189"/>
      <c r="X1030" s="189"/>
      <c r="Y1030" s="100"/>
      <c r="AA1030" s="96"/>
      <c r="AB1030" s="96"/>
      <c r="AC1030" s="96"/>
      <c r="AD1030" s="97"/>
      <c r="AE1030" s="96"/>
      <c r="AF1030" s="98"/>
      <c r="AG1030" s="96"/>
      <c r="AH1030" s="96"/>
      <c r="AI1030" s="96"/>
      <c r="AJ1030" s="96"/>
      <c r="AK1030" s="96"/>
      <c r="AL1030" s="96"/>
      <c r="AM1030" s="96"/>
      <c r="AN1030" s="96"/>
      <c r="AO1030" s="96"/>
      <c r="AP1030" s="96"/>
    </row>
    <row r="1031" spans="2:42" ht="12.75">
      <c r="B1031" s="186"/>
      <c r="C1031" s="85"/>
      <c r="D1031" s="85"/>
      <c r="E1031" s="187"/>
      <c r="F1031" s="187"/>
      <c r="G1031" s="187"/>
      <c r="H1031" s="187"/>
      <c r="I1031" s="92"/>
      <c r="J1031" s="92"/>
      <c r="K1031" s="187"/>
      <c r="L1031" s="187"/>
      <c r="M1031" s="187"/>
      <c r="N1031" s="187"/>
      <c r="O1031" s="92"/>
      <c r="P1031" s="187"/>
      <c r="Q1031" s="187"/>
      <c r="R1031" s="187"/>
      <c r="S1031" s="187"/>
      <c r="T1031" s="85"/>
      <c r="U1031" s="189"/>
      <c r="V1031" s="189"/>
      <c r="W1031" s="189"/>
      <c r="X1031" s="189"/>
      <c r="Y1031" s="100"/>
      <c r="AA1031" s="96"/>
      <c r="AB1031" s="96"/>
      <c r="AC1031" s="96"/>
      <c r="AD1031" s="97"/>
      <c r="AE1031" s="96"/>
      <c r="AF1031" s="98"/>
      <c r="AG1031" s="96"/>
      <c r="AH1031" s="96"/>
      <c r="AI1031" s="96"/>
      <c r="AJ1031" s="96"/>
      <c r="AK1031" s="96"/>
      <c r="AL1031" s="96"/>
      <c r="AM1031" s="96"/>
      <c r="AN1031" s="96"/>
      <c r="AO1031" s="96"/>
      <c r="AP1031" s="96"/>
    </row>
    <row r="1032" spans="2:42" ht="12.75">
      <c r="B1032" s="186"/>
      <c r="C1032" s="85"/>
      <c r="D1032" s="85"/>
      <c r="E1032" s="187"/>
      <c r="F1032" s="187"/>
      <c r="G1032" s="187"/>
      <c r="H1032" s="187"/>
      <c r="I1032" s="92"/>
      <c r="J1032" s="92"/>
      <c r="K1032" s="187"/>
      <c r="L1032" s="187"/>
      <c r="M1032" s="187"/>
      <c r="N1032" s="187"/>
      <c r="O1032" s="92"/>
      <c r="P1032" s="187"/>
      <c r="Q1032" s="187"/>
      <c r="R1032" s="187"/>
      <c r="S1032" s="187"/>
      <c r="T1032" s="85"/>
      <c r="U1032" s="189"/>
      <c r="V1032" s="189"/>
      <c r="W1032" s="189"/>
      <c r="X1032" s="189"/>
      <c r="Y1032" s="100"/>
      <c r="AA1032" s="96"/>
      <c r="AB1032" s="96"/>
      <c r="AC1032" s="96"/>
      <c r="AD1032" s="97"/>
      <c r="AE1032" s="96"/>
      <c r="AF1032" s="98"/>
      <c r="AG1032" s="96"/>
      <c r="AH1032" s="96"/>
      <c r="AI1032" s="96"/>
      <c r="AJ1032" s="96"/>
      <c r="AK1032" s="96"/>
      <c r="AL1032" s="96"/>
      <c r="AM1032" s="96"/>
      <c r="AN1032" s="96"/>
      <c r="AO1032" s="96"/>
      <c r="AP1032" s="96"/>
    </row>
    <row r="1033" spans="2:42" ht="12.75">
      <c r="B1033" s="186"/>
      <c r="C1033" s="85"/>
      <c r="D1033" s="85"/>
      <c r="E1033" s="187"/>
      <c r="F1033" s="187"/>
      <c r="G1033" s="187"/>
      <c r="H1033" s="187"/>
      <c r="I1033" s="92"/>
      <c r="J1033" s="92"/>
      <c r="K1033" s="187"/>
      <c r="L1033" s="187"/>
      <c r="M1033" s="187"/>
      <c r="N1033" s="187"/>
      <c r="O1033" s="92"/>
      <c r="P1033" s="187"/>
      <c r="Q1033" s="187"/>
      <c r="R1033" s="187"/>
      <c r="S1033" s="187"/>
      <c r="T1033" s="85"/>
      <c r="U1033" s="189"/>
      <c r="V1033" s="189"/>
      <c r="W1033" s="189"/>
      <c r="X1033" s="189"/>
      <c r="Y1033" s="100"/>
      <c r="AA1033" s="96"/>
      <c r="AB1033" s="96"/>
      <c r="AC1033" s="96"/>
      <c r="AD1033" s="97"/>
      <c r="AE1033" s="96"/>
      <c r="AF1033" s="98"/>
      <c r="AG1033" s="96"/>
      <c r="AH1033" s="96"/>
      <c r="AI1033" s="96"/>
      <c r="AJ1033" s="96"/>
      <c r="AK1033" s="96"/>
      <c r="AL1033" s="96"/>
      <c r="AM1033" s="96"/>
      <c r="AN1033" s="96"/>
      <c r="AO1033" s="96"/>
      <c r="AP1033" s="96"/>
    </row>
    <row r="1034" spans="2:42" ht="12.75">
      <c r="B1034" s="186"/>
      <c r="C1034" s="85"/>
      <c r="D1034" s="85"/>
      <c r="E1034" s="187"/>
      <c r="F1034" s="187"/>
      <c r="G1034" s="187"/>
      <c r="H1034" s="187"/>
      <c r="I1034" s="92"/>
      <c r="J1034" s="92"/>
      <c r="K1034" s="187"/>
      <c r="L1034" s="187"/>
      <c r="M1034" s="187"/>
      <c r="N1034" s="187"/>
      <c r="O1034" s="92"/>
      <c r="P1034" s="187"/>
      <c r="Q1034" s="187"/>
      <c r="R1034" s="187"/>
      <c r="S1034" s="187"/>
      <c r="T1034" s="85"/>
      <c r="U1034" s="189"/>
      <c r="V1034" s="189"/>
      <c r="W1034" s="189"/>
      <c r="X1034" s="189"/>
      <c r="Y1034" s="100"/>
      <c r="AA1034" s="96"/>
      <c r="AB1034" s="96"/>
      <c r="AC1034" s="96"/>
      <c r="AD1034" s="97"/>
      <c r="AE1034" s="96"/>
      <c r="AF1034" s="98"/>
      <c r="AG1034" s="96"/>
      <c r="AH1034" s="96"/>
      <c r="AI1034" s="96"/>
      <c r="AJ1034" s="96"/>
      <c r="AK1034" s="96"/>
      <c r="AL1034" s="96"/>
      <c r="AM1034" s="96"/>
      <c r="AN1034" s="96"/>
      <c r="AO1034" s="96"/>
      <c r="AP1034" s="96"/>
    </row>
    <row r="1035" spans="2:42" ht="12.75">
      <c r="B1035" s="186"/>
      <c r="C1035" s="85"/>
      <c r="D1035" s="85"/>
      <c r="E1035" s="187"/>
      <c r="F1035" s="187"/>
      <c r="G1035" s="187"/>
      <c r="H1035" s="187"/>
      <c r="I1035" s="92"/>
      <c r="J1035" s="92"/>
      <c r="K1035" s="187"/>
      <c r="L1035" s="187"/>
      <c r="M1035" s="187"/>
      <c r="N1035" s="187"/>
      <c r="O1035" s="92"/>
      <c r="P1035" s="187"/>
      <c r="Q1035" s="187"/>
      <c r="R1035" s="187"/>
      <c r="S1035" s="187"/>
      <c r="T1035" s="85"/>
      <c r="U1035" s="189"/>
      <c r="V1035" s="189"/>
      <c r="W1035" s="189"/>
      <c r="X1035" s="189"/>
      <c r="Y1035" s="100"/>
      <c r="AA1035" s="96"/>
      <c r="AB1035" s="96"/>
      <c r="AC1035" s="96"/>
      <c r="AD1035" s="97"/>
      <c r="AE1035" s="96"/>
      <c r="AF1035" s="98"/>
      <c r="AG1035" s="96"/>
      <c r="AH1035" s="96"/>
      <c r="AI1035" s="96"/>
      <c r="AJ1035" s="96"/>
      <c r="AK1035" s="96"/>
      <c r="AL1035" s="96"/>
      <c r="AM1035" s="96"/>
      <c r="AN1035" s="96"/>
      <c r="AO1035" s="96"/>
      <c r="AP1035" s="96"/>
    </row>
    <row r="1036" spans="2:42" ht="12.75">
      <c r="B1036" s="186"/>
      <c r="C1036" s="85"/>
      <c r="D1036" s="85"/>
      <c r="E1036" s="187"/>
      <c r="F1036" s="187"/>
      <c r="G1036" s="187"/>
      <c r="H1036" s="187"/>
      <c r="I1036" s="92"/>
      <c r="J1036" s="92"/>
      <c r="K1036" s="187"/>
      <c r="L1036" s="187"/>
      <c r="M1036" s="187"/>
      <c r="N1036" s="187"/>
      <c r="O1036" s="92"/>
      <c r="P1036" s="187"/>
      <c r="Q1036" s="187"/>
      <c r="R1036" s="187"/>
      <c r="S1036" s="187"/>
      <c r="T1036" s="85"/>
      <c r="U1036" s="189"/>
      <c r="V1036" s="189"/>
      <c r="W1036" s="189"/>
      <c r="X1036" s="189"/>
      <c r="Y1036" s="100"/>
      <c r="AA1036" s="96"/>
      <c r="AB1036" s="96"/>
      <c r="AC1036" s="96"/>
      <c r="AD1036" s="97"/>
      <c r="AE1036" s="96"/>
      <c r="AF1036" s="98"/>
      <c r="AG1036" s="96"/>
      <c r="AH1036" s="96"/>
      <c r="AI1036" s="96"/>
      <c r="AJ1036" s="96"/>
      <c r="AK1036" s="96"/>
      <c r="AL1036" s="96"/>
      <c r="AM1036" s="96"/>
      <c r="AN1036" s="96"/>
      <c r="AO1036" s="96"/>
      <c r="AP1036" s="96"/>
    </row>
    <row r="1037" spans="2:42" ht="12.75">
      <c r="B1037" s="186"/>
      <c r="C1037" s="85"/>
      <c r="D1037" s="85"/>
      <c r="E1037" s="187"/>
      <c r="F1037" s="187"/>
      <c r="G1037" s="187"/>
      <c r="H1037" s="187"/>
      <c r="I1037" s="92"/>
      <c r="J1037" s="92"/>
      <c r="K1037" s="187"/>
      <c r="L1037" s="187"/>
      <c r="M1037" s="187"/>
      <c r="N1037" s="187"/>
      <c r="O1037" s="92"/>
      <c r="P1037" s="187"/>
      <c r="Q1037" s="187"/>
      <c r="R1037" s="187"/>
      <c r="S1037" s="187"/>
      <c r="T1037" s="85"/>
      <c r="U1037" s="189"/>
      <c r="V1037" s="189"/>
      <c r="W1037" s="189"/>
      <c r="X1037" s="189"/>
      <c r="Y1037" s="100"/>
      <c r="AA1037" s="96"/>
      <c r="AB1037" s="96"/>
      <c r="AC1037" s="96"/>
      <c r="AD1037" s="97"/>
      <c r="AE1037" s="96"/>
      <c r="AF1037" s="98"/>
      <c r="AG1037" s="96"/>
      <c r="AH1037" s="96"/>
      <c r="AI1037" s="96"/>
      <c r="AJ1037" s="96"/>
      <c r="AK1037" s="96"/>
      <c r="AL1037" s="96"/>
      <c r="AM1037" s="96"/>
      <c r="AN1037" s="96"/>
      <c r="AO1037" s="96"/>
      <c r="AP1037" s="96"/>
    </row>
    <row r="1038" spans="2:42" ht="12.75">
      <c r="B1038" s="186"/>
      <c r="C1038" s="85"/>
      <c r="D1038" s="85"/>
      <c r="E1038" s="187"/>
      <c r="F1038" s="187"/>
      <c r="G1038" s="187"/>
      <c r="H1038" s="187"/>
      <c r="I1038" s="92"/>
      <c r="J1038" s="92"/>
      <c r="K1038" s="187"/>
      <c r="L1038" s="187"/>
      <c r="M1038" s="187"/>
      <c r="N1038" s="187"/>
      <c r="O1038" s="92"/>
      <c r="P1038" s="187"/>
      <c r="Q1038" s="187"/>
      <c r="R1038" s="187"/>
      <c r="S1038" s="187"/>
      <c r="T1038" s="85"/>
      <c r="U1038" s="189"/>
      <c r="V1038" s="189"/>
      <c r="W1038" s="189"/>
      <c r="X1038" s="189"/>
      <c r="Y1038" s="100"/>
      <c r="AA1038" s="96"/>
      <c r="AB1038" s="96"/>
      <c r="AC1038" s="96"/>
      <c r="AD1038" s="97"/>
      <c r="AE1038" s="96"/>
      <c r="AF1038" s="98"/>
      <c r="AG1038" s="96"/>
      <c r="AH1038" s="96"/>
      <c r="AI1038" s="96"/>
      <c r="AJ1038" s="96"/>
      <c r="AK1038" s="96"/>
      <c r="AL1038" s="96"/>
      <c r="AM1038" s="96"/>
      <c r="AN1038" s="96"/>
      <c r="AO1038" s="96"/>
      <c r="AP1038" s="96"/>
    </row>
    <row r="1039" spans="2:42" ht="12.75">
      <c r="B1039" s="186"/>
      <c r="C1039" s="85"/>
      <c r="D1039" s="85"/>
      <c r="E1039" s="187"/>
      <c r="F1039" s="187"/>
      <c r="G1039" s="187"/>
      <c r="H1039" s="187"/>
      <c r="I1039" s="92"/>
      <c r="J1039" s="92"/>
      <c r="K1039" s="187"/>
      <c r="L1039" s="187"/>
      <c r="M1039" s="187"/>
      <c r="N1039" s="187"/>
      <c r="O1039" s="92"/>
      <c r="P1039" s="187"/>
      <c r="Q1039" s="187"/>
      <c r="R1039" s="187"/>
      <c r="S1039" s="187"/>
      <c r="T1039" s="85"/>
      <c r="U1039" s="189"/>
      <c r="V1039" s="189"/>
      <c r="W1039" s="189"/>
      <c r="X1039" s="189"/>
      <c r="Y1039" s="100"/>
      <c r="AA1039" s="96"/>
      <c r="AB1039" s="96"/>
      <c r="AC1039" s="96"/>
      <c r="AD1039" s="97"/>
      <c r="AE1039" s="96"/>
      <c r="AF1039" s="98"/>
      <c r="AG1039" s="96"/>
      <c r="AH1039" s="96"/>
      <c r="AI1039" s="96"/>
      <c r="AJ1039" s="96"/>
      <c r="AK1039" s="96"/>
      <c r="AL1039" s="96"/>
      <c r="AM1039" s="96"/>
      <c r="AN1039" s="96"/>
      <c r="AO1039" s="96"/>
      <c r="AP1039" s="96"/>
    </row>
    <row r="1040" spans="2:42" ht="12.75">
      <c r="B1040" s="186"/>
      <c r="C1040" s="85"/>
      <c r="D1040" s="85"/>
      <c r="E1040" s="187"/>
      <c r="F1040" s="187"/>
      <c r="G1040" s="187"/>
      <c r="H1040" s="187"/>
      <c r="I1040" s="92"/>
      <c r="J1040" s="92"/>
      <c r="K1040" s="187"/>
      <c r="L1040" s="187"/>
      <c r="M1040" s="187"/>
      <c r="N1040" s="187"/>
      <c r="O1040" s="92"/>
      <c r="P1040" s="187"/>
      <c r="Q1040" s="187"/>
      <c r="R1040" s="187"/>
      <c r="S1040" s="187"/>
      <c r="T1040" s="85"/>
      <c r="U1040" s="189"/>
      <c r="V1040" s="189"/>
      <c r="W1040" s="189"/>
      <c r="X1040" s="189"/>
      <c r="Y1040" s="100"/>
      <c r="AA1040" s="96"/>
      <c r="AB1040" s="96"/>
      <c r="AC1040" s="96"/>
      <c r="AD1040" s="97"/>
      <c r="AE1040" s="96"/>
      <c r="AF1040" s="98"/>
      <c r="AG1040" s="96"/>
      <c r="AH1040" s="96"/>
      <c r="AI1040" s="96"/>
      <c r="AJ1040" s="96"/>
      <c r="AK1040" s="96"/>
      <c r="AL1040" s="96"/>
      <c r="AM1040" s="96"/>
      <c r="AN1040" s="96"/>
      <c r="AO1040" s="96"/>
      <c r="AP1040" s="96"/>
    </row>
    <row r="1041" spans="2:42" ht="12.75">
      <c r="B1041" s="186"/>
      <c r="C1041" s="85"/>
      <c r="D1041" s="85"/>
      <c r="E1041" s="187"/>
      <c r="F1041" s="187"/>
      <c r="G1041" s="187"/>
      <c r="H1041" s="187"/>
      <c r="I1041" s="92"/>
      <c r="J1041" s="92"/>
      <c r="K1041" s="187"/>
      <c r="L1041" s="187"/>
      <c r="M1041" s="187"/>
      <c r="N1041" s="187"/>
      <c r="O1041" s="92"/>
      <c r="P1041" s="187"/>
      <c r="Q1041" s="187"/>
      <c r="R1041" s="187"/>
      <c r="S1041" s="187"/>
      <c r="T1041" s="85"/>
      <c r="U1041" s="189"/>
      <c r="V1041" s="189"/>
      <c r="W1041" s="189"/>
      <c r="X1041" s="189"/>
      <c r="Y1041" s="100"/>
      <c r="AA1041" s="96"/>
      <c r="AB1041" s="96"/>
      <c r="AC1041" s="96"/>
      <c r="AD1041" s="97"/>
      <c r="AE1041" s="96"/>
      <c r="AF1041" s="98"/>
      <c r="AG1041" s="96"/>
      <c r="AH1041" s="96"/>
      <c r="AI1041" s="96"/>
      <c r="AJ1041" s="96"/>
      <c r="AK1041" s="96"/>
      <c r="AL1041" s="96"/>
      <c r="AM1041" s="96"/>
      <c r="AN1041" s="96"/>
      <c r="AO1041" s="96"/>
      <c r="AP1041" s="96"/>
    </row>
    <row r="1042" spans="2:42" ht="12.75">
      <c r="B1042" s="186"/>
      <c r="C1042" s="85"/>
      <c r="D1042" s="85"/>
      <c r="E1042" s="187"/>
      <c r="F1042" s="187"/>
      <c r="G1042" s="187"/>
      <c r="H1042" s="187"/>
      <c r="I1042" s="92"/>
      <c r="J1042" s="92"/>
      <c r="K1042" s="187"/>
      <c r="L1042" s="187"/>
      <c r="M1042" s="187"/>
      <c r="N1042" s="187"/>
      <c r="O1042" s="92"/>
      <c r="P1042" s="187"/>
      <c r="Q1042" s="187"/>
      <c r="R1042" s="187"/>
      <c r="S1042" s="187"/>
      <c r="T1042" s="85"/>
      <c r="U1042" s="189"/>
      <c r="V1042" s="189"/>
      <c r="W1042" s="189"/>
      <c r="X1042" s="189"/>
      <c r="Y1042" s="100"/>
      <c r="AA1042" s="96"/>
      <c r="AB1042" s="96"/>
      <c r="AC1042" s="96"/>
      <c r="AD1042" s="97"/>
      <c r="AE1042" s="96"/>
      <c r="AF1042" s="98"/>
      <c r="AG1042" s="96"/>
      <c r="AH1042" s="96"/>
      <c r="AI1042" s="96"/>
      <c r="AJ1042" s="96"/>
      <c r="AK1042" s="96"/>
      <c r="AL1042" s="96"/>
      <c r="AM1042" s="96"/>
      <c r="AN1042" s="96"/>
      <c r="AO1042" s="96"/>
      <c r="AP1042" s="96"/>
    </row>
    <row r="1043" spans="2:42" ht="12.75">
      <c r="B1043" s="186"/>
      <c r="C1043" s="85"/>
      <c r="D1043" s="85"/>
      <c r="E1043" s="187"/>
      <c r="F1043" s="187"/>
      <c r="G1043" s="187"/>
      <c r="H1043" s="187"/>
      <c r="I1043" s="92"/>
      <c r="J1043" s="92"/>
      <c r="K1043" s="187"/>
      <c r="L1043" s="187"/>
      <c r="M1043" s="187"/>
      <c r="N1043" s="187"/>
      <c r="O1043" s="92"/>
      <c r="P1043" s="187"/>
      <c r="Q1043" s="187"/>
      <c r="R1043" s="187"/>
      <c r="S1043" s="187"/>
      <c r="T1043" s="85"/>
      <c r="U1043" s="189"/>
      <c r="V1043" s="189"/>
      <c r="W1043" s="189"/>
      <c r="X1043" s="189"/>
      <c r="Y1043" s="100"/>
      <c r="AA1043" s="96"/>
      <c r="AB1043" s="96"/>
      <c r="AC1043" s="96"/>
      <c r="AD1043" s="97"/>
      <c r="AE1043" s="96"/>
      <c r="AF1043" s="98"/>
      <c r="AG1043" s="96"/>
      <c r="AH1043" s="96"/>
      <c r="AI1043" s="96"/>
      <c r="AJ1043" s="96"/>
      <c r="AK1043" s="96"/>
      <c r="AL1043" s="96"/>
      <c r="AM1043" s="96"/>
      <c r="AN1043" s="96"/>
      <c r="AO1043" s="96"/>
      <c r="AP1043" s="96"/>
    </row>
    <row r="1044" spans="2:42" ht="12.75">
      <c r="B1044" s="186"/>
      <c r="C1044" s="85"/>
      <c r="D1044" s="85"/>
      <c r="E1044" s="187"/>
      <c r="F1044" s="187"/>
      <c r="G1044" s="187"/>
      <c r="H1044" s="187"/>
      <c r="I1044" s="92"/>
      <c r="J1044" s="92"/>
      <c r="K1044" s="187"/>
      <c r="L1044" s="187"/>
      <c r="M1044" s="187"/>
      <c r="N1044" s="187"/>
      <c r="O1044" s="92"/>
      <c r="P1044" s="187"/>
      <c r="Q1044" s="187"/>
      <c r="R1044" s="187"/>
      <c r="S1044" s="187"/>
      <c r="T1044" s="85"/>
      <c r="U1044" s="189"/>
      <c r="V1044" s="189"/>
      <c r="W1044" s="189"/>
      <c r="X1044" s="189"/>
      <c r="Y1044" s="100"/>
      <c r="AA1044" s="96"/>
      <c r="AB1044" s="96"/>
      <c r="AC1044" s="96"/>
      <c r="AD1044" s="97"/>
      <c r="AE1044" s="96"/>
      <c r="AF1044" s="98"/>
      <c r="AG1044" s="96"/>
      <c r="AH1044" s="96"/>
      <c r="AI1044" s="96"/>
      <c r="AJ1044" s="96"/>
      <c r="AK1044" s="96"/>
      <c r="AL1044" s="96"/>
      <c r="AM1044" s="96"/>
      <c r="AN1044" s="96"/>
      <c r="AO1044" s="96"/>
      <c r="AP1044" s="96"/>
    </row>
    <row r="1045" spans="2:42" ht="12.75">
      <c r="B1045" s="186"/>
      <c r="C1045" s="85"/>
      <c r="D1045" s="85"/>
      <c r="E1045" s="187"/>
      <c r="F1045" s="187"/>
      <c r="G1045" s="187"/>
      <c r="H1045" s="187"/>
      <c r="I1045" s="92"/>
      <c r="J1045" s="92"/>
      <c r="K1045" s="187"/>
      <c r="L1045" s="187"/>
      <c r="M1045" s="187"/>
      <c r="N1045" s="187"/>
      <c r="O1045" s="92"/>
      <c r="P1045" s="187"/>
      <c r="Q1045" s="187"/>
      <c r="R1045" s="187"/>
      <c r="S1045" s="187"/>
      <c r="T1045" s="85"/>
      <c r="U1045" s="189"/>
      <c r="V1045" s="189"/>
      <c r="W1045" s="189"/>
      <c r="X1045" s="189"/>
      <c r="Y1045" s="100"/>
      <c r="AA1045" s="96"/>
      <c r="AB1045" s="96"/>
      <c r="AC1045" s="96"/>
      <c r="AD1045" s="97"/>
      <c r="AE1045" s="96"/>
      <c r="AF1045" s="98"/>
      <c r="AG1045" s="96"/>
      <c r="AH1045" s="96"/>
      <c r="AI1045" s="96"/>
      <c r="AJ1045" s="96"/>
      <c r="AK1045" s="96"/>
      <c r="AL1045" s="96"/>
      <c r="AM1045" s="96"/>
      <c r="AN1045" s="96"/>
      <c r="AO1045" s="96"/>
      <c r="AP1045" s="96"/>
    </row>
    <row r="1046" spans="2:42" ht="12.75">
      <c r="B1046" s="186"/>
      <c r="C1046" s="85"/>
      <c r="D1046" s="85"/>
      <c r="E1046" s="187"/>
      <c r="F1046" s="187"/>
      <c r="G1046" s="187"/>
      <c r="H1046" s="187"/>
      <c r="I1046" s="92"/>
      <c r="J1046" s="92"/>
      <c r="K1046" s="187"/>
      <c r="L1046" s="187"/>
      <c r="M1046" s="187"/>
      <c r="N1046" s="187"/>
      <c r="O1046" s="92"/>
      <c r="P1046" s="187"/>
      <c r="Q1046" s="187"/>
      <c r="R1046" s="187"/>
      <c r="S1046" s="187"/>
      <c r="T1046" s="85"/>
      <c r="U1046" s="189"/>
      <c r="V1046" s="189"/>
      <c r="W1046" s="189"/>
      <c r="X1046" s="189"/>
      <c r="Y1046" s="100"/>
      <c r="AA1046" s="96"/>
      <c r="AB1046" s="96"/>
      <c r="AC1046" s="96"/>
      <c r="AD1046" s="97"/>
      <c r="AE1046" s="96"/>
      <c r="AF1046" s="98"/>
      <c r="AG1046" s="96"/>
      <c r="AH1046" s="96"/>
      <c r="AI1046" s="96"/>
      <c r="AJ1046" s="96"/>
      <c r="AK1046" s="96"/>
      <c r="AL1046" s="96"/>
      <c r="AM1046" s="96"/>
      <c r="AN1046" s="96"/>
      <c r="AO1046" s="96"/>
      <c r="AP1046" s="96"/>
    </row>
    <row r="1047" spans="2:42" ht="12.75">
      <c r="B1047" s="186"/>
      <c r="C1047" s="85"/>
      <c r="D1047" s="85"/>
      <c r="E1047" s="187"/>
      <c r="F1047" s="187"/>
      <c r="G1047" s="187"/>
      <c r="H1047" s="187"/>
      <c r="I1047" s="92"/>
      <c r="J1047" s="92"/>
      <c r="K1047" s="187"/>
      <c r="L1047" s="187"/>
      <c r="M1047" s="187"/>
      <c r="N1047" s="187"/>
      <c r="O1047" s="92"/>
      <c r="P1047" s="187"/>
      <c r="Q1047" s="187"/>
      <c r="R1047" s="187"/>
      <c r="S1047" s="187"/>
      <c r="T1047" s="85"/>
      <c r="U1047" s="189"/>
      <c r="V1047" s="189"/>
      <c r="W1047" s="189"/>
      <c r="X1047" s="189"/>
      <c r="Y1047" s="100"/>
      <c r="AA1047" s="96"/>
      <c r="AB1047" s="96"/>
      <c r="AC1047" s="96"/>
      <c r="AD1047" s="97"/>
      <c r="AE1047" s="96"/>
      <c r="AF1047" s="98"/>
      <c r="AG1047" s="96"/>
      <c r="AH1047" s="96"/>
      <c r="AI1047" s="96"/>
      <c r="AJ1047" s="96"/>
      <c r="AK1047" s="96"/>
      <c r="AL1047" s="96"/>
      <c r="AM1047" s="96"/>
      <c r="AN1047" s="96"/>
      <c r="AO1047" s="96"/>
      <c r="AP1047" s="96"/>
    </row>
    <row r="1048" spans="2:42" ht="12.75">
      <c r="B1048" s="186"/>
      <c r="C1048" s="85"/>
      <c r="D1048" s="85"/>
      <c r="E1048" s="187"/>
      <c r="F1048" s="187"/>
      <c r="G1048" s="187"/>
      <c r="H1048" s="187"/>
      <c r="I1048" s="92"/>
      <c r="J1048" s="92"/>
      <c r="K1048" s="187"/>
      <c r="L1048" s="187"/>
      <c r="M1048" s="187"/>
      <c r="N1048" s="187"/>
      <c r="O1048" s="92"/>
      <c r="P1048" s="187"/>
      <c r="Q1048" s="187"/>
      <c r="R1048" s="187"/>
      <c r="S1048" s="187"/>
      <c r="T1048" s="85"/>
      <c r="U1048" s="189"/>
      <c r="V1048" s="189"/>
      <c r="W1048" s="189"/>
      <c r="X1048" s="189"/>
      <c r="Y1048" s="100"/>
      <c r="AA1048" s="96"/>
      <c r="AB1048" s="96"/>
      <c r="AC1048" s="96"/>
      <c r="AD1048" s="97"/>
      <c r="AE1048" s="96"/>
      <c r="AF1048" s="98"/>
      <c r="AG1048" s="96"/>
      <c r="AH1048" s="96"/>
      <c r="AI1048" s="96"/>
      <c r="AJ1048" s="96"/>
      <c r="AK1048" s="96"/>
      <c r="AL1048" s="96"/>
      <c r="AM1048" s="96"/>
      <c r="AN1048" s="96"/>
      <c r="AO1048" s="96"/>
      <c r="AP1048" s="96"/>
    </row>
    <row r="1049" spans="2:42" ht="12.75">
      <c r="B1049" s="186"/>
      <c r="C1049" s="85"/>
      <c r="D1049" s="85"/>
      <c r="E1049" s="187"/>
      <c r="F1049" s="187"/>
      <c r="G1049" s="187"/>
      <c r="H1049" s="187"/>
      <c r="I1049" s="92"/>
      <c r="J1049" s="92"/>
      <c r="K1049" s="187"/>
      <c r="L1049" s="187"/>
      <c r="M1049" s="187"/>
      <c r="N1049" s="187"/>
      <c r="O1049" s="92"/>
      <c r="P1049" s="187"/>
      <c r="Q1049" s="187"/>
      <c r="R1049" s="187"/>
      <c r="S1049" s="187"/>
      <c r="T1049" s="85"/>
      <c r="U1049" s="189"/>
      <c r="V1049" s="189"/>
      <c r="W1049" s="189"/>
      <c r="X1049" s="189"/>
      <c r="Y1049" s="100"/>
      <c r="AA1049" s="96"/>
      <c r="AB1049" s="96"/>
      <c r="AC1049" s="96"/>
      <c r="AD1049" s="97"/>
      <c r="AE1049" s="96"/>
      <c r="AF1049" s="98"/>
      <c r="AG1049" s="96"/>
      <c r="AH1049" s="96"/>
      <c r="AI1049" s="96"/>
      <c r="AJ1049" s="96"/>
      <c r="AK1049" s="96"/>
      <c r="AL1049" s="96"/>
      <c r="AM1049" s="96"/>
      <c r="AN1049" s="96"/>
      <c r="AO1049" s="96"/>
      <c r="AP1049" s="96"/>
    </row>
    <row r="1050" spans="2:42" ht="12.75">
      <c r="B1050" s="186"/>
      <c r="C1050" s="85"/>
      <c r="D1050" s="85"/>
      <c r="E1050" s="187"/>
      <c r="F1050" s="187"/>
      <c r="G1050" s="187"/>
      <c r="H1050" s="187"/>
      <c r="I1050" s="92"/>
      <c r="J1050" s="92"/>
      <c r="K1050" s="187"/>
      <c r="L1050" s="187"/>
      <c r="M1050" s="187"/>
      <c r="N1050" s="187"/>
      <c r="O1050" s="92"/>
      <c r="P1050" s="187"/>
      <c r="Q1050" s="187"/>
      <c r="R1050" s="187"/>
      <c r="S1050" s="187"/>
      <c r="T1050" s="85"/>
      <c r="U1050" s="189"/>
      <c r="V1050" s="189"/>
      <c r="W1050" s="189"/>
      <c r="X1050" s="189"/>
      <c r="Y1050" s="100"/>
      <c r="AA1050" s="96"/>
      <c r="AB1050" s="96"/>
      <c r="AC1050" s="96"/>
      <c r="AD1050" s="97"/>
      <c r="AE1050" s="96"/>
      <c r="AF1050" s="98"/>
      <c r="AG1050" s="96"/>
      <c r="AH1050" s="96"/>
      <c r="AI1050" s="96"/>
      <c r="AJ1050" s="96"/>
      <c r="AK1050" s="96"/>
      <c r="AL1050" s="96"/>
      <c r="AM1050" s="96"/>
      <c r="AN1050" s="96"/>
      <c r="AO1050" s="96"/>
      <c r="AP1050" s="96"/>
    </row>
    <row r="1051" spans="2:42" ht="12.75">
      <c r="B1051" s="186"/>
      <c r="C1051" s="85"/>
      <c r="D1051" s="85"/>
      <c r="E1051" s="187"/>
      <c r="F1051" s="187"/>
      <c r="G1051" s="187"/>
      <c r="H1051" s="187"/>
      <c r="I1051" s="92"/>
      <c r="J1051" s="92"/>
      <c r="K1051" s="187"/>
      <c r="L1051" s="187"/>
      <c r="M1051" s="187"/>
      <c r="N1051" s="187"/>
      <c r="O1051" s="92"/>
      <c r="P1051" s="187"/>
      <c r="Q1051" s="187"/>
      <c r="R1051" s="187"/>
      <c r="S1051" s="187"/>
      <c r="T1051" s="85"/>
      <c r="U1051" s="189"/>
      <c r="V1051" s="189"/>
      <c r="W1051" s="189"/>
      <c r="X1051" s="189"/>
      <c r="Y1051" s="100"/>
      <c r="AA1051" s="96"/>
      <c r="AB1051" s="96"/>
      <c r="AC1051" s="96"/>
      <c r="AD1051" s="97"/>
      <c r="AE1051" s="96"/>
      <c r="AF1051" s="98"/>
      <c r="AG1051" s="96"/>
      <c r="AH1051" s="96"/>
      <c r="AI1051" s="96"/>
      <c r="AJ1051" s="96"/>
      <c r="AK1051" s="96"/>
      <c r="AL1051" s="96"/>
      <c r="AM1051" s="96"/>
      <c r="AN1051" s="96"/>
      <c r="AO1051" s="96"/>
      <c r="AP1051" s="96"/>
    </row>
    <row r="1052" spans="2:42" ht="12.75">
      <c r="B1052" s="186"/>
      <c r="C1052" s="85"/>
      <c r="D1052" s="85"/>
      <c r="E1052" s="187"/>
      <c r="F1052" s="187"/>
      <c r="G1052" s="187"/>
      <c r="H1052" s="187"/>
      <c r="I1052" s="92"/>
      <c r="J1052" s="92"/>
      <c r="K1052" s="187"/>
      <c r="L1052" s="187"/>
      <c r="M1052" s="187"/>
      <c r="N1052" s="187"/>
      <c r="O1052" s="92"/>
      <c r="P1052" s="187"/>
      <c r="Q1052" s="187"/>
      <c r="R1052" s="187"/>
      <c r="S1052" s="187"/>
      <c r="T1052" s="85"/>
      <c r="U1052" s="189"/>
      <c r="V1052" s="189"/>
      <c r="W1052" s="189"/>
      <c r="X1052" s="189"/>
      <c r="Y1052" s="100"/>
      <c r="AA1052" s="96"/>
      <c r="AB1052" s="96"/>
      <c r="AC1052" s="96"/>
      <c r="AD1052" s="97"/>
      <c r="AE1052" s="96"/>
      <c r="AF1052" s="98"/>
      <c r="AG1052" s="96"/>
      <c r="AH1052" s="96"/>
      <c r="AI1052" s="96"/>
      <c r="AJ1052" s="96"/>
      <c r="AK1052" s="96"/>
      <c r="AL1052" s="96"/>
      <c r="AM1052" s="96"/>
      <c r="AN1052" s="96"/>
      <c r="AO1052" s="96"/>
      <c r="AP1052" s="96"/>
    </row>
    <row r="1053" spans="2:42" ht="12.75">
      <c r="B1053" s="186"/>
      <c r="C1053" s="85"/>
      <c r="D1053" s="85"/>
      <c r="E1053" s="187"/>
      <c r="F1053" s="187"/>
      <c r="G1053" s="187"/>
      <c r="H1053" s="187"/>
      <c r="I1053" s="92"/>
      <c r="J1053" s="92"/>
      <c r="K1053" s="187"/>
      <c r="L1053" s="187"/>
      <c r="M1053" s="187"/>
      <c r="N1053" s="187"/>
      <c r="O1053" s="92"/>
      <c r="P1053" s="187"/>
      <c r="Q1053" s="187"/>
      <c r="R1053" s="187"/>
      <c r="S1053" s="187"/>
      <c r="T1053" s="85"/>
      <c r="U1053" s="189"/>
      <c r="V1053" s="189"/>
      <c r="W1053" s="189"/>
      <c r="X1053" s="189"/>
      <c r="Y1053" s="100"/>
      <c r="AA1053" s="96"/>
      <c r="AB1053" s="96"/>
      <c r="AC1053" s="96"/>
      <c r="AD1053" s="97"/>
      <c r="AE1053" s="96"/>
      <c r="AF1053" s="98"/>
      <c r="AG1053" s="96"/>
      <c r="AH1053" s="96"/>
      <c r="AI1053" s="96"/>
      <c r="AJ1053" s="96"/>
      <c r="AK1053" s="96"/>
      <c r="AL1053" s="96"/>
      <c r="AM1053" s="96"/>
      <c r="AN1053" s="96"/>
      <c r="AO1053" s="96"/>
      <c r="AP1053" s="96"/>
    </row>
    <row r="1054" spans="2:42" ht="12.75">
      <c r="B1054" s="186"/>
      <c r="C1054" s="85"/>
      <c r="D1054" s="85"/>
      <c r="E1054" s="187"/>
      <c r="F1054" s="187"/>
      <c r="G1054" s="187"/>
      <c r="H1054" s="187"/>
      <c r="I1054" s="92"/>
      <c r="J1054" s="92"/>
      <c r="K1054" s="187"/>
      <c r="L1054" s="187"/>
      <c r="M1054" s="187"/>
      <c r="N1054" s="187"/>
      <c r="O1054" s="92"/>
      <c r="P1054" s="187"/>
      <c r="Q1054" s="187"/>
      <c r="R1054" s="187"/>
      <c r="S1054" s="187"/>
      <c r="T1054" s="85"/>
      <c r="U1054" s="189"/>
      <c r="V1054" s="189"/>
      <c r="W1054" s="189"/>
      <c r="X1054" s="189"/>
      <c r="Y1054" s="100"/>
      <c r="AA1054" s="96"/>
      <c r="AB1054" s="96"/>
      <c r="AC1054" s="96"/>
      <c r="AD1054" s="97"/>
      <c r="AE1054" s="96"/>
      <c r="AF1054" s="98"/>
      <c r="AG1054" s="96"/>
      <c r="AH1054" s="96"/>
      <c r="AI1054" s="96"/>
      <c r="AJ1054" s="96"/>
      <c r="AK1054" s="96"/>
      <c r="AL1054" s="96"/>
      <c r="AM1054" s="96"/>
      <c r="AN1054" s="96"/>
      <c r="AO1054" s="96"/>
      <c r="AP1054" s="96"/>
    </row>
    <row r="1055" spans="2:42" ht="12.75">
      <c r="B1055" s="186"/>
      <c r="C1055" s="85"/>
      <c r="D1055" s="85"/>
      <c r="E1055" s="187"/>
      <c r="F1055" s="187"/>
      <c r="G1055" s="187"/>
      <c r="H1055" s="187"/>
      <c r="I1055" s="92"/>
      <c r="J1055" s="92"/>
      <c r="K1055" s="187"/>
      <c r="L1055" s="187"/>
      <c r="M1055" s="187"/>
      <c r="N1055" s="187"/>
      <c r="O1055" s="92"/>
      <c r="P1055" s="187"/>
      <c r="Q1055" s="187"/>
      <c r="R1055" s="187"/>
      <c r="S1055" s="187"/>
      <c r="T1055" s="85"/>
      <c r="U1055" s="189"/>
      <c r="V1055" s="189"/>
      <c r="W1055" s="189"/>
      <c r="X1055" s="189"/>
      <c r="Y1055" s="100"/>
      <c r="AA1055" s="96"/>
      <c r="AB1055" s="96"/>
      <c r="AC1055" s="96"/>
      <c r="AD1055" s="97"/>
      <c r="AE1055" s="96"/>
      <c r="AF1055" s="98"/>
      <c r="AG1055" s="96"/>
      <c r="AH1055" s="96"/>
      <c r="AI1055" s="96"/>
      <c r="AJ1055" s="96"/>
      <c r="AK1055" s="96"/>
      <c r="AL1055" s="96"/>
      <c r="AM1055" s="96"/>
      <c r="AN1055" s="96"/>
      <c r="AO1055" s="96"/>
      <c r="AP1055" s="96"/>
    </row>
    <row r="1056" spans="2:42" ht="12.75">
      <c r="B1056" s="186"/>
      <c r="C1056" s="85"/>
      <c r="D1056" s="85"/>
      <c r="E1056" s="187"/>
      <c r="F1056" s="187"/>
      <c r="G1056" s="187"/>
      <c r="H1056" s="187"/>
      <c r="I1056" s="92"/>
      <c r="J1056" s="92"/>
      <c r="K1056" s="187"/>
      <c r="L1056" s="187"/>
      <c r="M1056" s="187"/>
      <c r="N1056" s="187"/>
      <c r="O1056" s="92"/>
      <c r="P1056" s="187"/>
      <c r="Q1056" s="187"/>
      <c r="R1056" s="187"/>
      <c r="S1056" s="187"/>
      <c r="T1056" s="85"/>
      <c r="U1056" s="189"/>
      <c r="V1056" s="189"/>
      <c r="W1056" s="189"/>
      <c r="X1056" s="189"/>
      <c r="Y1056" s="100"/>
      <c r="AA1056" s="96"/>
      <c r="AB1056" s="96"/>
      <c r="AC1056" s="96"/>
      <c r="AD1056" s="97"/>
      <c r="AE1056" s="96"/>
      <c r="AF1056" s="98"/>
      <c r="AG1056" s="96"/>
      <c r="AH1056" s="96"/>
      <c r="AI1056" s="96"/>
      <c r="AJ1056" s="96"/>
      <c r="AK1056" s="96"/>
      <c r="AL1056" s="96"/>
      <c r="AM1056" s="96"/>
      <c r="AN1056" s="96"/>
      <c r="AO1056" s="96"/>
      <c r="AP1056" s="96"/>
    </row>
    <row r="1057" spans="2:42" ht="12.75">
      <c r="B1057" s="186"/>
      <c r="C1057" s="85"/>
      <c r="D1057" s="85"/>
      <c r="E1057" s="187"/>
      <c r="F1057" s="187"/>
      <c r="G1057" s="187"/>
      <c r="H1057" s="187"/>
      <c r="I1057" s="92"/>
      <c r="J1057" s="92"/>
      <c r="K1057" s="187"/>
      <c r="L1057" s="187"/>
      <c r="M1057" s="187"/>
      <c r="N1057" s="187"/>
      <c r="O1057" s="92"/>
      <c r="P1057" s="187"/>
      <c r="Q1057" s="187"/>
      <c r="R1057" s="187"/>
      <c r="S1057" s="187"/>
      <c r="T1057" s="85"/>
      <c r="U1057" s="189"/>
      <c r="V1057" s="189"/>
      <c r="W1057" s="189"/>
      <c r="X1057" s="189"/>
      <c r="Y1057" s="100"/>
      <c r="AA1057" s="96"/>
      <c r="AB1057" s="96"/>
      <c r="AC1057" s="96"/>
      <c r="AD1057" s="97"/>
      <c r="AE1057" s="96"/>
      <c r="AF1057" s="98"/>
      <c r="AG1057" s="96"/>
      <c r="AH1057" s="96"/>
      <c r="AI1057" s="96"/>
      <c r="AJ1057" s="96"/>
      <c r="AK1057" s="96"/>
      <c r="AL1057" s="96"/>
      <c r="AM1057" s="96"/>
      <c r="AN1057" s="96"/>
      <c r="AO1057" s="96"/>
      <c r="AP1057" s="96"/>
    </row>
    <row r="1058" spans="2:42" ht="12.75">
      <c r="B1058" s="186"/>
      <c r="C1058" s="85"/>
      <c r="D1058" s="85"/>
      <c r="E1058" s="187"/>
      <c r="F1058" s="187"/>
      <c r="G1058" s="187"/>
      <c r="H1058" s="187"/>
      <c r="I1058" s="92"/>
      <c r="J1058" s="92"/>
      <c r="K1058" s="187"/>
      <c r="L1058" s="187"/>
      <c r="M1058" s="187"/>
      <c r="N1058" s="187"/>
      <c r="O1058" s="92"/>
      <c r="P1058" s="187"/>
      <c r="Q1058" s="187"/>
      <c r="R1058" s="187"/>
      <c r="S1058" s="187"/>
      <c r="T1058" s="85"/>
      <c r="U1058" s="189"/>
      <c r="V1058" s="189"/>
      <c r="W1058" s="189"/>
      <c r="X1058" s="189"/>
      <c r="Y1058" s="100"/>
      <c r="AA1058" s="96"/>
      <c r="AB1058" s="96"/>
      <c r="AC1058" s="96"/>
      <c r="AD1058" s="97"/>
      <c r="AE1058" s="96"/>
      <c r="AF1058" s="98"/>
      <c r="AG1058" s="96"/>
      <c r="AH1058" s="96"/>
      <c r="AI1058" s="96"/>
      <c r="AJ1058" s="96"/>
      <c r="AK1058" s="96"/>
      <c r="AL1058" s="96"/>
      <c r="AM1058" s="96"/>
      <c r="AN1058" s="96"/>
      <c r="AO1058" s="96"/>
      <c r="AP1058" s="96"/>
    </row>
    <row r="1059" spans="2:42" ht="12.75">
      <c r="B1059" s="186"/>
      <c r="C1059" s="85"/>
      <c r="D1059" s="85"/>
      <c r="E1059" s="187"/>
      <c r="F1059" s="187"/>
      <c r="G1059" s="187"/>
      <c r="H1059" s="187"/>
      <c r="I1059" s="92"/>
      <c r="J1059" s="92"/>
      <c r="K1059" s="187"/>
      <c r="L1059" s="187"/>
      <c r="M1059" s="187"/>
      <c r="N1059" s="187"/>
      <c r="O1059" s="92"/>
      <c r="P1059" s="187"/>
      <c r="Q1059" s="187"/>
      <c r="R1059" s="187"/>
      <c r="S1059" s="187"/>
      <c r="T1059" s="85"/>
      <c r="U1059" s="189"/>
      <c r="V1059" s="189"/>
      <c r="W1059" s="189"/>
      <c r="X1059" s="189"/>
      <c r="Y1059" s="100"/>
      <c r="AA1059" s="96"/>
      <c r="AB1059" s="96"/>
      <c r="AC1059" s="96"/>
      <c r="AD1059" s="97"/>
      <c r="AE1059" s="96"/>
      <c r="AF1059" s="98"/>
      <c r="AG1059" s="96"/>
      <c r="AH1059" s="96"/>
      <c r="AI1059" s="96"/>
      <c r="AJ1059" s="96"/>
      <c r="AK1059" s="96"/>
      <c r="AL1059" s="96"/>
      <c r="AM1059" s="96"/>
      <c r="AN1059" s="96"/>
      <c r="AO1059" s="96"/>
      <c r="AP1059" s="96"/>
    </row>
    <row r="1060" spans="2:42" ht="12.75">
      <c r="B1060" s="186"/>
      <c r="C1060" s="85"/>
      <c r="D1060" s="85"/>
      <c r="E1060" s="187"/>
      <c r="F1060" s="187"/>
      <c r="G1060" s="187"/>
      <c r="H1060" s="187"/>
      <c r="I1060" s="92"/>
      <c r="J1060" s="92"/>
      <c r="K1060" s="187"/>
      <c r="L1060" s="187"/>
      <c r="M1060" s="187"/>
      <c r="N1060" s="187"/>
      <c r="O1060" s="92"/>
      <c r="P1060" s="187"/>
      <c r="Q1060" s="187"/>
      <c r="R1060" s="187"/>
      <c r="S1060" s="187"/>
      <c r="T1060" s="85"/>
      <c r="U1060" s="189"/>
      <c r="V1060" s="189"/>
      <c r="W1060" s="189"/>
      <c r="X1060" s="189"/>
      <c r="Y1060" s="100"/>
      <c r="AA1060" s="96"/>
      <c r="AB1060" s="96"/>
      <c r="AC1060" s="96"/>
      <c r="AD1060" s="97"/>
      <c r="AE1060" s="96"/>
      <c r="AF1060" s="98"/>
      <c r="AG1060" s="96"/>
      <c r="AH1060" s="96"/>
      <c r="AI1060" s="96"/>
      <c r="AJ1060" s="96"/>
      <c r="AK1060" s="96"/>
      <c r="AL1060" s="96"/>
      <c r="AM1060" s="96"/>
      <c r="AN1060" s="96"/>
      <c r="AO1060" s="96"/>
      <c r="AP1060" s="96"/>
    </row>
    <row r="1061" spans="2:42" ht="12.75">
      <c r="B1061" s="186"/>
      <c r="C1061" s="85"/>
      <c r="D1061" s="85"/>
      <c r="E1061" s="187"/>
      <c r="F1061" s="187"/>
      <c r="G1061" s="187"/>
      <c r="H1061" s="187"/>
      <c r="I1061" s="92"/>
      <c r="J1061" s="92"/>
      <c r="K1061" s="187"/>
      <c r="L1061" s="187"/>
      <c r="M1061" s="187"/>
      <c r="N1061" s="187"/>
      <c r="O1061" s="92"/>
      <c r="P1061" s="187"/>
      <c r="Q1061" s="187"/>
      <c r="R1061" s="187"/>
      <c r="S1061" s="187"/>
      <c r="T1061" s="85"/>
      <c r="U1061" s="189"/>
      <c r="V1061" s="189"/>
      <c r="W1061" s="189"/>
      <c r="X1061" s="189"/>
      <c r="Y1061" s="100"/>
      <c r="AA1061" s="96"/>
      <c r="AB1061" s="96"/>
      <c r="AC1061" s="96"/>
      <c r="AD1061" s="97"/>
      <c r="AE1061" s="96"/>
      <c r="AF1061" s="98"/>
      <c r="AG1061" s="96"/>
      <c r="AH1061" s="96"/>
      <c r="AI1061" s="96"/>
      <c r="AJ1061" s="96"/>
      <c r="AK1061" s="96"/>
      <c r="AL1061" s="96"/>
      <c r="AM1061" s="96"/>
      <c r="AN1061" s="96"/>
      <c r="AO1061" s="96"/>
      <c r="AP1061" s="96"/>
    </row>
    <row r="1062" spans="2:42" ht="12.75">
      <c r="B1062" s="186"/>
      <c r="C1062" s="85"/>
      <c r="D1062" s="85"/>
      <c r="E1062" s="187"/>
      <c r="F1062" s="187"/>
      <c r="G1062" s="187"/>
      <c r="H1062" s="187"/>
      <c r="I1062" s="92"/>
      <c r="J1062" s="92"/>
      <c r="K1062" s="187"/>
      <c r="L1062" s="187"/>
      <c r="M1062" s="187"/>
      <c r="N1062" s="187"/>
      <c r="O1062" s="92"/>
      <c r="P1062" s="187"/>
      <c r="Q1062" s="187"/>
      <c r="R1062" s="187"/>
      <c r="S1062" s="187"/>
      <c r="T1062" s="85"/>
      <c r="U1062" s="189"/>
      <c r="V1062" s="189"/>
      <c r="W1062" s="189"/>
      <c r="X1062" s="189"/>
      <c r="Y1062" s="100"/>
      <c r="AA1062" s="96"/>
      <c r="AB1062" s="96"/>
      <c r="AC1062" s="96"/>
      <c r="AD1062" s="97"/>
      <c r="AE1062" s="96"/>
      <c r="AF1062" s="98"/>
      <c r="AG1062" s="96"/>
      <c r="AH1062" s="96"/>
      <c r="AI1062" s="96"/>
      <c r="AJ1062" s="96"/>
      <c r="AK1062" s="96"/>
      <c r="AL1062" s="96"/>
      <c r="AM1062" s="96"/>
      <c r="AN1062" s="96"/>
      <c r="AO1062" s="96"/>
      <c r="AP1062" s="96"/>
    </row>
    <row r="1063" spans="2:42" ht="12.75">
      <c r="B1063" s="186"/>
      <c r="C1063" s="85"/>
      <c r="D1063" s="85"/>
      <c r="E1063" s="187"/>
      <c r="F1063" s="187"/>
      <c r="G1063" s="187"/>
      <c r="H1063" s="187"/>
      <c r="I1063" s="92"/>
      <c r="J1063" s="92"/>
      <c r="K1063" s="187"/>
      <c r="L1063" s="187"/>
      <c r="M1063" s="187"/>
      <c r="N1063" s="187"/>
      <c r="O1063" s="92"/>
      <c r="P1063" s="187"/>
      <c r="Q1063" s="187"/>
      <c r="R1063" s="187"/>
      <c r="S1063" s="187"/>
      <c r="T1063" s="85"/>
      <c r="U1063" s="189"/>
      <c r="V1063" s="189"/>
      <c r="W1063" s="189"/>
      <c r="X1063" s="189"/>
      <c r="Y1063" s="100"/>
      <c r="AA1063" s="96"/>
      <c r="AB1063" s="96"/>
      <c r="AC1063" s="96"/>
      <c r="AD1063" s="97"/>
      <c r="AE1063" s="96"/>
      <c r="AF1063" s="98"/>
      <c r="AG1063" s="96"/>
      <c r="AH1063" s="96"/>
      <c r="AI1063" s="96"/>
      <c r="AJ1063" s="96"/>
      <c r="AK1063" s="96"/>
      <c r="AL1063" s="96"/>
      <c r="AM1063" s="96"/>
      <c r="AN1063" s="96"/>
      <c r="AO1063" s="96"/>
      <c r="AP1063" s="96"/>
    </row>
    <row r="1064" spans="2:42" ht="12.75">
      <c r="B1064" s="186"/>
      <c r="C1064" s="85"/>
      <c r="D1064" s="85"/>
      <c r="E1064" s="187"/>
      <c r="F1064" s="187"/>
      <c r="G1064" s="187"/>
      <c r="H1064" s="187"/>
      <c r="I1064" s="92"/>
      <c r="J1064" s="92"/>
      <c r="K1064" s="187"/>
      <c r="L1064" s="187"/>
      <c r="M1064" s="187"/>
      <c r="N1064" s="187"/>
      <c r="O1064" s="92"/>
      <c r="P1064" s="187"/>
      <c r="Q1064" s="187"/>
      <c r="R1064" s="187"/>
      <c r="S1064" s="187"/>
      <c r="T1064" s="85"/>
      <c r="U1064" s="189"/>
      <c r="V1064" s="189"/>
      <c r="W1064" s="189"/>
      <c r="X1064" s="189"/>
      <c r="Y1064" s="100"/>
      <c r="AA1064" s="96"/>
      <c r="AB1064" s="96"/>
      <c r="AC1064" s="96"/>
      <c r="AD1064" s="97"/>
      <c r="AE1064" s="96"/>
      <c r="AF1064" s="98"/>
      <c r="AG1064" s="96"/>
      <c r="AH1064" s="96"/>
      <c r="AI1064" s="96"/>
      <c r="AJ1064" s="96"/>
      <c r="AK1064" s="96"/>
      <c r="AL1064" s="96"/>
      <c r="AM1064" s="96"/>
      <c r="AN1064" s="96"/>
      <c r="AO1064" s="96"/>
      <c r="AP1064" s="96"/>
    </row>
    <row r="1065" spans="2:42" ht="12.75">
      <c r="B1065" s="186"/>
      <c r="C1065" s="85"/>
      <c r="D1065" s="85"/>
      <c r="E1065" s="187"/>
      <c r="F1065" s="187"/>
      <c r="G1065" s="187"/>
      <c r="H1065" s="187"/>
      <c r="I1065" s="92"/>
      <c r="J1065" s="92"/>
      <c r="K1065" s="187"/>
      <c r="L1065" s="187"/>
      <c r="M1065" s="187"/>
      <c r="N1065" s="187"/>
      <c r="O1065" s="92"/>
      <c r="P1065" s="187"/>
      <c r="Q1065" s="187"/>
      <c r="R1065" s="187"/>
      <c r="S1065" s="187"/>
      <c r="T1065" s="85"/>
      <c r="U1065" s="189"/>
      <c r="V1065" s="189"/>
      <c r="W1065" s="189"/>
      <c r="X1065" s="189"/>
      <c r="Y1065" s="100"/>
      <c r="AA1065" s="96"/>
      <c r="AB1065" s="96"/>
      <c r="AC1065" s="96"/>
      <c r="AD1065" s="97"/>
      <c r="AE1065" s="96"/>
      <c r="AF1065" s="98"/>
      <c r="AG1065" s="96"/>
      <c r="AH1065" s="96"/>
      <c r="AI1065" s="96"/>
      <c r="AJ1065" s="96"/>
      <c r="AK1065" s="96"/>
      <c r="AL1065" s="96"/>
      <c r="AM1065" s="96"/>
      <c r="AN1065" s="96"/>
      <c r="AO1065" s="96"/>
      <c r="AP1065" s="96"/>
    </row>
    <row r="1066" spans="2:42" ht="12.75">
      <c r="B1066" s="186"/>
      <c r="C1066" s="85"/>
      <c r="D1066" s="85"/>
      <c r="E1066" s="187"/>
      <c r="F1066" s="187"/>
      <c r="G1066" s="187"/>
      <c r="H1066" s="187"/>
      <c r="I1066" s="92"/>
      <c r="J1066" s="92"/>
      <c r="K1066" s="187"/>
      <c r="L1066" s="187"/>
      <c r="M1066" s="187"/>
      <c r="N1066" s="187"/>
      <c r="O1066" s="92"/>
      <c r="P1066" s="187"/>
      <c r="Q1066" s="187"/>
      <c r="R1066" s="187"/>
      <c r="S1066" s="187"/>
      <c r="T1066" s="85"/>
      <c r="U1066" s="189"/>
      <c r="V1066" s="189"/>
      <c r="W1066" s="189"/>
      <c r="X1066" s="189"/>
      <c r="Y1066" s="100"/>
      <c r="AA1066" s="96"/>
      <c r="AB1066" s="96"/>
      <c r="AC1066" s="96"/>
      <c r="AD1066" s="97"/>
      <c r="AE1066" s="96"/>
      <c r="AF1066" s="98"/>
      <c r="AG1066" s="96"/>
      <c r="AH1066" s="96"/>
      <c r="AI1066" s="96"/>
      <c r="AJ1066" s="96"/>
      <c r="AK1066" s="96"/>
      <c r="AL1066" s="96"/>
      <c r="AM1066" s="96"/>
      <c r="AN1066" s="96"/>
      <c r="AO1066" s="96"/>
      <c r="AP1066" s="96"/>
    </row>
    <row r="1067" spans="2:42" ht="12.75">
      <c r="B1067" s="186"/>
      <c r="C1067" s="85"/>
      <c r="D1067" s="85"/>
      <c r="E1067" s="187"/>
      <c r="F1067" s="187"/>
      <c r="G1067" s="187"/>
      <c r="H1067" s="187"/>
      <c r="I1067" s="92"/>
      <c r="J1067" s="92"/>
      <c r="K1067" s="187"/>
      <c r="L1067" s="187"/>
      <c r="M1067" s="187"/>
      <c r="N1067" s="187"/>
      <c r="O1067" s="92"/>
      <c r="P1067" s="187"/>
      <c r="Q1067" s="187"/>
      <c r="R1067" s="187"/>
      <c r="S1067" s="187"/>
      <c r="T1067" s="85"/>
      <c r="U1067" s="189"/>
      <c r="V1067" s="189"/>
      <c r="W1067" s="189"/>
      <c r="X1067" s="189"/>
      <c r="Y1067" s="100"/>
      <c r="AA1067" s="96"/>
      <c r="AB1067" s="96"/>
      <c r="AC1067" s="96"/>
      <c r="AD1067" s="97"/>
      <c r="AE1067" s="96"/>
      <c r="AF1067" s="98"/>
      <c r="AG1067" s="96"/>
      <c r="AH1067" s="96"/>
      <c r="AI1067" s="96"/>
      <c r="AJ1067" s="96"/>
      <c r="AK1067" s="96"/>
      <c r="AL1067" s="96"/>
      <c r="AM1067" s="96"/>
      <c r="AN1067" s="96"/>
      <c r="AO1067" s="96"/>
      <c r="AP1067" s="96"/>
    </row>
    <row r="1068" spans="2:42" ht="12.75">
      <c r="B1068" s="186"/>
      <c r="C1068" s="85"/>
      <c r="D1068" s="85"/>
      <c r="E1068" s="187"/>
      <c r="F1068" s="187"/>
      <c r="G1068" s="187"/>
      <c r="H1068" s="187"/>
      <c r="I1068" s="92"/>
      <c r="J1068" s="92"/>
      <c r="K1068" s="187"/>
      <c r="L1068" s="187"/>
      <c r="M1068" s="187"/>
      <c r="N1068" s="187"/>
      <c r="O1068" s="92"/>
      <c r="P1068" s="187"/>
      <c r="Q1068" s="187"/>
      <c r="R1068" s="187"/>
      <c r="S1068" s="187"/>
      <c r="T1068" s="85"/>
      <c r="U1068" s="189"/>
      <c r="V1068" s="189"/>
      <c r="W1068" s="189"/>
      <c r="X1068" s="189"/>
      <c r="Y1068" s="100"/>
      <c r="AA1068" s="96"/>
      <c r="AB1068" s="96"/>
      <c r="AC1068" s="96"/>
      <c r="AD1068" s="97"/>
      <c r="AE1068" s="96"/>
      <c r="AF1068" s="98"/>
      <c r="AG1068" s="96"/>
      <c r="AH1068" s="96"/>
      <c r="AI1068" s="96"/>
      <c r="AJ1068" s="96"/>
      <c r="AK1068" s="96"/>
      <c r="AL1068" s="96"/>
      <c r="AM1068" s="96"/>
      <c r="AN1068" s="96"/>
      <c r="AO1068" s="96"/>
      <c r="AP1068" s="96"/>
    </row>
    <row r="1069" spans="2:42" ht="12.75">
      <c r="B1069" s="186"/>
      <c r="C1069" s="85"/>
      <c r="D1069" s="85"/>
      <c r="E1069" s="187"/>
      <c r="F1069" s="187"/>
      <c r="G1069" s="187"/>
      <c r="H1069" s="187"/>
      <c r="I1069" s="92"/>
      <c r="J1069" s="92"/>
      <c r="K1069" s="187"/>
      <c r="L1069" s="187"/>
      <c r="M1069" s="187"/>
      <c r="N1069" s="187"/>
      <c r="O1069" s="92"/>
      <c r="P1069" s="187"/>
      <c r="Q1069" s="187"/>
      <c r="R1069" s="187"/>
      <c r="S1069" s="187"/>
      <c r="T1069" s="85"/>
      <c r="U1069" s="189"/>
      <c r="V1069" s="189"/>
      <c r="W1069" s="189"/>
      <c r="X1069" s="189"/>
      <c r="Y1069" s="100"/>
      <c r="AA1069" s="96"/>
      <c r="AB1069" s="96"/>
      <c r="AC1069" s="96"/>
      <c r="AD1069" s="97"/>
      <c r="AE1069" s="96"/>
      <c r="AF1069" s="98"/>
      <c r="AG1069" s="96"/>
      <c r="AH1069" s="96"/>
      <c r="AI1069" s="96"/>
      <c r="AJ1069" s="96"/>
      <c r="AK1069" s="96"/>
      <c r="AL1069" s="96"/>
      <c r="AM1069" s="96"/>
      <c r="AN1069" s="96"/>
      <c r="AO1069" s="96"/>
      <c r="AP1069" s="96"/>
    </row>
    <row r="1070" spans="2:42" ht="12.75">
      <c r="B1070" s="186"/>
      <c r="C1070" s="85"/>
      <c r="D1070" s="85"/>
      <c r="E1070" s="187"/>
      <c r="F1070" s="187"/>
      <c r="G1070" s="187"/>
      <c r="H1070" s="187"/>
      <c r="I1070" s="92"/>
      <c r="J1070" s="92"/>
      <c r="K1070" s="187"/>
      <c r="L1070" s="187"/>
      <c r="M1070" s="187"/>
      <c r="N1070" s="187"/>
      <c r="O1070" s="92"/>
      <c r="P1070" s="187"/>
      <c r="Q1070" s="187"/>
      <c r="R1070" s="187"/>
      <c r="S1070" s="187"/>
      <c r="T1070" s="85"/>
      <c r="U1070" s="189"/>
      <c r="V1070" s="189"/>
      <c r="W1070" s="189"/>
      <c r="X1070" s="189"/>
      <c r="Y1070" s="100"/>
      <c r="AA1070" s="96"/>
      <c r="AB1070" s="96"/>
      <c r="AC1070" s="96"/>
      <c r="AD1070" s="97"/>
      <c r="AE1070" s="96"/>
      <c r="AF1070" s="98"/>
      <c r="AG1070" s="96"/>
      <c r="AH1070" s="96"/>
      <c r="AI1070" s="96"/>
      <c r="AJ1070" s="96"/>
      <c r="AK1070" s="96"/>
      <c r="AL1070" s="96"/>
      <c r="AM1070" s="96"/>
      <c r="AN1070" s="96"/>
      <c r="AO1070" s="96"/>
      <c r="AP1070" s="96"/>
    </row>
    <row r="1071" spans="2:42" ht="12.75">
      <c r="B1071" s="186"/>
      <c r="C1071" s="85"/>
      <c r="D1071" s="85"/>
      <c r="E1071" s="187"/>
      <c r="F1071" s="187"/>
      <c r="G1071" s="187"/>
      <c r="H1071" s="187"/>
      <c r="I1071" s="92"/>
      <c r="J1071" s="92"/>
      <c r="K1071" s="187"/>
      <c r="L1071" s="187"/>
      <c r="M1071" s="187"/>
      <c r="N1071" s="187"/>
      <c r="O1071" s="92"/>
      <c r="P1071" s="187"/>
      <c r="Q1071" s="187"/>
      <c r="R1071" s="187"/>
      <c r="S1071" s="187"/>
      <c r="T1071" s="85"/>
      <c r="U1071" s="189"/>
      <c r="V1071" s="189"/>
      <c r="W1071" s="189"/>
      <c r="X1071" s="189"/>
      <c r="Y1071" s="100"/>
      <c r="AA1071" s="96"/>
      <c r="AB1071" s="96"/>
      <c r="AC1071" s="96"/>
      <c r="AD1071" s="97"/>
      <c r="AE1071" s="96"/>
      <c r="AF1071" s="98"/>
      <c r="AG1071" s="96"/>
      <c r="AH1071" s="96"/>
      <c r="AI1071" s="96"/>
      <c r="AJ1071" s="96"/>
      <c r="AK1071" s="96"/>
      <c r="AL1071" s="96"/>
      <c r="AM1071" s="96"/>
      <c r="AN1071" s="96"/>
      <c r="AO1071" s="96"/>
      <c r="AP1071" s="96"/>
    </row>
    <row r="1072" spans="2:42" ht="12.75">
      <c r="B1072" s="186"/>
      <c r="C1072" s="85"/>
      <c r="D1072" s="85"/>
      <c r="E1072" s="187"/>
      <c r="F1072" s="187"/>
      <c r="G1072" s="187"/>
      <c r="H1072" s="187"/>
      <c r="I1072" s="92"/>
      <c r="J1072" s="92"/>
      <c r="K1072" s="187"/>
      <c r="L1072" s="187"/>
      <c r="M1072" s="187"/>
      <c r="N1072" s="187"/>
      <c r="O1072" s="92"/>
      <c r="P1072" s="187"/>
      <c r="Q1072" s="187"/>
      <c r="R1072" s="187"/>
      <c r="S1072" s="187"/>
      <c r="T1072" s="85"/>
      <c r="U1072" s="189"/>
      <c r="V1072" s="189"/>
      <c r="W1072" s="189"/>
      <c r="X1072" s="189"/>
      <c r="Y1072" s="100"/>
      <c r="AA1072" s="96"/>
      <c r="AB1072" s="96"/>
      <c r="AC1072" s="96"/>
      <c r="AD1072" s="97"/>
      <c r="AE1072" s="96"/>
      <c r="AF1072" s="98"/>
      <c r="AG1072" s="96"/>
      <c r="AH1072" s="96"/>
      <c r="AI1072" s="96"/>
      <c r="AJ1072" s="96"/>
      <c r="AK1072" s="96"/>
      <c r="AL1072" s="96"/>
      <c r="AM1072" s="96"/>
      <c r="AN1072" s="96"/>
      <c r="AO1072" s="96"/>
      <c r="AP1072" s="96"/>
    </row>
    <row r="1073" spans="2:42" ht="12.75">
      <c r="B1073" s="186"/>
      <c r="C1073" s="85"/>
      <c r="D1073" s="85"/>
      <c r="E1073" s="187"/>
      <c r="F1073" s="187"/>
      <c r="G1073" s="187"/>
      <c r="H1073" s="187"/>
      <c r="I1073" s="92"/>
      <c r="J1073" s="92"/>
      <c r="K1073" s="187"/>
      <c r="L1073" s="187"/>
      <c r="M1073" s="187"/>
      <c r="N1073" s="187"/>
      <c r="O1073" s="92"/>
      <c r="P1073" s="187"/>
      <c r="Q1073" s="187"/>
      <c r="R1073" s="187"/>
      <c r="S1073" s="187"/>
      <c r="T1073" s="85"/>
      <c r="U1073" s="189"/>
      <c r="V1073" s="189"/>
      <c r="W1073" s="189"/>
      <c r="X1073" s="189"/>
      <c r="Y1073" s="100"/>
      <c r="AA1073" s="96"/>
      <c r="AB1073" s="96"/>
      <c r="AC1073" s="96"/>
      <c r="AD1073" s="97"/>
      <c r="AE1073" s="96"/>
      <c r="AF1073" s="98"/>
      <c r="AG1073" s="96"/>
      <c r="AH1073" s="96"/>
      <c r="AI1073" s="96"/>
      <c r="AJ1073" s="96"/>
      <c r="AK1073" s="96"/>
      <c r="AL1073" s="96"/>
      <c r="AM1073" s="96"/>
      <c r="AN1073" s="96"/>
      <c r="AO1073" s="96"/>
      <c r="AP1073" s="96"/>
    </row>
    <row r="1074" spans="2:42" ht="12.75">
      <c r="B1074" s="186"/>
      <c r="C1074" s="85"/>
      <c r="D1074" s="85"/>
      <c r="E1074" s="187"/>
      <c r="F1074" s="187"/>
      <c r="G1074" s="187"/>
      <c r="H1074" s="187"/>
      <c r="I1074" s="92"/>
      <c r="J1074" s="92"/>
      <c r="K1074" s="187"/>
      <c r="L1074" s="187"/>
      <c r="M1074" s="187"/>
      <c r="N1074" s="187"/>
      <c r="O1074" s="92"/>
      <c r="P1074" s="187"/>
      <c r="Q1074" s="187"/>
      <c r="R1074" s="187"/>
      <c r="S1074" s="187"/>
      <c r="T1074" s="85"/>
      <c r="U1074" s="189"/>
      <c r="V1074" s="189"/>
      <c r="W1074" s="189"/>
      <c r="X1074" s="189"/>
      <c r="Y1074" s="100"/>
      <c r="AA1074" s="96"/>
      <c r="AB1074" s="96"/>
      <c r="AC1074" s="96"/>
      <c r="AD1074" s="97"/>
      <c r="AE1074" s="96"/>
      <c r="AF1074" s="98"/>
      <c r="AG1074" s="96"/>
      <c r="AH1074" s="96"/>
      <c r="AI1074" s="96"/>
      <c r="AJ1074" s="96"/>
      <c r="AK1074" s="96"/>
      <c r="AL1074" s="96"/>
      <c r="AM1074" s="96"/>
      <c r="AN1074" s="96"/>
      <c r="AO1074" s="96"/>
      <c r="AP1074" s="96"/>
    </row>
    <row r="1075" spans="2:42" ht="12.75">
      <c r="B1075" s="186"/>
      <c r="C1075" s="85"/>
      <c r="D1075" s="85"/>
      <c r="E1075" s="187"/>
      <c r="F1075" s="187"/>
      <c r="G1075" s="187"/>
      <c r="H1075" s="187"/>
      <c r="I1075" s="92"/>
      <c r="J1075" s="92"/>
      <c r="K1075" s="187"/>
      <c r="L1075" s="187"/>
      <c r="M1075" s="187"/>
      <c r="N1075" s="187"/>
      <c r="O1075" s="92"/>
      <c r="P1075" s="187"/>
      <c r="Q1075" s="187"/>
      <c r="R1075" s="187"/>
      <c r="S1075" s="187"/>
      <c r="T1075" s="85"/>
      <c r="U1075" s="189"/>
      <c r="V1075" s="189"/>
      <c r="W1075" s="189"/>
      <c r="X1075" s="189"/>
      <c r="Y1075" s="100"/>
      <c r="AA1075" s="96"/>
      <c r="AB1075" s="96"/>
      <c r="AC1075" s="96"/>
      <c r="AD1075" s="97"/>
      <c r="AE1075" s="96"/>
      <c r="AF1075" s="98"/>
      <c r="AG1075" s="96"/>
      <c r="AH1075" s="96"/>
      <c r="AI1075" s="96"/>
      <c r="AJ1075" s="96"/>
      <c r="AK1075" s="96"/>
      <c r="AL1075" s="96"/>
      <c r="AM1075" s="96"/>
      <c r="AN1075" s="96"/>
      <c r="AO1075" s="96"/>
      <c r="AP1075" s="96"/>
    </row>
    <row r="1076" spans="2:42" ht="12.75">
      <c r="B1076" s="186"/>
      <c r="C1076" s="85"/>
      <c r="D1076" s="85"/>
      <c r="E1076" s="187"/>
      <c r="F1076" s="187"/>
      <c r="G1076" s="187"/>
      <c r="H1076" s="187"/>
      <c r="I1076" s="92"/>
      <c r="J1076" s="92"/>
      <c r="K1076" s="187"/>
      <c r="L1076" s="187"/>
      <c r="M1076" s="187"/>
      <c r="N1076" s="187"/>
      <c r="O1076" s="92"/>
      <c r="P1076" s="187"/>
      <c r="Q1076" s="187"/>
      <c r="R1076" s="187"/>
      <c r="S1076" s="187"/>
      <c r="T1076" s="85"/>
      <c r="U1076" s="189"/>
      <c r="V1076" s="189"/>
      <c r="W1076" s="189"/>
      <c r="X1076" s="189"/>
      <c r="Y1076" s="100"/>
      <c r="AA1076" s="96"/>
      <c r="AB1076" s="96"/>
      <c r="AC1076" s="96"/>
      <c r="AD1076" s="97"/>
      <c r="AE1076" s="96"/>
      <c r="AF1076" s="98"/>
      <c r="AG1076" s="96"/>
      <c r="AH1076" s="96"/>
      <c r="AI1076" s="96"/>
      <c r="AJ1076" s="96"/>
      <c r="AK1076" s="96"/>
      <c r="AL1076" s="96"/>
      <c r="AM1076" s="96"/>
      <c r="AN1076" s="96"/>
      <c r="AO1076" s="96"/>
      <c r="AP1076" s="96"/>
    </row>
    <row r="1077" spans="2:42" ht="12.75">
      <c r="B1077" s="186"/>
      <c r="C1077" s="85"/>
      <c r="D1077" s="85"/>
      <c r="E1077" s="187"/>
      <c r="F1077" s="187"/>
      <c r="G1077" s="187"/>
      <c r="H1077" s="187"/>
      <c r="I1077" s="92"/>
      <c r="J1077" s="92"/>
      <c r="K1077" s="187"/>
      <c r="L1077" s="187"/>
      <c r="M1077" s="187"/>
      <c r="N1077" s="187"/>
      <c r="O1077" s="92"/>
      <c r="P1077" s="187"/>
      <c r="Q1077" s="187"/>
      <c r="R1077" s="187"/>
      <c r="S1077" s="187"/>
      <c r="T1077" s="85"/>
      <c r="U1077" s="189"/>
      <c r="V1077" s="189"/>
      <c r="W1077" s="189"/>
      <c r="X1077" s="189"/>
      <c r="Y1077" s="100"/>
      <c r="AA1077" s="96"/>
      <c r="AB1077" s="96"/>
      <c r="AC1077" s="96"/>
      <c r="AD1077" s="97"/>
      <c r="AE1077" s="96"/>
      <c r="AF1077" s="98"/>
      <c r="AG1077" s="96"/>
      <c r="AH1077" s="96"/>
      <c r="AI1077" s="96"/>
      <c r="AJ1077" s="96"/>
      <c r="AK1077" s="96"/>
      <c r="AL1077" s="96"/>
      <c r="AM1077" s="96"/>
      <c r="AN1077" s="96"/>
      <c r="AO1077" s="96"/>
      <c r="AP1077" s="96"/>
    </row>
    <row r="1078" spans="2:42" ht="12.75">
      <c r="B1078" s="186"/>
      <c r="C1078" s="85"/>
      <c r="D1078" s="85"/>
      <c r="E1078" s="187"/>
      <c r="F1078" s="187"/>
      <c r="G1078" s="187"/>
      <c r="H1078" s="187"/>
      <c r="I1078" s="92"/>
      <c r="J1078" s="92"/>
      <c r="K1078" s="187"/>
      <c r="L1078" s="187"/>
      <c r="M1078" s="187"/>
      <c r="N1078" s="187"/>
      <c r="O1078" s="92"/>
      <c r="P1078" s="187"/>
      <c r="Q1078" s="187"/>
      <c r="R1078" s="187"/>
      <c r="S1078" s="187"/>
      <c r="T1078" s="85"/>
      <c r="U1078" s="189"/>
      <c r="V1078" s="189"/>
      <c r="W1078" s="189"/>
      <c r="X1078" s="189"/>
      <c r="Y1078" s="100"/>
      <c r="AA1078" s="96"/>
      <c r="AB1078" s="96"/>
      <c r="AC1078" s="96"/>
      <c r="AD1078" s="97"/>
      <c r="AE1078" s="96"/>
      <c r="AF1078" s="98"/>
      <c r="AG1078" s="96"/>
      <c r="AH1078" s="96"/>
      <c r="AI1078" s="96"/>
      <c r="AJ1078" s="96"/>
      <c r="AK1078" s="96"/>
      <c r="AL1078" s="96"/>
      <c r="AM1078" s="96"/>
      <c r="AN1078" s="96"/>
      <c r="AO1078" s="96"/>
      <c r="AP1078" s="96"/>
    </row>
    <row r="1079" spans="2:42" ht="12.75">
      <c r="B1079" s="186"/>
      <c r="C1079" s="85"/>
      <c r="D1079" s="85"/>
      <c r="E1079" s="187"/>
      <c r="F1079" s="187"/>
      <c r="G1079" s="187"/>
      <c r="H1079" s="187"/>
      <c r="I1079" s="92"/>
      <c r="J1079" s="92"/>
      <c r="K1079" s="187"/>
      <c r="L1079" s="187"/>
      <c r="M1079" s="187"/>
      <c r="N1079" s="187"/>
      <c r="O1079" s="92"/>
      <c r="P1079" s="187"/>
      <c r="Q1079" s="187"/>
      <c r="R1079" s="187"/>
      <c r="S1079" s="187"/>
      <c r="T1079" s="85"/>
      <c r="U1079" s="189"/>
      <c r="V1079" s="189"/>
      <c r="W1079" s="189"/>
      <c r="X1079" s="189"/>
      <c r="Y1079" s="100"/>
      <c r="AA1079" s="96"/>
      <c r="AB1079" s="96"/>
      <c r="AC1079" s="96"/>
      <c r="AD1079" s="97"/>
      <c r="AE1079" s="96"/>
      <c r="AF1079" s="98"/>
      <c r="AG1079" s="96"/>
      <c r="AH1079" s="96"/>
      <c r="AI1079" s="96"/>
      <c r="AJ1079" s="96"/>
      <c r="AK1079" s="96"/>
      <c r="AL1079" s="96"/>
      <c r="AM1079" s="96"/>
      <c r="AN1079" s="96"/>
      <c r="AO1079" s="96"/>
      <c r="AP1079" s="96"/>
    </row>
    <row r="1080" spans="2:42" ht="12.75">
      <c r="B1080" s="186"/>
      <c r="C1080" s="85"/>
      <c r="D1080" s="85"/>
      <c r="E1080" s="187"/>
      <c r="F1080" s="187"/>
      <c r="G1080" s="187"/>
      <c r="H1080" s="187"/>
      <c r="I1080" s="92"/>
      <c r="J1080" s="92"/>
      <c r="K1080" s="187"/>
      <c r="L1080" s="187"/>
      <c r="M1080" s="187"/>
      <c r="N1080" s="187"/>
      <c r="O1080" s="92"/>
      <c r="P1080" s="187"/>
      <c r="Q1080" s="187"/>
      <c r="R1080" s="187"/>
      <c r="S1080" s="187"/>
      <c r="T1080" s="85"/>
      <c r="U1080" s="189"/>
      <c r="V1080" s="189"/>
      <c r="W1080" s="189"/>
      <c r="X1080" s="189"/>
      <c r="Y1080" s="100"/>
      <c r="AA1080" s="96"/>
      <c r="AB1080" s="96"/>
      <c r="AC1080" s="96"/>
      <c r="AD1080" s="97"/>
      <c r="AE1080" s="96"/>
      <c r="AF1080" s="98"/>
      <c r="AG1080" s="96"/>
      <c r="AH1080" s="96"/>
      <c r="AI1080" s="96"/>
      <c r="AJ1080" s="96"/>
      <c r="AK1080" s="96"/>
      <c r="AL1080" s="96"/>
      <c r="AM1080" s="96"/>
      <c r="AN1080" s="96"/>
      <c r="AO1080" s="96"/>
      <c r="AP1080" s="96"/>
    </row>
    <row r="1081" spans="2:42" ht="12.75">
      <c r="B1081" s="186"/>
      <c r="C1081" s="85"/>
      <c r="D1081" s="85"/>
      <c r="E1081" s="187"/>
      <c r="F1081" s="187"/>
      <c r="G1081" s="187"/>
      <c r="H1081" s="187"/>
      <c r="I1081" s="92"/>
      <c r="J1081" s="92"/>
      <c r="K1081" s="187"/>
      <c r="L1081" s="187"/>
      <c r="M1081" s="187"/>
      <c r="N1081" s="187"/>
      <c r="O1081" s="92"/>
      <c r="P1081" s="187"/>
      <c r="Q1081" s="187"/>
      <c r="R1081" s="187"/>
      <c r="S1081" s="187"/>
      <c r="T1081" s="85"/>
      <c r="U1081" s="189"/>
      <c r="V1081" s="189"/>
      <c r="W1081" s="189"/>
      <c r="X1081" s="189"/>
      <c r="Y1081" s="100"/>
      <c r="AA1081" s="96"/>
      <c r="AB1081" s="96"/>
      <c r="AC1081" s="96"/>
      <c r="AD1081" s="97"/>
      <c r="AE1081" s="96"/>
      <c r="AF1081" s="98"/>
      <c r="AG1081" s="96"/>
      <c r="AH1081" s="96"/>
      <c r="AI1081" s="96"/>
      <c r="AJ1081" s="96"/>
      <c r="AK1081" s="96"/>
      <c r="AL1081" s="96"/>
      <c r="AM1081" s="96"/>
      <c r="AN1081" s="96"/>
      <c r="AO1081" s="96"/>
      <c r="AP1081" s="96"/>
    </row>
    <row r="1082" spans="2:42" ht="12.75">
      <c r="B1082" s="186"/>
      <c r="C1082" s="85"/>
      <c r="D1082" s="85"/>
      <c r="E1082" s="187"/>
      <c r="F1082" s="187"/>
      <c r="G1082" s="187"/>
      <c r="H1082" s="187"/>
      <c r="I1082" s="92"/>
      <c r="J1082" s="92"/>
      <c r="K1082" s="187"/>
      <c r="L1082" s="187"/>
      <c r="M1082" s="187"/>
      <c r="N1082" s="187"/>
      <c r="O1082" s="92"/>
      <c r="P1082" s="187"/>
      <c r="Q1082" s="187"/>
      <c r="R1082" s="187"/>
      <c r="S1082" s="187"/>
      <c r="T1082" s="85"/>
      <c r="U1082" s="189"/>
      <c r="V1082" s="189"/>
      <c r="W1082" s="189"/>
      <c r="X1082" s="189"/>
      <c r="Y1082" s="100"/>
      <c r="AA1082" s="96"/>
      <c r="AB1082" s="96"/>
      <c r="AC1082" s="96"/>
      <c r="AD1082" s="97"/>
      <c r="AE1082" s="96"/>
      <c r="AF1082" s="98"/>
      <c r="AG1082" s="96"/>
      <c r="AH1082" s="96"/>
      <c r="AI1082" s="96"/>
      <c r="AJ1082" s="96"/>
      <c r="AK1082" s="96"/>
      <c r="AL1082" s="96"/>
      <c r="AM1082" s="96"/>
      <c r="AN1082" s="96"/>
      <c r="AO1082" s="96"/>
      <c r="AP1082" s="96"/>
    </row>
    <row r="1083" spans="2:42" ht="12.75">
      <c r="B1083" s="186"/>
      <c r="C1083" s="85"/>
      <c r="D1083" s="85"/>
      <c r="E1083" s="187"/>
      <c r="F1083" s="187"/>
      <c r="G1083" s="187"/>
      <c r="H1083" s="187"/>
      <c r="I1083" s="92"/>
      <c r="J1083" s="92"/>
      <c r="K1083" s="187"/>
      <c r="L1083" s="187"/>
      <c r="M1083" s="187"/>
      <c r="N1083" s="187"/>
      <c r="O1083" s="92"/>
      <c r="P1083" s="187"/>
      <c r="Q1083" s="187"/>
      <c r="R1083" s="187"/>
      <c r="S1083" s="187"/>
      <c r="T1083" s="85"/>
      <c r="U1083" s="189"/>
      <c r="V1083" s="189"/>
      <c r="W1083" s="189"/>
      <c r="X1083" s="189"/>
      <c r="Y1083" s="100"/>
      <c r="AA1083" s="96"/>
      <c r="AB1083" s="96"/>
      <c r="AC1083" s="96"/>
      <c r="AD1083" s="97"/>
      <c r="AE1083" s="96"/>
      <c r="AF1083" s="98"/>
      <c r="AG1083" s="96"/>
      <c r="AH1083" s="96"/>
      <c r="AI1083" s="96"/>
      <c r="AJ1083" s="96"/>
      <c r="AK1083" s="96"/>
      <c r="AL1083" s="96"/>
      <c r="AM1083" s="96"/>
      <c r="AN1083" s="96"/>
      <c r="AO1083" s="96"/>
      <c r="AP1083" s="96"/>
    </row>
    <row r="1084" spans="2:42" ht="12.75">
      <c r="B1084" s="186"/>
      <c r="C1084" s="85"/>
      <c r="D1084" s="85"/>
      <c r="E1084" s="187"/>
      <c r="F1084" s="187"/>
      <c r="G1084" s="187"/>
      <c r="H1084" s="187"/>
      <c r="I1084" s="92"/>
      <c r="J1084" s="92"/>
      <c r="K1084" s="187"/>
      <c r="L1084" s="187"/>
      <c r="M1084" s="187"/>
      <c r="N1084" s="187"/>
      <c r="O1084" s="92"/>
      <c r="P1084" s="187"/>
      <c r="Q1084" s="187"/>
      <c r="R1084" s="187"/>
      <c r="S1084" s="187"/>
      <c r="T1084" s="85"/>
      <c r="U1084" s="189"/>
      <c r="V1084" s="189"/>
      <c r="W1084" s="189"/>
      <c r="X1084" s="189"/>
      <c r="Y1084" s="100"/>
      <c r="AA1084" s="96"/>
      <c r="AB1084" s="96"/>
      <c r="AC1084" s="96"/>
      <c r="AD1084" s="97"/>
      <c r="AE1084" s="96"/>
      <c r="AF1084" s="98"/>
      <c r="AG1084" s="96"/>
      <c r="AH1084" s="96"/>
      <c r="AI1084" s="96"/>
      <c r="AJ1084" s="96"/>
      <c r="AK1084" s="96"/>
      <c r="AL1084" s="96"/>
      <c r="AM1084" s="96"/>
      <c r="AN1084" s="96"/>
      <c r="AO1084" s="96"/>
      <c r="AP1084" s="96"/>
    </row>
    <row r="1085" spans="2:42" ht="12.75">
      <c r="B1085" s="186"/>
      <c r="C1085" s="85"/>
      <c r="D1085" s="85"/>
      <c r="E1085" s="187"/>
      <c r="F1085" s="187"/>
      <c r="G1085" s="187"/>
      <c r="H1085" s="187"/>
      <c r="I1085" s="92"/>
      <c r="J1085" s="92"/>
      <c r="K1085" s="187"/>
      <c r="L1085" s="187"/>
      <c r="M1085" s="187"/>
      <c r="N1085" s="187"/>
      <c r="O1085" s="92"/>
      <c r="P1085" s="187"/>
      <c r="Q1085" s="187"/>
      <c r="R1085" s="187"/>
      <c r="S1085" s="187"/>
      <c r="T1085" s="85"/>
      <c r="U1085" s="189"/>
      <c r="V1085" s="189"/>
      <c r="W1085" s="189"/>
      <c r="X1085" s="189"/>
      <c r="Y1085" s="100"/>
      <c r="AA1085" s="96"/>
      <c r="AB1085" s="96"/>
      <c r="AC1085" s="96"/>
      <c r="AD1085" s="97"/>
      <c r="AE1085" s="96"/>
      <c r="AF1085" s="98"/>
      <c r="AG1085" s="96"/>
      <c r="AH1085" s="96"/>
      <c r="AI1085" s="96"/>
      <c r="AJ1085" s="96"/>
      <c r="AK1085" s="96"/>
      <c r="AL1085" s="96"/>
      <c r="AM1085" s="96"/>
      <c r="AN1085" s="96"/>
      <c r="AO1085" s="96"/>
      <c r="AP1085" s="96"/>
    </row>
    <row r="1086" spans="2:42" ht="12.75">
      <c r="B1086" s="186"/>
      <c r="C1086" s="85"/>
      <c r="D1086" s="85"/>
      <c r="E1086" s="187"/>
      <c r="F1086" s="187"/>
      <c r="G1086" s="187"/>
      <c r="H1086" s="187"/>
      <c r="I1086" s="92"/>
      <c r="J1086" s="92"/>
      <c r="K1086" s="187"/>
      <c r="L1086" s="187"/>
      <c r="M1086" s="187"/>
      <c r="N1086" s="187"/>
      <c r="O1086" s="92"/>
      <c r="P1086" s="187"/>
      <c r="Q1086" s="187"/>
      <c r="R1086" s="187"/>
      <c r="S1086" s="187"/>
      <c r="T1086" s="85"/>
      <c r="U1086" s="189"/>
      <c r="V1086" s="189"/>
      <c r="W1086" s="189"/>
      <c r="X1086" s="189"/>
      <c r="Y1086" s="100"/>
      <c r="AA1086" s="96"/>
      <c r="AB1086" s="96"/>
      <c r="AC1086" s="96"/>
      <c r="AD1086" s="97"/>
      <c r="AE1086" s="96"/>
      <c r="AF1086" s="98"/>
      <c r="AG1086" s="96"/>
      <c r="AH1086" s="96"/>
      <c r="AI1086" s="96"/>
      <c r="AJ1086" s="96"/>
      <c r="AK1086" s="96"/>
      <c r="AL1086" s="96"/>
      <c r="AM1086" s="96"/>
      <c r="AN1086" s="96"/>
      <c r="AO1086" s="96"/>
      <c r="AP1086" s="96"/>
    </row>
    <row r="1087" spans="2:42" ht="12.75">
      <c r="B1087" s="186"/>
      <c r="C1087" s="85"/>
      <c r="D1087" s="85"/>
      <c r="E1087" s="187"/>
      <c r="F1087" s="187"/>
      <c r="G1087" s="187"/>
      <c r="H1087" s="187"/>
      <c r="I1087" s="92"/>
      <c r="J1087" s="92"/>
      <c r="K1087" s="187"/>
      <c r="L1087" s="187"/>
      <c r="M1087" s="187"/>
      <c r="N1087" s="187"/>
      <c r="O1087" s="92"/>
      <c r="P1087" s="187"/>
      <c r="Q1087" s="187"/>
      <c r="R1087" s="187"/>
      <c r="S1087" s="187"/>
      <c r="T1087" s="85"/>
      <c r="U1087" s="189"/>
      <c r="V1087" s="189"/>
      <c r="W1087" s="189"/>
      <c r="X1087" s="189"/>
      <c r="Y1087" s="100"/>
      <c r="AA1087" s="96"/>
      <c r="AB1087" s="96"/>
      <c r="AC1087" s="96"/>
      <c r="AD1087" s="97"/>
      <c r="AE1087" s="96"/>
      <c r="AF1087" s="98"/>
      <c r="AG1087" s="96"/>
      <c r="AH1087" s="96"/>
      <c r="AI1087" s="96"/>
      <c r="AJ1087" s="96"/>
      <c r="AK1087" s="96"/>
      <c r="AL1087" s="96"/>
      <c r="AM1087" s="96"/>
      <c r="AN1087" s="96"/>
      <c r="AO1087" s="96"/>
      <c r="AP1087" s="96"/>
    </row>
    <row r="1088" spans="2:42" ht="12.75">
      <c r="B1088" s="186"/>
      <c r="C1088" s="85"/>
      <c r="D1088" s="85"/>
      <c r="E1088" s="187"/>
      <c r="F1088" s="187"/>
      <c r="G1088" s="187"/>
      <c r="H1088" s="187"/>
      <c r="I1088" s="92"/>
      <c r="J1088" s="92"/>
      <c r="K1088" s="187"/>
      <c r="L1088" s="187"/>
      <c r="M1088" s="187"/>
      <c r="N1088" s="187"/>
      <c r="O1088" s="92"/>
      <c r="P1088" s="187"/>
      <c r="Q1088" s="187"/>
      <c r="R1088" s="187"/>
      <c r="S1088" s="187"/>
      <c r="T1088" s="85"/>
      <c r="U1088" s="189"/>
      <c r="V1088" s="189"/>
      <c r="W1088" s="189"/>
      <c r="X1088" s="189"/>
      <c r="Y1088" s="100"/>
      <c r="AA1088" s="96"/>
      <c r="AB1088" s="96"/>
      <c r="AC1088" s="96"/>
      <c r="AD1088" s="97"/>
      <c r="AE1088" s="96"/>
      <c r="AF1088" s="98"/>
      <c r="AG1088" s="96"/>
      <c r="AH1088" s="96"/>
      <c r="AI1088" s="96"/>
      <c r="AJ1088" s="96"/>
      <c r="AK1088" s="96"/>
      <c r="AL1088" s="96"/>
      <c r="AM1088" s="96"/>
      <c r="AN1088" s="96"/>
      <c r="AO1088" s="96"/>
      <c r="AP1088" s="96"/>
    </row>
    <row r="1089" spans="2:42" ht="12.75">
      <c r="B1089" s="186"/>
      <c r="C1089" s="85"/>
      <c r="D1089" s="85"/>
      <c r="E1089" s="187"/>
      <c r="F1089" s="187"/>
      <c r="G1089" s="187"/>
      <c r="H1089" s="187"/>
      <c r="I1089" s="92"/>
      <c r="J1089" s="92"/>
      <c r="K1089" s="187"/>
      <c r="L1089" s="187"/>
      <c r="M1089" s="187"/>
      <c r="N1089" s="187"/>
      <c r="O1089" s="92"/>
      <c r="P1089" s="187"/>
      <c r="Q1089" s="187"/>
      <c r="R1089" s="187"/>
      <c r="S1089" s="187"/>
      <c r="T1089" s="85"/>
      <c r="U1089" s="189"/>
      <c r="V1089" s="189"/>
      <c r="W1089" s="189"/>
      <c r="X1089" s="189"/>
      <c r="Y1089" s="100"/>
      <c r="AA1089" s="96"/>
      <c r="AB1089" s="96"/>
      <c r="AC1089" s="96"/>
      <c r="AD1089" s="97"/>
      <c r="AE1089" s="96"/>
      <c r="AF1089" s="98"/>
      <c r="AG1089" s="96"/>
      <c r="AH1089" s="96"/>
      <c r="AI1089" s="96"/>
      <c r="AJ1089" s="96"/>
      <c r="AK1089" s="96"/>
      <c r="AL1089" s="96"/>
      <c r="AM1089" s="96"/>
      <c r="AN1089" s="96"/>
      <c r="AO1089" s="96"/>
      <c r="AP1089" s="96"/>
    </row>
    <row r="1090" spans="2:42" ht="12.75">
      <c r="B1090" s="186"/>
      <c r="C1090" s="85"/>
      <c r="D1090" s="85"/>
      <c r="E1090" s="187"/>
      <c r="F1090" s="187"/>
      <c r="G1090" s="187"/>
      <c r="H1090" s="187"/>
      <c r="I1090" s="92"/>
      <c r="J1090" s="92"/>
      <c r="K1090" s="187"/>
      <c r="L1090" s="187"/>
      <c r="M1090" s="187"/>
      <c r="N1090" s="187"/>
      <c r="O1090" s="92"/>
      <c r="P1090" s="187"/>
      <c r="Q1090" s="187"/>
      <c r="R1090" s="187"/>
      <c r="S1090" s="187"/>
      <c r="T1090" s="85"/>
      <c r="U1090" s="189"/>
      <c r="V1090" s="189"/>
      <c r="W1090" s="189"/>
      <c r="X1090" s="189"/>
      <c r="Y1090" s="100"/>
      <c r="AA1090" s="96"/>
      <c r="AB1090" s="96"/>
      <c r="AC1090" s="96"/>
      <c r="AD1090" s="97"/>
      <c r="AE1090" s="96"/>
      <c r="AF1090" s="98"/>
      <c r="AG1090" s="96"/>
      <c r="AH1090" s="96"/>
      <c r="AI1090" s="96"/>
      <c r="AJ1090" s="96"/>
      <c r="AK1090" s="96"/>
      <c r="AL1090" s="96"/>
      <c r="AM1090" s="96"/>
      <c r="AN1090" s="96"/>
      <c r="AO1090" s="96"/>
      <c r="AP1090" s="96"/>
    </row>
    <row r="1091" spans="2:42" ht="12.75">
      <c r="B1091" s="186"/>
      <c r="C1091" s="85"/>
      <c r="D1091" s="85"/>
      <c r="E1091" s="187"/>
      <c r="F1091" s="187"/>
      <c r="G1091" s="187"/>
      <c r="H1091" s="187"/>
      <c r="I1091" s="92"/>
      <c r="J1091" s="92"/>
      <c r="K1091" s="187"/>
      <c r="L1091" s="187"/>
      <c r="M1091" s="187"/>
      <c r="N1091" s="187"/>
      <c r="O1091" s="92"/>
      <c r="P1091" s="187"/>
      <c r="Q1091" s="187"/>
      <c r="R1091" s="187"/>
      <c r="S1091" s="187"/>
      <c r="T1091" s="85"/>
      <c r="U1091" s="189"/>
      <c r="V1091" s="189"/>
      <c r="W1091" s="189"/>
      <c r="X1091" s="189"/>
      <c r="Y1091" s="100"/>
      <c r="AA1091" s="96"/>
      <c r="AB1091" s="96"/>
      <c r="AC1091" s="96"/>
      <c r="AD1091" s="97"/>
      <c r="AE1091" s="96"/>
      <c r="AF1091" s="98"/>
      <c r="AG1091" s="96"/>
      <c r="AH1091" s="96"/>
      <c r="AI1091" s="96"/>
      <c r="AJ1091" s="96"/>
      <c r="AK1091" s="96"/>
      <c r="AL1091" s="96"/>
      <c r="AM1091" s="96"/>
      <c r="AN1091" s="96"/>
      <c r="AO1091" s="96"/>
      <c r="AP1091" s="96"/>
    </row>
    <row r="1092" spans="2:42" ht="12.75">
      <c r="B1092" s="186"/>
      <c r="C1092" s="85"/>
      <c r="D1092" s="85"/>
      <c r="E1092" s="187"/>
      <c r="F1092" s="187"/>
      <c r="G1092" s="187"/>
      <c r="H1092" s="187"/>
      <c r="I1092" s="92"/>
      <c r="J1092" s="92"/>
      <c r="K1092" s="187"/>
      <c r="L1092" s="187"/>
      <c r="M1092" s="187"/>
      <c r="N1092" s="187"/>
      <c r="O1092" s="92"/>
      <c r="P1092" s="187"/>
      <c r="Q1092" s="187"/>
      <c r="R1092" s="187"/>
      <c r="S1092" s="187"/>
      <c r="T1092" s="85"/>
      <c r="U1092" s="189"/>
      <c r="V1092" s="189"/>
      <c r="W1092" s="189"/>
      <c r="X1092" s="189"/>
      <c r="Y1092" s="100"/>
      <c r="AA1092" s="96"/>
      <c r="AB1092" s="96"/>
      <c r="AC1092" s="96"/>
      <c r="AD1092" s="97"/>
      <c r="AE1092" s="96"/>
      <c r="AF1092" s="98"/>
      <c r="AG1092" s="96"/>
      <c r="AH1092" s="96"/>
      <c r="AI1092" s="96"/>
      <c r="AJ1092" s="96"/>
      <c r="AK1092" s="96"/>
      <c r="AL1092" s="96"/>
      <c r="AM1092" s="96"/>
      <c r="AN1092" s="96"/>
      <c r="AO1092" s="96"/>
      <c r="AP1092" s="96"/>
    </row>
    <row r="1093" spans="2:42" ht="12.75">
      <c r="B1093" s="186"/>
      <c r="C1093" s="85"/>
      <c r="D1093" s="85"/>
      <c r="E1093" s="187"/>
      <c r="F1093" s="187"/>
      <c r="G1093" s="187"/>
      <c r="H1093" s="187"/>
      <c r="I1093" s="92"/>
      <c r="J1093" s="92"/>
      <c r="K1093" s="187"/>
      <c r="L1093" s="187"/>
      <c r="M1093" s="187"/>
      <c r="N1093" s="187"/>
      <c r="O1093" s="92"/>
      <c r="P1093" s="187"/>
      <c r="Q1093" s="187"/>
      <c r="R1093" s="187"/>
      <c r="S1093" s="187"/>
      <c r="T1093" s="85"/>
      <c r="U1093" s="189"/>
      <c r="V1093" s="189"/>
      <c r="W1093" s="189"/>
      <c r="X1093" s="189"/>
      <c r="Y1093" s="100"/>
      <c r="AA1093" s="96"/>
      <c r="AB1093" s="96"/>
      <c r="AC1093" s="96"/>
      <c r="AD1093" s="97"/>
      <c r="AE1093" s="96"/>
      <c r="AF1093" s="98"/>
      <c r="AG1093" s="96"/>
      <c r="AH1093" s="96"/>
      <c r="AI1093" s="96"/>
      <c r="AJ1093" s="96"/>
      <c r="AK1093" s="96"/>
      <c r="AL1093" s="96"/>
      <c r="AM1093" s="96"/>
      <c r="AN1093" s="96"/>
      <c r="AO1093" s="96"/>
      <c r="AP1093" s="96"/>
    </row>
    <row r="1094" spans="2:42" ht="12.75">
      <c r="B1094" s="186"/>
      <c r="C1094" s="85"/>
      <c r="D1094" s="85"/>
      <c r="E1094" s="187"/>
      <c r="F1094" s="187"/>
      <c r="G1094" s="187"/>
      <c r="H1094" s="187"/>
      <c r="I1094" s="92"/>
      <c r="J1094" s="92"/>
      <c r="K1094" s="187"/>
      <c r="L1094" s="187"/>
      <c r="M1094" s="187"/>
      <c r="N1094" s="187"/>
      <c r="O1094" s="92"/>
      <c r="P1094" s="187"/>
      <c r="Q1094" s="187"/>
      <c r="R1094" s="187"/>
      <c r="S1094" s="187"/>
      <c r="T1094" s="85"/>
      <c r="U1094" s="189"/>
      <c r="V1094" s="189"/>
      <c r="W1094" s="189"/>
      <c r="X1094" s="189"/>
      <c r="Y1094" s="100"/>
      <c r="AA1094" s="96"/>
      <c r="AB1094" s="96"/>
      <c r="AC1094" s="96"/>
      <c r="AD1094" s="97"/>
      <c r="AE1094" s="96"/>
      <c r="AF1094" s="98"/>
      <c r="AG1094" s="96"/>
      <c r="AH1094" s="96"/>
      <c r="AI1094" s="96"/>
      <c r="AJ1094" s="96"/>
      <c r="AK1094" s="96"/>
      <c r="AL1094" s="96"/>
      <c r="AM1094" s="96"/>
      <c r="AN1094" s="96"/>
      <c r="AO1094" s="96"/>
      <c r="AP1094" s="96"/>
    </row>
    <row r="1095" spans="2:42" ht="12.75">
      <c r="B1095" s="186"/>
      <c r="C1095" s="85"/>
      <c r="D1095" s="85"/>
      <c r="E1095" s="187"/>
      <c r="F1095" s="187"/>
      <c r="G1095" s="187"/>
      <c r="H1095" s="187"/>
      <c r="I1095" s="92"/>
      <c r="J1095" s="92"/>
      <c r="K1095" s="187"/>
      <c r="L1095" s="187"/>
      <c r="M1095" s="187"/>
      <c r="N1095" s="187"/>
      <c r="O1095" s="92"/>
      <c r="P1095" s="187"/>
      <c r="Q1095" s="187"/>
      <c r="R1095" s="187"/>
      <c r="S1095" s="187"/>
      <c r="T1095" s="85"/>
      <c r="U1095" s="189"/>
      <c r="V1095" s="189"/>
      <c r="W1095" s="189"/>
      <c r="X1095" s="189"/>
      <c r="Y1095" s="100"/>
      <c r="AA1095" s="96"/>
      <c r="AB1095" s="96"/>
      <c r="AC1095" s="96"/>
      <c r="AD1095" s="97"/>
      <c r="AE1095" s="96"/>
      <c r="AF1095" s="98"/>
      <c r="AG1095" s="96"/>
      <c r="AH1095" s="96"/>
      <c r="AI1095" s="96"/>
      <c r="AJ1095" s="96"/>
      <c r="AK1095" s="96"/>
      <c r="AL1095" s="96"/>
      <c r="AM1095" s="96"/>
      <c r="AN1095" s="96"/>
      <c r="AO1095" s="96"/>
      <c r="AP1095" s="96"/>
    </row>
    <row r="1096" spans="2:42" ht="12.75">
      <c r="B1096" s="186"/>
      <c r="C1096" s="85"/>
      <c r="D1096" s="85"/>
      <c r="E1096" s="187"/>
      <c r="F1096" s="187"/>
      <c r="G1096" s="187"/>
      <c r="H1096" s="187"/>
      <c r="I1096" s="92"/>
      <c r="J1096" s="92"/>
      <c r="K1096" s="187"/>
      <c r="L1096" s="187"/>
      <c r="M1096" s="187"/>
      <c r="N1096" s="187"/>
      <c r="O1096" s="92"/>
      <c r="P1096" s="187"/>
      <c r="Q1096" s="187"/>
      <c r="R1096" s="187"/>
      <c r="S1096" s="187"/>
      <c r="T1096" s="85"/>
      <c r="U1096" s="189"/>
      <c r="V1096" s="189"/>
      <c r="W1096" s="189"/>
      <c r="X1096" s="189"/>
      <c r="Y1096" s="100"/>
      <c r="AA1096" s="96"/>
      <c r="AB1096" s="96"/>
      <c r="AC1096" s="96"/>
      <c r="AD1096" s="97"/>
      <c r="AE1096" s="96"/>
      <c r="AF1096" s="98"/>
      <c r="AG1096" s="96"/>
      <c r="AH1096" s="96"/>
      <c r="AI1096" s="96"/>
      <c r="AJ1096" s="96"/>
      <c r="AK1096" s="96"/>
      <c r="AL1096" s="96"/>
      <c r="AM1096" s="96"/>
      <c r="AN1096" s="96"/>
      <c r="AO1096" s="96"/>
      <c r="AP1096" s="96"/>
    </row>
    <row r="1097" spans="2:42" ht="12.75">
      <c r="B1097" s="186"/>
      <c r="C1097" s="85"/>
      <c r="D1097" s="85"/>
      <c r="E1097" s="187"/>
      <c r="F1097" s="187"/>
      <c r="G1097" s="187"/>
      <c r="H1097" s="187"/>
      <c r="I1097" s="92"/>
      <c r="J1097" s="92"/>
      <c r="K1097" s="187"/>
      <c r="L1097" s="187"/>
      <c r="M1097" s="187"/>
      <c r="N1097" s="187"/>
      <c r="O1097" s="92"/>
      <c r="P1097" s="187"/>
      <c r="Q1097" s="187"/>
      <c r="R1097" s="187"/>
      <c r="S1097" s="187"/>
      <c r="T1097" s="85"/>
      <c r="U1097" s="189"/>
      <c r="V1097" s="189"/>
      <c r="W1097" s="189"/>
      <c r="X1097" s="189"/>
      <c r="Y1097" s="100"/>
      <c r="AA1097" s="96"/>
      <c r="AB1097" s="96"/>
      <c r="AC1097" s="96"/>
      <c r="AD1097" s="97"/>
      <c r="AE1097" s="96"/>
      <c r="AF1097" s="98"/>
      <c r="AG1097" s="96"/>
      <c r="AH1097" s="96"/>
      <c r="AI1097" s="96"/>
      <c r="AJ1097" s="96"/>
      <c r="AK1097" s="96"/>
      <c r="AL1097" s="96"/>
      <c r="AM1097" s="96"/>
      <c r="AN1097" s="96"/>
      <c r="AO1097" s="96"/>
      <c r="AP1097" s="96"/>
    </row>
    <row r="1098" spans="2:42" ht="12.75">
      <c r="B1098" s="186"/>
      <c r="C1098" s="85"/>
      <c r="D1098" s="85"/>
      <c r="E1098" s="187"/>
      <c r="F1098" s="187"/>
      <c r="G1098" s="187"/>
      <c r="H1098" s="187"/>
      <c r="I1098" s="92"/>
      <c r="J1098" s="92"/>
      <c r="K1098" s="187"/>
      <c r="L1098" s="187"/>
      <c r="M1098" s="187"/>
      <c r="N1098" s="187"/>
      <c r="O1098" s="92"/>
      <c r="P1098" s="187"/>
      <c r="Q1098" s="187"/>
      <c r="R1098" s="187"/>
      <c r="S1098" s="187"/>
      <c r="T1098" s="85"/>
      <c r="U1098" s="189"/>
      <c r="V1098" s="189"/>
      <c r="W1098" s="189"/>
      <c r="X1098" s="189"/>
      <c r="Y1098" s="100"/>
      <c r="AA1098" s="96"/>
      <c r="AB1098" s="96"/>
      <c r="AC1098" s="96"/>
      <c r="AD1098" s="97"/>
      <c r="AE1098" s="96"/>
      <c r="AF1098" s="98"/>
      <c r="AG1098" s="96"/>
      <c r="AH1098" s="96"/>
      <c r="AI1098" s="96"/>
      <c r="AJ1098" s="96"/>
      <c r="AK1098" s="96"/>
      <c r="AL1098" s="96"/>
      <c r="AM1098" s="96"/>
      <c r="AN1098" s="96"/>
      <c r="AO1098" s="96"/>
      <c r="AP1098" s="96"/>
    </row>
    <row r="1099" spans="2:42" ht="12.75">
      <c r="B1099" s="186"/>
      <c r="C1099" s="85"/>
      <c r="D1099" s="85"/>
      <c r="E1099" s="187"/>
      <c r="F1099" s="187"/>
      <c r="G1099" s="187"/>
      <c r="H1099" s="187"/>
      <c r="I1099" s="92"/>
      <c r="J1099" s="92"/>
      <c r="K1099" s="187"/>
      <c r="L1099" s="187"/>
      <c r="M1099" s="187"/>
      <c r="N1099" s="187"/>
      <c r="O1099" s="92"/>
      <c r="P1099" s="187"/>
      <c r="Q1099" s="187"/>
      <c r="R1099" s="187"/>
      <c r="S1099" s="187"/>
      <c r="T1099" s="85"/>
      <c r="U1099" s="189"/>
      <c r="V1099" s="189"/>
      <c r="W1099" s="189"/>
      <c r="X1099" s="189"/>
      <c r="Y1099" s="100"/>
      <c r="AA1099" s="96"/>
      <c r="AB1099" s="96"/>
      <c r="AC1099" s="96"/>
      <c r="AD1099" s="97"/>
      <c r="AE1099" s="96"/>
      <c r="AF1099" s="98"/>
      <c r="AG1099" s="96"/>
      <c r="AH1099" s="96"/>
      <c r="AI1099" s="96"/>
      <c r="AJ1099" s="96"/>
      <c r="AK1099" s="96"/>
      <c r="AL1099" s="96"/>
      <c r="AM1099" s="96"/>
      <c r="AN1099" s="96"/>
      <c r="AO1099" s="96"/>
      <c r="AP1099" s="96"/>
    </row>
    <row r="1100" spans="2:42" ht="12.75">
      <c r="B1100" s="186"/>
      <c r="C1100" s="85"/>
      <c r="D1100" s="85"/>
      <c r="E1100" s="187"/>
      <c r="F1100" s="187"/>
      <c r="G1100" s="187"/>
      <c r="H1100" s="187"/>
      <c r="I1100" s="92"/>
      <c r="J1100" s="92"/>
      <c r="K1100" s="187"/>
      <c r="L1100" s="187"/>
      <c r="M1100" s="187"/>
      <c r="N1100" s="187"/>
      <c r="O1100" s="92"/>
      <c r="P1100" s="187"/>
      <c r="Q1100" s="187"/>
      <c r="R1100" s="187"/>
      <c r="S1100" s="187"/>
      <c r="T1100" s="85"/>
      <c r="U1100" s="189"/>
      <c r="V1100" s="189"/>
      <c r="W1100" s="189"/>
      <c r="X1100" s="189"/>
      <c r="Y1100" s="100"/>
      <c r="AA1100" s="96"/>
      <c r="AB1100" s="96"/>
      <c r="AC1100" s="96"/>
      <c r="AD1100" s="97"/>
      <c r="AE1100" s="96"/>
      <c r="AF1100" s="98"/>
      <c r="AG1100" s="96"/>
      <c r="AH1100" s="96"/>
      <c r="AI1100" s="96"/>
      <c r="AJ1100" s="96"/>
      <c r="AK1100" s="96"/>
      <c r="AL1100" s="96"/>
      <c r="AM1100" s="96"/>
      <c r="AN1100" s="96"/>
      <c r="AO1100" s="96"/>
      <c r="AP1100" s="96"/>
    </row>
    <row r="1101" spans="2:42" ht="12.75">
      <c r="B1101" s="186"/>
      <c r="C1101" s="85"/>
      <c r="D1101" s="85"/>
      <c r="E1101" s="187"/>
      <c r="F1101" s="187"/>
      <c r="G1101" s="187"/>
      <c r="H1101" s="187"/>
      <c r="I1101" s="92"/>
      <c r="J1101" s="92"/>
      <c r="K1101" s="187"/>
      <c r="L1101" s="187"/>
      <c r="M1101" s="187"/>
      <c r="N1101" s="187"/>
      <c r="O1101" s="92"/>
      <c r="P1101" s="187"/>
      <c r="Q1101" s="187"/>
      <c r="R1101" s="187"/>
      <c r="S1101" s="187"/>
      <c r="T1101" s="85"/>
      <c r="U1101" s="189"/>
      <c r="V1101" s="189"/>
      <c r="W1101" s="189"/>
      <c r="X1101" s="189"/>
      <c r="Y1101" s="100"/>
      <c r="AA1101" s="96"/>
      <c r="AB1101" s="96"/>
      <c r="AC1101" s="96"/>
      <c r="AD1101" s="97"/>
      <c r="AE1101" s="96"/>
      <c r="AF1101" s="98"/>
      <c r="AG1101" s="96"/>
      <c r="AH1101" s="96"/>
      <c r="AI1101" s="96"/>
      <c r="AJ1101" s="96"/>
      <c r="AK1101" s="96"/>
      <c r="AL1101" s="96"/>
      <c r="AM1101" s="96"/>
      <c r="AN1101" s="96"/>
      <c r="AO1101" s="96"/>
      <c r="AP1101" s="96"/>
    </row>
    <row r="1102" spans="2:42" ht="12.75">
      <c r="B1102" s="186"/>
      <c r="C1102" s="85"/>
      <c r="D1102" s="85"/>
      <c r="E1102" s="187"/>
      <c r="F1102" s="187"/>
      <c r="G1102" s="187"/>
      <c r="H1102" s="187"/>
      <c r="I1102" s="92"/>
      <c r="J1102" s="92"/>
      <c r="K1102" s="187"/>
      <c r="L1102" s="187"/>
      <c r="M1102" s="187"/>
      <c r="N1102" s="187"/>
      <c r="O1102" s="92"/>
      <c r="P1102" s="187"/>
      <c r="Q1102" s="187"/>
      <c r="R1102" s="187"/>
      <c r="S1102" s="187"/>
      <c r="T1102" s="85"/>
      <c r="U1102" s="189"/>
      <c r="V1102" s="189"/>
      <c r="W1102" s="189"/>
      <c r="X1102" s="189"/>
      <c r="Y1102" s="100"/>
      <c r="AA1102" s="96"/>
      <c r="AB1102" s="96"/>
      <c r="AC1102" s="96"/>
      <c r="AD1102" s="97"/>
      <c r="AE1102" s="96"/>
      <c r="AF1102" s="98"/>
      <c r="AG1102" s="96"/>
      <c r="AH1102" s="96"/>
      <c r="AI1102" s="96"/>
      <c r="AJ1102" s="96"/>
      <c r="AK1102" s="96"/>
      <c r="AL1102" s="96"/>
      <c r="AM1102" s="96"/>
      <c r="AN1102" s="96"/>
      <c r="AO1102" s="96"/>
      <c r="AP1102" s="96"/>
    </row>
    <row r="1103" spans="2:42" ht="12.75">
      <c r="B1103" s="186"/>
      <c r="C1103" s="85"/>
      <c r="D1103" s="85"/>
      <c r="E1103" s="187"/>
      <c r="F1103" s="187"/>
      <c r="G1103" s="187"/>
      <c r="H1103" s="187"/>
      <c r="I1103" s="92"/>
      <c r="J1103" s="92"/>
      <c r="K1103" s="187"/>
      <c r="L1103" s="187"/>
      <c r="M1103" s="187"/>
      <c r="N1103" s="187"/>
      <c r="O1103" s="92"/>
      <c r="P1103" s="187"/>
      <c r="Q1103" s="187"/>
      <c r="R1103" s="187"/>
      <c r="S1103" s="187"/>
      <c r="T1103" s="85"/>
      <c r="U1103" s="189"/>
      <c r="V1103" s="189"/>
      <c r="W1103" s="189"/>
      <c r="X1103" s="189"/>
      <c r="Y1103" s="100"/>
      <c r="AA1103" s="96"/>
      <c r="AB1103" s="96"/>
      <c r="AC1103" s="96"/>
      <c r="AD1103" s="97"/>
      <c r="AE1103" s="96"/>
      <c r="AF1103" s="98"/>
      <c r="AG1103" s="96"/>
      <c r="AH1103" s="96"/>
      <c r="AI1103" s="96"/>
      <c r="AJ1103" s="96"/>
      <c r="AK1103" s="96"/>
      <c r="AL1103" s="96"/>
      <c r="AM1103" s="96"/>
      <c r="AN1103" s="96"/>
      <c r="AO1103" s="96"/>
      <c r="AP1103" s="96"/>
    </row>
    <row r="1104" spans="2:42" ht="12.75">
      <c r="B1104" s="186"/>
      <c r="C1104" s="85"/>
      <c r="D1104" s="85"/>
      <c r="E1104" s="187"/>
      <c r="F1104" s="187"/>
      <c r="G1104" s="187"/>
      <c r="H1104" s="187"/>
      <c r="I1104" s="92"/>
      <c r="J1104" s="92"/>
      <c r="K1104" s="187"/>
      <c r="L1104" s="187"/>
      <c r="M1104" s="187"/>
      <c r="N1104" s="187"/>
      <c r="O1104" s="92"/>
      <c r="P1104" s="187"/>
      <c r="Q1104" s="187"/>
      <c r="R1104" s="187"/>
      <c r="S1104" s="187"/>
      <c r="T1104" s="85"/>
      <c r="U1104" s="189"/>
      <c r="V1104" s="189"/>
      <c r="W1104" s="189"/>
      <c r="X1104" s="189"/>
      <c r="Y1104" s="100"/>
      <c r="AA1104" s="96"/>
      <c r="AB1104" s="96"/>
      <c r="AC1104" s="96"/>
      <c r="AD1104" s="97"/>
      <c r="AE1104" s="96"/>
      <c r="AF1104" s="98"/>
      <c r="AG1104" s="96"/>
      <c r="AH1104" s="96"/>
      <c r="AI1104" s="96"/>
      <c r="AJ1104" s="96"/>
      <c r="AK1104" s="96"/>
      <c r="AL1104" s="96"/>
      <c r="AM1104" s="96"/>
      <c r="AN1104" s="96"/>
      <c r="AO1104" s="96"/>
      <c r="AP1104" s="96"/>
    </row>
    <row r="1105" spans="2:42" ht="12.75">
      <c r="B1105" s="186"/>
      <c r="C1105" s="85"/>
      <c r="D1105" s="85"/>
      <c r="E1105" s="187"/>
      <c r="F1105" s="187"/>
      <c r="G1105" s="187"/>
      <c r="H1105" s="187"/>
      <c r="I1105" s="92"/>
      <c r="J1105" s="92"/>
      <c r="K1105" s="187"/>
      <c r="L1105" s="187"/>
      <c r="M1105" s="187"/>
      <c r="N1105" s="187"/>
      <c r="O1105" s="92"/>
      <c r="P1105" s="187"/>
      <c r="Q1105" s="187"/>
      <c r="R1105" s="187"/>
      <c r="S1105" s="187"/>
      <c r="T1105" s="85"/>
      <c r="U1105" s="189"/>
      <c r="V1105" s="189"/>
      <c r="W1105" s="189"/>
      <c r="X1105" s="189"/>
      <c r="Y1105" s="100"/>
      <c r="AA1105" s="96"/>
      <c r="AB1105" s="96"/>
      <c r="AC1105" s="96"/>
      <c r="AD1105" s="97"/>
      <c r="AE1105" s="96"/>
      <c r="AF1105" s="98"/>
      <c r="AG1105" s="96"/>
      <c r="AH1105" s="96"/>
      <c r="AI1105" s="96"/>
      <c r="AJ1105" s="96"/>
      <c r="AK1105" s="96"/>
      <c r="AL1105" s="96"/>
      <c r="AM1105" s="96"/>
      <c r="AN1105" s="96"/>
      <c r="AO1105" s="96"/>
      <c r="AP1105" s="96"/>
    </row>
    <row r="1106" spans="2:42" ht="12.75">
      <c r="B1106" s="186"/>
      <c r="C1106" s="85"/>
      <c r="D1106" s="85"/>
      <c r="E1106" s="187"/>
      <c r="F1106" s="187"/>
      <c r="G1106" s="187"/>
      <c r="H1106" s="187"/>
      <c r="I1106" s="92"/>
      <c r="J1106" s="92"/>
      <c r="K1106" s="187"/>
      <c r="L1106" s="187"/>
      <c r="M1106" s="187"/>
      <c r="N1106" s="187"/>
      <c r="O1106" s="92"/>
      <c r="P1106" s="187"/>
      <c r="Q1106" s="187"/>
      <c r="R1106" s="187"/>
      <c r="S1106" s="187"/>
      <c r="T1106" s="85"/>
      <c r="U1106" s="189"/>
      <c r="V1106" s="189"/>
      <c r="W1106" s="189"/>
      <c r="X1106" s="189"/>
      <c r="Y1106" s="100"/>
      <c r="AA1106" s="96"/>
      <c r="AB1106" s="96"/>
      <c r="AC1106" s="96"/>
      <c r="AD1106" s="97"/>
      <c r="AE1106" s="96"/>
      <c r="AF1106" s="98"/>
      <c r="AG1106" s="96"/>
      <c r="AH1106" s="96"/>
      <c r="AI1106" s="96"/>
      <c r="AJ1106" s="96"/>
      <c r="AK1106" s="96"/>
      <c r="AL1106" s="96"/>
      <c r="AM1106" s="96"/>
      <c r="AN1106" s="96"/>
      <c r="AO1106" s="96"/>
      <c r="AP1106" s="96"/>
    </row>
    <row r="1107" spans="2:42" ht="12.75">
      <c r="B1107" s="186"/>
      <c r="C1107" s="85"/>
      <c r="D1107" s="85"/>
      <c r="E1107" s="187"/>
      <c r="F1107" s="187"/>
      <c r="G1107" s="187"/>
      <c r="H1107" s="187"/>
      <c r="I1107" s="92"/>
      <c r="J1107" s="92"/>
      <c r="K1107" s="187"/>
      <c r="L1107" s="187"/>
      <c r="M1107" s="187"/>
      <c r="N1107" s="187"/>
      <c r="O1107" s="92"/>
      <c r="P1107" s="187"/>
      <c r="Q1107" s="187"/>
      <c r="R1107" s="187"/>
      <c r="S1107" s="187"/>
      <c r="T1107" s="85"/>
      <c r="U1107" s="189"/>
      <c r="V1107" s="189"/>
      <c r="W1107" s="189"/>
      <c r="X1107" s="189"/>
      <c r="Y1107" s="100"/>
      <c r="AA1107" s="96"/>
      <c r="AB1107" s="96"/>
      <c r="AC1107" s="96"/>
      <c r="AD1107" s="97"/>
      <c r="AE1107" s="96"/>
      <c r="AF1107" s="98"/>
      <c r="AG1107" s="96"/>
      <c r="AH1107" s="96"/>
      <c r="AI1107" s="96"/>
      <c r="AJ1107" s="96"/>
      <c r="AK1107" s="96"/>
      <c r="AL1107" s="96"/>
      <c r="AM1107" s="96"/>
      <c r="AN1107" s="96"/>
      <c r="AO1107" s="96"/>
      <c r="AP1107" s="96"/>
    </row>
    <row r="1108" spans="2:42" ht="12.75">
      <c r="B1108" s="186"/>
      <c r="C1108" s="85"/>
      <c r="D1108" s="85"/>
      <c r="E1108" s="187"/>
      <c r="F1108" s="187"/>
      <c r="G1108" s="187"/>
      <c r="H1108" s="187"/>
      <c r="I1108" s="92"/>
      <c r="J1108" s="92"/>
      <c r="K1108" s="187"/>
      <c r="L1108" s="187"/>
      <c r="M1108" s="187"/>
      <c r="N1108" s="187"/>
      <c r="O1108" s="92"/>
      <c r="P1108" s="187"/>
      <c r="Q1108" s="187"/>
      <c r="R1108" s="187"/>
      <c r="S1108" s="187"/>
      <c r="T1108" s="85"/>
      <c r="U1108" s="189"/>
      <c r="V1108" s="189"/>
      <c r="W1108" s="189"/>
      <c r="X1108" s="189"/>
      <c r="Y1108" s="100"/>
      <c r="AA1108" s="96"/>
      <c r="AB1108" s="96"/>
      <c r="AC1108" s="96"/>
      <c r="AD1108" s="97"/>
      <c r="AE1108" s="96"/>
      <c r="AF1108" s="98"/>
      <c r="AG1108" s="96"/>
      <c r="AH1108" s="96"/>
      <c r="AI1108" s="96"/>
      <c r="AJ1108" s="96"/>
      <c r="AK1108" s="96"/>
      <c r="AL1108" s="96"/>
      <c r="AM1108" s="96"/>
      <c r="AN1108" s="96"/>
      <c r="AO1108" s="96"/>
      <c r="AP1108" s="96"/>
    </row>
    <row r="1109" spans="2:42" ht="12.75">
      <c r="B1109" s="186"/>
      <c r="C1109" s="85"/>
      <c r="D1109" s="85"/>
      <c r="E1109" s="187"/>
      <c r="F1109" s="187"/>
      <c r="G1109" s="187"/>
      <c r="H1109" s="187"/>
      <c r="I1109" s="92"/>
      <c r="J1109" s="92"/>
      <c r="K1109" s="187"/>
      <c r="L1109" s="187"/>
      <c r="M1109" s="187"/>
      <c r="N1109" s="187"/>
      <c r="O1109" s="92"/>
      <c r="P1109" s="187"/>
      <c r="Q1109" s="187"/>
      <c r="R1109" s="187"/>
      <c r="S1109" s="187"/>
      <c r="T1109" s="85"/>
      <c r="U1109" s="189"/>
      <c r="V1109" s="189"/>
      <c r="W1109" s="189"/>
      <c r="X1109" s="189"/>
      <c r="Y1109" s="100"/>
      <c r="AA1109" s="96"/>
      <c r="AB1109" s="96"/>
      <c r="AC1109" s="96"/>
      <c r="AD1109" s="97"/>
      <c r="AE1109" s="96"/>
      <c r="AF1109" s="98"/>
      <c r="AG1109" s="96"/>
      <c r="AH1109" s="96"/>
      <c r="AI1109" s="96"/>
      <c r="AJ1109" s="96"/>
      <c r="AK1109" s="96"/>
      <c r="AL1109" s="96"/>
      <c r="AM1109" s="96"/>
      <c r="AN1109" s="96"/>
      <c r="AO1109" s="96"/>
      <c r="AP1109" s="96"/>
    </row>
    <row r="1110" spans="2:42" ht="12.75">
      <c r="B1110" s="186"/>
      <c r="C1110" s="85"/>
      <c r="D1110" s="85"/>
      <c r="E1110" s="187"/>
      <c r="F1110" s="187"/>
      <c r="G1110" s="187"/>
      <c r="H1110" s="187"/>
      <c r="I1110" s="92"/>
      <c r="J1110" s="92"/>
      <c r="K1110" s="187"/>
      <c r="L1110" s="187"/>
      <c r="M1110" s="187"/>
      <c r="N1110" s="187"/>
      <c r="O1110" s="92"/>
      <c r="P1110" s="187"/>
      <c r="Q1110" s="187"/>
      <c r="R1110" s="187"/>
      <c r="S1110" s="187"/>
      <c r="T1110" s="85"/>
      <c r="U1110" s="189"/>
      <c r="V1110" s="189"/>
      <c r="W1110" s="189"/>
      <c r="X1110" s="189"/>
      <c r="Y1110" s="100"/>
      <c r="AA1110" s="96"/>
      <c r="AB1110" s="96"/>
      <c r="AC1110" s="96"/>
      <c r="AD1110" s="97"/>
      <c r="AE1110" s="96"/>
      <c r="AF1110" s="98"/>
      <c r="AG1110" s="96"/>
      <c r="AH1110" s="96"/>
      <c r="AI1110" s="96"/>
      <c r="AJ1110" s="96"/>
      <c r="AK1110" s="96"/>
      <c r="AL1110" s="96"/>
      <c r="AM1110" s="96"/>
      <c r="AN1110" s="96"/>
      <c r="AO1110" s="96"/>
      <c r="AP1110" s="96"/>
    </row>
    <row r="1111" spans="2:42" ht="12.75">
      <c r="B1111" s="186"/>
      <c r="C1111" s="85"/>
      <c r="D1111" s="85"/>
      <c r="E1111" s="187"/>
      <c r="F1111" s="187"/>
      <c r="G1111" s="187"/>
      <c r="H1111" s="187"/>
      <c r="I1111" s="92"/>
      <c r="J1111" s="92"/>
      <c r="K1111" s="187"/>
      <c r="L1111" s="187"/>
      <c r="M1111" s="187"/>
      <c r="N1111" s="187"/>
      <c r="O1111" s="92"/>
      <c r="P1111" s="187"/>
      <c r="Q1111" s="187"/>
      <c r="R1111" s="187"/>
      <c r="S1111" s="187"/>
      <c r="T1111" s="85"/>
      <c r="U1111" s="189"/>
      <c r="V1111" s="189"/>
      <c r="W1111" s="189"/>
      <c r="X1111" s="189"/>
      <c r="Y1111" s="100"/>
      <c r="AA1111" s="96"/>
      <c r="AB1111" s="96"/>
      <c r="AC1111" s="96"/>
      <c r="AD1111" s="97"/>
      <c r="AE1111" s="96"/>
      <c r="AF1111" s="98"/>
      <c r="AG1111" s="96"/>
      <c r="AH1111" s="96"/>
      <c r="AI1111" s="96"/>
      <c r="AJ1111" s="96"/>
      <c r="AK1111" s="96"/>
      <c r="AL1111" s="96"/>
      <c r="AM1111" s="96"/>
      <c r="AN1111" s="96"/>
      <c r="AO1111" s="96"/>
      <c r="AP1111" s="96"/>
    </row>
    <row r="1112" spans="2:42" ht="12.75">
      <c r="B1112" s="186"/>
      <c r="C1112" s="85"/>
      <c r="D1112" s="85"/>
      <c r="E1112" s="187"/>
      <c r="F1112" s="187"/>
      <c r="G1112" s="187"/>
      <c r="H1112" s="187"/>
      <c r="I1112" s="92"/>
      <c r="J1112" s="92"/>
      <c r="K1112" s="187"/>
      <c r="L1112" s="187"/>
      <c r="M1112" s="187"/>
      <c r="N1112" s="187"/>
      <c r="O1112" s="92"/>
      <c r="P1112" s="187"/>
      <c r="Q1112" s="187"/>
      <c r="R1112" s="187"/>
      <c r="S1112" s="187"/>
      <c r="T1112" s="85"/>
      <c r="U1112" s="189"/>
      <c r="V1112" s="189"/>
      <c r="W1112" s="189"/>
      <c r="X1112" s="189"/>
      <c r="Y1112" s="100"/>
      <c r="AA1112" s="96"/>
      <c r="AB1112" s="96"/>
      <c r="AC1112" s="96"/>
      <c r="AD1112" s="97"/>
      <c r="AE1112" s="96"/>
      <c r="AF1112" s="98"/>
      <c r="AG1112" s="96"/>
      <c r="AH1112" s="96"/>
      <c r="AI1112" s="96"/>
      <c r="AJ1112" s="96"/>
      <c r="AK1112" s="96"/>
      <c r="AL1112" s="96"/>
      <c r="AM1112" s="96"/>
      <c r="AN1112" s="96"/>
      <c r="AO1112" s="96"/>
      <c r="AP1112" s="96"/>
    </row>
    <row r="1113" spans="2:42" ht="12.75">
      <c r="B1113" s="186"/>
      <c r="C1113" s="85"/>
      <c r="D1113" s="85"/>
      <c r="E1113" s="187"/>
      <c r="F1113" s="187"/>
      <c r="G1113" s="187"/>
      <c r="H1113" s="187"/>
      <c r="I1113" s="92"/>
      <c r="J1113" s="92"/>
      <c r="K1113" s="187"/>
      <c r="L1113" s="187"/>
      <c r="M1113" s="187"/>
      <c r="N1113" s="187"/>
      <c r="O1113" s="92"/>
      <c r="P1113" s="187"/>
      <c r="Q1113" s="187"/>
      <c r="R1113" s="187"/>
      <c r="S1113" s="187"/>
      <c r="T1113" s="85"/>
      <c r="U1113" s="189"/>
      <c r="V1113" s="189"/>
      <c r="W1113" s="189"/>
      <c r="X1113" s="189"/>
      <c r="Y1113" s="100"/>
      <c r="AA1113" s="96"/>
      <c r="AB1113" s="96"/>
      <c r="AC1113" s="96"/>
      <c r="AD1113" s="97"/>
      <c r="AE1113" s="96"/>
      <c r="AF1113" s="98"/>
      <c r="AG1113" s="96"/>
      <c r="AH1113" s="96"/>
      <c r="AI1113" s="96"/>
      <c r="AJ1113" s="96"/>
      <c r="AK1113" s="96"/>
      <c r="AL1113" s="96"/>
      <c r="AM1113" s="96"/>
      <c r="AN1113" s="96"/>
      <c r="AO1113" s="96"/>
      <c r="AP1113" s="96"/>
    </row>
    <row r="1114" spans="2:42" ht="12.75">
      <c r="B1114" s="186"/>
      <c r="C1114" s="85"/>
      <c r="D1114" s="85"/>
      <c r="E1114" s="187"/>
      <c r="F1114" s="187"/>
      <c r="G1114" s="187"/>
      <c r="H1114" s="187"/>
      <c r="I1114" s="92"/>
      <c r="J1114" s="92"/>
      <c r="K1114" s="187"/>
      <c r="L1114" s="187"/>
      <c r="M1114" s="187"/>
      <c r="N1114" s="187"/>
      <c r="O1114" s="92"/>
      <c r="P1114" s="187"/>
      <c r="Q1114" s="187"/>
      <c r="R1114" s="187"/>
      <c r="S1114" s="187"/>
      <c r="T1114" s="85"/>
      <c r="U1114" s="189"/>
      <c r="V1114" s="189"/>
      <c r="W1114" s="189"/>
      <c r="X1114" s="189"/>
      <c r="Y1114" s="100"/>
      <c r="AA1114" s="96"/>
      <c r="AB1114" s="96"/>
      <c r="AC1114" s="96"/>
      <c r="AD1114" s="97"/>
      <c r="AE1114" s="96"/>
      <c r="AF1114" s="98"/>
      <c r="AG1114" s="96"/>
      <c r="AH1114" s="96"/>
      <c r="AI1114" s="96"/>
      <c r="AJ1114" s="96"/>
      <c r="AK1114" s="96"/>
      <c r="AL1114" s="96"/>
      <c r="AM1114" s="96"/>
      <c r="AN1114" s="96"/>
      <c r="AO1114" s="96"/>
      <c r="AP1114" s="96"/>
    </row>
    <row r="1115" spans="2:42" ht="12.75">
      <c r="B1115" s="186"/>
      <c r="C1115" s="85"/>
      <c r="D1115" s="85"/>
      <c r="E1115" s="187"/>
      <c r="F1115" s="187"/>
      <c r="G1115" s="187"/>
      <c r="H1115" s="187"/>
      <c r="I1115" s="92"/>
      <c r="J1115" s="92"/>
      <c r="K1115" s="187"/>
      <c r="L1115" s="187"/>
      <c r="M1115" s="187"/>
      <c r="N1115" s="187"/>
      <c r="O1115" s="92"/>
      <c r="P1115" s="187"/>
      <c r="Q1115" s="187"/>
      <c r="R1115" s="187"/>
      <c r="S1115" s="187"/>
      <c r="T1115" s="85"/>
      <c r="U1115" s="189"/>
      <c r="V1115" s="189"/>
      <c r="W1115" s="189"/>
      <c r="X1115" s="189"/>
      <c r="Y1115" s="100"/>
      <c r="AA1115" s="96"/>
      <c r="AB1115" s="96"/>
      <c r="AC1115" s="96"/>
      <c r="AD1115" s="97"/>
      <c r="AE1115" s="96"/>
      <c r="AF1115" s="98"/>
      <c r="AG1115" s="96"/>
      <c r="AH1115" s="96"/>
      <c r="AI1115" s="96"/>
      <c r="AJ1115" s="96"/>
      <c r="AK1115" s="96"/>
      <c r="AL1115" s="96"/>
      <c r="AM1115" s="96"/>
      <c r="AN1115" s="96"/>
      <c r="AO1115" s="96"/>
      <c r="AP1115" s="96"/>
    </row>
    <row r="1116" spans="2:42" ht="12.75">
      <c r="B1116" s="186"/>
      <c r="C1116" s="85"/>
      <c r="D1116" s="85"/>
      <c r="E1116" s="187"/>
      <c r="F1116" s="187"/>
      <c r="G1116" s="187"/>
      <c r="H1116" s="187"/>
      <c r="I1116" s="92"/>
      <c r="J1116" s="92"/>
      <c r="K1116" s="187"/>
      <c r="L1116" s="187"/>
      <c r="M1116" s="187"/>
      <c r="N1116" s="187"/>
      <c r="O1116" s="92"/>
      <c r="P1116" s="187"/>
      <c r="Q1116" s="187"/>
      <c r="R1116" s="187"/>
      <c r="S1116" s="187"/>
      <c r="T1116" s="85"/>
      <c r="U1116" s="189"/>
      <c r="V1116" s="189"/>
      <c r="W1116" s="189"/>
      <c r="X1116" s="189"/>
      <c r="Y1116" s="100"/>
      <c r="AA1116" s="96"/>
      <c r="AB1116" s="96"/>
      <c r="AC1116" s="96"/>
      <c r="AD1116" s="97"/>
      <c r="AE1116" s="96"/>
      <c r="AF1116" s="98"/>
      <c r="AG1116" s="96"/>
      <c r="AH1116" s="96"/>
      <c r="AI1116" s="96"/>
      <c r="AJ1116" s="96"/>
      <c r="AK1116" s="96"/>
      <c r="AL1116" s="96"/>
      <c r="AM1116" s="96"/>
      <c r="AN1116" s="96"/>
      <c r="AO1116" s="96"/>
      <c r="AP1116" s="96"/>
    </row>
    <row r="1117" spans="2:42" ht="12.75">
      <c r="B1117" s="186"/>
      <c r="C1117" s="85"/>
      <c r="D1117" s="85"/>
      <c r="E1117" s="187"/>
      <c r="F1117" s="187"/>
      <c r="G1117" s="187"/>
      <c r="H1117" s="187"/>
      <c r="I1117" s="92"/>
      <c r="J1117" s="92"/>
      <c r="K1117" s="187"/>
      <c r="L1117" s="187"/>
      <c r="M1117" s="187"/>
      <c r="N1117" s="187"/>
      <c r="O1117" s="92"/>
      <c r="P1117" s="187"/>
      <c r="Q1117" s="187"/>
      <c r="R1117" s="187"/>
      <c r="S1117" s="187"/>
      <c r="T1117" s="85"/>
      <c r="U1117" s="189"/>
      <c r="V1117" s="189"/>
      <c r="W1117" s="189"/>
      <c r="X1117" s="189"/>
      <c r="Y1117" s="100"/>
      <c r="AA1117" s="96"/>
      <c r="AB1117" s="96"/>
      <c r="AC1117" s="96"/>
      <c r="AD1117" s="97"/>
      <c r="AE1117" s="96"/>
      <c r="AF1117" s="98"/>
      <c r="AG1117" s="96"/>
      <c r="AH1117" s="96"/>
      <c r="AI1117" s="96"/>
      <c r="AJ1117" s="96"/>
      <c r="AK1117" s="96"/>
      <c r="AL1117" s="96"/>
      <c r="AM1117" s="96"/>
      <c r="AN1117" s="96"/>
      <c r="AO1117" s="96"/>
      <c r="AP1117" s="96"/>
    </row>
    <row r="1118" spans="2:42" ht="12.75">
      <c r="B1118" s="186"/>
      <c r="C1118" s="85"/>
      <c r="D1118" s="85"/>
      <c r="E1118" s="187"/>
      <c r="F1118" s="187"/>
      <c r="G1118" s="187"/>
      <c r="H1118" s="187"/>
      <c r="I1118" s="92"/>
      <c r="J1118" s="92"/>
      <c r="K1118" s="187"/>
      <c r="L1118" s="187"/>
      <c r="M1118" s="187"/>
      <c r="N1118" s="187"/>
      <c r="O1118" s="92"/>
      <c r="P1118" s="187"/>
      <c r="Q1118" s="187"/>
      <c r="R1118" s="187"/>
      <c r="S1118" s="187"/>
      <c r="T1118" s="85"/>
      <c r="U1118" s="189"/>
      <c r="V1118" s="189"/>
      <c r="W1118" s="189"/>
      <c r="X1118" s="189"/>
      <c r="Y1118" s="100"/>
      <c r="AA1118" s="96"/>
      <c r="AB1118" s="96"/>
      <c r="AC1118" s="96"/>
      <c r="AD1118" s="97"/>
      <c r="AE1118" s="96"/>
      <c r="AF1118" s="98"/>
      <c r="AG1118" s="96"/>
      <c r="AH1118" s="96"/>
      <c r="AI1118" s="96"/>
      <c r="AJ1118" s="96"/>
      <c r="AK1118" s="96"/>
      <c r="AL1118" s="96"/>
      <c r="AM1118" s="96"/>
      <c r="AN1118" s="96"/>
      <c r="AO1118" s="96"/>
      <c r="AP1118" s="96"/>
    </row>
    <row r="1119" spans="2:42" ht="12.75">
      <c r="B1119" s="186"/>
      <c r="C1119" s="85"/>
      <c r="D1119" s="85"/>
      <c r="E1119" s="187"/>
      <c r="F1119" s="187"/>
      <c r="G1119" s="187"/>
      <c r="H1119" s="187"/>
      <c r="I1119" s="92"/>
      <c r="J1119" s="92"/>
      <c r="K1119" s="187"/>
      <c r="L1119" s="187"/>
      <c r="M1119" s="187"/>
      <c r="N1119" s="187"/>
      <c r="O1119" s="92"/>
      <c r="P1119" s="187"/>
      <c r="Q1119" s="187"/>
      <c r="R1119" s="187"/>
      <c r="S1119" s="187"/>
      <c r="T1119" s="85"/>
      <c r="U1119" s="189"/>
      <c r="V1119" s="189"/>
      <c r="W1119" s="189"/>
      <c r="X1119" s="189"/>
      <c r="Y1119" s="100"/>
      <c r="AA1119" s="96"/>
      <c r="AB1119" s="96"/>
      <c r="AC1119" s="96"/>
      <c r="AD1119" s="97"/>
      <c r="AE1119" s="96"/>
      <c r="AF1119" s="98"/>
      <c r="AG1119" s="96"/>
      <c r="AH1119" s="96"/>
      <c r="AI1119" s="96"/>
      <c r="AJ1119" s="96"/>
      <c r="AK1119" s="96"/>
      <c r="AL1119" s="96"/>
      <c r="AM1119" s="96"/>
      <c r="AN1119" s="96"/>
      <c r="AO1119" s="96"/>
      <c r="AP1119" s="96"/>
    </row>
    <row r="1120" spans="2:42" ht="12.75">
      <c r="B1120" s="186"/>
      <c r="C1120" s="85"/>
      <c r="D1120" s="85"/>
      <c r="E1120" s="187"/>
      <c r="F1120" s="187"/>
      <c r="G1120" s="187"/>
      <c r="H1120" s="187"/>
      <c r="I1120" s="92"/>
      <c r="J1120" s="92"/>
      <c r="K1120" s="187"/>
      <c r="L1120" s="187"/>
      <c r="M1120" s="187"/>
      <c r="N1120" s="187"/>
      <c r="O1120" s="92"/>
      <c r="P1120" s="187"/>
      <c r="Q1120" s="187"/>
      <c r="R1120" s="187"/>
      <c r="S1120" s="187"/>
      <c r="T1120" s="85"/>
      <c r="U1120" s="189"/>
      <c r="V1120" s="189"/>
      <c r="W1120" s="189"/>
      <c r="X1120" s="189"/>
      <c r="Y1120" s="100"/>
      <c r="AA1120" s="96"/>
      <c r="AB1120" s="96"/>
      <c r="AC1120" s="96"/>
      <c r="AD1120" s="97"/>
      <c r="AE1120" s="96"/>
      <c r="AF1120" s="98"/>
      <c r="AG1120" s="96"/>
      <c r="AH1120" s="96"/>
      <c r="AI1120" s="96"/>
      <c r="AJ1120" s="96"/>
      <c r="AK1120" s="96"/>
      <c r="AL1120" s="96"/>
      <c r="AM1120" s="96"/>
      <c r="AN1120" s="96"/>
      <c r="AO1120" s="96"/>
      <c r="AP1120" s="96"/>
    </row>
    <row r="1121" spans="2:42" ht="12.75">
      <c r="B1121" s="186"/>
      <c r="C1121" s="85"/>
      <c r="D1121" s="85"/>
      <c r="E1121" s="187"/>
      <c r="F1121" s="187"/>
      <c r="G1121" s="187"/>
      <c r="H1121" s="187"/>
      <c r="I1121" s="92"/>
      <c r="J1121" s="92"/>
      <c r="K1121" s="187"/>
      <c r="L1121" s="187"/>
      <c r="M1121" s="187"/>
      <c r="N1121" s="187"/>
      <c r="O1121" s="92"/>
      <c r="P1121" s="187"/>
      <c r="Q1121" s="187"/>
      <c r="R1121" s="187"/>
      <c r="S1121" s="187"/>
      <c r="T1121" s="85"/>
      <c r="U1121" s="189"/>
      <c r="V1121" s="189"/>
      <c r="W1121" s="189"/>
      <c r="X1121" s="189"/>
      <c r="Y1121" s="100"/>
      <c r="AA1121" s="96"/>
      <c r="AB1121" s="96"/>
      <c r="AC1121" s="96"/>
      <c r="AD1121" s="97"/>
      <c r="AE1121" s="96"/>
      <c r="AF1121" s="98"/>
      <c r="AG1121" s="96"/>
      <c r="AH1121" s="96"/>
      <c r="AI1121" s="96"/>
      <c r="AJ1121" s="96"/>
      <c r="AK1121" s="96"/>
      <c r="AL1121" s="96"/>
      <c r="AM1121" s="96"/>
      <c r="AN1121" s="96"/>
      <c r="AO1121" s="96"/>
      <c r="AP1121" s="96"/>
    </row>
    <row r="1122" spans="2:42" ht="12.75">
      <c r="B1122" s="186"/>
      <c r="C1122" s="85"/>
      <c r="D1122" s="85"/>
      <c r="E1122" s="187"/>
      <c r="F1122" s="187"/>
      <c r="G1122" s="187"/>
      <c r="H1122" s="187"/>
      <c r="I1122" s="92"/>
      <c r="J1122" s="92"/>
      <c r="K1122" s="187"/>
      <c r="L1122" s="187"/>
      <c r="M1122" s="187"/>
      <c r="N1122" s="187"/>
      <c r="O1122" s="92"/>
      <c r="P1122" s="187"/>
      <c r="Q1122" s="187"/>
      <c r="R1122" s="187"/>
      <c r="S1122" s="187"/>
      <c r="T1122" s="85"/>
      <c r="U1122" s="189"/>
      <c r="V1122" s="189"/>
      <c r="W1122" s="189"/>
      <c r="X1122" s="189"/>
      <c r="Y1122" s="100"/>
      <c r="AA1122" s="96"/>
      <c r="AB1122" s="96"/>
      <c r="AC1122" s="96"/>
      <c r="AD1122" s="97"/>
      <c r="AE1122" s="96"/>
      <c r="AF1122" s="98"/>
      <c r="AG1122" s="96"/>
      <c r="AH1122" s="96"/>
      <c r="AI1122" s="96"/>
      <c r="AJ1122" s="96"/>
      <c r="AK1122" s="96"/>
      <c r="AL1122" s="96"/>
      <c r="AM1122" s="96"/>
      <c r="AN1122" s="96"/>
      <c r="AO1122" s="96"/>
      <c r="AP1122" s="96"/>
    </row>
    <row r="1123" spans="2:42" ht="12.75">
      <c r="B1123" s="186"/>
      <c r="C1123" s="85"/>
      <c r="D1123" s="85"/>
      <c r="E1123" s="187"/>
      <c r="F1123" s="187"/>
      <c r="G1123" s="187"/>
      <c r="H1123" s="187"/>
      <c r="I1123" s="92"/>
      <c r="J1123" s="92"/>
      <c r="K1123" s="187"/>
      <c r="L1123" s="187"/>
      <c r="M1123" s="187"/>
      <c r="N1123" s="187"/>
      <c r="O1123" s="92"/>
      <c r="P1123" s="187"/>
      <c r="Q1123" s="187"/>
      <c r="R1123" s="187"/>
      <c r="S1123" s="187"/>
      <c r="T1123" s="85"/>
      <c r="U1123" s="189"/>
      <c r="V1123" s="189"/>
      <c r="W1123" s="189"/>
      <c r="X1123" s="189"/>
      <c r="Y1123" s="100"/>
      <c r="AA1123" s="96"/>
      <c r="AB1123" s="96"/>
      <c r="AC1123" s="96"/>
      <c r="AD1123" s="97"/>
      <c r="AE1123" s="96"/>
      <c r="AF1123" s="98"/>
      <c r="AG1123" s="96"/>
      <c r="AH1123" s="96"/>
      <c r="AI1123" s="96"/>
      <c r="AJ1123" s="96"/>
      <c r="AK1123" s="96"/>
      <c r="AL1123" s="96"/>
      <c r="AM1123" s="96"/>
      <c r="AN1123" s="96"/>
      <c r="AO1123" s="96"/>
      <c r="AP1123" s="96"/>
    </row>
    <row r="1124" spans="2:42" ht="12.75">
      <c r="B1124" s="186"/>
      <c r="C1124" s="85"/>
      <c r="D1124" s="85"/>
      <c r="E1124" s="187"/>
      <c r="F1124" s="187"/>
      <c r="G1124" s="187"/>
      <c r="H1124" s="187"/>
      <c r="I1124" s="92"/>
      <c r="J1124" s="92"/>
      <c r="K1124" s="187"/>
      <c r="L1124" s="187"/>
      <c r="M1124" s="187"/>
      <c r="N1124" s="187"/>
      <c r="O1124" s="92"/>
      <c r="P1124" s="187"/>
      <c r="Q1124" s="187"/>
      <c r="R1124" s="187"/>
      <c r="S1124" s="187"/>
      <c r="T1124" s="85"/>
      <c r="U1124" s="189"/>
      <c r="V1124" s="189"/>
      <c r="W1124" s="189"/>
      <c r="X1124" s="189"/>
      <c r="Y1124" s="100"/>
      <c r="AA1124" s="96"/>
      <c r="AB1124" s="96"/>
      <c r="AC1124" s="96"/>
      <c r="AD1124" s="97"/>
      <c r="AE1124" s="96"/>
      <c r="AF1124" s="98"/>
      <c r="AG1124" s="96"/>
      <c r="AH1124" s="96"/>
      <c r="AI1124" s="96"/>
      <c r="AJ1124" s="96"/>
      <c r="AK1124" s="96"/>
      <c r="AL1124" s="96"/>
      <c r="AM1124" s="96"/>
      <c r="AN1124" s="96"/>
      <c r="AO1124" s="96"/>
      <c r="AP1124" s="96"/>
    </row>
    <row r="1125" spans="2:42" ht="12.75">
      <c r="B1125" s="186"/>
      <c r="C1125" s="85"/>
      <c r="D1125" s="85"/>
      <c r="E1125" s="187"/>
      <c r="F1125" s="187"/>
      <c r="G1125" s="187"/>
      <c r="H1125" s="187"/>
      <c r="I1125" s="92"/>
      <c r="J1125" s="92"/>
      <c r="K1125" s="187"/>
      <c r="L1125" s="187"/>
      <c r="M1125" s="187"/>
      <c r="N1125" s="187"/>
      <c r="O1125" s="92"/>
      <c r="P1125" s="187"/>
      <c r="Q1125" s="187"/>
      <c r="R1125" s="187"/>
      <c r="S1125" s="187"/>
      <c r="T1125" s="85"/>
      <c r="U1125" s="189"/>
      <c r="V1125" s="189"/>
      <c r="W1125" s="189"/>
      <c r="X1125" s="189"/>
      <c r="Y1125" s="100"/>
      <c r="AA1125" s="96"/>
      <c r="AB1125" s="96"/>
      <c r="AC1125" s="96"/>
      <c r="AD1125" s="97"/>
      <c r="AE1125" s="96"/>
      <c r="AF1125" s="98"/>
      <c r="AG1125" s="96"/>
      <c r="AH1125" s="96"/>
      <c r="AI1125" s="96"/>
      <c r="AJ1125" s="96"/>
      <c r="AK1125" s="96"/>
      <c r="AL1125" s="96"/>
      <c r="AM1125" s="96"/>
      <c r="AN1125" s="96"/>
      <c r="AO1125" s="96"/>
      <c r="AP1125" s="96"/>
    </row>
    <row r="1126" spans="2:42" ht="12.75">
      <c r="B1126" s="186"/>
      <c r="C1126" s="85"/>
      <c r="D1126" s="85"/>
      <c r="E1126" s="187"/>
      <c r="F1126" s="187"/>
      <c r="G1126" s="187"/>
      <c r="H1126" s="187"/>
      <c r="I1126" s="92"/>
      <c r="J1126" s="92"/>
      <c r="K1126" s="187"/>
      <c r="L1126" s="187"/>
      <c r="M1126" s="187"/>
      <c r="N1126" s="187"/>
      <c r="O1126" s="92"/>
      <c r="P1126" s="187"/>
      <c r="Q1126" s="187"/>
      <c r="R1126" s="187"/>
      <c r="S1126" s="187"/>
      <c r="T1126" s="85"/>
      <c r="U1126" s="189"/>
      <c r="V1126" s="189"/>
      <c r="W1126" s="189"/>
      <c r="X1126" s="189"/>
      <c r="Y1126" s="100"/>
      <c r="AA1126" s="96"/>
      <c r="AB1126" s="96"/>
      <c r="AC1126" s="96"/>
      <c r="AD1126" s="97"/>
      <c r="AE1126" s="96"/>
      <c r="AF1126" s="98"/>
      <c r="AG1126" s="96"/>
      <c r="AH1126" s="96"/>
      <c r="AI1126" s="96"/>
      <c r="AJ1126" s="96"/>
      <c r="AK1126" s="96"/>
      <c r="AL1126" s="96"/>
      <c r="AM1126" s="96"/>
      <c r="AN1126" s="96"/>
      <c r="AO1126" s="96"/>
      <c r="AP1126" s="96"/>
    </row>
    <row r="1127" spans="2:42" ht="12.75">
      <c r="B1127" s="186"/>
      <c r="C1127" s="85"/>
      <c r="D1127" s="85"/>
      <c r="E1127" s="187"/>
      <c r="F1127" s="187"/>
      <c r="G1127" s="187"/>
      <c r="H1127" s="187"/>
      <c r="I1127" s="92"/>
      <c r="J1127" s="92"/>
      <c r="K1127" s="187"/>
      <c r="L1127" s="187"/>
      <c r="M1127" s="187"/>
      <c r="N1127" s="187"/>
      <c r="O1127" s="92"/>
      <c r="P1127" s="187"/>
      <c r="Q1127" s="187"/>
      <c r="R1127" s="187"/>
      <c r="S1127" s="187"/>
      <c r="T1127" s="85"/>
      <c r="U1127" s="189"/>
      <c r="V1127" s="189"/>
      <c r="W1127" s="189"/>
      <c r="X1127" s="189"/>
      <c r="Y1127" s="100"/>
      <c r="AA1127" s="96"/>
      <c r="AB1127" s="96"/>
      <c r="AC1127" s="96"/>
      <c r="AD1127" s="97"/>
      <c r="AE1127" s="96"/>
      <c r="AF1127" s="98"/>
      <c r="AG1127" s="96"/>
      <c r="AH1127" s="96"/>
      <c r="AI1127" s="96"/>
      <c r="AJ1127" s="96"/>
      <c r="AK1127" s="96"/>
      <c r="AL1127" s="96"/>
      <c r="AM1127" s="96"/>
      <c r="AN1127" s="96"/>
      <c r="AO1127" s="96"/>
      <c r="AP1127" s="96"/>
    </row>
    <row r="1128" spans="2:42" ht="12.75">
      <c r="B1128" s="186"/>
      <c r="C1128" s="85"/>
      <c r="D1128" s="85"/>
      <c r="E1128" s="187"/>
      <c r="F1128" s="187"/>
      <c r="G1128" s="187"/>
      <c r="H1128" s="187"/>
      <c r="I1128" s="92"/>
      <c r="J1128" s="92"/>
      <c r="K1128" s="187"/>
      <c r="L1128" s="187"/>
      <c r="M1128" s="187"/>
      <c r="N1128" s="187"/>
      <c r="O1128" s="92"/>
      <c r="P1128" s="187"/>
      <c r="Q1128" s="187"/>
      <c r="R1128" s="187"/>
      <c r="S1128" s="187"/>
      <c r="T1128" s="85"/>
      <c r="U1128" s="189"/>
      <c r="V1128" s="189"/>
      <c r="W1128" s="189"/>
      <c r="X1128" s="189"/>
      <c r="Y1128" s="100"/>
      <c r="AA1128" s="96"/>
      <c r="AB1128" s="96"/>
      <c r="AC1128" s="96"/>
      <c r="AD1128" s="97"/>
      <c r="AE1128" s="96"/>
      <c r="AF1128" s="98"/>
      <c r="AG1128" s="96"/>
      <c r="AH1128" s="96"/>
      <c r="AI1128" s="96"/>
      <c r="AJ1128" s="96"/>
      <c r="AK1128" s="96"/>
      <c r="AL1128" s="96"/>
      <c r="AM1128" s="96"/>
      <c r="AN1128" s="96"/>
      <c r="AO1128" s="96"/>
      <c r="AP1128" s="96"/>
    </row>
    <row r="1129" spans="2:42" ht="12.75">
      <c r="B1129" s="186"/>
      <c r="C1129" s="85"/>
      <c r="D1129" s="85"/>
      <c r="E1129" s="187"/>
      <c r="F1129" s="187"/>
      <c r="G1129" s="187"/>
      <c r="H1129" s="187"/>
      <c r="I1129" s="92"/>
      <c r="J1129" s="92"/>
      <c r="K1129" s="187"/>
      <c r="L1129" s="187"/>
      <c r="M1129" s="187"/>
      <c r="N1129" s="187"/>
      <c r="O1129" s="92"/>
      <c r="P1129" s="187"/>
      <c r="Q1129" s="187"/>
      <c r="R1129" s="187"/>
      <c r="S1129" s="187"/>
      <c r="T1129" s="85"/>
      <c r="U1129" s="189"/>
      <c r="V1129" s="189"/>
      <c r="W1129" s="189"/>
      <c r="X1129" s="189"/>
      <c r="Y1129" s="100"/>
      <c r="AA1129" s="96"/>
      <c r="AB1129" s="96"/>
      <c r="AC1129" s="96"/>
      <c r="AD1129" s="97"/>
      <c r="AE1129" s="96"/>
      <c r="AF1129" s="98"/>
      <c r="AG1129" s="96"/>
      <c r="AH1129" s="96"/>
      <c r="AI1129" s="96"/>
      <c r="AJ1129" s="96"/>
      <c r="AK1129" s="96"/>
      <c r="AL1129" s="96"/>
      <c r="AM1129" s="96"/>
      <c r="AN1129" s="96"/>
      <c r="AO1129" s="96"/>
      <c r="AP1129" s="96"/>
    </row>
    <row r="1130" spans="2:42" ht="12.75">
      <c r="B1130" s="186"/>
      <c r="C1130" s="85"/>
      <c r="D1130" s="85"/>
      <c r="E1130" s="187"/>
      <c r="F1130" s="187"/>
      <c r="G1130" s="187"/>
      <c r="H1130" s="187"/>
      <c r="I1130" s="92"/>
      <c r="J1130" s="92"/>
      <c r="K1130" s="187"/>
      <c r="L1130" s="187"/>
      <c r="M1130" s="187"/>
      <c r="N1130" s="187"/>
      <c r="O1130" s="92"/>
      <c r="P1130" s="187"/>
      <c r="Q1130" s="187"/>
      <c r="R1130" s="187"/>
      <c r="S1130" s="187"/>
      <c r="T1130" s="85"/>
      <c r="U1130" s="189"/>
      <c r="V1130" s="189"/>
      <c r="W1130" s="189"/>
      <c r="X1130" s="189"/>
      <c r="Y1130" s="100"/>
      <c r="AA1130" s="96"/>
      <c r="AB1130" s="96"/>
      <c r="AC1130" s="96"/>
      <c r="AD1130" s="97"/>
      <c r="AE1130" s="96"/>
      <c r="AF1130" s="98"/>
      <c r="AG1130" s="96"/>
      <c r="AH1130" s="96"/>
      <c r="AI1130" s="96"/>
      <c r="AJ1130" s="96"/>
      <c r="AK1130" s="96"/>
      <c r="AL1130" s="96"/>
      <c r="AM1130" s="96"/>
      <c r="AN1130" s="96"/>
      <c r="AO1130" s="96"/>
      <c r="AP1130" s="96"/>
    </row>
    <row r="1131" spans="2:42" ht="12.75">
      <c r="B1131" s="186"/>
      <c r="C1131" s="85"/>
      <c r="D1131" s="85"/>
      <c r="E1131" s="187"/>
      <c r="F1131" s="187"/>
      <c r="G1131" s="187"/>
      <c r="H1131" s="187"/>
      <c r="I1131" s="92"/>
      <c r="J1131" s="92"/>
      <c r="K1131" s="187"/>
      <c r="L1131" s="187"/>
      <c r="M1131" s="187"/>
      <c r="N1131" s="187"/>
      <c r="O1131" s="92"/>
      <c r="P1131" s="187"/>
      <c r="Q1131" s="187"/>
      <c r="R1131" s="187"/>
      <c r="S1131" s="187"/>
      <c r="T1131" s="85"/>
      <c r="U1131" s="189"/>
      <c r="V1131" s="189"/>
      <c r="W1131" s="189"/>
      <c r="X1131" s="189"/>
      <c r="Y1131" s="100"/>
      <c r="AA1131" s="96"/>
      <c r="AB1131" s="96"/>
      <c r="AC1131" s="96"/>
      <c r="AD1131" s="97"/>
      <c r="AE1131" s="96"/>
      <c r="AF1131" s="98"/>
      <c r="AG1131" s="96"/>
      <c r="AH1131" s="96"/>
      <c r="AI1131" s="96"/>
      <c r="AJ1131" s="96"/>
      <c r="AK1131" s="96"/>
      <c r="AL1131" s="96"/>
      <c r="AM1131" s="96"/>
      <c r="AN1131" s="96"/>
      <c r="AO1131" s="96"/>
      <c r="AP1131" s="96"/>
    </row>
    <row r="1132" spans="2:42" ht="12.75">
      <c r="B1132" s="186"/>
      <c r="C1132" s="85"/>
      <c r="D1132" s="85"/>
      <c r="E1132" s="187"/>
      <c r="F1132" s="187"/>
      <c r="G1132" s="187"/>
      <c r="H1132" s="187"/>
      <c r="I1132" s="92"/>
      <c r="J1132" s="92"/>
      <c r="K1132" s="187"/>
      <c r="L1132" s="187"/>
      <c r="M1132" s="187"/>
      <c r="N1132" s="187"/>
      <c r="O1132" s="92"/>
      <c r="P1132" s="187"/>
      <c r="Q1132" s="187"/>
      <c r="R1132" s="187"/>
      <c r="S1132" s="187"/>
      <c r="T1132" s="85"/>
      <c r="U1132" s="189"/>
      <c r="V1132" s="189"/>
      <c r="W1132" s="189"/>
      <c r="X1132" s="189"/>
      <c r="Y1132" s="100"/>
      <c r="AA1132" s="96"/>
      <c r="AB1132" s="96"/>
      <c r="AC1132" s="96"/>
      <c r="AD1132" s="97"/>
      <c r="AE1132" s="96"/>
      <c r="AF1132" s="98"/>
      <c r="AG1132" s="96"/>
      <c r="AH1132" s="96"/>
      <c r="AI1132" s="96"/>
      <c r="AJ1132" s="96"/>
      <c r="AK1132" s="96"/>
      <c r="AL1132" s="96"/>
      <c r="AM1132" s="96"/>
      <c r="AN1132" s="96"/>
      <c r="AO1132" s="96"/>
      <c r="AP1132" s="96"/>
    </row>
    <row r="1133" spans="2:42" ht="12.75">
      <c r="B1133" s="186"/>
      <c r="C1133" s="85"/>
      <c r="D1133" s="85"/>
      <c r="E1133" s="187"/>
      <c r="F1133" s="187"/>
      <c r="G1133" s="187"/>
      <c r="H1133" s="187"/>
      <c r="I1133" s="92"/>
      <c r="J1133" s="92"/>
      <c r="K1133" s="187"/>
      <c r="L1133" s="187"/>
      <c r="M1133" s="187"/>
      <c r="N1133" s="187"/>
      <c r="O1133" s="92"/>
      <c r="P1133" s="187"/>
      <c r="Q1133" s="187"/>
      <c r="R1133" s="187"/>
      <c r="S1133" s="187"/>
      <c r="T1133" s="85"/>
      <c r="U1133" s="189"/>
      <c r="V1133" s="189"/>
      <c r="W1133" s="189"/>
      <c r="X1133" s="189"/>
      <c r="Y1133" s="100"/>
      <c r="AA1133" s="96"/>
      <c r="AB1133" s="96"/>
      <c r="AC1133" s="96"/>
      <c r="AD1133" s="97"/>
      <c r="AE1133" s="96"/>
      <c r="AF1133" s="98"/>
      <c r="AG1133" s="96"/>
      <c r="AH1133" s="96"/>
      <c r="AI1133" s="96"/>
      <c r="AJ1133" s="96"/>
      <c r="AK1133" s="96"/>
      <c r="AL1133" s="96"/>
      <c r="AM1133" s="96"/>
      <c r="AN1133" s="96"/>
      <c r="AO1133" s="96"/>
      <c r="AP1133" s="96"/>
    </row>
    <row r="1134" spans="2:42" ht="12.75">
      <c r="B1134" s="186"/>
      <c r="C1134" s="85"/>
      <c r="D1134" s="85"/>
      <c r="E1134" s="187"/>
      <c r="F1134" s="187"/>
      <c r="G1134" s="187"/>
      <c r="H1134" s="187"/>
      <c r="I1134" s="92"/>
      <c r="J1134" s="92"/>
      <c r="K1134" s="187"/>
      <c r="L1134" s="187"/>
      <c r="M1134" s="187"/>
      <c r="N1134" s="187"/>
      <c r="O1134" s="92"/>
      <c r="P1134" s="187"/>
      <c r="Q1134" s="187"/>
      <c r="R1134" s="187"/>
      <c r="S1134" s="187"/>
      <c r="T1134" s="85"/>
      <c r="U1134" s="189"/>
      <c r="V1134" s="189"/>
      <c r="W1134" s="189"/>
      <c r="X1134" s="189"/>
      <c r="Y1134" s="100"/>
      <c r="AA1134" s="96"/>
      <c r="AB1134" s="96"/>
      <c r="AC1134" s="96"/>
      <c r="AD1134" s="97"/>
      <c r="AE1134" s="96"/>
      <c r="AF1134" s="98"/>
      <c r="AG1134" s="96"/>
      <c r="AH1134" s="96"/>
      <c r="AI1134" s="96"/>
      <c r="AJ1134" s="96"/>
      <c r="AK1134" s="96"/>
      <c r="AL1134" s="96"/>
      <c r="AM1134" s="96"/>
      <c r="AN1134" s="96"/>
      <c r="AO1134" s="96"/>
      <c r="AP1134" s="96"/>
    </row>
    <row r="1135" spans="2:42" ht="12.75">
      <c r="B1135" s="186"/>
      <c r="C1135" s="85"/>
      <c r="D1135" s="85"/>
      <c r="E1135" s="187"/>
      <c r="F1135" s="187"/>
      <c r="G1135" s="187"/>
      <c r="H1135" s="187"/>
      <c r="I1135" s="92"/>
      <c r="J1135" s="92"/>
      <c r="K1135" s="187"/>
      <c r="L1135" s="187"/>
      <c r="M1135" s="187"/>
      <c r="N1135" s="187"/>
      <c r="O1135" s="92"/>
      <c r="P1135" s="187"/>
      <c r="Q1135" s="187"/>
      <c r="R1135" s="187"/>
      <c r="S1135" s="187"/>
      <c r="T1135" s="85"/>
      <c r="U1135" s="189"/>
      <c r="V1135" s="189"/>
      <c r="W1135" s="189"/>
      <c r="X1135" s="189"/>
      <c r="Y1135" s="100"/>
      <c r="AA1135" s="96"/>
      <c r="AB1135" s="96"/>
      <c r="AC1135" s="96"/>
      <c r="AD1135" s="97"/>
      <c r="AE1135" s="96"/>
      <c r="AF1135" s="98"/>
      <c r="AG1135" s="96"/>
      <c r="AH1135" s="96"/>
      <c r="AI1135" s="96"/>
      <c r="AJ1135" s="96"/>
      <c r="AK1135" s="96"/>
      <c r="AL1135" s="96"/>
      <c r="AM1135" s="96"/>
      <c r="AN1135" s="96"/>
      <c r="AO1135" s="96"/>
      <c r="AP1135" s="96"/>
    </row>
    <row r="1136" spans="2:42" ht="12.75">
      <c r="B1136" s="186"/>
      <c r="C1136" s="85"/>
      <c r="D1136" s="85"/>
      <c r="E1136" s="187"/>
      <c r="F1136" s="187"/>
      <c r="G1136" s="187"/>
      <c r="H1136" s="187"/>
      <c r="I1136" s="92"/>
      <c r="J1136" s="92"/>
      <c r="K1136" s="187"/>
      <c r="L1136" s="187"/>
      <c r="M1136" s="187"/>
      <c r="N1136" s="187"/>
      <c r="O1136" s="92"/>
      <c r="P1136" s="187"/>
      <c r="Q1136" s="187"/>
      <c r="R1136" s="187"/>
      <c r="S1136" s="187"/>
      <c r="T1136" s="85"/>
      <c r="U1136" s="189"/>
      <c r="V1136" s="189"/>
      <c r="W1136" s="189"/>
      <c r="X1136" s="189"/>
      <c r="Y1136" s="100"/>
      <c r="AA1136" s="96"/>
      <c r="AB1136" s="96"/>
      <c r="AC1136" s="96"/>
      <c r="AD1136" s="97"/>
      <c r="AE1136" s="96"/>
      <c r="AF1136" s="98"/>
      <c r="AG1136" s="96"/>
      <c r="AH1136" s="96"/>
      <c r="AI1136" s="96"/>
      <c r="AJ1136" s="96"/>
      <c r="AK1136" s="96"/>
      <c r="AL1136" s="96"/>
      <c r="AM1136" s="96"/>
      <c r="AN1136" s="96"/>
      <c r="AO1136" s="96"/>
      <c r="AP1136" s="96"/>
    </row>
    <row r="1137" spans="2:42" ht="12.75">
      <c r="B1137" s="186"/>
      <c r="C1137" s="85"/>
      <c r="D1137" s="85"/>
      <c r="E1137" s="187"/>
      <c r="F1137" s="187"/>
      <c r="G1137" s="187"/>
      <c r="H1137" s="187"/>
      <c r="I1137" s="92"/>
      <c r="J1137" s="92"/>
      <c r="K1137" s="187"/>
      <c r="L1137" s="187"/>
      <c r="M1137" s="187"/>
      <c r="N1137" s="187"/>
      <c r="O1137" s="92"/>
      <c r="P1137" s="187"/>
      <c r="Q1137" s="187"/>
      <c r="R1137" s="187"/>
      <c r="S1137" s="187"/>
      <c r="T1137" s="85"/>
      <c r="U1137" s="189"/>
      <c r="V1137" s="189"/>
      <c r="W1137" s="189"/>
      <c r="X1137" s="189"/>
      <c r="Y1137" s="100"/>
      <c r="AA1137" s="96"/>
      <c r="AB1137" s="96"/>
      <c r="AC1137" s="96"/>
      <c r="AD1137" s="97"/>
      <c r="AE1137" s="96"/>
      <c r="AF1137" s="98"/>
      <c r="AG1137" s="96"/>
      <c r="AH1137" s="96"/>
      <c r="AI1137" s="96"/>
      <c r="AJ1137" s="96"/>
      <c r="AK1137" s="96"/>
      <c r="AL1137" s="96"/>
      <c r="AM1137" s="96"/>
      <c r="AN1137" s="96"/>
      <c r="AO1137" s="96"/>
      <c r="AP1137" s="96"/>
    </row>
  </sheetData>
  <mergeCells count="3">
    <mergeCell ref="K2:N2"/>
    <mergeCell ref="P2:S2"/>
    <mergeCell ref="U2:X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CEFAB"/>
    <outlinePr summaryBelow="0" summaryRight="0"/>
    <pageSetUpPr fitToPage="1"/>
  </sheetPr>
  <dimension ref="A1:R1113"/>
  <sheetViews>
    <sheetView workbookViewId="0">
      <pane ySplit="3" topLeftCell="A4" activePane="bottomLeft" state="frozen"/>
      <selection pane="bottomLeft" activeCell="B5" sqref="B5"/>
    </sheetView>
  </sheetViews>
  <sheetFormatPr defaultColWidth="14.42578125" defaultRowHeight="15.75" customHeight="1"/>
  <cols>
    <col min="1" max="1" width="24.140625" customWidth="1"/>
    <col min="2" max="2" width="21.42578125" customWidth="1"/>
    <col min="5" max="5" width="4" customWidth="1"/>
    <col min="14" max="14" width="6" customWidth="1"/>
  </cols>
  <sheetData>
    <row r="1" spans="1:18">
      <c r="A1" s="206"/>
      <c r="B1" s="206"/>
      <c r="C1" s="206"/>
      <c r="D1" s="206"/>
      <c r="E1" s="206"/>
      <c r="F1" s="206"/>
      <c r="G1" s="206"/>
      <c r="H1" s="206"/>
      <c r="I1" s="206"/>
      <c r="J1" s="206"/>
      <c r="K1" s="206"/>
      <c r="L1" s="206"/>
      <c r="M1" s="206"/>
      <c r="N1" s="206"/>
      <c r="O1" s="207"/>
      <c r="P1" s="207"/>
      <c r="Q1" s="207"/>
      <c r="R1" s="207"/>
    </row>
    <row r="2" spans="1:18">
      <c r="A2" s="711" t="s">
        <v>218</v>
      </c>
      <c r="B2" s="712"/>
      <c r="C2" s="712"/>
      <c r="D2" s="712"/>
      <c r="E2" s="712"/>
      <c r="F2" s="712"/>
      <c r="G2" s="712"/>
      <c r="H2" s="712"/>
      <c r="I2" s="712"/>
      <c r="J2" s="712"/>
      <c r="K2" s="712"/>
      <c r="L2" s="712"/>
      <c r="M2" s="712"/>
      <c r="N2" s="712"/>
      <c r="O2" s="712"/>
      <c r="P2" s="712"/>
      <c r="Q2" s="712"/>
      <c r="R2" s="693"/>
    </row>
    <row r="3" spans="1:18">
      <c r="A3" s="208" t="s">
        <v>219</v>
      </c>
      <c r="B3" s="208" t="s">
        <v>100</v>
      </c>
      <c r="C3" s="209" t="s">
        <v>101</v>
      </c>
      <c r="D3" s="209" t="s">
        <v>220</v>
      </c>
      <c r="E3" s="210"/>
      <c r="F3" s="211" t="s">
        <v>221</v>
      </c>
      <c r="G3" s="211" t="s">
        <v>222</v>
      </c>
      <c r="H3" s="211" t="s">
        <v>223</v>
      </c>
      <c r="I3" s="211" t="s">
        <v>224</v>
      </c>
      <c r="J3" s="211" t="s">
        <v>225</v>
      </c>
      <c r="K3" s="211" t="s">
        <v>226</v>
      </c>
      <c r="L3" s="211" t="s">
        <v>227</v>
      </c>
      <c r="M3" s="211" t="s">
        <v>228</v>
      </c>
      <c r="N3" s="212"/>
      <c r="O3" s="213" t="s">
        <v>229</v>
      </c>
      <c r="P3" s="213" t="s">
        <v>230</v>
      </c>
      <c r="Q3" s="213" t="s">
        <v>231</v>
      </c>
      <c r="R3" s="213" t="s">
        <v>232</v>
      </c>
    </row>
    <row r="4" spans="1:18">
      <c r="A4" s="214"/>
      <c r="B4" s="215"/>
      <c r="C4" s="67"/>
      <c r="D4" s="67"/>
      <c r="E4" s="216"/>
      <c r="F4" s="99"/>
      <c r="G4" s="99"/>
      <c r="H4" s="96"/>
      <c r="I4" s="96"/>
      <c r="J4" s="96"/>
      <c r="K4" s="96"/>
      <c r="L4" s="96"/>
      <c r="M4" s="96"/>
      <c r="N4" s="85"/>
      <c r="O4" s="189"/>
      <c r="P4" s="189"/>
      <c r="Q4" s="189"/>
      <c r="R4" s="189"/>
    </row>
    <row r="5" spans="1:18">
      <c r="A5" s="214" t="s">
        <v>125</v>
      </c>
      <c r="B5" s="215" t="s">
        <v>125</v>
      </c>
      <c r="C5" s="67">
        <v>8</v>
      </c>
      <c r="D5" s="67">
        <v>5</v>
      </c>
      <c r="E5" s="216"/>
      <c r="F5" s="217">
        <v>154</v>
      </c>
      <c r="G5" s="217">
        <v>692</v>
      </c>
      <c r="H5" s="217">
        <v>50</v>
      </c>
      <c r="I5" s="217">
        <v>283</v>
      </c>
      <c r="J5" s="217">
        <v>1097</v>
      </c>
      <c r="K5" s="217">
        <v>748</v>
      </c>
      <c r="L5" s="217">
        <v>1301</v>
      </c>
      <c r="M5" s="217">
        <v>1723</v>
      </c>
      <c r="N5" s="218"/>
      <c r="O5" s="219">
        <f t="shared" ref="O5:O19" si="0">F5/G5*C5/D5</f>
        <v>0.3560693641618497</v>
      </c>
      <c r="P5" s="219">
        <f t="shared" ref="P5:P19" si="1">H5/I5*C5/D5</f>
        <v>0.28268551236749118</v>
      </c>
      <c r="Q5" s="219">
        <f t="shared" ref="Q5:Q19" si="2">J5/(K5*D5/C5)</f>
        <v>2.3465240641711231</v>
      </c>
      <c r="R5" s="219">
        <f t="shared" ref="R5:R19" si="3">L5/M5*C5/D5</f>
        <v>1.208125362739408</v>
      </c>
    </row>
    <row r="6" spans="1:18">
      <c r="A6" s="214" t="s">
        <v>233</v>
      </c>
      <c r="B6" s="215" t="s">
        <v>125</v>
      </c>
      <c r="C6" s="67">
        <v>8</v>
      </c>
      <c r="D6" s="67">
        <v>5</v>
      </c>
      <c r="E6" s="216"/>
      <c r="F6" s="217">
        <v>236</v>
      </c>
      <c r="G6" s="217">
        <v>657</v>
      </c>
      <c r="H6" s="217">
        <v>35</v>
      </c>
      <c r="I6" s="217">
        <v>295</v>
      </c>
      <c r="J6" s="217">
        <v>241</v>
      </c>
      <c r="K6" s="217">
        <v>817</v>
      </c>
      <c r="L6" s="217">
        <v>512</v>
      </c>
      <c r="M6" s="217">
        <v>1769</v>
      </c>
      <c r="N6" s="218"/>
      <c r="O6" s="219">
        <f t="shared" si="0"/>
        <v>0.57473363774733632</v>
      </c>
      <c r="P6" s="219">
        <f t="shared" si="1"/>
        <v>0.18983050847457628</v>
      </c>
      <c r="Q6" s="219">
        <f t="shared" si="2"/>
        <v>0.47197062423500613</v>
      </c>
      <c r="R6" s="219">
        <f t="shared" si="3"/>
        <v>0.46308648954211418</v>
      </c>
    </row>
    <row r="7" spans="1:18">
      <c r="A7" s="220" t="s">
        <v>234</v>
      </c>
      <c r="B7" s="221" t="s">
        <v>125</v>
      </c>
      <c r="C7" s="67">
        <v>8</v>
      </c>
      <c r="D7" s="67">
        <v>5</v>
      </c>
      <c r="E7" s="216"/>
      <c r="F7" s="217">
        <v>0</v>
      </c>
      <c r="G7" s="217">
        <v>133</v>
      </c>
      <c r="H7" s="217">
        <v>33</v>
      </c>
      <c r="I7" s="217">
        <v>57</v>
      </c>
      <c r="J7" s="217">
        <v>201</v>
      </c>
      <c r="K7" s="217">
        <v>145</v>
      </c>
      <c r="L7" s="217">
        <v>234</v>
      </c>
      <c r="M7" s="217">
        <v>335</v>
      </c>
      <c r="N7" s="218"/>
      <c r="O7" s="219">
        <f t="shared" si="0"/>
        <v>0</v>
      </c>
      <c r="P7" s="219">
        <f t="shared" si="1"/>
        <v>0.9263157894736842</v>
      </c>
      <c r="Q7" s="219">
        <f t="shared" si="2"/>
        <v>2.2179310344827585</v>
      </c>
      <c r="R7" s="219">
        <f t="shared" si="3"/>
        <v>1.1176119402985074</v>
      </c>
    </row>
    <row r="8" spans="1:18">
      <c r="A8" s="214" t="s">
        <v>235</v>
      </c>
      <c r="B8" s="215" t="s">
        <v>125</v>
      </c>
      <c r="C8" s="67">
        <v>8</v>
      </c>
      <c r="D8" s="67">
        <v>5</v>
      </c>
      <c r="E8" s="216"/>
      <c r="F8" s="222">
        <v>114</v>
      </c>
      <c r="G8" s="222">
        <v>974</v>
      </c>
      <c r="H8" s="223">
        <v>132</v>
      </c>
      <c r="I8" s="222">
        <v>584</v>
      </c>
      <c r="J8" s="222">
        <v>1365</v>
      </c>
      <c r="K8" s="222">
        <v>1401</v>
      </c>
      <c r="L8" s="222">
        <v>1611</v>
      </c>
      <c r="M8" s="222">
        <v>2959</v>
      </c>
      <c r="N8" s="218"/>
      <c r="O8" s="219">
        <f t="shared" si="0"/>
        <v>0.18726899383983572</v>
      </c>
      <c r="P8" s="219">
        <f t="shared" si="1"/>
        <v>0.36164383561643831</v>
      </c>
      <c r="Q8" s="219">
        <f t="shared" si="2"/>
        <v>1.5588865096359743</v>
      </c>
      <c r="R8" s="219">
        <f t="shared" si="3"/>
        <v>0.87110510307536337</v>
      </c>
    </row>
    <row r="9" spans="1:18">
      <c r="A9" s="220" t="s">
        <v>236</v>
      </c>
      <c r="B9" s="221" t="s">
        <v>125</v>
      </c>
      <c r="C9" s="67">
        <v>8</v>
      </c>
      <c r="D9" s="67">
        <v>5</v>
      </c>
      <c r="E9" s="216"/>
      <c r="F9" s="222">
        <v>65</v>
      </c>
      <c r="G9" s="222">
        <v>1242</v>
      </c>
      <c r="H9" s="222">
        <v>39</v>
      </c>
      <c r="I9" s="222">
        <v>425</v>
      </c>
      <c r="J9" s="222">
        <v>3641</v>
      </c>
      <c r="K9" s="222">
        <v>618</v>
      </c>
      <c r="L9" s="222">
        <v>3745</v>
      </c>
      <c r="M9" s="222">
        <v>2285</v>
      </c>
      <c r="N9" s="218"/>
      <c r="O9" s="219">
        <f t="shared" si="0"/>
        <v>8.3735909822866356E-2</v>
      </c>
      <c r="P9" s="219">
        <f t="shared" si="1"/>
        <v>0.14682352941176471</v>
      </c>
      <c r="Q9" s="219">
        <f t="shared" si="2"/>
        <v>9.4265372168284784</v>
      </c>
      <c r="R9" s="219">
        <f t="shared" si="3"/>
        <v>2.6223194748358862</v>
      </c>
    </row>
    <row r="10" spans="1:18">
      <c r="A10" s="220" t="s">
        <v>237</v>
      </c>
      <c r="B10" s="221" t="s">
        <v>125</v>
      </c>
      <c r="C10" s="67">
        <v>8</v>
      </c>
      <c r="D10" s="67">
        <v>5</v>
      </c>
      <c r="E10" s="216"/>
      <c r="F10" s="222">
        <v>106</v>
      </c>
      <c r="G10" s="222">
        <v>487</v>
      </c>
      <c r="H10" s="222">
        <v>25</v>
      </c>
      <c r="I10" s="222">
        <v>259</v>
      </c>
      <c r="J10" s="222">
        <v>450</v>
      </c>
      <c r="K10" s="222">
        <v>752</v>
      </c>
      <c r="L10" s="222">
        <v>581</v>
      </c>
      <c r="M10" s="222">
        <v>1498</v>
      </c>
      <c r="N10" s="218"/>
      <c r="O10" s="219">
        <f t="shared" si="0"/>
        <v>0.3482546201232033</v>
      </c>
      <c r="P10" s="219">
        <f t="shared" si="1"/>
        <v>0.15444015444015444</v>
      </c>
      <c r="Q10" s="219">
        <f t="shared" si="2"/>
        <v>0.95744680851063835</v>
      </c>
      <c r="R10" s="219">
        <f t="shared" si="3"/>
        <v>0.6205607476635514</v>
      </c>
    </row>
    <row r="11" spans="1:18">
      <c r="A11" s="220" t="s">
        <v>238</v>
      </c>
      <c r="B11" s="221" t="s">
        <v>125</v>
      </c>
      <c r="C11" s="67">
        <v>8</v>
      </c>
      <c r="D11" s="67">
        <v>5</v>
      </c>
      <c r="E11" s="216"/>
      <c r="F11" s="222">
        <v>764</v>
      </c>
      <c r="G11" s="222">
        <v>2640</v>
      </c>
      <c r="H11" s="222">
        <v>21</v>
      </c>
      <c r="I11" s="222">
        <v>978</v>
      </c>
      <c r="J11" s="222">
        <v>5270</v>
      </c>
      <c r="K11" s="222">
        <v>1837</v>
      </c>
      <c r="L11" s="222">
        <v>6055</v>
      </c>
      <c r="M11" s="222">
        <v>5455</v>
      </c>
      <c r="N11" s="218"/>
      <c r="O11" s="219">
        <f t="shared" si="0"/>
        <v>0.46303030303030301</v>
      </c>
      <c r="P11" s="219">
        <f t="shared" si="1"/>
        <v>3.4355828220858899E-2</v>
      </c>
      <c r="Q11" s="219">
        <f t="shared" si="2"/>
        <v>4.5900925421883505</v>
      </c>
      <c r="R11" s="219">
        <f t="shared" si="3"/>
        <v>1.7759853345554535</v>
      </c>
    </row>
    <row r="12" spans="1:18">
      <c r="A12" s="214" t="s">
        <v>239</v>
      </c>
      <c r="B12" s="215" t="s">
        <v>125</v>
      </c>
      <c r="C12" s="67">
        <v>8</v>
      </c>
      <c r="D12" s="67">
        <v>5</v>
      </c>
      <c r="E12" s="216"/>
      <c r="F12" s="222">
        <v>79</v>
      </c>
      <c r="G12" s="222">
        <v>1331</v>
      </c>
      <c r="H12" s="222">
        <v>27</v>
      </c>
      <c r="I12" s="222">
        <v>608</v>
      </c>
      <c r="J12" s="222">
        <v>1902</v>
      </c>
      <c r="K12" s="222">
        <v>1981</v>
      </c>
      <c r="L12" s="222">
        <v>2008</v>
      </c>
      <c r="M12" s="222">
        <v>3920</v>
      </c>
      <c r="N12" s="218"/>
      <c r="O12" s="219">
        <f t="shared" si="0"/>
        <v>9.4966190833959435E-2</v>
      </c>
      <c r="P12" s="219">
        <f t="shared" si="1"/>
        <v>7.1052631578947367E-2</v>
      </c>
      <c r="Q12" s="219">
        <f t="shared" si="2"/>
        <v>1.5361938414941949</v>
      </c>
      <c r="R12" s="219">
        <f t="shared" si="3"/>
        <v>0.81959183673469393</v>
      </c>
    </row>
    <row r="13" spans="1:18">
      <c r="A13" s="224" t="s">
        <v>240</v>
      </c>
      <c r="B13" s="225" t="s">
        <v>125</v>
      </c>
      <c r="C13" s="84">
        <v>8</v>
      </c>
      <c r="D13" s="67">
        <v>5</v>
      </c>
      <c r="E13" s="226"/>
      <c r="F13" s="217">
        <v>182</v>
      </c>
      <c r="G13" s="217">
        <v>1313</v>
      </c>
      <c r="H13" s="217">
        <v>503</v>
      </c>
      <c r="I13" s="217">
        <v>496</v>
      </c>
      <c r="J13" s="217">
        <v>1321</v>
      </c>
      <c r="K13" s="217">
        <v>920</v>
      </c>
      <c r="L13" s="217">
        <v>2006</v>
      </c>
      <c r="M13" s="217">
        <v>2729</v>
      </c>
      <c r="N13" s="227"/>
      <c r="O13" s="228">
        <f t="shared" si="0"/>
        <v>0.22178217821782181</v>
      </c>
      <c r="P13" s="228">
        <f t="shared" si="1"/>
        <v>1.6225806451612903</v>
      </c>
      <c r="Q13" s="219">
        <f t="shared" si="2"/>
        <v>2.2973913043478262</v>
      </c>
      <c r="R13" s="228">
        <f t="shared" si="3"/>
        <v>1.176108464639062</v>
      </c>
    </row>
    <row r="14" spans="1:18">
      <c r="A14" s="214" t="s">
        <v>241</v>
      </c>
      <c r="B14" s="229" t="s">
        <v>125</v>
      </c>
      <c r="C14" s="67">
        <v>8</v>
      </c>
      <c r="D14" s="67">
        <v>5</v>
      </c>
      <c r="E14" s="216"/>
      <c r="F14" s="222">
        <v>0</v>
      </c>
      <c r="G14" s="222">
        <v>497</v>
      </c>
      <c r="H14" s="222">
        <v>36</v>
      </c>
      <c r="I14" s="222">
        <v>158</v>
      </c>
      <c r="J14" s="222">
        <v>793</v>
      </c>
      <c r="K14" s="222">
        <v>423</v>
      </c>
      <c r="L14" s="222">
        <v>829</v>
      </c>
      <c r="M14" s="222">
        <v>1078</v>
      </c>
      <c r="N14" s="218"/>
      <c r="O14" s="219">
        <f t="shared" si="0"/>
        <v>0</v>
      </c>
      <c r="P14" s="219">
        <f t="shared" si="1"/>
        <v>0.36455696202531646</v>
      </c>
      <c r="Q14" s="219">
        <f t="shared" si="2"/>
        <v>2.9995271867612292</v>
      </c>
      <c r="R14" s="219">
        <f t="shared" si="3"/>
        <v>1.2304267161410019</v>
      </c>
    </row>
    <row r="15" spans="1:18">
      <c r="A15" s="214" t="s">
        <v>242</v>
      </c>
      <c r="B15" s="229" t="s">
        <v>125</v>
      </c>
      <c r="C15" s="67">
        <v>8</v>
      </c>
      <c r="D15" s="67">
        <v>5</v>
      </c>
      <c r="E15" s="216"/>
      <c r="F15" s="222">
        <v>1359</v>
      </c>
      <c r="G15" s="222">
        <v>4134</v>
      </c>
      <c r="H15" s="222">
        <v>77</v>
      </c>
      <c r="I15" s="222">
        <v>2815</v>
      </c>
      <c r="J15" s="222">
        <v>17733</v>
      </c>
      <c r="K15" s="222">
        <v>7816</v>
      </c>
      <c r="L15" s="222">
        <v>19169</v>
      </c>
      <c r="M15" s="222">
        <v>14765</v>
      </c>
      <c r="N15" s="218"/>
      <c r="O15" s="219">
        <f t="shared" si="0"/>
        <v>0.5259796806966619</v>
      </c>
      <c r="P15" s="219">
        <f t="shared" si="1"/>
        <v>4.3765541740674957E-2</v>
      </c>
      <c r="Q15" s="219">
        <f t="shared" si="2"/>
        <v>3.6300921187308086</v>
      </c>
      <c r="R15" s="219">
        <f t="shared" si="3"/>
        <v>2.0772367084321028</v>
      </c>
    </row>
    <row r="16" spans="1:18">
      <c r="A16" s="220" t="s">
        <v>243</v>
      </c>
      <c r="B16" s="230" t="s">
        <v>125</v>
      </c>
      <c r="C16" s="67">
        <v>8</v>
      </c>
      <c r="D16" s="67">
        <v>5</v>
      </c>
      <c r="E16" s="216"/>
      <c r="F16" s="222">
        <v>13</v>
      </c>
      <c r="G16" s="222">
        <v>38</v>
      </c>
      <c r="H16" s="222">
        <v>9</v>
      </c>
      <c r="I16" s="222">
        <v>15</v>
      </c>
      <c r="J16" s="222">
        <v>15</v>
      </c>
      <c r="K16" s="222">
        <v>7</v>
      </c>
      <c r="L16" s="222">
        <v>37</v>
      </c>
      <c r="M16" s="222">
        <v>60</v>
      </c>
      <c r="N16" s="218"/>
      <c r="O16" s="219">
        <f t="shared" si="0"/>
        <v>0.54736842105263162</v>
      </c>
      <c r="P16" s="219">
        <f t="shared" si="1"/>
        <v>0.96</v>
      </c>
      <c r="Q16" s="219">
        <f t="shared" si="2"/>
        <v>3.4285714285714284</v>
      </c>
      <c r="R16" s="219">
        <f t="shared" si="3"/>
        <v>0.98666666666666669</v>
      </c>
    </row>
    <row r="17" spans="1:18">
      <c r="A17" s="231" t="s">
        <v>244</v>
      </c>
      <c r="B17" s="232" t="s">
        <v>125</v>
      </c>
      <c r="C17" s="67">
        <v>8</v>
      </c>
      <c r="D17" s="67">
        <v>5</v>
      </c>
      <c r="E17" s="216"/>
      <c r="F17" s="222">
        <v>346</v>
      </c>
      <c r="G17" s="222">
        <v>1107</v>
      </c>
      <c r="H17" s="222">
        <v>38</v>
      </c>
      <c r="I17" s="222">
        <v>407</v>
      </c>
      <c r="J17" s="222">
        <v>1557</v>
      </c>
      <c r="K17" s="222">
        <v>553</v>
      </c>
      <c r="L17" s="222">
        <v>1941</v>
      </c>
      <c r="M17" s="222">
        <v>2067</v>
      </c>
      <c r="N17" s="218"/>
      <c r="O17" s="219">
        <f t="shared" si="0"/>
        <v>0.5000903342366757</v>
      </c>
      <c r="P17" s="219">
        <f t="shared" si="1"/>
        <v>0.14938574938574939</v>
      </c>
      <c r="Q17" s="219">
        <f t="shared" si="2"/>
        <v>4.5048824593128387</v>
      </c>
      <c r="R17" s="219">
        <f t="shared" si="3"/>
        <v>1.5024673439767779</v>
      </c>
    </row>
    <row r="18" spans="1:18">
      <c r="A18" s="231" t="s">
        <v>245</v>
      </c>
      <c r="B18" s="233" t="s">
        <v>125</v>
      </c>
      <c r="C18" s="67">
        <v>8</v>
      </c>
      <c r="D18" s="67">
        <v>5</v>
      </c>
      <c r="E18" s="216"/>
      <c r="F18" s="222">
        <v>197</v>
      </c>
      <c r="G18" s="222">
        <v>774</v>
      </c>
      <c r="H18" s="222">
        <v>0</v>
      </c>
      <c r="I18" s="222">
        <v>352</v>
      </c>
      <c r="J18" s="222">
        <v>56</v>
      </c>
      <c r="K18" s="222">
        <v>1161</v>
      </c>
      <c r="L18" s="222">
        <v>253</v>
      </c>
      <c r="M18" s="222">
        <v>2287</v>
      </c>
      <c r="N18" s="218"/>
      <c r="O18" s="219">
        <f t="shared" si="0"/>
        <v>0.40723514211886308</v>
      </c>
      <c r="P18" s="219">
        <f t="shared" si="1"/>
        <v>0</v>
      </c>
      <c r="Q18" s="219">
        <f t="shared" si="2"/>
        <v>7.717484926787252E-2</v>
      </c>
      <c r="R18" s="219">
        <f t="shared" si="3"/>
        <v>0.1770004372540446</v>
      </c>
    </row>
    <row r="19" spans="1:18">
      <c r="A19" s="231" t="s">
        <v>246</v>
      </c>
      <c r="B19" s="232" t="s">
        <v>125</v>
      </c>
      <c r="C19" s="67">
        <v>8</v>
      </c>
      <c r="D19" s="67">
        <v>5</v>
      </c>
      <c r="E19" s="216"/>
      <c r="F19" s="234">
        <v>0</v>
      </c>
      <c r="G19" s="234">
        <v>497</v>
      </c>
      <c r="H19" s="234">
        <v>30</v>
      </c>
      <c r="I19" s="234">
        <v>192</v>
      </c>
      <c r="J19" s="234">
        <v>403</v>
      </c>
      <c r="K19" s="234">
        <v>417</v>
      </c>
      <c r="L19" s="234">
        <v>433</v>
      </c>
      <c r="M19" s="234">
        <v>1106</v>
      </c>
      <c r="N19" s="218"/>
      <c r="O19" s="235">
        <f t="shared" si="0"/>
        <v>0</v>
      </c>
      <c r="P19" s="235">
        <f t="shared" si="1"/>
        <v>0.25</v>
      </c>
      <c r="Q19" s="235">
        <f t="shared" si="2"/>
        <v>1.546282973621103</v>
      </c>
      <c r="R19" s="235">
        <f t="shared" si="3"/>
        <v>0.62640144665461128</v>
      </c>
    </row>
    <row r="20" spans="1:18">
      <c r="A20" s="214"/>
      <c r="B20" s="215"/>
      <c r="C20" s="216"/>
      <c r="D20" s="216"/>
      <c r="E20" s="216"/>
      <c r="F20" s="236">
        <f t="shared" ref="F20:M20" si="4">SUM(F5:F19)</f>
        <v>3615</v>
      </c>
      <c r="G20" s="236">
        <f t="shared" si="4"/>
        <v>16516</v>
      </c>
      <c r="H20" s="236">
        <f t="shared" si="4"/>
        <v>1055</v>
      </c>
      <c r="I20" s="236">
        <f t="shared" si="4"/>
        <v>7924</v>
      </c>
      <c r="J20" s="236">
        <f t="shared" si="4"/>
        <v>36045</v>
      </c>
      <c r="K20" s="236">
        <f t="shared" si="4"/>
        <v>19596</v>
      </c>
      <c r="L20" s="236">
        <f t="shared" si="4"/>
        <v>40715</v>
      </c>
      <c r="M20" s="236">
        <f t="shared" si="4"/>
        <v>44036</v>
      </c>
      <c r="N20" s="218"/>
      <c r="O20" s="219">
        <f>F20/(G20*D19/C19)</f>
        <v>0.35020586098328893</v>
      </c>
      <c r="P20" s="219">
        <f>H20/(I20*D19/C19)</f>
        <v>0.21302372539121656</v>
      </c>
      <c r="Q20" s="219">
        <f>J20/(K20*D19/C19)</f>
        <v>2.9430496019595838</v>
      </c>
      <c r="R20" s="219">
        <f>L20/(M20*D19/C19)</f>
        <v>1.4793350894722499</v>
      </c>
    </row>
    <row r="21" spans="1:18">
      <c r="A21" s="214"/>
      <c r="B21" s="215"/>
      <c r="C21" s="216"/>
      <c r="D21" s="216"/>
      <c r="E21" s="216"/>
      <c r="F21" s="237"/>
      <c r="G21" s="237"/>
      <c r="H21" s="238"/>
      <c r="I21" s="238"/>
      <c r="J21" s="238"/>
      <c r="K21" s="238"/>
      <c r="L21" s="238"/>
      <c r="M21" s="238"/>
      <c r="N21" s="218"/>
      <c r="O21" s="219"/>
      <c r="P21" s="219"/>
      <c r="Q21" s="219"/>
      <c r="R21" s="219"/>
    </row>
    <row r="22" spans="1:18">
      <c r="A22" s="214" t="s">
        <v>247</v>
      </c>
      <c r="B22" s="215" t="s">
        <v>127</v>
      </c>
      <c r="C22" s="67">
        <v>5</v>
      </c>
      <c r="D22" s="67">
        <v>5</v>
      </c>
      <c r="E22" s="216"/>
      <c r="F22" s="222">
        <v>5</v>
      </c>
      <c r="G22" s="222">
        <v>13</v>
      </c>
      <c r="H22" s="222">
        <v>4</v>
      </c>
      <c r="I22" s="222">
        <v>6</v>
      </c>
      <c r="J22" s="222">
        <v>10</v>
      </c>
      <c r="K22" s="222">
        <v>11</v>
      </c>
      <c r="L22" s="222">
        <v>19</v>
      </c>
      <c r="M22" s="222">
        <v>30</v>
      </c>
      <c r="N22" s="218"/>
      <c r="O22" s="219">
        <f>F22/G22*C22/D22</f>
        <v>0.38461538461538464</v>
      </c>
      <c r="P22" s="219">
        <f>H22/I22*C22/D22</f>
        <v>0.66666666666666663</v>
      </c>
      <c r="Q22" s="219">
        <f>J22/K22*C22/D22</f>
        <v>0.90909090909090895</v>
      </c>
      <c r="R22" s="219">
        <f>L22/M22*C22/D22</f>
        <v>0.6333333333333333</v>
      </c>
    </row>
    <row r="23" spans="1:18">
      <c r="A23" s="214"/>
      <c r="B23" s="215"/>
      <c r="C23" s="216"/>
      <c r="D23" s="216"/>
      <c r="E23" s="216"/>
      <c r="F23" s="237"/>
      <c r="G23" s="237"/>
      <c r="H23" s="238"/>
      <c r="I23" s="238"/>
      <c r="J23" s="238"/>
      <c r="K23" s="238"/>
      <c r="L23" s="238"/>
      <c r="M23" s="238"/>
      <c r="N23" s="218"/>
      <c r="O23" s="219"/>
      <c r="P23" s="219"/>
      <c r="Q23" s="219"/>
      <c r="R23" s="219"/>
    </row>
    <row r="24" spans="1:18">
      <c r="A24" s="239" t="s">
        <v>248</v>
      </c>
      <c r="B24" s="240" t="s">
        <v>130</v>
      </c>
      <c r="C24" s="84">
        <v>5</v>
      </c>
      <c r="D24" s="84">
        <v>5</v>
      </c>
      <c r="E24" s="226"/>
      <c r="F24" s="241">
        <v>0</v>
      </c>
      <c r="G24" s="241">
        <v>2</v>
      </c>
      <c r="H24" s="241">
        <v>0</v>
      </c>
      <c r="I24" s="241">
        <v>0</v>
      </c>
      <c r="J24" s="241">
        <v>0</v>
      </c>
      <c r="K24" s="241">
        <v>0</v>
      </c>
      <c r="L24" s="241">
        <v>0</v>
      </c>
      <c r="M24" s="241">
        <v>2</v>
      </c>
      <c r="N24" s="227"/>
      <c r="O24" s="228">
        <f t="shared" ref="O24:O29" si="5">F24/G24*C24/D24</f>
        <v>0</v>
      </c>
      <c r="P24" s="242" t="s">
        <v>249</v>
      </c>
      <c r="Q24" s="242" t="s">
        <v>249</v>
      </c>
      <c r="R24" s="242" t="s">
        <v>249</v>
      </c>
    </row>
    <row r="25" spans="1:18">
      <c r="A25" s="239" t="s">
        <v>250</v>
      </c>
      <c r="B25" s="240" t="s">
        <v>130</v>
      </c>
      <c r="C25" s="84">
        <v>5</v>
      </c>
      <c r="D25" s="84">
        <v>5</v>
      </c>
      <c r="E25" s="226"/>
      <c r="F25" s="217">
        <v>8</v>
      </c>
      <c r="G25" s="217">
        <v>17</v>
      </c>
      <c r="H25" s="217">
        <v>47</v>
      </c>
      <c r="I25" s="217">
        <v>9</v>
      </c>
      <c r="J25" s="217">
        <v>38</v>
      </c>
      <c r="K25" s="217">
        <v>23</v>
      </c>
      <c r="L25" s="217">
        <v>93</v>
      </c>
      <c r="M25" s="217">
        <v>49</v>
      </c>
      <c r="N25" s="227"/>
      <c r="O25" s="228">
        <f t="shared" si="5"/>
        <v>0.47058823529411764</v>
      </c>
      <c r="P25" s="228">
        <f t="shared" ref="P25:P29" si="6">H25/I25*C25/D25</f>
        <v>5.2222222222222223</v>
      </c>
      <c r="Q25" s="228">
        <f t="shared" ref="Q25:Q29" si="7">J25/(K25*D25/C25)</f>
        <v>1.6521739130434783</v>
      </c>
      <c r="R25" s="228">
        <f t="shared" ref="R25:R29" si="8">L25/M25*C25/D25</f>
        <v>1.8979591836734695</v>
      </c>
    </row>
    <row r="26" spans="1:18">
      <c r="A26" s="239" t="s">
        <v>251</v>
      </c>
      <c r="B26" s="243" t="s">
        <v>130</v>
      </c>
      <c r="C26" s="84">
        <v>5</v>
      </c>
      <c r="D26" s="84">
        <v>5</v>
      </c>
      <c r="E26" s="226"/>
      <c r="F26" s="217">
        <v>0</v>
      </c>
      <c r="G26" s="217">
        <v>6</v>
      </c>
      <c r="H26" s="217">
        <v>104</v>
      </c>
      <c r="I26" s="217">
        <v>3</v>
      </c>
      <c r="J26" s="217">
        <v>75</v>
      </c>
      <c r="K26" s="217">
        <v>7</v>
      </c>
      <c r="L26" s="217">
        <v>179</v>
      </c>
      <c r="M26" s="217">
        <v>16</v>
      </c>
      <c r="N26" s="227"/>
      <c r="O26" s="228">
        <f t="shared" si="5"/>
        <v>0</v>
      </c>
      <c r="P26" s="228">
        <f t="shared" si="6"/>
        <v>34.666666666666664</v>
      </c>
      <c r="Q26" s="228">
        <f t="shared" si="7"/>
        <v>10.714285714285714</v>
      </c>
      <c r="R26" s="228">
        <f t="shared" si="8"/>
        <v>11.1875</v>
      </c>
    </row>
    <row r="27" spans="1:18">
      <c r="A27" s="239" t="s">
        <v>252</v>
      </c>
      <c r="B27" s="243" t="s">
        <v>130</v>
      </c>
      <c r="C27" s="84">
        <v>5</v>
      </c>
      <c r="D27" s="84">
        <v>5</v>
      </c>
      <c r="E27" s="226"/>
      <c r="F27" s="217">
        <v>0</v>
      </c>
      <c r="G27" s="217">
        <v>7</v>
      </c>
      <c r="H27" s="217">
        <v>29</v>
      </c>
      <c r="I27" s="217">
        <v>4</v>
      </c>
      <c r="J27" s="217">
        <v>41</v>
      </c>
      <c r="K27" s="217">
        <v>8</v>
      </c>
      <c r="L27" s="217">
        <v>70</v>
      </c>
      <c r="M27" s="217">
        <v>19</v>
      </c>
      <c r="N27" s="227"/>
      <c r="O27" s="228">
        <f t="shared" si="5"/>
        <v>0</v>
      </c>
      <c r="P27" s="228">
        <f t="shared" si="6"/>
        <v>7.25</v>
      </c>
      <c r="Q27" s="228">
        <f t="shared" si="7"/>
        <v>5.125</v>
      </c>
      <c r="R27" s="228">
        <f t="shared" si="8"/>
        <v>3.6842105263157889</v>
      </c>
    </row>
    <row r="28" spans="1:18">
      <c r="A28" s="244" t="s">
        <v>253</v>
      </c>
      <c r="B28" s="245" t="s">
        <v>130</v>
      </c>
      <c r="C28" s="84">
        <v>5</v>
      </c>
      <c r="D28" s="84">
        <v>5</v>
      </c>
      <c r="E28" s="226"/>
      <c r="F28" s="217">
        <v>0</v>
      </c>
      <c r="G28" s="217">
        <v>2</v>
      </c>
      <c r="H28" s="217">
        <v>0</v>
      </c>
      <c r="I28" s="217">
        <v>1</v>
      </c>
      <c r="J28" s="217">
        <v>46</v>
      </c>
      <c r="K28" s="217">
        <v>1</v>
      </c>
      <c r="L28" s="217">
        <v>46</v>
      </c>
      <c r="M28" s="217">
        <v>4</v>
      </c>
      <c r="N28" s="227"/>
      <c r="O28" s="228">
        <f t="shared" si="5"/>
        <v>0</v>
      </c>
      <c r="P28" s="228">
        <f t="shared" si="6"/>
        <v>0</v>
      </c>
      <c r="Q28" s="228">
        <f t="shared" si="7"/>
        <v>46</v>
      </c>
      <c r="R28" s="228">
        <f t="shared" si="8"/>
        <v>11.5</v>
      </c>
    </row>
    <row r="29" spans="1:18">
      <c r="A29" s="244" t="s">
        <v>254</v>
      </c>
      <c r="B29" s="245" t="s">
        <v>130</v>
      </c>
      <c r="C29" s="84">
        <v>5</v>
      </c>
      <c r="D29" s="84">
        <v>5</v>
      </c>
      <c r="E29" s="226"/>
      <c r="F29" s="246">
        <v>0</v>
      </c>
      <c r="G29" s="246">
        <v>4</v>
      </c>
      <c r="H29" s="246">
        <v>20</v>
      </c>
      <c r="I29" s="246">
        <v>2</v>
      </c>
      <c r="J29" s="246">
        <v>16</v>
      </c>
      <c r="K29" s="246">
        <v>4</v>
      </c>
      <c r="L29" s="246">
        <v>36</v>
      </c>
      <c r="M29" s="246">
        <v>10</v>
      </c>
      <c r="N29" s="227"/>
      <c r="O29" s="247">
        <f t="shared" si="5"/>
        <v>0</v>
      </c>
      <c r="P29" s="228">
        <f t="shared" si="6"/>
        <v>10</v>
      </c>
      <c r="Q29" s="247">
        <f t="shared" si="7"/>
        <v>4</v>
      </c>
      <c r="R29" s="247">
        <f t="shared" si="8"/>
        <v>3.6</v>
      </c>
    </row>
    <row r="30" spans="1:18">
      <c r="A30" s="224"/>
      <c r="B30" s="225"/>
      <c r="C30" s="226"/>
      <c r="D30" s="226"/>
      <c r="E30" s="226"/>
      <c r="F30" s="241">
        <f t="shared" ref="F30:M30" si="9">SUM(F24:F29)</f>
        <v>8</v>
      </c>
      <c r="G30" s="241">
        <f t="shared" si="9"/>
        <v>38</v>
      </c>
      <c r="H30" s="241">
        <f t="shared" si="9"/>
        <v>200</v>
      </c>
      <c r="I30" s="241">
        <f t="shared" si="9"/>
        <v>19</v>
      </c>
      <c r="J30" s="241">
        <f t="shared" si="9"/>
        <v>216</v>
      </c>
      <c r="K30" s="241">
        <f t="shared" si="9"/>
        <v>43</v>
      </c>
      <c r="L30" s="241">
        <f t="shared" si="9"/>
        <v>424</v>
      </c>
      <c r="M30" s="241">
        <f t="shared" si="9"/>
        <v>100</v>
      </c>
      <c r="N30" s="227"/>
      <c r="O30" s="228">
        <f>F30/(G30*D29/C29)</f>
        <v>0.21052631578947367</v>
      </c>
      <c r="P30" s="248">
        <f>H30/(I30*D29/C29)</f>
        <v>10.526315789473685</v>
      </c>
      <c r="Q30" s="228">
        <f>J30/(K30*D29/C29)</f>
        <v>5.0232558139534884</v>
      </c>
      <c r="R30" s="228">
        <f>L30/(M30*D29/C29)</f>
        <v>4.24</v>
      </c>
    </row>
    <row r="31" spans="1:18">
      <c r="A31" s="224"/>
      <c r="B31" s="225"/>
      <c r="C31" s="226"/>
      <c r="D31" s="226"/>
      <c r="E31" s="226"/>
      <c r="F31" s="249"/>
      <c r="G31" s="249"/>
      <c r="H31" s="250"/>
      <c r="I31" s="250"/>
      <c r="J31" s="250"/>
      <c r="K31" s="250"/>
      <c r="L31" s="250"/>
      <c r="M31" s="250"/>
      <c r="N31" s="227"/>
      <c r="O31" s="228"/>
      <c r="P31" s="228"/>
      <c r="Q31" s="228"/>
      <c r="R31" s="228"/>
    </row>
    <row r="32" spans="1:18">
      <c r="A32" s="224" t="s">
        <v>255</v>
      </c>
      <c r="B32" s="225" t="s">
        <v>131</v>
      </c>
      <c r="C32" s="84">
        <v>8</v>
      </c>
      <c r="D32" s="84">
        <v>6</v>
      </c>
      <c r="E32" s="226"/>
      <c r="F32" s="217">
        <v>56</v>
      </c>
      <c r="G32" s="217">
        <v>78</v>
      </c>
      <c r="H32" s="217">
        <v>1</v>
      </c>
      <c r="I32" s="217">
        <v>24</v>
      </c>
      <c r="J32" s="217">
        <v>0</v>
      </c>
      <c r="K32" s="217">
        <v>82</v>
      </c>
      <c r="L32" s="217">
        <v>57</v>
      </c>
      <c r="M32" s="217">
        <v>184</v>
      </c>
      <c r="N32" s="227"/>
      <c r="O32" s="228">
        <f t="shared" ref="O32:O37" si="10">F32/(G32*D32/C32)</f>
        <v>0.95726495726495731</v>
      </c>
      <c r="P32" s="228">
        <f t="shared" ref="P32:P34" si="11">H32/I32*C32/D32</f>
        <v>5.5555555555555552E-2</v>
      </c>
      <c r="Q32" s="228">
        <f t="shared" ref="Q32:Q37" si="12">J32/(K32*D32/C32)</f>
        <v>0</v>
      </c>
      <c r="R32" s="228">
        <f t="shared" ref="R32:R34" si="13">L32/M32*C32/D32</f>
        <v>0.41304347826086957</v>
      </c>
    </row>
    <row r="33" spans="1:18">
      <c r="A33" s="224" t="s">
        <v>256</v>
      </c>
      <c r="B33" s="225" t="s">
        <v>131</v>
      </c>
      <c r="C33" s="84">
        <v>8</v>
      </c>
      <c r="D33" s="84">
        <v>6</v>
      </c>
      <c r="E33" s="226"/>
      <c r="F33" s="217">
        <v>17</v>
      </c>
      <c r="G33" s="217">
        <v>1227</v>
      </c>
      <c r="H33" s="217">
        <v>161</v>
      </c>
      <c r="I33" s="217">
        <v>480</v>
      </c>
      <c r="J33" s="217">
        <v>375</v>
      </c>
      <c r="K33" s="217">
        <v>1267</v>
      </c>
      <c r="L33" s="217">
        <v>553</v>
      </c>
      <c r="M33" s="217">
        <v>2974</v>
      </c>
      <c r="N33" s="227"/>
      <c r="O33" s="228">
        <f t="shared" si="10"/>
        <v>1.8473240967128497E-2</v>
      </c>
      <c r="P33" s="228">
        <f t="shared" si="11"/>
        <v>0.44722222222222219</v>
      </c>
      <c r="Q33" s="228">
        <f t="shared" si="12"/>
        <v>0.39463299131807417</v>
      </c>
      <c r="R33" s="228">
        <f t="shared" si="13"/>
        <v>0.2479264738847792</v>
      </c>
    </row>
    <row r="34" spans="1:18">
      <c r="A34" s="224" t="s">
        <v>257</v>
      </c>
      <c r="B34" s="225" t="s">
        <v>131</v>
      </c>
      <c r="C34" s="84">
        <v>8</v>
      </c>
      <c r="D34" s="84">
        <v>6</v>
      </c>
      <c r="E34" s="226"/>
      <c r="F34" s="217">
        <v>22</v>
      </c>
      <c r="G34" s="217">
        <v>1617</v>
      </c>
      <c r="H34" s="217">
        <v>324</v>
      </c>
      <c r="I34" s="217">
        <v>708</v>
      </c>
      <c r="J34" s="217">
        <v>2162</v>
      </c>
      <c r="K34" s="217">
        <v>1638</v>
      </c>
      <c r="L34" s="217">
        <v>2508</v>
      </c>
      <c r="M34" s="217">
        <v>3963</v>
      </c>
      <c r="N34" s="227"/>
      <c r="O34" s="228">
        <f t="shared" si="10"/>
        <v>1.8140589569160998E-2</v>
      </c>
      <c r="P34" s="228">
        <f t="shared" si="11"/>
        <v>0.61016949152542377</v>
      </c>
      <c r="Q34" s="228">
        <f t="shared" si="12"/>
        <v>1.7598697598697599</v>
      </c>
      <c r="R34" s="228">
        <f t="shared" si="13"/>
        <v>0.84380519808226095</v>
      </c>
    </row>
    <row r="35" spans="1:18">
      <c r="A35" s="224" t="s">
        <v>258</v>
      </c>
      <c r="B35" s="225" t="s">
        <v>131</v>
      </c>
      <c r="C35" s="84">
        <v>8</v>
      </c>
      <c r="D35" s="84">
        <v>6</v>
      </c>
      <c r="E35" s="226"/>
      <c r="F35" s="217">
        <v>0</v>
      </c>
      <c r="G35" s="217">
        <v>349</v>
      </c>
      <c r="H35" s="217">
        <v>0</v>
      </c>
      <c r="I35" s="217">
        <v>99</v>
      </c>
      <c r="J35" s="217">
        <v>78</v>
      </c>
      <c r="K35" s="217">
        <v>321</v>
      </c>
      <c r="L35" s="217">
        <v>78</v>
      </c>
      <c r="M35" s="217">
        <v>769</v>
      </c>
      <c r="N35" s="227"/>
      <c r="O35" s="228">
        <f t="shared" si="10"/>
        <v>0</v>
      </c>
      <c r="P35" s="228">
        <v>0</v>
      </c>
      <c r="Q35" s="228">
        <f t="shared" si="12"/>
        <v>0.32398753894080995</v>
      </c>
      <c r="R35" s="228">
        <v>0.15951452102297356</v>
      </c>
    </row>
    <row r="36" spans="1:18">
      <c r="A36" s="224" t="s">
        <v>259</v>
      </c>
      <c r="B36" s="251" t="s">
        <v>131</v>
      </c>
      <c r="C36" s="84">
        <v>8</v>
      </c>
      <c r="D36" s="84">
        <v>6</v>
      </c>
      <c r="E36" s="226"/>
      <c r="F36" s="217">
        <v>78</v>
      </c>
      <c r="G36" s="217">
        <v>703</v>
      </c>
      <c r="H36" s="217">
        <v>0</v>
      </c>
      <c r="I36" s="217">
        <v>306</v>
      </c>
      <c r="J36" s="217">
        <v>94</v>
      </c>
      <c r="K36" s="217">
        <v>784</v>
      </c>
      <c r="L36" s="217">
        <v>172</v>
      </c>
      <c r="M36" s="217">
        <v>1793</v>
      </c>
      <c r="N36" s="227"/>
      <c r="O36" s="228">
        <f t="shared" si="10"/>
        <v>0.14793741109530584</v>
      </c>
      <c r="P36" s="228">
        <f t="shared" ref="P36:P37" si="14">H36/I36*C36/D36</f>
        <v>0</v>
      </c>
      <c r="Q36" s="228">
        <f t="shared" si="12"/>
        <v>0.1598639455782313</v>
      </c>
      <c r="R36" s="228">
        <f t="shared" ref="R36:R37" si="15">L36/M36*C36/D36</f>
        <v>0.12790481502137943</v>
      </c>
    </row>
    <row r="37" spans="1:18">
      <c r="A37" s="224" t="s">
        <v>260</v>
      </c>
      <c r="B37" s="251" t="s">
        <v>131</v>
      </c>
      <c r="C37" s="84">
        <v>8</v>
      </c>
      <c r="D37" s="84">
        <v>6</v>
      </c>
      <c r="E37" s="226"/>
      <c r="F37" s="246">
        <v>10</v>
      </c>
      <c r="G37" s="246">
        <v>241</v>
      </c>
      <c r="H37" s="246">
        <v>8</v>
      </c>
      <c r="I37" s="246">
        <v>93</v>
      </c>
      <c r="J37" s="246">
        <v>42</v>
      </c>
      <c r="K37" s="246">
        <v>303</v>
      </c>
      <c r="L37" s="246">
        <v>60</v>
      </c>
      <c r="M37" s="246">
        <v>637</v>
      </c>
      <c r="N37" s="227"/>
      <c r="O37" s="247">
        <f t="shared" si="10"/>
        <v>5.5325034578146609E-2</v>
      </c>
      <c r="P37" s="247">
        <f t="shared" si="14"/>
        <v>0.11469534050179213</v>
      </c>
      <c r="Q37" s="247">
        <f t="shared" si="12"/>
        <v>0.18481848184818481</v>
      </c>
      <c r="R37" s="247">
        <f t="shared" si="15"/>
        <v>0.12558869701726846</v>
      </c>
    </row>
    <row r="38" spans="1:18">
      <c r="A38" s="224"/>
      <c r="B38" s="225"/>
      <c r="C38" s="226"/>
      <c r="D38" s="226"/>
      <c r="E38" s="226"/>
      <c r="F38" s="241">
        <f t="shared" ref="F38:M38" si="16">SUM(F32:F37)</f>
        <v>183</v>
      </c>
      <c r="G38" s="241">
        <f t="shared" si="16"/>
        <v>4215</v>
      </c>
      <c r="H38" s="241">
        <f t="shared" si="16"/>
        <v>494</v>
      </c>
      <c r="I38" s="241">
        <f t="shared" si="16"/>
        <v>1710</v>
      </c>
      <c r="J38" s="241">
        <f t="shared" si="16"/>
        <v>2751</v>
      </c>
      <c r="K38" s="241">
        <f t="shared" si="16"/>
        <v>4395</v>
      </c>
      <c r="L38" s="241">
        <f t="shared" si="16"/>
        <v>3428</v>
      </c>
      <c r="M38" s="241">
        <f t="shared" si="16"/>
        <v>10320</v>
      </c>
      <c r="N38" s="227"/>
      <c r="O38" s="228">
        <f>F38/G38*C37/D37</f>
        <v>5.788849347568209E-2</v>
      </c>
      <c r="P38" s="228">
        <f>H38/I38*C37/D37</f>
        <v>0.38518518518518513</v>
      </c>
      <c r="Q38" s="228">
        <f>J38/K38*C37/D37</f>
        <v>0.83458475540386801</v>
      </c>
      <c r="R38" s="228">
        <f>L38/M38*C37/D37</f>
        <v>0.44289405684754524</v>
      </c>
    </row>
    <row r="39" spans="1:18">
      <c r="A39" s="224"/>
      <c r="B39" s="225"/>
      <c r="C39" s="226"/>
      <c r="D39" s="226"/>
      <c r="E39" s="226"/>
      <c r="F39" s="241"/>
      <c r="G39" s="241"/>
      <c r="H39" s="217"/>
      <c r="I39" s="217"/>
      <c r="J39" s="217"/>
      <c r="K39" s="217"/>
      <c r="L39" s="217"/>
      <c r="M39" s="217"/>
      <c r="N39" s="227"/>
      <c r="O39" s="228"/>
      <c r="P39" s="228"/>
      <c r="Q39" s="228"/>
      <c r="R39" s="228"/>
    </row>
    <row r="40" spans="1:18">
      <c r="A40" s="224" t="s">
        <v>261</v>
      </c>
      <c r="B40" s="225" t="s">
        <v>134</v>
      </c>
      <c r="C40" s="84">
        <v>5</v>
      </c>
      <c r="D40" s="84">
        <v>5</v>
      </c>
      <c r="E40" s="226"/>
      <c r="F40" s="217">
        <v>2</v>
      </c>
      <c r="G40" s="217">
        <v>64</v>
      </c>
      <c r="H40" s="217">
        <v>5</v>
      </c>
      <c r="I40" s="217">
        <v>28</v>
      </c>
      <c r="J40" s="217">
        <v>21</v>
      </c>
      <c r="K40" s="217">
        <v>69</v>
      </c>
      <c r="L40" s="217">
        <v>28</v>
      </c>
      <c r="M40" s="217">
        <v>161</v>
      </c>
      <c r="N40" s="227"/>
      <c r="O40" s="228">
        <f t="shared" ref="O40:O41" si="17">F40/G40*C40/D40</f>
        <v>3.125E-2</v>
      </c>
      <c r="P40" s="228">
        <f t="shared" ref="P40:P41" si="18">H40/I40*C40/D40</f>
        <v>0.17857142857142858</v>
      </c>
      <c r="Q40" s="228">
        <f t="shared" ref="Q40:Q41" si="19">J40/(K40*D40/C40)</f>
        <v>0.30434782608695654</v>
      </c>
      <c r="R40" s="228">
        <f t="shared" ref="R40:R41" si="20">L40/M40*C40/D40</f>
        <v>0.17391304347826086</v>
      </c>
    </row>
    <row r="41" spans="1:18">
      <c r="A41" s="224" t="s">
        <v>262</v>
      </c>
      <c r="B41" s="225" t="s">
        <v>134</v>
      </c>
      <c r="C41" s="84">
        <v>5</v>
      </c>
      <c r="D41" s="84">
        <v>5</v>
      </c>
      <c r="E41" s="226"/>
      <c r="F41" s="246">
        <v>191</v>
      </c>
      <c r="G41" s="246">
        <v>416</v>
      </c>
      <c r="H41" s="246">
        <v>218</v>
      </c>
      <c r="I41" s="246">
        <v>192</v>
      </c>
      <c r="J41" s="246">
        <v>295</v>
      </c>
      <c r="K41" s="246">
        <v>471</v>
      </c>
      <c r="L41" s="246">
        <v>704</v>
      </c>
      <c r="M41" s="246">
        <v>1079</v>
      </c>
      <c r="N41" s="227"/>
      <c r="O41" s="247">
        <f t="shared" si="17"/>
        <v>0.45913461538461531</v>
      </c>
      <c r="P41" s="247">
        <f t="shared" si="18"/>
        <v>1.1354166666666667</v>
      </c>
      <c r="Q41" s="247">
        <f t="shared" si="19"/>
        <v>0.62632696390658171</v>
      </c>
      <c r="R41" s="247">
        <f t="shared" si="20"/>
        <v>0.65245597775718256</v>
      </c>
    </row>
    <row r="42" spans="1:18">
      <c r="A42" s="224"/>
      <c r="B42" s="225"/>
      <c r="C42" s="226"/>
      <c r="D42" s="226"/>
      <c r="E42" s="226"/>
      <c r="F42" s="241">
        <f t="shared" ref="F42:M42" si="21">F40+F41</f>
        <v>193</v>
      </c>
      <c r="G42" s="241">
        <f t="shared" si="21"/>
        <v>480</v>
      </c>
      <c r="H42" s="241">
        <f t="shared" si="21"/>
        <v>223</v>
      </c>
      <c r="I42" s="241">
        <f t="shared" si="21"/>
        <v>220</v>
      </c>
      <c r="J42" s="241">
        <f t="shared" si="21"/>
        <v>316</v>
      </c>
      <c r="K42" s="241">
        <f t="shared" si="21"/>
        <v>540</v>
      </c>
      <c r="L42" s="241">
        <f t="shared" si="21"/>
        <v>732</v>
      </c>
      <c r="M42" s="241">
        <f t="shared" si="21"/>
        <v>1240</v>
      </c>
      <c r="N42" s="227"/>
      <c r="O42" s="228">
        <f>F42/G42*C41/D41</f>
        <v>0.4020833333333334</v>
      </c>
      <c r="P42" s="228">
        <f>H42/I42*C41/D41</f>
        <v>1.0136363636363637</v>
      </c>
      <c r="Q42" s="228">
        <f>J42/(K42*D41/C41)</f>
        <v>0.58518518518518514</v>
      </c>
      <c r="R42" s="228">
        <f>L42/M42*C41/D41</f>
        <v>0.5903225806451613</v>
      </c>
    </row>
    <row r="43" spans="1:18">
      <c r="A43" s="224"/>
      <c r="B43" s="225"/>
      <c r="C43" s="226"/>
      <c r="D43" s="226"/>
      <c r="E43" s="226"/>
      <c r="F43" s="249"/>
      <c r="G43" s="249"/>
      <c r="H43" s="250"/>
      <c r="I43" s="250"/>
      <c r="J43" s="250"/>
      <c r="K43" s="250"/>
      <c r="L43" s="250"/>
      <c r="M43" s="250"/>
      <c r="N43" s="227"/>
      <c r="O43" s="228"/>
      <c r="P43" s="228"/>
      <c r="Q43" s="228"/>
      <c r="R43" s="228"/>
    </row>
    <row r="44" spans="1:18">
      <c r="A44" s="224" t="s">
        <v>135</v>
      </c>
      <c r="B44" s="225" t="s">
        <v>135</v>
      </c>
      <c r="C44" s="84">
        <v>5</v>
      </c>
      <c r="D44" s="84">
        <v>5</v>
      </c>
      <c r="E44" s="226"/>
      <c r="F44" s="241">
        <v>0</v>
      </c>
      <c r="G44" s="241">
        <v>143</v>
      </c>
      <c r="H44" s="217">
        <v>0</v>
      </c>
      <c r="I44" s="217">
        <v>61</v>
      </c>
      <c r="J44" s="241">
        <v>0</v>
      </c>
      <c r="K44" s="241">
        <v>150</v>
      </c>
      <c r="L44" s="217">
        <v>0</v>
      </c>
      <c r="M44" s="217">
        <v>354</v>
      </c>
      <c r="N44" s="227"/>
      <c r="O44" s="228">
        <f>F44/G44*C44/D44</f>
        <v>0</v>
      </c>
      <c r="P44" s="228">
        <f t="shared" ref="P44:P47" si="22">H44/I44*$C$44/$D$44</f>
        <v>0</v>
      </c>
      <c r="Q44" s="228">
        <f t="shared" ref="Q44:Q47" si="23">J44/K44*$C$44/$D$44</f>
        <v>0</v>
      </c>
      <c r="R44" s="228">
        <f t="shared" ref="R44:R47" si="24">L44/M44*$C$44/$D$44</f>
        <v>0</v>
      </c>
    </row>
    <row r="45" spans="1:18">
      <c r="A45" s="239" t="s">
        <v>263</v>
      </c>
      <c r="B45" s="243" t="s">
        <v>135</v>
      </c>
      <c r="C45" s="84">
        <v>5</v>
      </c>
      <c r="D45" s="84">
        <v>5</v>
      </c>
      <c r="E45" s="226"/>
      <c r="F45" s="217">
        <v>16</v>
      </c>
      <c r="G45" s="217">
        <v>198</v>
      </c>
      <c r="H45" s="217">
        <v>72</v>
      </c>
      <c r="I45" s="217">
        <v>91</v>
      </c>
      <c r="J45" s="217">
        <v>52</v>
      </c>
      <c r="K45" s="217">
        <v>210</v>
      </c>
      <c r="L45" s="217">
        <v>140</v>
      </c>
      <c r="M45" s="217">
        <v>499</v>
      </c>
      <c r="N45" s="227"/>
      <c r="O45" s="228">
        <f t="shared" ref="O45:O47" si="25">F45/G45*$C$45/$D$45</f>
        <v>8.0808080808080815E-2</v>
      </c>
      <c r="P45" s="228">
        <f t="shared" si="22"/>
        <v>0.79120879120879117</v>
      </c>
      <c r="Q45" s="228">
        <f t="shared" si="23"/>
        <v>0.24761904761904763</v>
      </c>
      <c r="R45" s="228">
        <f t="shared" si="24"/>
        <v>0.28056112224448898</v>
      </c>
    </row>
    <row r="46" spans="1:18">
      <c r="A46" s="224" t="s">
        <v>264</v>
      </c>
      <c r="B46" s="225" t="s">
        <v>135</v>
      </c>
      <c r="C46" s="84">
        <v>5</v>
      </c>
      <c r="D46" s="84">
        <v>5</v>
      </c>
      <c r="E46" s="226"/>
      <c r="F46" s="246">
        <v>0</v>
      </c>
      <c r="G46" s="246">
        <v>119</v>
      </c>
      <c r="H46" s="246">
        <v>0</v>
      </c>
      <c r="I46" s="246">
        <v>58</v>
      </c>
      <c r="J46" s="246">
        <v>0</v>
      </c>
      <c r="K46" s="246">
        <v>130</v>
      </c>
      <c r="L46" s="246">
        <v>0</v>
      </c>
      <c r="M46" s="246">
        <v>307</v>
      </c>
      <c r="N46" s="227"/>
      <c r="O46" s="247">
        <f t="shared" si="25"/>
        <v>0</v>
      </c>
      <c r="P46" s="247">
        <f t="shared" si="22"/>
        <v>0</v>
      </c>
      <c r="Q46" s="247">
        <f t="shared" si="23"/>
        <v>0</v>
      </c>
      <c r="R46" s="247">
        <f t="shared" si="24"/>
        <v>0</v>
      </c>
    </row>
    <row r="47" spans="1:18">
      <c r="A47" s="224"/>
      <c r="B47" s="225"/>
      <c r="C47" s="226"/>
      <c r="D47" s="226"/>
      <c r="E47" s="226"/>
      <c r="F47" s="241">
        <f t="shared" ref="F47:M47" si="26">F44+F45+F46</f>
        <v>16</v>
      </c>
      <c r="G47" s="241">
        <f t="shared" si="26"/>
        <v>460</v>
      </c>
      <c r="H47" s="241">
        <f t="shared" si="26"/>
        <v>72</v>
      </c>
      <c r="I47" s="241">
        <f t="shared" si="26"/>
        <v>210</v>
      </c>
      <c r="J47" s="241">
        <f t="shared" si="26"/>
        <v>52</v>
      </c>
      <c r="K47" s="241">
        <f t="shared" si="26"/>
        <v>490</v>
      </c>
      <c r="L47" s="241">
        <f t="shared" si="26"/>
        <v>140</v>
      </c>
      <c r="M47" s="241">
        <f t="shared" si="26"/>
        <v>1160</v>
      </c>
      <c r="N47" s="227"/>
      <c r="O47" s="228">
        <f t="shared" si="25"/>
        <v>3.4782608695652174E-2</v>
      </c>
      <c r="P47" s="228">
        <f t="shared" si="22"/>
        <v>0.34285714285714286</v>
      </c>
      <c r="Q47" s="228">
        <f t="shared" si="23"/>
        <v>0.10612244897959182</v>
      </c>
      <c r="R47" s="228">
        <f t="shared" si="24"/>
        <v>0.12068965517241378</v>
      </c>
    </row>
    <row r="48" spans="1:18">
      <c r="A48" s="224"/>
      <c r="B48" s="225"/>
      <c r="C48" s="226"/>
      <c r="D48" s="226"/>
      <c r="E48" s="226"/>
      <c r="F48" s="249"/>
      <c r="G48" s="249"/>
      <c r="H48" s="250"/>
      <c r="I48" s="250"/>
      <c r="J48" s="250"/>
      <c r="K48" s="250"/>
      <c r="L48" s="250"/>
      <c r="M48" s="250"/>
      <c r="N48" s="227"/>
      <c r="O48" s="228"/>
      <c r="P48" s="228"/>
      <c r="Q48" s="228"/>
      <c r="R48" s="228"/>
    </row>
    <row r="49" spans="1:18">
      <c r="A49" s="224" t="s">
        <v>265</v>
      </c>
      <c r="B49" s="225" t="s">
        <v>136</v>
      </c>
      <c r="C49" s="84">
        <v>8</v>
      </c>
      <c r="D49" s="84">
        <v>5</v>
      </c>
      <c r="E49" s="226"/>
      <c r="F49" s="217">
        <v>91</v>
      </c>
      <c r="G49" s="217">
        <v>554</v>
      </c>
      <c r="H49" s="217">
        <v>89</v>
      </c>
      <c r="I49" s="217">
        <v>214</v>
      </c>
      <c r="J49" s="217">
        <v>702</v>
      </c>
      <c r="K49" s="217">
        <v>680</v>
      </c>
      <c r="L49" s="217">
        <v>882</v>
      </c>
      <c r="M49" s="217">
        <v>1448</v>
      </c>
      <c r="N49" s="227"/>
      <c r="O49" s="228">
        <f t="shared" ref="O49:O68" si="27">F49/G49*C49/D49</f>
        <v>0.26281588447653431</v>
      </c>
      <c r="P49" s="228">
        <f t="shared" ref="P49:P68" si="28">H49/I49*C49/D49</f>
        <v>0.66542056074766354</v>
      </c>
      <c r="Q49" s="228">
        <f t="shared" ref="Q49:Q68" si="29">J49/(K49*D49/C49)</f>
        <v>1.651764705882353</v>
      </c>
      <c r="R49" s="228">
        <f t="shared" ref="R49:R68" si="30">L49/M49*C49/D49</f>
        <v>0.97458563535911602</v>
      </c>
    </row>
    <row r="50" spans="1:18">
      <c r="A50" s="239" t="s">
        <v>266</v>
      </c>
      <c r="B50" s="243" t="s">
        <v>136</v>
      </c>
      <c r="C50" s="84">
        <v>8</v>
      </c>
      <c r="D50" s="84">
        <v>5</v>
      </c>
      <c r="E50" s="226"/>
      <c r="F50" s="217">
        <v>16</v>
      </c>
      <c r="G50" s="217">
        <v>358</v>
      </c>
      <c r="H50" s="217">
        <v>6</v>
      </c>
      <c r="I50" s="217">
        <v>123</v>
      </c>
      <c r="J50" s="217">
        <v>2228</v>
      </c>
      <c r="K50" s="217">
        <v>279</v>
      </c>
      <c r="L50" s="217">
        <v>2250</v>
      </c>
      <c r="M50" s="217">
        <v>760</v>
      </c>
      <c r="N50" s="227"/>
      <c r="O50" s="228">
        <f t="shared" si="27"/>
        <v>7.1508379888268164E-2</v>
      </c>
      <c r="P50" s="228">
        <f t="shared" si="28"/>
        <v>7.8048780487804878E-2</v>
      </c>
      <c r="Q50" s="228">
        <f t="shared" si="29"/>
        <v>12.777060931899642</v>
      </c>
      <c r="R50" s="228">
        <f t="shared" si="30"/>
        <v>4.7368421052631584</v>
      </c>
    </row>
    <row r="51" spans="1:18">
      <c r="A51" s="224" t="s">
        <v>267</v>
      </c>
      <c r="B51" s="225" t="s">
        <v>136</v>
      </c>
      <c r="C51" s="84">
        <v>8</v>
      </c>
      <c r="D51" s="84">
        <v>5</v>
      </c>
      <c r="E51" s="226"/>
      <c r="F51" s="217">
        <v>2</v>
      </c>
      <c r="G51" s="217">
        <v>76</v>
      </c>
      <c r="H51" s="217">
        <v>0</v>
      </c>
      <c r="I51" s="217">
        <v>31</v>
      </c>
      <c r="J51" s="217">
        <v>8</v>
      </c>
      <c r="K51" s="217">
        <v>34</v>
      </c>
      <c r="L51" s="217">
        <v>10</v>
      </c>
      <c r="M51" s="217">
        <v>141</v>
      </c>
      <c r="N51" s="227"/>
      <c r="O51" s="228">
        <f t="shared" si="27"/>
        <v>4.2105263157894736E-2</v>
      </c>
      <c r="P51" s="228">
        <f t="shared" si="28"/>
        <v>0</v>
      </c>
      <c r="Q51" s="228">
        <f t="shared" si="29"/>
        <v>0.37647058823529411</v>
      </c>
      <c r="R51" s="228">
        <f t="shared" si="30"/>
        <v>0.11347517730496455</v>
      </c>
    </row>
    <row r="52" spans="1:18">
      <c r="A52" s="239" t="s">
        <v>268</v>
      </c>
      <c r="B52" s="243" t="s">
        <v>136</v>
      </c>
      <c r="C52" s="84">
        <v>8</v>
      </c>
      <c r="D52" s="84">
        <v>5</v>
      </c>
      <c r="E52" s="226"/>
      <c r="F52" s="217">
        <v>22</v>
      </c>
      <c r="G52" s="217">
        <v>1242</v>
      </c>
      <c r="H52" s="217">
        <v>5</v>
      </c>
      <c r="I52" s="217">
        <v>559</v>
      </c>
      <c r="J52" s="217">
        <v>214</v>
      </c>
      <c r="K52" s="217">
        <v>1677</v>
      </c>
      <c r="L52" s="217">
        <v>241</v>
      </c>
      <c r="M52" s="217">
        <v>3478</v>
      </c>
      <c r="N52" s="227"/>
      <c r="O52" s="228">
        <f t="shared" si="27"/>
        <v>2.8341384863123993E-2</v>
      </c>
      <c r="P52" s="228">
        <f t="shared" si="28"/>
        <v>1.4311270125223614E-2</v>
      </c>
      <c r="Q52" s="228">
        <f t="shared" si="29"/>
        <v>0.20417412045319022</v>
      </c>
      <c r="R52" s="228">
        <f t="shared" si="30"/>
        <v>0.11086831512363426</v>
      </c>
    </row>
    <row r="53" spans="1:18">
      <c r="A53" s="239" t="s">
        <v>269</v>
      </c>
      <c r="B53" s="243" t="s">
        <v>136</v>
      </c>
      <c r="C53" s="84">
        <v>8</v>
      </c>
      <c r="D53" s="84">
        <v>5</v>
      </c>
      <c r="E53" s="226"/>
      <c r="F53" s="217">
        <v>246</v>
      </c>
      <c r="G53" s="217">
        <v>592</v>
      </c>
      <c r="H53" s="217">
        <v>129</v>
      </c>
      <c r="I53" s="217">
        <v>243</v>
      </c>
      <c r="J53" s="217">
        <v>1369</v>
      </c>
      <c r="K53" s="217">
        <v>532</v>
      </c>
      <c r="L53" s="217">
        <v>1744</v>
      </c>
      <c r="M53" s="217">
        <v>1367</v>
      </c>
      <c r="N53" s="227"/>
      <c r="O53" s="228">
        <f t="shared" si="27"/>
        <v>0.66486486486486485</v>
      </c>
      <c r="P53" s="228">
        <f t="shared" si="28"/>
        <v>0.84938271604938276</v>
      </c>
      <c r="Q53" s="228">
        <f t="shared" si="29"/>
        <v>4.117293233082707</v>
      </c>
      <c r="R53" s="228">
        <f t="shared" si="30"/>
        <v>2.0412582297000732</v>
      </c>
    </row>
    <row r="54" spans="1:18">
      <c r="A54" s="224" t="s">
        <v>270</v>
      </c>
      <c r="B54" s="225" t="s">
        <v>136</v>
      </c>
      <c r="C54" s="84">
        <v>8</v>
      </c>
      <c r="D54" s="84">
        <v>5</v>
      </c>
      <c r="E54" s="226"/>
      <c r="F54" s="217">
        <v>33</v>
      </c>
      <c r="G54" s="217">
        <v>307</v>
      </c>
      <c r="H54" s="217">
        <v>42</v>
      </c>
      <c r="I54" s="217">
        <v>124</v>
      </c>
      <c r="J54" s="217">
        <v>383</v>
      </c>
      <c r="K54" s="217">
        <v>126</v>
      </c>
      <c r="L54" s="217">
        <v>458</v>
      </c>
      <c r="M54" s="217">
        <v>557</v>
      </c>
      <c r="N54" s="227"/>
      <c r="O54" s="228">
        <f t="shared" si="27"/>
        <v>0.17198697068403909</v>
      </c>
      <c r="P54" s="228">
        <f t="shared" si="28"/>
        <v>0.54193548387096768</v>
      </c>
      <c r="Q54" s="228">
        <f t="shared" si="29"/>
        <v>4.8634920634920631</v>
      </c>
      <c r="R54" s="228">
        <f t="shared" si="30"/>
        <v>1.3156193895870736</v>
      </c>
    </row>
    <row r="55" spans="1:18">
      <c r="A55" s="239" t="s">
        <v>271</v>
      </c>
      <c r="B55" s="243" t="s">
        <v>136</v>
      </c>
      <c r="C55" s="84">
        <v>8</v>
      </c>
      <c r="D55" s="84">
        <v>5</v>
      </c>
      <c r="E55" s="226"/>
      <c r="F55" s="217">
        <v>124</v>
      </c>
      <c r="G55" s="217">
        <v>163</v>
      </c>
      <c r="H55" s="217">
        <v>26</v>
      </c>
      <c r="I55" s="217">
        <v>69</v>
      </c>
      <c r="J55" s="217">
        <v>403</v>
      </c>
      <c r="K55" s="217">
        <v>166</v>
      </c>
      <c r="L55" s="217">
        <v>553</v>
      </c>
      <c r="M55" s="217">
        <v>398</v>
      </c>
      <c r="N55" s="227"/>
      <c r="O55" s="228">
        <f t="shared" si="27"/>
        <v>1.2171779141104295</v>
      </c>
      <c r="P55" s="228">
        <f t="shared" si="28"/>
        <v>0.60289855072463772</v>
      </c>
      <c r="Q55" s="228">
        <f t="shared" si="29"/>
        <v>3.8843373493975903</v>
      </c>
      <c r="R55" s="228">
        <f t="shared" si="30"/>
        <v>2.2231155778894474</v>
      </c>
    </row>
    <row r="56" spans="1:18">
      <c r="A56" s="239" t="s">
        <v>272</v>
      </c>
      <c r="B56" s="243" t="s">
        <v>136</v>
      </c>
      <c r="C56" s="84">
        <v>8</v>
      </c>
      <c r="D56" s="84">
        <v>5</v>
      </c>
      <c r="E56" s="226"/>
      <c r="F56" s="217">
        <v>16</v>
      </c>
      <c r="G56" s="217">
        <v>338</v>
      </c>
      <c r="H56" s="217">
        <v>217</v>
      </c>
      <c r="I56" s="217">
        <v>100</v>
      </c>
      <c r="J56" s="217">
        <v>505</v>
      </c>
      <c r="K56" s="217">
        <v>244</v>
      </c>
      <c r="L56" s="217">
        <v>738</v>
      </c>
      <c r="M56" s="217">
        <v>682</v>
      </c>
      <c r="N56" s="227"/>
      <c r="O56" s="228">
        <f t="shared" si="27"/>
        <v>7.5739644970414202E-2</v>
      </c>
      <c r="P56" s="228">
        <f t="shared" si="28"/>
        <v>3.472</v>
      </c>
      <c r="Q56" s="228">
        <f t="shared" si="29"/>
        <v>3.3114754098360657</v>
      </c>
      <c r="R56" s="228">
        <f t="shared" si="30"/>
        <v>1.7313782991202344</v>
      </c>
    </row>
    <row r="57" spans="1:18">
      <c r="A57" s="224" t="s">
        <v>273</v>
      </c>
      <c r="B57" s="225" t="s">
        <v>136</v>
      </c>
      <c r="C57" s="84">
        <v>8</v>
      </c>
      <c r="D57" s="84">
        <v>5</v>
      </c>
      <c r="E57" s="226"/>
      <c r="F57" s="217">
        <v>8</v>
      </c>
      <c r="G57" s="217">
        <v>216</v>
      </c>
      <c r="H57" s="217">
        <v>59</v>
      </c>
      <c r="I57" s="217">
        <v>85</v>
      </c>
      <c r="J57" s="217">
        <v>446</v>
      </c>
      <c r="K57" s="217">
        <v>99</v>
      </c>
      <c r="L57" s="217">
        <v>513</v>
      </c>
      <c r="M57" s="217">
        <v>400</v>
      </c>
      <c r="N57" s="227"/>
      <c r="O57" s="228">
        <f t="shared" si="27"/>
        <v>5.9259259259259255E-2</v>
      </c>
      <c r="P57" s="228">
        <f t="shared" si="28"/>
        <v>1.1105882352941177</v>
      </c>
      <c r="Q57" s="228">
        <f t="shared" si="29"/>
        <v>7.2080808080808083</v>
      </c>
      <c r="R57" s="228">
        <f t="shared" si="30"/>
        <v>2.052</v>
      </c>
    </row>
    <row r="58" spans="1:18">
      <c r="A58" s="239" t="s">
        <v>274</v>
      </c>
      <c r="B58" s="252" t="s">
        <v>136</v>
      </c>
      <c r="C58" s="84">
        <v>8</v>
      </c>
      <c r="D58" s="84">
        <v>5</v>
      </c>
      <c r="E58" s="226"/>
      <c r="F58" s="217">
        <v>0</v>
      </c>
      <c r="G58" s="217">
        <v>196</v>
      </c>
      <c r="H58" s="217">
        <v>1</v>
      </c>
      <c r="I58" s="217">
        <v>78</v>
      </c>
      <c r="J58" s="217">
        <v>51</v>
      </c>
      <c r="K58" s="217">
        <v>195</v>
      </c>
      <c r="L58" s="217">
        <v>52</v>
      </c>
      <c r="M58" s="217">
        <v>469</v>
      </c>
      <c r="N58" s="227"/>
      <c r="O58" s="228">
        <f t="shared" si="27"/>
        <v>0</v>
      </c>
      <c r="P58" s="228">
        <f t="shared" si="28"/>
        <v>2.0512820512820513E-2</v>
      </c>
      <c r="Q58" s="228">
        <f t="shared" si="29"/>
        <v>0.41846153846153844</v>
      </c>
      <c r="R58" s="228">
        <f t="shared" si="30"/>
        <v>0.17739872068230278</v>
      </c>
    </row>
    <row r="59" spans="1:18">
      <c r="A59" s="224" t="s">
        <v>275</v>
      </c>
      <c r="B59" s="251" t="s">
        <v>136</v>
      </c>
      <c r="C59" s="84">
        <v>8</v>
      </c>
      <c r="D59" s="84">
        <v>5</v>
      </c>
      <c r="E59" s="226"/>
      <c r="F59" s="217">
        <v>0</v>
      </c>
      <c r="G59" s="217">
        <v>119</v>
      </c>
      <c r="H59" s="217">
        <v>2</v>
      </c>
      <c r="I59" s="217">
        <v>50</v>
      </c>
      <c r="J59" s="217">
        <v>113</v>
      </c>
      <c r="K59" s="217">
        <v>60</v>
      </c>
      <c r="L59" s="217">
        <v>115</v>
      </c>
      <c r="M59" s="217">
        <v>229</v>
      </c>
      <c r="N59" s="227"/>
      <c r="O59" s="228">
        <f t="shared" si="27"/>
        <v>0</v>
      </c>
      <c r="P59" s="228">
        <f t="shared" si="28"/>
        <v>6.4000000000000001E-2</v>
      </c>
      <c r="Q59" s="228">
        <f t="shared" si="29"/>
        <v>3.0133333333333332</v>
      </c>
      <c r="R59" s="228">
        <f t="shared" si="30"/>
        <v>0.80349344978165926</v>
      </c>
    </row>
    <row r="60" spans="1:18">
      <c r="A60" s="224" t="s">
        <v>276</v>
      </c>
      <c r="B60" s="251" t="s">
        <v>136</v>
      </c>
      <c r="C60" s="84">
        <v>8</v>
      </c>
      <c r="D60" s="84">
        <v>5</v>
      </c>
      <c r="E60" s="226"/>
      <c r="F60" s="217">
        <v>74</v>
      </c>
      <c r="G60" s="217">
        <v>491</v>
      </c>
      <c r="H60" s="217">
        <v>209</v>
      </c>
      <c r="I60" s="217">
        <v>175</v>
      </c>
      <c r="J60" s="217">
        <v>943</v>
      </c>
      <c r="K60" s="217">
        <v>502</v>
      </c>
      <c r="L60" s="217">
        <v>1226</v>
      </c>
      <c r="M60" s="217">
        <v>1168</v>
      </c>
      <c r="N60" s="227"/>
      <c r="O60" s="228">
        <f t="shared" si="27"/>
        <v>0.24114052953156823</v>
      </c>
      <c r="P60" s="228">
        <f t="shared" si="28"/>
        <v>1.910857142857143</v>
      </c>
      <c r="Q60" s="228">
        <f t="shared" si="29"/>
        <v>3.0055776892430277</v>
      </c>
      <c r="R60" s="228">
        <f t="shared" si="30"/>
        <v>1.6794520547945204</v>
      </c>
    </row>
    <row r="61" spans="1:18">
      <c r="A61" s="224" t="s">
        <v>277</v>
      </c>
      <c r="B61" s="251" t="s">
        <v>136</v>
      </c>
      <c r="C61" s="84">
        <v>8</v>
      </c>
      <c r="D61" s="84">
        <v>5</v>
      </c>
      <c r="E61" s="226"/>
      <c r="F61" s="217">
        <v>0</v>
      </c>
      <c r="G61" s="217">
        <v>131</v>
      </c>
      <c r="H61" s="217">
        <v>34</v>
      </c>
      <c r="I61" s="217">
        <v>54</v>
      </c>
      <c r="J61" s="217">
        <v>259</v>
      </c>
      <c r="K61" s="217">
        <v>42</v>
      </c>
      <c r="L61" s="217">
        <v>293</v>
      </c>
      <c r="M61" s="217">
        <v>227</v>
      </c>
      <c r="N61" s="227"/>
      <c r="O61" s="228">
        <f t="shared" si="27"/>
        <v>0</v>
      </c>
      <c r="P61" s="228">
        <f t="shared" si="28"/>
        <v>1.0074074074074075</v>
      </c>
      <c r="Q61" s="228">
        <f t="shared" si="29"/>
        <v>9.8666666666666671</v>
      </c>
      <c r="R61" s="228">
        <f t="shared" si="30"/>
        <v>2.0651982378854625</v>
      </c>
    </row>
    <row r="62" spans="1:18">
      <c r="A62" s="239" t="s">
        <v>278</v>
      </c>
      <c r="B62" s="252" t="s">
        <v>136</v>
      </c>
      <c r="C62" s="84">
        <v>8</v>
      </c>
      <c r="D62" s="84">
        <v>5</v>
      </c>
      <c r="E62" s="226"/>
      <c r="F62" s="217">
        <v>0</v>
      </c>
      <c r="G62" s="217">
        <v>128</v>
      </c>
      <c r="H62" s="217">
        <v>1</v>
      </c>
      <c r="I62" s="217">
        <v>43</v>
      </c>
      <c r="J62" s="217">
        <v>11</v>
      </c>
      <c r="K62" s="217">
        <v>126</v>
      </c>
      <c r="L62" s="217">
        <v>12</v>
      </c>
      <c r="M62" s="217">
        <v>297</v>
      </c>
      <c r="N62" s="227"/>
      <c r="O62" s="228">
        <f t="shared" si="27"/>
        <v>0</v>
      </c>
      <c r="P62" s="228">
        <f t="shared" si="28"/>
        <v>3.7209302325581395E-2</v>
      </c>
      <c r="Q62" s="228">
        <f t="shared" si="29"/>
        <v>0.13968253968253969</v>
      </c>
      <c r="R62" s="228">
        <f t="shared" si="30"/>
        <v>6.4646464646464646E-2</v>
      </c>
    </row>
    <row r="63" spans="1:18">
      <c r="A63" s="224" t="s">
        <v>279</v>
      </c>
      <c r="B63" s="251" t="s">
        <v>136</v>
      </c>
      <c r="C63" s="84">
        <v>8</v>
      </c>
      <c r="D63" s="84">
        <v>5</v>
      </c>
      <c r="E63" s="226"/>
      <c r="F63" s="217">
        <v>480</v>
      </c>
      <c r="G63" s="217">
        <v>646</v>
      </c>
      <c r="H63" s="217">
        <v>432</v>
      </c>
      <c r="I63" s="217">
        <v>316</v>
      </c>
      <c r="J63" s="217">
        <v>727</v>
      </c>
      <c r="K63" s="217">
        <v>1063</v>
      </c>
      <c r="L63" s="217">
        <v>1639</v>
      </c>
      <c r="M63" s="217">
        <v>2025</v>
      </c>
      <c r="N63" s="227"/>
      <c r="O63" s="228">
        <f t="shared" si="27"/>
        <v>1.1888544891640866</v>
      </c>
      <c r="P63" s="228">
        <f t="shared" si="28"/>
        <v>2.1873417721518988</v>
      </c>
      <c r="Q63" s="228">
        <f t="shared" si="29"/>
        <v>1.0942615239887112</v>
      </c>
      <c r="R63" s="228">
        <f t="shared" si="30"/>
        <v>1.2950123456790124</v>
      </c>
    </row>
    <row r="64" spans="1:18">
      <c r="A64" s="244" t="s">
        <v>280</v>
      </c>
      <c r="B64" s="253" t="s">
        <v>136</v>
      </c>
      <c r="C64" s="84">
        <v>8</v>
      </c>
      <c r="D64" s="84">
        <v>5</v>
      </c>
      <c r="E64" s="226"/>
      <c r="F64" s="217">
        <v>0</v>
      </c>
      <c r="G64" s="217">
        <v>187</v>
      </c>
      <c r="H64" s="217">
        <v>27</v>
      </c>
      <c r="I64" s="217">
        <v>84</v>
      </c>
      <c r="J64" s="217">
        <v>78</v>
      </c>
      <c r="K64" s="217">
        <v>177</v>
      </c>
      <c r="L64" s="217">
        <v>105</v>
      </c>
      <c r="M64" s="217">
        <v>448</v>
      </c>
      <c r="N64" s="227"/>
      <c r="O64" s="228">
        <f t="shared" si="27"/>
        <v>0</v>
      </c>
      <c r="P64" s="228">
        <f t="shared" si="28"/>
        <v>0.51428571428571435</v>
      </c>
      <c r="Q64" s="228">
        <f t="shared" si="29"/>
        <v>0.70508474576271185</v>
      </c>
      <c r="R64" s="228">
        <f t="shared" si="30"/>
        <v>0.375</v>
      </c>
    </row>
    <row r="65" spans="1:18">
      <c r="A65" s="244" t="s">
        <v>281</v>
      </c>
      <c r="B65" s="245" t="s">
        <v>136</v>
      </c>
      <c r="C65" s="84">
        <v>8</v>
      </c>
      <c r="D65" s="84">
        <v>5</v>
      </c>
      <c r="E65" s="226"/>
      <c r="F65" s="217">
        <v>158</v>
      </c>
      <c r="G65" s="217">
        <v>743</v>
      </c>
      <c r="H65" s="217">
        <v>0</v>
      </c>
      <c r="I65" s="217">
        <v>410</v>
      </c>
      <c r="J65" s="217">
        <v>318</v>
      </c>
      <c r="K65" s="217">
        <v>1282</v>
      </c>
      <c r="L65" s="217">
        <v>476</v>
      </c>
      <c r="M65" s="217">
        <v>2435</v>
      </c>
      <c r="N65" s="227"/>
      <c r="O65" s="228">
        <f t="shared" si="27"/>
        <v>0.34024226110363393</v>
      </c>
      <c r="P65" s="228">
        <f t="shared" si="28"/>
        <v>0</v>
      </c>
      <c r="Q65" s="228">
        <f t="shared" si="29"/>
        <v>0.39687987519500778</v>
      </c>
      <c r="R65" s="228">
        <f t="shared" si="30"/>
        <v>0.31277207392197126</v>
      </c>
    </row>
    <row r="66" spans="1:18">
      <c r="A66" s="244" t="s">
        <v>282</v>
      </c>
      <c r="B66" s="245" t="s">
        <v>136</v>
      </c>
      <c r="C66" s="84">
        <v>8</v>
      </c>
      <c r="D66" s="84">
        <v>5</v>
      </c>
      <c r="E66" s="226"/>
      <c r="F66" s="217">
        <v>4</v>
      </c>
      <c r="G66" s="217">
        <v>109</v>
      </c>
      <c r="H66" s="217">
        <v>19</v>
      </c>
      <c r="I66" s="217">
        <v>75</v>
      </c>
      <c r="J66" s="217">
        <v>32</v>
      </c>
      <c r="K66" s="217">
        <v>265</v>
      </c>
      <c r="L66" s="217">
        <v>55</v>
      </c>
      <c r="M66" s="217">
        <v>449</v>
      </c>
      <c r="N66" s="227"/>
      <c r="O66" s="228">
        <f t="shared" si="27"/>
        <v>5.8715596330275233E-2</v>
      </c>
      <c r="P66" s="228">
        <f t="shared" si="28"/>
        <v>0.40533333333333338</v>
      </c>
      <c r="Q66" s="228">
        <f t="shared" si="29"/>
        <v>0.19320754716981131</v>
      </c>
      <c r="R66" s="228">
        <f t="shared" si="30"/>
        <v>0.1959910913140312</v>
      </c>
    </row>
    <row r="67" spans="1:18">
      <c r="A67" s="244" t="s">
        <v>283</v>
      </c>
      <c r="B67" s="245" t="s">
        <v>136</v>
      </c>
      <c r="C67" s="84">
        <v>8</v>
      </c>
      <c r="D67" s="84">
        <v>5</v>
      </c>
      <c r="E67" s="226"/>
      <c r="F67" s="217">
        <v>102</v>
      </c>
      <c r="G67" s="217">
        <v>795</v>
      </c>
      <c r="H67" s="217">
        <v>169</v>
      </c>
      <c r="I67" s="217">
        <v>282</v>
      </c>
      <c r="J67" s="217">
        <v>1935</v>
      </c>
      <c r="K67" s="217">
        <v>340</v>
      </c>
      <c r="L67" s="217">
        <v>2206</v>
      </c>
      <c r="M67" s="217">
        <v>1417</v>
      </c>
      <c r="N67" s="227"/>
      <c r="O67" s="228">
        <f t="shared" si="27"/>
        <v>0.20528301886792452</v>
      </c>
      <c r="P67" s="228">
        <f t="shared" si="28"/>
        <v>0.95886524822695041</v>
      </c>
      <c r="Q67" s="228">
        <f t="shared" si="29"/>
        <v>9.1058823529411761</v>
      </c>
      <c r="R67" s="228">
        <f t="shared" si="30"/>
        <v>2.4908962597035993</v>
      </c>
    </row>
    <row r="68" spans="1:18">
      <c r="A68" s="244" t="s">
        <v>284</v>
      </c>
      <c r="B68" s="253" t="s">
        <v>136</v>
      </c>
      <c r="C68" s="84">
        <v>8</v>
      </c>
      <c r="D68" s="84">
        <v>5</v>
      </c>
      <c r="E68" s="226"/>
      <c r="F68" s="246">
        <v>58</v>
      </c>
      <c r="G68" s="246">
        <v>959</v>
      </c>
      <c r="H68" s="246">
        <v>27</v>
      </c>
      <c r="I68" s="246">
        <v>381</v>
      </c>
      <c r="J68" s="246">
        <v>879</v>
      </c>
      <c r="K68" s="246">
        <v>895</v>
      </c>
      <c r="L68" s="246">
        <v>964</v>
      </c>
      <c r="M68" s="246">
        <v>2235</v>
      </c>
      <c r="N68" s="227"/>
      <c r="O68" s="247">
        <f t="shared" si="27"/>
        <v>9.6767466110531802E-2</v>
      </c>
      <c r="P68" s="247">
        <f t="shared" si="28"/>
        <v>0.11338582677165354</v>
      </c>
      <c r="Q68" s="247">
        <f t="shared" si="29"/>
        <v>1.5713966480446928</v>
      </c>
      <c r="R68" s="247">
        <f t="shared" si="30"/>
        <v>0.69011185682326626</v>
      </c>
    </row>
    <row r="69" spans="1:18">
      <c r="A69" s="224"/>
      <c r="B69" s="225"/>
      <c r="C69" s="226"/>
      <c r="D69" s="226"/>
      <c r="E69" s="226"/>
      <c r="F69" s="241">
        <f t="shared" ref="F69:M69" si="31">SUM(F49:F68)</f>
        <v>1434</v>
      </c>
      <c r="G69" s="241">
        <f t="shared" si="31"/>
        <v>8350</v>
      </c>
      <c r="H69" s="241">
        <f t="shared" si="31"/>
        <v>1494</v>
      </c>
      <c r="I69" s="241">
        <f t="shared" si="31"/>
        <v>3496</v>
      </c>
      <c r="J69" s="241">
        <f t="shared" si="31"/>
        <v>11604</v>
      </c>
      <c r="K69" s="241">
        <f t="shared" si="31"/>
        <v>8784</v>
      </c>
      <c r="L69" s="241">
        <f t="shared" si="31"/>
        <v>14532</v>
      </c>
      <c r="M69" s="241">
        <f t="shared" si="31"/>
        <v>20630</v>
      </c>
      <c r="N69" s="227"/>
      <c r="O69" s="228">
        <f>F69/(G69*D68/C68)</f>
        <v>0.27477844311377247</v>
      </c>
      <c r="P69" s="228">
        <f>H69/(I69*D68/C68)</f>
        <v>0.68375286041189931</v>
      </c>
      <c r="Q69" s="228">
        <f>J69/(K69*D68/C68)</f>
        <v>2.1136612021857926</v>
      </c>
      <c r="R69" s="228">
        <f>L69/(M69*D68/C68)</f>
        <v>1.1270576829859429</v>
      </c>
    </row>
    <row r="70" spans="1:18">
      <c r="A70" s="224"/>
      <c r="B70" s="225"/>
      <c r="C70" s="226"/>
      <c r="D70" s="226"/>
      <c r="E70" s="226"/>
      <c r="F70" s="249"/>
      <c r="G70" s="249"/>
      <c r="H70" s="250"/>
      <c r="I70" s="250"/>
      <c r="J70" s="250"/>
      <c r="K70" s="250"/>
      <c r="L70" s="250"/>
      <c r="M70" s="250"/>
      <c r="N70" s="227"/>
      <c r="O70" s="228"/>
      <c r="P70" s="228"/>
      <c r="Q70" s="228"/>
      <c r="R70" s="228"/>
    </row>
    <row r="71" spans="1:18">
      <c r="A71" s="224" t="s">
        <v>285</v>
      </c>
      <c r="B71" s="225" t="s">
        <v>138</v>
      </c>
      <c r="C71" s="84">
        <v>5</v>
      </c>
      <c r="D71" s="84">
        <v>5</v>
      </c>
      <c r="E71" s="226"/>
      <c r="F71" s="217">
        <v>0</v>
      </c>
      <c r="G71" s="217">
        <v>33</v>
      </c>
      <c r="H71" s="217">
        <v>2</v>
      </c>
      <c r="I71" s="217">
        <v>10</v>
      </c>
      <c r="J71" s="217">
        <v>1</v>
      </c>
      <c r="K71" s="217">
        <v>34</v>
      </c>
      <c r="L71" s="217">
        <v>3</v>
      </c>
      <c r="M71" s="217">
        <v>77</v>
      </c>
      <c r="N71" s="227"/>
      <c r="O71" s="228">
        <f t="shared" ref="O71:O72" si="32">F71/G71*C71/D71</f>
        <v>0</v>
      </c>
      <c r="P71" s="228">
        <f t="shared" ref="P71:P72" si="33">H71/I71*C71/D71</f>
        <v>0.2</v>
      </c>
      <c r="Q71" s="228">
        <f>J71/K71*D71/C71</f>
        <v>2.9411764705882353E-2</v>
      </c>
      <c r="R71" s="228">
        <f t="shared" ref="R71:R72" si="34">L71/M71*C71/D71</f>
        <v>3.896103896103896E-2</v>
      </c>
    </row>
    <row r="72" spans="1:18">
      <c r="A72" s="224" t="s">
        <v>286</v>
      </c>
      <c r="B72" s="225" t="s">
        <v>138</v>
      </c>
      <c r="C72" s="84">
        <v>5</v>
      </c>
      <c r="D72" s="84">
        <v>5</v>
      </c>
      <c r="E72" s="226"/>
      <c r="F72" s="246">
        <v>79</v>
      </c>
      <c r="G72" s="246">
        <v>97</v>
      </c>
      <c r="H72" s="246">
        <v>36</v>
      </c>
      <c r="I72" s="246">
        <v>30</v>
      </c>
      <c r="J72" s="246">
        <v>107</v>
      </c>
      <c r="K72" s="246">
        <v>106</v>
      </c>
      <c r="L72" s="246">
        <v>222</v>
      </c>
      <c r="M72" s="246">
        <v>233</v>
      </c>
      <c r="N72" s="227"/>
      <c r="O72" s="247">
        <f t="shared" si="32"/>
        <v>0.81443298969072164</v>
      </c>
      <c r="P72" s="247">
        <f t="shared" si="33"/>
        <v>1.2</v>
      </c>
      <c r="Q72" s="247">
        <f>J72/K72*C72/D72</f>
        <v>1.0094339622641511</v>
      </c>
      <c r="R72" s="247">
        <f t="shared" si="34"/>
        <v>0.95278969957081538</v>
      </c>
    </row>
    <row r="73" spans="1:18">
      <c r="A73" s="239"/>
      <c r="B73" s="243"/>
      <c r="C73" s="226"/>
      <c r="D73" s="226"/>
      <c r="E73" s="226"/>
      <c r="F73" s="241">
        <f t="shared" ref="F73:M73" si="35">F71+F72</f>
        <v>79</v>
      </c>
      <c r="G73" s="241">
        <f t="shared" si="35"/>
        <v>130</v>
      </c>
      <c r="H73" s="241">
        <f t="shared" si="35"/>
        <v>38</v>
      </c>
      <c r="I73" s="241">
        <f t="shared" si="35"/>
        <v>40</v>
      </c>
      <c r="J73" s="241">
        <f t="shared" si="35"/>
        <v>108</v>
      </c>
      <c r="K73" s="241">
        <f t="shared" si="35"/>
        <v>140</v>
      </c>
      <c r="L73" s="241">
        <f t="shared" si="35"/>
        <v>225</v>
      </c>
      <c r="M73" s="241">
        <f t="shared" si="35"/>
        <v>310</v>
      </c>
      <c r="N73" s="227"/>
      <c r="O73" s="228">
        <f>F73/(G73*D72/C72)</f>
        <v>0.60769230769230764</v>
      </c>
      <c r="P73" s="228">
        <f>H73/(I73*D72/C72)</f>
        <v>0.95</v>
      </c>
      <c r="Q73" s="228">
        <f>J73/(K73*D72/C72)</f>
        <v>0.77142857142857146</v>
      </c>
      <c r="R73" s="228">
        <f>L73/(M73*D72/C72)</f>
        <v>0.72580645161290325</v>
      </c>
    </row>
    <row r="74" spans="1:18">
      <c r="A74" s="239"/>
      <c r="B74" s="243"/>
      <c r="C74" s="226"/>
      <c r="D74" s="226"/>
      <c r="E74" s="226"/>
      <c r="F74" s="249"/>
      <c r="G74" s="249"/>
      <c r="H74" s="250"/>
      <c r="I74" s="250"/>
      <c r="J74" s="250"/>
      <c r="K74" s="250"/>
      <c r="L74" s="250"/>
      <c r="M74" s="250"/>
      <c r="N74" s="227"/>
      <c r="O74" s="228"/>
      <c r="P74" s="228"/>
      <c r="Q74" s="228"/>
      <c r="R74" s="228"/>
    </row>
    <row r="75" spans="1:18">
      <c r="A75" s="239" t="s">
        <v>287</v>
      </c>
      <c r="B75" s="243" t="s">
        <v>139</v>
      </c>
      <c r="C75" s="84">
        <v>8</v>
      </c>
      <c r="D75" s="84">
        <v>6</v>
      </c>
      <c r="E75" s="226"/>
      <c r="F75" s="217">
        <v>313</v>
      </c>
      <c r="G75" s="217">
        <v>1848</v>
      </c>
      <c r="H75" s="217">
        <v>106</v>
      </c>
      <c r="I75" s="217">
        <v>823</v>
      </c>
      <c r="J75" s="254">
        <v>3821</v>
      </c>
      <c r="K75" s="217">
        <v>1757</v>
      </c>
      <c r="L75" s="217">
        <v>4240</v>
      </c>
      <c r="M75" s="217">
        <v>4428</v>
      </c>
      <c r="N75" s="227"/>
      <c r="O75" s="228">
        <f t="shared" ref="O75:O77" si="36">F75/G75*C75/D75</f>
        <v>0.22582972582972582</v>
      </c>
      <c r="P75" s="228">
        <f t="shared" ref="P75:P77" si="37">H75/I75*C75/D75</f>
        <v>0.17172944511948154</v>
      </c>
      <c r="Q75" s="228">
        <f t="shared" ref="Q75:Q77" si="38">J75/K75*C75/D75</f>
        <v>2.8996395370897363</v>
      </c>
      <c r="R75" s="228">
        <f t="shared" ref="R75:R77" si="39">L75/M75*C75/D75</f>
        <v>1.2767238783498946</v>
      </c>
    </row>
    <row r="76" spans="1:18">
      <c r="A76" s="244" t="s">
        <v>288</v>
      </c>
      <c r="B76" s="253" t="s">
        <v>139</v>
      </c>
      <c r="C76" s="84">
        <v>8</v>
      </c>
      <c r="D76" s="84">
        <v>6</v>
      </c>
      <c r="E76" s="226"/>
      <c r="F76" s="217">
        <v>0</v>
      </c>
      <c r="G76" s="217">
        <v>133</v>
      </c>
      <c r="H76" s="217">
        <v>60</v>
      </c>
      <c r="I76" s="217">
        <v>69</v>
      </c>
      <c r="J76" s="217">
        <v>144</v>
      </c>
      <c r="K76" s="217">
        <v>170</v>
      </c>
      <c r="L76" s="217">
        <v>204</v>
      </c>
      <c r="M76" s="217">
        <v>372</v>
      </c>
      <c r="N76" s="227"/>
      <c r="O76" s="228">
        <f t="shared" si="36"/>
        <v>0</v>
      </c>
      <c r="P76" s="228">
        <f t="shared" si="37"/>
        <v>1.1594202898550725</v>
      </c>
      <c r="Q76" s="228">
        <f t="shared" si="38"/>
        <v>1.1294117647058823</v>
      </c>
      <c r="R76" s="228">
        <f t="shared" si="39"/>
        <v>0.73118279569892464</v>
      </c>
    </row>
    <row r="77" spans="1:18">
      <c r="A77" s="244" t="s">
        <v>289</v>
      </c>
      <c r="B77" s="245" t="s">
        <v>139</v>
      </c>
      <c r="C77" s="84">
        <v>8</v>
      </c>
      <c r="D77" s="84">
        <v>6</v>
      </c>
      <c r="E77" s="226"/>
      <c r="F77" s="246">
        <v>1</v>
      </c>
      <c r="G77" s="246">
        <v>92</v>
      </c>
      <c r="H77" s="246">
        <v>14</v>
      </c>
      <c r="I77" s="246">
        <v>63</v>
      </c>
      <c r="J77" s="246">
        <v>117</v>
      </c>
      <c r="K77" s="246">
        <v>181</v>
      </c>
      <c r="L77" s="246">
        <v>132</v>
      </c>
      <c r="M77" s="246">
        <v>336</v>
      </c>
      <c r="N77" s="227"/>
      <c r="O77" s="247">
        <f t="shared" si="36"/>
        <v>1.4492753623188406E-2</v>
      </c>
      <c r="P77" s="247">
        <f t="shared" si="37"/>
        <v>0.29629629629629628</v>
      </c>
      <c r="Q77" s="247">
        <f t="shared" si="38"/>
        <v>0.86187845303867405</v>
      </c>
      <c r="R77" s="247">
        <f t="shared" si="39"/>
        <v>0.52380952380952384</v>
      </c>
    </row>
    <row r="78" spans="1:18">
      <c r="A78" s="224"/>
      <c r="B78" s="225"/>
      <c r="C78" s="226"/>
      <c r="D78" s="226"/>
      <c r="E78" s="226"/>
      <c r="F78" s="241">
        <f t="shared" ref="F78:M78" si="40">SUM(F75:F77)</f>
        <v>314</v>
      </c>
      <c r="G78" s="241">
        <f t="shared" si="40"/>
        <v>2073</v>
      </c>
      <c r="H78" s="241">
        <f t="shared" si="40"/>
        <v>180</v>
      </c>
      <c r="I78" s="241">
        <f t="shared" si="40"/>
        <v>955</v>
      </c>
      <c r="J78" s="241">
        <f t="shared" si="40"/>
        <v>4082</v>
      </c>
      <c r="K78" s="241">
        <f t="shared" si="40"/>
        <v>2108</v>
      </c>
      <c r="L78" s="241">
        <f t="shared" si="40"/>
        <v>4576</v>
      </c>
      <c r="M78" s="241">
        <f t="shared" si="40"/>
        <v>5136</v>
      </c>
      <c r="N78" s="227"/>
      <c r="O78" s="228">
        <f>F78/G78*C77/D77</f>
        <v>0.20196173018170124</v>
      </c>
      <c r="P78" s="228">
        <f>H78/I78*C77/D77</f>
        <v>0.2513089005235602</v>
      </c>
      <c r="Q78" s="228">
        <f>J78/K78*C77/D77</f>
        <v>2.5819101834282101</v>
      </c>
      <c r="R78" s="228">
        <f>L78/M78*C77/D77</f>
        <v>1.1879543094496365</v>
      </c>
    </row>
    <row r="79" spans="1:18">
      <c r="A79" s="224"/>
      <c r="B79" s="225"/>
      <c r="C79" s="226"/>
      <c r="D79" s="226"/>
      <c r="E79" s="226"/>
      <c r="F79" s="249"/>
      <c r="G79" s="249"/>
      <c r="H79" s="250"/>
      <c r="I79" s="250"/>
      <c r="J79" s="250"/>
      <c r="K79" s="250"/>
      <c r="L79" s="250"/>
      <c r="M79" s="250"/>
      <c r="N79" s="227"/>
      <c r="O79" s="228"/>
      <c r="P79" s="228"/>
      <c r="Q79" s="228"/>
      <c r="R79" s="228"/>
    </row>
    <row r="80" spans="1:18">
      <c r="A80" s="224" t="s">
        <v>290</v>
      </c>
      <c r="B80" s="225" t="s">
        <v>141</v>
      </c>
      <c r="C80" s="84">
        <v>8</v>
      </c>
      <c r="D80" s="84">
        <v>5</v>
      </c>
      <c r="E80" s="226"/>
      <c r="F80" s="217">
        <v>87</v>
      </c>
      <c r="G80" s="217">
        <v>3466</v>
      </c>
      <c r="H80" s="217">
        <v>2249</v>
      </c>
      <c r="I80" s="217">
        <v>1018</v>
      </c>
      <c r="J80" s="217">
        <v>3747</v>
      </c>
      <c r="K80" s="217">
        <v>1844</v>
      </c>
      <c r="L80" s="217">
        <v>6083</v>
      </c>
      <c r="M80" s="217">
        <v>6328</v>
      </c>
      <c r="N80" s="227"/>
      <c r="O80" s="228">
        <f t="shared" ref="O80:O95" si="41">F80/G80*C80/D80</f>
        <v>4.0161569532602429E-2</v>
      </c>
      <c r="P80" s="228">
        <f t="shared" ref="P80:P95" si="42">H80/I80*C80/D80</f>
        <v>3.5347740667976426</v>
      </c>
      <c r="Q80" s="228">
        <f t="shared" ref="Q80:Q95" si="43">J80/K80*C80/D80</f>
        <v>3.2511930585683295</v>
      </c>
      <c r="R80" s="228">
        <f t="shared" ref="R80:R95" si="44">L80/M80*C80/D80</f>
        <v>1.5380530973451327</v>
      </c>
    </row>
    <row r="81" spans="1:18">
      <c r="A81" s="224" t="s">
        <v>291</v>
      </c>
      <c r="B81" s="225" t="s">
        <v>141</v>
      </c>
      <c r="C81" s="84">
        <v>8</v>
      </c>
      <c r="D81" s="84">
        <v>5</v>
      </c>
      <c r="E81" s="226"/>
      <c r="F81" s="217">
        <v>68</v>
      </c>
      <c r="G81" s="217">
        <v>265</v>
      </c>
      <c r="H81" s="217">
        <v>41</v>
      </c>
      <c r="I81" s="217">
        <v>123</v>
      </c>
      <c r="J81" s="217">
        <v>152</v>
      </c>
      <c r="K81" s="217">
        <v>201</v>
      </c>
      <c r="L81" s="217">
        <v>261</v>
      </c>
      <c r="M81" s="217">
        <v>589</v>
      </c>
      <c r="N81" s="227"/>
      <c r="O81" s="228">
        <f t="shared" si="41"/>
        <v>0.41056603773584904</v>
      </c>
      <c r="P81" s="228">
        <f t="shared" si="42"/>
        <v>0.53333333333333333</v>
      </c>
      <c r="Q81" s="228">
        <f t="shared" si="43"/>
        <v>1.2099502487562188</v>
      </c>
      <c r="R81" s="228">
        <f t="shared" si="44"/>
        <v>0.70899830220713078</v>
      </c>
    </row>
    <row r="82" spans="1:18">
      <c r="A82" s="239" t="s">
        <v>292</v>
      </c>
      <c r="B82" s="243" t="s">
        <v>141</v>
      </c>
      <c r="C82" s="84">
        <v>8</v>
      </c>
      <c r="D82" s="84">
        <v>5</v>
      </c>
      <c r="E82" s="226"/>
      <c r="F82" s="217">
        <v>32</v>
      </c>
      <c r="G82" s="217">
        <v>297</v>
      </c>
      <c r="H82" s="217">
        <v>0</v>
      </c>
      <c r="I82" s="217">
        <v>204</v>
      </c>
      <c r="J82" s="217">
        <v>0</v>
      </c>
      <c r="K82" s="217">
        <v>211</v>
      </c>
      <c r="L82" s="217">
        <v>32</v>
      </c>
      <c r="M82" s="217">
        <v>712</v>
      </c>
      <c r="N82" s="227"/>
      <c r="O82" s="228">
        <f t="shared" si="41"/>
        <v>0.17239057239057237</v>
      </c>
      <c r="P82" s="228">
        <f t="shared" si="42"/>
        <v>0</v>
      </c>
      <c r="Q82" s="228">
        <f t="shared" si="43"/>
        <v>0</v>
      </c>
      <c r="R82" s="228">
        <f t="shared" si="44"/>
        <v>7.1910112359550554E-2</v>
      </c>
    </row>
    <row r="83" spans="1:18">
      <c r="A83" s="239" t="s">
        <v>293</v>
      </c>
      <c r="B83" s="243" t="s">
        <v>141</v>
      </c>
      <c r="C83" s="84">
        <v>8</v>
      </c>
      <c r="D83" s="84">
        <v>5</v>
      </c>
      <c r="E83" s="226"/>
      <c r="F83" s="217">
        <v>0</v>
      </c>
      <c r="G83" s="217">
        <v>206</v>
      </c>
      <c r="H83" s="217">
        <v>22</v>
      </c>
      <c r="I83" s="217">
        <v>75</v>
      </c>
      <c r="J83" s="217">
        <v>29</v>
      </c>
      <c r="K83" s="217">
        <v>243</v>
      </c>
      <c r="L83" s="217">
        <v>51</v>
      </c>
      <c r="M83" s="217">
        <v>524</v>
      </c>
      <c r="N83" s="227"/>
      <c r="O83" s="228">
        <f t="shared" si="41"/>
        <v>0</v>
      </c>
      <c r="P83" s="228">
        <f t="shared" si="42"/>
        <v>0.46933333333333332</v>
      </c>
      <c r="Q83" s="228">
        <f t="shared" si="43"/>
        <v>0.19094650205761315</v>
      </c>
      <c r="R83" s="228">
        <f t="shared" si="44"/>
        <v>0.15572519083969466</v>
      </c>
    </row>
    <row r="84" spans="1:18">
      <c r="A84" s="239" t="s">
        <v>141</v>
      </c>
      <c r="B84" s="243" t="s">
        <v>141</v>
      </c>
      <c r="C84" s="84">
        <v>8</v>
      </c>
      <c r="D84" s="84">
        <v>5</v>
      </c>
      <c r="E84" s="226"/>
      <c r="F84" s="217">
        <v>774</v>
      </c>
      <c r="G84" s="217">
        <v>8955</v>
      </c>
      <c r="H84" s="217">
        <v>1505</v>
      </c>
      <c r="I84" s="217">
        <v>3571</v>
      </c>
      <c r="J84" s="217">
        <v>7099</v>
      </c>
      <c r="K84" s="217">
        <v>11039</v>
      </c>
      <c r="L84" s="217">
        <v>9378</v>
      </c>
      <c r="M84" s="217">
        <v>23565</v>
      </c>
      <c r="N84" s="227"/>
      <c r="O84" s="228">
        <f t="shared" si="41"/>
        <v>0.13829145728643216</v>
      </c>
      <c r="P84" s="228">
        <f t="shared" si="42"/>
        <v>0.67432091851022125</v>
      </c>
      <c r="Q84" s="228">
        <f t="shared" si="43"/>
        <v>1.0289337802337168</v>
      </c>
      <c r="R84" s="228">
        <f t="shared" si="44"/>
        <v>0.63674092934436666</v>
      </c>
    </row>
    <row r="85" spans="1:18">
      <c r="A85" s="224" t="s">
        <v>294</v>
      </c>
      <c r="B85" s="225" t="s">
        <v>141</v>
      </c>
      <c r="C85" s="84">
        <v>8</v>
      </c>
      <c r="D85" s="84">
        <v>5</v>
      </c>
      <c r="E85" s="226"/>
      <c r="F85" s="217">
        <v>97</v>
      </c>
      <c r="G85" s="217">
        <v>987</v>
      </c>
      <c r="H85" s="217">
        <v>257</v>
      </c>
      <c r="I85" s="217">
        <v>589</v>
      </c>
      <c r="J85" s="217">
        <v>327</v>
      </c>
      <c r="K85" s="217">
        <v>1146</v>
      </c>
      <c r="L85" s="217">
        <v>681</v>
      </c>
      <c r="M85" s="217">
        <v>2722</v>
      </c>
      <c r="N85" s="227"/>
      <c r="O85" s="228">
        <f t="shared" si="41"/>
        <v>0.15724417426545084</v>
      </c>
      <c r="P85" s="228">
        <f t="shared" si="42"/>
        <v>0.69813242784380303</v>
      </c>
      <c r="Q85" s="228">
        <f t="shared" si="43"/>
        <v>0.45654450261780105</v>
      </c>
      <c r="R85" s="228">
        <f t="shared" si="44"/>
        <v>0.40029390154298311</v>
      </c>
    </row>
    <row r="86" spans="1:18">
      <c r="A86" s="239" t="s">
        <v>295</v>
      </c>
      <c r="B86" s="240" t="s">
        <v>141</v>
      </c>
      <c r="C86" s="84">
        <v>8</v>
      </c>
      <c r="D86" s="84">
        <v>5</v>
      </c>
      <c r="E86" s="226"/>
      <c r="F86" s="217">
        <v>22</v>
      </c>
      <c r="G86" s="217">
        <v>194</v>
      </c>
      <c r="H86" s="217">
        <v>34</v>
      </c>
      <c r="I86" s="217">
        <v>106</v>
      </c>
      <c r="J86" s="217">
        <v>0</v>
      </c>
      <c r="K86" s="217">
        <v>124</v>
      </c>
      <c r="L86" s="217">
        <v>56</v>
      </c>
      <c r="M86" s="217">
        <v>424</v>
      </c>
      <c r="N86" s="227"/>
      <c r="O86" s="228">
        <f t="shared" si="41"/>
        <v>0.18144329896907216</v>
      </c>
      <c r="P86" s="228">
        <f t="shared" si="42"/>
        <v>0.51320754716981132</v>
      </c>
      <c r="Q86" s="228">
        <f t="shared" si="43"/>
        <v>0</v>
      </c>
      <c r="R86" s="228">
        <f t="shared" si="44"/>
        <v>0.21132075471698114</v>
      </c>
    </row>
    <row r="87" spans="1:18">
      <c r="A87" s="224" t="s">
        <v>296</v>
      </c>
      <c r="B87" s="225" t="s">
        <v>141</v>
      </c>
      <c r="C87" s="84">
        <v>8</v>
      </c>
      <c r="D87" s="84">
        <v>5</v>
      </c>
      <c r="E87" s="226"/>
      <c r="F87" s="217">
        <v>14</v>
      </c>
      <c r="G87" s="217">
        <v>449</v>
      </c>
      <c r="H87" s="217">
        <v>129</v>
      </c>
      <c r="I87" s="217">
        <v>202</v>
      </c>
      <c r="J87" s="217">
        <v>79</v>
      </c>
      <c r="K87" s="217">
        <v>258</v>
      </c>
      <c r="L87" s="217">
        <v>222</v>
      </c>
      <c r="M87" s="217">
        <v>909</v>
      </c>
      <c r="N87" s="227"/>
      <c r="O87" s="228">
        <f t="shared" si="41"/>
        <v>4.9888641425389756E-2</v>
      </c>
      <c r="P87" s="228">
        <f t="shared" si="42"/>
        <v>1.0217821782178218</v>
      </c>
      <c r="Q87" s="228">
        <f t="shared" si="43"/>
        <v>0.48992248062015503</v>
      </c>
      <c r="R87" s="228">
        <f t="shared" si="44"/>
        <v>0.39075907590759079</v>
      </c>
    </row>
    <row r="88" spans="1:18">
      <c r="A88" s="224" t="s">
        <v>297</v>
      </c>
      <c r="B88" s="225" t="s">
        <v>141</v>
      </c>
      <c r="C88" s="84">
        <v>8</v>
      </c>
      <c r="D88" s="84">
        <v>5</v>
      </c>
      <c r="E88" s="226"/>
      <c r="F88" s="217">
        <v>51</v>
      </c>
      <c r="G88" s="217">
        <v>183</v>
      </c>
      <c r="H88" s="217">
        <v>22</v>
      </c>
      <c r="I88" s="217">
        <v>60</v>
      </c>
      <c r="J88" s="217">
        <v>62</v>
      </c>
      <c r="K88" s="217">
        <v>131</v>
      </c>
      <c r="L88" s="217">
        <v>135</v>
      </c>
      <c r="M88" s="217">
        <v>374</v>
      </c>
      <c r="N88" s="227"/>
      <c r="O88" s="228">
        <f t="shared" si="41"/>
        <v>0.44590163934426225</v>
      </c>
      <c r="P88" s="228">
        <f t="shared" si="42"/>
        <v>0.58666666666666667</v>
      </c>
      <c r="Q88" s="228">
        <f t="shared" si="43"/>
        <v>0.75725190839694656</v>
      </c>
      <c r="R88" s="228">
        <f t="shared" si="44"/>
        <v>0.57754010695187163</v>
      </c>
    </row>
    <row r="89" spans="1:18">
      <c r="A89" s="239" t="s">
        <v>298</v>
      </c>
      <c r="B89" s="243" t="s">
        <v>141</v>
      </c>
      <c r="C89" s="84">
        <v>8</v>
      </c>
      <c r="D89" s="84">
        <v>5</v>
      </c>
      <c r="E89" s="226"/>
      <c r="F89" s="241">
        <v>0</v>
      </c>
      <c r="G89" s="241">
        <v>136</v>
      </c>
      <c r="H89" s="241">
        <v>61</v>
      </c>
      <c r="I89" s="217">
        <v>77</v>
      </c>
      <c r="J89" s="241">
        <v>5</v>
      </c>
      <c r="K89" s="241">
        <v>341</v>
      </c>
      <c r="L89" s="217">
        <f>F89+H89+J89</f>
        <v>66</v>
      </c>
      <c r="M89" s="217">
        <v>554</v>
      </c>
      <c r="N89" s="227"/>
      <c r="O89" s="228">
        <f t="shared" si="41"/>
        <v>0</v>
      </c>
      <c r="P89" s="228">
        <f t="shared" si="42"/>
        <v>1.2675324675324675</v>
      </c>
      <c r="Q89" s="228">
        <f t="shared" si="43"/>
        <v>2.3460410557184751E-2</v>
      </c>
      <c r="R89" s="228">
        <f t="shared" si="44"/>
        <v>0.19061371841155234</v>
      </c>
    </row>
    <row r="90" spans="1:18">
      <c r="A90" s="224" t="s">
        <v>299</v>
      </c>
      <c r="B90" s="251" t="s">
        <v>141</v>
      </c>
      <c r="C90" s="84">
        <v>8</v>
      </c>
      <c r="D90" s="84">
        <v>5</v>
      </c>
      <c r="E90" s="226"/>
      <c r="F90" s="217">
        <v>1</v>
      </c>
      <c r="G90" s="217">
        <v>197</v>
      </c>
      <c r="H90" s="217">
        <v>1</v>
      </c>
      <c r="I90" s="217">
        <v>105</v>
      </c>
      <c r="J90" s="217">
        <v>0</v>
      </c>
      <c r="K90" s="217">
        <v>367</v>
      </c>
      <c r="L90" s="217">
        <v>2</v>
      </c>
      <c r="M90" s="217">
        <v>669</v>
      </c>
      <c r="N90" s="227"/>
      <c r="O90" s="228">
        <f t="shared" si="41"/>
        <v>8.1218274111675114E-3</v>
      </c>
      <c r="P90" s="228">
        <f t="shared" si="42"/>
        <v>1.523809523809524E-2</v>
      </c>
      <c r="Q90" s="228">
        <f t="shared" si="43"/>
        <v>0</v>
      </c>
      <c r="R90" s="228">
        <f t="shared" si="44"/>
        <v>4.7832585949177881E-3</v>
      </c>
    </row>
    <row r="91" spans="1:18">
      <c r="A91" s="224" t="s">
        <v>300</v>
      </c>
      <c r="B91" s="251" t="s">
        <v>141</v>
      </c>
      <c r="C91" s="84">
        <v>8</v>
      </c>
      <c r="D91" s="84">
        <v>5</v>
      </c>
      <c r="E91" s="226"/>
      <c r="F91" s="217">
        <v>149</v>
      </c>
      <c r="G91" s="217">
        <v>192</v>
      </c>
      <c r="H91" s="217">
        <v>3</v>
      </c>
      <c r="I91" s="217">
        <v>77</v>
      </c>
      <c r="J91" s="217">
        <v>0</v>
      </c>
      <c r="K91" s="217">
        <v>319</v>
      </c>
      <c r="L91" s="217">
        <v>152</v>
      </c>
      <c r="M91" s="217">
        <v>588</v>
      </c>
      <c r="N91" s="227"/>
      <c r="O91" s="228">
        <f t="shared" si="41"/>
        <v>1.2416666666666667</v>
      </c>
      <c r="P91" s="228">
        <f t="shared" si="42"/>
        <v>6.2337662337662338E-2</v>
      </c>
      <c r="Q91" s="228">
        <f t="shared" si="43"/>
        <v>0</v>
      </c>
      <c r="R91" s="228">
        <f t="shared" si="44"/>
        <v>0.41360544217687079</v>
      </c>
    </row>
    <row r="92" spans="1:18">
      <c r="A92" s="244" t="s">
        <v>301</v>
      </c>
      <c r="B92" s="245" t="s">
        <v>141</v>
      </c>
      <c r="C92" s="84">
        <v>8</v>
      </c>
      <c r="D92" s="84">
        <v>5</v>
      </c>
      <c r="E92" s="226"/>
      <c r="F92" s="217">
        <v>56</v>
      </c>
      <c r="G92" s="217">
        <v>597</v>
      </c>
      <c r="H92" s="217">
        <v>48</v>
      </c>
      <c r="I92" s="217">
        <v>161</v>
      </c>
      <c r="J92" s="217">
        <v>7</v>
      </c>
      <c r="K92" s="217">
        <v>553</v>
      </c>
      <c r="L92" s="217">
        <v>111</v>
      </c>
      <c r="M92" s="217">
        <v>1311</v>
      </c>
      <c r="N92" s="227"/>
      <c r="O92" s="228">
        <f t="shared" si="41"/>
        <v>0.15008375209380234</v>
      </c>
      <c r="P92" s="228">
        <f t="shared" si="42"/>
        <v>0.47701863354037266</v>
      </c>
      <c r="Q92" s="228">
        <f t="shared" si="43"/>
        <v>2.0253164556962026E-2</v>
      </c>
      <c r="R92" s="228">
        <f t="shared" si="44"/>
        <v>0.13546910755148742</v>
      </c>
    </row>
    <row r="93" spans="1:18">
      <c r="A93" s="244" t="s">
        <v>182</v>
      </c>
      <c r="B93" s="245" t="s">
        <v>141</v>
      </c>
      <c r="C93" s="84">
        <v>8</v>
      </c>
      <c r="D93" s="84">
        <v>5</v>
      </c>
      <c r="E93" s="226"/>
      <c r="F93" s="217">
        <v>0</v>
      </c>
      <c r="G93" s="217">
        <v>139</v>
      </c>
      <c r="H93" s="217">
        <v>0</v>
      </c>
      <c r="I93" s="217">
        <v>35</v>
      </c>
      <c r="J93" s="217">
        <v>0</v>
      </c>
      <c r="K93" s="217">
        <v>204</v>
      </c>
      <c r="L93" s="217">
        <v>0</v>
      </c>
      <c r="M93" s="217">
        <v>378</v>
      </c>
      <c r="N93" s="227"/>
      <c r="O93" s="228">
        <f t="shared" si="41"/>
        <v>0</v>
      </c>
      <c r="P93" s="228">
        <f t="shared" si="42"/>
        <v>0</v>
      </c>
      <c r="Q93" s="228">
        <f t="shared" si="43"/>
        <v>0</v>
      </c>
      <c r="R93" s="228">
        <f t="shared" si="44"/>
        <v>0</v>
      </c>
    </row>
    <row r="94" spans="1:18">
      <c r="A94" s="244" t="s">
        <v>302</v>
      </c>
      <c r="B94" s="245" t="s">
        <v>141</v>
      </c>
      <c r="C94" s="84">
        <v>8</v>
      </c>
      <c r="D94" s="84">
        <v>5</v>
      </c>
      <c r="E94" s="226"/>
      <c r="F94" s="217">
        <v>0</v>
      </c>
      <c r="G94" s="217">
        <v>487</v>
      </c>
      <c r="H94" s="217">
        <v>33</v>
      </c>
      <c r="I94" s="217">
        <v>163</v>
      </c>
      <c r="J94" s="217">
        <v>17</v>
      </c>
      <c r="K94" s="217">
        <v>568</v>
      </c>
      <c r="L94" s="217">
        <v>50</v>
      </c>
      <c r="M94" s="217">
        <v>1218</v>
      </c>
      <c r="N94" s="227"/>
      <c r="O94" s="228">
        <f t="shared" si="41"/>
        <v>0</v>
      </c>
      <c r="P94" s="228">
        <f t="shared" si="42"/>
        <v>0.32392638036809818</v>
      </c>
      <c r="Q94" s="228">
        <f t="shared" si="43"/>
        <v>4.788732394366197E-2</v>
      </c>
      <c r="R94" s="228">
        <f t="shared" si="44"/>
        <v>6.5681444991789822E-2</v>
      </c>
    </row>
    <row r="95" spans="1:18">
      <c r="A95" s="244" t="s">
        <v>303</v>
      </c>
      <c r="B95" s="245" t="s">
        <v>141</v>
      </c>
      <c r="C95" s="84">
        <v>8</v>
      </c>
      <c r="D95" s="84">
        <v>5</v>
      </c>
      <c r="E95" s="226"/>
      <c r="F95" s="246">
        <v>94</v>
      </c>
      <c r="G95" s="246">
        <v>255</v>
      </c>
      <c r="H95" s="246">
        <v>40</v>
      </c>
      <c r="I95" s="246">
        <v>69</v>
      </c>
      <c r="J95" s="246">
        <v>2</v>
      </c>
      <c r="K95" s="246">
        <v>281</v>
      </c>
      <c r="L95" s="246">
        <v>136</v>
      </c>
      <c r="M95" s="246">
        <v>605</v>
      </c>
      <c r="N95" s="227"/>
      <c r="O95" s="247">
        <f t="shared" si="41"/>
        <v>0.58980392156862749</v>
      </c>
      <c r="P95" s="247">
        <f t="shared" si="42"/>
        <v>0.92753623188405798</v>
      </c>
      <c r="Q95" s="247">
        <f t="shared" si="43"/>
        <v>1.1387900355871885E-2</v>
      </c>
      <c r="R95" s="247">
        <f t="shared" si="44"/>
        <v>0.35966942148760334</v>
      </c>
    </row>
    <row r="96" spans="1:18">
      <c r="A96" s="224"/>
      <c r="B96" s="225"/>
      <c r="C96" s="226"/>
      <c r="D96" s="226"/>
      <c r="E96" s="226"/>
      <c r="F96" s="241">
        <f t="shared" ref="F96:M96" si="45">SUM(F80:F95)</f>
        <v>1445</v>
      </c>
      <c r="G96" s="241">
        <f t="shared" si="45"/>
        <v>17005</v>
      </c>
      <c r="H96" s="241">
        <f t="shared" si="45"/>
        <v>4445</v>
      </c>
      <c r="I96" s="241">
        <f t="shared" si="45"/>
        <v>6635</v>
      </c>
      <c r="J96" s="241">
        <f t="shared" si="45"/>
        <v>11526</v>
      </c>
      <c r="K96" s="241">
        <f t="shared" si="45"/>
        <v>17830</v>
      </c>
      <c r="L96" s="241">
        <f t="shared" si="45"/>
        <v>17416</v>
      </c>
      <c r="M96" s="241">
        <f t="shared" si="45"/>
        <v>41470</v>
      </c>
      <c r="N96" s="227"/>
      <c r="O96" s="228">
        <f>F96/G96*C95/D95</f>
        <v>0.1359600117612467</v>
      </c>
      <c r="P96" s="228">
        <f>H96/I96*C95/D95</f>
        <v>1.0718914845516203</v>
      </c>
      <c r="Q96" s="228">
        <f>J96/K96*C95/D95</f>
        <v>1.0343017386427369</v>
      </c>
      <c r="R96" s="228">
        <f>L96/M96*C95/D95</f>
        <v>0.67194598504943337</v>
      </c>
    </row>
    <row r="97" spans="1:18">
      <c r="A97" s="224"/>
      <c r="B97" s="225"/>
      <c r="C97" s="226"/>
      <c r="D97" s="226"/>
      <c r="E97" s="226"/>
      <c r="F97" s="249"/>
      <c r="G97" s="249"/>
      <c r="H97" s="250"/>
      <c r="I97" s="250"/>
      <c r="J97" s="250"/>
      <c r="K97" s="250"/>
      <c r="L97" s="250"/>
      <c r="M97" s="250"/>
      <c r="N97" s="227"/>
      <c r="O97" s="228"/>
      <c r="P97" s="228"/>
      <c r="Q97" s="228"/>
      <c r="R97" s="228"/>
    </row>
    <row r="98" spans="1:18">
      <c r="A98" s="224" t="s">
        <v>304</v>
      </c>
      <c r="B98" s="225" t="s">
        <v>144</v>
      </c>
      <c r="C98" s="84">
        <v>5</v>
      </c>
      <c r="D98" s="84">
        <v>5</v>
      </c>
      <c r="E98" s="226"/>
      <c r="F98" s="217">
        <v>28</v>
      </c>
      <c r="G98" s="217">
        <v>44</v>
      </c>
      <c r="H98" s="217">
        <v>20</v>
      </c>
      <c r="I98" s="217">
        <v>25</v>
      </c>
      <c r="J98" s="217">
        <v>43</v>
      </c>
      <c r="K98" s="217">
        <v>48</v>
      </c>
      <c r="L98" s="217">
        <v>91</v>
      </c>
      <c r="M98" s="217">
        <v>117</v>
      </c>
      <c r="N98" s="227"/>
      <c r="O98" s="228">
        <f t="shared" ref="O98:O99" si="46">F98/G98*C98/D98</f>
        <v>0.63636363636363635</v>
      </c>
      <c r="P98" s="228">
        <f t="shared" ref="P98:P99" si="47">H98/I98*C98/D98</f>
        <v>0.8</v>
      </c>
      <c r="Q98" s="228">
        <f t="shared" ref="Q98:Q101" si="48">J98/K98*$C$98/$D$98</f>
        <v>0.89583333333333337</v>
      </c>
      <c r="R98" s="228">
        <f t="shared" ref="R98:R99" si="49">L98/M98*C98/D98</f>
        <v>0.77777777777777779</v>
      </c>
    </row>
    <row r="99" spans="1:18">
      <c r="A99" s="224" t="s">
        <v>305</v>
      </c>
      <c r="B99" s="251" t="s">
        <v>144</v>
      </c>
      <c r="C99" s="84">
        <v>5</v>
      </c>
      <c r="D99" s="84">
        <v>5</v>
      </c>
      <c r="E99" s="226"/>
      <c r="F99" s="217">
        <v>75</v>
      </c>
      <c r="G99" s="217">
        <v>30</v>
      </c>
      <c r="H99" s="217">
        <v>57</v>
      </c>
      <c r="I99" s="217">
        <v>14</v>
      </c>
      <c r="J99" s="217">
        <v>0</v>
      </c>
      <c r="K99" s="217">
        <v>36</v>
      </c>
      <c r="L99" s="217">
        <v>132</v>
      </c>
      <c r="M99" s="217">
        <v>80</v>
      </c>
      <c r="N99" s="227"/>
      <c r="O99" s="228">
        <f t="shared" si="46"/>
        <v>2.5</v>
      </c>
      <c r="P99" s="228">
        <f t="shared" si="47"/>
        <v>4.0714285714285712</v>
      </c>
      <c r="Q99" s="228">
        <f t="shared" si="48"/>
        <v>0</v>
      </c>
      <c r="R99" s="228">
        <f t="shared" si="49"/>
        <v>1.65</v>
      </c>
    </row>
    <row r="100" spans="1:18">
      <c r="A100" s="244" t="s">
        <v>306</v>
      </c>
      <c r="B100" s="253" t="s">
        <v>144</v>
      </c>
      <c r="C100" s="84">
        <v>5</v>
      </c>
      <c r="D100" s="84">
        <v>5</v>
      </c>
      <c r="E100" s="226"/>
      <c r="F100" s="246">
        <v>53</v>
      </c>
      <c r="G100" s="246">
        <v>26</v>
      </c>
      <c r="H100" s="246">
        <v>1</v>
      </c>
      <c r="I100" s="246">
        <v>11</v>
      </c>
      <c r="J100" s="246">
        <v>5</v>
      </c>
      <c r="K100" s="246">
        <v>26</v>
      </c>
      <c r="L100" s="246">
        <v>59</v>
      </c>
      <c r="M100" s="246">
        <v>63</v>
      </c>
      <c r="N100" s="227"/>
      <c r="O100" s="247">
        <f t="shared" ref="O100:O101" si="50">F100/G100*$C$100/$D$100</f>
        <v>2.0384615384615383</v>
      </c>
      <c r="P100" s="247">
        <f t="shared" ref="P100:P101" si="51">H100/I100*$C$100/$D$100</f>
        <v>9.0909090909090912E-2</v>
      </c>
      <c r="Q100" s="247">
        <f t="shared" si="48"/>
        <v>0.19230769230769232</v>
      </c>
      <c r="R100" s="247">
        <f t="shared" ref="R100:R101" si="52">L100/M100*$C$100/$D$100</f>
        <v>0.93650793650793651</v>
      </c>
    </row>
    <row r="101" spans="1:18">
      <c r="A101" s="224"/>
      <c r="B101" s="225"/>
      <c r="C101" s="226"/>
      <c r="D101" s="226"/>
      <c r="E101" s="226"/>
      <c r="F101" s="241">
        <f t="shared" ref="F101:M101" si="53">SUM(F98:F100)</f>
        <v>156</v>
      </c>
      <c r="G101" s="241">
        <f t="shared" si="53"/>
        <v>100</v>
      </c>
      <c r="H101" s="241">
        <f t="shared" si="53"/>
        <v>78</v>
      </c>
      <c r="I101" s="241">
        <f t="shared" si="53"/>
        <v>50</v>
      </c>
      <c r="J101" s="241">
        <f t="shared" si="53"/>
        <v>48</v>
      </c>
      <c r="K101" s="241">
        <f t="shared" si="53"/>
        <v>110</v>
      </c>
      <c r="L101" s="241">
        <f t="shared" si="53"/>
        <v>282</v>
      </c>
      <c r="M101" s="241">
        <f t="shared" si="53"/>
        <v>260</v>
      </c>
      <c r="N101" s="227"/>
      <c r="O101" s="228">
        <f t="shared" si="50"/>
        <v>1.56</v>
      </c>
      <c r="P101" s="228">
        <f t="shared" si="51"/>
        <v>1.56</v>
      </c>
      <c r="Q101" s="228">
        <f t="shared" si="48"/>
        <v>0.43636363636363634</v>
      </c>
      <c r="R101" s="228">
        <f t="shared" si="52"/>
        <v>1.0846153846153845</v>
      </c>
    </row>
    <row r="102" spans="1:18">
      <c r="A102" s="224"/>
      <c r="B102" s="225"/>
      <c r="C102" s="226"/>
      <c r="D102" s="226"/>
      <c r="E102" s="226"/>
      <c r="F102" s="249"/>
      <c r="G102" s="249"/>
      <c r="H102" s="250"/>
      <c r="I102" s="250"/>
      <c r="J102" s="250"/>
      <c r="K102" s="250"/>
      <c r="L102" s="250"/>
      <c r="M102" s="250"/>
      <c r="N102" s="227"/>
      <c r="O102" s="228"/>
      <c r="P102" s="228"/>
      <c r="Q102" s="228"/>
      <c r="R102" s="228"/>
    </row>
    <row r="103" spans="1:18">
      <c r="A103" s="224" t="s">
        <v>307</v>
      </c>
      <c r="B103" s="225" t="s">
        <v>145</v>
      </c>
      <c r="C103" s="84">
        <v>5</v>
      </c>
      <c r="D103" s="84">
        <v>5</v>
      </c>
      <c r="E103" s="226"/>
      <c r="F103" s="217">
        <v>58</v>
      </c>
      <c r="G103" s="217">
        <v>141</v>
      </c>
      <c r="H103" s="217">
        <v>264</v>
      </c>
      <c r="I103" s="217">
        <v>62</v>
      </c>
      <c r="J103" s="217">
        <v>62</v>
      </c>
      <c r="K103" s="217">
        <v>160</v>
      </c>
      <c r="L103" s="217">
        <v>384</v>
      </c>
      <c r="M103" s="217">
        <v>363</v>
      </c>
      <c r="N103" s="227"/>
      <c r="O103" s="228">
        <f t="shared" ref="O103:O109" si="54">F103/G103*C103/D103</f>
        <v>0.41134751773049649</v>
      </c>
      <c r="P103" s="228">
        <f t="shared" ref="P103:P111" si="55">H103/I103*$C$103/$D$103</f>
        <v>4.258064516129032</v>
      </c>
      <c r="Q103" s="228">
        <f t="shared" ref="Q103:Q111" si="56">J103/K103*$C$103/$D$103</f>
        <v>0.38750000000000001</v>
      </c>
      <c r="R103" s="228">
        <f t="shared" ref="R103:R111" si="57">L103/M103*$C$103/$D$103</f>
        <v>1.0578512396694215</v>
      </c>
    </row>
    <row r="104" spans="1:18">
      <c r="A104" s="239" t="s">
        <v>308</v>
      </c>
      <c r="B104" s="243" t="s">
        <v>145</v>
      </c>
      <c r="C104" s="84">
        <v>5</v>
      </c>
      <c r="D104" s="84">
        <v>5</v>
      </c>
      <c r="E104" s="226"/>
      <c r="F104" s="241">
        <v>0</v>
      </c>
      <c r="G104" s="241">
        <v>5</v>
      </c>
      <c r="H104" s="217">
        <v>0</v>
      </c>
      <c r="I104" s="217">
        <v>2</v>
      </c>
      <c r="J104" s="241">
        <v>0</v>
      </c>
      <c r="K104" s="241">
        <v>4</v>
      </c>
      <c r="L104" s="217">
        <v>0</v>
      </c>
      <c r="M104" s="217">
        <v>11</v>
      </c>
      <c r="N104" s="227"/>
      <c r="O104" s="228">
        <f t="shared" si="54"/>
        <v>0</v>
      </c>
      <c r="P104" s="228">
        <f t="shared" si="55"/>
        <v>0</v>
      </c>
      <c r="Q104" s="228">
        <f t="shared" si="56"/>
        <v>0</v>
      </c>
      <c r="R104" s="228">
        <f t="shared" si="57"/>
        <v>0</v>
      </c>
    </row>
    <row r="105" spans="1:18">
      <c r="A105" s="239" t="s">
        <v>309</v>
      </c>
      <c r="B105" s="243" t="s">
        <v>145</v>
      </c>
      <c r="C105" s="84">
        <v>5</v>
      </c>
      <c r="D105" s="84">
        <v>5</v>
      </c>
      <c r="E105" s="226"/>
      <c r="F105" s="217">
        <v>105</v>
      </c>
      <c r="G105" s="217">
        <v>241</v>
      </c>
      <c r="H105" s="217">
        <v>8</v>
      </c>
      <c r="I105" s="217">
        <v>104</v>
      </c>
      <c r="J105" s="217">
        <v>71</v>
      </c>
      <c r="K105" s="217">
        <v>264</v>
      </c>
      <c r="L105" s="217">
        <v>184</v>
      </c>
      <c r="M105" s="217">
        <v>609</v>
      </c>
      <c r="N105" s="227"/>
      <c r="O105" s="228">
        <f t="shared" si="54"/>
        <v>0.43568464730290463</v>
      </c>
      <c r="P105" s="228">
        <f t="shared" si="55"/>
        <v>7.6923076923076927E-2</v>
      </c>
      <c r="Q105" s="228">
        <f t="shared" si="56"/>
        <v>0.26893939393939392</v>
      </c>
      <c r="R105" s="228">
        <f t="shared" si="57"/>
        <v>0.30213464696223319</v>
      </c>
    </row>
    <row r="106" spans="1:18">
      <c r="A106" s="239" t="s">
        <v>310</v>
      </c>
      <c r="B106" s="243" t="s">
        <v>145</v>
      </c>
      <c r="C106" s="84">
        <v>5</v>
      </c>
      <c r="D106" s="84">
        <v>5</v>
      </c>
      <c r="E106" s="226"/>
      <c r="F106" s="217">
        <v>5</v>
      </c>
      <c r="G106" s="217">
        <v>9</v>
      </c>
      <c r="H106" s="217">
        <v>3</v>
      </c>
      <c r="I106" s="217">
        <v>4</v>
      </c>
      <c r="J106" s="217">
        <v>0</v>
      </c>
      <c r="K106" s="217">
        <v>8</v>
      </c>
      <c r="L106" s="217">
        <v>8</v>
      </c>
      <c r="M106" s="217">
        <v>21</v>
      </c>
      <c r="N106" s="227"/>
      <c r="O106" s="228">
        <f t="shared" si="54"/>
        <v>0.55555555555555558</v>
      </c>
      <c r="P106" s="228">
        <f t="shared" si="55"/>
        <v>0.75</v>
      </c>
      <c r="Q106" s="228">
        <f t="shared" si="56"/>
        <v>0</v>
      </c>
      <c r="R106" s="228">
        <f t="shared" si="57"/>
        <v>0.38095238095238093</v>
      </c>
    </row>
    <row r="107" spans="1:18">
      <c r="A107" s="224" t="s">
        <v>311</v>
      </c>
      <c r="B107" s="225" t="s">
        <v>145</v>
      </c>
      <c r="C107" s="84">
        <v>5</v>
      </c>
      <c r="D107" s="84">
        <v>5</v>
      </c>
      <c r="E107" s="226"/>
      <c r="F107" s="217">
        <v>0</v>
      </c>
      <c r="G107" s="217">
        <v>63</v>
      </c>
      <c r="H107" s="217">
        <v>46</v>
      </c>
      <c r="I107" s="217">
        <v>27</v>
      </c>
      <c r="J107" s="217">
        <v>40</v>
      </c>
      <c r="K107" s="217">
        <v>71</v>
      </c>
      <c r="L107" s="217">
        <v>86</v>
      </c>
      <c r="M107" s="217">
        <v>161</v>
      </c>
      <c r="N107" s="227"/>
      <c r="O107" s="228">
        <f t="shared" si="54"/>
        <v>0</v>
      </c>
      <c r="P107" s="228">
        <f t="shared" si="55"/>
        <v>1.7037037037037037</v>
      </c>
      <c r="Q107" s="228">
        <f t="shared" si="56"/>
        <v>0.56338028169014087</v>
      </c>
      <c r="R107" s="228">
        <f t="shared" si="57"/>
        <v>0.53416149068322982</v>
      </c>
    </row>
    <row r="108" spans="1:18">
      <c r="A108" s="224" t="s">
        <v>312</v>
      </c>
      <c r="B108" s="225" t="s">
        <v>145</v>
      </c>
      <c r="C108" s="84">
        <v>5</v>
      </c>
      <c r="D108" s="84">
        <v>5</v>
      </c>
      <c r="E108" s="226"/>
      <c r="F108" s="217">
        <v>77</v>
      </c>
      <c r="G108" s="217">
        <v>347</v>
      </c>
      <c r="H108" s="217">
        <v>226</v>
      </c>
      <c r="I108" s="217">
        <v>146</v>
      </c>
      <c r="J108" s="217">
        <v>201</v>
      </c>
      <c r="K108" s="217">
        <v>366</v>
      </c>
      <c r="L108" s="217">
        <v>504</v>
      </c>
      <c r="M108" s="217">
        <v>859</v>
      </c>
      <c r="N108" s="227"/>
      <c r="O108" s="228">
        <f t="shared" si="54"/>
        <v>0.22190201729106632</v>
      </c>
      <c r="P108" s="228">
        <f t="shared" si="55"/>
        <v>1.547945205479452</v>
      </c>
      <c r="Q108" s="228">
        <f t="shared" si="56"/>
        <v>0.54918032786885251</v>
      </c>
      <c r="R108" s="228">
        <f t="shared" si="57"/>
        <v>0.58672875436554128</v>
      </c>
    </row>
    <row r="109" spans="1:18">
      <c r="A109" s="244" t="s">
        <v>313</v>
      </c>
      <c r="B109" s="245" t="s">
        <v>145</v>
      </c>
      <c r="C109" s="84">
        <v>5</v>
      </c>
      <c r="D109" s="84">
        <v>5</v>
      </c>
      <c r="E109" s="226"/>
      <c r="F109" s="255">
        <v>30</v>
      </c>
      <c r="G109" s="255">
        <v>12</v>
      </c>
      <c r="H109" s="255">
        <v>0</v>
      </c>
      <c r="I109" s="255">
        <v>4</v>
      </c>
      <c r="J109" s="83">
        <v>3</v>
      </c>
      <c r="K109" s="255">
        <v>15</v>
      </c>
      <c r="L109" s="255">
        <v>33</v>
      </c>
      <c r="M109" s="255">
        <v>31</v>
      </c>
      <c r="N109" s="227"/>
      <c r="O109" s="228">
        <f t="shared" si="54"/>
        <v>2.5</v>
      </c>
      <c r="P109" s="228">
        <f t="shared" si="55"/>
        <v>0</v>
      </c>
      <c r="Q109" s="228">
        <f t="shared" si="56"/>
        <v>0.2</v>
      </c>
      <c r="R109" s="228">
        <f t="shared" si="57"/>
        <v>1.064516129032258</v>
      </c>
    </row>
    <row r="110" spans="1:18">
      <c r="A110" s="244" t="s">
        <v>314</v>
      </c>
      <c r="B110" s="245" t="s">
        <v>145</v>
      </c>
      <c r="C110" s="84">
        <v>5</v>
      </c>
      <c r="D110" s="84">
        <v>5</v>
      </c>
      <c r="E110" s="226"/>
      <c r="F110" s="246">
        <v>0</v>
      </c>
      <c r="G110" s="246">
        <v>2</v>
      </c>
      <c r="H110" s="246">
        <v>0</v>
      </c>
      <c r="I110" s="246">
        <v>1</v>
      </c>
      <c r="J110" s="246">
        <v>0</v>
      </c>
      <c r="K110" s="246">
        <v>2</v>
      </c>
      <c r="L110" s="246">
        <v>1</v>
      </c>
      <c r="M110" s="246">
        <v>5</v>
      </c>
      <c r="N110" s="227"/>
      <c r="O110" s="247">
        <f t="shared" ref="O110:O111" si="58">F110/G110*$C$110/$D$110</f>
        <v>0</v>
      </c>
      <c r="P110" s="247">
        <f t="shared" si="55"/>
        <v>0</v>
      </c>
      <c r="Q110" s="247">
        <f t="shared" si="56"/>
        <v>0</v>
      </c>
      <c r="R110" s="247">
        <f t="shared" si="57"/>
        <v>0.2</v>
      </c>
    </row>
    <row r="111" spans="1:18">
      <c r="A111" s="239"/>
      <c r="B111" s="243"/>
      <c r="C111" s="226"/>
      <c r="D111" s="226"/>
      <c r="E111" s="226"/>
      <c r="F111" s="241">
        <f t="shared" ref="F111:M111" si="59">SUM(F103:F110)</f>
        <v>275</v>
      </c>
      <c r="G111" s="241">
        <f t="shared" si="59"/>
        <v>820</v>
      </c>
      <c r="H111" s="241">
        <f t="shared" si="59"/>
        <v>547</v>
      </c>
      <c r="I111" s="241">
        <f t="shared" si="59"/>
        <v>350</v>
      </c>
      <c r="J111" s="241">
        <f t="shared" si="59"/>
        <v>377</v>
      </c>
      <c r="K111" s="241">
        <f t="shared" si="59"/>
        <v>890</v>
      </c>
      <c r="L111" s="241">
        <f t="shared" si="59"/>
        <v>1200</v>
      </c>
      <c r="M111" s="241">
        <f t="shared" si="59"/>
        <v>2060</v>
      </c>
      <c r="N111" s="227"/>
      <c r="O111" s="228">
        <f t="shared" si="58"/>
        <v>0.33536585365853661</v>
      </c>
      <c r="P111" s="228">
        <f t="shared" si="55"/>
        <v>1.5628571428571429</v>
      </c>
      <c r="Q111" s="228">
        <f t="shared" si="56"/>
        <v>0.42359550561797754</v>
      </c>
      <c r="R111" s="228">
        <f t="shared" si="57"/>
        <v>0.58252427184466016</v>
      </c>
    </row>
    <row r="112" spans="1:18">
      <c r="A112" s="239"/>
      <c r="B112" s="243"/>
      <c r="C112" s="226"/>
      <c r="D112" s="226"/>
      <c r="E112" s="226"/>
      <c r="F112" s="249"/>
      <c r="G112" s="249"/>
      <c r="H112" s="250"/>
      <c r="I112" s="250"/>
      <c r="J112" s="250"/>
      <c r="K112" s="250"/>
      <c r="L112" s="250"/>
      <c r="M112" s="250"/>
      <c r="N112" s="227"/>
      <c r="O112" s="228"/>
      <c r="P112" s="228"/>
      <c r="Q112" s="228"/>
      <c r="R112" s="228"/>
    </row>
    <row r="113" spans="1:18">
      <c r="A113" s="239" t="s">
        <v>315</v>
      </c>
      <c r="B113" s="243" t="s">
        <v>146</v>
      </c>
      <c r="C113" s="84">
        <v>8</v>
      </c>
      <c r="D113" s="84">
        <v>6</v>
      </c>
      <c r="E113" s="226"/>
      <c r="F113" s="217">
        <v>200</v>
      </c>
      <c r="G113" s="217">
        <v>1230</v>
      </c>
      <c r="H113" s="217">
        <v>158</v>
      </c>
      <c r="I113" s="217">
        <v>466</v>
      </c>
      <c r="J113" s="217">
        <v>40</v>
      </c>
      <c r="K113" s="217">
        <v>1338</v>
      </c>
      <c r="L113" s="217">
        <v>398</v>
      </c>
      <c r="M113" s="217">
        <v>3034</v>
      </c>
      <c r="N113" s="227"/>
      <c r="O113" s="228">
        <f t="shared" ref="O113:O121" si="60">F113/G113*$C$113/$D$113</f>
        <v>0.2168021680216802</v>
      </c>
      <c r="P113" s="228">
        <f t="shared" ref="P113:P121" si="61">H113/I113*$C$113/$D$113</f>
        <v>0.45207439198855509</v>
      </c>
      <c r="Q113" s="228">
        <f t="shared" ref="Q113:Q121" si="62">J113/K113*$C$113/$D$113</f>
        <v>3.9860488290981565E-2</v>
      </c>
      <c r="R113" s="228">
        <f t="shared" ref="R113:R121" si="63">L113/M113*$C$113/$D$113</f>
        <v>0.17490661393100418</v>
      </c>
    </row>
    <row r="114" spans="1:18">
      <c r="A114" s="224" t="s">
        <v>316</v>
      </c>
      <c r="B114" s="225" t="s">
        <v>146</v>
      </c>
      <c r="C114" s="84">
        <v>8</v>
      </c>
      <c r="D114" s="84">
        <v>6</v>
      </c>
      <c r="E114" s="226"/>
      <c r="F114" s="217">
        <v>267</v>
      </c>
      <c r="G114" s="217">
        <v>1306</v>
      </c>
      <c r="H114" s="217">
        <v>90</v>
      </c>
      <c r="I114" s="217">
        <v>490</v>
      </c>
      <c r="J114" s="217">
        <v>0</v>
      </c>
      <c r="K114" s="217">
        <v>1428</v>
      </c>
      <c r="L114" s="217">
        <v>357</v>
      </c>
      <c r="M114" s="217">
        <v>3224</v>
      </c>
      <c r="N114" s="227"/>
      <c r="O114" s="228">
        <f t="shared" si="60"/>
        <v>0.27258805513016843</v>
      </c>
      <c r="P114" s="228">
        <f t="shared" si="61"/>
        <v>0.24489795918367349</v>
      </c>
      <c r="Q114" s="228">
        <f t="shared" si="62"/>
        <v>0</v>
      </c>
      <c r="R114" s="228">
        <f t="shared" si="63"/>
        <v>0.14764267990074442</v>
      </c>
    </row>
    <row r="115" spans="1:18">
      <c r="A115" s="224" t="s">
        <v>317</v>
      </c>
      <c r="B115" s="243" t="s">
        <v>146</v>
      </c>
      <c r="C115" s="84">
        <v>8</v>
      </c>
      <c r="D115" s="84">
        <v>5</v>
      </c>
      <c r="E115" s="226"/>
      <c r="F115" s="217">
        <v>0</v>
      </c>
      <c r="G115" s="217">
        <v>59</v>
      </c>
      <c r="H115" s="217">
        <v>0</v>
      </c>
      <c r="I115" s="217">
        <v>22</v>
      </c>
      <c r="J115" s="217">
        <v>0</v>
      </c>
      <c r="K115" s="217">
        <v>63</v>
      </c>
      <c r="L115" s="217">
        <v>0</v>
      </c>
      <c r="M115" s="217">
        <v>144</v>
      </c>
      <c r="N115" s="227"/>
      <c r="O115" s="228">
        <f t="shared" si="60"/>
        <v>0</v>
      </c>
      <c r="P115" s="228">
        <f t="shared" si="61"/>
        <v>0</v>
      </c>
      <c r="Q115" s="228">
        <f t="shared" si="62"/>
        <v>0</v>
      </c>
      <c r="R115" s="228">
        <f t="shared" si="63"/>
        <v>0</v>
      </c>
    </row>
    <row r="116" spans="1:18">
      <c r="A116" s="224" t="s">
        <v>318</v>
      </c>
      <c r="B116" s="225" t="s">
        <v>146</v>
      </c>
      <c r="C116" s="84">
        <v>8</v>
      </c>
      <c r="D116" s="84">
        <v>6</v>
      </c>
      <c r="E116" s="226"/>
      <c r="F116" s="217">
        <v>187</v>
      </c>
      <c r="G116" s="217">
        <v>787</v>
      </c>
      <c r="H116" s="217">
        <v>257</v>
      </c>
      <c r="I116" s="217">
        <v>297</v>
      </c>
      <c r="J116" s="217">
        <v>69</v>
      </c>
      <c r="K116" s="217">
        <v>840</v>
      </c>
      <c r="L116" s="217">
        <v>513</v>
      </c>
      <c r="M116" s="217">
        <v>1924</v>
      </c>
      <c r="N116" s="227"/>
      <c r="O116" s="228">
        <f t="shared" si="60"/>
        <v>0.31681490893689118</v>
      </c>
      <c r="P116" s="228">
        <f t="shared" si="61"/>
        <v>1.1537598204264869</v>
      </c>
      <c r="Q116" s="228">
        <f t="shared" si="62"/>
        <v>0.10952380952380952</v>
      </c>
      <c r="R116" s="228">
        <f t="shared" si="63"/>
        <v>0.35550935550935553</v>
      </c>
    </row>
    <row r="117" spans="1:18">
      <c r="A117" s="239" t="s">
        <v>319</v>
      </c>
      <c r="B117" s="243" t="s">
        <v>146</v>
      </c>
      <c r="C117" s="84">
        <v>8</v>
      </c>
      <c r="D117" s="84">
        <v>6</v>
      </c>
      <c r="E117" s="226"/>
      <c r="F117" s="217">
        <v>1</v>
      </c>
      <c r="G117" s="217">
        <v>85</v>
      </c>
      <c r="H117" s="217">
        <v>1</v>
      </c>
      <c r="I117" s="217">
        <v>32</v>
      </c>
      <c r="J117" s="217">
        <v>1</v>
      </c>
      <c r="K117" s="217">
        <v>92</v>
      </c>
      <c r="L117" s="217">
        <v>3</v>
      </c>
      <c r="M117" s="217">
        <v>209</v>
      </c>
      <c r="N117" s="227"/>
      <c r="O117" s="228">
        <f t="shared" si="60"/>
        <v>1.5686274509803921E-2</v>
      </c>
      <c r="P117" s="228">
        <f t="shared" si="61"/>
        <v>4.1666666666666664E-2</v>
      </c>
      <c r="Q117" s="228">
        <f t="shared" si="62"/>
        <v>1.4492753623188406E-2</v>
      </c>
      <c r="R117" s="228">
        <f t="shared" si="63"/>
        <v>1.9138755980861243E-2</v>
      </c>
    </row>
    <row r="118" spans="1:18">
      <c r="A118" s="224" t="s">
        <v>146</v>
      </c>
      <c r="B118" s="225" t="s">
        <v>146</v>
      </c>
      <c r="C118" s="84">
        <v>8</v>
      </c>
      <c r="D118" s="84">
        <v>6</v>
      </c>
      <c r="E118" s="226"/>
      <c r="F118" s="217">
        <v>66</v>
      </c>
      <c r="G118" s="217">
        <v>554</v>
      </c>
      <c r="H118" s="217">
        <v>516</v>
      </c>
      <c r="I118" s="217">
        <v>202</v>
      </c>
      <c r="J118" s="217">
        <v>137</v>
      </c>
      <c r="K118" s="217">
        <v>553</v>
      </c>
      <c r="L118" s="217">
        <v>719</v>
      </c>
      <c r="M118" s="217">
        <v>1309</v>
      </c>
      <c r="N118" s="227"/>
      <c r="O118" s="228">
        <f t="shared" si="60"/>
        <v>0.1588447653429603</v>
      </c>
      <c r="P118" s="228">
        <f t="shared" si="61"/>
        <v>3.4059405940594059</v>
      </c>
      <c r="Q118" s="228">
        <f t="shared" si="62"/>
        <v>0.33031946955997588</v>
      </c>
      <c r="R118" s="228">
        <f t="shared" si="63"/>
        <v>0.7323656735421441</v>
      </c>
    </row>
    <row r="119" spans="1:18">
      <c r="A119" s="224" t="s">
        <v>320</v>
      </c>
      <c r="B119" s="225" t="s">
        <v>146</v>
      </c>
      <c r="C119" s="84">
        <v>8</v>
      </c>
      <c r="D119" s="84">
        <v>6</v>
      </c>
      <c r="E119" s="226"/>
      <c r="F119" s="217">
        <v>0</v>
      </c>
      <c r="G119" s="217">
        <v>2634</v>
      </c>
      <c r="H119" s="217">
        <v>37</v>
      </c>
      <c r="I119" s="217">
        <v>1001</v>
      </c>
      <c r="J119" s="217">
        <v>13</v>
      </c>
      <c r="K119" s="217">
        <v>2839</v>
      </c>
      <c r="L119" s="217">
        <v>50</v>
      </c>
      <c r="M119" s="217">
        <v>6474</v>
      </c>
      <c r="N119" s="227"/>
      <c r="O119" s="228">
        <f t="shared" si="60"/>
        <v>0</v>
      </c>
      <c r="P119" s="228">
        <f t="shared" si="61"/>
        <v>4.9284049284049281E-2</v>
      </c>
      <c r="Q119" s="228">
        <f t="shared" si="62"/>
        <v>6.105436186450628E-3</v>
      </c>
      <c r="R119" s="228">
        <f t="shared" si="63"/>
        <v>1.0297600659046441E-2</v>
      </c>
    </row>
    <row r="120" spans="1:18">
      <c r="A120" s="244" t="s">
        <v>321</v>
      </c>
      <c r="B120" s="253" t="s">
        <v>146</v>
      </c>
      <c r="C120" s="84">
        <v>8</v>
      </c>
      <c r="D120" s="84">
        <v>6</v>
      </c>
      <c r="E120" s="226"/>
      <c r="F120" s="246">
        <v>0</v>
      </c>
      <c r="G120" s="246">
        <v>92</v>
      </c>
      <c r="H120" s="246">
        <v>0</v>
      </c>
      <c r="I120" s="246">
        <v>36</v>
      </c>
      <c r="J120" s="246">
        <v>0</v>
      </c>
      <c r="K120" s="246">
        <v>105</v>
      </c>
      <c r="L120" s="246">
        <v>0</v>
      </c>
      <c r="M120" s="246">
        <v>233</v>
      </c>
      <c r="N120" s="227"/>
      <c r="O120" s="247">
        <f t="shared" si="60"/>
        <v>0</v>
      </c>
      <c r="P120" s="247">
        <f t="shared" si="61"/>
        <v>0</v>
      </c>
      <c r="Q120" s="247">
        <f t="shared" si="62"/>
        <v>0</v>
      </c>
      <c r="R120" s="247">
        <f t="shared" si="63"/>
        <v>0</v>
      </c>
    </row>
    <row r="121" spans="1:18">
      <c r="A121" s="239"/>
      <c r="B121" s="243"/>
      <c r="C121" s="226"/>
      <c r="D121" s="226"/>
      <c r="E121" s="226"/>
      <c r="F121" s="241">
        <f t="shared" ref="F121:M121" si="64">SUM(F113:F120)</f>
        <v>721</v>
      </c>
      <c r="G121" s="241">
        <f t="shared" si="64"/>
        <v>6747</v>
      </c>
      <c r="H121" s="241">
        <f t="shared" si="64"/>
        <v>1059</v>
      </c>
      <c r="I121" s="241">
        <f t="shared" si="64"/>
        <v>2546</v>
      </c>
      <c r="J121" s="241">
        <f t="shared" si="64"/>
        <v>260</v>
      </c>
      <c r="K121" s="241">
        <f t="shared" si="64"/>
        <v>7258</v>
      </c>
      <c r="L121" s="241">
        <f t="shared" si="64"/>
        <v>2040</v>
      </c>
      <c r="M121" s="241">
        <f t="shared" si="64"/>
        <v>16551</v>
      </c>
      <c r="N121" s="227"/>
      <c r="O121" s="228">
        <f t="shared" si="60"/>
        <v>0.14248307889926387</v>
      </c>
      <c r="P121" s="228">
        <f t="shared" si="61"/>
        <v>0.55459544383346426</v>
      </c>
      <c r="Q121" s="228">
        <f t="shared" si="62"/>
        <v>4.7763387526407637E-2</v>
      </c>
      <c r="R121" s="228">
        <f t="shared" si="63"/>
        <v>0.16434052323122469</v>
      </c>
    </row>
    <row r="122" spans="1:18">
      <c r="A122" s="239"/>
      <c r="B122" s="243"/>
      <c r="C122" s="226"/>
      <c r="D122" s="226"/>
      <c r="E122" s="226"/>
      <c r="F122" s="249"/>
      <c r="G122" s="249"/>
      <c r="H122" s="250"/>
      <c r="I122" s="250"/>
      <c r="J122" s="250"/>
      <c r="K122" s="250"/>
      <c r="L122" s="250"/>
      <c r="M122" s="250"/>
      <c r="N122" s="227"/>
      <c r="O122" s="228"/>
      <c r="P122" s="228"/>
      <c r="Q122" s="228"/>
      <c r="R122" s="228"/>
    </row>
    <row r="123" spans="1:18">
      <c r="A123" s="239" t="s">
        <v>322</v>
      </c>
      <c r="B123" s="243" t="s">
        <v>147</v>
      </c>
      <c r="C123" s="84">
        <v>5</v>
      </c>
      <c r="D123" s="84">
        <v>5</v>
      </c>
      <c r="E123" s="226"/>
      <c r="F123" s="217">
        <v>6</v>
      </c>
      <c r="G123" s="217">
        <v>25</v>
      </c>
      <c r="H123" s="217">
        <v>8</v>
      </c>
      <c r="I123" s="217">
        <v>12</v>
      </c>
      <c r="J123" s="217">
        <v>4</v>
      </c>
      <c r="K123" s="217">
        <v>28</v>
      </c>
      <c r="L123" s="217">
        <v>18</v>
      </c>
      <c r="M123" s="217">
        <v>65</v>
      </c>
      <c r="N123" s="227"/>
      <c r="O123" s="228">
        <f>F123/G123*C123/D123</f>
        <v>0.24</v>
      </c>
      <c r="P123" s="228">
        <f>H123/I123*C123/D123</f>
        <v>0.66666666666666663</v>
      </c>
      <c r="Q123" s="228">
        <f t="shared" ref="Q123:Q125" si="65">J123/K123*$C$123/$D$123</f>
        <v>0.14285714285714285</v>
      </c>
      <c r="R123" s="228">
        <f>L123/M123*C123/D123</f>
        <v>0.27692307692307694</v>
      </c>
    </row>
    <row r="124" spans="1:18">
      <c r="A124" s="224" t="s">
        <v>323</v>
      </c>
      <c r="B124" s="225" t="s">
        <v>147</v>
      </c>
      <c r="C124" s="84">
        <v>5</v>
      </c>
      <c r="D124" s="84">
        <v>5</v>
      </c>
      <c r="E124" s="226"/>
      <c r="F124" s="246">
        <v>0</v>
      </c>
      <c r="G124" s="246">
        <v>60</v>
      </c>
      <c r="H124" s="246">
        <v>0</v>
      </c>
      <c r="I124" s="246">
        <v>28</v>
      </c>
      <c r="J124" s="246">
        <v>41</v>
      </c>
      <c r="K124" s="246">
        <v>72</v>
      </c>
      <c r="L124" s="246">
        <v>41</v>
      </c>
      <c r="M124" s="246">
        <v>160</v>
      </c>
      <c r="N124" s="227"/>
      <c r="O124" s="247">
        <f t="shared" ref="O124:O125" si="66">F124/G124*$C$124/$D$124</f>
        <v>0</v>
      </c>
      <c r="P124" s="247">
        <f t="shared" ref="P124:P125" si="67">H124/I124*$C$124/$D$124</f>
        <v>0</v>
      </c>
      <c r="Q124" s="247">
        <f t="shared" si="65"/>
        <v>0.56944444444444442</v>
      </c>
      <c r="R124" s="247">
        <f t="shared" ref="R124:R125" si="68">L124/M124*$C$124/$D$124</f>
        <v>0.25624999999999998</v>
      </c>
    </row>
    <row r="125" spans="1:18">
      <c r="A125" s="239"/>
      <c r="B125" s="243"/>
      <c r="C125" s="226"/>
      <c r="D125" s="226"/>
      <c r="E125" s="226"/>
      <c r="F125" s="241">
        <f t="shared" ref="F125:M125" si="69">F123+F124</f>
        <v>6</v>
      </c>
      <c r="G125" s="241">
        <f t="shared" si="69"/>
        <v>85</v>
      </c>
      <c r="H125" s="241">
        <f t="shared" si="69"/>
        <v>8</v>
      </c>
      <c r="I125" s="241">
        <f t="shared" si="69"/>
        <v>40</v>
      </c>
      <c r="J125" s="241">
        <f t="shared" si="69"/>
        <v>45</v>
      </c>
      <c r="K125" s="241">
        <f t="shared" si="69"/>
        <v>100</v>
      </c>
      <c r="L125" s="241">
        <f t="shared" si="69"/>
        <v>59</v>
      </c>
      <c r="M125" s="241">
        <f t="shared" si="69"/>
        <v>225</v>
      </c>
      <c r="N125" s="227"/>
      <c r="O125" s="228">
        <f t="shared" si="66"/>
        <v>7.0588235294117646E-2</v>
      </c>
      <c r="P125" s="228">
        <f t="shared" si="67"/>
        <v>0.2</v>
      </c>
      <c r="Q125" s="228">
        <f t="shared" si="65"/>
        <v>0.45</v>
      </c>
      <c r="R125" s="228">
        <f t="shared" si="68"/>
        <v>0.26222222222222225</v>
      </c>
    </row>
    <row r="126" spans="1:18">
      <c r="A126" s="239"/>
      <c r="B126" s="243"/>
      <c r="C126" s="226"/>
      <c r="D126" s="226"/>
      <c r="E126" s="226"/>
      <c r="F126" s="256"/>
      <c r="G126" s="257"/>
      <c r="H126" s="257"/>
      <c r="I126" s="257"/>
      <c r="J126" s="257"/>
      <c r="K126" s="258"/>
      <c r="L126" s="250"/>
      <c r="M126" s="250"/>
      <c r="N126" s="227"/>
      <c r="O126" s="228"/>
      <c r="P126" s="228"/>
      <c r="Q126" s="228"/>
      <c r="R126" s="228"/>
    </row>
    <row r="127" spans="1:18">
      <c r="A127" s="239" t="s">
        <v>324</v>
      </c>
      <c r="B127" s="243" t="s">
        <v>148</v>
      </c>
      <c r="C127" s="84">
        <v>8</v>
      </c>
      <c r="D127" s="84">
        <v>4</v>
      </c>
      <c r="E127" s="226"/>
      <c r="F127" s="217">
        <v>56</v>
      </c>
      <c r="G127" s="217">
        <v>637</v>
      </c>
      <c r="H127" s="217">
        <v>381</v>
      </c>
      <c r="I127" s="217">
        <v>183</v>
      </c>
      <c r="J127" s="217">
        <v>0</v>
      </c>
      <c r="K127" s="217">
        <v>349</v>
      </c>
      <c r="L127" s="217">
        <v>437</v>
      </c>
      <c r="M127" s="217">
        <v>1169</v>
      </c>
      <c r="N127" s="227"/>
      <c r="O127" s="228">
        <f t="shared" ref="O127:O137" si="70">F127/G127*C127/D127</f>
        <v>0.17582417582417584</v>
      </c>
      <c r="P127" s="228">
        <f t="shared" ref="P127:P137" si="71">H127/I127*C127/D127</f>
        <v>4.1639344262295079</v>
      </c>
      <c r="Q127" s="228">
        <f t="shared" ref="Q127:Q139" si="72">J127/K127*$C$127/$D$127</f>
        <v>0</v>
      </c>
      <c r="R127" s="228">
        <f t="shared" ref="R127:R138" si="73">L127/M127*C127/D127</f>
        <v>0.74764756201881954</v>
      </c>
    </row>
    <row r="128" spans="1:18">
      <c r="A128" s="239" t="s">
        <v>325</v>
      </c>
      <c r="B128" s="243" t="s">
        <v>148</v>
      </c>
      <c r="C128" s="84">
        <v>8</v>
      </c>
      <c r="D128" s="84">
        <v>4</v>
      </c>
      <c r="E128" s="226"/>
      <c r="F128" s="217">
        <v>275</v>
      </c>
      <c r="G128" s="217">
        <v>15506</v>
      </c>
      <c r="H128" s="217">
        <v>4392</v>
      </c>
      <c r="I128" s="217">
        <v>6453</v>
      </c>
      <c r="J128" s="217">
        <v>5968</v>
      </c>
      <c r="K128" s="217">
        <v>14331</v>
      </c>
      <c r="L128" s="217">
        <v>10635</v>
      </c>
      <c r="M128" s="217">
        <v>36290</v>
      </c>
      <c r="N128" s="227"/>
      <c r="O128" s="228">
        <f t="shared" si="70"/>
        <v>3.5470140590739066E-2</v>
      </c>
      <c r="P128" s="228">
        <f t="shared" si="71"/>
        <v>1.3612273361227336</v>
      </c>
      <c r="Q128" s="228">
        <f t="shared" si="72"/>
        <v>0.83287977112553202</v>
      </c>
      <c r="R128" s="228">
        <f t="shared" si="73"/>
        <v>0.58611187655001373</v>
      </c>
    </row>
    <row r="129" spans="1:18">
      <c r="A129" s="224" t="s">
        <v>326</v>
      </c>
      <c r="B129" s="225" t="s">
        <v>148</v>
      </c>
      <c r="C129" s="84">
        <v>8</v>
      </c>
      <c r="D129" s="84">
        <v>6</v>
      </c>
      <c r="E129" s="226"/>
      <c r="F129" s="241">
        <v>0</v>
      </c>
      <c r="G129" s="241">
        <v>385</v>
      </c>
      <c r="H129" s="217">
        <v>0</v>
      </c>
      <c r="I129" s="217">
        <v>155</v>
      </c>
      <c r="J129" s="241">
        <v>0</v>
      </c>
      <c r="K129" s="241">
        <v>726</v>
      </c>
      <c r="L129" s="217">
        <v>0</v>
      </c>
      <c r="M129" s="217">
        <v>1266</v>
      </c>
      <c r="N129" s="227"/>
      <c r="O129" s="228">
        <f t="shared" si="70"/>
        <v>0</v>
      </c>
      <c r="P129" s="228">
        <f t="shared" si="71"/>
        <v>0</v>
      </c>
      <c r="Q129" s="228">
        <f t="shared" si="72"/>
        <v>0</v>
      </c>
      <c r="R129" s="228">
        <f t="shared" si="73"/>
        <v>0</v>
      </c>
    </row>
    <row r="130" spans="1:18">
      <c r="A130" s="239" t="s">
        <v>327</v>
      </c>
      <c r="B130" s="243" t="s">
        <v>148</v>
      </c>
      <c r="C130" s="84">
        <v>8</v>
      </c>
      <c r="D130" s="84">
        <v>4</v>
      </c>
      <c r="E130" s="226"/>
      <c r="F130" s="217">
        <v>0</v>
      </c>
      <c r="G130" s="217">
        <v>673</v>
      </c>
      <c r="H130" s="217">
        <v>118</v>
      </c>
      <c r="I130" s="217">
        <v>243</v>
      </c>
      <c r="J130" s="217">
        <v>90</v>
      </c>
      <c r="K130" s="217">
        <v>546</v>
      </c>
      <c r="L130" s="217">
        <v>208</v>
      </c>
      <c r="M130" s="217">
        <v>1462</v>
      </c>
      <c r="N130" s="227"/>
      <c r="O130" s="228">
        <f t="shared" si="70"/>
        <v>0</v>
      </c>
      <c r="P130" s="228">
        <f t="shared" si="71"/>
        <v>0.9711934156378601</v>
      </c>
      <c r="Q130" s="228">
        <f t="shared" si="72"/>
        <v>0.32967032967032966</v>
      </c>
      <c r="R130" s="228">
        <f t="shared" si="73"/>
        <v>0.28454172366621067</v>
      </c>
    </row>
    <row r="131" spans="1:18">
      <c r="A131" s="239" t="s">
        <v>328</v>
      </c>
      <c r="B131" s="243" t="s">
        <v>148</v>
      </c>
      <c r="C131" s="84">
        <v>8</v>
      </c>
      <c r="D131" s="84">
        <v>4</v>
      </c>
      <c r="E131" s="226"/>
      <c r="F131" s="217">
        <v>237</v>
      </c>
      <c r="G131" s="217">
        <v>7995</v>
      </c>
      <c r="H131" s="217">
        <v>117</v>
      </c>
      <c r="I131" s="217">
        <v>3126</v>
      </c>
      <c r="J131" s="217">
        <v>133</v>
      </c>
      <c r="K131" s="217">
        <v>10462</v>
      </c>
      <c r="L131" s="217">
        <v>487</v>
      </c>
      <c r="M131" s="217">
        <v>21583</v>
      </c>
      <c r="N131" s="227"/>
      <c r="O131" s="228">
        <f t="shared" si="70"/>
        <v>5.9287054409005627E-2</v>
      </c>
      <c r="P131" s="228">
        <f t="shared" si="71"/>
        <v>7.4856046065259113E-2</v>
      </c>
      <c r="Q131" s="228">
        <f t="shared" si="72"/>
        <v>2.5425348881666986E-2</v>
      </c>
      <c r="R131" s="228">
        <f t="shared" si="73"/>
        <v>4.5128110086642262E-2</v>
      </c>
    </row>
    <row r="132" spans="1:18">
      <c r="A132" s="239" t="s">
        <v>329</v>
      </c>
      <c r="B132" s="243" t="s">
        <v>148</v>
      </c>
      <c r="C132" s="84">
        <v>8</v>
      </c>
      <c r="D132" s="84">
        <v>4</v>
      </c>
      <c r="E132" s="226"/>
      <c r="F132" s="217">
        <v>0</v>
      </c>
      <c r="G132" s="217">
        <v>16</v>
      </c>
      <c r="H132" s="217">
        <v>0</v>
      </c>
      <c r="I132" s="217">
        <v>6</v>
      </c>
      <c r="J132" s="217">
        <v>0</v>
      </c>
      <c r="K132" s="217">
        <v>14</v>
      </c>
      <c r="L132" s="217">
        <v>0</v>
      </c>
      <c r="M132" s="217">
        <v>36</v>
      </c>
      <c r="N132" s="227"/>
      <c r="O132" s="228">
        <f t="shared" si="70"/>
        <v>0</v>
      </c>
      <c r="P132" s="228">
        <f t="shared" si="71"/>
        <v>0</v>
      </c>
      <c r="Q132" s="228">
        <f t="shared" si="72"/>
        <v>0</v>
      </c>
      <c r="R132" s="228">
        <f t="shared" si="73"/>
        <v>0</v>
      </c>
    </row>
    <row r="133" spans="1:18">
      <c r="A133" s="239" t="s">
        <v>330</v>
      </c>
      <c r="B133" s="252" t="s">
        <v>148</v>
      </c>
      <c r="C133" s="84">
        <v>8</v>
      </c>
      <c r="D133" s="84">
        <v>4</v>
      </c>
      <c r="E133" s="226"/>
      <c r="F133" s="217">
        <v>12</v>
      </c>
      <c r="G133" s="217">
        <v>166</v>
      </c>
      <c r="H133" s="217">
        <v>32</v>
      </c>
      <c r="I133" s="217">
        <v>66</v>
      </c>
      <c r="J133" s="217">
        <v>7</v>
      </c>
      <c r="K133" s="217">
        <v>79</v>
      </c>
      <c r="L133" s="217">
        <v>51</v>
      </c>
      <c r="M133" s="217">
        <v>311</v>
      </c>
      <c r="N133" s="227"/>
      <c r="O133" s="228">
        <f t="shared" si="70"/>
        <v>0.14457831325301204</v>
      </c>
      <c r="P133" s="228">
        <f t="shared" si="71"/>
        <v>0.96969696969696972</v>
      </c>
      <c r="Q133" s="228">
        <f t="shared" si="72"/>
        <v>0.17721518987341772</v>
      </c>
      <c r="R133" s="228">
        <f t="shared" si="73"/>
        <v>0.32797427652733119</v>
      </c>
    </row>
    <row r="134" spans="1:18">
      <c r="A134" s="244" t="s">
        <v>331</v>
      </c>
      <c r="B134" s="245" t="s">
        <v>148</v>
      </c>
      <c r="C134" s="84">
        <v>8</v>
      </c>
      <c r="D134" s="84">
        <v>4</v>
      </c>
      <c r="E134" s="226"/>
      <c r="F134" s="241">
        <v>0</v>
      </c>
      <c r="G134" s="241">
        <v>290</v>
      </c>
      <c r="H134" s="217">
        <v>0</v>
      </c>
      <c r="I134" s="217">
        <v>207</v>
      </c>
      <c r="J134" s="241">
        <v>0</v>
      </c>
      <c r="K134" s="241">
        <v>848</v>
      </c>
      <c r="L134" s="217">
        <v>0</v>
      </c>
      <c r="M134" s="217">
        <v>1345</v>
      </c>
      <c r="N134" s="227"/>
      <c r="O134" s="228">
        <f t="shared" si="70"/>
        <v>0</v>
      </c>
      <c r="P134" s="228">
        <f t="shared" si="71"/>
        <v>0</v>
      </c>
      <c r="Q134" s="228">
        <f t="shared" si="72"/>
        <v>0</v>
      </c>
      <c r="R134" s="228">
        <f t="shared" si="73"/>
        <v>0</v>
      </c>
    </row>
    <row r="135" spans="1:18">
      <c r="A135" s="244" t="s">
        <v>332</v>
      </c>
      <c r="B135" s="245" t="s">
        <v>148</v>
      </c>
      <c r="C135" s="84">
        <v>8</v>
      </c>
      <c r="D135" s="84">
        <v>4</v>
      </c>
      <c r="E135" s="226"/>
      <c r="F135" s="241">
        <v>0</v>
      </c>
      <c r="G135" s="241">
        <v>843</v>
      </c>
      <c r="H135" s="217">
        <v>0</v>
      </c>
      <c r="I135" s="217">
        <v>397</v>
      </c>
      <c r="J135" s="241">
        <v>0</v>
      </c>
      <c r="K135" s="241">
        <v>796</v>
      </c>
      <c r="L135" s="217">
        <v>0</v>
      </c>
      <c r="M135" s="217">
        <v>2036</v>
      </c>
      <c r="N135" s="227"/>
      <c r="O135" s="228">
        <f t="shared" si="70"/>
        <v>0</v>
      </c>
      <c r="P135" s="228">
        <f t="shared" si="71"/>
        <v>0</v>
      </c>
      <c r="Q135" s="228">
        <f t="shared" si="72"/>
        <v>0</v>
      </c>
      <c r="R135" s="228">
        <f t="shared" si="73"/>
        <v>0</v>
      </c>
    </row>
    <row r="136" spans="1:18">
      <c r="A136" s="244" t="s">
        <v>333</v>
      </c>
      <c r="B136" s="245" t="s">
        <v>148</v>
      </c>
      <c r="C136" s="84">
        <v>8</v>
      </c>
      <c r="D136" s="84">
        <v>4</v>
      </c>
      <c r="E136" s="226"/>
      <c r="F136" s="217">
        <v>0</v>
      </c>
      <c r="G136" s="217">
        <v>78</v>
      </c>
      <c r="H136" s="217">
        <v>10</v>
      </c>
      <c r="I136" s="217">
        <v>30</v>
      </c>
      <c r="J136" s="217">
        <v>45</v>
      </c>
      <c r="K136" s="217">
        <v>146</v>
      </c>
      <c r="L136" s="217">
        <v>55</v>
      </c>
      <c r="M136" s="217">
        <v>254</v>
      </c>
      <c r="N136" s="227"/>
      <c r="O136" s="228">
        <f t="shared" si="70"/>
        <v>0</v>
      </c>
      <c r="P136" s="228">
        <f t="shared" si="71"/>
        <v>0.66666666666666663</v>
      </c>
      <c r="Q136" s="228">
        <f t="shared" si="72"/>
        <v>0.61643835616438358</v>
      </c>
      <c r="R136" s="228">
        <f t="shared" si="73"/>
        <v>0.43307086614173229</v>
      </c>
    </row>
    <row r="137" spans="1:18">
      <c r="A137" s="244" t="s">
        <v>334</v>
      </c>
      <c r="B137" s="245" t="s">
        <v>148</v>
      </c>
      <c r="C137" s="84">
        <v>8</v>
      </c>
      <c r="D137" s="84">
        <v>4</v>
      </c>
      <c r="E137" s="226"/>
      <c r="F137" s="217">
        <v>0</v>
      </c>
      <c r="G137" s="217">
        <v>191</v>
      </c>
      <c r="H137" s="217">
        <v>0</v>
      </c>
      <c r="I137" s="217">
        <v>88</v>
      </c>
      <c r="J137" s="217">
        <v>27</v>
      </c>
      <c r="K137" s="217">
        <v>216</v>
      </c>
      <c r="L137" s="217">
        <v>27</v>
      </c>
      <c r="M137" s="217">
        <v>495</v>
      </c>
      <c r="N137" s="227"/>
      <c r="O137" s="228">
        <f t="shared" si="70"/>
        <v>0</v>
      </c>
      <c r="P137" s="228">
        <f t="shared" si="71"/>
        <v>0</v>
      </c>
      <c r="Q137" s="228">
        <f t="shared" si="72"/>
        <v>0.25</v>
      </c>
      <c r="R137" s="228">
        <f t="shared" si="73"/>
        <v>0.10909090909090909</v>
      </c>
    </row>
    <row r="138" spans="1:18">
      <c r="A138" s="244" t="s">
        <v>335</v>
      </c>
      <c r="B138" s="253" t="s">
        <v>148</v>
      </c>
      <c r="C138" s="84">
        <v>8</v>
      </c>
      <c r="D138" s="84">
        <v>4</v>
      </c>
      <c r="E138" s="226"/>
      <c r="F138" s="246">
        <v>85</v>
      </c>
      <c r="G138" s="246">
        <v>625</v>
      </c>
      <c r="H138" s="246">
        <v>12</v>
      </c>
      <c r="I138" s="246">
        <v>280</v>
      </c>
      <c r="J138" s="246">
        <v>350</v>
      </c>
      <c r="K138" s="246">
        <v>521</v>
      </c>
      <c r="L138" s="246">
        <v>447</v>
      </c>
      <c r="M138" s="246">
        <v>1426</v>
      </c>
      <c r="N138" s="227"/>
      <c r="O138" s="247">
        <f t="shared" ref="O138:O139" si="74">F138/G138*$C$138/$D$138</f>
        <v>0.27200000000000002</v>
      </c>
      <c r="P138" s="247">
        <f t="shared" ref="P138:P139" si="75">H138/I138*$C$138/$D$138</f>
        <v>8.5714285714285715E-2</v>
      </c>
      <c r="Q138" s="247">
        <f t="shared" si="72"/>
        <v>1.3435700575815739</v>
      </c>
      <c r="R138" s="247">
        <f t="shared" si="73"/>
        <v>0.6269284712482468</v>
      </c>
    </row>
    <row r="139" spans="1:18">
      <c r="A139" s="224"/>
      <c r="B139" s="225"/>
      <c r="C139" s="226"/>
      <c r="D139" s="226"/>
      <c r="E139" s="226"/>
      <c r="F139" s="241">
        <f t="shared" ref="F139:M139" si="76">SUM(F127:F138)</f>
        <v>665</v>
      </c>
      <c r="G139" s="241">
        <f t="shared" si="76"/>
        <v>27405</v>
      </c>
      <c r="H139" s="241">
        <f t="shared" si="76"/>
        <v>5062</v>
      </c>
      <c r="I139" s="241">
        <f t="shared" si="76"/>
        <v>11234</v>
      </c>
      <c r="J139" s="241">
        <f t="shared" si="76"/>
        <v>6620</v>
      </c>
      <c r="K139" s="241">
        <f t="shared" si="76"/>
        <v>29034</v>
      </c>
      <c r="L139" s="241">
        <f t="shared" si="76"/>
        <v>12347</v>
      </c>
      <c r="M139" s="241">
        <f t="shared" si="76"/>
        <v>67673</v>
      </c>
      <c r="N139" s="227"/>
      <c r="O139" s="228">
        <f t="shared" si="74"/>
        <v>4.8531289910600253E-2</v>
      </c>
      <c r="P139" s="228">
        <f t="shared" si="75"/>
        <v>0.90119280754851339</v>
      </c>
      <c r="Q139" s="228">
        <f t="shared" si="72"/>
        <v>0.45601708341943925</v>
      </c>
      <c r="R139" s="228">
        <f>L139/M139*C138/D138</f>
        <v>0.36490180722001386</v>
      </c>
    </row>
    <row r="140" spans="1:18">
      <c r="A140" s="224"/>
      <c r="B140" s="225"/>
      <c r="C140" s="226"/>
      <c r="D140" s="226"/>
      <c r="E140" s="226"/>
      <c r="F140" s="249"/>
      <c r="G140" s="249"/>
      <c r="H140" s="250"/>
      <c r="I140" s="250"/>
      <c r="J140" s="250"/>
      <c r="K140" s="250"/>
      <c r="L140" s="250"/>
      <c r="M140" s="250"/>
      <c r="N140" s="227"/>
      <c r="O140" s="228"/>
      <c r="P140" s="228"/>
      <c r="Q140" s="228"/>
      <c r="R140" s="228"/>
    </row>
    <row r="141" spans="1:18">
      <c r="A141" s="224" t="s">
        <v>336</v>
      </c>
      <c r="B141" s="225" t="s">
        <v>149</v>
      </c>
      <c r="C141" s="84">
        <v>8</v>
      </c>
      <c r="D141" s="84">
        <v>4</v>
      </c>
      <c r="E141" s="226"/>
      <c r="F141" s="217">
        <v>39</v>
      </c>
      <c r="G141" s="217">
        <v>253</v>
      </c>
      <c r="H141" s="217">
        <v>37</v>
      </c>
      <c r="I141" s="217">
        <v>115</v>
      </c>
      <c r="J141" s="217">
        <v>0</v>
      </c>
      <c r="K141" s="217">
        <v>271</v>
      </c>
      <c r="L141" s="217">
        <v>76</v>
      </c>
      <c r="M141" s="217">
        <v>639</v>
      </c>
      <c r="N141" s="227"/>
      <c r="O141" s="228">
        <f t="shared" ref="O141:O145" si="77">F141/G141*C141/D141</f>
        <v>0.30830039525691699</v>
      </c>
      <c r="P141" s="228">
        <f t="shared" ref="P141:P143" si="78">H141/I141*C141/D141</f>
        <v>0.64347826086956517</v>
      </c>
      <c r="Q141" s="228">
        <f t="shared" ref="Q141:Q145" si="79">J141/K141*$C$141/$D$141</f>
        <v>0</v>
      </c>
      <c r="R141" s="228">
        <f t="shared" ref="R141:R145" si="80">L141/M141*C141/D141</f>
        <v>0.23787167449139279</v>
      </c>
    </row>
    <row r="142" spans="1:18">
      <c r="A142" s="224" t="s">
        <v>337</v>
      </c>
      <c r="B142" s="225" t="s">
        <v>149</v>
      </c>
      <c r="C142" s="84">
        <v>8</v>
      </c>
      <c r="D142" s="84">
        <v>4</v>
      </c>
      <c r="E142" s="226"/>
      <c r="F142" s="217">
        <v>0</v>
      </c>
      <c r="G142" s="217">
        <v>376</v>
      </c>
      <c r="H142" s="217">
        <v>0</v>
      </c>
      <c r="I142" s="217">
        <v>169</v>
      </c>
      <c r="J142" s="217">
        <v>0</v>
      </c>
      <c r="K142" s="217">
        <v>401</v>
      </c>
      <c r="L142" s="217">
        <v>0</v>
      </c>
      <c r="M142" s="217">
        <v>946</v>
      </c>
      <c r="N142" s="227"/>
      <c r="O142" s="228">
        <f t="shared" si="77"/>
        <v>0</v>
      </c>
      <c r="P142" s="228">
        <f t="shared" si="78"/>
        <v>0</v>
      </c>
      <c r="Q142" s="228">
        <f t="shared" si="79"/>
        <v>0</v>
      </c>
      <c r="R142" s="228">
        <f t="shared" si="80"/>
        <v>0</v>
      </c>
    </row>
    <row r="143" spans="1:18">
      <c r="A143" s="224" t="s">
        <v>338</v>
      </c>
      <c r="B143" s="225" t="s">
        <v>149</v>
      </c>
      <c r="C143" s="84">
        <v>8</v>
      </c>
      <c r="D143" s="84">
        <v>4</v>
      </c>
      <c r="E143" s="226"/>
      <c r="F143" s="217">
        <v>0</v>
      </c>
      <c r="G143" s="217">
        <v>1918</v>
      </c>
      <c r="H143" s="217">
        <v>25</v>
      </c>
      <c r="I143" s="217">
        <v>865</v>
      </c>
      <c r="J143" s="217">
        <v>416</v>
      </c>
      <c r="K143" s="217">
        <v>2049</v>
      </c>
      <c r="L143" s="217">
        <v>441</v>
      </c>
      <c r="M143" s="217">
        <v>4832</v>
      </c>
      <c r="N143" s="227"/>
      <c r="O143" s="228">
        <f t="shared" si="77"/>
        <v>0</v>
      </c>
      <c r="P143" s="228">
        <f t="shared" si="78"/>
        <v>5.7803468208092484E-2</v>
      </c>
      <c r="Q143" s="228">
        <f t="shared" si="79"/>
        <v>0.40605173255246463</v>
      </c>
      <c r="R143" s="228">
        <f t="shared" si="80"/>
        <v>0.18253311258278146</v>
      </c>
    </row>
    <row r="144" spans="1:18">
      <c r="A144" s="239" t="s">
        <v>339</v>
      </c>
      <c r="B144" s="243" t="s">
        <v>149</v>
      </c>
      <c r="C144" s="84">
        <v>8</v>
      </c>
      <c r="D144" s="84">
        <v>4</v>
      </c>
      <c r="E144" s="226"/>
      <c r="F144" s="217">
        <v>31</v>
      </c>
      <c r="G144" s="217">
        <v>324</v>
      </c>
      <c r="H144" s="217">
        <v>4</v>
      </c>
      <c r="I144" s="217">
        <v>147</v>
      </c>
      <c r="J144" s="217">
        <v>24</v>
      </c>
      <c r="K144" s="217">
        <v>347</v>
      </c>
      <c r="L144" s="217">
        <v>59</v>
      </c>
      <c r="M144" s="217">
        <v>818</v>
      </c>
      <c r="N144" s="227"/>
      <c r="O144" s="228">
        <f t="shared" si="77"/>
        <v>0.19135802469135801</v>
      </c>
      <c r="P144" s="228">
        <f t="shared" ref="P144:P145" si="81">H144/I144*$C$144/$D$144</f>
        <v>5.4421768707482991E-2</v>
      </c>
      <c r="Q144" s="228">
        <f t="shared" si="79"/>
        <v>0.13832853025936601</v>
      </c>
      <c r="R144" s="228">
        <f t="shared" si="80"/>
        <v>0.14425427872860636</v>
      </c>
    </row>
    <row r="145" spans="1:18">
      <c r="A145" s="239" t="s">
        <v>340</v>
      </c>
      <c r="B145" s="243" t="s">
        <v>149</v>
      </c>
      <c r="C145" s="84">
        <v>8</v>
      </c>
      <c r="D145" s="84">
        <v>4</v>
      </c>
      <c r="E145" s="226"/>
      <c r="F145" s="246">
        <v>0</v>
      </c>
      <c r="G145" s="246">
        <v>1184</v>
      </c>
      <c r="H145" s="246">
        <v>26</v>
      </c>
      <c r="I145" s="246">
        <v>534</v>
      </c>
      <c r="J145" s="246">
        <v>119</v>
      </c>
      <c r="K145" s="246">
        <v>1267</v>
      </c>
      <c r="L145" s="246">
        <v>145</v>
      </c>
      <c r="M145" s="246">
        <v>2985</v>
      </c>
      <c r="N145" s="227"/>
      <c r="O145" s="247">
        <f t="shared" si="77"/>
        <v>0</v>
      </c>
      <c r="P145" s="247">
        <f t="shared" si="81"/>
        <v>9.7378277153558054E-2</v>
      </c>
      <c r="Q145" s="247">
        <f t="shared" si="79"/>
        <v>0.18784530386740331</v>
      </c>
      <c r="R145" s="247">
        <f t="shared" si="80"/>
        <v>9.7152428810720268E-2</v>
      </c>
    </row>
    <row r="146" spans="1:18">
      <c r="A146" s="224"/>
      <c r="B146" s="225"/>
      <c r="C146" s="226"/>
      <c r="D146" s="226"/>
      <c r="E146" s="226"/>
      <c r="F146" s="241">
        <f t="shared" ref="F146:M146" si="82">SUM(F141:F145)</f>
        <v>70</v>
      </c>
      <c r="G146" s="241">
        <f t="shared" si="82"/>
        <v>4055</v>
      </c>
      <c r="H146" s="241">
        <f t="shared" si="82"/>
        <v>92</v>
      </c>
      <c r="I146" s="241">
        <f t="shared" si="82"/>
        <v>1830</v>
      </c>
      <c r="J146" s="241">
        <f t="shared" si="82"/>
        <v>559</v>
      </c>
      <c r="K146" s="241">
        <f t="shared" si="82"/>
        <v>4335</v>
      </c>
      <c r="L146" s="241">
        <f t="shared" si="82"/>
        <v>721</v>
      </c>
      <c r="M146" s="241">
        <f t="shared" si="82"/>
        <v>10220</v>
      </c>
      <c r="N146" s="227"/>
      <c r="O146" s="228">
        <f>F146/G146*C145/D145</f>
        <v>3.4525277435265102E-2</v>
      </c>
      <c r="P146" s="228">
        <f>H146/I146*C145/D145</f>
        <v>0.1005464480874317</v>
      </c>
      <c r="Q146" s="228">
        <f>J146/K146*C145/D145</f>
        <v>0.25790080738177623</v>
      </c>
      <c r="R146" s="228">
        <f>L146/M146*C145/D145</f>
        <v>0.14109589041095891</v>
      </c>
    </row>
    <row r="147" spans="1:18">
      <c r="A147" s="224"/>
      <c r="B147" s="225"/>
      <c r="C147" s="226"/>
      <c r="D147" s="226"/>
      <c r="E147" s="226"/>
      <c r="F147" s="249"/>
      <c r="G147" s="249"/>
      <c r="H147" s="250"/>
      <c r="I147" s="250"/>
      <c r="J147" s="250"/>
      <c r="K147" s="250"/>
      <c r="L147" s="250"/>
      <c r="M147" s="250"/>
      <c r="N147" s="227"/>
      <c r="O147" s="228"/>
      <c r="P147" s="228"/>
      <c r="Q147" s="228"/>
      <c r="R147" s="228"/>
    </row>
    <row r="148" spans="1:18">
      <c r="A148" s="224" t="s">
        <v>341</v>
      </c>
      <c r="B148" s="225" t="s">
        <v>151</v>
      </c>
      <c r="C148" s="84">
        <v>5</v>
      </c>
      <c r="D148" s="84">
        <v>5</v>
      </c>
      <c r="E148" s="226"/>
      <c r="F148" s="217">
        <v>10</v>
      </c>
      <c r="G148" s="217">
        <v>175</v>
      </c>
      <c r="H148" s="217">
        <v>8</v>
      </c>
      <c r="I148" s="217">
        <v>87</v>
      </c>
      <c r="J148" s="217">
        <v>11</v>
      </c>
      <c r="K148" s="217">
        <v>205</v>
      </c>
      <c r="L148" s="217">
        <v>29</v>
      </c>
      <c r="M148" s="217">
        <v>467</v>
      </c>
      <c r="N148" s="227"/>
      <c r="O148" s="228">
        <f t="shared" ref="O148:O150" si="83">F148/G148*C148/D148</f>
        <v>5.7142857142857141E-2</v>
      </c>
      <c r="P148" s="228">
        <f t="shared" ref="P148:P150" si="84">H148/I148*C148/D148</f>
        <v>9.1954022988505746E-2</v>
      </c>
      <c r="Q148" s="228">
        <f t="shared" ref="Q148:Q150" si="85">J148/K148*C148/D148</f>
        <v>5.365853658536586E-2</v>
      </c>
      <c r="R148" s="228">
        <f t="shared" ref="R148:R150" si="86">L148/M148*C148/D148</f>
        <v>6.2098501070663815E-2</v>
      </c>
    </row>
    <row r="149" spans="1:18">
      <c r="A149" s="224" t="s">
        <v>342</v>
      </c>
      <c r="B149" s="225" t="s">
        <v>151</v>
      </c>
      <c r="C149" s="84">
        <v>5</v>
      </c>
      <c r="D149" s="84">
        <v>5</v>
      </c>
      <c r="E149" s="226"/>
      <c r="F149" s="217">
        <v>25</v>
      </c>
      <c r="G149" s="217">
        <v>599</v>
      </c>
      <c r="H149" s="217">
        <v>22</v>
      </c>
      <c r="I149" s="217">
        <v>256</v>
      </c>
      <c r="J149" s="217">
        <v>16</v>
      </c>
      <c r="K149" s="217">
        <v>601</v>
      </c>
      <c r="L149" s="217">
        <v>63</v>
      </c>
      <c r="M149" s="217">
        <v>1456</v>
      </c>
      <c r="N149" s="227"/>
      <c r="O149" s="228">
        <f t="shared" si="83"/>
        <v>4.1736227045075125E-2</v>
      </c>
      <c r="P149" s="228">
        <f t="shared" si="84"/>
        <v>8.59375E-2</v>
      </c>
      <c r="Q149" s="228">
        <f t="shared" si="85"/>
        <v>2.6622296173044922E-2</v>
      </c>
      <c r="R149" s="228">
        <f t="shared" si="86"/>
        <v>4.3269230769230768E-2</v>
      </c>
    </row>
    <row r="150" spans="1:18">
      <c r="A150" s="239" t="s">
        <v>343</v>
      </c>
      <c r="B150" s="243" t="s">
        <v>151</v>
      </c>
      <c r="C150" s="84">
        <v>5</v>
      </c>
      <c r="D150" s="84">
        <v>5</v>
      </c>
      <c r="E150" s="226"/>
      <c r="F150" s="246">
        <v>0</v>
      </c>
      <c r="G150" s="246">
        <v>56</v>
      </c>
      <c r="H150" s="246">
        <v>0</v>
      </c>
      <c r="I150" s="246">
        <v>27</v>
      </c>
      <c r="J150" s="246">
        <v>4</v>
      </c>
      <c r="K150" s="246">
        <v>64</v>
      </c>
      <c r="L150" s="246">
        <v>4</v>
      </c>
      <c r="M150" s="246">
        <v>147</v>
      </c>
      <c r="N150" s="227"/>
      <c r="O150" s="247">
        <f t="shared" si="83"/>
        <v>0</v>
      </c>
      <c r="P150" s="247">
        <f t="shared" si="84"/>
        <v>0</v>
      </c>
      <c r="Q150" s="247">
        <f t="shared" si="85"/>
        <v>6.25E-2</v>
      </c>
      <c r="R150" s="247">
        <f t="shared" si="86"/>
        <v>2.7210884353741492E-2</v>
      </c>
    </row>
    <row r="151" spans="1:18">
      <c r="A151" s="239"/>
      <c r="B151" s="243"/>
      <c r="C151" s="226"/>
      <c r="D151" s="226"/>
      <c r="E151" s="226"/>
      <c r="F151" s="241">
        <f t="shared" ref="F151:M151" si="87">SUM(F148:F150)</f>
        <v>35</v>
      </c>
      <c r="G151" s="241">
        <f t="shared" si="87"/>
        <v>830</v>
      </c>
      <c r="H151" s="241">
        <f t="shared" si="87"/>
        <v>30</v>
      </c>
      <c r="I151" s="241">
        <f t="shared" si="87"/>
        <v>370</v>
      </c>
      <c r="J151" s="241">
        <f t="shared" si="87"/>
        <v>31</v>
      </c>
      <c r="K151" s="241">
        <f t="shared" si="87"/>
        <v>870</v>
      </c>
      <c r="L151" s="241">
        <f t="shared" si="87"/>
        <v>96</v>
      </c>
      <c r="M151" s="241">
        <f t="shared" si="87"/>
        <v>2070</v>
      </c>
      <c r="N151" s="227"/>
      <c r="O151" s="228">
        <f>F151/G151*C150/D150</f>
        <v>4.2168674698795178E-2</v>
      </c>
      <c r="P151" s="228">
        <f>H151/I151*C150/D150</f>
        <v>8.1081081081081086E-2</v>
      </c>
      <c r="Q151" s="228">
        <f>J151/K151*C150/D150</f>
        <v>3.5632183908045977E-2</v>
      </c>
      <c r="R151" s="228">
        <f>L151/M151*C150/D149</f>
        <v>4.6376811594202899E-2</v>
      </c>
    </row>
    <row r="152" spans="1:18">
      <c r="A152" s="239"/>
      <c r="B152" s="243"/>
      <c r="C152" s="226"/>
      <c r="D152" s="226"/>
      <c r="E152" s="226"/>
      <c r="F152" s="249"/>
      <c r="G152" s="249"/>
      <c r="H152" s="250"/>
      <c r="I152" s="250"/>
      <c r="J152" s="250"/>
      <c r="K152" s="250"/>
      <c r="L152" s="250"/>
      <c r="M152" s="250"/>
      <c r="N152" s="227"/>
      <c r="O152" s="228"/>
      <c r="P152" s="228"/>
      <c r="Q152" s="228"/>
      <c r="R152" s="228"/>
    </row>
    <row r="153" spans="1:18">
      <c r="A153" s="239" t="s">
        <v>344</v>
      </c>
      <c r="B153" s="243" t="s">
        <v>152</v>
      </c>
      <c r="C153" s="84">
        <v>5</v>
      </c>
      <c r="D153" s="84">
        <v>5</v>
      </c>
      <c r="E153" s="226"/>
      <c r="F153" s="241">
        <v>0</v>
      </c>
      <c r="G153" s="241">
        <v>15</v>
      </c>
      <c r="H153" s="217">
        <v>0</v>
      </c>
      <c r="I153" s="217">
        <v>7</v>
      </c>
      <c r="J153" s="241">
        <v>0</v>
      </c>
      <c r="K153" s="241">
        <v>18</v>
      </c>
      <c r="L153" s="217">
        <v>0</v>
      </c>
      <c r="M153" s="217">
        <v>40</v>
      </c>
      <c r="N153" s="227"/>
      <c r="O153" s="228">
        <f t="shared" ref="O153:O154" si="88">F153/G153*C153/D153</f>
        <v>0</v>
      </c>
      <c r="P153" s="228">
        <f t="shared" ref="P153:P154" si="89">H153/I153*C153/D153</f>
        <v>0</v>
      </c>
      <c r="Q153" s="228">
        <f t="shared" ref="Q153:Q154" si="90">J153/K153*C153/D153</f>
        <v>0</v>
      </c>
      <c r="R153" s="228">
        <f t="shared" ref="R153:R154" si="91">L153/M153*C153/D153</f>
        <v>0</v>
      </c>
    </row>
    <row r="154" spans="1:18">
      <c r="A154" s="244" t="s">
        <v>345</v>
      </c>
      <c r="B154" s="245" t="s">
        <v>152</v>
      </c>
      <c r="C154" s="84">
        <v>5</v>
      </c>
      <c r="D154" s="84">
        <v>5</v>
      </c>
      <c r="E154" s="226"/>
      <c r="F154" s="246">
        <v>0</v>
      </c>
      <c r="G154" s="246">
        <v>12</v>
      </c>
      <c r="H154" s="246">
        <v>0</v>
      </c>
      <c r="I154" s="246">
        <v>6</v>
      </c>
      <c r="J154" s="246">
        <v>9</v>
      </c>
      <c r="K154" s="246">
        <v>12</v>
      </c>
      <c r="L154" s="259">
        <v>9</v>
      </c>
      <c r="M154" s="246">
        <v>30</v>
      </c>
      <c r="N154" s="227"/>
      <c r="O154" s="247">
        <f t="shared" si="88"/>
        <v>0</v>
      </c>
      <c r="P154" s="247">
        <f t="shared" si="89"/>
        <v>0</v>
      </c>
      <c r="Q154" s="247">
        <f t="shared" si="90"/>
        <v>0.75</v>
      </c>
      <c r="R154" s="247">
        <f t="shared" si="91"/>
        <v>0.3</v>
      </c>
    </row>
    <row r="155" spans="1:18">
      <c r="A155" s="239"/>
      <c r="B155" s="243"/>
      <c r="C155" s="226"/>
      <c r="D155" s="226"/>
      <c r="E155" s="226"/>
      <c r="F155" s="241">
        <f t="shared" ref="F155:M155" si="92">F153+F154</f>
        <v>0</v>
      </c>
      <c r="G155" s="241">
        <f t="shared" si="92"/>
        <v>27</v>
      </c>
      <c r="H155" s="241">
        <f t="shared" si="92"/>
        <v>0</v>
      </c>
      <c r="I155" s="241">
        <f t="shared" si="92"/>
        <v>13</v>
      </c>
      <c r="J155" s="241">
        <f t="shared" si="92"/>
        <v>9</v>
      </c>
      <c r="K155" s="241">
        <f t="shared" si="92"/>
        <v>30</v>
      </c>
      <c r="L155" s="241">
        <f t="shared" si="92"/>
        <v>9</v>
      </c>
      <c r="M155" s="241">
        <f t="shared" si="92"/>
        <v>70</v>
      </c>
      <c r="N155" s="227"/>
      <c r="O155" s="228">
        <f>F155/G155*C154/D154</f>
        <v>0</v>
      </c>
      <c r="P155" s="228">
        <f>H155/I155*C154/D154</f>
        <v>0</v>
      </c>
      <c r="Q155" s="228">
        <f>J155/K155*C154/D154</f>
        <v>0.3</v>
      </c>
      <c r="R155" s="228">
        <f>L155/M155*C154/D154</f>
        <v>0.12857142857142856</v>
      </c>
    </row>
    <row r="156" spans="1:18">
      <c r="A156" s="239"/>
      <c r="B156" s="243"/>
      <c r="C156" s="226"/>
      <c r="D156" s="226"/>
      <c r="E156" s="226"/>
      <c r="F156" s="241"/>
      <c r="G156" s="241"/>
      <c r="H156" s="217"/>
      <c r="I156" s="217"/>
      <c r="J156" s="217"/>
      <c r="K156" s="217"/>
      <c r="L156" s="217"/>
      <c r="M156" s="217"/>
      <c r="N156" s="227"/>
      <c r="O156" s="228"/>
      <c r="P156" s="228"/>
      <c r="Q156" s="228"/>
      <c r="R156" s="228"/>
    </row>
    <row r="157" spans="1:18">
      <c r="A157" s="239" t="s">
        <v>346</v>
      </c>
      <c r="B157" s="243" t="s">
        <v>153</v>
      </c>
      <c r="C157" s="84">
        <v>8</v>
      </c>
      <c r="D157" s="84">
        <v>6</v>
      </c>
      <c r="E157" s="226"/>
      <c r="F157" s="217">
        <v>0</v>
      </c>
      <c r="G157" s="217">
        <v>50</v>
      </c>
      <c r="H157" s="217">
        <v>0</v>
      </c>
      <c r="I157" s="217">
        <v>20</v>
      </c>
      <c r="J157" s="217">
        <v>53</v>
      </c>
      <c r="K157" s="217">
        <v>45</v>
      </c>
      <c r="L157" s="217">
        <v>53</v>
      </c>
      <c r="M157" s="217">
        <v>115</v>
      </c>
      <c r="N157" s="227"/>
      <c r="O157" s="228">
        <f t="shared" ref="O157:O191" si="93">F157/G157*C157/D157</f>
        <v>0</v>
      </c>
      <c r="P157" s="228">
        <f t="shared" ref="P157:P165" si="94">H157/I157*C157/D157</f>
        <v>0</v>
      </c>
      <c r="Q157" s="228">
        <f t="shared" ref="Q157:Q165" si="95">J157/K157*$C$157/$D$157</f>
        <v>1.5703703703703704</v>
      </c>
      <c r="R157" s="228">
        <f t="shared" ref="R157:R191" si="96">L157/M157*C157/D157</f>
        <v>0.61449275362318845</v>
      </c>
    </row>
    <row r="158" spans="1:18">
      <c r="A158" s="224" t="s">
        <v>347</v>
      </c>
      <c r="B158" s="225" t="s">
        <v>153</v>
      </c>
      <c r="C158" s="84">
        <v>8</v>
      </c>
      <c r="D158" s="84">
        <v>6</v>
      </c>
      <c r="E158" s="226"/>
      <c r="F158" s="217">
        <v>2</v>
      </c>
      <c r="G158" s="217">
        <v>604</v>
      </c>
      <c r="H158" s="217">
        <v>3</v>
      </c>
      <c r="I158" s="217">
        <v>246</v>
      </c>
      <c r="J158" s="217">
        <v>279</v>
      </c>
      <c r="K158" s="217">
        <v>642</v>
      </c>
      <c r="L158" s="217">
        <v>284</v>
      </c>
      <c r="M158" s="217">
        <v>1492</v>
      </c>
      <c r="N158" s="227"/>
      <c r="O158" s="228">
        <f t="shared" si="93"/>
        <v>4.4150110375275938E-3</v>
      </c>
      <c r="P158" s="228">
        <f t="shared" si="94"/>
        <v>1.6260162601626018E-2</v>
      </c>
      <c r="Q158" s="228">
        <f t="shared" si="95"/>
        <v>0.57943925233644855</v>
      </c>
      <c r="R158" s="228">
        <f t="shared" si="96"/>
        <v>0.25379803395889183</v>
      </c>
    </row>
    <row r="159" spans="1:18">
      <c r="A159" s="239" t="s">
        <v>348</v>
      </c>
      <c r="B159" s="243" t="s">
        <v>153</v>
      </c>
      <c r="C159" s="84">
        <v>8</v>
      </c>
      <c r="D159" s="84">
        <v>6</v>
      </c>
      <c r="E159" s="226"/>
      <c r="F159" s="217">
        <v>0</v>
      </c>
      <c r="G159" s="217">
        <v>443</v>
      </c>
      <c r="H159" s="217">
        <v>38</v>
      </c>
      <c r="I159" s="217">
        <v>177</v>
      </c>
      <c r="J159" s="217">
        <v>268</v>
      </c>
      <c r="K159" s="217">
        <v>434</v>
      </c>
      <c r="L159" s="217">
        <v>306</v>
      </c>
      <c r="M159" s="217">
        <v>1054</v>
      </c>
      <c r="N159" s="227"/>
      <c r="O159" s="228">
        <f t="shared" si="93"/>
        <v>0</v>
      </c>
      <c r="P159" s="228">
        <f t="shared" si="94"/>
        <v>0.28625235404896421</v>
      </c>
      <c r="Q159" s="228">
        <f t="shared" si="95"/>
        <v>0.8233486943164362</v>
      </c>
      <c r="R159" s="228">
        <f t="shared" si="96"/>
        <v>0.38709677419354843</v>
      </c>
    </row>
    <row r="160" spans="1:18">
      <c r="A160" s="224" t="s">
        <v>349</v>
      </c>
      <c r="B160" s="225" t="s">
        <v>153</v>
      </c>
      <c r="C160" s="84">
        <v>8</v>
      </c>
      <c r="D160" s="84">
        <v>6</v>
      </c>
      <c r="E160" s="226"/>
      <c r="F160" s="217">
        <v>0</v>
      </c>
      <c r="G160" s="217">
        <v>49</v>
      </c>
      <c r="H160" s="217">
        <v>0</v>
      </c>
      <c r="I160" s="217">
        <v>20</v>
      </c>
      <c r="J160" s="217">
        <v>71</v>
      </c>
      <c r="K160" s="217">
        <v>51</v>
      </c>
      <c r="L160" s="217">
        <v>71</v>
      </c>
      <c r="M160" s="217">
        <v>120</v>
      </c>
      <c r="N160" s="227"/>
      <c r="O160" s="228">
        <f t="shared" si="93"/>
        <v>0</v>
      </c>
      <c r="P160" s="228">
        <f t="shared" si="94"/>
        <v>0</v>
      </c>
      <c r="Q160" s="228">
        <f t="shared" si="95"/>
        <v>1.8562091503267972</v>
      </c>
      <c r="R160" s="228">
        <f t="shared" si="96"/>
        <v>0.78888888888888886</v>
      </c>
    </row>
    <row r="161" spans="1:18">
      <c r="A161" s="239" t="s">
        <v>350</v>
      </c>
      <c r="B161" s="243" t="s">
        <v>153</v>
      </c>
      <c r="C161" s="84">
        <v>8</v>
      </c>
      <c r="D161" s="84">
        <v>6</v>
      </c>
      <c r="E161" s="226"/>
      <c r="F161" s="217">
        <v>0</v>
      </c>
      <c r="G161" s="217">
        <v>32</v>
      </c>
      <c r="H161" s="217">
        <v>0</v>
      </c>
      <c r="I161" s="217">
        <v>14</v>
      </c>
      <c r="J161" s="217">
        <v>4</v>
      </c>
      <c r="K161" s="217">
        <v>34</v>
      </c>
      <c r="L161" s="217">
        <v>4</v>
      </c>
      <c r="M161" s="217">
        <v>80</v>
      </c>
      <c r="N161" s="227"/>
      <c r="O161" s="228">
        <f t="shared" si="93"/>
        <v>0</v>
      </c>
      <c r="P161" s="228">
        <f t="shared" si="94"/>
        <v>0</v>
      </c>
      <c r="Q161" s="228">
        <f t="shared" si="95"/>
        <v>0.15686274509803921</v>
      </c>
      <c r="R161" s="228">
        <f t="shared" si="96"/>
        <v>6.6666666666666666E-2</v>
      </c>
    </row>
    <row r="162" spans="1:18">
      <c r="A162" s="239" t="s">
        <v>351</v>
      </c>
      <c r="B162" s="243" t="s">
        <v>153</v>
      </c>
      <c r="C162" s="84">
        <v>8</v>
      </c>
      <c r="D162" s="84">
        <v>6</v>
      </c>
      <c r="E162" s="226"/>
      <c r="F162" s="217">
        <v>6</v>
      </c>
      <c r="G162" s="217">
        <v>316</v>
      </c>
      <c r="H162" s="217">
        <v>861</v>
      </c>
      <c r="I162" s="217">
        <v>127</v>
      </c>
      <c r="J162" s="217">
        <v>179</v>
      </c>
      <c r="K162" s="217">
        <v>336</v>
      </c>
      <c r="L162" s="217">
        <v>1046</v>
      </c>
      <c r="M162" s="217">
        <v>779</v>
      </c>
      <c r="N162" s="227"/>
      <c r="O162" s="228">
        <f t="shared" si="93"/>
        <v>2.5316455696202531E-2</v>
      </c>
      <c r="P162" s="228">
        <f t="shared" si="94"/>
        <v>9.0393700787401574</v>
      </c>
      <c r="Q162" s="228">
        <f t="shared" si="95"/>
        <v>0.71031746031746035</v>
      </c>
      <c r="R162" s="228">
        <f t="shared" si="96"/>
        <v>1.7903294822421909</v>
      </c>
    </row>
    <row r="163" spans="1:18">
      <c r="A163" s="239" t="s">
        <v>352</v>
      </c>
      <c r="B163" s="243" t="s">
        <v>153</v>
      </c>
      <c r="C163" s="84">
        <v>8</v>
      </c>
      <c r="D163" s="84">
        <v>6</v>
      </c>
      <c r="E163" s="226"/>
      <c r="F163" s="217">
        <v>64</v>
      </c>
      <c r="G163" s="217">
        <v>225</v>
      </c>
      <c r="H163" s="217">
        <v>2</v>
      </c>
      <c r="I163" s="217">
        <v>90</v>
      </c>
      <c r="J163" s="217">
        <v>233</v>
      </c>
      <c r="K163" s="217">
        <v>242</v>
      </c>
      <c r="L163" s="217">
        <v>299</v>
      </c>
      <c r="M163" s="217">
        <v>557</v>
      </c>
      <c r="N163" s="227"/>
      <c r="O163" s="228">
        <f t="shared" si="93"/>
        <v>0.37925925925925924</v>
      </c>
      <c r="P163" s="228">
        <f t="shared" si="94"/>
        <v>2.9629629629629631E-2</v>
      </c>
      <c r="Q163" s="228">
        <f t="shared" si="95"/>
        <v>1.2837465564738293</v>
      </c>
      <c r="R163" s="228">
        <f t="shared" si="96"/>
        <v>0.71573907839617001</v>
      </c>
    </row>
    <row r="164" spans="1:18">
      <c r="A164" s="224" t="s">
        <v>353</v>
      </c>
      <c r="B164" s="225" t="s">
        <v>153</v>
      </c>
      <c r="C164" s="84">
        <v>8</v>
      </c>
      <c r="D164" s="84">
        <v>6</v>
      </c>
      <c r="E164" s="226"/>
      <c r="F164" s="217">
        <v>65</v>
      </c>
      <c r="G164" s="217">
        <v>18</v>
      </c>
      <c r="H164" s="217">
        <v>3</v>
      </c>
      <c r="I164" s="217">
        <v>8</v>
      </c>
      <c r="J164" s="217">
        <v>84</v>
      </c>
      <c r="K164" s="217">
        <v>21</v>
      </c>
      <c r="L164" s="217">
        <v>152</v>
      </c>
      <c r="M164" s="217">
        <v>47</v>
      </c>
      <c r="N164" s="227"/>
      <c r="O164" s="228">
        <f t="shared" si="93"/>
        <v>4.8148148148148149</v>
      </c>
      <c r="P164" s="228">
        <f t="shared" si="94"/>
        <v>0.5</v>
      </c>
      <c r="Q164" s="228">
        <f t="shared" si="95"/>
        <v>5.333333333333333</v>
      </c>
      <c r="R164" s="228">
        <f t="shared" si="96"/>
        <v>4.3120567375886525</v>
      </c>
    </row>
    <row r="165" spans="1:18">
      <c r="A165" s="239" t="s">
        <v>354</v>
      </c>
      <c r="B165" s="243" t="s">
        <v>153</v>
      </c>
      <c r="C165" s="84">
        <v>8</v>
      </c>
      <c r="D165" s="84">
        <v>6</v>
      </c>
      <c r="E165" s="226"/>
      <c r="F165" s="217">
        <v>0</v>
      </c>
      <c r="G165" s="217">
        <v>18</v>
      </c>
      <c r="H165" s="217">
        <v>10</v>
      </c>
      <c r="I165" s="217">
        <v>8</v>
      </c>
      <c r="J165" s="217">
        <v>17</v>
      </c>
      <c r="K165" s="217">
        <v>20</v>
      </c>
      <c r="L165" s="217">
        <v>27</v>
      </c>
      <c r="M165" s="217">
        <v>46</v>
      </c>
      <c r="N165" s="227"/>
      <c r="O165" s="228">
        <f t="shared" si="93"/>
        <v>0</v>
      </c>
      <c r="P165" s="228">
        <f t="shared" si="94"/>
        <v>1.6666666666666667</v>
      </c>
      <c r="Q165" s="228">
        <f t="shared" si="95"/>
        <v>1.1333333333333333</v>
      </c>
      <c r="R165" s="228">
        <f t="shared" si="96"/>
        <v>0.78260869565217395</v>
      </c>
    </row>
    <row r="166" spans="1:18">
      <c r="A166" s="224" t="s">
        <v>355</v>
      </c>
      <c r="B166" s="225" t="s">
        <v>153</v>
      </c>
      <c r="C166" s="84">
        <v>8</v>
      </c>
      <c r="D166" s="84">
        <v>6</v>
      </c>
      <c r="E166" s="226"/>
      <c r="F166" s="217">
        <v>6</v>
      </c>
      <c r="G166" s="217">
        <v>2</v>
      </c>
      <c r="H166" s="217">
        <v>6</v>
      </c>
      <c r="I166" s="217">
        <v>0</v>
      </c>
      <c r="J166" s="217">
        <v>319</v>
      </c>
      <c r="K166" s="217">
        <v>0</v>
      </c>
      <c r="L166" s="217">
        <v>331</v>
      </c>
      <c r="M166" s="217">
        <v>2</v>
      </c>
      <c r="N166" s="227"/>
      <c r="O166" s="228">
        <f t="shared" si="93"/>
        <v>4</v>
      </c>
      <c r="P166" s="260" t="s">
        <v>249</v>
      </c>
      <c r="Q166" s="242" t="s">
        <v>249</v>
      </c>
      <c r="R166" s="228">
        <f t="shared" si="96"/>
        <v>220.66666666666666</v>
      </c>
    </row>
    <row r="167" spans="1:18">
      <c r="A167" s="224" t="s">
        <v>356</v>
      </c>
      <c r="B167" s="225" t="s">
        <v>153</v>
      </c>
      <c r="C167" s="84">
        <v>8</v>
      </c>
      <c r="D167" s="84">
        <v>6</v>
      </c>
      <c r="E167" s="226"/>
      <c r="F167" s="217">
        <v>12</v>
      </c>
      <c r="G167" s="217">
        <v>2</v>
      </c>
      <c r="H167" s="217">
        <v>2</v>
      </c>
      <c r="I167" s="217">
        <v>1</v>
      </c>
      <c r="J167" s="217">
        <v>181</v>
      </c>
      <c r="K167" s="217">
        <v>0</v>
      </c>
      <c r="L167" s="217">
        <v>195</v>
      </c>
      <c r="M167" s="217">
        <v>3</v>
      </c>
      <c r="N167" s="227"/>
      <c r="O167" s="228">
        <f t="shared" si="93"/>
        <v>8</v>
      </c>
      <c r="P167" s="228">
        <f>H167/I167*C167/D167</f>
        <v>2.6666666666666665</v>
      </c>
      <c r="Q167" s="242" t="s">
        <v>249</v>
      </c>
      <c r="R167" s="228">
        <f t="shared" si="96"/>
        <v>86.666666666666671</v>
      </c>
    </row>
    <row r="168" spans="1:18">
      <c r="A168" s="224" t="s">
        <v>357</v>
      </c>
      <c r="B168" s="225" t="s">
        <v>153</v>
      </c>
      <c r="C168" s="84">
        <v>8</v>
      </c>
      <c r="D168" s="84">
        <v>6</v>
      </c>
      <c r="E168" s="226"/>
      <c r="F168" s="217">
        <v>0</v>
      </c>
      <c r="G168" s="217">
        <v>2</v>
      </c>
      <c r="H168" s="217">
        <v>0</v>
      </c>
      <c r="I168" s="217">
        <v>0</v>
      </c>
      <c r="J168" s="217">
        <v>0</v>
      </c>
      <c r="K168" s="217">
        <v>0</v>
      </c>
      <c r="L168" s="217">
        <v>0</v>
      </c>
      <c r="M168" s="217">
        <v>2</v>
      </c>
      <c r="N168" s="227"/>
      <c r="O168" s="228">
        <f t="shared" si="93"/>
        <v>0</v>
      </c>
      <c r="P168" s="260" t="s">
        <v>249</v>
      </c>
      <c r="Q168" s="242" t="s">
        <v>249</v>
      </c>
      <c r="R168" s="228">
        <f t="shared" si="96"/>
        <v>0</v>
      </c>
    </row>
    <row r="169" spans="1:18">
      <c r="A169" s="224" t="s">
        <v>358</v>
      </c>
      <c r="B169" s="225" t="s">
        <v>153</v>
      </c>
      <c r="C169" s="84">
        <v>8</v>
      </c>
      <c r="D169" s="84">
        <v>6</v>
      </c>
      <c r="E169" s="226"/>
      <c r="F169" s="217">
        <v>82</v>
      </c>
      <c r="G169" s="217">
        <v>1107</v>
      </c>
      <c r="H169" s="217">
        <v>17</v>
      </c>
      <c r="I169" s="217">
        <v>443</v>
      </c>
      <c r="J169" s="217">
        <v>413</v>
      </c>
      <c r="K169" s="217">
        <v>1134</v>
      </c>
      <c r="L169" s="217">
        <v>512</v>
      </c>
      <c r="M169" s="217">
        <v>2684</v>
      </c>
      <c r="N169" s="227"/>
      <c r="O169" s="228">
        <f t="shared" si="93"/>
        <v>9.8765432098765427E-2</v>
      </c>
      <c r="P169" s="228">
        <f t="shared" ref="P169:P174" si="97">H169/I169*C169/D169</f>
        <v>5.1166290443942809E-2</v>
      </c>
      <c r="Q169" s="228">
        <f t="shared" ref="Q169:Q174" si="98">J169/K169*$C$157/$D$157</f>
        <v>0.48559670781893005</v>
      </c>
      <c r="R169" s="228">
        <f t="shared" si="96"/>
        <v>0.25434674615002484</v>
      </c>
    </row>
    <row r="170" spans="1:18">
      <c r="A170" s="239" t="s">
        <v>359</v>
      </c>
      <c r="B170" s="243" t="s">
        <v>153</v>
      </c>
      <c r="C170" s="84">
        <v>8</v>
      </c>
      <c r="D170" s="84">
        <v>6</v>
      </c>
      <c r="E170" s="226"/>
      <c r="F170" s="217">
        <v>12</v>
      </c>
      <c r="G170" s="217">
        <v>142</v>
      </c>
      <c r="H170" s="217">
        <v>8</v>
      </c>
      <c r="I170" s="217">
        <v>57</v>
      </c>
      <c r="J170" s="217">
        <v>179</v>
      </c>
      <c r="K170" s="217">
        <v>131</v>
      </c>
      <c r="L170" s="217">
        <v>199</v>
      </c>
      <c r="M170" s="217">
        <v>330</v>
      </c>
      <c r="N170" s="227"/>
      <c r="O170" s="228">
        <f t="shared" si="93"/>
        <v>0.11267605633802817</v>
      </c>
      <c r="P170" s="228">
        <f t="shared" si="97"/>
        <v>0.1871345029239766</v>
      </c>
      <c r="Q170" s="228">
        <f t="shared" si="98"/>
        <v>1.8218829516539439</v>
      </c>
      <c r="R170" s="228">
        <f t="shared" si="96"/>
        <v>0.804040404040404</v>
      </c>
    </row>
    <row r="171" spans="1:18">
      <c r="A171" s="224" t="s">
        <v>360</v>
      </c>
      <c r="B171" s="243" t="s">
        <v>153</v>
      </c>
      <c r="C171" s="84">
        <v>8</v>
      </c>
      <c r="D171" s="84">
        <v>6</v>
      </c>
      <c r="E171" s="226"/>
      <c r="F171" s="217">
        <v>96</v>
      </c>
      <c r="G171" s="217">
        <v>710</v>
      </c>
      <c r="H171" s="217">
        <v>130</v>
      </c>
      <c r="I171" s="217">
        <v>280</v>
      </c>
      <c r="J171" s="217">
        <v>89</v>
      </c>
      <c r="K171" s="217">
        <v>708</v>
      </c>
      <c r="L171" s="217">
        <v>315</v>
      </c>
      <c r="M171" s="217">
        <v>1698</v>
      </c>
      <c r="N171" s="227"/>
      <c r="O171" s="228">
        <f t="shared" si="93"/>
        <v>0.18028169014084505</v>
      </c>
      <c r="P171" s="228">
        <f t="shared" si="97"/>
        <v>0.61904761904761907</v>
      </c>
      <c r="Q171" s="228">
        <f t="shared" si="98"/>
        <v>0.16760828625235405</v>
      </c>
      <c r="R171" s="228">
        <f t="shared" si="96"/>
        <v>0.24734982332155478</v>
      </c>
    </row>
    <row r="172" spans="1:18">
      <c r="A172" s="239" t="s">
        <v>361</v>
      </c>
      <c r="B172" s="243" t="s">
        <v>153</v>
      </c>
      <c r="C172" s="84">
        <v>8</v>
      </c>
      <c r="D172" s="84">
        <v>6</v>
      </c>
      <c r="E172" s="226"/>
      <c r="F172" s="217">
        <v>2</v>
      </c>
      <c r="G172" s="217">
        <v>37</v>
      </c>
      <c r="H172" s="217">
        <v>1</v>
      </c>
      <c r="I172" s="217">
        <v>14</v>
      </c>
      <c r="J172" s="217">
        <v>355</v>
      </c>
      <c r="K172" s="217">
        <v>35</v>
      </c>
      <c r="L172" s="217">
        <v>358</v>
      </c>
      <c r="M172" s="217">
        <v>86</v>
      </c>
      <c r="N172" s="227"/>
      <c r="O172" s="228">
        <f t="shared" si="93"/>
        <v>7.2072072072072071E-2</v>
      </c>
      <c r="P172" s="228">
        <f t="shared" si="97"/>
        <v>9.5238095238095233E-2</v>
      </c>
      <c r="Q172" s="228">
        <f t="shared" si="98"/>
        <v>13.523809523809524</v>
      </c>
      <c r="R172" s="228">
        <f t="shared" si="96"/>
        <v>5.5503875968992249</v>
      </c>
    </row>
    <row r="173" spans="1:18">
      <c r="A173" s="239" t="s">
        <v>362</v>
      </c>
      <c r="B173" s="243" t="s">
        <v>153</v>
      </c>
      <c r="C173" s="84">
        <v>8</v>
      </c>
      <c r="D173" s="84">
        <v>6</v>
      </c>
      <c r="E173" s="226"/>
      <c r="F173" s="217">
        <v>5</v>
      </c>
      <c r="G173" s="217">
        <v>157</v>
      </c>
      <c r="H173" s="217">
        <v>41</v>
      </c>
      <c r="I173" s="217">
        <v>64</v>
      </c>
      <c r="J173" s="217">
        <v>389</v>
      </c>
      <c r="K173" s="217">
        <v>152</v>
      </c>
      <c r="L173" s="217">
        <v>435</v>
      </c>
      <c r="M173" s="217">
        <v>373</v>
      </c>
      <c r="N173" s="227"/>
      <c r="O173" s="228">
        <f t="shared" si="93"/>
        <v>4.2462845010615709E-2</v>
      </c>
      <c r="P173" s="228">
        <f t="shared" si="97"/>
        <v>0.85416666666666663</v>
      </c>
      <c r="Q173" s="228">
        <f t="shared" si="98"/>
        <v>3.4122807017543857</v>
      </c>
      <c r="R173" s="228">
        <f t="shared" si="96"/>
        <v>1.5549597855227884</v>
      </c>
    </row>
    <row r="174" spans="1:18">
      <c r="A174" s="239" t="s">
        <v>363</v>
      </c>
      <c r="B174" s="243" t="s">
        <v>153</v>
      </c>
      <c r="C174" s="84">
        <v>8</v>
      </c>
      <c r="D174" s="84">
        <v>6</v>
      </c>
      <c r="E174" s="226"/>
      <c r="F174" s="217">
        <v>0</v>
      </c>
      <c r="G174" s="217">
        <v>19</v>
      </c>
      <c r="H174" s="217">
        <v>0</v>
      </c>
      <c r="I174" s="217">
        <v>7</v>
      </c>
      <c r="J174" s="217">
        <v>0</v>
      </c>
      <c r="K174" s="217">
        <v>20</v>
      </c>
      <c r="L174" s="217">
        <v>0</v>
      </c>
      <c r="M174" s="217">
        <v>46</v>
      </c>
      <c r="N174" s="227"/>
      <c r="O174" s="228">
        <f t="shared" si="93"/>
        <v>0</v>
      </c>
      <c r="P174" s="228">
        <f t="shared" si="97"/>
        <v>0</v>
      </c>
      <c r="Q174" s="228">
        <f t="shared" si="98"/>
        <v>0</v>
      </c>
      <c r="R174" s="228">
        <f t="shared" si="96"/>
        <v>0</v>
      </c>
    </row>
    <row r="175" spans="1:18">
      <c r="A175" s="239" t="s">
        <v>364</v>
      </c>
      <c r="B175" s="243" t="s">
        <v>153</v>
      </c>
      <c r="C175" s="84">
        <v>8</v>
      </c>
      <c r="D175" s="84">
        <v>6</v>
      </c>
      <c r="E175" s="226"/>
      <c r="F175" s="217">
        <v>0</v>
      </c>
      <c r="G175" s="217">
        <v>2</v>
      </c>
      <c r="H175" s="217">
        <v>0</v>
      </c>
      <c r="I175" s="217">
        <v>0</v>
      </c>
      <c r="J175" s="217">
        <v>73</v>
      </c>
      <c r="K175" s="217">
        <v>0</v>
      </c>
      <c r="L175" s="217">
        <v>73</v>
      </c>
      <c r="M175" s="217">
        <v>2</v>
      </c>
      <c r="N175" s="227"/>
      <c r="O175" s="228">
        <f t="shared" si="93"/>
        <v>0</v>
      </c>
      <c r="P175" s="260" t="s">
        <v>249</v>
      </c>
      <c r="Q175" s="242" t="s">
        <v>249</v>
      </c>
      <c r="R175" s="228">
        <f t="shared" si="96"/>
        <v>48.666666666666664</v>
      </c>
    </row>
    <row r="176" spans="1:18">
      <c r="A176" s="239" t="s">
        <v>365</v>
      </c>
      <c r="B176" s="243" t="s">
        <v>153</v>
      </c>
      <c r="C176" s="84">
        <v>8</v>
      </c>
      <c r="D176" s="84">
        <v>6</v>
      </c>
      <c r="E176" s="226"/>
      <c r="F176" s="217">
        <v>0</v>
      </c>
      <c r="G176" s="217">
        <v>95</v>
      </c>
      <c r="H176" s="217">
        <v>0</v>
      </c>
      <c r="I176" s="217">
        <v>38</v>
      </c>
      <c r="J176" s="217">
        <v>16</v>
      </c>
      <c r="K176" s="217">
        <v>97</v>
      </c>
      <c r="L176" s="217">
        <v>16</v>
      </c>
      <c r="M176" s="217">
        <v>230</v>
      </c>
      <c r="N176" s="227"/>
      <c r="O176" s="228">
        <f t="shared" si="93"/>
        <v>0</v>
      </c>
      <c r="P176" s="228">
        <f t="shared" ref="P176:P188" si="99">H176/I176*C176/D176</f>
        <v>0</v>
      </c>
      <c r="Q176" s="228">
        <f t="shared" ref="Q176:Q188" si="100">J176/K176*$C$157/$D$157</f>
        <v>0.21993127147766323</v>
      </c>
      <c r="R176" s="228">
        <f t="shared" si="96"/>
        <v>9.2753623188405798E-2</v>
      </c>
    </row>
    <row r="177" spans="1:18">
      <c r="A177" s="224" t="s">
        <v>366</v>
      </c>
      <c r="B177" s="225" t="s">
        <v>153</v>
      </c>
      <c r="C177" s="84">
        <v>8</v>
      </c>
      <c r="D177" s="84">
        <v>6</v>
      </c>
      <c r="E177" s="226"/>
      <c r="F177" s="217">
        <v>2</v>
      </c>
      <c r="G177" s="217">
        <v>126</v>
      </c>
      <c r="H177" s="217">
        <v>0</v>
      </c>
      <c r="I177" s="217">
        <v>51</v>
      </c>
      <c r="J177" s="217">
        <v>10</v>
      </c>
      <c r="K177" s="217">
        <v>141</v>
      </c>
      <c r="L177" s="217">
        <v>12</v>
      </c>
      <c r="M177" s="217">
        <v>318</v>
      </c>
      <c r="N177" s="227"/>
      <c r="O177" s="228">
        <f t="shared" si="93"/>
        <v>2.1164021164021163E-2</v>
      </c>
      <c r="P177" s="228">
        <f t="shared" si="99"/>
        <v>0</v>
      </c>
      <c r="Q177" s="228">
        <f t="shared" si="100"/>
        <v>9.4562647754137127E-2</v>
      </c>
      <c r="R177" s="228">
        <f t="shared" si="96"/>
        <v>5.0314465408805027E-2</v>
      </c>
    </row>
    <row r="178" spans="1:18">
      <c r="A178" s="239" t="s">
        <v>367</v>
      </c>
      <c r="B178" s="243" t="s">
        <v>153</v>
      </c>
      <c r="C178" s="84">
        <v>8</v>
      </c>
      <c r="D178" s="84">
        <v>6</v>
      </c>
      <c r="E178" s="226"/>
      <c r="F178" s="217">
        <v>10</v>
      </c>
      <c r="G178" s="217">
        <v>77</v>
      </c>
      <c r="H178" s="217">
        <v>4</v>
      </c>
      <c r="I178" s="217">
        <v>31</v>
      </c>
      <c r="J178" s="217">
        <v>417</v>
      </c>
      <c r="K178" s="217">
        <v>77</v>
      </c>
      <c r="L178" s="217">
        <v>431</v>
      </c>
      <c r="M178" s="217">
        <v>185</v>
      </c>
      <c r="N178" s="227"/>
      <c r="O178" s="228">
        <f t="shared" si="93"/>
        <v>0.17316017316017315</v>
      </c>
      <c r="P178" s="228">
        <f t="shared" si="99"/>
        <v>0.17204301075268816</v>
      </c>
      <c r="Q178" s="228">
        <f t="shared" si="100"/>
        <v>7.220779220779221</v>
      </c>
      <c r="R178" s="228">
        <f t="shared" si="96"/>
        <v>3.1063063063063066</v>
      </c>
    </row>
    <row r="179" spans="1:18">
      <c r="A179" s="239" t="s">
        <v>368</v>
      </c>
      <c r="B179" s="243" t="s">
        <v>153</v>
      </c>
      <c r="C179" s="84">
        <v>8</v>
      </c>
      <c r="D179" s="84">
        <v>6</v>
      </c>
      <c r="E179" s="226"/>
      <c r="F179" s="217">
        <v>6</v>
      </c>
      <c r="G179" s="217">
        <v>490</v>
      </c>
      <c r="H179" s="217">
        <v>0</v>
      </c>
      <c r="I179" s="217">
        <v>190</v>
      </c>
      <c r="J179" s="217">
        <v>309</v>
      </c>
      <c r="K179" s="217">
        <v>466</v>
      </c>
      <c r="L179" s="217">
        <v>315</v>
      </c>
      <c r="M179" s="217">
        <v>1146</v>
      </c>
      <c r="N179" s="227"/>
      <c r="O179" s="228">
        <f t="shared" si="93"/>
        <v>1.6326530612244896E-2</v>
      </c>
      <c r="P179" s="228">
        <f t="shared" si="99"/>
        <v>0</v>
      </c>
      <c r="Q179" s="228">
        <f t="shared" si="100"/>
        <v>0.88412017167381973</v>
      </c>
      <c r="R179" s="228">
        <f t="shared" si="96"/>
        <v>0.36649214659685864</v>
      </c>
    </row>
    <row r="180" spans="1:18">
      <c r="A180" s="239" t="s">
        <v>369</v>
      </c>
      <c r="B180" s="240" t="s">
        <v>153</v>
      </c>
      <c r="C180" s="84">
        <v>8</v>
      </c>
      <c r="D180" s="84">
        <v>6</v>
      </c>
      <c r="E180" s="226"/>
      <c r="F180" s="217">
        <v>6</v>
      </c>
      <c r="G180" s="217">
        <v>333</v>
      </c>
      <c r="H180" s="217">
        <v>70</v>
      </c>
      <c r="I180" s="217">
        <v>135</v>
      </c>
      <c r="J180" s="217">
        <v>332</v>
      </c>
      <c r="K180" s="217">
        <v>346</v>
      </c>
      <c r="L180" s="217">
        <v>408</v>
      </c>
      <c r="M180" s="217">
        <v>814</v>
      </c>
      <c r="N180" s="227"/>
      <c r="O180" s="228">
        <f t="shared" si="93"/>
        <v>2.4024024024024024E-2</v>
      </c>
      <c r="P180" s="228">
        <f t="shared" si="99"/>
        <v>0.69135802469135799</v>
      </c>
      <c r="Q180" s="228">
        <f t="shared" si="100"/>
        <v>1.2793834296724469</v>
      </c>
      <c r="R180" s="228">
        <f t="shared" si="96"/>
        <v>0.66830466830466839</v>
      </c>
    </row>
    <row r="181" spans="1:18">
      <c r="A181" s="224" t="s">
        <v>370</v>
      </c>
      <c r="B181" s="225" t="s">
        <v>153</v>
      </c>
      <c r="C181" s="84">
        <v>8</v>
      </c>
      <c r="D181" s="84">
        <v>6</v>
      </c>
      <c r="E181" s="226"/>
      <c r="F181" s="217">
        <v>49</v>
      </c>
      <c r="G181" s="217">
        <v>140</v>
      </c>
      <c r="H181" s="217">
        <v>3</v>
      </c>
      <c r="I181" s="217">
        <v>55</v>
      </c>
      <c r="J181" s="217">
        <v>205</v>
      </c>
      <c r="K181" s="217">
        <v>142</v>
      </c>
      <c r="L181" s="217">
        <v>257</v>
      </c>
      <c r="M181" s="217">
        <v>337</v>
      </c>
      <c r="N181" s="227"/>
      <c r="O181" s="228">
        <f t="shared" si="93"/>
        <v>0.46666666666666662</v>
      </c>
      <c r="P181" s="228">
        <f t="shared" si="99"/>
        <v>7.2727272727272724E-2</v>
      </c>
      <c r="Q181" s="228">
        <f t="shared" si="100"/>
        <v>1.9248826291079812</v>
      </c>
      <c r="R181" s="228">
        <f t="shared" si="96"/>
        <v>1.0168150346191889</v>
      </c>
    </row>
    <row r="182" spans="1:18">
      <c r="A182" s="239" t="s">
        <v>371</v>
      </c>
      <c r="B182" s="243" t="s">
        <v>153</v>
      </c>
      <c r="C182" s="84">
        <v>8</v>
      </c>
      <c r="D182" s="84">
        <v>6</v>
      </c>
      <c r="E182" s="226"/>
      <c r="F182" s="217">
        <v>277</v>
      </c>
      <c r="G182" s="217">
        <v>844</v>
      </c>
      <c r="H182" s="217">
        <v>2</v>
      </c>
      <c r="I182" s="217">
        <v>352</v>
      </c>
      <c r="J182" s="217">
        <v>648</v>
      </c>
      <c r="K182" s="217">
        <v>946</v>
      </c>
      <c r="L182" s="217">
        <v>927</v>
      </c>
      <c r="M182" s="217">
        <v>2142</v>
      </c>
      <c r="N182" s="227"/>
      <c r="O182" s="228">
        <f t="shared" si="93"/>
        <v>0.43759873617693518</v>
      </c>
      <c r="P182" s="228">
        <f t="shared" si="99"/>
        <v>7.575757575757576E-3</v>
      </c>
      <c r="Q182" s="228">
        <f t="shared" si="100"/>
        <v>0.91331923890063427</v>
      </c>
      <c r="R182" s="228">
        <f t="shared" si="96"/>
        <v>0.57703081232493003</v>
      </c>
    </row>
    <row r="183" spans="1:18">
      <c r="A183" s="239" t="s">
        <v>372</v>
      </c>
      <c r="B183" s="243" t="s">
        <v>153</v>
      </c>
      <c r="C183" s="84">
        <v>8</v>
      </c>
      <c r="D183" s="84">
        <v>6</v>
      </c>
      <c r="E183" s="226"/>
      <c r="F183" s="217">
        <v>6</v>
      </c>
      <c r="G183" s="217">
        <v>29</v>
      </c>
      <c r="H183" s="217">
        <v>0</v>
      </c>
      <c r="I183" s="217">
        <v>12</v>
      </c>
      <c r="J183" s="217">
        <v>58</v>
      </c>
      <c r="K183" s="217">
        <v>28</v>
      </c>
      <c r="L183" s="217">
        <v>64</v>
      </c>
      <c r="M183" s="217">
        <v>69</v>
      </c>
      <c r="N183" s="227"/>
      <c r="O183" s="228">
        <f t="shared" si="93"/>
        <v>0.27586206896551724</v>
      </c>
      <c r="P183" s="228">
        <f t="shared" si="99"/>
        <v>0</v>
      </c>
      <c r="Q183" s="228">
        <f t="shared" si="100"/>
        <v>2.7619047619047623</v>
      </c>
      <c r="R183" s="228">
        <f t="shared" si="96"/>
        <v>1.2367149758454106</v>
      </c>
    </row>
    <row r="184" spans="1:18">
      <c r="A184" s="239" t="s">
        <v>373</v>
      </c>
      <c r="B184" s="243" t="s">
        <v>153</v>
      </c>
      <c r="C184" s="84">
        <v>8</v>
      </c>
      <c r="D184" s="84">
        <v>6</v>
      </c>
      <c r="E184" s="226"/>
      <c r="F184" s="217">
        <v>0</v>
      </c>
      <c r="G184" s="217">
        <v>158</v>
      </c>
      <c r="H184" s="217">
        <v>54</v>
      </c>
      <c r="I184" s="217">
        <v>66</v>
      </c>
      <c r="J184" s="217">
        <v>345</v>
      </c>
      <c r="K184" s="217">
        <v>173</v>
      </c>
      <c r="L184" s="217">
        <v>399</v>
      </c>
      <c r="M184" s="217">
        <v>397</v>
      </c>
      <c r="N184" s="227"/>
      <c r="O184" s="228">
        <f t="shared" si="93"/>
        <v>0</v>
      </c>
      <c r="P184" s="228">
        <f t="shared" si="99"/>
        <v>1.0909090909090911</v>
      </c>
      <c r="Q184" s="228">
        <f t="shared" si="100"/>
        <v>2.6589595375722541</v>
      </c>
      <c r="R184" s="228">
        <f t="shared" si="96"/>
        <v>1.3400503778337531</v>
      </c>
    </row>
    <row r="185" spans="1:18">
      <c r="A185" s="239" t="s">
        <v>374</v>
      </c>
      <c r="B185" s="243" t="s">
        <v>153</v>
      </c>
      <c r="C185" s="84">
        <v>8</v>
      </c>
      <c r="D185" s="84">
        <v>6</v>
      </c>
      <c r="E185" s="226"/>
      <c r="F185" s="217">
        <v>189</v>
      </c>
      <c r="G185" s="217">
        <v>818</v>
      </c>
      <c r="H185" s="217">
        <v>1</v>
      </c>
      <c r="I185" s="217">
        <v>337</v>
      </c>
      <c r="J185" s="217">
        <v>3404</v>
      </c>
      <c r="K185" s="217">
        <v>862</v>
      </c>
      <c r="L185" s="217">
        <v>3594</v>
      </c>
      <c r="M185" s="217">
        <v>2017</v>
      </c>
      <c r="N185" s="227"/>
      <c r="O185" s="228">
        <f t="shared" si="93"/>
        <v>0.30806845965770174</v>
      </c>
      <c r="P185" s="228">
        <f t="shared" si="99"/>
        <v>3.956478733926805E-3</v>
      </c>
      <c r="Q185" s="228">
        <f t="shared" si="100"/>
        <v>5.2652745552977569</v>
      </c>
      <c r="R185" s="228">
        <f t="shared" si="96"/>
        <v>2.3758056519583541</v>
      </c>
    </row>
    <row r="186" spans="1:18">
      <c r="A186" s="239" t="s">
        <v>375</v>
      </c>
      <c r="B186" s="243" t="s">
        <v>153</v>
      </c>
      <c r="C186" s="84">
        <v>8</v>
      </c>
      <c r="D186" s="84">
        <v>6</v>
      </c>
      <c r="E186" s="226"/>
      <c r="F186" s="217">
        <v>0</v>
      </c>
      <c r="G186" s="241">
        <v>287</v>
      </c>
      <c r="H186" s="217">
        <v>0</v>
      </c>
      <c r="I186" s="241">
        <v>115</v>
      </c>
      <c r="J186" s="217">
        <v>576</v>
      </c>
      <c r="K186" s="241">
        <v>284</v>
      </c>
      <c r="L186" s="217">
        <v>576</v>
      </c>
      <c r="M186" s="261">
        <v>686</v>
      </c>
      <c r="N186" s="227"/>
      <c r="O186" s="228">
        <f t="shared" si="93"/>
        <v>0</v>
      </c>
      <c r="P186" s="228">
        <f t="shared" si="99"/>
        <v>0</v>
      </c>
      <c r="Q186" s="228">
        <f t="shared" si="100"/>
        <v>2.704225352112676</v>
      </c>
      <c r="R186" s="228">
        <f t="shared" si="96"/>
        <v>1.119533527696793</v>
      </c>
    </row>
    <row r="187" spans="1:18">
      <c r="A187" s="239" t="s">
        <v>376</v>
      </c>
      <c r="B187" s="243" t="s">
        <v>153</v>
      </c>
      <c r="C187" s="84">
        <v>8</v>
      </c>
      <c r="D187" s="84">
        <v>6</v>
      </c>
      <c r="E187" s="226"/>
      <c r="F187" s="217">
        <v>0</v>
      </c>
      <c r="G187" s="217">
        <v>51</v>
      </c>
      <c r="H187" s="217">
        <v>0</v>
      </c>
      <c r="I187" s="217">
        <v>21</v>
      </c>
      <c r="J187" s="217">
        <v>4</v>
      </c>
      <c r="K187" s="217">
        <v>57</v>
      </c>
      <c r="L187" s="217">
        <v>4</v>
      </c>
      <c r="M187" s="217">
        <v>129</v>
      </c>
      <c r="N187" s="227"/>
      <c r="O187" s="228">
        <f t="shared" si="93"/>
        <v>0</v>
      </c>
      <c r="P187" s="228">
        <f t="shared" si="99"/>
        <v>0</v>
      </c>
      <c r="Q187" s="228">
        <f t="shared" si="100"/>
        <v>9.3567251461988299E-2</v>
      </c>
      <c r="R187" s="228">
        <f t="shared" si="96"/>
        <v>4.1343669250645997E-2</v>
      </c>
    </row>
    <row r="188" spans="1:18">
      <c r="A188" s="224" t="s">
        <v>377</v>
      </c>
      <c r="B188" s="225" t="s">
        <v>153</v>
      </c>
      <c r="C188" s="84">
        <v>8</v>
      </c>
      <c r="D188" s="84">
        <v>6</v>
      </c>
      <c r="E188" s="226"/>
      <c r="F188" s="217">
        <v>136</v>
      </c>
      <c r="G188" s="217">
        <v>271</v>
      </c>
      <c r="H188" s="217">
        <v>55</v>
      </c>
      <c r="I188" s="217">
        <v>112</v>
      </c>
      <c r="J188" s="217">
        <v>643</v>
      </c>
      <c r="K188" s="217">
        <v>300</v>
      </c>
      <c r="L188" s="217">
        <v>834</v>
      </c>
      <c r="M188" s="217">
        <v>683</v>
      </c>
      <c r="N188" s="227"/>
      <c r="O188" s="228">
        <f t="shared" si="93"/>
        <v>0.6691266912669126</v>
      </c>
      <c r="P188" s="228">
        <f t="shared" si="99"/>
        <v>0.65476190476190477</v>
      </c>
      <c r="Q188" s="228">
        <f t="shared" si="100"/>
        <v>2.8577777777777782</v>
      </c>
      <c r="R188" s="228">
        <f t="shared" si="96"/>
        <v>1.6281112737920937</v>
      </c>
    </row>
    <row r="189" spans="1:18">
      <c r="A189" s="224" t="s">
        <v>378</v>
      </c>
      <c r="B189" s="225" t="s">
        <v>153</v>
      </c>
      <c r="C189" s="84">
        <v>8</v>
      </c>
      <c r="D189" s="84">
        <v>6</v>
      </c>
      <c r="E189" s="226"/>
      <c r="F189" s="217">
        <v>0</v>
      </c>
      <c r="G189" s="217">
        <v>2</v>
      </c>
      <c r="H189" s="217">
        <v>1</v>
      </c>
      <c r="I189" s="217">
        <v>0</v>
      </c>
      <c r="J189" s="217">
        <v>10</v>
      </c>
      <c r="K189" s="217">
        <v>0</v>
      </c>
      <c r="L189" s="217">
        <v>11</v>
      </c>
      <c r="M189" s="217">
        <v>2</v>
      </c>
      <c r="N189" s="227"/>
      <c r="O189" s="228">
        <f t="shared" si="93"/>
        <v>0</v>
      </c>
      <c r="P189" s="260" t="s">
        <v>249</v>
      </c>
      <c r="Q189" s="242" t="s">
        <v>249</v>
      </c>
      <c r="R189" s="228">
        <f t="shared" si="96"/>
        <v>7.333333333333333</v>
      </c>
    </row>
    <row r="190" spans="1:18">
      <c r="A190" s="239" t="s">
        <v>379</v>
      </c>
      <c r="B190" s="243" t="s">
        <v>153</v>
      </c>
      <c r="C190" s="84">
        <v>8</v>
      </c>
      <c r="D190" s="84">
        <v>6</v>
      </c>
      <c r="E190" s="226"/>
      <c r="F190" s="217">
        <v>0</v>
      </c>
      <c r="G190" s="217">
        <v>8</v>
      </c>
      <c r="H190" s="241">
        <v>0</v>
      </c>
      <c r="I190" s="217">
        <v>3</v>
      </c>
      <c r="J190" s="241">
        <v>0</v>
      </c>
      <c r="K190" s="217">
        <v>7</v>
      </c>
      <c r="L190" s="217">
        <v>0</v>
      </c>
      <c r="M190" s="217">
        <v>18</v>
      </c>
      <c r="N190" s="227"/>
      <c r="O190" s="228">
        <f t="shared" si="93"/>
        <v>0</v>
      </c>
      <c r="P190" s="228">
        <f t="shared" ref="P190:P191" si="101">H190/I190*C190/D190</f>
        <v>0</v>
      </c>
      <c r="Q190" s="228">
        <f t="shared" ref="Q190:Q191" si="102">J190/K190*$C$157/$D$157</f>
        <v>0</v>
      </c>
      <c r="R190" s="228">
        <f t="shared" si="96"/>
        <v>0</v>
      </c>
    </row>
    <row r="191" spans="1:18">
      <c r="A191" s="224" t="s">
        <v>380</v>
      </c>
      <c r="B191" s="225" t="s">
        <v>153</v>
      </c>
      <c r="C191" s="84">
        <v>8</v>
      </c>
      <c r="D191" s="84">
        <v>6</v>
      </c>
      <c r="E191" s="226"/>
      <c r="F191" s="241">
        <v>0</v>
      </c>
      <c r="G191" s="241">
        <v>344</v>
      </c>
      <c r="H191" s="217">
        <v>0</v>
      </c>
      <c r="I191" s="217">
        <v>149</v>
      </c>
      <c r="J191" s="241">
        <v>0</v>
      </c>
      <c r="K191" s="241">
        <v>402</v>
      </c>
      <c r="L191" s="217">
        <v>0</v>
      </c>
      <c r="M191" s="217">
        <v>895</v>
      </c>
      <c r="N191" s="227"/>
      <c r="O191" s="228">
        <f t="shared" si="93"/>
        <v>0</v>
      </c>
      <c r="P191" s="228">
        <f t="shared" si="101"/>
        <v>0</v>
      </c>
      <c r="Q191" s="228">
        <f t="shared" si="102"/>
        <v>0</v>
      </c>
      <c r="R191" s="228">
        <f t="shared" si="96"/>
        <v>0</v>
      </c>
    </row>
    <row r="192" spans="1:18">
      <c r="A192" s="239" t="s">
        <v>381</v>
      </c>
      <c r="B192" s="243" t="s">
        <v>153</v>
      </c>
      <c r="C192" s="84">
        <v>8</v>
      </c>
      <c r="D192" s="84">
        <v>6</v>
      </c>
      <c r="E192" s="226"/>
      <c r="F192" s="217">
        <v>0</v>
      </c>
      <c r="G192" s="217">
        <v>0</v>
      </c>
      <c r="H192" s="217">
        <v>0</v>
      </c>
      <c r="I192" s="217">
        <v>0</v>
      </c>
      <c r="J192" s="217">
        <v>0</v>
      </c>
      <c r="K192" s="217">
        <v>0</v>
      </c>
      <c r="L192" s="217">
        <v>0</v>
      </c>
      <c r="M192" s="217">
        <v>0</v>
      </c>
      <c r="N192" s="227"/>
      <c r="O192" s="242" t="s">
        <v>249</v>
      </c>
      <c r="P192" s="242" t="s">
        <v>249</v>
      </c>
      <c r="Q192" s="242" t="s">
        <v>249</v>
      </c>
      <c r="R192" s="242" t="s">
        <v>249</v>
      </c>
    </row>
    <row r="193" spans="1:18">
      <c r="A193" s="239" t="s">
        <v>382</v>
      </c>
      <c r="B193" s="243" t="s">
        <v>153</v>
      </c>
      <c r="C193" s="84">
        <v>8</v>
      </c>
      <c r="D193" s="84">
        <v>6</v>
      </c>
      <c r="E193" s="226"/>
      <c r="F193" s="217">
        <v>40</v>
      </c>
      <c r="G193" s="217">
        <v>400</v>
      </c>
      <c r="H193" s="217">
        <v>0</v>
      </c>
      <c r="I193" s="217">
        <v>167</v>
      </c>
      <c r="J193" s="217">
        <v>33</v>
      </c>
      <c r="K193" s="217">
        <v>446</v>
      </c>
      <c r="L193" s="217">
        <v>73</v>
      </c>
      <c r="M193" s="217">
        <v>1013</v>
      </c>
      <c r="N193" s="227"/>
      <c r="O193" s="228">
        <f t="shared" ref="O193:O244" si="103">F193/G193*C193/D193</f>
        <v>0.13333333333333333</v>
      </c>
      <c r="P193" s="228">
        <f t="shared" ref="P193:P207" si="104">H193/I193*C193/D193</f>
        <v>0</v>
      </c>
      <c r="Q193" s="228">
        <f t="shared" ref="Q193:Q207" si="105">J193/K193*$C$157/$D$157</f>
        <v>9.8654708520179379E-2</v>
      </c>
      <c r="R193" s="228">
        <f t="shared" ref="R193:R207" si="106">L193/M193*C193/D193</f>
        <v>9.6084238236261929E-2</v>
      </c>
    </row>
    <row r="194" spans="1:18">
      <c r="A194" s="239" t="s">
        <v>383</v>
      </c>
      <c r="B194" s="243" t="s">
        <v>153</v>
      </c>
      <c r="C194" s="84">
        <v>8</v>
      </c>
      <c r="D194" s="84">
        <v>6</v>
      </c>
      <c r="E194" s="226"/>
      <c r="F194" s="217">
        <v>9</v>
      </c>
      <c r="G194" s="217">
        <v>6</v>
      </c>
      <c r="H194" s="217">
        <v>4</v>
      </c>
      <c r="I194" s="217">
        <v>2</v>
      </c>
      <c r="J194" s="217">
        <v>0</v>
      </c>
      <c r="K194" s="217">
        <v>7</v>
      </c>
      <c r="L194" s="217">
        <v>13</v>
      </c>
      <c r="M194" s="217">
        <v>15</v>
      </c>
      <c r="N194" s="227"/>
      <c r="O194" s="228">
        <f t="shared" si="103"/>
        <v>2</v>
      </c>
      <c r="P194" s="228">
        <f t="shared" si="104"/>
        <v>2.6666666666666665</v>
      </c>
      <c r="Q194" s="228">
        <f t="shared" si="105"/>
        <v>0</v>
      </c>
      <c r="R194" s="228">
        <f t="shared" si="106"/>
        <v>1.1555555555555557</v>
      </c>
    </row>
    <row r="195" spans="1:18">
      <c r="A195" s="239" t="s">
        <v>384</v>
      </c>
      <c r="B195" s="243" t="s">
        <v>153</v>
      </c>
      <c r="C195" s="84">
        <v>8</v>
      </c>
      <c r="D195" s="84">
        <v>6</v>
      </c>
      <c r="E195" s="226"/>
      <c r="F195" s="217">
        <v>0</v>
      </c>
      <c r="G195" s="217">
        <v>48</v>
      </c>
      <c r="H195" s="217">
        <v>0</v>
      </c>
      <c r="I195" s="217">
        <v>20</v>
      </c>
      <c r="J195" s="217">
        <v>61</v>
      </c>
      <c r="K195" s="217">
        <v>44</v>
      </c>
      <c r="L195" s="217">
        <v>61</v>
      </c>
      <c r="M195" s="217">
        <v>112</v>
      </c>
      <c r="N195" s="227"/>
      <c r="O195" s="228">
        <f t="shared" si="103"/>
        <v>0</v>
      </c>
      <c r="P195" s="228">
        <f t="shared" si="104"/>
        <v>0</v>
      </c>
      <c r="Q195" s="228">
        <f t="shared" si="105"/>
        <v>1.8484848484848486</v>
      </c>
      <c r="R195" s="228">
        <f t="shared" si="106"/>
        <v>0.72619047619047616</v>
      </c>
    </row>
    <row r="196" spans="1:18">
      <c r="A196" s="239" t="s">
        <v>385</v>
      </c>
      <c r="B196" s="243" t="s">
        <v>153</v>
      </c>
      <c r="C196" s="84">
        <v>8</v>
      </c>
      <c r="D196" s="84">
        <v>6</v>
      </c>
      <c r="E196" s="226"/>
      <c r="F196" s="217">
        <v>0</v>
      </c>
      <c r="G196" s="217">
        <v>51</v>
      </c>
      <c r="H196" s="217">
        <v>0</v>
      </c>
      <c r="I196" s="217">
        <v>21</v>
      </c>
      <c r="J196" s="217">
        <v>2</v>
      </c>
      <c r="K196" s="217">
        <v>47</v>
      </c>
      <c r="L196" s="217">
        <v>2</v>
      </c>
      <c r="M196" s="217">
        <v>119</v>
      </c>
      <c r="N196" s="227"/>
      <c r="O196" s="228">
        <f t="shared" si="103"/>
        <v>0</v>
      </c>
      <c r="P196" s="228">
        <f t="shared" si="104"/>
        <v>0</v>
      </c>
      <c r="Q196" s="228">
        <f t="shared" si="105"/>
        <v>5.6737588652482268E-2</v>
      </c>
      <c r="R196" s="228">
        <f t="shared" si="106"/>
        <v>2.2408963585434174E-2</v>
      </c>
    </row>
    <row r="197" spans="1:18">
      <c r="A197" s="239" t="s">
        <v>386</v>
      </c>
      <c r="B197" s="243" t="s">
        <v>153</v>
      </c>
      <c r="C197" s="84">
        <v>8</v>
      </c>
      <c r="D197" s="84">
        <v>6</v>
      </c>
      <c r="E197" s="226"/>
      <c r="F197" s="217">
        <v>0</v>
      </c>
      <c r="G197" s="217">
        <v>99</v>
      </c>
      <c r="H197" s="217">
        <v>1</v>
      </c>
      <c r="I197" s="217">
        <v>40</v>
      </c>
      <c r="J197" s="217">
        <v>31</v>
      </c>
      <c r="K197" s="217">
        <v>96</v>
      </c>
      <c r="L197" s="217">
        <v>32</v>
      </c>
      <c r="M197" s="217">
        <v>235</v>
      </c>
      <c r="N197" s="227"/>
      <c r="O197" s="228">
        <f t="shared" si="103"/>
        <v>0</v>
      </c>
      <c r="P197" s="228">
        <f t="shared" si="104"/>
        <v>3.3333333333333333E-2</v>
      </c>
      <c r="Q197" s="228">
        <f t="shared" si="105"/>
        <v>0.43055555555555558</v>
      </c>
      <c r="R197" s="228">
        <f t="shared" si="106"/>
        <v>0.18156028368794327</v>
      </c>
    </row>
    <row r="198" spans="1:18">
      <c r="A198" s="239" t="s">
        <v>387</v>
      </c>
      <c r="B198" s="243" t="s">
        <v>153</v>
      </c>
      <c r="C198" s="84">
        <v>8</v>
      </c>
      <c r="D198" s="84">
        <v>6</v>
      </c>
      <c r="E198" s="226"/>
      <c r="F198" s="217">
        <v>0</v>
      </c>
      <c r="G198" s="217">
        <v>329</v>
      </c>
      <c r="H198" s="217">
        <v>0</v>
      </c>
      <c r="I198" s="217">
        <v>135</v>
      </c>
      <c r="J198" s="217">
        <v>42</v>
      </c>
      <c r="K198" s="217">
        <v>354</v>
      </c>
      <c r="L198" s="217">
        <v>42</v>
      </c>
      <c r="M198" s="217">
        <v>818</v>
      </c>
      <c r="N198" s="227"/>
      <c r="O198" s="228">
        <f t="shared" si="103"/>
        <v>0</v>
      </c>
      <c r="P198" s="228">
        <f t="shared" si="104"/>
        <v>0</v>
      </c>
      <c r="Q198" s="228">
        <f t="shared" si="105"/>
        <v>0.15819209039548024</v>
      </c>
      <c r="R198" s="228">
        <f t="shared" si="106"/>
        <v>6.8459657701711488E-2</v>
      </c>
    </row>
    <row r="199" spans="1:18">
      <c r="A199" s="224" t="s">
        <v>388</v>
      </c>
      <c r="B199" s="225" t="s">
        <v>153</v>
      </c>
      <c r="C199" s="84">
        <v>8</v>
      </c>
      <c r="D199" s="84">
        <v>6</v>
      </c>
      <c r="E199" s="226"/>
      <c r="F199" s="217">
        <v>39</v>
      </c>
      <c r="G199" s="217">
        <v>235</v>
      </c>
      <c r="H199" s="217">
        <v>0</v>
      </c>
      <c r="I199" s="217">
        <v>94</v>
      </c>
      <c r="J199" s="217">
        <v>122</v>
      </c>
      <c r="K199" s="217">
        <v>233</v>
      </c>
      <c r="L199" s="217">
        <v>161</v>
      </c>
      <c r="M199" s="217">
        <v>562</v>
      </c>
      <c r="N199" s="227"/>
      <c r="O199" s="228">
        <f t="shared" si="103"/>
        <v>0.22127659574468084</v>
      </c>
      <c r="P199" s="228">
        <f t="shared" si="104"/>
        <v>0</v>
      </c>
      <c r="Q199" s="228">
        <f t="shared" si="105"/>
        <v>0.69814020028612311</v>
      </c>
      <c r="R199" s="228">
        <f t="shared" si="106"/>
        <v>0.38196915776986956</v>
      </c>
    </row>
    <row r="200" spans="1:18">
      <c r="A200" s="224" t="s">
        <v>389</v>
      </c>
      <c r="B200" s="225" t="s">
        <v>153</v>
      </c>
      <c r="C200" s="84">
        <v>8</v>
      </c>
      <c r="D200" s="84">
        <v>6</v>
      </c>
      <c r="E200" s="226"/>
      <c r="F200" s="217">
        <v>28</v>
      </c>
      <c r="G200" s="217">
        <v>170</v>
      </c>
      <c r="H200" s="217">
        <v>1</v>
      </c>
      <c r="I200" s="217">
        <v>67</v>
      </c>
      <c r="J200" s="217">
        <v>120</v>
      </c>
      <c r="K200" s="217">
        <v>166</v>
      </c>
      <c r="L200" s="217">
        <v>149</v>
      </c>
      <c r="M200" s="217">
        <v>403</v>
      </c>
      <c r="N200" s="227"/>
      <c r="O200" s="228">
        <f t="shared" si="103"/>
        <v>0.2196078431372549</v>
      </c>
      <c r="P200" s="228">
        <f t="shared" si="104"/>
        <v>1.9900497512437811E-2</v>
      </c>
      <c r="Q200" s="228">
        <f t="shared" si="105"/>
        <v>0.96385542168674698</v>
      </c>
      <c r="R200" s="228">
        <f t="shared" si="106"/>
        <v>0.49296939619520264</v>
      </c>
    </row>
    <row r="201" spans="1:18">
      <c r="A201" s="239" t="s">
        <v>390</v>
      </c>
      <c r="B201" s="243" t="s">
        <v>153</v>
      </c>
      <c r="C201" s="84">
        <v>8</v>
      </c>
      <c r="D201" s="84">
        <v>6</v>
      </c>
      <c r="E201" s="226"/>
      <c r="F201" s="217">
        <v>175</v>
      </c>
      <c r="G201" s="217">
        <v>1011</v>
      </c>
      <c r="H201" s="217">
        <v>0</v>
      </c>
      <c r="I201" s="217">
        <v>413</v>
      </c>
      <c r="J201" s="217">
        <v>235</v>
      </c>
      <c r="K201" s="217">
        <v>1086</v>
      </c>
      <c r="L201" s="217">
        <v>410</v>
      </c>
      <c r="M201" s="217">
        <v>2510</v>
      </c>
      <c r="N201" s="227"/>
      <c r="O201" s="228">
        <f t="shared" si="103"/>
        <v>0.23079459281239698</v>
      </c>
      <c r="P201" s="228">
        <f t="shared" si="104"/>
        <v>0</v>
      </c>
      <c r="Q201" s="228">
        <f t="shared" si="105"/>
        <v>0.28852056476365867</v>
      </c>
      <c r="R201" s="228">
        <f t="shared" si="106"/>
        <v>0.21779548472775564</v>
      </c>
    </row>
    <row r="202" spans="1:18">
      <c r="A202" s="239" t="s">
        <v>391</v>
      </c>
      <c r="B202" s="243" t="s">
        <v>153</v>
      </c>
      <c r="C202" s="84">
        <v>8</v>
      </c>
      <c r="D202" s="84">
        <v>6</v>
      </c>
      <c r="E202" s="226"/>
      <c r="F202" s="217">
        <v>0</v>
      </c>
      <c r="G202" s="217">
        <v>153</v>
      </c>
      <c r="H202" s="217">
        <v>0</v>
      </c>
      <c r="I202" s="217">
        <v>62</v>
      </c>
      <c r="J202" s="217">
        <v>92</v>
      </c>
      <c r="K202" s="217">
        <v>166</v>
      </c>
      <c r="L202" s="217">
        <v>92</v>
      </c>
      <c r="M202" s="217">
        <v>381</v>
      </c>
      <c r="N202" s="227"/>
      <c r="O202" s="228">
        <f t="shared" si="103"/>
        <v>0</v>
      </c>
      <c r="P202" s="228">
        <f t="shared" si="104"/>
        <v>0</v>
      </c>
      <c r="Q202" s="228">
        <f t="shared" si="105"/>
        <v>0.73895582329317266</v>
      </c>
      <c r="R202" s="228">
        <f t="shared" si="106"/>
        <v>0.32195975503062119</v>
      </c>
    </row>
    <row r="203" spans="1:18">
      <c r="A203" s="239" t="s">
        <v>392</v>
      </c>
      <c r="B203" s="243" t="s">
        <v>153</v>
      </c>
      <c r="C203" s="84">
        <v>8</v>
      </c>
      <c r="D203" s="84">
        <v>6</v>
      </c>
      <c r="E203" s="226"/>
      <c r="F203" s="217">
        <v>9</v>
      </c>
      <c r="G203" s="217">
        <v>19</v>
      </c>
      <c r="H203" s="217">
        <v>35</v>
      </c>
      <c r="I203" s="217">
        <v>8</v>
      </c>
      <c r="J203" s="217">
        <v>61</v>
      </c>
      <c r="K203" s="217">
        <v>20</v>
      </c>
      <c r="L203" s="217">
        <v>105</v>
      </c>
      <c r="M203" s="217">
        <v>47</v>
      </c>
      <c r="N203" s="227"/>
      <c r="O203" s="228">
        <f t="shared" si="103"/>
        <v>0.63157894736842102</v>
      </c>
      <c r="P203" s="228">
        <f t="shared" si="104"/>
        <v>5.833333333333333</v>
      </c>
      <c r="Q203" s="228">
        <f t="shared" si="105"/>
        <v>4.0666666666666664</v>
      </c>
      <c r="R203" s="228">
        <f t="shared" si="106"/>
        <v>2.978723404255319</v>
      </c>
    </row>
    <row r="204" spans="1:18">
      <c r="A204" s="239" t="s">
        <v>393</v>
      </c>
      <c r="B204" s="243" t="s">
        <v>153</v>
      </c>
      <c r="C204" s="84">
        <v>8</v>
      </c>
      <c r="D204" s="84">
        <v>6</v>
      </c>
      <c r="E204" s="226"/>
      <c r="F204" s="217">
        <v>563</v>
      </c>
      <c r="G204" s="217">
        <v>2839</v>
      </c>
      <c r="H204" s="217">
        <v>28</v>
      </c>
      <c r="I204" s="217">
        <v>1170</v>
      </c>
      <c r="J204" s="217">
        <v>2589</v>
      </c>
      <c r="K204" s="217">
        <v>3039</v>
      </c>
      <c r="L204" s="217">
        <v>3180</v>
      </c>
      <c r="M204" s="217">
        <v>7048</v>
      </c>
      <c r="N204" s="227"/>
      <c r="O204" s="228">
        <f t="shared" si="103"/>
        <v>0.26441235176705413</v>
      </c>
      <c r="P204" s="228">
        <f t="shared" si="104"/>
        <v>3.1908831908831911E-2</v>
      </c>
      <c r="Q204" s="228">
        <f t="shared" si="105"/>
        <v>1.135899967094439</v>
      </c>
      <c r="R204" s="228">
        <f t="shared" si="106"/>
        <v>0.60158910329171389</v>
      </c>
    </row>
    <row r="205" spans="1:18">
      <c r="A205" s="239" t="s">
        <v>153</v>
      </c>
      <c r="B205" s="243" t="s">
        <v>153</v>
      </c>
      <c r="C205" s="84">
        <v>8</v>
      </c>
      <c r="D205" s="84">
        <v>6</v>
      </c>
      <c r="E205" s="226"/>
      <c r="F205" s="217">
        <v>8108</v>
      </c>
      <c r="G205" s="217">
        <v>32862</v>
      </c>
      <c r="H205" s="217">
        <v>502</v>
      </c>
      <c r="I205" s="217">
        <v>13728</v>
      </c>
      <c r="J205" s="217">
        <v>92389</v>
      </c>
      <c r="K205" s="217">
        <v>35412</v>
      </c>
      <c r="L205" s="217">
        <v>100999</v>
      </c>
      <c r="M205" s="217">
        <v>82002</v>
      </c>
      <c r="N205" s="227"/>
      <c r="O205" s="228">
        <f t="shared" si="103"/>
        <v>0.3289716592619642</v>
      </c>
      <c r="P205" s="228">
        <f t="shared" si="104"/>
        <v>4.8756798756798753E-2</v>
      </c>
      <c r="Q205" s="228">
        <f t="shared" si="105"/>
        <v>3.4786324786324787</v>
      </c>
      <c r="R205" s="228">
        <f t="shared" si="106"/>
        <v>1.6422201084526395</v>
      </c>
    </row>
    <row r="206" spans="1:18">
      <c r="A206" s="224" t="s">
        <v>394</v>
      </c>
      <c r="B206" s="225" t="s">
        <v>153</v>
      </c>
      <c r="C206" s="84">
        <v>8</v>
      </c>
      <c r="D206" s="84">
        <v>6</v>
      </c>
      <c r="E206" s="226"/>
      <c r="F206" s="217">
        <v>901</v>
      </c>
      <c r="G206" s="217">
        <v>11610</v>
      </c>
      <c r="H206" s="217">
        <v>19</v>
      </c>
      <c r="I206" s="217">
        <v>4898</v>
      </c>
      <c r="J206" s="217">
        <v>5237</v>
      </c>
      <c r="K206" s="217">
        <v>10749</v>
      </c>
      <c r="L206" s="217">
        <v>6157</v>
      </c>
      <c r="M206" s="217">
        <v>27257</v>
      </c>
      <c r="N206" s="227"/>
      <c r="O206" s="228">
        <f t="shared" si="103"/>
        <v>0.10347401665231122</v>
      </c>
      <c r="P206" s="228">
        <f t="shared" si="104"/>
        <v>5.1721791207295495E-3</v>
      </c>
      <c r="Q206" s="228">
        <f t="shared" si="105"/>
        <v>0.64961081651006292</v>
      </c>
      <c r="R206" s="228">
        <f t="shared" si="106"/>
        <v>0.30118257083807215</v>
      </c>
    </row>
    <row r="207" spans="1:18">
      <c r="A207" s="239" t="s">
        <v>395</v>
      </c>
      <c r="B207" s="243" t="s">
        <v>153</v>
      </c>
      <c r="C207" s="84">
        <v>8</v>
      </c>
      <c r="D207" s="84">
        <v>6</v>
      </c>
      <c r="E207" s="226"/>
      <c r="F207" s="217">
        <v>0</v>
      </c>
      <c r="G207" s="217">
        <v>195</v>
      </c>
      <c r="H207" s="217">
        <v>0</v>
      </c>
      <c r="I207" s="217">
        <v>81</v>
      </c>
      <c r="J207" s="217">
        <v>10</v>
      </c>
      <c r="K207" s="217">
        <v>218</v>
      </c>
      <c r="L207" s="217">
        <v>10</v>
      </c>
      <c r="M207" s="217">
        <v>494</v>
      </c>
      <c r="N207" s="227"/>
      <c r="O207" s="228">
        <f t="shared" si="103"/>
        <v>0</v>
      </c>
      <c r="P207" s="228">
        <f t="shared" si="104"/>
        <v>0</v>
      </c>
      <c r="Q207" s="228">
        <f t="shared" si="105"/>
        <v>6.116207951070337E-2</v>
      </c>
      <c r="R207" s="228">
        <f t="shared" si="106"/>
        <v>2.6990553306342781E-2</v>
      </c>
    </row>
    <row r="208" spans="1:18">
      <c r="A208" s="224" t="s">
        <v>396</v>
      </c>
      <c r="B208" s="225" t="s">
        <v>153</v>
      </c>
      <c r="C208" s="84">
        <v>8</v>
      </c>
      <c r="D208" s="84">
        <v>6</v>
      </c>
      <c r="E208" s="226"/>
      <c r="F208" s="217">
        <v>0</v>
      </c>
      <c r="G208" s="217">
        <v>2</v>
      </c>
      <c r="H208" s="217">
        <v>0</v>
      </c>
      <c r="I208" s="217">
        <v>0</v>
      </c>
      <c r="J208" s="217">
        <v>84</v>
      </c>
      <c r="K208" s="217">
        <v>0</v>
      </c>
      <c r="L208" s="217">
        <v>84</v>
      </c>
      <c r="M208" s="217">
        <v>2</v>
      </c>
      <c r="N208" s="227"/>
      <c r="O208" s="228">
        <f t="shared" si="103"/>
        <v>0</v>
      </c>
      <c r="P208" s="260">
        <v>0</v>
      </c>
      <c r="Q208" s="242" t="s">
        <v>249</v>
      </c>
      <c r="R208" s="242" t="s">
        <v>249</v>
      </c>
    </row>
    <row r="209" spans="1:18">
      <c r="A209" s="239" t="s">
        <v>397</v>
      </c>
      <c r="B209" s="243" t="s">
        <v>153</v>
      </c>
      <c r="C209" s="84">
        <v>8</v>
      </c>
      <c r="D209" s="84">
        <v>6</v>
      </c>
      <c r="E209" s="226"/>
      <c r="F209" s="217">
        <v>0</v>
      </c>
      <c r="G209" s="217">
        <v>16</v>
      </c>
      <c r="H209" s="217">
        <v>0</v>
      </c>
      <c r="I209" s="217">
        <v>7</v>
      </c>
      <c r="J209" s="217">
        <v>419</v>
      </c>
      <c r="K209" s="217">
        <v>15</v>
      </c>
      <c r="L209" s="217">
        <v>419</v>
      </c>
      <c r="M209" s="217">
        <v>38</v>
      </c>
      <c r="N209" s="227"/>
      <c r="O209" s="228">
        <f t="shared" si="103"/>
        <v>0</v>
      </c>
      <c r="P209" s="228">
        <f t="shared" ref="P209:P228" si="107">H209/I209*C209/D209</f>
        <v>0</v>
      </c>
      <c r="Q209" s="228">
        <f t="shared" ref="Q209:Q228" si="108">J209/K209*$C$157/$D$157</f>
        <v>37.244444444444447</v>
      </c>
      <c r="R209" s="228">
        <f t="shared" ref="R209:R244" si="109">L209/M209*C209/D209</f>
        <v>14.701754385964913</v>
      </c>
    </row>
    <row r="210" spans="1:18">
      <c r="A210" s="239" t="s">
        <v>398</v>
      </c>
      <c r="B210" s="243" t="s">
        <v>153</v>
      </c>
      <c r="C210" s="84">
        <v>8</v>
      </c>
      <c r="D210" s="84">
        <v>6</v>
      </c>
      <c r="E210" s="226"/>
      <c r="F210" s="217">
        <v>0</v>
      </c>
      <c r="G210" s="217">
        <v>21</v>
      </c>
      <c r="H210" s="217">
        <v>16</v>
      </c>
      <c r="I210" s="217">
        <v>9</v>
      </c>
      <c r="J210" s="217">
        <v>5</v>
      </c>
      <c r="K210" s="217">
        <v>23</v>
      </c>
      <c r="L210" s="217">
        <v>21</v>
      </c>
      <c r="M210" s="217">
        <v>53</v>
      </c>
      <c r="N210" s="227"/>
      <c r="O210" s="228">
        <f t="shared" si="103"/>
        <v>0</v>
      </c>
      <c r="P210" s="228">
        <f t="shared" si="107"/>
        <v>2.3703703703703702</v>
      </c>
      <c r="Q210" s="228">
        <f t="shared" si="108"/>
        <v>0.28985507246376813</v>
      </c>
      <c r="R210" s="228">
        <f t="shared" si="109"/>
        <v>0.52830188679245282</v>
      </c>
    </row>
    <row r="211" spans="1:18">
      <c r="A211" s="224" t="s">
        <v>399</v>
      </c>
      <c r="B211" s="251" t="s">
        <v>153</v>
      </c>
      <c r="C211" s="84">
        <v>8</v>
      </c>
      <c r="D211" s="84">
        <v>6</v>
      </c>
      <c r="E211" s="226"/>
      <c r="F211" s="217">
        <v>0</v>
      </c>
      <c r="G211" s="217">
        <v>162</v>
      </c>
      <c r="H211" s="217">
        <v>4</v>
      </c>
      <c r="I211" s="217">
        <v>65</v>
      </c>
      <c r="J211" s="217">
        <v>554</v>
      </c>
      <c r="K211" s="217">
        <v>162</v>
      </c>
      <c r="L211" s="217">
        <v>558</v>
      </c>
      <c r="M211" s="217">
        <v>389</v>
      </c>
      <c r="N211" s="227"/>
      <c r="O211" s="228">
        <f t="shared" si="103"/>
        <v>0</v>
      </c>
      <c r="P211" s="228">
        <f t="shared" si="107"/>
        <v>8.2051282051282051E-2</v>
      </c>
      <c r="Q211" s="228">
        <f t="shared" si="108"/>
        <v>4.5596707818930042</v>
      </c>
      <c r="R211" s="228">
        <f t="shared" si="109"/>
        <v>1.9125964010282777</v>
      </c>
    </row>
    <row r="212" spans="1:18">
      <c r="A212" s="224" t="s">
        <v>400</v>
      </c>
      <c r="B212" s="225" t="s">
        <v>153</v>
      </c>
      <c r="C212" s="84">
        <v>8</v>
      </c>
      <c r="D212" s="84">
        <v>6</v>
      </c>
      <c r="E212" s="226"/>
      <c r="F212" s="217">
        <v>0</v>
      </c>
      <c r="G212" s="217">
        <v>430</v>
      </c>
      <c r="H212" s="217">
        <v>0</v>
      </c>
      <c r="I212" s="217">
        <v>175</v>
      </c>
      <c r="J212" s="217">
        <v>0</v>
      </c>
      <c r="K212" s="217">
        <v>461</v>
      </c>
      <c r="L212" s="217">
        <v>0</v>
      </c>
      <c r="M212" s="217">
        <v>1066</v>
      </c>
      <c r="N212" s="227"/>
      <c r="O212" s="228">
        <f t="shared" si="103"/>
        <v>0</v>
      </c>
      <c r="P212" s="228">
        <f t="shared" si="107"/>
        <v>0</v>
      </c>
      <c r="Q212" s="228">
        <f t="shared" si="108"/>
        <v>0</v>
      </c>
      <c r="R212" s="228">
        <f t="shared" si="109"/>
        <v>0</v>
      </c>
    </row>
    <row r="213" spans="1:18">
      <c r="A213" s="224" t="s">
        <v>401</v>
      </c>
      <c r="B213" s="251" t="s">
        <v>153</v>
      </c>
      <c r="C213" s="84">
        <v>8</v>
      </c>
      <c r="D213" s="84">
        <v>6</v>
      </c>
      <c r="E213" s="226"/>
      <c r="F213" s="217">
        <v>0</v>
      </c>
      <c r="G213" s="217">
        <v>328</v>
      </c>
      <c r="H213" s="217">
        <v>0</v>
      </c>
      <c r="I213" s="217">
        <v>137</v>
      </c>
      <c r="J213" s="217">
        <v>14</v>
      </c>
      <c r="K213" s="217">
        <v>350</v>
      </c>
      <c r="L213" s="217">
        <v>14</v>
      </c>
      <c r="M213" s="217">
        <v>815</v>
      </c>
      <c r="N213" s="227"/>
      <c r="O213" s="228">
        <f t="shared" si="103"/>
        <v>0</v>
      </c>
      <c r="P213" s="228">
        <f t="shared" si="107"/>
        <v>0</v>
      </c>
      <c r="Q213" s="228">
        <f t="shared" si="108"/>
        <v>5.3333333333333337E-2</v>
      </c>
      <c r="R213" s="228">
        <f t="shared" si="109"/>
        <v>2.2903885480572598E-2</v>
      </c>
    </row>
    <row r="214" spans="1:18">
      <c r="A214" s="224" t="s">
        <v>402</v>
      </c>
      <c r="B214" s="251" t="s">
        <v>153</v>
      </c>
      <c r="C214" s="84">
        <v>8</v>
      </c>
      <c r="D214" s="84">
        <v>6</v>
      </c>
      <c r="E214" s="226"/>
      <c r="F214" s="217">
        <v>6</v>
      </c>
      <c r="G214" s="217">
        <v>83</v>
      </c>
      <c r="H214" s="217">
        <v>34</v>
      </c>
      <c r="I214" s="217">
        <v>33</v>
      </c>
      <c r="J214" s="217">
        <v>90</v>
      </c>
      <c r="K214" s="217">
        <v>85</v>
      </c>
      <c r="L214" s="217">
        <v>130</v>
      </c>
      <c r="M214" s="217">
        <v>201</v>
      </c>
      <c r="N214" s="227"/>
      <c r="O214" s="228">
        <f t="shared" si="103"/>
        <v>9.638554216867469E-2</v>
      </c>
      <c r="P214" s="228">
        <f t="shared" si="107"/>
        <v>1.3737373737373737</v>
      </c>
      <c r="Q214" s="228">
        <f t="shared" si="108"/>
        <v>1.411764705882353</v>
      </c>
      <c r="R214" s="228">
        <f t="shared" si="109"/>
        <v>0.86235489220563855</v>
      </c>
    </row>
    <row r="215" spans="1:18">
      <c r="A215" s="224" t="s">
        <v>403</v>
      </c>
      <c r="B215" s="251" t="s">
        <v>153</v>
      </c>
      <c r="C215" s="84">
        <v>8</v>
      </c>
      <c r="D215" s="84">
        <v>6</v>
      </c>
      <c r="E215" s="226"/>
      <c r="F215" s="217">
        <v>161</v>
      </c>
      <c r="G215" s="217">
        <v>2225</v>
      </c>
      <c r="H215" s="217">
        <v>235</v>
      </c>
      <c r="I215" s="241">
        <v>899</v>
      </c>
      <c r="J215" s="217">
        <v>137</v>
      </c>
      <c r="K215" s="241">
        <v>2334</v>
      </c>
      <c r="L215" s="217">
        <v>533</v>
      </c>
      <c r="M215" s="241">
        <v>5458</v>
      </c>
      <c r="N215" s="227"/>
      <c r="O215" s="228">
        <f t="shared" si="103"/>
        <v>9.6479400749063679E-2</v>
      </c>
      <c r="P215" s="228">
        <f t="shared" si="107"/>
        <v>0.34853540971449753</v>
      </c>
      <c r="Q215" s="228">
        <f t="shared" si="108"/>
        <v>7.8263353327620674E-2</v>
      </c>
      <c r="R215" s="228">
        <f t="shared" si="109"/>
        <v>0.13020642481983632</v>
      </c>
    </row>
    <row r="216" spans="1:18">
      <c r="A216" s="224" t="s">
        <v>404</v>
      </c>
      <c r="B216" s="225" t="s">
        <v>153</v>
      </c>
      <c r="C216" s="84">
        <v>8</v>
      </c>
      <c r="D216" s="84">
        <v>6</v>
      </c>
      <c r="E216" s="226"/>
      <c r="F216" s="217">
        <v>0</v>
      </c>
      <c r="G216" s="217">
        <v>7</v>
      </c>
      <c r="H216" s="217">
        <v>0</v>
      </c>
      <c r="I216" s="217">
        <v>3</v>
      </c>
      <c r="J216" s="217">
        <v>10</v>
      </c>
      <c r="K216" s="217">
        <v>6</v>
      </c>
      <c r="L216" s="217">
        <v>10</v>
      </c>
      <c r="M216" s="217">
        <v>16</v>
      </c>
      <c r="N216" s="227"/>
      <c r="O216" s="228">
        <f t="shared" si="103"/>
        <v>0</v>
      </c>
      <c r="P216" s="228">
        <f t="shared" si="107"/>
        <v>0</v>
      </c>
      <c r="Q216" s="228">
        <f t="shared" si="108"/>
        <v>2.2222222222222223</v>
      </c>
      <c r="R216" s="228">
        <f t="shared" si="109"/>
        <v>0.83333333333333337</v>
      </c>
    </row>
    <row r="217" spans="1:18">
      <c r="A217" s="224" t="s">
        <v>405</v>
      </c>
      <c r="B217" s="251" t="s">
        <v>153</v>
      </c>
      <c r="C217" s="84">
        <v>8</v>
      </c>
      <c r="D217" s="84">
        <v>6</v>
      </c>
      <c r="E217" s="226"/>
      <c r="F217" s="217">
        <v>0</v>
      </c>
      <c r="G217" s="217">
        <v>42</v>
      </c>
      <c r="H217" s="217">
        <v>0</v>
      </c>
      <c r="I217" s="217">
        <v>17</v>
      </c>
      <c r="J217" s="217">
        <v>80</v>
      </c>
      <c r="K217" s="217">
        <v>46</v>
      </c>
      <c r="L217" s="217">
        <v>80</v>
      </c>
      <c r="M217" s="217">
        <v>105</v>
      </c>
      <c r="N217" s="227"/>
      <c r="O217" s="228">
        <f t="shared" si="103"/>
        <v>0</v>
      </c>
      <c r="P217" s="228">
        <f t="shared" si="107"/>
        <v>0</v>
      </c>
      <c r="Q217" s="228">
        <f t="shared" si="108"/>
        <v>2.318840579710145</v>
      </c>
      <c r="R217" s="228">
        <f t="shared" si="109"/>
        <v>1.0158730158730158</v>
      </c>
    </row>
    <row r="218" spans="1:18">
      <c r="A218" s="224" t="s">
        <v>406</v>
      </c>
      <c r="B218" s="251" t="s">
        <v>153</v>
      </c>
      <c r="C218" s="84">
        <v>8</v>
      </c>
      <c r="D218" s="84">
        <v>6</v>
      </c>
      <c r="E218" s="226"/>
      <c r="F218" s="217">
        <v>202</v>
      </c>
      <c r="G218" s="217">
        <v>547</v>
      </c>
      <c r="H218" s="217">
        <v>45</v>
      </c>
      <c r="I218" s="217">
        <v>224</v>
      </c>
      <c r="J218" s="217">
        <v>2342</v>
      </c>
      <c r="K218" s="217">
        <v>561</v>
      </c>
      <c r="L218" s="217">
        <v>2589</v>
      </c>
      <c r="M218" s="217">
        <v>1332</v>
      </c>
      <c r="N218" s="227"/>
      <c r="O218" s="228">
        <f t="shared" si="103"/>
        <v>0.49238269347958563</v>
      </c>
      <c r="P218" s="228">
        <f t="shared" si="107"/>
        <v>0.26785714285714285</v>
      </c>
      <c r="Q218" s="228">
        <f t="shared" si="108"/>
        <v>5.5662507427213308</v>
      </c>
      <c r="R218" s="228">
        <f t="shared" si="109"/>
        <v>2.5915915915915915</v>
      </c>
    </row>
    <row r="219" spans="1:18">
      <c r="A219" s="239" t="s">
        <v>407</v>
      </c>
      <c r="B219" s="243" t="s">
        <v>153</v>
      </c>
      <c r="C219" s="84">
        <v>8</v>
      </c>
      <c r="D219" s="84">
        <v>6</v>
      </c>
      <c r="E219" s="226"/>
      <c r="F219" s="217">
        <v>21</v>
      </c>
      <c r="G219" s="217">
        <v>348</v>
      </c>
      <c r="H219" s="217">
        <v>2</v>
      </c>
      <c r="I219" s="217">
        <v>140</v>
      </c>
      <c r="J219" s="217">
        <v>0</v>
      </c>
      <c r="K219" s="217">
        <v>362</v>
      </c>
      <c r="L219" s="217">
        <v>23</v>
      </c>
      <c r="M219" s="217">
        <v>850</v>
      </c>
      <c r="N219" s="227"/>
      <c r="O219" s="228">
        <f t="shared" si="103"/>
        <v>8.0459770114942528E-2</v>
      </c>
      <c r="P219" s="228">
        <f t="shared" si="107"/>
        <v>1.9047619047619046E-2</v>
      </c>
      <c r="Q219" s="228">
        <f t="shared" si="108"/>
        <v>0</v>
      </c>
      <c r="R219" s="228">
        <f t="shared" si="109"/>
        <v>3.607843137254902E-2</v>
      </c>
    </row>
    <row r="220" spans="1:18">
      <c r="A220" s="244" t="s">
        <v>408</v>
      </c>
      <c r="B220" s="245" t="s">
        <v>153</v>
      </c>
      <c r="C220" s="84">
        <v>8</v>
      </c>
      <c r="D220" s="84">
        <v>6</v>
      </c>
      <c r="E220" s="226"/>
      <c r="F220" s="217">
        <v>61</v>
      </c>
      <c r="G220" s="217">
        <v>1462</v>
      </c>
      <c r="H220" s="217">
        <v>0</v>
      </c>
      <c r="I220" s="217">
        <v>592</v>
      </c>
      <c r="J220" s="217">
        <v>144</v>
      </c>
      <c r="K220" s="217">
        <v>1572</v>
      </c>
      <c r="L220" s="217">
        <v>205</v>
      </c>
      <c r="M220" s="217">
        <v>3626</v>
      </c>
      <c r="N220" s="227"/>
      <c r="O220" s="228">
        <f t="shared" si="103"/>
        <v>5.5631554947560419E-2</v>
      </c>
      <c r="P220" s="228">
        <f t="shared" si="107"/>
        <v>0</v>
      </c>
      <c r="Q220" s="228">
        <f t="shared" si="108"/>
        <v>0.12213740458015267</v>
      </c>
      <c r="R220" s="228">
        <f t="shared" si="109"/>
        <v>7.5381503952932527E-2</v>
      </c>
    </row>
    <row r="221" spans="1:18">
      <c r="A221" s="244" t="s">
        <v>409</v>
      </c>
      <c r="B221" s="245" t="s">
        <v>153</v>
      </c>
      <c r="C221" s="84">
        <v>8</v>
      </c>
      <c r="D221" s="84">
        <v>6</v>
      </c>
      <c r="E221" s="226"/>
      <c r="F221" s="217">
        <v>5</v>
      </c>
      <c r="G221" s="217">
        <v>13</v>
      </c>
      <c r="H221" s="217">
        <v>2</v>
      </c>
      <c r="I221" s="217">
        <v>5</v>
      </c>
      <c r="J221" s="217">
        <v>112</v>
      </c>
      <c r="K221" s="217">
        <v>13</v>
      </c>
      <c r="L221" s="217">
        <v>119</v>
      </c>
      <c r="M221" s="217">
        <v>31</v>
      </c>
      <c r="N221" s="227"/>
      <c r="O221" s="228">
        <f t="shared" si="103"/>
        <v>0.51282051282051289</v>
      </c>
      <c r="P221" s="228">
        <f t="shared" si="107"/>
        <v>0.53333333333333333</v>
      </c>
      <c r="Q221" s="228">
        <f t="shared" si="108"/>
        <v>11.487179487179487</v>
      </c>
      <c r="R221" s="228">
        <f t="shared" si="109"/>
        <v>5.118279569892473</v>
      </c>
    </row>
    <row r="222" spans="1:18">
      <c r="A222" s="244" t="s">
        <v>410</v>
      </c>
      <c r="B222" s="245" t="s">
        <v>153</v>
      </c>
      <c r="C222" s="84">
        <v>8</v>
      </c>
      <c r="D222" s="84">
        <v>6</v>
      </c>
      <c r="E222" s="226"/>
      <c r="F222" s="217">
        <v>29</v>
      </c>
      <c r="G222" s="217">
        <v>595</v>
      </c>
      <c r="H222" s="217">
        <v>0</v>
      </c>
      <c r="I222" s="217">
        <v>238</v>
      </c>
      <c r="J222" s="217">
        <v>366</v>
      </c>
      <c r="K222" s="217">
        <v>564</v>
      </c>
      <c r="L222" s="217">
        <v>395</v>
      </c>
      <c r="M222" s="217">
        <v>1397</v>
      </c>
      <c r="N222" s="227"/>
      <c r="O222" s="228">
        <f t="shared" si="103"/>
        <v>6.4985994397759109E-2</v>
      </c>
      <c r="P222" s="228">
        <f t="shared" si="107"/>
        <v>0</v>
      </c>
      <c r="Q222" s="228">
        <f t="shared" si="108"/>
        <v>0.86524822695035464</v>
      </c>
      <c r="R222" s="228">
        <f t="shared" si="109"/>
        <v>0.37699832975423525</v>
      </c>
    </row>
    <row r="223" spans="1:18">
      <c r="A223" s="244" t="s">
        <v>411</v>
      </c>
      <c r="B223" s="245" t="s">
        <v>153</v>
      </c>
      <c r="C223" s="84">
        <v>8</v>
      </c>
      <c r="D223" s="84">
        <v>6</v>
      </c>
      <c r="E223" s="226"/>
      <c r="F223" s="241">
        <v>0</v>
      </c>
      <c r="G223" s="241">
        <v>3</v>
      </c>
      <c r="H223" s="217">
        <v>0</v>
      </c>
      <c r="I223" s="217">
        <v>1</v>
      </c>
      <c r="J223" s="241">
        <v>0</v>
      </c>
      <c r="K223" s="241">
        <v>2</v>
      </c>
      <c r="L223" s="217">
        <v>0</v>
      </c>
      <c r="M223" s="217">
        <v>6</v>
      </c>
      <c r="N223" s="227"/>
      <c r="O223" s="228">
        <f t="shared" si="103"/>
        <v>0</v>
      </c>
      <c r="P223" s="228">
        <f t="shared" si="107"/>
        <v>0</v>
      </c>
      <c r="Q223" s="228">
        <f t="shared" si="108"/>
        <v>0</v>
      </c>
      <c r="R223" s="228">
        <f t="shared" si="109"/>
        <v>0</v>
      </c>
    </row>
    <row r="224" spans="1:18">
      <c r="A224" s="244" t="s">
        <v>412</v>
      </c>
      <c r="B224" s="245" t="s">
        <v>153</v>
      </c>
      <c r="C224" s="84">
        <v>8</v>
      </c>
      <c r="D224" s="84">
        <v>6</v>
      </c>
      <c r="E224" s="226"/>
      <c r="F224" s="217">
        <v>0</v>
      </c>
      <c r="G224" s="217">
        <v>2</v>
      </c>
      <c r="H224" s="217">
        <v>2</v>
      </c>
      <c r="I224" s="217">
        <v>1</v>
      </c>
      <c r="J224" s="217">
        <v>384</v>
      </c>
      <c r="K224" s="217">
        <v>2</v>
      </c>
      <c r="L224" s="217">
        <v>386</v>
      </c>
      <c r="M224" s="217">
        <v>5</v>
      </c>
      <c r="N224" s="227"/>
      <c r="O224" s="228">
        <f t="shared" si="103"/>
        <v>0</v>
      </c>
      <c r="P224" s="228">
        <f t="shared" si="107"/>
        <v>2.6666666666666665</v>
      </c>
      <c r="Q224" s="228">
        <f t="shared" si="108"/>
        <v>256</v>
      </c>
      <c r="R224" s="228">
        <f t="shared" si="109"/>
        <v>102.93333333333334</v>
      </c>
    </row>
    <row r="225" spans="1:18">
      <c r="A225" s="244" t="s">
        <v>413</v>
      </c>
      <c r="B225" s="245" t="s">
        <v>153</v>
      </c>
      <c r="C225" s="84">
        <v>8</v>
      </c>
      <c r="D225" s="84">
        <v>6</v>
      </c>
      <c r="E225" s="226"/>
      <c r="F225" s="217">
        <v>9</v>
      </c>
      <c r="G225" s="217">
        <v>241</v>
      </c>
      <c r="H225" s="217">
        <v>51</v>
      </c>
      <c r="I225" s="217">
        <v>99</v>
      </c>
      <c r="J225" s="217">
        <v>148</v>
      </c>
      <c r="K225" s="217">
        <v>262</v>
      </c>
      <c r="L225" s="217">
        <v>208</v>
      </c>
      <c r="M225" s="217">
        <v>602</v>
      </c>
      <c r="N225" s="227"/>
      <c r="O225" s="228">
        <f t="shared" si="103"/>
        <v>4.9792531120331947E-2</v>
      </c>
      <c r="P225" s="228">
        <f t="shared" si="107"/>
        <v>0.68686868686868685</v>
      </c>
      <c r="Q225" s="228">
        <f t="shared" si="108"/>
        <v>0.75318066157760821</v>
      </c>
      <c r="R225" s="228">
        <f t="shared" si="109"/>
        <v>0.46068660022148394</v>
      </c>
    </row>
    <row r="226" spans="1:18">
      <c r="A226" s="244" t="s">
        <v>414</v>
      </c>
      <c r="B226" s="245" t="s">
        <v>153</v>
      </c>
      <c r="C226" s="84">
        <v>8</v>
      </c>
      <c r="D226" s="84">
        <v>6</v>
      </c>
      <c r="E226" s="226"/>
      <c r="F226" s="217">
        <v>0</v>
      </c>
      <c r="G226" s="217">
        <v>193</v>
      </c>
      <c r="H226" s="217">
        <v>1</v>
      </c>
      <c r="I226" s="217">
        <v>77</v>
      </c>
      <c r="J226" s="217">
        <v>51</v>
      </c>
      <c r="K226" s="217">
        <v>193</v>
      </c>
      <c r="L226" s="217">
        <v>52</v>
      </c>
      <c r="M226" s="217">
        <v>463</v>
      </c>
      <c r="N226" s="227"/>
      <c r="O226" s="228">
        <f t="shared" si="103"/>
        <v>0</v>
      </c>
      <c r="P226" s="228">
        <f t="shared" si="107"/>
        <v>1.7316017316017316E-2</v>
      </c>
      <c r="Q226" s="228">
        <f t="shared" si="108"/>
        <v>0.35233160621761656</v>
      </c>
      <c r="R226" s="228">
        <f t="shared" si="109"/>
        <v>0.14974802015838731</v>
      </c>
    </row>
    <row r="227" spans="1:18">
      <c r="A227" s="244" t="s">
        <v>415</v>
      </c>
      <c r="B227" s="245" t="s">
        <v>153</v>
      </c>
      <c r="C227" s="84">
        <v>8</v>
      </c>
      <c r="D227" s="84">
        <v>6</v>
      </c>
      <c r="E227" s="226"/>
      <c r="F227" s="217">
        <v>179</v>
      </c>
      <c r="G227" s="217">
        <v>87</v>
      </c>
      <c r="H227" s="217">
        <v>46</v>
      </c>
      <c r="I227" s="217">
        <v>35</v>
      </c>
      <c r="J227" s="217">
        <v>44</v>
      </c>
      <c r="K227" s="217">
        <v>95</v>
      </c>
      <c r="L227" s="217">
        <v>269</v>
      </c>
      <c r="M227" s="217">
        <v>217</v>
      </c>
      <c r="N227" s="227"/>
      <c r="O227" s="228">
        <f t="shared" si="103"/>
        <v>2.7432950191570882</v>
      </c>
      <c r="P227" s="228">
        <f t="shared" si="107"/>
        <v>1.7523809523809524</v>
      </c>
      <c r="Q227" s="228">
        <f t="shared" si="108"/>
        <v>0.61754385964912284</v>
      </c>
      <c r="R227" s="228">
        <f t="shared" si="109"/>
        <v>1.65284178187404</v>
      </c>
    </row>
    <row r="228" spans="1:18">
      <c r="A228" s="244" t="s">
        <v>416</v>
      </c>
      <c r="B228" s="245" t="s">
        <v>153</v>
      </c>
      <c r="C228" s="84">
        <v>8</v>
      </c>
      <c r="D228" s="84">
        <v>6</v>
      </c>
      <c r="E228" s="226"/>
      <c r="F228" s="217">
        <v>24</v>
      </c>
      <c r="G228" s="217">
        <v>378</v>
      </c>
      <c r="H228" s="217">
        <v>103</v>
      </c>
      <c r="I228" s="217">
        <v>154</v>
      </c>
      <c r="J228" s="217">
        <v>245</v>
      </c>
      <c r="K228" s="217">
        <v>398</v>
      </c>
      <c r="L228" s="217">
        <v>372</v>
      </c>
      <c r="M228" s="217">
        <v>930</v>
      </c>
      <c r="N228" s="227"/>
      <c r="O228" s="228">
        <f t="shared" si="103"/>
        <v>8.4656084656084651E-2</v>
      </c>
      <c r="P228" s="228">
        <f t="shared" si="107"/>
        <v>0.89177489177489166</v>
      </c>
      <c r="Q228" s="228">
        <f t="shared" si="108"/>
        <v>0.8207705192629815</v>
      </c>
      <c r="R228" s="228">
        <f t="shared" si="109"/>
        <v>0.53333333333333333</v>
      </c>
    </row>
    <row r="229" spans="1:18">
      <c r="A229" s="244" t="s">
        <v>417</v>
      </c>
      <c r="B229" s="245" t="s">
        <v>153</v>
      </c>
      <c r="C229" s="84">
        <v>8</v>
      </c>
      <c r="D229" s="84">
        <v>6</v>
      </c>
      <c r="E229" s="226"/>
      <c r="F229" s="217">
        <v>12</v>
      </c>
      <c r="G229" s="217">
        <v>2</v>
      </c>
      <c r="H229" s="217">
        <v>5</v>
      </c>
      <c r="I229" s="217">
        <v>0</v>
      </c>
      <c r="J229" s="217">
        <v>34</v>
      </c>
      <c r="K229" s="217">
        <v>0</v>
      </c>
      <c r="L229" s="217">
        <v>51</v>
      </c>
      <c r="M229" s="217">
        <v>2</v>
      </c>
      <c r="N229" s="227"/>
      <c r="O229" s="228">
        <f t="shared" si="103"/>
        <v>8</v>
      </c>
      <c r="P229" s="262" t="s">
        <v>249</v>
      </c>
      <c r="Q229" s="262" t="s">
        <v>249</v>
      </c>
      <c r="R229" s="228">
        <f t="shared" si="109"/>
        <v>34</v>
      </c>
    </row>
    <row r="230" spans="1:18">
      <c r="A230" s="244" t="s">
        <v>418</v>
      </c>
      <c r="B230" s="245" t="s">
        <v>153</v>
      </c>
      <c r="C230" s="84">
        <v>8</v>
      </c>
      <c r="D230" s="84">
        <v>6</v>
      </c>
      <c r="E230" s="226"/>
      <c r="F230" s="217">
        <v>137</v>
      </c>
      <c r="G230" s="217">
        <v>4323</v>
      </c>
      <c r="H230" s="217">
        <v>155</v>
      </c>
      <c r="I230" s="217">
        <v>1532</v>
      </c>
      <c r="J230" s="217">
        <v>2869</v>
      </c>
      <c r="K230" s="217">
        <v>5126</v>
      </c>
      <c r="L230" s="217">
        <v>3161</v>
      </c>
      <c r="M230" s="217">
        <v>10981</v>
      </c>
      <c r="N230" s="227"/>
      <c r="O230" s="228">
        <f t="shared" si="103"/>
        <v>4.2254607140103324E-2</v>
      </c>
      <c r="P230" s="228">
        <f t="shared" ref="P230:P239" si="110">H230/I230*C230/D230</f>
        <v>0.1348999129677981</v>
      </c>
      <c r="Q230" s="228">
        <f t="shared" ref="Q230:Q239" si="111">J230/K230*$C$157/$D$157</f>
        <v>0.74626089218363889</v>
      </c>
      <c r="R230" s="228">
        <f t="shared" si="109"/>
        <v>0.38381446741341102</v>
      </c>
    </row>
    <row r="231" spans="1:18">
      <c r="A231" s="244" t="s">
        <v>419</v>
      </c>
      <c r="B231" s="245" t="s">
        <v>153</v>
      </c>
      <c r="C231" s="84">
        <v>8</v>
      </c>
      <c r="D231" s="84">
        <v>6</v>
      </c>
      <c r="E231" s="226"/>
      <c r="F231" s="217">
        <v>13</v>
      </c>
      <c r="G231" s="217">
        <v>132</v>
      </c>
      <c r="H231" s="217">
        <v>0</v>
      </c>
      <c r="I231" s="217">
        <v>53</v>
      </c>
      <c r="J231" s="217">
        <v>221</v>
      </c>
      <c r="K231" s="217">
        <v>139</v>
      </c>
      <c r="L231" s="217">
        <v>234</v>
      </c>
      <c r="M231" s="217">
        <v>324</v>
      </c>
      <c r="N231" s="227"/>
      <c r="O231" s="228">
        <f t="shared" si="103"/>
        <v>0.1313131313131313</v>
      </c>
      <c r="P231" s="228">
        <f t="shared" si="110"/>
        <v>0</v>
      </c>
      <c r="Q231" s="228">
        <f t="shared" si="111"/>
        <v>2.1199040767386093</v>
      </c>
      <c r="R231" s="228">
        <f t="shared" si="109"/>
        <v>0.96296296296296291</v>
      </c>
    </row>
    <row r="232" spans="1:18">
      <c r="A232" s="244" t="s">
        <v>420</v>
      </c>
      <c r="B232" s="245" t="s">
        <v>153</v>
      </c>
      <c r="C232" s="84">
        <v>8</v>
      </c>
      <c r="D232" s="84">
        <v>6</v>
      </c>
      <c r="E232" s="226"/>
      <c r="F232" s="217">
        <v>537</v>
      </c>
      <c r="G232" s="217">
        <v>691</v>
      </c>
      <c r="H232" s="217">
        <v>51</v>
      </c>
      <c r="I232" s="217">
        <v>283</v>
      </c>
      <c r="J232" s="217">
        <v>1984</v>
      </c>
      <c r="K232" s="217">
        <v>700</v>
      </c>
      <c r="L232" s="217">
        <v>2572</v>
      </c>
      <c r="M232" s="217">
        <v>1674</v>
      </c>
      <c r="N232" s="227"/>
      <c r="O232" s="228">
        <f t="shared" si="103"/>
        <v>1.0361794500723589</v>
      </c>
      <c r="P232" s="228">
        <f t="shared" si="110"/>
        <v>0.24028268551236751</v>
      </c>
      <c r="Q232" s="228">
        <f t="shared" si="111"/>
        <v>3.7790476190476188</v>
      </c>
      <c r="R232" s="228">
        <f t="shared" si="109"/>
        <v>2.0485862206292311</v>
      </c>
    </row>
    <row r="233" spans="1:18">
      <c r="A233" s="244" t="s">
        <v>421</v>
      </c>
      <c r="B233" s="245" t="s">
        <v>153</v>
      </c>
      <c r="C233" s="84">
        <v>8</v>
      </c>
      <c r="D233" s="84">
        <v>6</v>
      </c>
      <c r="E233" s="226"/>
      <c r="F233" s="217">
        <v>18</v>
      </c>
      <c r="G233" s="217">
        <v>23</v>
      </c>
      <c r="H233" s="217">
        <v>3</v>
      </c>
      <c r="I233" s="217">
        <v>9</v>
      </c>
      <c r="J233" s="217">
        <v>82</v>
      </c>
      <c r="K233" s="217">
        <v>23</v>
      </c>
      <c r="L233" s="217">
        <v>103</v>
      </c>
      <c r="M233" s="217">
        <v>55</v>
      </c>
      <c r="N233" s="227"/>
      <c r="O233" s="228">
        <f t="shared" si="103"/>
        <v>1.0434782608695652</v>
      </c>
      <c r="P233" s="228">
        <f t="shared" si="110"/>
        <v>0.44444444444444442</v>
      </c>
      <c r="Q233" s="228">
        <f t="shared" si="111"/>
        <v>4.7536231884057969</v>
      </c>
      <c r="R233" s="228">
        <f t="shared" si="109"/>
        <v>2.4969696969696971</v>
      </c>
    </row>
    <row r="234" spans="1:18">
      <c r="A234" s="244" t="s">
        <v>422</v>
      </c>
      <c r="B234" s="245" t="s">
        <v>153</v>
      </c>
      <c r="C234" s="84">
        <v>8</v>
      </c>
      <c r="D234" s="84">
        <v>6</v>
      </c>
      <c r="E234" s="226"/>
      <c r="F234" s="217">
        <v>71</v>
      </c>
      <c r="G234" s="217">
        <v>71</v>
      </c>
      <c r="H234" s="217">
        <v>20</v>
      </c>
      <c r="I234" s="217">
        <v>28</v>
      </c>
      <c r="J234" s="217">
        <v>31</v>
      </c>
      <c r="K234" s="217">
        <v>70</v>
      </c>
      <c r="L234" s="217">
        <v>122</v>
      </c>
      <c r="M234" s="217">
        <v>169</v>
      </c>
      <c r="N234" s="227"/>
      <c r="O234" s="228">
        <f t="shared" si="103"/>
        <v>1.3333333333333333</v>
      </c>
      <c r="P234" s="228">
        <f t="shared" si="110"/>
        <v>0.95238095238095244</v>
      </c>
      <c r="Q234" s="228">
        <f t="shared" si="111"/>
        <v>0.59047619047619049</v>
      </c>
      <c r="R234" s="228">
        <f t="shared" si="109"/>
        <v>0.96252465483234717</v>
      </c>
    </row>
    <row r="235" spans="1:18">
      <c r="A235" s="244" t="s">
        <v>423</v>
      </c>
      <c r="B235" s="245" t="s">
        <v>153</v>
      </c>
      <c r="C235" s="84">
        <v>8</v>
      </c>
      <c r="D235" s="84">
        <v>6</v>
      </c>
      <c r="E235" s="226"/>
      <c r="F235" s="217">
        <v>19</v>
      </c>
      <c r="G235" s="217">
        <v>68</v>
      </c>
      <c r="H235" s="217">
        <v>0</v>
      </c>
      <c r="I235" s="217">
        <v>28</v>
      </c>
      <c r="J235" s="217">
        <v>148</v>
      </c>
      <c r="K235" s="217">
        <v>76</v>
      </c>
      <c r="L235" s="217">
        <v>167</v>
      </c>
      <c r="M235" s="217">
        <v>172</v>
      </c>
      <c r="N235" s="227"/>
      <c r="O235" s="228">
        <f t="shared" si="103"/>
        <v>0.37254901960784315</v>
      </c>
      <c r="P235" s="228">
        <f t="shared" si="110"/>
        <v>0</v>
      </c>
      <c r="Q235" s="228">
        <f t="shared" si="111"/>
        <v>2.5964912280701755</v>
      </c>
      <c r="R235" s="228">
        <f t="shared" si="109"/>
        <v>1.2945736434108526</v>
      </c>
    </row>
    <row r="236" spans="1:18">
      <c r="A236" s="244" t="s">
        <v>424</v>
      </c>
      <c r="B236" s="245" t="s">
        <v>153</v>
      </c>
      <c r="C236" s="84">
        <v>8</v>
      </c>
      <c r="D236" s="84">
        <v>6</v>
      </c>
      <c r="E236" s="226"/>
      <c r="F236" s="217">
        <v>214</v>
      </c>
      <c r="G236" s="217">
        <v>499</v>
      </c>
      <c r="H236" s="217">
        <v>575</v>
      </c>
      <c r="I236" s="217">
        <v>205</v>
      </c>
      <c r="J236" s="217">
        <v>26</v>
      </c>
      <c r="K236" s="217">
        <v>558</v>
      </c>
      <c r="L236" s="217">
        <v>815</v>
      </c>
      <c r="M236" s="217">
        <v>1262</v>
      </c>
      <c r="N236" s="227"/>
      <c r="O236" s="228">
        <f t="shared" si="103"/>
        <v>0.57181028724114891</v>
      </c>
      <c r="P236" s="228">
        <f t="shared" si="110"/>
        <v>3.7398373983739837</v>
      </c>
      <c r="Q236" s="228">
        <f t="shared" si="111"/>
        <v>6.2126642771804068E-2</v>
      </c>
      <c r="R236" s="228">
        <f t="shared" si="109"/>
        <v>0.86106708927628095</v>
      </c>
    </row>
    <row r="237" spans="1:18">
      <c r="A237" s="244" t="s">
        <v>425</v>
      </c>
      <c r="B237" s="245" t="s">
        <v>153</v>
      </c>
      <c r="C237" s="84">
        <v>8</v>
      </c>
      <c r="D237" s="84">
        <v>6</v>
      </c>
      <c r="E237" s="226"/>
      <c r="F237" s="217">
        <v>4</v>
      </c>
      <c r="G237" s="217">
        <v>27</v>
      </c>
      <c r="H237" s="217">
        <v>1</v>
      </c>
      <c r="I237" s="217">
        <v>11</v>
      </c>
      <c r="J237" s="217">
        <v>88</v>
      </c>
      <c r="K237" s="217">
        <v>25</v>
      </c>
      <c r="L237" s="217">
        <v>93</v>
      </c>
      <c r="M237" s="217">
        <v>63</v>
      </c>
      <c r="N237" s="227"/>
      <c r="O237" s="228">
        <f t="shared" si="103"/>
        <v>0.19753086419753085</v>
      </c>
      <c r="P237" s="228">
        <f t="shared" si="110"/>
        <v>0.12121212121212122</v>
      </c>
      <c r="Q237" s="228">
        <f t="shared" si="111"/>
        <v>4.6933333333333334</v>
      </c>
      <c r="R237" s="228">
        <f t="shared" si="109"/>
        <v>1.9682539682539684</v>
      </c>
    </row>
    <row r="238" spans="1:18">
      <c r="A238" s="244" t="s">
        <v>426</v>
      </c>
      <c r="B238" s="245" t="s">
        <v>153</v>
      </c>
      <c r="C238" s="84">
        <v>8</v>
      </c>
      <c r="D238" s="84">
        <v>6</v>
      </c>
      <c r="E238" s="226"/>
      <c r="F238" s="217">
        <v>41</v>
      </c>
      <c r="G238" s="217">
        <v>252</v>
      </c>
      <c r="H238" s="217">
        <v>5</v>
      </c>
      <c r="I238" s="217">
        <v>99</v>
      </c>
      <c r="J238" s="217">
        <v>138</v>
      </c>
      <c r="K238" s="217">
        <v>252</v>
      </c>
      <c r="L238" s="217">
        <v>184</v>
      </c>
      <c r="M238" s="217">
        <v>603</v>
      </c>
      <c r="N238" s="227"/>
      <c r="O238" s="228">
        <f t="shared" si="103"/>
        <v>0.21693121693121695</v>
      </c>
      <c r="P238" s="228">
        <f t="shared" si="110"/>
        <v>6.7340067340067339E-2</v>
      </c>
      <c r="Q238" s="228">
        <f t="shared" si="111"/>
        <v>0.73015873015873023</v>
      </c>
      <c r="R238" s="228">
        <f t="shared" si="109"/>
        <v>0.40685461580983967</v>
      </c>
    </row>
    <row r="239" spans="1:18">
      <c r="A239" s="244" t="s">
        <v>427</v>
      </c>
      <c r="B239" s="245" t="s">
        <v>153</v>
      </c>
      <c r="C239" s="84">
        <v>8</v>
      </c>
      <c r="D239" s="84">
        <v>6</v>
      </c>
      <c r="E239" s="226"/>
      <c r="F239" s="217">
        <v>0</v>
      </c>
      <c r="G239" s="217">
        <v>607</v>
      </c>
      <c r="H239" s="217">
        <v>5</v>
      </c>
      <c r="I239" s="217">
        <v>243</v>
      </c>
      <c r="J239" s="217">
        <v>179</v>
      </c>
      <c r="K239" s="217">
        <v>600</v>
      </c>
      <c r="L239" s="217">
        <v>184</v>
      </c>
      <c r="M239" s="217">
        <v>1450</v>
      </c>
      <c r="N239" s="227"/>
      <c r="O239" s="228">
        <f t="shared" si="103"/>
        <v>0</v>
      </c>
      <c r="P239" s="228">
        <f t="shared" si="110"/>
        <v>2.7434842249657063E-2</v>
      </c>
      <c r="Q239" s="228">
        <f t="shared" si="111"/>
        <v>0.39777777777777779</v>
      </c>
      <c r="R239" s="228">
        <f t="shared" si="109"/>
        <v>0.16919540229885058</v>
      </c>
    </row>
    <row r="240" spans="1:18">
      <c r="A240" s="244" t="s">
        <v>428</v>
      </c>
      <c r="B240" s="245" t="s">
        <v>153</v>
      </c>
      <c r="C240" s="84">
        <v>8</v>
      </c>
      <c r="D240" s="84">
        <v>6</v>
      </c>
      <c r="E240" s="226"/>
      <c r="F240" s="217">
        <v>0</v>
      </c>
      <c r="G240" s="217">
        <v>2</v>
      </c>
      <c r="H240" s="217">
        <v>0</v>
      </c>
      <c r="I240" s="217">
        <v>0</v>
      </c>
      <c r="J240" s="217">
        <v>0</v>
      </c>
      <c r="K240" s="217">
        <v>0</v>
      </c>
      <c r="L240" s="217">
        <v>0</v>
      </c>
      <c r="M240" s="217">
        <v>2</v>
      </c>
      <c r="N240" s="227"/>
      <c r="O240" s="228">
        <f t="shared" si="103"/>
        <v>0</v>
      </c>
      <c r="P240" s="260" t="s">
        <v>249</v>
      </c>
      <c r="Q240" s="242" t="s">
        <v>249</v>
      </c>
      <c r="R240" s="228">
        <f t="shared" si="109"/>
        <v>0</v>
      </c>
    </row>
    <row r="241" spans="1:18">
      <c r="A241" s="244" t="s">
        <v>429</v>
      </c>
      <c r="B241" s="253" t="s">
        <v>153</v>
      </c>
      <c r="C241" s="84">
        <v>8</v>
      </c>
      <c r="D241" s="84">
        <v>6</v>
      </c>
      <c r="E241" s="226"/>
      <c r="F241" s="217">
        <v>0</v>
      </c>
      <c r="G241" s="217">
        <v>390</v>
      </c>
      <c r="H241" s="217">
        <v>1</v>
      </c>
      <c r="I241" s="217">
        <v>155</v>
      </c>
      <c r="J241" s="217">
        <v>458</v>
      </c>
      <c r="K241" s="217">
        <v>363</v>
      </c>
      <c r="L241" s="217">
        <v>459</v>
      </c>
      <c r="M241" s="217">
        <v>908</v>
      </c>
      <c r="N241" s="227"/>
      <c r="O241" s="228">
        <f t="shared" si="103"/>
        <v>0</v>
      </c>
      <c r="P241" s="228">
        <f t="shared" ref="P241:P244" si="112">H241/I241*C241/D241</f>
        <v>8.6021505376344086E-3</v>
      </c>
      <c r="Q241" s="228">
        <f t="shared" ref="Q241:Q246" si="113">J241/K241*$C$157/$D$157</f>
        <v>1.6822773186409552</v>
      </c>
      <c r="R241" s="228">
        <f t="shared" si="109"/>
        <v>0.67400881057268724</v>
      </c>
    </row>
    <row r="242" spans="1:18">
      <c r="A242" s="244" t="s">
        <v>430</v>
      </c>
      <c r="B242" s="253" t="s">
        <v>153</v>
      </c>
      <c r="C242" s="84">
        <v>8</v>
      </c>
      <c r="D242" s="84">
        <v>6</v>
      </c>
      <c r="E242" s="226"/>
      <c r="F242" s="217">
        <v>0</v>
      </c>
      <c r="G242" s="217">
        <v>346</v>
      </c>
      <c r="H242" s="217">
        <v>0</v>
      </c>
      <c r="I242" s="217">
        <v>138</v>
      </c>
      <c r="J242" s="217">
        <v>708</v>
      </c>
      <c r="K242" s="217">
        <v>347</v>
      </c>
      <c r="L242" s="217">
        <v>708</v>
      </c>
      <c r="M242" s="217">
        <v>831</v>
      </c>
      <c r="N242" s="227"/>
      <c r="O242" s="228">
        <f t="shared" si="103"/>
        <v>0</v>
      </c>
      <c r="P242" s="228">
        <f t="shared" si="112"/>
        <v>0</v>
      </c>
      <c r="Q242" s="228">
        <f t="shared" si="113"/>
        <v>2.7204610951008643</v>
      </c>
      <c r="R242" s="228">
        <f t="shared" si="109"/>
        <v>1.1359807460890494</v>
      </c>
    </row>
    <row r="243" spans="1:18">
      <c r="A243" s="244" t="s">
        <v>431</v>
      </c>
      <c r="B243" s="245" t="s">
        <v>153</v>
      </c>
      <c r="C243" s="84">
        <v>8</v>
      </c>
      <c r="D243" s="84">
        <v>6</v>
      </c>
      <c r="E243" s="226"/>
      <c r="F243" s="217">
        <v>158</v>
      </c>
      <c r="G243" s="217">
        <v>31</v>
      </c>
      <c r="H243" s="217">
        <v>47</v>
      </c>
      <c r="I243" s="217">
        <v>13</v>
      </c>
      <c r="J243" s="217">
        <v>1382</v>
      </c>
      <c r="K243" s="217">
        <v>33</v>
      </c>
      <c r="L243" s="217">
        <v>1587</v>
      </c>
      <c r="M243" s="217">
        <v>77</v>
      </c>
      <c r="N243" s="227"/>
      <c r="O243" s="228">
        <f t="shared" si="103"/>
        <v>6.795698924731183</v>
      </c>
      <c r="P243" s="228">
        <f t="shared" si="112"/>
        <v>4.8205128205128203</v>
      </c>
      <c r="Q243" s="228">
        <f t="shared" si="113"/>
        <v>55.838383838383834</v>
      </c>
      <c r="R243" s="228">
        <f t="shared" si="109"/>
        <v>27.480519480519479</v>
      </c>
    </row>
    <row r="244" spans="1:18">
      <c r="A244" s="244" t="s">
        <v>432</v>
      </c>
      <c r="B244" s="253" t="s">
        <v>153</v>
      </c>
      <c r="C244" s="84">
        <v>8</v>
      </c>
      <c r="D244" s="84">
        <v>6</v>
      </c>
      <c r="E244" s="226"/>
      <c r="F244" s="217">
        <v>0</v>
      </c>
      <c r="G244" s="217">
        <v>19</v>
      </c>
      <c r="H244" s="217">
        <v>0</v>
      </c>
      <c r="I244" s="217">
        <v>8</v>
      </c>
      <c r="J244" s="217">
        <v>2</v>
      </c>
      <c r="K244" s="217">
        <v>18</v>
      </c>
      <c r="L244" s="217">
        <v>2</v>
      </c>
      <c r="M244" s="217">
        <v>45</v>
      </c>
      <c r="N244" s="227"/>
      <c r="O244" s="228">
        <f t="shared" si="103"/>
        <v>0</v>
      </c>
      <c r="P244" s="228">
        <f t="shared" si="112"/>
        <v>0</v>
      </c>
      <c r="Q244" s="228">
        <f t="shared" si="113"/>
        <v>0.14814814814814814</v>
      </c>
      <c r="R244" s="228">
        <f t="shared" si="109"/>
        <v>5.9259259259259262E-2</v>
      </c>
    </row>
    <row r="245" spans="1:18">
      <c r="A245" s="244" t="s">
        <v>433</v>
      </c>
      <c r="B245" s="253" t="s">
        <v>153</v>
      </c>
      <c r="C245" s="84">
        <v>8</v>
      </c>
      <c r="D245" s="84">
        <v>6</v>
      </c>
      <c r="E245" s="226"/>
      <c r="F245" s="246">
        <v>0</v>
      </c>
      <c r="G245" s="246">
        <v>363</v>
      </c>
      <c r="H245" s="246">
        <v>214</v>
      </c>
      <c r="I245" s="246">
        <v>146</v>
      </c>
      <c r="J245" s="246">
        <v>41</v>
      </c>
      <c r="K245" s="246">
        <v>369</v>
      </c>
      <c r="L245" s="246">
        <v>255</v>
      </c>
      <c r="M245" s="246">
        <v>878</v>
      </c>
      <c r="N245" s="227"/>
      <c r="O245" s="247">
        <f t="shared" ref="O245:O246" si="114">F245/G245*$C$245/$D$245</f>
        <v>0</v>
      </c>
      <c r="P245" s="247">
        <f t="shared" ref="P245:P246" si="115">H245/I245*$C$245/$D$245</f>
        <v>1.9543378995433791</v>
      </c>
      <c r="Q245" s="247">
        <f t="shared" si="113"/>
        <v>0.14814814814814814</v>
      </c>
      <c r="R245" s="247">
        <f t="shared" ref="R245:R246" si="116">L245/M245*$C$245/$D$245</f>
        <v>0.38724373576309795</v>
      </c>
    </row>
    <row r="246" spans="1:18">
      <c r="A246" s="224"/>
      <c r="B246" s="225"/>
      <c r="C246" s="226"/>
      <c r="D246" s="226"/>
      <c r="E246" s="226"/>
      <c r="F246" s="241">
        <f t="shared" ref="F246:M246" si="117">SUM(F157:F245)</f>
        <v>12826</v>
      </c>
      <c r="G246" s="241">
        <f t="shared" si="117"/>
        <v>73066</v>
      </c>
      <c r="H246" s="241">
        <f t="shared" si="117"/>
        <v>3525</v>
      </c>
      <c r="I246" s="241">
        <f t="shared" si="117"/>
        <v>30011</v>
      </c>
      <c r="J246" s="241">
        <f t="shared" si="117"/>
        <v>124807</v>
      </c>
      <c r="K246" s="241">
        <f t="shared" si="117"/>
        <v>76621</v>
      </c>
      <c r="L246" s="241">
        <f t="shared" si="117"/>
        <v>141158</v>
      </c>
      <c r="M246" s="241">
        <f t="shared" si="117"/>
        <v>179698</v>
      </c>
      <c r="N246" s="227"/>
      <c r="O246" s="228">
        <f t="shared" si="114"/>
        <v>0.23405323041268625</v>
      </c>
      <c r="P246" s="228">
        <f t="shared" si="115"/>
        <v>0.15660924327746492</v>
      </c>
      <c r="Q246" s="228">
        <f t="shared" si="113"/>
        <v>2.171850189025637</v>
      </c>
      <c r="R246" s="228">
        <f t="shared" si="116"/>
        <v>1.0473720724029576</v>
      </c>
    </row>
    <row r="247" spans="1:18">
      <c r="A247" s="224"/>
      <c r="B247" s="225"/>
      <c r="C247" s="226"/>
      <c r="D247" s="226"/>
      <c r="E247" s="226"/>
      <c r="F247" s="263"/>
      <c r="G247" s="263"/>
      <c r="H247" s="263"/>
      <c r="I247" s="263"/>
      <c r="J247" s="258"/>
      <c r="K247" s="250"/>
      <c r="L247" s="250"/>
      <c r="M247" s="250"/>
      <c r="N247" s="227"/>
      <c r="O247" s="228"/>
      <c r="P247" s="228"/>
      <c r="Q247" s="228"/>
      <c r="R247" s="228"/>
    </row>
    <row r="248" spans="1:18">
      <c r="A248" s="224" t="s">
        <v>434</v>
      </c>
      <c r="B248" s="225" t="s">
        <v>156</v>
      </c>
      <c r="C248" s="84">
        <v>5</v>
      </c>
      <c r="D248" s="84">
        <v>6</v>
      </c>
      <c r="E248" s="226"/>
      <c r="F248" s="217">
        <v>0</v>
      </c>
      <c r="G248" s="217">
        <f>190+253</f>
        <v>443</v>
      </c>
      <c r="H248" s="217">
        <v>24</v>
      </c>
      <c r="I248" s="241">
        <v>204</v>
      </c>
      <c r="J248" s="217">
        <v>5</v>
      </c>
      <c r="K248" s="241">
        <v>467</v>
      </c>
      <c r="L248" s="217">
        <v>29</v>
      </c>
      <c r="M248" s="241">
        <v>1114</v>
      </c>
      <c r="N248" s="227"/>
      <c r="O248" s="228">
        <f t="shared" ref="O248:O249" si="118">F248/G248*C248/D248</f>
        <v>0</v>
      </c>
      <c r="P248" s="228">
        <f t="shared" ref="P248:P249" si="119">H248/I248*C248/D248</f>
        <v>9.8039215686274508E-2</v>
      </c>
      <c r="Q248" s="228">
        <f t="shared" ref="Q248:Q251" si="120">F248/G248*$C$248/$D$248</f>
        <v>0</v>
      </c>
      <c r="R248" s="228">
        <f t="shared" ref="R248:R249" si="121">L248/M248*C248/D248</f>
        <v>2.1693596648713346E-2</v>
      </c>
    </row>
    <row r="249" spans="1:18">
      <c r="A249" s="239" t="s">
        <v>156</v>
      </c>
      <c r="B249" s="243" t="s">
        <v>156</v>
      </c>
      <c r="C249" s="84">
        <v>5</v>
      </c>
      <c r="D249" s="84">
        <v>6</v>
      </c>
      <c r="E249" s="226"/>
      <c r="F249" s="217">
        <v>332</v>
      </c>
      <c r="G249" s="217">
        <v>2408</v>
      </c>
      <c r="H249" s="217">
        <v>181</v>
      </c>
      <c r="I249" s="217">
        <v>1091</v>
      </c>
      <c r="J249" s="217">
        <v>223</v>
      </c>
      <c r="K249" s="217">
        <v>2600</v>
      </c>
      <c r="L249" s="217">
        <v>736</v>
      </c>
      <c r="M249" s="217">
        <v>6099</v>
      </c>
      <c r="N249" s="227"/>
      <c r="O249" s="228">
        <f t="shared" si="118"/>
        <v>0.11489479512735325</v>
      </c>
      <c r="P249" s="228">
        <f t="shared" si="119"/>
        <v>0.13825236785823405</v>
      </c>
      <c r="Q249" s="228">
        <f t="shared" si="120"/>
        <v>0.11489479512735325</v>
      </c>
      <c r="R249" s="228">
        <f t="shared" si="121"/>
        <v>0.10056293381428649</v>
      </c>
    </row>
    <row r="250" spans="1:18">
      <c r="A250" s="239" t="s">
        <v>435</v>
      </c>
      <c r="B250" s="243" t="s">
        <v>156</v>
      </c>
      <c r="C250" s="84">
        <v>5</v>
      </c>
      <c r="D250" s="84">
        <v>6</v>
      </c>
      <c r="E250" s="226"/>
      <c r="F250" s="246">
        <v>41</v>
      </c>
      <c r="G250" s="246">
        <v>2269</v>
      </c>
      <c r="H250" s="246">
        <v>0</v>
      </c>
      <c r="I250" s="246">
        <v>1015</v>
      </c>
      <c r="J250" s="246">
        <v>923</v>
      </c>
      <c r="K250" s="246">
        <v>2398</v>
      </c>
      <c r="L250" s="246">
        <v>964</v>
      </c>
      <c r="M250" s="246">
        <v>5682</v>
      </c>
      <c r="N250" s="227"/>
      <c r="O250" s="247">
        <f t="shared" ref="O250:O251" si="122">F250/G250*$C$250/$D$250</f>
        <v>1.5058028500073454E-2</v>
      </c>
      <c r="P250" s="247">
        <f t="shared" ref="P250:P251" si="123">H250/I250*$C$250/$D$250</f>
        <v>0</v>
      </c>
      <c r="Q250" s="247">
        <f t="shared" si="120"/>
        <v>1.5058028500073454E-2</v>
      </c>
      <c r="R250" s="247">
        <f t="shared" ref="R250:R251" si="124">L250/M250*$C$250/$D$250</f>
        <v>0.14138214243810865</v>
      </c>
    </row>
    <row r="251" spans="1:18">
      <c r="A251" s="224"/>
      <c r="B251" s="225"/>
      <c r="C251" s="226"/>
      <c r="D251" s="226"/>
      <c r="E251" s="226"/>
      <c r="F251" s="241">
        <f t="shared" ref="F251:M251" si="125">SUM(F248:F250)</f>
        <v>373</v>
      </c>
      <c r="G251" s="241">
        <f t="shared" si="125"/>
        <v>5120</v>
      </c>
      <c r="H251" s="241">
        <f t="shared" si="125"/>
        <v>205</v>
      </c>
      <c r="I251" s="241">
        <f t="shared" si="125"/>
        <v>2310</v>
      </c>
      <c r="J251" s="241">
        <f t="shared" si="125"/>
        <v>1151</v>
      </c>
      <c r="K251" s="241">
        <f t="shared" si="125"/>
        <v>5465</v>
      </c>
      <c r="L251" s="241">
        <f t="shared" si="125"/>
        <v>1729</v>
      </c>
      <c r="M251" s="241">
        <f t="shared" si="125"/>
        <v>12895</v>
      </c>
      <c r="N251" s="227"/>
      <c r="O251" s="228">
        <f t="shared" si="122"/>
        <v>6.0709635416666664E-2</v>
      </c>
      <c r="P251" s="228">
        <f t="shared" si="123"/>
        <v>7.3953823953823952E-2</v>
      </c>
      <c r="Q251" s="228">
        <f t="shared" si="120"/>
        <v>6.0709635416666664E-2</v>
      </c>
      <c r="R251" s="228">
        <f t="shared" si="124"/>
        <v>0.11173581491534186</v>
      </c>
    </row>
    <row r="252" spans="1:18">
      <c r="A252" s="224"/>
      <c r="B252" s="225"/>
      <c r="C252" s="226"/>
      <c r="D252" s="226"/>
      <c r="E252" s="226"/>
      <c r="F252" s="264"/>
      <c r="G252" s="264"/>
      <c r="H252" s="98"/>
      <c r="I252" s="98"/>
      <c r="J252" s="98"/>
      <c r="K252" s="98"/>
      <c r="L252" s="98"/>
      <c r="M252" s="98"/>
      <c r="N252" s="180"/>
      <c r="O252" s="228"/>
      <c r="P252" s="228"/>
      <c r="Q252" s="228"/>
      <c r="R252" s="228"/>
    </row>
    <row r="253" spans="1:18">
      <c r="A253" s="224" t="s">
        <v>436</v>
      </c>
      <c r="B253" s="225" t="s">
        <v>157</v>
      </c>
      <c r="C253" s="84">
        <v>8</v>
      </c>
      <c r="D253" s="84">
        <v>5</v>
      </c>
      <c r="E253" s="226"/>
      <c r="F253" s="217">
        <v>0</v>
      </c>
      <c r="G253" s="217">
        <v>7</v>
      </c>
      <c r="H253" s="217">
        <v>3</v>
      </c>
      <c r="I253" s="217">
        <v>4</v>
      </c>
      <c r="J253" s="217">
        <v>1</v>
      </c>
      <c r="K253" s="217">
        <v>5</v>
      </c>
      <c r="L253" s="217">
        <v>4</v>
      </c>
      <c r="M253" s="217">
        <v>16</v>
      </c>
      <c r="N253" s="227"/>
      <c r="O253" s="228">
        <f t="shared" ref="O253:O264" si="126">F253/G253*C253/D253</f>
        <v>0</v>
      </c>
      <c r="P253" s="228">
        <f t="shared" ref="P253:P264" si="127">H253/I253*C253/D253</f>
        <v>1.2</v>
      </c>
      <c r="Q253" s="228">
        <f t="shared" ref="Q253:Q264" si="128">J253/K253*C253/D253</f>
        <v>0.32</v>
      </c>
      <c r="R253" s="228">
        <f t="shared" ref="R253:R264" si="129">L253/M253*C253/D253</f>
        <v>0.4</v>
      </c>
    </row>
    <row r="254" spans="1:18">
      <c r="A254" s="224" t="s">
        <v>437</v>
      </c>
      <c r="B254" s="225" t="s">
        <v>157</v>
      </c>
      <c r="C254" s="84">
        <v>8</v>
      </c>
      <c r="D254" s="84">
        <v>5</v>
      </c>
      <c r="E254" s="226"/>
      <c r="F254" s="217">
        <v>29</v>
      </c>
      <c r="G254" s="217">
        <v>35</v>
      </c>
      <c r="H254" s="217">
        <v>8</v>
      </c>
      <c r="I254" s="217">
        <v>13</v>
      </c>
      <c r="J254" s="217">
        <v>179</v>
      </c>
      <c r="K254" s="217">
        <v>24</v>
      </c>
      <c r="L254" s="217">
        <v>216</v>
      </c>
      <c r="M254" s="217">
        <v>72</v>
      </c>
      <c r="N254" s="227"/>
      <c r="O254" s="228">
        <f t="shared" si="126"/>
        <v>1.3257142857142858</v>
      </c>
      <c r="P254" s="228">
        <f t="shared" si="127"/>
        <v>0.98461538461538467</v>
      </c>
      <c r="Q254" s="228">
        <f t="shared" si="128"/>
        <v>11.933333333333334</v>
      </c>
      <c r="R254" s="228">
        <f t="shared" si="129"/>
        <v>4.8</v>
      </c>
    </row>
    <row r="255" spans="1:18">
      <c r="A255" s="239" t="s">
        <v>438</v>
      </c>
      <c r="B255" s="243" t="s">
        <v>157</v>
      </c>
      <c r="C255" s="84">
        <v>8</v>
      </c>
      <c r="D255" s="84">
        <v>5</v>
      </c>
      <c r="E255" s="226"/>
      <c r="F255" s="217">
        <v>73</v>
      </c>
      <c r="G255" s="217">
        <v>27</v>
      </c>
      <c r="H255" s="217">
        <v>4</v>
      </c>
      <c r="I255" s="217">
        <v>11</v>
      </c>
      <c r="J255" s="217">
        <v>10</v>
      </c>
      <c r="K255" s="217">
        <v>23</v>
      </c>
      <c r="L255" s="217">
        <v>87</v>
      </c>
      <c r="M255" s="217">
        <v>61</v>
      </c>
      <c r="N255" s="227"/>
      <c r="O255" s="228">
        <f t="shared" si="126"/>
        <v>4.325925925925926</v>
      </c>
      <c r="P255" s="228">
        <f t="shared" si="127"/>
        <v>0.58181818181818179</v>
      </c>
      <c r="Q255" s="228">
        <f t="shared" si="128"/>
        <v>0.69565217391304346</v>
      </c>
      <c r="R255" s="228">
        <f t="shared" si="129"/>
        <v>2.2819672131147541</v>
      </c>
    </row>
    <row r="256" spans="1:18">
      <c r="A256" s="224" t="s">
        <v>439</v>
      </c>
      <c r="B256" s="225" t="s">
        <v>157</v>
      </c>
      <c r="C256" s="84">
        <v>8</v>
      </c>
      <c r="D256" s="84">
        <v>5</v>
      </c>
      <c r="E256" s="226"/>
      <c r="F256" s="217">
        <v>17</v>
      </c>
      <c r="G256" s="217">
        <v>60</v>
      </c>
      <c r="H256" s="217">
        <v>9</v>
      </c>
      <c r="I256" s="217">
        <v>21</v>
      </c>
      <c r="J256" s="217">
        <v>90</v>
      </c>
      <c r="K256" s="217">
        <v>51</v>
      </c>
      <c r="L256" s="217">
        <v>116</v>
      </c>
      <c r="M256" s="217">
        <v>132</v>
      </c>
      <c r="N256" s="227"/>
      <c r="O256" s="228">
        <f t="shared" si="126"/>
        <v>0.45333333333333331</v>
      </c>
      <c r="P256" s="228">
        <f t="shared" si="127"/>
        <v>0.68571428571428572</v>
      </c>
      <c r="Q256" s="228">
        <f t="shared" si="128"/>
        <v>2.8235294117647056</v>
      </c>
      <c r="R256" s="228">
        <f t="shared" si="129"/>
        <v>1.406060606060606</v>
      </c>
    </row>
    <row r="257" spans="1:18">
      <c r="A257" s="224" t="s">
        <v>440</v>
      </c>
      <c r="B257" s="251" t="s">
        <v>157</v>
      </c>
      <c r="C257" s="84">
        <v>8</v>
      </c>
      <c r="D257" s="84">
        <v>5</v>
      </c>
      <c r="E257" s="226"/>
      <c r="F257" s="217">
        <v>53</v>
      </c>
      <c r="G257" s="217">
        <v>87</v>
      </c>
      <c r="H257" s="217">
        <v>28</v>
      </c>
      <c r="I257" s="217">
        <v>37</v>
      </c>
      <c r="J257" s="217">
        <v>174</v>
      </c>
      <c r="K257" s="217">
        <v>61</v>
      </c>
      <c r="L257" s="217">
        <v>255</v>
      </c>
      <c r="M257" s="217">
        <v>185</v>
      </c>
      <c r="N257" s="227"/>
      <c r="O257" s="228">
        <f t="shared" si="126"/>
        <v>0.97471264367816102</v>
      </c>
      <c r="P257" s="228">
        <f t="shared" si="127"/>
        <v>1.2108108108108109</v>
      </c>
      <c r="Q257" s="228">
        <f t="shared" si="128"/>
        <v>4.5639344262295083</v>
      </c>
      <c r="R257" s="228">
        <f t="shared" si="129"/>
        <v>2.2054054054054051</v>
      </c>
    </row>
    <row r="258" spans="1:18">
      <c r="A258" s="224" t="s">
        <v>441</v>
      </c>
      <c r="B258" s="251" t="s">
        <v>157</v>
      </c>
      <c r="C258" s="84">
        <v>8</v>
      </c>
      <c r="D258" s="84">
        <v>5</v>
      </c>
      <c r="E258" s="226"/>
      <c r="F258" s="217">
        <v>51</v>
      </c>
      <c r="G258" s="217">
        <v>65</v>
      </c>
      <c r="H258" s="217">
        <v>17</v>
      </c>
      <c r="I258" s="217">
        <v>26</v>
      </c>
      <c r="J258" s="217">
        <v>30</v>
      </c>
      <c r="K258" s="217">
        <v>38</v>
      </c>
      <c r="L258" s="217">
        <v>98</v>
      </c>
      <c r="M258" s="217">
        <v>129</v>
      </c>
      <c r="N258" s="227"/>
      <c r="O258" s="228">
        <f t="shared" si="126"/>
        <v>1.2553846153846153</v>
      </c>
      <c r="P258" s="228">
        <f t="shared" si="127"/>
        <v>1.0461538461538462</v>
      </c>
      <c r="Q258" s="228">
        <f t="shared" si="128"/>
        <v>1.263157894736842</v>
      </c>
      <c r="R258" s="228">
        <f t="shared" si="129"/>
        <v>1.2155038759689922</v>
      </c>
    </row>
    <row r="259" spans="1:18">
      <c r="A259" s="224" t="s">
        <v>442</v>
      </c>
      <c r="B259" s="251" t="s">
        <v>157</v>
      </c>
      <c r="C259" s="84">
        <v>8</v>
      </c>
      <c r="D259" s="84">
        <v>5</v>
      </c>
      <c r="E259" s="226"/>
      <c r="F259" s="217">
        <v>64</v>
      </c>
      <c r="G259" s="217">
        <v>176</v>
      </c>
      <c r="H259" s="217">
        <v>46</v>
      </c>
      <c r="I259" s="217">
        <v>72</v>
      </c>
      <c r="J259" s="217">
        <v>156</v>
      </c>
      <c r="K259" s="217">
        <v>167</v>
      </c>
      <c r="L259" s="217">
        <v>266</v>
      </c>
      <c r="M259" s="217">
        <v>415</v>
      </c>
      <c r="N259" s="227"/>
      <c r="O259" s="228">
        <f t="shared" si="126"/>
        <v>0.58181818181818179</v>
      </c>
      <c r="P259" s="228">
        <f t="shared" si="127"/>
        <v>1.0222222222222221</v>
      </c>
      <c r="Q259" s="228">
        <f t="shared" si="128"/>
        <v>1.4946107784431137</v>
      </c>
      <c r="R259" s="228">
        <f t="shared" si="129"/>
        <v>1.0255421686746988</v>
      </c>
    </row>
    <row r="260" spans="1:18">
      <c r="A260" s="244" t="s">
        <v>443</v>
      </c>
      <c r="B260" s="245" t="s">
        <v>157</v>
      </c>
      <c r="C260" s="84">
        <v>8</v>
      </c>
      <c r="D260" s="84">
        <v>5</v>
      </c>
      <c r="E260" s="226"/>
      <c r="F260" s="217">
        <v>5</v>
      </c>
      <c r="G260" s="217">
        <v>10</v>
      </c>
      <c r="H260" s="217">
        <v>5</v>
      </c>
      <c r="I260" s="217">
        <v>4</v>
      </c>
      <c r="J260" s="217">
        <v>1</v>
      </c>
      <c r="K260" s="217">
        <v>4</v>
      </c>
      <c r="L260" s="217">
        <v>11</v>
      </c>
      <c r="M260" s="217">
        <v>18</v>
      </c>
      <c r="N260" s="227"/>
      <c r="O260" s="228">
        <f t="shared" si="126"/>
        <v>0.8</v>
      </c>
      <c r="P260" s="228">
        <f t="shared" si="127"/>
        <v>2</v>
      </c>
      <c r="Q260" s="228">
        <f t="shared" si="128"/>
        <v>0.4</v>
      </c>
      <c r="R260" s="228">
        <f t="shared" si="129"/>
        <v>0.97777777777777786</v>
      </c>
    </row>
    <row r="261" spans="1:18">
      <c r="A261" s="244" t="s">
        <v>444</v>
      </c>
      <c r="B261" s="245" t="s">
        <v>157</v>
      </c>
      <c r="C261" s="84">
        <v>8</v>
      </c>
      <c r="D261" s="84">
        <v>5</v>
      </c>
      <c r="E261" s="226"/>
      <c r="F261" s="217">
        <v>36</v>
      </c>
      <c r="G261" s="217">
        <v>50</v>
      </c>
      <c r="H261" s="217">
        <v>23</v>
      </c>
      <c r="I261" s="217">
        <v>19</v>
      </c>
      <c r="J261" s="217">
        <v>39</v>
      </c>
      <c r="K261" s="217">
        <v>37</v>
      </c>
      <c r="L261" s="217">
        <v>98</v>
      </c>
      <c r="M261" s="217">
        <v>106</v>
      </c>
      <c r="N261" s="227"/>
      <c r="O261" s="228">
        <f t="shared" si="126"/>
        <v>1.1519999999999999</v>
      </c>
      <c r="P261" s="228">
        <f t="shared" si="127"/>
        <v>1.9368421052631579</v>
      </c>
      <c r="Q261" s="228">
        <f t="shared" si="128"/>
        <v>1.6864864864864864</v>
      </c>
      <c r="R261" s="228">
        <f t="shared" si="129"/>
        <v>1.479245283018868</v>
      </c>
    </row>
    <row r="262" spans="1:18">
      <c r="A262" s="244" t="s">
        <v>445</v>
      </c>
      <c r="B262" s="245" t="s">
        <v>157</v>
      </c>
      <c r="C262" s="84">
        <v>8</v>
      </c>
      <c r="D262" s="84">
        <v>5</v>
      </c>
      <c r="E262" s="226"/>
      <c r="F262" s="217">
        <v>84</v>
      </c>
      <c r="G262" s="217">
        <v>388</v>
      </c>
      <c r="H262" s="217">
        <v>12</v>
      </c>
      <c r="I262" s="217">
        <v>181</v>
      </c>
      <c r="J262" s="217">
        <v>201</v>
      </c>
      <c r="K262" s="217">
        <v>438</v>
      </c>
      <c r="L262" s="217">
        <v>297</v>
      </c>
      <c r="M262" s="217">
        <v>1007</v>
      </c>
      <c r="N262" s="227"/>
      <c r="O262" s="228">
        <f t="shared" si="126"/>
        <v>0.34639175257731958</v>
      </c>
      <c r="P262" s="228">
        <f t="shared" si="127"/>
        <v>0.10607734806629834</v>
      </c>
      <c r="Q262" s="228">
        <f t="shared" si="128"/>
        <v>0.73424657534246573</v>
      </c>
      <c r="R262" s="228">
        <f t="shared" si="129"/>
        <v>0.47189672293942408</v>
      </c>
    </row>
    <row r="263" spans="1:18">
      <c r="A263" s="244" t="s">
        <v>446</v>
      </c>
      <c r="B263" s="245" t="s">
        <v>157</v>
      </c>
      <c r="C263" s="84">
        <v>8</v>
      </c>
      <c r="D263" s="84">
        <v>5</v>
      </c>
      <c r="E263" s="226"/>
      <c r="F263" s="217">
        <v>32</v>
      </c>
      <c r="G263" s="217">
        <v>40</v>
      </c>
      <c r="H263" s="217">
        <v>6</v>
      </c>
      <c r="I263" s="217">
        <v>16</v>
      </c>
      <c r="J263" s="217">
        <v>7</v>
      </c>
      <c r="K263" s="217">
        <v>23</v>
      </c>
      <c r="L263" s="217">
        <v>45</v>
      </c>
      <c r="M263" s="217">
        <v>79</v>
      </c>
      <c r="N263" s="227"/>
      <c r="O263" s="228">
        <f t="shared" si="126"/>
        <v>1.28</v>
      </c>
      <c r="P263" s="228">
        <f t="shared" si="127"/>
        <v>0.6</v>
      </c>
      <c r="Q263" s="228">
        <f t="shared" si="128"/>
        <v>0.48695652173913045</v>
      </c>
      <c r="R263" s="228">
        <f t="shared" si="129"/>
        <v>0.91139240506329122</v>
      </c>
    </row>
    <row r="264" spans="1:18">
      <c r="A264" s="244" t="s">
        <v>447</v>
      </c>
      <c r="B264" s="245" t="s">
        <v>157</v>
      </c>
      <c r="C264" s="84">
        <v>8</v>
      </c>
      <c r="D264" s="84">
        <v>5</v>
      </c>
      <c r="E264" s="226"/>
      <c r="F264" s="246">
        <v>1</v>
      </c>
      <c r="G264" s="246">
        <v>40</v>
      </c>
      <c r="H264" s="246">
        <v>0</v>
      </c>
      <c r="I264" s="246">
        <v>19</v>
      </c>
      <c r="J264" s="246">
        <v>15</v>
      </c>
      <c r="K264" s="246">
        <v>19</v>
      </c>
      <c r="L264" s="246">
        <v>16</v>
      </c>
      <c r="M264" s="246">
        <v>78</v>
      </c>
      <c r="N264" s="227"/>
      <c r="O264" s="247">
        <f t="shared" si="126"/>
        <v>0.04</v>
      </c>
      <c r="P264" s="247">
        <f t="shared" si="127"/>
        <v>0</v>
      </c>
      <c r="Q264" s="247">
        <f t="shared" si="128"/>
        <v>1.263157894736842</v>
      </c>
      <c r="R264" s="247">
        <f t="shared" si="129"/>
        <v>0.3282051282051282</v>
      </c>
    </row>
    <row r="265" spans="1:18">
      <c r="A265" s="224"/>
      <c r="B265" s="251"/>
      <c r="C265" s="226"/>
      <c r="D265" s="226"/>
      <c r="E265" s="226"/>
      <c r="F265" s="241">
        <f t="shared" ref="F265:M265" si="130">SUM(F253:F264)</f>
        <v>445</v>
      </c>
      <c r="G265" s="241">
        <f t="shared" si="130"/>
        <v>985</v>
      </c>
      <c r="H265" s="241">
        <f t="shared" si="130"/>
        <v>161</v>
      </c>
      <c r="I265" s="241">
        <f t="shared" si="130"/>
        <v>423</v>
      </c>
      <c r="J265" s="241">
        <f t="shared" si="130"/>
        <v>903</v>
      </c>
      <c r="K265" s="241">
        <f t="shared" si="130"/>
        <v>890</v>
      </c>
      <c r="L265" s="241">
        <f t="shared" si="130"/>
        <v>1509</v>
      </c>
      <c r="M265" s="241">
        <f t="shared" si="130"/>
        <v>2298</v>
      </c>
      <c r="N265" s="227"/>
      <c r="O265" s="228">
        <f>F265/G265*C264/D264</f>
        <v>0.72284263959390871</v>
      </c>
      <c r="P265" s="228">
        <f>H265/I265*C264/D264</f>
        <v>0.60898345153664302</v>
      </c>
      <c r="Q265" s="228">
        <f>J265/K265*C264/D264</f>
        <v>1.6233707865168541</v>
      </c>
      <c r="R265" s="228">
        <f>L265/M265*C264/D264</f>
        <v>1.0506527415143603</v>
      </c>
    </row>
    <row r="266" spans="1:18">
      <c r="A266" s="224"/>
      <c r="B266" s="251"/>
      <c r="C266" s="226"/>
      <c r="D266" s="226"/>
      <c r="E266" s="226"/>
      <c r="F266" s="264"/>
      <c r="G266" s="264"/>
      <c r="H266" s="98"/>
      <c r="I266" s="98"/>
      <c r="J266" s="98"/>
      <c r="K266" s="98"/>
      <c r="L266" s="98"/>
      <c r="M266" s="98"/>
      <c r="N266" s="180"/>
      <c r="O266" s="228"/>
      <c r="P266" s="228"/>
      <c r="Q266" s="228"/>
      <c r="R266" s="228"/>
    </row>
    <row r="267" spans="1:18">
      <c r="A267" s="224" t="s">
        <v>448</v>
      </c>
      <c r="B267" s="251" t="s">
        <v>158</v>
      </c>
      <c r="C267" s="84">
        <v>5</v>
      </c>
      <c r="D267" s="84">
        <v>5</v>
      </c>
      <c r="E267" s="226"/>
      <c r="F267" s="217">
        <v>0</v>
      </c>
      <c r="G267" s="217">
        <v>395</v>
      </c>
      <c r="H267" s="217">
        <v>126</v>
      </c>
      <c r="I267" s="217">
        <v>180</v>
      </c>
      <c r="J267" s="217">
        <v>180</v>
      </c>
      <c r="K267" s="217">
        <v>420</v>
      </c>
      <c r="L267" s="217">
        <v>306</v>
      </c>
      <c r="M267" s="217">
        <v>995</v>
      </c>
      <c r="N267" s="227"/>
      <c r="O267" s="228">
        <f>F267/G267*C267/D267</f>
        <v>0</v>
      </c>
      <c r="P267" s="228">
        <f>H267/I267*C267/D267</f>
        <v>0.7</v>
      </c>
      <c r="Q267" s="228">
        <f>J267/K267*C267/D267</f>
        <v>0.42857142857142855</v>
      </c>
      <c r="R267" s="228">
        <f>L267/M267*C267/D267</f>
        <v>0.30753768844221108</v>
      </c>
    </row>
    <row r="268" spans="1:18">
      <c r="A268" s="239"/>
      <c r="B268" s="243"/>
      <c r="C268" s="226"/>
      <c r="D268" s="226"/>
      <c r="E268" s="226"/>
      <c r="F268" s="264"/>
      <c r="G268" s="264"/>
      <c r="H268" s="98"/>
      <c r="I268" s="98"/>
      <c r="J268" s="98"/>
      <c r="K268" s="98"/>
      <c r="L268" s="98"/>
      <c r="M268" s="98"/>
      <c r="N268" s="180"/>
      <c r="O268" s="228"/>
      <c r="P268" s="228"/>
      <c r="Q268" s="228"/>
      <c r="R268" s="228"/>
    </row>
    <row r="269" spans="1:18">
      <c r="A269" s="239" t="s">
        <v>449</v>
      </c>
      <c r="B269" s="243" t="s">
        <v>159</v>
      </c>
      <c r="C269" s="84">
        <v>5</v>
      </c>
      <c r="D269" s="84">
        <v>5</v>
      </c>
      <c r="E269" s="226"/>
      <c r="F269" s="217">
        <v>3</v>
      </c>
      <c r="G269" s="217">
        <v>8</v>
      </c>
      <c r="H269" s="217">
        <v>10</v>
      </c>
      <c r="I269" s="217">
        <v>3</v>
      </c>
      <c r="J269" s="217">
        <v>21</v>
      </c>
      <c r="K269" s="217">
        <v>9</v>
      </c>
      <c r="L269" s="217">
        <v>34</v>
      </c>
      <c r="M269" s="217">
        <v>20</v>
      </c>
      <c r="N269" s="227"/>
      <c r="O269" s="228">
        <f t="shared" ref="O269:O273" si="131">F269/G269*C269/D269</f>
        <v>0.375</v>
      </c>
      <c r="P269" s="228">
        <f t="shared" ref="P269:P273" si="132">H269/I269*C269/D269</f>
        <v>3.3333333333333335</v>
      </c>
      <c r="Q269" s="228">
        <f t="shared" ref="Q269:Q273" si="133">J269/K269*C269/D269</f>
        <v>2.3333333333333335</v>
      </c>
      <c r="R269" s="228">
        <f t="shared" ref="R269:R273" si="134">L269/M269*C269/D269</f>
        <v>1.7</v>
      </c>
    </row>
    <row r="270" spans="1:18">
      <c r="A270" s="224" t="s">
        <v>450</v>
      </c>
      <c r="B270" s="251" t="s">
        <v>159</v>
      </c>
      <c r="C270" s="84">
        <v>5</v>
      </c>
      <c r="D270" s="84">
        <v>5</v>
      </c>
      <c r="E270" s="226"/>
      <c r="F270" s="217">
        <v>0</v>
      </c>
      <c r="G270" s="217">
        <v>67</v>
      </c>
      <c r="H270" s="217">
        <v>66</v>
      </c>
      <c r="I270" s="217">
        <v>27</v>
      </c>
      <c r="J270" s="217">
        <v>127</v>
      </c>
      <c r="K270" s="217">
        <v>74</v>
      </c>
      <c r="L270" s="217">
        <v>193</v>
      </c>
      <c r="M270" s="217">
        <v>168</v>
      </c>
      <c r="N270" s="227"/>
      <c r="O270" s="228">
        <f t="shared" si="131"/>
        <v>0</v>
      </c>
      <c r="P270" s="228">
        <f t="shared" si="132"/>
        <v>2.4444444444444446</v>
      </c>
      <c r="Q270" s="228">
        <f t="shared" si="133"/>
        <v>1.7162162162162162</v>
      </c>
      <c r="R270" s="228">
        <f t="shared" si="134"/>
        <v>1.1488095238095237</v>
      </c>
    </row>
    <row r="271" spans="1:18">
      <c r="A271" s="224" t="s">
        <v>451</v>
      </c>
      <c r="B271" s="251" t="s">
        <v>159</v>
      </c>
      <c r="C271" s="84">
        <v>5</v>
      </c>
      <c r="D271" s="84">
        <v>5</v>
      </c>
      <c r="E271" s="226"/>
      <c r="F271" s="217">
        <v>0</v>
      </c>
      <c r="G271" s="217">
        <v>2</v>
      </c>
      <c r="H271" s="217">
        <v>2</v>
      </c>
      <c r="I271" s="217">
        <v>1</v>
      </c>
      <c r="J271" s="217">
        <v>8</v>
      </c>
      <c r="K271" s="217">
        <v>1</v>
      </c>
      <c r="L271" s="217">
        <v>10</v>
      </c>
      <c r="M271" s="217">
        <v>4</v>
      </c>
      <c r="N271" s="227"/>
      <c r="O271" s="228">
        <f t="shared" si="131"/>
        <v>0</v>
      </c>
      <c r="P271" s="228">
        <f t="shared" si="132"/>
        <v>2</v>
      </c>
      <c r="Q271" s="228">
        <f t="shared" si="133"/>
        <v>8</v>
      </c>
      <c r="R271" s="228">
        <f t="shared" si="134"/>
        <v>2.5</v>
      </c>
    </row>
    <row r="272" spans="1:18">
      <c r="A272" s="244" t="s">
        <v>452</v>
      </c>
      <c r="B272" s="251" t="s">
        <v>159</v>
      </c>
      <c r="C272" s="84">
        <v>5</v>
      </c>
      <c r="D272" s="84">
        <v>5</v>
      </c>
      <c r="E272" s="226"/>
      <c r="F272" s="217">
        <v>80</v>
      </c>
      <c r="G272" s="217">
        <v>18</v>
      </c>
      <c r="H272" s="217">
        <v>38</v>
      </c>
      <c r="I272" s="217">
        <v>7</v>
      </c>
      <c r="J272" s="217">
        <v>35</v>
      </c>
      <c r="K272" s="217">
        <v>20</v>
      </c>
      <c r="L272" s="217">
        <v>153</v>
      </c>
      <c r="M272" s="217">
        <v>45</v>
      </c>
      <c r="N272" s="227"/>
      <c r="O272" s="228">
        <f t="shared" si="131"/>
        <v>4.4444444444444446</v>
      </c>
      <c r="P272" s="228">
        <f t="shared" si="132"/>
        <v>5.4285714285714288</v>
      </c>
      <c r="Q272" s="228">
        <f t="shared" si="133"/>
        <v>1.75</v>
      </c>
      <c r="R272" s="228">
        <f t="shared" si="134"/>
        <v>3.4</v>
      </c>
    </row>
    <row r="273" spans="1:18">
      <c r="A273" s="224" t="s">
        <v>453</v>
      </c>
      <c r="B273" s="251" t="s">
        <v>159</v>
      </c>
      <c r="C273" s="84">
        <v>5</v>
      </c>
      <c r="D273" s="84">
        <v>5</v>
      </c>
      <c r="E273" s="226"/>
      <c r="F273" s="246">
        <v>4</v>
      </c>
      <c r="G273" s="246">
        <v>5</v>
      </c>
      <c r="H273" s="246">
        <v>4</v>
      </c>
      <c r="I273" s="246">
        <v>2</v>
      </c>
      <c r="J273" s="246">
        <v>1</v>
      </c>
      <c r="K273" s="246">
        <v>6</v>
      </c>
      <c r="L273" s="246">
        <v>9</v>
      </c>
      <c r="M273" s="246">
        <v>13</v>
      </c>
      <c r="N273" s="227"/>
      <c r="O273" s="247">
        <f t="shared" si="131"/>
        <v>0.8</v>
      </c>
      <c r="P273" s="247">
        <f t="shared" si="132"/>
        <v>2</v>
      </c>
      <c r="Q273" s="247">
        <f t="shared" si="133"/>
        <v>0.16666666666666666</v>
      </c>
      <c r="R273" s="247">
        <f t="shared" si="134"/>
        <v>0.69230769230769229</v>
      </c>
    </row>
    <row r="274" spans="1:18">
      <c r="A274" s="239"/>
      <c r="B274" s="243"/>
      <c r="C274" s="226"/>
      <c r="D274" s="226"/>
      <c r="E274" s="226"/>
      <c r="F274" s="241">
        <f t="shared" ref="F274:M274" si="135">SUM(F269:F273)</f>
        <v>87</v>
      </c>
      <c r="G274" s="241">
        <f t="shared" si="135"/>
        <v>100</v>
      </c>
      <c r="H274" s="241">
        <f t="shared" si="135"/>
        <v>120</v>
      </c>
      <c r="I274" s="241">
        <f t="shared" si="135"/>
        <v>40</v>
      </c>
      <c r="J274" s="241">
        <f t="shared" si="135"/>
        <v>192</v>
      </c>
      <c r="K274" s="241">
        <f t="shared" si="135"/>
        <v>110</v>
      </c>
      <c r="L274" s="241">
        <f t="shared" si="135"/>
        <v>399</v>
      </c>
      <c r="M274" s="241">
        <f t="shared" si="135"/>
        <v>250</v>
      </c>
      <c r="N274" s="227"/>
      <c r="O274" s="228">
        <f>F274/G274*C273/D273</f>
        <v>0.86999999999999988</v>
      </c>
      <c r="P274" s="228">
        <f>H274/I274*C273/D273</f>
        <v>3</v>
      </c>
      <c r="Q274" s="228">
        <f>J274/K274*C273/D273</f>
        <v>1.7454545454545454</v>
      </c>
      <c r="R274" s="228">
        <f>L274/M274*C273/D273</f>
        <v>1.5960000000000001</v>
      </c>
    </row>
    <row r="275" spans="1:18">
      <c r="A275" s="239"/>
      <c r="B275" s="243"/>
      <c r="C275" s="226"/>
      <c r="D275" s="226"/>
      <c r="E275" s="226"/>
      <c r="F275" s="264"/>
      <c r="G275" s="264"/>
      <c r="H275" s="98"/>
      <c r="I275" s="98"/>
      <c r="J275" s="98"/>
      <c r="K275" s="98"/>
      <c r="L275" s="98"/>
      <c r="M275" s="98"/>
      <c r="N275" s="180"/>
      <c r="O275" s="228"/>
      <c r="P275" s="228"/>
      <c r="Q275" s="228"/>
      <c r="R275" s="228"/>
    </row>
    <row r="276" spans="1:18">
      <c r="A276" s="239" t="s">
        <v>454</v>
      </c>
      <c r="B276" s="243" t="s">
        <v>160</v>
      </c>
      <c r="C276" s="84">
        <v>8</v>
      </c>
      <c r="D276" s="84">
        <v>4</v>
      </c>
      <c r="E276" s="226"/>
      <c r="F276" s="217">
        <v>0</v>
      </c>
      <c r="G276" s="217">
        <v>736</v>
      </c>
      <c r="H276" s="217">
        <v>0</v>
      </c>
      <c r="I276" s="217">
        <v>281</v>
      </c>
      <c r="J276" s="217">
        <v>384</v>
      </c>
      <c r="K276" s="217">
        <v>748</v>
      </c>
      <c r="L276" s="217">
        <v>384</v>
      </c>
      <c r="M276" s="217">
        <v>1765</v>
      </c>
      <c r="N276" s="227"/>
      <c r="O276" s="228">
        <f t="shared" ref="O276:O281" si="136">F276/G276*C276/D276</f>
        <v>0</v>
      </c>
      <c r="P276" s="228">
        <f t="shared" ref="P276:P281" si="137">H276/I276*C276/D276</f>
        <v>0</v>
      </c>
      <c r="Q276" s="228">
        <f t="shared" ref="Q276:Q283" si="138">J276/K276*$C$276/$D$276</f>
        <v>1.0267379679144386</v>
      </c>
      <c r="R276" s="228">
        <f t="shared" ref="R276:R281" si="139">L276/M276*C276/D276</f>
        <v>0.43512747875354107</v>
      </c>
    </row>
    <row r="277" spans="1:18">
      <c r="A277" s="224" t="s">
        <v>455</v>
      </c>
      <c r="B277" s="225" t="s">
        <v>160</v>
      </c>
      <c r="C277" s="84">
        <v>8</v>
      </c>
      <c r="D277" s="84">
        <v>4</v>
      </c>
      <c r="E277" s="226"/>
      <c r="F277" s="217">
        <v>0</v>
      </c>
      <c r="G277" s="255">
        <v>98</v>
      </c>
      <c r="H277" s="217">
        <v>0</v>
      </c>
      <c r="I277" s="255">
        <v>47</v>
      </c>
      <c r="J277" s="217">
        <v>0</v>
      </c>
      <c r="K277" s="255">
        <v>124</v>
      </c>
      <c r="L277" s="217">
        <v>0</v>
      </c>
      <c r="M277" s="255">
        <v>269</v>
      </c>
      <c r="N277" s="227"/>
      <c r="O277" s="228">
        <f t="shared" si="136"/>
        <v>0</v>
      </c>
      <c r="P277" s="228">
        <f t="shared" si="137"/>
        <v>0</v>
      </c>
      <c r="Q277" s="228">
        <f t="shared" si="138"/>
        <v>0</v>
      </c>
      <c r="R277" s="228">
        <f t="shared" si="139"/>
        <v>0</v>
      </c>
    </row>
    <row r="278" spans="1:18">
      <c r="A278" s="224" t="s">
        <v>456</v>
      </c>
      <c r="B278" s="225" t="s">
        <v>160</v>
      </c>
      <c r="C278" s="84">
        <v>8</v>
      </c>
      <c r="D278" s="84">
        <v>4</v>
      </c>
      <c r="E278" s="226"/>
      <c r="F278" s="217">
        <v>0</v>
      </c>
      <c r="G278" s="217">
        <v>117</v>
      </c>
      <c r="H278" s="217">
        <v>0</v>
      </c>
      <c r="I278" s="217">
        <v>51</v>
      </c>
      <c r="J278" s="217">
        <v>0</v>
      </c>
      <c r="K278" s="217">
        <v>136</v>
      </c>
      <c r="L278" s="217">
        <v>5</v>
      </c>
      <c r="M278" s="217">
        <v>304</v>
      </c>
      <c r="N278" s="227"/>
      <c r="O278" s="228">
        <f t="shared" si="136"/>
        <v>0</v>
      </c>
      <c r="P278" s="228">
        <f t="shared" si="137"/>
        <v>0</v>
      </c>
      <c r="Q278" s="228">
        <f t="shared" si="138"/>
        <v>0</v>
      </c>
      <c r="R278" s="228">
        <f t="shared" si="139"/>
        <v>3.2894736842105261E-2</v>
      </c>
    </row>
    <row r="279" spans="1:18">
      <c r="A279" s="239" t="s">
        <v>457</v>
      </c>
      <c r="B279" s="225" t="s">
        <v>160</v>
      </c>
      <c r="C279" s="84">
        <v>8</v>
      </c>
      <c r="D279" s="84">
        <v>4</v>
      </c>
      <c r="E279" s="226"/>
      <c r="F279" s="217">
        <v>9</v>
      </c>
      <c r="G279" s="217">
        <v>427</v>
      </c>
      <c r="H279" s="217">
        <v>7</v>
      </c>
      <c r="I279" s="217">
        <v>163</v>
      </c>
      <c r="J279" s="217">
        <v>179</v>
      </c>
      <c r="K279" s="217">
        <v>435</v>
      </c>
      <c r="L279" s="217">
        <v>195</v>
      </c>
      <c r="M279" s="217">
        <v>1025</v>
      </c>
      <c r="N279" s="227"/>
      <c r="O279" s="228">
        <f t="shared" si="136"/>
        <v>4.2154566744730677E-2</v>
      </c>
      <c r="P279" s="228">
        <f t="shared" si="137"/>
        <v>8.5889570552147243E-2</v>
      </c>
      <c r="Q279" s="228">
        <f t="shared" si="138"/>
        <v>0.82298850574712645</v>
      </c>
      <c r="R279" s="228">
        <f t="shared" si="139"/>
        <v>0.38048780487804879</v>
      </c>
    </row>
    <row r="280" spans="1:18">
      <c r="A280" s="239" t="s">
        <v>458</v>
      </c>
      <c r="B280" s="243" t="s">
        <v>160</v>
      </c>
      <c r="C280" s="84">
        <v>8</v>
      </c>
      <c r="D280" s="84">
        <v>4</v>
      </c>
      <c r="E280" s="226"/>
      <c r="F280" s="217">
        <v>63</v>
      </c>
      <c r="G280" s="217">
        <v>1035</v>
      </c>
      <c r="H280" s="217">
        <v>13</v>
      </c>
      <c r="I280" s="217">
        <v>396</v>
      </c>
      <c r="J280" s="217">
        <v>667</v>
      </c>
      <c r="K280" s="217">
        <v>1049</v>
      </c>
      <c r="L280" s="217">
        <v>743</v>
      </c>
      <c r="M280" s="217">
        <v>2480</v>
      </c>
      <c r="N280" s="227"/>
      <c r="O280" s="228">
        <f t="shared" si="136"/>
        <v>0.12173913043478261</v>
      </c>
      <c r="P280" s="228">
        <f t="shared" si="137"/>
        <v>6.5656565656565663E-2</v>
      </c>
      <c r="Q280" s="228">
        <f t="shared" si="138"/>
        <v>1.2716873212583413</v>
      </c>
      <c r="R280" s="228">
        <f t="shared" si="139"/>
        <v>0.59919354838709682</v>
      </c>
    </row>
    <row r="281" spans="1:18">
      <c r="A281" s="224" t="s">
        <v>160</v>
      </c>
      <c r="B281" s="251" t="s">
        <v>160</v>
      </c>
      <c r="C281" s="84">
        <v>8</v>
      </c>
      <c r="D281" s="84">
        <v>4</v>
      </c>
      <c r="E281" s="226"/>
      <c r="F281" s="217">
        <v>0</v>
      </c>
      <c r="G281" s="217">
        <v>2317</v>
      </c>
      <c r="H281" s="217">
        <v>163</v>
      </c>
      <c r="I281" s="217">
        <v>886</v>
      </c>
      <c r="J281" s="217">
        <v>1335</v>
      </c>
      <c r="K281" s="217">
        <v>2348</v>
      </c>
      <c r="L281" s="217">
        <v>1498</v>
      </c>
      <c r="M281" s="217">
        <v>5551</v>
      </c>
      <c r="N281" s="227"/>
      <c r="O281" s="228">
        <f t="shared" si="136"/>
        <v>0</v>
      </c>
      <c r="P281" s="228">
        <f t="shared" si="137"/>
        <v>0.36794582392776526</v>
      </c>
      <c r="Q281" s="228">
        <f t="shared" si="138"/>
        <v>1.137137989778535</v>
      </c>
      <c r="R281" s="228">
        <f t="shared" si="139"/>
        <v>0.53972257250945777</v>
      </c>
    </row>
    <row r="282" spans="1:18">
      <c r="A282" s="239" t="s">
        <v>459</v>
      </c>
      <c r="B282" s="243" t="s">
        <v>160</v>
      </c>
      <c r="C282" s="84">
        <v>8</v>
      </c>
      <c r="D282" s="84">
        <v>4</v>
      </c>
      <c r="E282" s="226"/>
      <c r="F282" s="246">
        <v>36</v>
      </c>
      <c r="G282" s="246">
        <v>1860</v>
      </c>
      <c r="H282" s="246">
        <v>92</v>
      </c>
      <c r="I282" s="246">
        <v>711</v>
      </c>
      <c r="J282" s="246">
        <v>508</v>
      </c>
      <c r="K282" s="246">
        <v>1885</v>
      </c>
      <c r="L282" s="246">
        <v>636</v>
      </c>
      <c r="M282" s="246">
        <v>4456</v>
      </c>
      <c r="N282" s="227"/>
      <c r="O282" s="247">
        <f t="shared" ref="O282:O283" si="140">F282/G282*$C$282/$D$282</f>
        <v>3.870967741935484E-2</v>
      </c>
      <c r="P282" s="247">
        <f t="shared" ref="P282:P283" si="141">H282/I282*$C$282/$D$282</f>
        <v>0.2587904360056259</v>
      </c>
      <c r="Q282" s="247">
        <f t="shared" si="138"/>
        <v>0.53899204244031829</v>
      </c>
      <c r="R282" s="247">
        <f t="shared" ref="R282:R283" si="142">L282/M282*$C$282/$D$282</f>
        <v>0.28545780969479356</v>
      </c>
    </row>
    <row r="283" spans="1:18">
      <c r="A283" s="239"/>
      <c r="B283" s="243"/>
      <c r="C283" s="226"/>
      <c r="D283" s="226"/>
      <c r="E283" s="226"/>
      <c r="F283" s="241">
        <f t="shared" ref="F283:M283" si="143">SUM(F276:F282)</f>
        <v>108</v>
      </c>
      <c r="G283" s="241">
        <f t="shared" si="143"/>
        <v>6590</v>
      </c>
      <c r="H283" s="241">
        <f t="shared" si="143"/>
        <v>275</v>
      </c>
      <c r="I283" s="241">
        <f t="shared" si="143"/>
        <v>2535</v>
      </c>
      <c r="J283" s="241">
        <f t="shared" si="143"/>
        <v>3073</v>
      </c>
      <c r="K283" s="241">
        <f t="shared" si="143"/>
        <v>6725</v>
      </c>
      <c r="L283" s="241">
        <f t="shared" si="143"/>
        <v>3461</v>
      </c>
      <c r="M283" s="241">
        <f t="shared" si="143"/>
        <v>15850</v>
      </c>
      <c r="N283" s="227"/>
      <c r="O283" s="228">
        <f t="shared" si="140"/>
        <v>3.2776934749620637E-2</v>
      </c>
      <c r="P283" s="228">
        <f t="shared" si="141"/>
        <v>0.21696252465483234</v>
      </c>
      <c r="Q283" s="228">
        <f t="shared" si="138"/>
        <v>0.91390334572490706</v>
      </c>
      <c r="R283" s="228">
        <f t="shared" si="142"/>
        <v>0.4367192429022082</v>
      </c>
    </row>
    <row r="284" spans="1:18">
      <c r="A284" s="239"/>
      <c r="B284" s="243"/>
      <c r="C284" s="226"/>
      <c r="D284" s="226"/>
      <c r="E284" s="226"/>
      <c r="F284" s="264"/>
      <c r="G284" s="264"/>
      <c r="H284" s="98"/>
      <c r="I284" s="98"/>
      <c r="J284" s="98"/>
      <c r="K284" s="98"/>
      <c r="L284" s="98"/>
      <c r="M284" s="98"/>
      <c r="N284" s="180"/>
      <c r="O284" s="228"/>
      <c r="P284" s="228"/>
      <c r="Q284" s="228"/>
      <c r="R284" s="228"/>
    </row>
    <row r="285" spans="1:18">
      <c r="A285" s="239" t="s">
        <v>460</v>
      </c>
      <c r="B285" s="243" t="s">
        <v>162</v>
      </c>
      <c r="C285" s="84">
        <v>5</v>
      </c>
      <c r="D285" s="84">
        <v>5</v>
      </c>
      <c r="E285" s="226"/>
      <c r="F285" s="217">
        <v>0</v>
      </c>
      <c r="G285" s="217">
        <v>2</v>
      </c>
      <c r="H285" s="217">
        <v>1</v>
      </c>
      <c r="I285" s="217">
        <v>1</v>
      </c>
      <c r="J285" s="217">
        <v>0</v>
      </c>
      <c r="K285" s="217">
        <v>2</v>
      </c>
      <c r="L285" s="217">
        <v>0</v>
      </c>
      <c r="M285" s="217">
        <v>5</v>
      </c>
      <c r="N285" s="227"/>
      <c r="O285" s="228">
        <f t="shared" ref="O285:O286" si="144">F285/G285*C285/D285</f>
        <v>0</v>
      </c>
      <c r="P285" s="228">
        <f t="shared" ref="P285:P286" si="145">H285/I285*C285/D285</f>
        <v>1</v>
      </c>
      <c r="Q285" s="228">
        <f t="shared" ref="Q285:Q287" si="146">J285/K285*$C$285/$D$285</f>
        <v>0</v>
      </c>
      <c r="R285" s="228">
        <f t="shared" ref="R285:R286" si="147">L285/M285*C285/D285</f>
        <v>0</v>
      </c>
    </row>
    <row r="286" spans="1:18">
      <c r="A286" s="224" t="s">
        <v>461</v>
      </c>
      <c r="B286" s="225" t="s">
        <v>162</v>
      </c>
      <c r="C286" s="84">
        <v>5</v>
      </c>
      <c r="D286" s="84">
        <v>5</v>
      </c>
      <c r="E286" s="226"/>
      <c r="F286" s="246">
        <v>0</v>
      </c>
      <c r="G286" s="246">
        <v>4</v>
      </c>
      <c r="H286" s="246">
        <v>1</v>
      </c>
      <c r="I286" s="246">
        <v>1</v>
      </c>
      <c r="J286" s="246">
        <v>4</v>
      </c>
      <c r="K286" s="246">
        <v>5</v>
      </c>
      <c r="L286" s="246">
        <v>0</v>
      </c>
      <c r="M286" s="246">
        <v>10</v>
      </c>
      <c r="N286" s="227"/>
      <c r="O286" s="247">
        <f t="shared" si="144"/>
        <v>0</v>
      </c>
      <c r="P286" s="247">
        <f t="shared" si="145"/>
        <v>1</v>
      </c>
      <c r="Q286" s="247">
        <f t="shared" si="146"/>
        <v>0.8</v>
      </c>
      <c r="R286" s="247">
        <f t="shared" si="147"/>
        <v>0</v>
      </c>
    </row>
    <row r="287" spans="1:18">
      <c r="A287" s="239"/>
      <c r="B287" s="243"/>
      <c r="C287" s="84"/>
      <c r="D287" s="84"/>
      <c r="E287" s="226"/>
      <c r="F287" s="241">
        <f t="shared" ref="F287:K287" si="148">F285+F286</f>
        <v>0</v>
      </c>
      <c r="G287" s="241">
        <f t="shared" si="148"/>
        <v>6</v>
      </c>
      <c r="H287" s="241">
        <f t="shared" si="148"/>
        <v>2</v>
      </c>
      <c r="I287" s="241">
        <f t="shared" si="148"/>
        <v>2</v>
      </c>
      <c r="J287" s="241">
        <f t="shared" si="148"/>
        <v>4</v>
      </c>
      <c r="K287" s="241">
        <f t="shared" si="148"/>
        <v>7</v>
      </c>
      <c r="L287" s="241">
        <f>F287+H287+J287</f>
        <v>6</v>
      </c>
      <c r="M287" s="241">
        <f>M285+M286</f>
        <v>15</v>
      </c>
      <c r="N287" s="227"/>
      <c r="O287" s="228">
        <f>F287/G287*C286/D286</f>
        <v>0</v>
      </c>
      <c r="P287" s="228">
        <f>H287/I287*C286/D286</f>
        <v>1</v>
      </c>
      <c r="Q287" s="228">
        <f t="shared" si="146"/>
        <v>0.5714285714285714</v>
      </c>
      <c r="R287" s="228">
        <f>L287/M287*C285/D285</f>
        <v>0.4</v>
      </c>
    </row>
    <row r="288" spans="1:18">
      <c r="A288" s="239"/>
      <c r="B288" s="243"/>
      <c r="C288" s="84"/>
      <c r="D288" s="84"/>
      <c r="E288" s="226"/>
      <c r="F288" s="264"/>
      <c r="G288" s="264"/>
      <c r="H288" s="98"/>
      <c r="I288" s="98"/>
      <c r="J288" s="98"/>
      <c r="K288" s="98"/>
      <c r="L288" s="98"/>
      <c r="M288" s="98"/>
      <c r="N288" s="180"/>
      <c r="O288" s="228"/>
      <c r="P288" s="228"/>
      <c r="Q288" s="228"/>
      <c r="R288" s="228"/>
    </row>
    <row r="289" spans="1:18">
      <c r="A289" s="239" t="s">
        <v>462</v>
      </c>
      <c r="B289" s="243" t="s">
        <v>163</v>
      </c>
      <c r="C289" s="84">
        <v>5</v>
      </c>
      <c r="D289" s="84">
        <v>5</v>
      </c>
      <c r="E289" s="226"/>
      <c r="F289" s="217">
        <v>0</v>
      </c>
      <c r="G289" s="217">
        <v>29</v>
      </c>
      <c r="H289" s="217">
        <v>0</v>
      </c>
      <c r="I289" s="217">
        <v>14</v>
      </c>
      <c r="J289" s="217">
        <v>150</v>
      </c>
      <c r="K289" s="217">
        <v>31</v>
      </c>
      <c r="L289" s="217">
        <v>150</v>
      </c>
      <c r="M289" s="217">
        <v>74</v>
      </c>
      <c r="N289" s="227"/>
      <c r="O289" s="228">
        <f>F289/G289*C289/D289</f>
        <v>0</v>
      </c>
      <c r="P289" s="228">
        <f>H289/I289*C289/D289</f>
        <v>0</v>
      </c>
      <c r="Q289" s="228">
        <f t="shared" ref="Q289:Q291" si="149">J289/K289*$C$289/$D$289</f>
        <v>4.838709677419355</v>
      </c>
      <c r="R289" s="228">
        <f>L289/M289*C289/D289</f>
        <v>2.0270270270270272</v>
      </c>
    </row>
    <row r="290" spans="1:18">
      <c r="A290" s="224" t="s">
        <v>463</v>
      </c>
      <c r="B290" s="251" t="s">
        <v>163</v>
      </c>
      <c r="C290" s="84">
        <v>5</v>
      </c>
      <c r="D290" s="84">
        <v>5</v>
      </c>
      <c r="E290" s="226"/>
      <c r="F290" s="246">
        <v>29</v>
      </c>
      <c r="G290" s="246">
        <v>18</v>
      </c>
      <c r="H290" s="246">
        <v>62</v>
      </c>
      <c r="I290" s="246">
        <v>9</v>
      </c>
      <c r="J290" s="246">
        <v>47</v>
      </c>
      <c r="K290" s="246">
        <v>19</v>
      </c>
      <c r="L290" s="246">
        <v>138</v>
      </c>
      <c r="M290" s="246">
        <v>46</v>
      </c>
      <c r="N290" s="227"/>
      <c r="O290" s="247">
        <f t="shared" ref="O290:O291" si="150">F290/G290*$C$290/$D$290</f>
        <v>1.6111111111111112</v>
      </c>
      <c r="P290" s="247">
        <f t="shared" ref="P290:P291" si="151">H290/I290*$C$290/$D$290</f>
        <v>6.8888888888888884</v>
      </c>
      <c r="Q290" s="247">
        <f t="shared" si="149"/>
        <v>2.4736842105263159</v>
      </c>
      <c r="R290" s="247">
        <f t="shared" ref="R290:R291" si="152">L290/M290*$C$290/$D$290</f>
        <v>3</v>
      </c>
    </row>
    <row r="291" spans="1:18">
      <c r="A291" s="239"/>
      <c r="B291" s="243"/>
      <c r="C291" s="226"/>
      <c r="D291" s="226"/>
      <c r="E291" s="226"/>
      <c r="F291" s="241">
        <f t="shared" ref="F291:M291" si="153">F289+F290</f>
        <v>29</v>
      </c>
      <c r="G291" s="241">
        <f t="shared" si="153"/>
        <v>47</v>
      </c>
      <c r="H291" s="241">
        <f t="shared" si="153"/>
        <v>62</v>
      </c>
      <c r="I291" s="241">
        <f t="shared" si="153"/>
        <v>23</v>
      </c>
      <c r="J291" s="241">
        <f t="shared" si="153"/>
        <v>197</v>
      </c>
      <c r="K291" s="241">
        <f t="shared" si="153"/>
        <v>50</v>
      </c>
      <c r="L291" s="241">
        <f t="shared" si="153"/>
        <v>288</v>
      </c>
      <c r="M291" s="241">
        <f t="shared" si="153"/>
        <v>120</v>
      </c>
      <c r="N291" s="227"/>
      <c r="O291" s="228">
        <f t="shared" si="150"/>
        <v>0.61702127659574468</v>
      </c>
      <c r="P291" s="228">
        <f t="shared" si="151"/>
        <v>2.6956521739130435</v>
      </c>
      <c r="Q291" s="228">
        <f t="shared" si="149"/>
        <v>3.94</v>
      </c>
      <c r="R291" s="228">
        <f t="shared" si="152"/>
        <v>2.4</v>
      </c>
    </row>
    <row r="292" spans="1:18">
      <c r="A292" s="239"/>
      <c r="B292" s="243"/>
      <c r="C292" s="226"/>
      <c r="D292" s="226"/>
      <c r="E292" s="226"/>
      <c r="F292" s="264"/>
      <c r="G292" s="264"/>
      <c r="H292" s="98"/>
      <c r="I292" s="98"/>
      <c r="J292" s="98"/>
      <c r="K292" s="98"/>
      <c r="L292" s="98"/>
      <c r="M292" s="98"/>
      <c r="N292" s="180"/>
      <c r="O292" s="228"/>
      <c r="P292" s="228"/>
      <c r="Q292" s="228"/>
      <c r="R292" s="228"/>
    </row>
    <row r="293" spans="1:18">
      <c r="A293" s="239" t="s">
        <v>464</v>
      </c>
      <c r="B293" s="243" t="s">
        <v>164</v>
      </c>
      <c r="C293" s="84">
        <v>8</v>
      </c>
      <c r="D293" s="84">
        <v>4</v>
      </c>
      <c r="E293" s="226"/>
      <c r="F293" s="241">
        <v>0</v>
      </c>
      <c r="G293" s="241">
        <v>12</v>
      </c>
      <c r="H293" s="241">
        <v>0</v>
      </c>
      <c r="I293" s="241">
        <v>6</v>
      </c>
      <c r="J293" s="241">
        <v>0</v>
      </c>
      <c r="K293" s="241">
        <v>13</v>
      </c>
      <c r="L293" s="241">
        <v>0</v>
      </c>
      <c r="M293" s="217">
        <f>G293+I293+K293</f>
        <v>31</v>
      </c>
      <c r="N293" s="227"/>
      <c r="O293" s="228">
        <f t="shared" ref="O293:O295" si="154">F293/G293*C293/D293</f>
        <v>0</v>
      </c>
      <c r="P293" s="228">
        <f t="shared" ref="P293:P295" si="155">H293/I293*C293/D293</f>
        <v>0</v>
      </c>
      <c r="Q293" s="228">
        <f t="shared" ref="Q293:Q305" si="156">J293/K293*C293/D293</f>
        <v>0</v>
      </c>
      <c r="R293" s="228">
        <f t="shared" ref="R293:R305" si="157">L293/M293*C293/D293</f>
        <v>0</v>
      </c>
    </row>
    <row r="294" spans="1:18">
      <c r="A294" s="239" t="s">
        <v>465</v>
      </c>
      <c r="B294" s="243" t="s">
        <v>164</v>
      </c>
      <c r="C294" s="84">
        <v>8</v>
      </c>
      <c r="D294" s="84">
        <v>4</v>
      </c>
      <c r="E294" s="226"/>
      <c r="F294" s="217">
        <v>0</v>
      </c>
      <c r="G294" s="217">
        <v>11</v>
      </c>
      <c r="H294" s="217">
        <v>0</v>
      </c>
      <c r="I294" s="217">
        <v>5</v>
      </c>
      <c r="J294" s="217">
        <v>0</v>
      </c>
      <c r="K294" s="217">
        <v>11</v>
      </c>
      <c r="L294" s="217">
        <v>0</v>
      </c>
      <c r="M294" s="217">
        <v>27</v>
      </c>
      <c r="N294" s="227"/>
      <c r="O294" s="228">
        <f t="shared" si="154"/>
        <v>0</v>
      </c>
      <c r="P294" s="228">
        <f t="shared" si="155"/>
        <v>0</v>
      </c>
      <c r="Q294" s="228">
        <f t="shared" si="156"/>
        <v>0</v>
      </c>
      <c r="R294" s="228">
        <f t="shared" si="157"/>
        <v>0</v>
      </c>
    </row>
    <row r="295" spans="1:18">
      <c r="A295" s="239" t="s">
        <v>466</v>
      </c>
      <c r="B295" s="243" t="s">
        <v>164</v>
      </c>
      <c r="C295" s="84">
        <v>8</v>
      </c>
      <c r="D295" s="84">
        <v>4</v>
      </c>
      <c r="E295" s="226"/>
      <c r="F295" s="217">
        <v>0</v>
      </c>
      <c r="G295" s="217">
        <v>117</v>
      </c>
      <c r="H295" s="217">
        <v>0</v>
      </c>
      <c r="I295" s="217">
        <v>53</v>
      </c>
      <c r="J295" s="217">
        <v>0</v>
      </c>
      <c r="K295" s="217">
        <v>123</v>
      </c>
      <c r="L295" s="217">
        <v>0</v>
      </c>
      <c r="M295" s="217">
        <v>293</v>
      </c>
      <c r="N295" s="227"/>
      <c r="O295" s="228">
        <f t="shared" si="154"/>
        <v>0</v>
      </c>
      <c r="P295" s="228">
        <f t="shared" si="155"/>
        <v>0</v>
      </c>
      <c r="Q295" s="228">
        <f t="shared" si="156"/>
        <v>0</v>
      </c>
      <c r="R295" s="228">
        <f t="shared" si="157"/>
        <v>0</v>
      </c>
    </row>
    <row r="296" spans="1:18">
      <c r="A296" s="224" t="s">
        <v>467</v>
      </c>
      <c r="B296" s="243" t="s">
        <v>164</v>
      </c>
      <c r="C296" s="84">
        <v>5</v>
      </c>
      <c r="D296" s="84">
        <v>5</v>
      </c>
      <c r="E296" s="226"/>
      <c r="F296" s="217">
        <v>0</v>
      </c>
      <c r="G296" s="217">
        <v>144</v>
      </c>
      <c r="H296" s="217">
        <v>1</v>
      </c>
      <c r="I296" s="217">
        <v>66</v>
      </c>
      <c r="J296" s="217">
        <v>6</v>
      </c>
      <c r="K296" s="217">
        <v>153</v>
      </c>
      <c r="L296" s="217">
        <v>7</v>
      </c>
      <c r="M296" s="217">
        <v>363</v>
      </c>
      <c r="N296" s="227"/>
      <c r="O296" s="228">
        <v>0</v>
      </c>
      <c r="P296" s="228">
        <v>1.5151515151515152E-2</v>
      </c>
      <c r="Q296" s="228">
        <f t="shared" si="156"/>
        <v>3.9215686274509803E-2</v>
      </c>
      <c r="R296" s="228">
        <f t="shared" si="157"/>
        <v>1.928374655647383E-2</v>
      </c>
    </row>
    <row r="297" spans="1:18">
      <c r="A297" s="224" t="s">
        <v>468</v>
      </c>
      <c r="B297" s="225" t="s">
        <v>164</v>
      </c>
      <c r="C297" s="84">
        <v>8</v>
      </c>
      <c r="D297" s="84">
        <v>4</v>
      </c>
      <c r="E297" s="226"/>
      <c r="F297" s="217">
        <v>6</v>
      </c>
      <c r="G297" s="217">
        <v>71</v>
      </c>
      <c r="H297" s="217">
        <v>6</v>
      </c>
      <c r="I297" s="217">
        <v>33</v>
      </c>
      <c r="J297" s="217">
        <v>176</v>
      </c>
      <c r="K297" s="217">
        <v>76</v>
      </c>
      <c r="L297" s="217">
        <v>188</v>
      </c>
      <c r="M297" s="217">
        <v>180</v>
      </c>
      <c r="N297" s="227"/>
      <c r="O297" s="228">
        <f t="shared" ref="O297:O305" si="158">F297/G297*C297/D297</f>
        <v>0.16901408450704225</v>
      </c>
      <c r="P297" s="228">
        <f t="shared" ref="P297:P305" si="159">H297/I297*C297/D297</f>
        <v>0.36363636363636365</v>
      </c>
      <c r="Q297" s="228">
        <f t="shared" si="156"/>
        <v>4.6315789473684212</v>
      </c>
      <c r="R297" s="228">
        <f t="shared" si="157"/>
        <v>2.088888888888889</v>
      </c>
    </row>
    <row r="298" spans="1:18">
      <c r="A298" s="239" t="s">
        <v>469</v>
      </c>
      <c r="B298" s="265" t="s">
        <v>164</v>
      </c>
      <c r="C298" s="84">
        <v>8</v>
      </c>
      <c r="D298" s="84">
        <v>4</v>
      </c>
      <c r="E298" s="226"/>
      <c r="F298" s="217">
        <v>48</v>
      </c>
      <c r="G298" s="217">
        <v>521</v>
      </c>
      <c r="H298" s="217">
        <v>147</v>
      </c>
      <c r="I298" s="217">
        <v>239</v>
      </c>
      <c r="J298" s="217">
        <v>354</v>
      </c>
      <c r="K298" s="217">
        <v>548</v>
      </c>
      <c r="L298" s="217">
        <v>549</v>
      </c>
      <c r="M298" s="217">
        <v>1308</v>
      </c>
      <c r="N298" s="227"/>
      <c r="O298" s="228">
        <f t="shared" si="158"/>
        <v>0.18426103646833014</v>
      </c>
      <c r="P298" s="228">
        <f t="shared" si="159"/>
        <v>1.2301255230125523</v>
      </c>
      <c r="Q298" s="228">
        <f t="shared" si="156"/>
        <v>1.2919708029197081</v>
      </c>
      <c r="R298" s="228">
        <f t="shared" si="157"/>
        <v>0.83944954128440363</v>
      </c>
    </row>
    <row r="299" spans="1:18">
      <c r="A299" s="224" t="s">
        <v>164</v>
      </c>
      <c r="B299" s="251" t="s">
        <v>164</v>
      </c>
      <c r="C299" s="84">
        <v>8</v>
      </c>
      <c r="D299" s="84">
        <v>4</v>
      </c>
      <c r="E299" s="226"/>
      <c r="F299" s="217">
        <v>19</v>
      </c>
      <c r="G299" s="217">
        <v>259</v>
      </c>
      <c r="H299" s="217">
        <v>2</v>
      </c>
      <c r="I299" s="217">
        <v>119</v>
      </c>
      <c r="J299" s="217">
        <v>74</v>
      </c>
      <c r="K299" s="217">
        <v>272</v>
      </c>
      <c r="L299" s="217">
        <v>95</v>
      </c>
      <c r="M299" s="217">
        <v>650</v>
      </c>
      <c r="N299" s="227"/>
      <c r="O299" s="228">
        <f t="shared" si="158"/>
        <v>0.14671814671814673</v>
      </c>
      <c r="P299" s="228">
        <f t="shared" si="159"/>
        <v>3.3613445378151259E-2</v>
      </c>
      <c r="Q299" s="228">
        <f t="shared" si="156"/>
        <v>0.54411764705882348</v>
      </c>
      <c r="R299" s="228">
        <f t="shared" si="157"/>
        <v>0.29230769230769232</v>
      </c>
    </row>
    <row r="300" spans="1:18">
      <c r="A300" s="224" t="s">
        <v>470</v>
      </c>
      <c r="B300" s="225" t="s">
        <v>164</v>
      </c>
      <c r="C300" s="84">
        <v>8</v>
      </c>
      <c r="D300" s="84">
        <v>4</v>
      </c>
      <c r="E300" s="226"/>
      <c r="F300" s="217">
        <v>232</v>
      </c>
      <c r="G300" s="217">
        <v>618</v>
      </c>
      <c r="H300" s="217">
        <v>35</v>
      </c>
      <c r="I300" s="217">
        <v>282</v>
      </c>
      <c r="J300" s="217">
        <v>1210</v>
      </c>
      <c r="K300" s="217">
        <v>651</v>
      </c>
      <c r="L300" s="217">
        <v>1477</v>
      </c>
      <c r="M300" s="217">
        <v>1551</v>
      </c>
      <c r="N300" s="227"/>
      <c r="O300" s="228">
        <f t="shared" si="158"/>
        <v>0.7508090614886731</v>
      </c>
      <c r="P300" s="228">
        <f t="shared" si="159"/>
        <v>0.24822695035460993</v>
      </c>
      <c r="Q300" s="228">
        <f t="shared" si="156"/>
        <v>3.7173579109062982</v>
      </c>
      <c r="R300" s="228">
        <f t="shared" si="157"/>
        <v>1.9045776918117343</v>
      </c>
    </row>
    <row r="301" spans="1:18">
      <c r="A301" s="224" t="s">
        <v>471</v>
      </c>
      <c r="B301" s="251" t="s">
        <v>164</v>
      </c>
      <c r="C301" s="84">
        <v>8</v>
      </c>
      <c r="D301" s="84">
        <v>4</v>
      </c>
      <c r="E301" s="226"/>
      <c r="F301" s="217">
        <v>0</v>
      </c>
      <c r="G301" s="217">
        <v>46</v>
      </c>
      <c r="H301" s="217">
        <v>1</v>
      </c>
      <c r="I301" s="217">
        <v>21</v>
      </c>
      <c r="J301" s="217">
        <v>6</v>
      </c>
      <c r="K301" s="217">
        <v>48</v>
      </c>
      <c r="L301" s="217">
        <v>7</v>
      </c>
      <c r="M301" s="217">
        <v>115</v>
      </c>
      <c r="N301" s="227"/>
      <c r="O301" s="228">
        <f t="shared" si="158"/>
        <v>0</v>
      </c>
      <c r="P301" s="228">
        <f t="shared" si="159"/>
        <v>9.5238095238095233E-2</v>
      </c>
      <c r="Q301" s="228">
        <f t="shared" si="156"/>
        <v>0.25</v>
      </c>
      <c r="R301" s="228">
        <f t="shared" si="157"/>
        <v>0.12173913043478261</v>
      </c>
    </row>
    <row r="302" spans="1:18">
      <c r="A302" s="244" t="s">
        <v>472</v>
      </c>
      <c r="B302" s="245" t="s">
        <v>164</v>
      </c>
      <c r="C302" s="84">
        <v>8</v>
      </c>
      <c r="D302" s="84">
        <v>4</v>
      </c>
      <c r="E302" s="226"/>
      <c r="F302" s="217">
        <v>193</v>
      </c>
      <c r="G302" s="217">
        <v>888</v>
      </c>
      <c r="H302" s="217">
        <v>4</v>
      </c>
      <c r="I302" s="217">
        <v>407</v>
      </c>
      <c r="J302" s="217">
        <v>301</v>
      </c>
      <c r="K302" s="217">
        <v>934</v>
      </c>
      <c r="L302" s="217">
        <v>498</v>
      </c>
      <c r="M302" s="217">
        <v>2229</v>
      </c>
      <c r="N302" s="227"/>
      <c r="O302" s="228">
        <f t="shared" si="158"/>
        <v>0.43468468468468469</v>
      </c>
      <c r="P302" s="228">
        <f t="shared" si="159"/>
        <v>1.9656019656019656E-2</v>
      </c>
      <c r="Q302" s="228">
        <f t="shared" si="156"/>
        <v>0.64453961456102782</v>
      </c>
      <c r="R302" s="228">
        <f t="shared" si="157"/>
        <v>0.4468371467025572</v>
      </c>
    </row>
    <row r="303" spans="1:18">
      <c r="A303" s="244" t="s">
        <v>473</v>
      </c>
      <c r="B303" s="245" t="s">
        <v>164</v>
      </c>
      <c r="C303" s="84">
        <v>8</v>
      </c>
      <c r="D303" s="84">
        <v>4</v>
      </c>
      <c r="E303" s="226"/>
      <c r="F303" s="217">
        <v>0</v>
      </c>
      <c r="G303" s="217">
        <v>22</v>
      </c>
      <c r="H303" s="217">
        <v>0</v>
      </c>
      <c r="I303" s="217">
        <v>10</v>
      </c>
      <c r="J303" s="217">
        <v>4</v>
      </c>
      <c r="K303" s="217">
        <v>23</v>
      </c>
      <c r="L303" s="217">
        <v>4</v>
      </c>
      <c r="M303" s="217">
        <v>55</v>
      </c>
      <c r="N303" s="227"/>
      <c r="O303" s="228">
        <f t="shared" si="158"/>
        <v>0</v>
      </c>
      <c r="P303" s="228">
        <f t="shared" si="159"/>
        <v>0</v>
      </c>
      <c r="Q303" s="228">
        <f t="shared" si="156"/>
        <v>0.34782608695652173</v>
      </c>
      <c r="R303" s="228">
        <f t="shared" si="157"/>
        <v>0.14545454545454545</v>
      </c>
    </row>
    <row r="304" spans="1:18">
      <c r="A304" s="244" t="s">
        <v>474</v>
      </c>
      <c r="B304" s="245" t="s">
        <v>164</v>
      </c>
      <c r="C304" s="84">
        <v>8</v>
      </c>
      <c r="D304" s="84">
        <v>4</v>
      </c>
      <c r="E304" s="226"/>
      <c r="F304" s="217">
        <v>0</v>
      </c>
      <c r="G304" s="217">
        <v>157</v>
      </c>
      <c r="H304" s="217">
        <v>3</v>
      </c>
      <c r="I304" s="217">
        <v>72</v>
      </c>
      <c r="J304" s="217">
        <v>8</v>
      </c>
      <c r="K304" s="217">
        <v>164</v>
      </c>
      <c r="L304" s="217">
        <v>11</v>
      </c>
      <c r="M304" s="217">
        <v>393</v>
      </c>
      <c r="N304" s="227"/>
      <c r="O304" s="228">
        <f t="shared" si="158"/>
        <v>0</v>
      </c>
      <c r="P304" s="228">
        <f t="shared" si="159"/>
        <v>8.3333333333333329E-2</v>
      </c>
      <c r="Q304" s="228">
        <f t="shared" si="156"/>
        <v>9.7560975609756101E-2</v>
      </c>
      <c r="R304" s="228">
        <f t="shared" si="157"/>
        <v>5.5979643765903309E-2</v>
      </c>
    </row>
    <row r="305" spans="1:18">
      <c r="A305" s="244" t="s">
        <v>475</v>
      </c>
      <c r="B305" s="245" t="s">
        <v>164</v>
      </c>
      <c r="C305" s="84">
        <v>8</v>
      </c>
      <c r="D305" s="84">
        <v>4</v>
      </c>
      <c r="E305" s="226"/>
      <c r="F305" s="246">
        <v>0</v>
      </c>
      <c r="G305" s="246">
        <v>76</v>
      </c>
      <c r="H305" s="246">
        <v>0</v>
      </c>
      <c r="I305" s="246">
        <v>35</v>
      </c>
      <c r="J305" s="246">
        <v>296</v>
      </c>
      <c r="K305" s="246">
        <v>80</v>
      </c>
      <c r="L305" s="246">
        <v>296</v>
      </c>
      <c r="M305" s="246">
        <v>191</v>
      </c>
      <c r="N305" s="227"/>
      <c r="O305" s="247">
        <f t="shared" si="158"/>
        <v>0</v>
      </c>
      <c r="P305" s="247">
        <f t="shared" si="159"/>
        <v>0</v>
      </c>
      <c r="Q305" s="247">
        <f t="shared" si="156"/>
        <v>7.4</v>
      </c>
      <c r="R305" s="247">
        <f t="shared" si="157"/>
        <v>3.0994764397905761</v>
      </c>
    </row>
    <row r="306" spans="1:18">
      <c r="A306" s="224"/>
      <c r="B306" s="225"/>
      <c r="C306" s="226"/>
      <c r="D306" s="226"/>
      <c r="E306" s="226"/>
      <c r="F306" s="241">
        <f t="shared" ref="F306:M306" si="160">SUM(F293:F305)</f>
        <v>498</v>
      </c>
      <c r="G306" s="241">
        <f t="shared" si="160"/>
        <v>2942</v>
      </c>
      <c r="H306" s="241">
        <f t="shared" si="160"/>
        <v>199</v>
      </c>
      <c r="I306" s="241">
        <f t="shared" si="160"/>
        <v>1348</v>
      </c>
      <c r="J306" s="241">
        <f t="shared" si="160"/>
        <v>2435</v>
      </c>
      <c r="K306" s="241">
        <f t="shared" si="160"/>
        <v>3096</v>
      </c>
      <c r="L306" s="241">
        <f t="shared" si="160"/>
        <v>3132</v>
      </c>
      <c r="M306" s="241">
        <f t="shared" si="160"/>
        <v>7386</v>
      </c>
      <c r="N306" s="227"/>
      <c r="O306" s="228">
        <f>F306/G306*C305/D305</f>
        <v>0.33854520734194427</v>
      </c>
      <c r="P306" s="228">
        <f>H306/I306*C305/D305</f>
        <v>0.29525222551928781</v>
      </c>
      <c r="Q306" s="228">
        <f>J306/K306*C305/D305</f>
        <v>1.5729974160206719</v>
      </c>
      <c r="R306" s="228">
        <f>L306/M306*C305/D305</f>
        <v>0.84809098294069862</v>
      </c>
    </row>
    <row r="307" spans="1:18">
      <c r="A307" s="224"/>
      <c r="B307" s="225"/>
      <c r="C307" s="226"/>
      <c r="D307" s="226"/>
      <c r="E307" s="226"/>
      <c r="F307" s="264"/>
      <c r="G307" s="264"/>
      <c r="H307" s="98"/>
      <c r="I307" s="98"/>
      <c r="J307" s="98"/>
      <c r="K307" s="98"/>
      <c r="L307" s="98"/>
      <c r="M307" s="98"/>
      <c r="N307" s="227"/>
      <c r="O307" s="228"/>
      <c r="P307" s="228"/>
      <c r="Q307" s="228"/>
      <c r="R307" s="228"/>
    </row>
    <row r="308" spans="1:18">
      <c r="A308" s="224" t="s">
        <v>476</v>
      </c>
      <c r="B308" s="225" t="s">
        <v>166</v>
      </c>
      <c r="C308" s="84">
        <v>8</v>
      </c>
      <c r="D308" s="84">
        <v>5</v>
      </c>
      <c r="E308" s="226"/>
      <c r="F308" s="217">
        <v>98</v>
      </c>
      <c r="G308" s="217">
        <v>170</v>
      </c>
      <c r="H308" s="217">
        <v>141</v>
      </c>
      <c r="I308" s="217">
        <v>58</v>
      </c>
      <c r="J308" s="217">
        <v>143</v>
      </c>
      <c r="K308" s="217">
        <v>164</v>
      </c>
      <c r="L308" s="217">
        <v>382</v>
      </c>
      <c r="M308" s="217">
        <v>392</v>
      </c>
      <c r="N308" s="227"/>
      <c r="O308" s="228">
        <f t="shared" ref="O308:O313" si="161">F308/G308*C308/D308</f>
        <v>0.92235294117647049</v>
      </c>
      <c r="P308" s="228">
        <f t="shared" ref="P308:P313" si="162">H308/I308*C308/D308</f>
        <v>3.8896551724137929</v>
      </c>
      <c r="Q308" s="228">
        <f t="shared" ref="Q308:Q313" si="163">J308/K308*C308/D308</f>
        <v>1.3951219512195121</v>
      </c>
      <c r="R308" s="228">
        <f t="shared" ref="R308:R313" si="164">L308/M308*C308/D308</f>
        <v>1.5591836734693878</v>
      </c>
    </row>
    <row r="309" spans="1:18">
      <c r="A309" s="239" t="s">
        <v>477</v>
      </c>
      <c r="B309" s="243" t="s">
        <v>166</v>
      </c>
      <c r="C309" s="84">
        <v>8</v>
      </c>
      <c r="D309" s="84">
        <v>6</v>
      </c>
      <c r="E309" s="226"/>
      <c r="F309" s="217">
        <v>31</v>
      </c>
      <c r="G309" s="217">
        <v>8</v>
      </c>
      <c r="H309" s="217">
        <v>8</v>
      </c>
      <c r="I309" s="217">
        <v>4</v>
      </c>
      <c r="J309" s="217">
        <v>39</v>
      </c>
      <c r="K309" s="217">
        <v>15</v>
      </c>
      <c r="L309" s="217">
        <v>78</v>
      </c>
      <c r="M309" s="217">
        <v>27</v>
      </c>
      <c r="N309" s="227"/>
      <c r="O309" s="228">
        <f t="shared" si="161"/>
        <v>5.166666666666667</v>
      </c>
      <c r="P309" s="228">
        <f t="shared" si="162"/>
        <v>2.6666666666666665</v>
      </c>
      <c r="Q309" s="228">
        <f t="shared" si="163"/>
        <v>3.4666666666666668</v>
      </c>
      <c r="R309" s="228">
        <f t="shared" si="164"/>
        <v>3.8518518518518516</v>
      </c>
    </row>
    <row r="310" spans="1:18">
      <c r="A310" s="224" t="s">
        <v>166</v>
      </c>
      <c r="B310" s="251" t="s">
        <v>166</v>
      </c>
      <c r="C310" s="84">
        <v>8</v>
      </c>
      <c r="D310" s="84">
        <v>5</v>
      </c>
      <c r="E310" s="226"/>
      <c r="F310" s="217">
        <v>102</v>
      </c>
      <c r="G310" s="217">
        <v>291</v>
      </c>
      <c r="H310" s="217">
        <v>45</v>
      </c>
      <c r="I310" s="217">
        <v>141</v>
      </c>
      <c r="J310" s="217">
        <v>787</v>
      </c>
      <c r="K310" s="217">
        <v>403</v>
      </c>
      <c r="L310" s="217">
        <v>934</v>
      </c>
      <c r="M310" s="217">
        <v>835</v>
      </c>
      <c r="N310" s="227"/>
      <c r="O310" s="228">
        <f t="shared" si="161"/>
        <v>0.56082474226804124</v>
      </c>
      <c r="P310" s="228">
        <f t="shared" si="162"/>
        <v>0.5106382978723405</v>
      </c>
      <c r="Q310" s="228">
        <f t="shared" si="163"/>
        <v>3.1245657568238214</v>
      </c>
      <c r="R310" s="228">
        <f t="shared" si="164"/>
        <v>1.7897005988023953</v>
      </c>
    </row>
    <row r="311" spans="1:18">
      <c r="A311" s="224" t="s">
        <v>478</v>
      </c>
      <c r="B311" s="251" t="s">
        <v>166</v>
      </c>
      <c r="C311" s="84">
        <v>8</v>
      </c>
      <c r="D311" s="84">
        <v>5</v>
      </c>
      <c r="E311" s="226"/>
      <c r="F311" s="217">
        <v>7</v>
      </c>
      <c r="G311" s="217">
        <v>81</v>
      </c>
      <c r="H311" s="217">
        <v>55</v>
      </c>
      <c r="I311" s="217">
        <v>32</v>
      </c>
      <c r="J311" s="217">
        <v>95</v>
      </c>
      <c r="K311" s="217">
        <v>67</v>
      </c>
      <c r="L311" s="217">
        <v>157</v>
      </c>
      <c r="M311" s="217">
        <v>180</v>
      </c>
      <c r="N311" s="227"/>
      <c r="O311" s="228">
        <f t="shared" si="161"/>
        <v>0.13827160493827159</v>
      </c>
      <c r="P311" s="228">
        <f t="shared" si="162"/>
        <v>2.75</v>
      </c>
      <c r="Q311" s="228">
        <f t="shared" si="163"/>
        <v>2.2686567164179108</v>
      </c>
      <c r="R311" s="228">
        <f t="shared" si="164"/>
        <v>1.3955555555555557</v>
      </c>
    </row>
    <row r="312" spans="1:18">
      <c r="A312" s="244" t="s">
        <v>479</v>
      </c>
      <c r="B312" s="245" t="s">
        <v>166</v>
      </c>
      <c r="C312" s="84">
        <v>8</v>
      </c>
      <c r="D312" s="84">
        <v>5</v>
      </c>
      <c r="E312" s="226"/>
      <c r="F312" s="217">
        <v>16</v>
      </c>
      <c r="G312" s="217">
        <v>13</v>
      </c>
      <c r="H312" s="217">
        <v>4</v>
      </c>
      <c r="I312" s="217">
        <v>5</v>
      </c>
      <c r="J312" s="217">
        <v>54</v>
      </c>
      <c r="K312" s="217">
        <v>13</v>
      </c>
      <c r="L312" s="217">
        <v>74</v>
      </c>
      <c r="M312" s="217">
        <v>31</v>
      </c>
      <c r="N312" s="227"/>
      <c r="O312" s="228">
        <f t="shared" si="161"/>
        <v>1.9692307692307693</v>
      </c>
      <c r="P312" s="228">
        <f t="shared" si="162"/>
        <v>1.28</v>
      </c>
      <c r="Q312" s="228">
        <f t="shared" si="163"/>
        <v>6.6461538461538465</v>
      </c>
      <c r="R312" s="228">
        <f t="shared" si="164"/>
        <v>3.8193548387096774</v>
      </c>
    </row>
    <row r="313" spans="1:18">
      <c r="A313" s="244" t="s">
        <v>480</v>
      </c>
      <c r="B313" s="253" t="s">
        <v>166</v>
      </c>
      <c r="C313" s="84">
        <v>8</v>
      </c>
      <c r="D313" s="84">
        <v>5</v>
      </c>
      <c r="E313" s="226"/>
      <c r="F313" s="246">
        <v>2</v>
      </c>
      <c r="G313" s="246">
        <v>6</v>
      </c>
      <c r="H313" s="246">
        <v>12</v>
      </c>
      <c r="I313" s="246">
        <v>3</v>
      </c>
      <c r="J313" s="246">
        <v>14</v>
      </c>
      <c r="K313" s="246">
        <v>8</v>
      </c>
      <c r="L313" s="246">
        <v>28</v>
      </c>
      <c r="M313" s="246">
        <v>17</v>
      </c>
      <c r="N313" s="227"/>
      <c r="O313" s="247">
        <f t="shared" si="161"/>
        <v>0.53333333333333333</v>
      </c>
      <c r="P313" s="247">
        <f t="shared" si="162"/>
        <v>6.4</v>
      </c>
      <c r="Q313" s="247">
        <f t="shared" si="163"/>
        <v>2.8</v>
      </c>
      <c r="R313" s="247">
        <f t="shared" si="164"/>
        <v>2.6352941176470588</v>
      </c>
    </row>
    <row r="314" spans="1:18">
      <c r="A314" s="239"/>
      <c r="B314" s="243"/>
      <c r="C314" s="226"/>
      <c r="D314" s="226"/>
      <c r="E314" s="226"/>
      <c r="F314" s="241">
        <f t="shared" ref="F314:M314" si="165">SUM(F308:F313)</f>
        <v>256</v>
      </c>
      <c r="G314" s="241">
        <f t="shared" si="165"/>
        <v>569</v>
      </c>
      <c r="H314" s="241">
        <f t="shared" si="165"/>
        <v>265</v>
      </c>
      <c r="I314" s="241">
        <f t="shared" si="165"/>
        <v>243</v>
      </c>
      <c r="J314" s="241">
        <f t="shared" si="165"/>
        <v>1132</v>
      </c>
      <c r="K314" s="241">
        <f t="shared" si="165"/>
        <v>670</v>
      </c>
      <c r="L314" s="241">
        <f t="shared" si="165"/>
        <v>1653</v>
      </c>
      <c r="M314" s="241">
        <f t="shared" si="165"/>
        <v>1482</v>
      </c>
      <c r="N314" s="227"/>
      <c r="O314" s="228">
        <f>F314/G314*C313/D313</f>
        <v>0.71985940246045688</v>
      </c>
      <c r="P314" s="228">
        <f>H314/I314*C313/D313</f>
        <v>1.7448559670781894</v>
      </c>
      <c r="Q314" s="228">
        <f>J314/K314*C313/D313</f>
        <v>2.703283582089552</v>
      </c>
      <c r="R314" s="228">
        <f>L314/M314*C313/D313</f>
        <v>1.7846153846153847</v>
      </c>
    </row>
    <row r="315" spans="1:18">
      <c r="A315" s="239"/>
      <c r="B315" s="243"/>
      <c r="C315" s="226"/>
      <c r="D315" s="226"/>
      <c r="E315" s="226"/>
      <c r="F315" s="264"/>
      <c r="G315" s="264"/>
      <c r="H315" s="98"/>
      <c r="I315" s="98"/>
      <c r="J315" s="98"/>
      <c r="K315" s="98"/>
      <c r="L315" s="98"/>
      <c r="M315" s="98"/>
      <c r="N315" s="227"/>
      <c r="O315" s="228"/>
      <c r="P315" s="228"/>
      <c r="Q315" s="228"/>
      <c r="R315" s="228"/>
    </row>
    <row r="316" spans="1:18">
      <c r="A316" s="239" t="s">
        <v>481</v>
      </c>
      <c r="B316" s="243" t="s">
        <v>168</v>
      </c>
      <c r="C316" s="84">
        <v>5</v>
      </c>
      <c r="D316" s="84">
        <v>5</v>
      </c>
      <c r="E316" s="226"/>
      <c r="F316" s="217">
        <v>130</v>
      </c>
      <c r="G316" s="217">
        <v>210</v>
      </c>
      <c r="H316" s="217">
        <v>2</v>
      </c>
      <c r="I316" s="217">
        <v>100</v>
      </c>
      <c r="J316" s="217">
        <v>74</v>
      </c>
      <c r="K316" s="217">
        <v>220</v>
      </c>
      <c r="L316" s="217">
        <v>206</v>
      </c>
      <c r="M316" s="217">
        <v>530</v>
      </c>
      <c r="N316" s="227"/>
      <c r="O316" s="228">
        <f t="shared" ref="O316:O319" si="166">F316/G316*C316/D316</f>
        <v>0.61904761904761907</v>
      </c>
      <c r="P316" s="228">
        <f t="shared" ref="P316:P319" si="167">H316/I316*C316/D316</f>
        <v>0.02</v>
      </c>
      <c r="Q316" s="228">
        <f t="shared" ref="Q316:Q319" si="168">J316/K316*C316/D316</f>
        <v>0.33636363636363636</v>
      </c>
      <c r="R316" s="228">
        <f t="shared" ref="R316:R319" si="169">L316/M316*C316/D316</f>
        <v>0.38867924528301889</v>
      </c>
    </row>
    <row r="317" spans="1:18">
      <c r="A317" s="224" t="s">
        <v>482</v>
      </c>
      <c r="B317" s="251" t="s">
        <v>168</v>
      </c>
      <c r="C317" s="84">
        <v>5</v>
      </c>
      <c r="D317" s="84">
        <v>5</v>
      </c>
      <c r="E317" s="226"/>
      <c r="F317" s="217">
        <v>1</v>
      </c>
      <c r="G317" s="217">
        <v>33</v>
      </c>
      <c r="H317" s="217">
        <v>2</v>
      </c>
      <c r="I317" s="217">
        <v>16</v>
      </c>
      <c r="J317" s="217">
        <v>2</v>
      </c>
      <c r="K317" s="217">
        <v>36</v>
      </c>
      <c r="L317" s="217">
        <v>5</v>
      </c>
      <c r="M317" s="217">
        <v>85</v>
      </c>
      <c r="N317" s="227"/>
      <c r="O317" s="228">
        <f t="shared" si="166"/>
        <v>3.0303030303030304E-2</v>
      </c>
      <c r="P317" s="228">
        <f t="shared" si="167"/>
        <v>0.125</v>
      </c>
      <c r="Q317" s="228">
        <f t="shared" si="168"/>
        <v>5.5555555555555559E-2</v>
      </c>
      <c r="R317" s="228">
        <f t="shared" si="169"/>
        <v>5.8823529411764705E-2</v>
      </c>
    </row>
    <row r="318" spans="1:18">
      <c r="A318" s="224" t="s">
        <v>483</v>
      </c>
      <c r="B318" s="251" t="s">
        <v>168</v>
      </c>
      <c r="C318" s="84">
        <v>5</v>
      </c>
      <c r="D318" s="84">
        <v>5</v>
      </c>
      <c r="E318" s="226"/>
      <c r="F318" s="217">
        <v>137</v>
      </c>
      <c r="G318" s="217">
        <v>300</v>
      </c>
      <c r="H318" s="217">
        <v>113</v>
      </c>
      <c r="I318" s="217">
        <v>150</v>
      </c>
      <c r="J318" s="217">
        <v>269</v>
      </c>
      <c r="K318" s="217">
        <v>314</v>
      </c>
      <c r="L318" s="217">
        <v>519</v>
      </c>
      <c r="M318" s="217">
        <v>764</v>
      </c>
      <c r="N318" s="227"/>
      <c r="O318" s="228">
        <f t="shared" si="166"/>
        <v>0.45666666666666667</v>
      </c>
      <c r="P318" s="228">
        <f t="shared" si="167"/>
        <v>0.7533333333333333</v>
      </c>
      <c r="Q318" s="228">
        <f t="shared" si="168"/>
        <v>0.85668789808917212</v>
      </c>
      <c r="R318" s="228">
        <f t="shared" si="169"/>
        <v>0.6793193717277487</v>
      </c>
    </row>
    <row r="319" spans="1:18">
      <c r="A319" s="244" t="s">
        <v>484</v>
      </c>
      <c r="B319" s="253" t="s">
        <v>168</v>
      </c>
      <c r="C319" s="84">
        <v>5</v>
      </c>
      <c r="D319" s="84">
        <v>5</v>
      </c>
      <c r="E319" s="226"/>
      <c r="F319" s="246">
        <v>113</v>
      </c>
      <c r="G319" s="246">
        <v>183</v>
      </c>
      <c r="H319" s="246">
        <v>96</v>
      </c>
      <c r="I319" s="246">
        <v>78</v>
      </c>
      <c r="J319" s="246">
        <v>612</v>
      </c>
      <c r="K319" s="246">
        <v>199</v>
      </c>
      <c r="L319" s="246">
        <v>821</v>
      </c>
      <c r="M319" s="246">
        <v>460</v>
      </c>
      <c r="N319" s="227"/>
      <c r="O319" s="247">
        <f t="shared" si="166"/>
        <v>0.61748633879781423</v>
      </c>
      <c r="P319" s="247">
        <f t="shared" si="167"/>
        <v>1.2307692307692308</v>
      </c>
      <c r="Q319" s="247">
        <f t="shared" si="168"/>
        <v>3.0753768844221105</v>
      </c>
      <c r="R319" s="247">
        <f t="shared" si="169"/>
        <v>1.7847826086956524</v>
      </c>
    </row>
    <row r="320" spans="1:18">
      <c r="A320" s="224"/>
      <c r="B320" s="225"/>
      <c r="C320" s="226"/>
      <c r="D320" s="226"/>
      <c r="E320" s="226"/>
      <c r="F320" s="241">
        <f t="shared" ref="F320:M320" si="170">SUM(F316:F319)</f>
        <v>381</v>
      </c>
      <c r="G320" s="241">
        <f t="shared" si="170"/>
        <v>726</v>
      </c>
      <c r="H320" s="241">
        <f t="shared" si="170"/>
        <v>213</v>
      </c>
      <c r="I320" s="241">
        <f t="shared" si="170"/>
        <v>344</v>
      </c>
      <c r="J320" s="241">
        <f t="shared" si="170"/>
        <v>957</v>
      </c>
      <c r="K320" s="241">
        <f t="shared" si="170"/>
        <v>769</v>
      </c>
      <c r="L320" s="241">
        <f t="shared" si="170"/>
        <v>1551</v>
      </c>
      <c r="M320" s="241">
        <f t="shared" si="170"/>
        <v>1839</v>
      </c>
      <c r="N320" s="227"/>
      <c r="O320" s="228">
        <f>F320/G320*C319/D319</f>
        <v>0.52479338842975209</v>
      </c>
      <c r="P320" s="228">
        <f>H320/I320*C319/D319</f>
        <v>0.6191860465116279</v>
      </c>
      <c r="Q320" s="228">
        <f>J320/K320*C319/D319</f>
        <v>1.2444733420026008</v>
      </c>
      <c r="R320" s="228">
        <f>L320/M320*C319/D319</f>
        <v>0.8433931484502446</v>
      </c>
    </row>
    <row r="321" spans="1:18">
      <c r="A321" s="224"/>
      <c r="B321" s="225"/>
      <c r="C321" s="226"/>
      <c r="D321" s="226"/>
      <c r="E321" s="226"/>
      <c r="F321" s="264"/>
      <c r="G321" s="264"/>
      <c r="H321" s="98"/>
      <c r="I321" s="98"/>
      <c r="J321" s="98"/>
      <c r="K321" s="98"/>
      <c r="L321" s="98"/>
      <c r="M321" s="98"/>
      <c r="N321" s="180"/>
      <c r="O321" s="228"/>
      <c r="P321" s="228"/>
      <c r="Q321" s="228"/>
      <c r="R321" s="228"/>
    </row>
    <row r="322" spans="1:18">
      <c r="A322" s="224" t="s">
        <v>485</v>
      </c>
      <c r="B322" s="225" t="s">
        <v>169</v>
      </c>
      <c r="C322" s="84">
        <v>8</v>
      </c>
      <c r="D322" s="84">
        <v>6</v>
      </c>
      <c r="E322" s="226"/>
      <c r="F322" s="217">
        <v>418</v>
      </c>
      <c r="G322" s="217">
        <v>16</v>
      </c>
      <c r="H322" s="217">
        <v>424</v>
      </c>
      <c r="I322" s="217">
        <v>7</v>
      </c>
      <c r="J322" s="217">
        <v>0</v>
      </c>
      <c r="K322" s="217">
        <v>16</v>
      </c>
      <c r="L322" s="217">
        <v>842</v>
      </c>
      <c r="M322" s="217">
        <v>39</v>
      </c>
      <c r="N322" s="227"/>
      <c r="O322" s="228">
        <f t="shared" ref="O322:O356" si="171">F322/G322*C322/D322</f>
        <v>34.833333333333336</v>
      </c>
      <c r="P322" s="228">
        <f t="shared" ref="P322:P325" si="172">H322/I322*C322/D322</f>
        <v>80.761904761904759</v>
      </c>
      <c r="Q322" s="228">
        <f t="shared" ref="Q322:Q325" si="173">J322/K322*C322/D322</f>
        <v>0</v>
      </c>
      <c r="R322" s="228">
        <f t="shared" ref="R322:R356" si="174">L322/M322*C322/D322</f>
        <v>28.786324786324787</v>
      </c>
    </row>
    <row r="323" spans="1:18">
      <c r="A323" s="224" t="s">
        <v>486</v>
      </c>
      <c r="B323" s="225" t="s">
        <v>169</v>
      </c>
      <c r="C323" s="84">
        <v>8</v>
      </c>
      <c r="D323" s="84">
        <v>6</v>
      </c>
      <c r="E323" s="226"/>
      <c r="F323" s="217">
        <v>146</v>
      </c>
      <c r="G323" s="217">
        <v>2163</v>
      </c>
      <c r="H323" s="217">
        <v>49</v>
      </c>
      <c r="I323" s="217">
        <v>1038</v>
      </c>
      <c r="J323" s="217">
        <v>7182</v>
      </c>
      <c r="K323" s="217">
        <v>2501</v>
      </c>
      <c r="L323" s="217">
        <v>7377</v>
      </c>
      <c r="M323" s="217">
        <v>5702</v>
      </c>
      <c r="N323" s="227"/>
      <c r="O323" s="228">
        <f t="shared" si="171"/>
        <v>8.9998458930497752E-2</v>
      </c>
      <c r="P323" s="228">
        <f t="shared" si="172"/>
        <v>6.2941554271034039E-2</v>
      </c>
      <c r="Q323" s="228">
        <f t="shared" si="173"/>
        <v>3.8288684526189525</v>
      </c>
      <c r="R323" s="228">
        <f t="shared" si="174"/>
        <v>1.7250087688530342</v>
      </c>
    </row>
    <row r="324" spans="1:18">
      <c r="A324" s="224" t="s">
        <v>487</v>
      </c>
      <c r="B324" s="225" t="s">
        <v>169</v>
      </c>
      <c r="C324" s="84">
        <v>8</v>
      </c>
      <c r="D324" s="84">
        <v>6</v>
      </c>
      <c r="E324" s="226"/>
      <c r="F324" s="217">
        <v>0</v>
      </c>
      <c r="G324" s="217">
        <v>731</v>
      </c>
      <c r="H324" s="217">
        <v>41</v>
      </c>
      <c r="I324" s="217">
        <v>335</v>
      </c>
      <c r="J324" s="217">
        <v>2113</v>
      </c>
      <c r="K324" s="217">
        <v>785</v>
      </c>
      <c r="L324" s="217">
        <v>2154</v>
      </c>
      <c r="M324" s="217">
        <v>1851</v>
      </c>
      <c r="N324" s="227"/>
      <c r="O324" s="228">
        <f t="shared" si="171"/>
        <v>0</v>
      </c>
      <c r="P324" s="228">
        <f t="shared" si="172"/>
        <v>0.16318407960199005</v>
      </c>
      <c r="Q324" s="228">
        <f t="shared" si="173"/>
        <v>3.58895966029724</v>
      </c>
      <c r="R324" s="228">
        <f t="shared" si="174"/>
        <v>1.551593733117234</v>
      </c>
    </row>
    <row r="325" spans="1:18">
      <c r="A325" s="239" t="s">
        <v>488</v>
      </c>
      <c r="B325" s="243" t="s">
        <v>169</v>
      </c>
      <c r="C325" s="84">
        <v>8</v>
      </c>
      <c r="D325" s="84">
        <v>6</v>
      </c>
      <c r="E325" s="226"/>
      <c r="F325" s="217">
        <v>70</v>
      </c>
      <c r="G325" s="217">
        <v>129</v>
      </c>
      <c r="H325" s="217">
        <v>181</v>
      </c>
      <c r="I325" s="217">
        <v>62</v>
      </c>
      <c r="J325" s="217">
        <v>189</v>
      </c>
      <c r="K325" s="217">
        <v>148</v>
      </c>
      <c r="L325" s="217">
        <v>440</v>
      </c>
      <c r="M325" s="217">
        <v>339</v>
      </c>
      <c r="N325" s="227"/>
      <c r="O325" s="228">
        <f t="shared" si="171"/>
        <v>0.72351421188630483</v>
      </c>
      <c r="P325" s="228">
        <f t="shared" si="172"/>
        <v>3.89247311827957</v>
      </c>
      <c r="Q325" s="228">
        <f t="shared" si="173"/>
        <v>1.7027027027027026</v>
      </c>
      <c r="R325" s="228">
        <f t="shared" si="174"/>
        <v>1.7305801376597838</v>
      </c>
    </row>
    <row r="326" spans="1:18">
      <c r="A326" s="239" t="s">
        <v>489</v>
      </c>
      <c r="B326" s="243" t="s">
        <v>169</v>
      </c>
      <c r="C326" s="84">
        <v>8</v>
      </c>
      <c r="D326" s="84">
        <v>6</v>
      </c>
      <c r="E326" s="226"/>
      <c r="F326" s="217">
        <v>8</v>
      </c>
      <c r="G326" s="217">
        <v>2</v>
      </c>
      <c r="H326" s="217">
        <v>52</v>
      </c>
      <c r="I326" s="217">
        <v>0</v>
      </c>
      <c r="J326" s="217">
        <v>887</v>
      </c>
      <c r="K326" s="217">
        <v>0</v>
      </c>
      <c r="L326" s="217">
        <v>947</v>
      </c>
      <c r="M326" s="217">
        <v>2</v>
      </c>
      <c r="N326" s="227"/>
      <c r="O326" s="228">
        <f t="shared" si="171"/>
        <v>5.333333333333333</v>
      </c>
      <c r="P326" s="242" t="s">
        <v>249</v>
      </c>
      <c r="Q326" s="242" t="s">
        <v>249</v>
      </c>
      <c r="R326" s="228">
        <f t="shared" si="174"/>
        <v>631.33333333333337</v>
      </c>
    </row>
    <row r="327" spans="1:18">
      <c r="A327" s="239" t="s">
        <v>490</v>
      </c>
      <c r="B327" s="243" t="s">
        <v>169</v>
      </c>
      <c r="C327" s="84">
        <v>8</v>
      </c>
      <c r="D327" s="84">
        <v>6</v>
      </c>
      <c r="E327" s="226"/>
      <c r="F327" s="217">
        <v>17</v>
      </c>
      <c r="G327" s="217">
        <v>121</v>
      </c>
      <c r="H327" s="217">
        <v>6</v>
      </c>
      <c r="I327" s="217">
        <v>56</v>
      </c>
      <c r="J327" s="217">
        <v>320</v>
      </c>
      <c r="K327" s="217">
        <v>131</v>
      </c>
      <c r="L327" s="217">
        <v>343</v>
      </c>
      <c r="M327" s="217">
        <v>308</v>
      </c>
      <c r="N327" s="227"/>
      <c r="O327" s="228">
        <f t="shared" si="171"/>
        <v>0.18732782369146006</v>
      </c>
      <c r="P327" s="228">
        <f t="shared" ref="P327:P335" si="175">H327/I327*C327/D327</f>
        <v>0.14285714285714285</v>
      </c>
      <c r="Q327" s="228">
        <f t="shared" ref="Q327:Q335" si="176">J327/K327*C327/D327</f>
        <v>3.2569974554707382</v>
      </c>
      <c r="R327" s="228">
        <f t="shared" si="174"/>
        <v>1.4848484848484846</v>
      </c>
    </row>
    <row r="328" spans="1:18">
      <c r="A328" s="239" t="s">
        <v>491</v>
      </c>
      <c r="B328" s="243" t="s">
        <v>169</v>
      </c>
      <c r="C328" s="84">
        <v>8</v>
      </c>
      <c r="D328" s="84">
        <v>6</v>
      </c>
      <c r="E328" s="226"/>
      <c r="F328" s="217">
        <v>9</v>
      </c>
      <c r="G328" s="217">
        <v>129</v>
      </c>
      <c r="H328" s="217">
        <v>26</v>
      </c>
      <c r="I328" s="217">
        <v>61</v>
      </c>
      <c r="J328" s="217">
        <v>406</v>
      </c>
      <c r="K328" s="217">
        <v>137</v>
      </c>
      <c r="L328" s="217">
        <v>441</v>
      </c>
      <c r="M328" s="217">
        <v>327</v>
      </c>
      <c r="N328" s="227"/>
      <c r="O328" s="228">
        <f t="shared" si="171"/>
        <v>9.3023255813953487E-2</v>
      </c>
      <c r="P328" s="228">
        <f t="shared" si="175"/>
        <v>0.56830601092896171</v>
      </c>
      <c r="Q328" s="228">
        <f t="shared" si="176"/>
        <v>3.9513381995133821</v>
      </c>
      <c r="R328" s="228">
        <f t="shared" si="174"/>
        <v>1.7981651376146788</v>
      </c>
    </row>
    <row r="329" spans="1:18">
      <c r="A329" s="224" t="s">
        <v>492</v>
      </c>
      <c r="B329" s="225" t="s">
        <v>169</v>
      </c>
      <c r="C329" s="84">
        <v>8</v>
      </c>
      <c r="D329" s="84">
        <v>6</v>
      </c>
      <c r="E329" s="226"/>
      <c r="F329" s="217">
        <v>30</v>
      </c>
      <c r="G329" s="217">
        <v>142</v>
      </c>
      <c r="H329" s="217">
        <v>12</v>
      </c>
      <c r="I329" s="217">
        <v>65</v>
      </c>
      <c r="J329" s="217">
        <v>189</v>
      </c>
      <c r="K329" s="217">
        <v>151</v>
      </c>
      <c r="L329" s="217">
        <v>231</v>
      </c>
      <c r="M329" s="217">
        <v>358</v>
      </c>
      <c r="N329" s="227"/>
      <c r="O329" s="228">
        <f t="shared" si="171"/>
        <v>0.28169014084507044</v>
      </c>
      <c r="P329" s="228">
        <f t="shared" si="175"/>
        <v>0.24615384615384617</v>
      </c>
      <c r="Q329" s="228">
        <f t="shared" si="176"/>
        <v>1.6688741721854303</v>
      </c>
      <c r="R329" s="228">
        <f t="shared" si="174"/>
        <v>0.86033519553072624</v>
      </c>
    </row>
    <row r="330" spans="1:18">
      <c r="A330" s="239" t="s">
        <v>493</v>
      </c>
      <c r="B330" s="243" t="s">
        <v>169</v>
      </c>
      <c r="C330" s="84">
        <v>8</v>
      </c>
      <c r="D330" s="84">
        <v>6</v>
      </c>
      <c r="E330" s="226"/>
      <c r="F330" s="217">
        <v>406</v>
      </c>
      <c r="G330" s="217">
        <v>710</v>
      </c>
      <c r="H330" s="217">
        <v>13</v>
      </c>
      <c r="I330" s="217">
        <v>337</v>
      </c>
      <c r="J330" s="217">
        <v>1166</v>
      </c>
      <c r="K330" s="217">
        <v>794</v>
      </c>
      <c r="L330" s="217">
        <v>1585</v>
      </c>
      <c r="M330" s="217">
        <v>1841</v>
      </c>
      <c r="N330" s="227"/>
      <c r="O330" s="228">
        <f t="shared" si="171"/>
        <v>0.76244131455399067</v>
      </c>
      <c r="P330" s="228">
        <f t="shared" si="175"/>
        <v>5.1434223541048464E-2</v>
      </c>
      <c r="Q330" s="228">
        <f t="shared" si="176"/>
        <v>1.9580184718723761</v>
      </c>
      <c r="R330" s="228">
        <f t="shared" si="174"/>
        <v>1.1479268513489045</v>
      </c>
    </row>
    <row r="331" spans="1:18">
      <c r="A331" s="239" t="s">
        <v>494</v>
      </c>
      <c r="B331" s="243" t="s">
        <v>169</v>
      </c>
      <c r="C331" s="84">
        <v>8</v>
      </c>
      <c r="D331" s="84">
        <v>6</v>
      </c>
      <c r="E331" s="226"/>
      <c r="F331" s="217">
        <v>60</v>
      </c>
      <c r="G331" s="217">
        <v>284</v>
      </c>
      <c r="H331" s="217">
        <v>79</v>
      </c>
      <c r="I331" s="217">
        <v>135</v>
      </c>
      <c r="J331" s="217">
        <v>227</v>
      </c>
      <c r="K331" s="217">
        <v>328</v>
      </c>
      <c r="L331" s="217">
        <v>366</v>
      </c>
      <c r="M331" s="217">
        <v>747</v>
      </c>
      <c r="N331" s="227"/>
      <c r="O331" s="228">
        <f t="shared" si="171"/>
        <v>0.28169014084507044</v>
      </c>
      <c r="P331" s="228">
        <f t="shared" si="175"/>
        <v>0.78024691358024689</v>
      </c>
      <c r="Q331" s="228">
        <f t="shared" si="176"/>
        <v>0.92276422764227639</v>
      </c>
      <c r="R331" s="228">
        <f t="shared" si="174"/>
        <v>0.65327978580990631</v>
      </c>
    </row>
    <row r="332" spans="1:18">
      <c r="A332" s="239" t="s">
        <v>495</v>
      </c>
      <c r="B332" s="243" t="s">
        <v>169</v>
      </c>
      <c r="C332" s="84">
        <v>8</v>
      </c>
      <c r="D332" s="84">
        <v>6</v>
      </c>
      <c r="E332" s="226"/>
      <c r="F332" s="217">
        <v>0</v>
      </c>
      <c r="G332" s="217">
        <v>533</v>
      </c>
      <c r="H332" s="217">
        <v>23</v>
      </c>
      <c r="I332" s="217">
        <v>248</v>
      </c>
      <c r="J332" s="217">
        <v>135</v>
      </c>
      <c r="K332" s="217">
        <v>572</v>
      </c>
      <c r="L332" s="217">
        <v>158</v>
      </c>
      <c r="M332" s="217">
        <v>1353</v>
      </c>
      <c r="N332" s="227"/>
      <c r="O332" s="228">
        <f t="shared" si="171"/>
        <v>0</v>
      </c>
      <c r="P332" s="228">
        <f t="shared" si="175"/>
        <v>0.12365591397849462</v>
      </c>
      <c r="Q332" s="228">
        <f t="shared" si="176"/>
        <v>0.31468531468531469</v>
      </c>
      <c r="R332" s="228">
        <f t="shared" si="174"/>
        <v>0.15570337521557034</v>
      </c>
    </row>
    <row r="333" spans="1:18">
      <c r="A333" s="239" t="s">
        <v>496</v>
      </c>
      <c r="B333" s="243" t="s">
        <v>169</v>
      </c>
      <c r="C333" s="84">
        <v>8</v>
      </c>
      <c r="D333" s="84">
        <v>6</v>
      </c>
      <c r="E333" s="226"/>
      <c r="F333" s="217">
        <v>1164</v>
      </c>
      <c r="G333" s="217">
        <v>4851</v>
      </c>
      <c r="H333" s="217">
        <v>12998</v>
      </c>
      <c r="I333" s="217">
        <v>2239</v>
      </c>
      <c r="J333" s="217">
        <v>14862</v>
      </c>
      <c r="K333" s="217">
        <v>5059</v>
      </c>
      <c r="L333" s="217">
        <v>29024</v>
      </c>
      <c r="M333" s="217">
        <v>12149</v>
      </c>
      <c r="N333" s="227"/>
      <c r="O333" s="228">
        <f t="shared" si="171"/>
        <v>0.31993403421974848</v>
      </c>
      <c r="P333" s="228">
        <f t="shared" si="175"/>
        <v>7.740360279886854</v>
      </c>
      <c r="Q333" s="228">
        <f t="shared" si="176"/>
        <v>3.9169796402451076</v>
      </c>
      <c r="R333" s="228">
        <f t="shared" si="174"/>
        <v>3.185337613521003</v>
      </c>
    </row>
    <row r="334" spans="1:18">
      <c r="A334" s="224" t="s">
        <v>497</v>
      </c>
      <c r="B334" s="225" t="s">
        <v>169</v>
      </c>
      <c r="C334" s="84">
        <v>8</v>
      </c>
      <c r="D334" s="84">
        <v>6</v>
      </c>
      <c r="E334" s="226"/>
      <c r="F334" s="217">
        <v>12</v>
      </c>
      <c r="G334" s="217">
        <v>2</v>
      </c>
      <c r="H334" s="217">
        <v>16</v>
      </c>
      <c r="I334" s="217">
        <v>1</v>
      </c>
      <c r="J334" s="217">
        <v>490</v>
      </c>
      <c r="K334" s="217">
        <v>1</v>
      </c>
      <c r="L334" s="217">
        <v>518</v>
      </c>
      <c r="M334" s="217">
        <v>4</v>
      </c>
      <c r="N334" s="227"/>
      <c r="O334" s="228">
        <f t="shared" si="171"/>
        <v>8</v>
      </c>
      <c r="P334" s="228">
        <f t="shared" si="175"/>
        <v>21.333333333333332</v>
      </c>
      <c r="Q334" s="228">
        <f t="shared" si="176"/>
        <v>653.33333333333337</v>
      </c>
      <c r="R334" s="228">
        <f t="shared" si="174"/>
        <v>172.66666666666666</v>
      </c>
    </row>
    <row r="335" spans="1:18">
      <c r="A335" s="224" t="s">
        <v>498</v>
      </c>
      <c r="B335" s="225" t="s">
        <v>169</v>
      </c>
      <c r="C335" s="84">
        <v>8</v>
      </c>
      <c r="D335" s="84">
        <v>6</v>
      </c>
      <c r="E335" s="226"/>
      <c r="F335" s="217">
        <v>1</v>
      </c>
      <c r="G335" s="217">
        <v>4</v>
      </c>
      <c r="H335" s="217">
        <v>0</v>
      </c>
      <c r="I335" s="217">
        <v>2</v>
      </c>
      <c r="J335" s="217">
        <v>10</v>
      </c>
      <c r="K335" s="217">
        <v>3</v>
      </c>
      <c r="L335" s="217">
        <v>11</v>
      </c>
      <c r="M335" s="217">
        <v>9</v>
      </c>
      <c r="N335" s="227"/>
      <c r="O335" s="228">
        <f t="shared" si="171"/>
        <v>0.33333333333333331</v>
      </c>
      <c r="P335" s="228">
        <f t="shared" si="175"/>
        <v>0</v>
      </c>
      <c r="Q335" s="228">
        <f t="shared" si="176"/>
        <v>4.4444444444444446</v>
      </c>
      <c r="R335" s="228">
        <f t="shared" si="174"/>
        <v>1.6296296296296298</v>
      </c>
    </row>
    <row r="336" spans="1:18">
      <c r="A336" s="239" t="s">
        <v>499</v>
      </c>
      <c r="B336" s="243" t="s">
        <v>169</v>
      </c>
      <c r="C336" s="84">
        <v>8</v>
      </c>
      <c r="D336" s="84">
        <v>6</v>
      </c>
      <c r="E336" s="226"/>
      <c r="F336" s="217">
        <v>2</v>
      </c>
      <c r="G336" s="217">
        <v>2</v>
      </c>
      <c r="H336" s="217">
        <v>19</v>
      </c>
      <c r="I336" s="217">
        <v>0</v>
      </c>
      <c r="J336" s="217">
        <v>72</v>
      </c>
      <c r="K336" s="217">
        <v>0</v>
      </c>
      <c r="L336" s="217">
        <v>93</v>
      </c>
      <c r="M336" s="217">
        <v>2</v>
      </c>
      <c r="N336" s="227"/>
      <c r="O336" s="228">
        <f t="shared" si="171"/>
        <v>1.3333333333333333</v>
      </c>
      <c r="P336" s="260" t="s">
        <v>249</v>
      </c>
      <c r="Q336" s="242" t="s">
        <v>249</v>
      </c>
      <c r="R336" s="228">
        <f t="shared" si="174"/>
        <v>62</v>
      </c>
    </row>
    <row r="337" spans="1:18">
      <c r="A337" s="224" t="s">
        <v>500</v>
      </c>
      <c r="B337" s="225" t="s">
        <v>169</v>
      </c>
      <c r="C337" s="84">
        <v>8</v>
      </c>
      <c r="D337" s="84">
        <v>6</v>
      </c>
      <c r="E337" s="226"/>
      <c r="F337" s="217">
        <v>0</v>
      </c>
      <c r="G337" s="217">
        <v>2</v>
      </c>
      <c r="H337" s="217">
        <v>292</v>
      </c>
      <c r="I337" s="217">
        <v>0</v>
      </c>
      <c r="J337" s="217">
        <v>4</v>
      </c>
      <c r="K337" s="217">
        <v>0</v>
      </c>
      <c r="L337" s="217">
        <v>296</v>
      </c>
      <c r="M337" s="217">
        <v>2</v>
      </c>
      <c r="N337" s="227"/>
      <c r="O337" s="228">
        <f t="shared" si="171"/>
        <v>0</v>
      </c>
      <c r="P337" s="260" t="s">
        <v>249</v>
      </c>
      <c r="Q337" s="242" t="s">
        <v>249</v>
      </c>
      <c r="R337" s="228">
        <f t="shared" si="174"/>
        <v>197.33333333333334</v>
      </c>
    </row>
    <row r="338" spans="1:18">
      <c r="A338" s="224" t="s">
        <v>501</v>
      </c>
      <c r="B338" s="225" t="s">
        <v>169</v>
      </c>
      <c r="C338" s="84">
        <v>8</v>
      </c>
      <c r="D338" s="84">
        <v>6</v>
      </c>
      <c r="E338" s="226"/>
      <c r="F338" s="217">
        <v>79</v>
      </c>
      <c r="G338" s="217">
        <v>73</v>
      </c>
      <c r="H338" s="217">
        <v>5</v>
      </c>
      <c r="I338" s="217">
        <v>34</v>
      </c>
      <c r="J338" s="217">
        <v>1442</v>
      </c>
      <c r="K338" s="217">
        <v>75</v>
      </c>
      <c r="L338" s="217">
        <v>1526</v>
      </c>
      <c r="M338" s="217">
        <v>182</v>
      </c>
      <c r="N338" s="227"/>
      <c r="O338" s="228">
        <f t="shared" si="171"/>
        <v>1.4429223744292239</v>
      </c>
      <c r="P338" s="228">
        <f>H338/I338*C338/D338</f>
        <v>0.19607843137254902</v>
      </c>
      <c r="Q338" s="228">
        <f>J338/K338*C338/D338</f>
        <v>25.635555555555555</v>
      </c>
      <c r="R338" s="228">
        <f t="shared" si="174"/>
        <v>11.179487179487181</v>
      </c>
    </row>
    <row r="339" spans="1:18">
      <c r="A339" s="239" t="s">
        <v>502</v>
      </c>
      <c r="B339" s="243" t="s">
        <v>169</v>
      </c>
      <c r="C339" s="84">
        <v>8</v>
      </c>
      <c r="D339" s="84">
        <v>6</v>
      </c>
      <c r="E339" s="226"/>
      <c r="F339" s="217">
        <v>0</v>
      </c>
      <c r="G339" s="217">
        <v>2</v>
      </c>
      <c r="H339" s="217">
        <v>0</v>
      </c>
      <c r="I339" s="217">
        <v>0</v>
      </c>
      <c r="J339" s="217">
        <v>0</v>
      </c>
      <c r="K339" s="217">
        <v>0</v>
      </c>
      <c r="L339" s="217">
        <v>0</v>
      </c>
      <c r="M339" s="217">
        <v>2</v>
      </c>
      <c r="N339" s="227"/>
      <c r="O339" s="228">
        <f t="shared" si="171"/>
        <v>0</v>
      </c>
      <c r="P339" s="260" t="s">
        <v>249</v>
      </c>
      <c r="Q339" s="242" t="s">
        <v>249</v>
      </c>
      <c r="R339" s="228">
        <f t="shared" si="174"/>
        <v>0</v>
      </c>
    </row>
    <row r="340" spans="1:18">
      <c r="A340" s="224" t="s">
        <v>503</v>
      </c>
      <c r="B340" s="225" t="s">
        <v>169</v>
      </c>
      <c r="C340" s="84">
        <v>8</v>
      </c>
      <c r="D340" s="84">
        <v>6</v>
      </c>
      <c r="E340" s="226"/>
      <c r="F340" s="217">
        <v>57</v>
      </c>
      <c r="G340" s="217">
        <v>1097</v>
      </c>
      <c r="H340" s="217">
        <v>203</v>
      </c>
      <c r="I340" s="217">
        <v>497</v>
      </c>
      <c r="J340" s="217">
        <v>2979</v>
      </c>
      <c r="K340" s="217">
        <v>1133</v>
      </c>
      <c r="L340" s="217">
        <v>3239</v>
      </c>
      <c r="M340" s="217">
        <v>2727</v>
      </c>
      <c r="N340" s="227"/>
      <c r="O340" s="228">
        <f t="shared" si="171"/>
        <v>6.9279854147675471E-2</v>
      </c>
      <c r="P340" s="228">
        <f t="shared" ref="P340:P346" si="177">H340/I340*C340/D340</f>
        <v>0.54460093896713613</v>
      </c>
      <c r="Q340" s="228">
        <f t="shared" ref="Q340:Q346" si="178">J340/K340*C340/D340</f>
        <v>3.5057369814651369</v>
      </c>
      <c r="R340" s="228">
        <f t="shared" si="174"/>
        <v>1.5836694780589171</v>
      </c>
    </row>
    <row r="341" spans="1:18">
      <c r="A341" s="224" t="s">
        <v>504</v>
      </c>
      <c r="B341" s="225" t="s">
        <v>169</v>
      </c>
      <c r="C341" s="84">
        <v>8</v>
      </c>
      <c r="D341" s="84">
        <v>6</v>
      </c>
      <c r="E341" s="226"/>
      <c r="F341" s="217">
        <v>0</v>
      </c>
      <c r="G341" s="217">
        <v>24</v>
      </c>
      <c r="H341" s="217">
        <v>0</v>
      </c>
      <c r="I341" s="217">
        <v>11</v>
      </c>
      <c r="J341" s="217">
        <v>5</v>
      </c>
      <c r="K341" s="217">
        <v>26</v>
      </c>
      <c r="L341" s="217">
        <v>5</v>
      </c>
      <c r="M341" s="217">
        <v>61</v>
      </c>
      <c r="N341" s="227"/>
      <c r="O341" s="228">
        <f t="shared" si="171"/>
        <v>0</v>
      </c>
      <c r="P341" s="228">
        <f t="shared" si="177"/>
        <v>0</v>
      </c>
      <c r="Q341" s="228">
        <f t="shared" si="178"/>
        <v>0.25641025641025644</v>
      </c>
      <c r="R341" s="228">
        <f t="shared" si="174"/>
        <v>0.10928961748633879</v>
      </c>
    </row>
    <row r="342" spans="1:18">
      <c r="A342" s="224" t="s">
        <v>505</v>
      </c>
      <c r="B342" s="251" t="s">
        <v>169</v>
      </c>
      <c r="C342" s="84">
        <v>8</v>
      </c>
      <c r="D342" s="84">
        <v>6</v>
      </c>
      <c r="E342" s="226"/>
      <c r="F342" s="217">
        <v>41</v>
      </c>
      <c r="G342" s="217">
        <v>71</v>
      </c>
      <c r="H342" s="217">
        <v>16</v>
      </c>
      <c r="I342" s="217">
        <v>33</v>
      </c>
      <c r="J342" s="217">
        <v>810</v>
      </c>
      <c r="K342" s="217">
        <v>73</v>
      </c>
      <c r="L342" s="217">
        <v>867</v>
      </c>
      <c r="M342" s="217">
        <v>177</v>
      </c>
      <c r="N342" s="227"/>
      <c r="O342" s="228">
        <f t="shared" si="171"/>
        <v>0.7699530516431925</v>
      </c>
      <c r="P342" s="228">
        <f t="shared" si="177"/>
        <v>0.64646464646464652</v>
      </c>
      <c r="Q342" s="228">
        <f t="shared" si="178"/>
        <v>14.794520547945206</v>
      </c>
      <c r="R342" s="228">
        <f t="shared" si="174"/>
        <v>6.5310734463276843</v>
      </c>
    </row>
    <row r="343" spans="1:18">
      <c r="A343" s="224" t="s">
        <v>506</v>
      </c>
      <c r="B343" s="251" t="s">
        <v>169</v>
      </c>
      <c r="C343" s="84">
        <v>8</v>
      </c>
      <c r="D343" s="84">
        <v>6</v>
      </c>
      <c r="E343" s="226"/>
      <c r="F343" s="217">
        <v>4</v>
      </c>
      <c r="G343" s="217">
        <v>2</v>
      </c>
      <c r="H343" s="217">
        <v>0</v>
      </c>
      <c r="I343" s="217">
        <v>1</v>
      </c>
      <c r="J343" s="217">
        <v>1272</v>
      </c>
      <c r="K343" s="217">
        <v>2</v>
      </c>
      <c r="L343" s="217">
        <v>1276</v>
      </c>
      <c r="M343" s="217">
        <v>5</v>
      </c>
      <c r="N343" s="227"/>
      <c r="O343" s="228">
        <f t="shared" si="171"/>
        <v>2.6666666666666665</v>
      </c>
      <c r="P343" s="228">
        <f t="shared" si="177"/>
        <v>0</v>
      </c>
      <c r="Q343" s="228">
        <f t="shared" si="178"/>
        <v>848</v>
      </c>
      <c r="R343" s="228">
        <f t="shared" si="174"/>
        <v>340.26666666666665</v>
      </c>
    </row>
    <row r="344" spans="1:18">
      <c r="A344" s="224" t="s">
        <v>169</v>
      </c>
      <c r="B344" s="251" t="s">
        <v>169</v>
      </c>
      <c r="C344" s="84">
        <v>8</v>
      </c>
      <c r="D344" s="84">
        <v>6</v>
      </c>
      <c r="E344" s="226"/>
      <c r="F344" s="217">
        <v>10</v>
      </c>
      <c r="G344" s="217">
        <v>142</v>
      </c>
      <c r="H344" s="217">
        <v>753</v>
      </c>
      <c r="I344" s="217">
        <v>66</v>
      </c>
      <c r="J344" s="217">
        <v>837</v>
      </c>
      <c r="K344" s="217">
        <v>155</v>
      </c>
      <c r="L344" s="217">
        <v>1600</v>
      </c>
      <c r="M344" s="217">
        <v>363</v>
      </c>
      <c r="N344" s="227"/>
      <c r="O344" s="228">
        <f t="shared" si="171"/>
        <v>9.3896713615023483E-2</v>
      </c>
      <c r="P344" s="228">
        <f t="shared" si="177"/>
        <v>15.212121212121211</v>
      </c>
      <c r="Q344" s="228">
        <f t="shared" si="178"/>
        <v>7.2</v>
      </c>
      <c r="R344" s="228">
        <f t="shared" si="174"/>
        <v>5.8769513314967865</v>
      </c>
    </row>
    <row r="345" spans="1:18">
      <c r="A345" s="224" t="s">
        <v>507</v>
      </c>
      <c r="B345" s="251" t="s">
        <v>169</v>
      </c>
      <c r="C345" s="84">
        <v>8</v>
      </c>
      <c r="D345" s="84">
        <v>6</v>
      </c>
      <c r="E345" s="226"/>
      <c r="F345" s="217">
        <v>232</v>
      </c>
      <c r="G345" s="217">
        <v>2119</v>
      </c>
      <c r="H345" s="217">
        <v>180</v>
      </c>
      <c r="I345" s="217">
        <v>979</v>
      </c>
      <c r="J345" s="217">
        <v>4153</v>
      </c>
      <c r="K345" s="217">
        <v>2174</v>
      </c>
      <c r="L345" s="217">
        <v>4565</v>
      </c>
      <c r="M345" s="217">
        <v>5272</v>
      </c>
      <c r="N345" s="227"/>
      <c r="O345" s="228">
        <f t="shared" si="171"/>
        <v>0.14598080855749568</v>
      </c>
      <c r="P345" s="228">
        <f t="shared" si="177"/>
        <v>0.24514811031664963</v>
      </c>
      <c r="Q345" s="228">
        <f t="shared" si="178"/>
        <v>2.5470714504753142</v>
      </c>
      <c r="R345" s="228">
        <f t="shared" si="174"/>
        <v>1.1545270612038443</v>
      </c>
    </row>
    <row r="346" spans="1:18">
      <c r="A346" s="244" t="s">
        <v>508</v>
      </c>
      <c r="B346" s="253" t="s">
        <v>169</v>
      </c>
      <c r="C346" s="84">
        <v>8</v>
      </c>
      <c r="D346" s="84">
        <v>6</v>
      </c>
      <c r="E346" s="226"/>
      <c r="F346" s="217">
        <v>49</v>
      </c>
      <c r="G346" s="217">
        <v>193</v>
      </c>
      <c r="H346" s="217">
        <v>35</v>
      </c>
      <c r="I346" s="217">
        <v>90</v>
      </c>
      <c r="J346" s="217">
        <v>333</v>
      </c>
      <c r="K346" s="217">
        <v>209</v>
      </c>
      <c r="L346" s="217">
        <v>417</v>
      </c>
      <c r="M346" s="217">
        <v>492</v>
      </c>
      <c r="N346" s="227"/>
      <c r="O346" s="228">
        <f t="shared" si="171"/>
        <v>0.3385146804835924</v>
      </c>
      <c r="P346" s="228">
        <f t="shared" si="177"/>
        <v>0.51851851851851849</v>
      </c>
      <c r="Q346" s="228">
        <f t="shared" si="178"/>
        <v>2.1244019138755981</v>
      </c>
      <c r="R346" s="228">
        <f t="shared" si="174"/>
        <v>1.1300813008130082</v>
      </c>
    </row>
    <row r="347" spans="1:18">
      <c r="A347" s="244" t="s">
        <v>509</v>
      </c>
      <c r="B347" s="245" t="s">
        <v>169</v>
      </c>
      <c r="C347" s="84">
        <v>8</v>
      </c>
      <c r="D347" s="84">
        <v>6</v>
      </c>
      <c r="E347" s="226"/>
      <c r="F347" s="217">
        <v>1</v>
      </c>
      <c r="G347" s="217">
        <v>2</v>
      </c>
      <c r="H347" s="217">
        <v>0</v>
      </c>
      <c r="I347" s="217">
        <v>0</v>
      </c>
      <c r="J347" s="217">
        <v>0</v>
      </c>
      <c r="K347" s="217">
        <v>0</v>
      </c>
      <c r="L347" s="217">
        <v>1</v>
      </c>
      <c r="M347" s="217">
        <v>2</v>
      </c>
      <c r="N347" s="227"/>
      <c r="O347" s="228">
        <f t="shared" si="171"/>
        <v>0.66666666666666663</v>
      </c>
      <c r="P347" s="260" t="s">
        <v>249</v>
      </c>
      <c r="Q347" s="242" t="s">
        <v>249</v>
      </c>
      <c r="R347" s="228">
        <f t="shared" si="174"/>
        <v>0.66666666666666663</v>
      </c>
    </row>
    <row r="348" spans="1:18">
      <c r="A348" s="244" t="s">
        <v>510</v>
      </c>
      <c r="B348" s="245" t="s">
        <v>169</v>
      </c>
      <c r="C348" s="84">
        <v>8</v>
      </c>
      <c r="D348" s="84">
        <v>6</v>
      </c>
      <c r="E348" s="226"/>
      <c r="F348" s="217">
        <v>93</v>
      </c>
      <c r="G348" s="217">
        <v>229</v>
      </c>
      <c r="H348" s="217">
        <v>31</v>
      </c>
      <c r="I348" s="217">
        <v>108</v>
      </c>
      <c r="J348" s="217">
        <v>518</v>
      </c>
      <c r="K348" s="217">
        <v>244</v>
      </c>
      <c r="L348" s="217">
        <v>642</v>
      </c>
      <c r="M348" s="217">
        <v>581</v>
      </c>
      <c r="N348" s="227"/>
      <c r="O348" s="228">
        <f t="shared" si="171"/>
        <v>0.54148471615720528</v>
      </c>
      <c r="P348" s="228">
        <f t="shared" ref="P348:P350" si="179">H348/I348*C348/D348</f>
        <v>0.38271604938271603</v>
      </c>
      <c r="Q348" s="228">
        <f t="shared" ref="Q348:Q350" si="180">J348/K348*C348/D348</f>
        <v>2.8306010928961745</v>
      </c>
      <c r="R348" s="228">
        <f t="shared" si="174"/>
        <v>1.4733218588640276</v>
      </c>
    </row>
    <row r="349" spans="1:18">
      <c r="A349" s="244" t="s">
        <v>511</v>
      </c>
      <c r="B349" s="245" t="s">
        <v>169</v>
      </c>
      <c r="C349" s="84">
        <v>8</v>
      </c>
      <c r="D349" s="84">
        <v>6</v>
      </c>
      <c r="E349" s="226"/>
      <c r="F349" s="217">
        <v>2</v>
      </c>
      <c r="G349" s="217">
        <v>251</v>
      </c>
      <c r="H349" s="217">
        <v>29</v>
      </c>
      <c r="I349" s="217">
        <v>120</v>
      </c>
      <c r="J349" s="217">
        <v>497</v>
      </c>
      <c r="K349" s="217">
        <v>267</v>
      </c>
      <c r="L349" s="217">
        <v>528</v>
      </c>
      <c r="M349" s="217">
        <v>638</v>
      </c>
      <c r="N349" s="227"/>
      <c r="O349" s="228">
        <f t="shared" si="171"/>
        <v>1.0624169986719787E-2</v>
      </c>
      <c r="P349" s="228">
        <f t="shared" si="179"/>
        <v>0.32222222222222224</v>
      </c>
      <c r="Q349" s="228">
        <f t="shared" si="180"/>
        <v>2.481897627965044</v>
      </c>
      <c r="R349" s="228">
        <f t="shared" si="174"/>
        <v>1.103448275862069</v>
      </c>
    </row>
    <row r="350" spans="1:18">
      <c r="A350" s="244" t="s">
        <v>512</v>
      </c>
      <c r="B350" s="245" t="s">
        <v>169</v>
      </c>
      <c r="C350" s="84">
        <v>8</v>
      </c>
      <c r="D350" s="84">
        <v>6</v>
      </c>
      <c r="E350" s="226"/>
      <c r="F350" s="217">
        <v>844</v>
      </c>
      <c r="G350" s="217">
        <v>77</v>
      </c>
      <c r="H350" s="217">
        <v>42</v>
      </c>
      <c r="I350" s="217">
        <v>37</v>
      </c>
      <c r="J350" s="217">
        <v>2103</v>
      </c>
      <c r="K350" s="217">
        <v>90</v>
      </c>
      <c r="L350" s="217">
        <v>2989</v>
      </c>
      <c r="M350" s="217">
        <v>204</v>
      </c>
      <c r="N350" s="227"/>
      <c r="O350" s="228">
        <f t="shared" si="171"/>
        <v>14.614718614718614</v>
      </c>
      <c r="P350" s="228">
        <f t="shared" si="179"/>
        <v>1.5135135135135134</v>
      </c>
      <c r="Q350" s="228">
        <f t="shared" si="180"/>
        <v>31.155555555555555</v>
      </c>
      <c r="R350" s="228">
        <f t="shared" si="174"/>
        <v>19.535947712418302</v>
      </c>
    </row>
    <row r="351" spans="1:18">
      <c r="A351" s="244" t="s">
        <v>513</v>
      </c>
      <c r="B351" s="245" t="s">
        <v>169</v>
      </c>
      <c r="C351" s="84">
        <v>8</v>
      </c>
      <c r="D351" s="84">
        <v>6</v>
      </c>
      <c r="E351" s="226"/>
      <c r="F351" s="217">
        <v>0</v>
      </c>
      <c r="G351" s="217">
        <v>2</v>
      </c>
      <c r="H351" s="217">
        <v>0</v>
      </c>
      <c r="I351" s="217">
        <v>0</v>
      </c>
      <c r="J351" s="217">
        <v>12</v>
      </c>
      <c r="K351" s="217">
        <v>0</v>
      </c>
      <c r="L351" s="217">
        <v>12</v>
      </c>
      <c r="M351" s="217">
        <v>2</v>
      </c>
      <c r="N351" s="227"/>
      <c r="O351" s="228">
        <f t="shared" si="171"/>
        <v>0</v>
      </c>
      <c r="P351" s="260" t="s">
        <v>249</v>
      </c>
      <c r="Q351" s="242" t="s">
        <v>249</v>
      </c>
      <c r="R351" s="228">
        <f t="shared" si="174"/>
        <v>8</v>
      </c>
    </row>
    <row r="352" spans="1:18">
      <c r="A352" s="244" t="s">
        <v>514</v>
      </c>
      <c r="B352" s="245" t="s">
        <v>169</v>
      </c>
      <c r="C352" s="84">
        <v>8</v>
      </c>
      <c r="D352" s="84">
        <v>6</v>
      </c>
      <c r="E352" s="226"/>
      <c r="F352" s="217">
        <v>0</v>
      </c>
      <c r="G352" s="217">
        <v>117</v>
      </c>
      <c r="H352" s="217">
        <v>14</v>
      </c>
      <c r="I352" s="217">
        <v>56</v>
      </c>
      <c r="J352" s="217">
        <v>254</v>
      </c>
      <c r="K352" s="217">
        <v>140</v>
      </c>
      <c r="L352" s="217">
        <v>268</v>
      </c>
      <c r="M352" s="217">
        <v>313</v>
      </c>
      <c r="N352" s="227"/>
      <c r="O352" s="228">
        <f t="shared" si="171"/>
        <v>0</v>
      </c>
      <c r="P352" s="228">
        <f t="shared" ref="P352:P354" si="181">H352/I352*C352/D352</f>
        <v>0.33333333333333331</v>
      </c>
      <c r="Q352" s="228">
        <f t="shared" ref="Q352:Q354" si="182">J352/K352*C352/D352</f>
        <v>2.4190476190476189</v>
      </c>
      <c r="R352" s="228">
        <f t="shared" si="174"/>
        <v>1.1416400425985092</v>
      </c>
    </row>
    <row r="353" spans="1:18">
      <c r="A353" s="244" t="s">
        <v>515</v>
      </c>
      <c r="B353" s="253" t="s">
        <v>169</v>
      </c>
      <c r="C353" s="84">
        <v>8</v>
      </c>
      <c r="D353" s="84">
        <v>6</v>
      </c>
      <c r="E353" s="226"/>
      <c r="F353" s="217">
        <v>163</v>
      </c>
      <c r="G353" s="217">
        <v>478</v>
      </c>
      <c r="H353" s="217">
        <v>106</v>
      </c>
      <c r="I353" s="217">
        <v>224</v>
      </c>
      <c r="J353" s="217">
        <v>1163</v>
      </c>
      <c r="K353" s="217">
        <v>525</v>
      </c>
      <c r="L353" s="217">
        <v>1432</v>
      </c>
      <c r="M353" s="217">
        <v>1227</v>
      </c>
      <c r="N353" s="227"/>
      <c r="O353" s="228">
        <f t="shared" si="171"/>
        <v>0.45467224546722451</v>
      </c>
      <c r="P353" s="228">
        <f t="shared" si="181"/>
        <v>0.63095238095238093</v>
      </c>
      <c r="Q353" s="228">
        <f t="shared" si="182"/>
        <v>2.9536507936507941</v>
      </c>
      <c r="R353" s="228">
        <f t="shared" si="174"/>
        <v>1.5560988861722358</v>
      </c>
    </row>
    <row r="354" spans="1:18">
      <c r="A354" s="244" t="s">
        <v>516</v>
      </c>
      <c r="B354" s="253" t="s">
        <v>169</v>
      </c>
      <c r="C354" s="84">
        <v>8</v>
      </c>
      <c r="D354" s="84">
        <v>6</v>
      </c>
      <c r="E354" s="226"/>
      <c r="F354" s="217">
        <v>0</v>
      </c>
      <c r="G354" s="217">
        <v>5</v>
      </c>
      <c r="H354" s="217">
        <v>5</v>
      </c>
      <c r="I354" s="217">
        <v>3</v>
      </c>
      <c r="J354" s="217">
        <v>7</v>
      </c>
      <c r="K354" s="217">
        <v>6</v>
      </c>
      <c r="L354" s="217">
        <v>12</v>
      </c>
      <c r="M354" s="217">
        <v>14</v>
      </c>
      <c r="N354" s="227"/>
      <c r="O354" s="228">
        <f t="shared" si="171"/>
        <v>0</v>
      </c>
      <c r="P354" s="228">
        <f t="shared" si="181"/>
        <v>2.2222222222222223</v>
      </c>
      <c r="Q354" s="228">
        <f t="shared" si="182"/>
        <v>1.5555555555555556</v>
      </c>
      <c r="R354" s="228">
        <f t="shared" si="174"/>
        <v>1.1428571428571428</v>
      </c>
    </row>
    <row r="355" spans="1:18">
      <c r="A355" s="244" t="s">
        <v>517</v>
      </c>
      <c r="B355" s="253" t="s">
        <v>169</v>
      </c>
      <c r="C355" s="84">
        <v>8</v>
      </c>
      <c r="D355" s="84">
        <v>6</v>
      </c>
      <c r="E355" s="226"/>
      <c r="F355" s="217">
        <v>69</v>
      </c>
      <c r="G355" s="217">
        <v>2</v>
      </c>
      <c r="H355" s="217">
        <v>1</v>
      </c>
      <c r="I355" s="217">
        <v>0</v>
      </c>
      <c r="J355" s="217">
        <v>320</v>
      </c>
      <c r="K355" s="217">
        <v>0</v>
      </c>
      <c r="L355" s="217">
        <v>390</v>
      </c>
      <c r="M355" s="217">
        <v>2</v>
      </c>
      <c r="N355" s="227"/>
      <c r="O355" s="228">
        <f t="shared" si="171"/>
        <v>46</v>
      </c>
      <c r="P355" s="260" t="s">
        <v>249</v>
      </c>
      <c r="Q355" s="242" t="s">
        <v>249</v>
      </c>
      <c r="R355" s="228">
        <f t="shared" si="174"/>
        <v>260</v>
      </c>
    </row>
    <row r="356" spans="1:18">
      <c r="A356" s="244" t="s">
        <v>518</v>
      </c>
      <c r="B356" s="253" t="s">
        <v>169</v>
      </c>
      <c r="C356" s="84">
        <v>8</v>
      </c>
      <c r="D356" s="84">
        <v>6</v>
      </c>
      <c r="E356" s="226"/>
      <c r="F356" s="246">
        <v>139</v>
      </c>
      <c r="G356" s="246">
        <v>273</v>
      </c>
      <c r="H356" s="246">
        <v>22</v>
      </c>
      <c r="I356" s="246">
        <v>126</v>
      </c>
      <c r="J356" s="246">
        <v>762</v>
      </c>
      <c r="K356" s="246">
        <v>270</v>
      </c>
      <c r="L356" s="246">
        <v>923</v>
      </c>
      <c r="M356" s="246">
        <v>669</v>
      </c>
      <c r="N356" s="227"/>
      <c r="O356" s="247">
        <f t="shared" si="171"/>
        <v>0.6788766788766788</v>
      </c>
      <c r="P356" s="247">
        <f>H356/I356*C356/D356</f>
        <v>0.23280423280423279</v>
      </c>
      <c r="Q356" s="247">
        <f>J356/K356*C356/D356</f>
        <v>3.7629629629629631</v>
      </c>
      <c r="R356" s="247">
        <f t="shared" si="174"/>
        <v>1.839561534628799</v>
      </c>
    </row>
    <row r="357" spans="1:18">
      <c r="A357" s="239"/>
      <c r="B357" s="243"/>
      <c r="C357" s="226"/>
      <c r="D357" s="226"/>
      <c r="E357" s="226"/>
      <c r="F357" s="241">
        <f t="shared" ref="F357:M357" si="183">SUM(F322:F356)</f>
        <v>4126</v>
      </c>
      <c r="G357" s="241">
        <f t="shared" si="183"/>
        <v>14980</v>
      </c>
      <c r="H357" s="241">
        <f t="shared" si="183"/>
        <v>15673</v>
      </c>
      <c r="I357" s="241">
        <f t="shared" si="183"/>
        <v>6971</v>
      </c>
      <c r="J357" s="241">
        <f t="shared" si="183"/>
        <v>45719</v>
      </c>
      <c r="K357" s="241">
        <f t="shared" si="183"/>
        <v>16015</v>
      </c>
      <c r="L357" s="241">
        <f t="shared" si="183"/>
        <v>65518</v>
      </c>
      <c r="M357" s="241">
        <f t="shared" si="183"/>
        <v>37966</v>
      </c>
      <c r="N357" s="227"/>
      <c r="O357" s="228">
        <f>F357/G357*C356/D356</f>
        <v>0.36724521584334674</v>
      </c>
      <c r="P357" s="228">
        <f>H357/I357*C356/D356</f>
        <v>2.9977525940802372</v>
      </c>
      <c r="Q357" s="228">
        <f>J357/K357*C356/D356</f>
        <v>3.8063482152149031</v>
      </c>
      <c r="R357" s="228">
        <f>L357/M357*C356/D356</f>
        <v>2.30093592512599</v>
      </c>
    </row>
    <row r="358" spans="1:18">
      <c r="A358" s="239"/>
      <c r="B358" s="243"/>
      <c r="C358" s="226"/>
      <c r="D358" s="226"/>
      <c r="E358" s="226"/>
      <c r="F358" s="264"/>
      <c r="G358" s="264"/>
      <c r="H358" s="98"/>
      <c r="I358" s="98"/>
      <c r="J358" s="98"/>
      <c r="K358" s="98"/>
      <c r="L358" s="98"/>
      <c r="M358" s="98"/>
      <c r="N358" s="180"/>
      <c r="O358" s="228"/>
      <c r="P358" s="228"/>
      <c r="Q358" s="228"/>
      <c r="R358" s="228"/>
    </row>
    <row r="359" spans="1:18">
      <c r="A359" s="239" t="s">
        <v>519</v>
      </c>
      <c r="B359" s="243" t="s">
        <v>170</v>
      </c>
      <c r="C359" s="84">
        <v>8</v>
      </c>
      <c r="D359" s="84">
        <v>6</v>
      </c>
      <c r="E359" s="226"/>
      <c r="F359" s="217">
        <v>1</v>
      </c>
      <c r="G359" s="217">
        <v>126</v>
      </c>
      <c r="H359" s="217">
        <v>42</v>
      </c>
      <c r="I359" s="217">
        <v>57</v>
      </c>
      <c r="J359" s="217">
        <v>98</v>
      </c>
      <c r="K359" s="217">
        <v>125</v>
      </c>
      <c r="L359" s="217">
        <v>141</v>
      </c>
      <c r="M359" s="217">
        <v>308</v>
      </c>
      <c r="N359" s="227"/>
      <c r="O359" s="228">
        <f t="shared" ref="O359:O365" si="184">F359/G359*C359/D359</f>
        <v>1.0582010582010581E-2</v>
      </c>
      <c r="P359" s="228">
        <f t="shared" ref="P359:P365" si="185">H359/I359*C359/D359</f>
        <v>0.98245614035087714</v>
      </c>
      <c r="Q359" s="228">
        <f t="shared" ref="Q359:Q365" si="186">J359/K359*C359/D359</f>
        <v>1.0453333333333334</v>
      </c>
      <c r="R359" s="228">
        <f t="shared" ref="R359:R365" si="187">L359/M359*C359/D359</f>
        <v>0.61038961038961037</v>
      </c>
    </row>
    <row r="360" spans="1:18">
      <c r="A360" s="239" t="s">
        <v>520</v>
      </c>
      <c r="B360" s="243" t="s">
        <v>170</v>
      </c>
      <c r="C360" s="84">
        <v>8</v>
      </c>
      <c r="D360" s="84">
        <v>6</v>
      </c>
      <c r="E360" s="226"/>
      <c r="F360" s="217">
        <v>0</v>
      </c>
      <c r="G360" s="217">
        <v>17</v>
      </c>
      <c r="H360" s="217">
        <v>0</v>
      </c>
      <c r="I360" s="217">
        <v>10</v>
      </c>
      <c r="J360" s="217">
        <v>20</v>
      </c>
      <c r="K360" s="217">
        <v>24</v>
      </c>
      <c r="L360" s="217">
        <v>20</v>
      </c>
      <c r="M360" s="217">
        <v>51</v>
      </c>
      <c r="N360" s="227"/>
      <c r="O360" s="228">
        <f t="shared" si="184"/>
        <v>0</v>
      </c>
      <c r="P360" s="228">
        <f t="shared" si="185"/>
        <v>0</v>
      </c>
      <c r="Q360" s="228">
        <f t="shared" si="186"/>
        <v>1.1111111111111112</v>
      </c>
      <c r="R360" s="228">
        <f t="shared" si="187"/>
        <v>0.52287581699346408</v>
      </c>
    </row>
    <row r="361" spans="1:18">
      <c r="A361" s="239" t="s">
        <v>521</v>
      </c>
      <c r="B361" s="243" t="s">
        <v>170</v>
      </c>
      <c r="C361" s="84">
        <v>8</v>
      </c>
      <c r="D361" s="84">
        <v>4</v>
      </c>
      <c r="E361" s="226"/>
      <c r="F361" s="217">
        <v>0</v>
      </c>
      <c r="G361" s="217">
        <v>1621</v>
      </c>
      <c r="H361" s="217">
        <v>65</v>
      </c>
      <c r="I361" s="217">
        <v>705</v>
      </c>
      <c r="J361" s="217">
        <v>1207</v>
      </c>
      <c r="K361" s="217">
        <v>1464</v>
      </c>
      <c r="L361" s="217">
        <v>1272</v>
      </c>
      <c r="M361" s="217">
        <v>3790</v>
      </c>
      <c r="N361" s="227"/>
      <c r="O361" s="228">
        <f t="shared" si="184"/>
        <v>0</v>
      </c>
      <c r="P361" s="228">
        <f t="shared" si="185"/>
        <v>0.18439716312056736</v>
      </c>
      <c r="Q361" s="228">
        <f t="shared" si="186"/>
        <v>1.6489071038251366</v>
      </c>
      <c r="R361" s="228">
        <f t="shared" si="187"/>
        <v>0.67124010554089708</v>
      </c>
    </row>
    <row r="362" spans="1:18">
      <c r="A362" s="239" t="s">
        <v>522</v>
      </c>
      <c r="B362" s="243" t="s">
        <v>170</v>
      </c>
      <c r="C362" s="84">
        <v>8</v>
      </c>
      <c r="D362" s="84">
        <v>6</v>
      </c>
      <c r="E362" s="226"/>
      <c r="F362" s="217">
        <v>0</v>
      </c>
      <c r="G362" s="217">
        <v>66</v>
      </c>
      <c r="H362" s="217">
        <v>2</v>
      </c>
      <c r="I362" s="217">
        <v>29</v>
      </c>
      <c r="J362" s="217">
        <v>11</v>
      </c>
      <c r="K362" s="217">
        <v>59</v>
      </c>
      <c r="L362" s="217">
        <v>13</v>
      </c>
      <c r="M362" s="217">
        <v>154</v>
      </c>
      <c r="N362" s="227"/>
      <c r="O362" s="228">
        <f t="shared" si="184"/>
        <v>0</v>
      </c>
      <c r="P362" s="228">
        <f t="shared" si="185"/>
        <v>9.1954022988505746E-2</v>
      </c>
      <c r="Q362" s="228">
        <f t="shared" si="186"/>
        <v>0.24858757062146894</v>
      </c>
      <c r="R362" s="228">
        <f t="shared" si="187"/>
        <v>0.11255411255411256</v>
      </c>
    </row>
    <row r="363" spans="1:18">
      <c r="A363" s="244" t="s">
        <v>523</v>
      </c>
      <c r="B363" s="253" t="s">
        <v>170</v>
      </c>
      <c r="C363" s="84">
        <v>8</v>
      </c>
      <c r="D363" s="84">
        <v>6</v>
      </c>
      <c r="E363" s="226"/>
      <c r="F363" s="217">
        <v>122</v>
      </c>
      <c r="G363" s="217">
        <v>2322</v>
      </c>
      <c r="H363" s="217">
        <v>139</v>
      </c>
      <c r="I363" s="217">
        <v>936</v>
      </c>
      <c r="J363" s="217">
        <v>2142</v>
      </c>
      <c r="K363" s="217">
        <v>1773</v>
      </c>
      <c r="L363" s="217">
        <v>2403</v>
      </c>
      <c r="M363" s="217">
        <v>5031</v>
      </c>
      <c r="N363" s="227"/>
      <c r="O363" s="228">
        <f t="shared" si="184"/>
        <v>7.0054550674705715E-2</v>
      </c>
      <c r="P363" s="228">
        <f t="shared" si="185"/>
        <v>0.19800569800569801</v>
      </c>
      <c r="Q363" s="228">
        <f t="shared" si="186"/>
        <v>1.61082910321489</v>
      </c>
      <c r="R363" s="228">
        <f t="shared" si="187"/>
        <v>0.63685152057245087</v>
      </c>
    </row>
    <row r="364" spans="1:18">
      <c r="A364" s="244" t="s">
        <v>524</v>
      </c>
      <c r="B364" s="245" t="s">
        <v>170</v>
      </c>
      <c r="C364" s="84">
        <v>8</v>
      </c>
      <c r="D364" s="84">
        <v>6</v>
      </c>
      <c r="E364" s="226"/>
      <c r="F364" s="217">
        <v>2</v>
      </c>
      <c r="G364" s="217">
        <v>1769</v>
      </c>
      <c r="H364" s="217">
        <v>914</v>
      </c>
      <c r="I364" s="217">
        <v>709</v>
      </c>
      <c r="J364" s="217">
        <v>2562</v>
      </c>
      <c r="K364" s="217">
        <v>1335</v>
      </c>
      <c r="L364" s="217">
        <v>3478</v>
      </c>
      <c r="M364" s="217">
        <v>3813</v>
      </c>
      <c r="N364" s="227"/>
      <c r="O364" s="228">
        <f t="shared" si="184"/>
        <v>1.5074429998115696E-3</v>
      </c>
      <c r="P364" s="228">
        <f t="shared" si="185"/>
        <v>1.7188528443817583</v>
      </c>
      <c r="Q364" s="228">
        <f t="shared" si="186"/>
        <v>2.5588014981273406</v>
      </c>
      <c r="R364" s="228">
        <f t="shared" si="187"/>
        <v>1.2161902264183932</v>
      </c>
    </row>
    <row r="365" spans="1:18">
      <c r="A365" s="244" t="s">
        <v>525</v>
      </c>
      <c r="B365" s="245" t="s">
        <v>170</v>
      </c>
      <c r="C365" s="84">
        <v>8</v>
      </c>
      <c r="D365" s="84">
        <v>6</v>
      </c>
      <c r="E365" s="226"/>
      <c r="F365" s="246">
        <v>194</v>
      </c>
      <c r="G365" s="246">
        <v>3858</v>
      </c>
      <c r="H365" s="246">
        <v>2981</v>
      </c>
      <c r="I365" s="246">
        <v>1577</v>
      </c>
      <c r="J365" s="246">
        <v>3461</v>
      </c>
      <c r="K365" s="246">
        <v>3043</v>
      </c>
      <c r="L365" s="246">
        <v>6636</v>
      </c>
      <c r="M365" s="246">
        <v>8478</v>
      </c>
      <c r="N365" s="227"/>
      <c r="O365" s="247">
        <f t="shared" si="184"/>
        <v>6.7046829099706232E-2</v>
      </c>
      <c r="P365" s="247">
        <f t="shared" si="185"/>
        <v>2.5203973789896428</v>
      </c>
      <c r="Q365" s="247">
        <f t="shared" si="186"/>
        <v>1.5164859239785298</v>
      </c>
      <c r="R365" s="247">
        <f t="shared" si="187"/>
        <v>1.0436423684831329</v>
      </c>
    </row>
    <row r="366" spans="1:18">
      <c r="A366" s="244"/>
      <c r="B366" s="253"/>
      <c r="C366" s="226"/>
      <c r="D366" s="226"/>
      <c r="E366" s="226"/>
      <c r="F366" s="241">
        <f t="shared" ref="F366:M366" si="188">SUM(F359:F365)</f>
        <v>319</v>
      </c>
      <c r="G366" s="241">
        <f t="shared" si="188"/>
        <v>9779</v>
      </c>
      <c r="H366" s="241">
        <f t="shared" si="188"/>
        <v>4143</v>
      </c>
      <c r="I366" s="241">
        <f t="shared" si="188"/>
        <v>4023</v>
      </c>
      <c r="J366" s="241">
        <f t="shared" si="188"/>
        <v>9501</v>
      </c>
      <c r="K366" s="241">
        <f t="shared" si="188"/>
        <v>7823</v>
      </c>
      <c r="L366" s="241">
        <f t="shared" si="188"/>
        <v>13963</v>
      </c>
      <c r="M366" s="241">
        <f t="shared" si="188"/>
        <v>21625</v>
      </c>
      <c r="N366" s="227"/>
      <c r="O366" s="228">
        <f>F366/G366*C365/D365</f>
        <v>4.3494563179602548E-2</v>
      </c>
      <c r="P366" s="228">
        <f>H366/I366*C365/D365</f>
        <v>1.3731046482724336</v>
      </c>
      <c r="Q366" s="228">
        <f>J366/K366*C365/D365</f>
        <v>1.6193276236737824</v>
      </c>
      <c r="R366" s="228">
        <f>L366/M366*C365/D365</f>
        <v>0.8609171483622351</v>
      </c>
    </row>
    <row r="367" spans="1:18">
      <c r="A367" s="244"/>
      <c r="B367" s="253"/>
      <c r="C367" s="226"/>
      <c r="D367" s="226"/>
      <c r="E367" s="226"/>
      <c r="F367" s="264"/>
      <c r="G367" s="264"/>
      <c r="H367" s="98"/>
      <c r="I367" s="98"/>
      <c r="J367" s="98"/>
      <c r="K367" s="98"/>
      <c r="L367" s="98"/>
      <c r="M367" s="98"/>
      <c r="N367" s="180"/>
      <c r="O367" s="228"/>
      <c r="P367" s="228"/>
      <c r="Q367" s="228"/>
      <c r="R367" s="228"/>
    </row>
    <row r="368" spans="1:18">
      <c r="A368" s="244" t="s">
        <v>526</v>
      </c>
      <c r="B368" s="253" t="s">
        <v>171</v>
      </c>
      <c r="C368" s="84">
        <v>5</v>
      </c>
      <c r="D368" s="84">
        <v>5</v>
      </c>
      <c r="E368" s="226"/>
      <c r="F368" s="217">
        <v>1</v>
      </c>
      <c r="G368" s="217">
        <v>20</v>
      </c>
      <c r="H368" s="217">
        <v>46</v>
      </c>
      <c r="I368" s="217">
        <v>12</v>
      </c>
      <c r="J368" s="217">
        <v>130</v>
      </c>
      <c r="K368" s="217">
        <v>25</v>
      </c>
      <c r="L368" s="217">
        <v>177</v>
      </c>
      <c r="M368" s="217">
        <v>57</v>
      </c>
      <c r="N368" s="227"/>
      <c r="O368" s="228">
        <f t="shared" ref="O368:O369" si="189">F368/G368*C368/D368</f>
        <v>0.05</v>
      </c>
      <c r="P368" s="228">
        <f t="shared" ref="P368:P369" si="190">H368/I368*C368/D368</f>
        <v>3.8333333333333335</v>
      </c>
      <c r="Q368" s="228">
        <f t="shared" ref="Q368:Q369" si="191">J368/K368*C368/D368</f>
        <v>5.2</v>
      </c>
      <c r="R368" s="228">
        <f t="shared" ref="R368:R369" si="192">L368/M368*C368/D368</f>
        <v>3.1052631578947367</v>
      </c>
    </row>
    <row r="369" spans="1:18">
      <c r="A369" s="244" t="s">
        <v>527</v>
      </c>
      <c r="B369" s="245" t="s">
        <v>171</v>
      </c>
      <c r="C369" s="84">
        <v>5</v>
      </c>
      <c r="D369" s="84">
        <v>5</v>
      </c>
      <c r="E369" s="226"/>
      <c r="F369" s="246">
        <v>0</v>
      </c>
      <c r="G369" s="246">
        <v>5</v>
      </c>
      <c r="H369" s="246">
        <v>0</v>
      </c>
      <c r="I369" s="246">
        <v>3</v>
      </c>
      <c r="J369" s="246">
        <v>0</v>
      </c>
      <c r="K369" s="246">
        <v>5</v>
      </c>
      <c r="L369" s="246">
        <v>0</v>
      </c>
      <c r="M369" s="246">
        <v>13</v>
      </c>
      <c r="N369" s="227"/>
      <c r="O369" s="247">
        <f t="shared" si="189"/>
        <v>0</v>
      </c>
      <c r="P369" s="247">
        <f t="shared" si="190"/>
        <v>0</v>
      </c>
      <c r="Q369" s="247">
        <f t="shared" si="191"/>
        <v>0</v>
      </c>
      <c r="R369" s="247">
        <f t="shared" si="192"/>
        <v>0</v>
      </c>
    </row>
    <row r="370" spans="1:18">
      <c r="A370" s="224"/>
      <c r="B370" s="225"/>
      <c r="C370" s="226"/>
      <c r="D370" s="226"/>
      <c r="E370" s="226"/>
      <c r="F370" s="241">
        <f t="shared" ref="F370:M370" si="193">SUM(F368:F369)</f>
        <v>1</v>
      </c>
      <c r="G370" s="241">
        <f t="shared" si="193"/>
        <v>25</v>
      </c>
      <c r="H370" s="241">
        <f t="shared" si="193"/>
        <v>46</v>
      </c>
      <c r="I370" s="241">
        <f t="shared" si="193"/>
        <v>15</v>
      </c>
      <c r="J370" s="241">
        <f t="shared" si="193"/>
        <v>130</v>
      </c>
      <c r="K370" s="241">
        <f t="shared" si="193"/>
        <v>30</v>
      </c>
      <c r="L370" s="241">
        <f t="shared" si="193"/>
        <v>177</v>
      </c>
      <c r="M370" s="241">
        <f t="shared" si="193"/>
        <v>70</v>
      </c>
      <c r="N370" s="227"/>
      <c r="O370" s="228">
        <f>F370/G370*C369/D369</f>
        <v>0.04</v>
      </c>
      <c r="P370" s="228">
        <f>H370/I370*C369/D369</f>
        <v>3.0666666666666669</v>
      </c>
      <c r="Q370" s="228">
        <f>J370/K370*C369/D369</f>
        <v>4.333333333333333</v>
      </c>
      <c r="R370" s="228">
        <f>L370/M370*C369/D369</f>
        <v>2.5285714285714285</v>
      </c>
    </row>
    <row r="371" spans="1:18">
      <c r="A371" s="224"/>
      <c r="B371" s="225"/>
      <c r="C371" s="226"/>
      <c r="D371" s="226"/>
      <c r="E371" s="226"/>
      <c r="F371" s="264"/>
      <c r="G371" s="264"/>
      <c r="H371" s="98"/>
      <c r="I371" s="98"/>
      <c r="J371" s="98"/>
      <c r="K371" s="98"/>
      <c r="L371" s="98"/>
      <c r="M371" s="98"/>
      <c r="N371" s="180"/>
      <c r="O371" s="228"/>
      <c r="P371" s="228"/>
      <c r="Q371" s="228"/>
      <c r="R371" s="228"/>
    </row>
    <row r="372" spans="1:18">
      <c r="A372" s="224" t="s">
        <v>528</v>
      </c>
      <c r="B372" s="225" t="s">
        <v>173</v>
      </c>
      <c r="C372" s="84">
        <v>8</v>
      </c>
      <c r="D372" s="84">
        <v>6</v>
      </c>
      <c r="E372" s="226"/>
      <c r="F372" s="217">
        <v>0</v>
      </c>
      <c r="G372" s="217">
        <v>1465</v>
      </c>
      <c r="H372" s="217">
        <v>0</v>
      </c>
      <c r="I372" s="217">
        <v>685</v>
      </c>
      <c r="J372" s="217">
        <v>10</v>
      </c>
      <c r="K372" s="217">
        <v>1642</v>
      </c>
      <c r="L372" s="217">
        <v>10</v>
      </c>
      <c r="M372" s="217">
        <v>3792</v>
      </c>
      <c r="N372" s="227"/>
      <c r="O372" s="228">
        <f t="shared" ref="O372:O400" si="194">F372/G372*C372/D372</f>
        <v>0</v>
      </c>
      <c r="P372" s="228">
        <f t="shared" ref="P372:P400" si="195">H372/I372*C372/D372</f>
        <v>0</v>
      </c>
      <c r="Q372" s="228">
        <f t="shared" ref="Q372:Q400" si="196">J372/K372*C372/D372</f>
        <v>8.1201786439301666E-3</v>
      </c>
      <c r="R372" s="228">
        <f t="shared" ref="R372:R400" si="197">L372/M372*C372/D372</f>
        <v>3.5161744022503515E-3</v>
      </c>
    </row>
    <row r="373" spans="1:18">
      <c r="A373" s="224" t="s">
        <v>529</v>
      </c>
      <c r="B373" s="225" t="s">
        <v>173</v>
      </c>
      <c r="C373" s="84">
        <v>8</v>
      </c>
      <c r="D373" s="84">
        <v>6</v>
      </c>
      <c r="E373" s="226"/>
      <c r="F373" s="217">
        <v>0</v>
      </c>
      <c r="G373" s="217">
        <v>2121</v>
      </c>
      <c r="H373" s="217">
        <v>323</v>
      </c>
      <c r="I373" s="217">
        <v>969</v>
      </c>
      <c r="J373" s="217">
        <v>766</v>
      </c>
      <c r="K373" s="217">
        <v>2160</v>
      </c>
      <c r="L373" s="217">
        <v>1089</v>
      </c>
      <c r="M373" s="217">
        <v>5250</v>
      </c>
      <c r="N373" s="227"/>
      <c r="O373" s="228">
        <f t="shared" si="194"/>
        <v>0</v>
      </c>
      <c r="P373" s="228">
        <f t="shared" si="195"/>
        <v>0.44444444444444442</v>
      </c>
      <c r="Q373" s="228">
        <f t="shared" si="196"/>
        <v>0.47283950617283949</v>
      </c>
      <c r="R373" s="228">
        <f t="shared" si="197"/>
        <v>0.27657142857142858</v>
      </c>
    </row>
    <row r="374" spans="1:18">
      <c r="A374" s="239" t="s">
        <v>530</v>
      </c>
      <c r="B374" s="243" t="s">
        <v>173</v>
      </c>
      <c r="C374" s="84">
        <v>8</v>
      </c>
      <c r="D374" s="84">
        <v>6</v>
      </c>
      <c r="E374" s="226"/>
      <c r="F374" s="217">
        <v>0</v>
      </c>
      <c r="G374" s="217">
        <v>155</v>
      </c>
      <c r="H374" s="217">
        <v>13</v>
      </c>
      <c r="I374" s="217">
        <v>75</v>
      </c>
      <c r="J374" s="217">
        <v>1</v>
      </c>
      <c r="K374" s="217">
        <v>172</v>
      </c>
      <c r="L374" s="217">
        <v>14</v>
      </c>
      <c r="M374" s="217">
        <v>402</v>
      </c>
      <c r="N374" s="227"/>
      <c r="O374" s="228">
        <f t="shared" si="194"/>
        <v>0</v>
      </c>
      <c r="P374" s="228">
        <f t="shared" si="195"/>
        <v>0.23111111111111113</v>
      </c>
      <c r="Q374" s="228">
        <f t="shared" si="196"/>
        <v>7.7519379844961239E-3</v>
      </c>
      <c r="R374" s="228">
        <f t="shared" si="197"/>
        <v>4.6434494195688229E-2</v>
      </c>
    </row>
    <row r="375" spans="1:18">
      <c r="A375" s="239" t="s">
        <v>531</v>
      </c>
      <c r="B375" s="243" t="s">
        <v>173</v>
      </c>
      <c r="C375" s="84">
        <v>8</v>
      </c>
      <c r="D375" s="84">
        <v>6</v>
      </c>
      <c r="E375" s="226"/>
      <c r="F375" s="217">
        <v>0</v>
      </c>
      <c r="G375" s="217">
        <v>926</v>
      </c>
      <c r="H375" s="217">
        <v>0</v>
      </c>
      <c r="I375" s="217">
        <v>433</v>
      </c>
      <c r="J375" s="217">
        <v>645</v>
      </c>
      <c r="K375" s="217">
        <v>982</v>
      </c>
      <c r="L375" s="217">
        <v>645</v>
      </c>
      <c r="M375" s="217">
        <v>2341</v>
      </c>
      <c r="N375" s="227"/>
      <c r="O375" s="228">
        <f t="shared" si="194"/>
        <v>0</v>
      </c>
      <c r="P375" s="228">
        <f t="shared" si="195"/>
        <v>0</v>
      </c>
      <c r="Q375" s="228">
        <f t="shared" si="196"/>
        <v>0.87576374745417518</v>
      </c>
      <c r="R375" s="228">
        <f t="shared" si="197"/>
        <v>0.36736437419906021</v>
      </c>
    </row>
    <row r="376" spans="1:18">
      <c r="A376" s="224" t="s">
        <v>532</v>
      </c>
      <c r="B376" s="225" t="s">
        <v>173</v>
      </c>
      <c r="C376" s="84">
        <v>8</v>
      </c>
      <c r="D376" s="84">
        <v>6</v>
      </c>
      <c r="E376" s="226"/>
      <c r="F376" s="217">
        <v>0</v>
      </c>
      <c r="G376" s="217">
        <v>35</v>
      </c>
      <c r="H376" s="217">
        <v>10</v>
      </c>
      <c r="I376" s="217">
        <v>16</v>
      </c>
      <c r="J376" s="217">
        <v>32</v>
      </c>
      <c r="K376" s="217">
        <v>32</v>
      </c>
      <c r="L376" s="217">
        <v>42</v>
      </c>
      <c r="M376" s="217">
        <v>83</v>
      </c>
      <c r="N376" s="227"/>
      <c r="O376" s="228">
        <f t="shared" si="194"/>
        <v>0</v>
      </c>
      <c r="P376" s="228">
        <f t="shared" si="195"/>
        <v>0.83333333333333337</v>
      </c>
      <c r="Q376" s="228">
        <f t="shared" si="196"/>
        <v>1.3333333333333333</v>
      </c>
      <c r="R376" s="228">
        <f t="shared" si="197"/>
        <v>0.67469879518072284</v>
      </c>
    </row>
    <row r="377" spans="1:18">
      <c r="A377" s="266" t="s">
        <v>533</v>
      </c>
      <c r="B377" s="225" t="s">
        <v>173</v>
      </c>
      <c r="C377" s="267">
        <v>8</v>
      </c>
      <c r="D377" s="84">
        <v>6</v>
      </c>
      <c r="E377" s="1"/>
      <c r="F377" s="255">
        <v>0</v>
      </c>
      <c r="G377" s="255">
        <v>236</v>
      </c>
      <c r="H377" s="255">
        <v>122</v>
      </c>
      <c r="I377" s="255">
        <v>110</v>
      </c>
      <c r="J377" s="255">
        <v>236</v>
      </c>
      <c r="K377" s="255">
        <v>254</v>
      </c>
      <c r="L377" s="255">
        <v>358</v>
      </c>
      <c r="M377" s="255">
        <v>600</v>
      </c>
      <c r="N377" s="268"/>
      <c r="O377" s="269">
        <f t="shared" si="194"/>
        <v>0</v>
      </c>
      <c r="P377" s="269">
        <f t="shared" si="195"/>
        <v>1.4787878787878788</v>
      </c>
      <c r="Q377" s="228">
        <f t="shared" si="196"/>
        <v>1.2388451443569555</v>
      </c>
      <c r="R377" s="269">
        <f t="shared" si="197"/>
        <v>0.79555555555555557</v>
      </c>
    </row>
    <row r="378" spans="1:18">
      <c r="A378" s="239" t="s">
        <v>534</v>
      </c>
      <c r="B378" s="243" t="s">
        <v>173</v>
      </c>
      <c r="C378" s="84">
        <v>8</v>
      </c>
      <c r="D378" s="84">
        <v>6</v>
      </c>
      <c r="E378" s="226"/>
      <c r="F378" s="217">
        <v>129</v>
      </c>
      <c r="G378" s="217">
        <v>2614</v>
      </c>
      <c r="H378" s="217">
        <v>0</v>
      </c>
      <c r="I378" s="217">
        <v>1212</v>
      </c>
      <c r="J378" s="217">
        <v>88</v>
      </c>
      <c r="K378" s="217">
        <v>2945</v>
      </c>
      <c r="L378" s="217">
        <v>217</v>
      </c>
      <c r="M378" s="217">
        <v>6771</v>
      </c>
      <c r="N378" s="227"/>
      <c r="O378" s="228">
        <f t="shared" si="194"/>
        <v>6.5799540933435346E-2</v>
      </c>
      <c r="P378" s="228">
        <f t="shared" si="195"/>
        <v>0</v>
      </c>
      <c r="Q378" s="228">
        <f t="shared" si="196"/>
        <v>3.984153933220147E-2</v>
      </c>
      <c r="R378" s="228">
        <f t="shared" si="197"/>
        <v>4.2731255846009945E-2</v>
      </c>
    </row>
    <row r="379" spans="1:18">
      <c r="A379" s="224" t="s">
        <v>535</v>
      </c>
      <c r="B379" s="225" t="s">
        <v>173</v>
      </c>
      <c r="C379" s="84">
        <v>8</v>
      </c>
      <c r="D379" s="84">
        <v>6</v>
      </c>
      <c r="E379" s="226"/>
      <c r="F379" s="217">
        <v>155</v>
      </c>
      <c r="G379" s="217">
        <v>320</v>
      </c>
      <c r="H379" s="217">
        <v>67</v>
      </c>
      <c r="I379" s="217">
        <v>142</v>
      </c>
      <c r="J379" s="217">
        <v>2341</v>
      </c>
      <c r="K379" s="217">
        <v>308</v>
      </c>
      <c r="L379" s="217">
        <v>2563</v>
      </c>
      <c r="M379" s="217">
        <v>770</v>
      </c>
      <c r="N379" s="227"/>
      <c r="O379" s="228">
        <f t="shared" si="194"/>
        <v>0.64583333333333337</v>
      </c>
      <c r="P379" s="228">
        <f t="shared" si="195"/>
        <v>0.62910798122065725</v>
      </c>
      <c r="Q379" s="228">
        <f t="shared" si="196"/>
        <v>10.134199134199134</v>
      </c>
      <c r="R379" s="228">
        <f t="shared" si="197"/>
        <v>4.4380952380952383</v>
      </c>
    </row>
    <row r="380" spans="1:18">
      <c r="A380" s="224" t="s">
        <v>536</v>
      </c>
      <c r="B380" s="225" t="s">
        <v>173</v>
      </c>
      <c r="C380" s="84">
        <v>8</v>
      </c>
      <c r="D380" s="84">
        <v>6</v>
      </c>
      <c r="E380" s="226"/>
      <c r="F380" s="217">
        <v>55</v>
      </c>
      <c r="G380" s="217">
        <v>1607</v>
      </c>
      <c r="H380" s="217">
        <v>54</v>
      </c>
      <c r="I380" s="217">
        <v>772</v>
      </c>
      <c r="J380" s="217">
        <v>0</v>
      </c>
      <c r="K380" s="217">
        <v>1817</v>
      </c>
      <c r="L380" s="217">
        <v>109</v>
      </c>
      <c r="M380" s="217">
        <v>4196</v>
      </c>
      <c r="N380" s="227"/>
      <c r="O380" s="228">
        <f t="shared" si="194"/>
        <v>4.5633685957270277E-2</v>
      </c>
      <c r="P380" s="228">
        <f t="shared" si="195"/>
        <v>9.3264248704663211E-2</v>
      </c>
      <c r="Q380" s="228">
        <f t="shared" si="196"/>
        <v>0</v>
      </c>
      <c r="R380" s="228">
        <f t="shared" si="197"/>
        <v>3.4636161423578012E-2</v>
      </c>
    </row>
    <row r="381" spans="1:18">
      <c r="A381" s="224" t="s">
        <v>537</v>
      </c>
      <c r="B381" s="225" t="s">
        <v>173</v>
      </c>
      <c r="C381" s="84">
        <v>8</v>
      </c>
      <c r="D381" s="84">
        <v>6</v>
      </c>
      <c r="E381" s="226"/>
      <c r="F381" s="217">
        <v>0</v>
      </c>
      <c r="G381" s="217">
        <v>624</v>
      </c>
      <c r="H381" s="217">
        <v>0</v>
      </c>
      <c r="I381" s="217">
        <v>274</v>
      </c>
      <c r="J381" s="217">
        <v>1600</v>
      </c>
      <c r="K381" s="217">
        <v>565</v>
      </c>
      <c r="L381" s="217">
        <v>1600</v>
      </c>
      <c r="M381" s="217">
        <v>1463</v>
      </c>
      <c r="N381" s="227"/>
      <c r="O381" s="228">
        <f t="shared" si="194"/>
        <v>0</v>
      </c>
      <c r="P381" s="228">
        <f t="shared" si="195"/>
        <v>0</v>
      </c>
      <c r="Q381" s="228">
        <f t="shared" si="196"/>
        <v>3.775811209439528</v>
      </c>
      <c r="R381" s="228">
        <f t="shared" si="197"/>
        <v>1.4581909318751425</v>
      </c>
    </row>
    <row r="382" spans="1:18">
      <c r="A382" s="224" t="s">
        <v>538</v>
      </c>
      <c r="B382" s="225" t="s">
        <v>173</v>
      </c>
      <c r="C382" s="84">
        <v>8</v>
      </c>
      <c r="D382" s="84">
        <v>6</v>
      </c>
      <c r="E382" s="226"/>
      <c r="F382" s="217">
        <v>50</v>
      </c>
      <c r="G382" s="217">
        <v>230</v>
      </c>
      <c r="H382" s="217">
        <v>348</v>
      </c>
      <c r="I382" s="217">
        <v>112</v>
      </c>
      <c r="J382" s="217">
        <v>73</v>
      </c>
      <c r="K382" s="217">
        <v>262</v>
      </c>
      <c r="L382" s="217">
        <v>471</v>
      </c>
      <c r="M382" s="217">
        <v>604</v>
      </c>
      <c r="N382" s="227"/>
      <c r="O382" s="228">
        <f t="shared" si="194"/>
        <v>0.28985507246376813</v>
      </c>
      <c r="P382" s="228">
        <f t="shared" si="195"/>
        <v>4.1428571428571432</v>
      </c>
      <c r="Q382" s="228">
        <f t="shared" si="196"/>
        <v>0.37150127226463109</v>
      </c>
      <c r="R382" s="228">
        <f t="shared" si="197"/>
        <v>1.0397350993377483</v>
      </c>
    </row>
    <row r="383" spans="1:18">
      <c r="A383" s="239" t="s">
        <v>539</v>
      </c>
      <c r="B383" s="243" t="s">
        <v>173</v>
      </c>
      <c r="C383" s="84">
        <v>8</v>
      </c>
      <c r="D383" s="84">
        <v>6</v>
      </c>
      <c r="E383" s="226"/>
      <c r="F383" s="217">
        <v>0</v>
      </c>
      <c r="G383" s="217">
        <v>67</v>
      </c>
      <c r="H383" s="217">
        <v>0</v>
      </c>
      <c r="I383" s="217">
        <v>31</v>
      </c>
      <c r="J383" s="217">
        <v>260</v>
      </c>
      <c r="K383" s="217">
        <v>62</v>
      </c>
      <c r="L383" s="217">
        <v>260</v>
      </c>
      <c r="M383" s="217">
        <v>160</v>
      </c>
      <c r="N383" s="227"/>
      <c r="O383" s="228">
        <f t="shared" si="194"/>
        <v>0</v>
      </c>
      <c r="P383" s="228">
        <f t="shared" si="195"/>
        <v>0</v>
      </c>
      <c r="Q383" s="228">
        <f t="shared" si="196"/>
        <v>5.5913978494623651</v>
      </c>
      <c r="R383" s="228">
        <f t="shared" si="197"/>
        <v>2.1666666666666665</v>
      </c>
    </row>
    <row r="384" spans="1:18">
      <c r="A384" s="224" t="s">
        <v>540</v>
      </c>
      <c r="B384" s="225" t="s">
        <v>173</v>
      </c>
      <c r="C384" s="84">
        <v>8</v>
      </c>
      <c r="D384" s="84">
        <v>6</v>
      </c>
      <c r="E384" s="226"/>
      <c r="F384" s="217">
        <v>84</v>
      </c>
      <c r="G384" s="217">
        <v>1201</v>
      </c>
      <c r="H384" s="217">
        <v>1</v>
      </c>
      <c r="I384" s="217">
        <v>553</v>
      </c>
      <c r="J384" s="217">
        <v>1457</v>
      </c>
      <c r="K384" s="217">
        <v>1271</v>
      </c>
      <c r="L384" s="217">
        <v>1542</v>
      </c>
      <c r="M384" s="217">
        <v>3025</v>
      </c>
      <c r="N384" s="227"/>
      <c r="O384" s="228">
        <f t="shared" si="194"/>
        <v>9.3255620316402998E-2</v>
      </c>
      <c r="P384" s="228">
        <f t="shared" si="195"/>
        <v>2.4110910186859553E-3</v>
      </c>
      <c r="Q384" s="228">
        <f t="shared" si="196"/>
        <v>1.5284552845528454</v>
      </c>
      <c r="R384" s="228">
        <f t="shared" si="197"/>
        <v>0.67966942148760323</v>
      </c>
    </row>
    <row r="385" spans="1:18">
      <c r="A385" s="239" t="s">
        <v>541</v>
      </c>
      <c r="B385" s="243" t="s">
        <v>173</v>
      </c>
      <c r="C385" s="84">
        <v>8</v>
      </c>
      <c r="D385" s="84">
        <v>6</v>
      </c>
      <c r="E385" s="226"/>
      <c r="F385" s="217">
        <v>0</v>
      </c>
      <c r="G385" s="217">
        <v>684</v>
      </c>
      <c r="H385" s="217">
        <v>0</v>
      </c>
      <c r="I385" s="217">
        <v>307</v>
      </c>
      <c r="J385" s="217">
        <v>340</v>
      </c>
      <c r="K385" s="217">
        <v>721</v>
      </c>
      <c r="L385" s="217">
        <v>340</v>
      </c>
      <c r="M385" s="217">
        <v>1712</v>
      </c>
      <c r="N385" s="227"/>
      <c r="O385" s="228">
        <f t="shared" si="194"/>
        <v>0</v>
      </c>
      <c r="P385" s="228">
        <f t="shared" si="195"/>
        <v>0</v>
      </c>
      <c r="Q385" s="228">
        <f t="shared" si="196"/>
        <v>0.62875635691169673</v>
      </c>
      <c r="R385" s="228">
        <f t="shared" si="197"/>
        <v>0.26479750778816197</v>
      </c>
    </row>
    <row r="386" spans="1:18">
      <c r="A386" s="239" t="s">
        <v>542</v>
      </c>
      <c r="B386" s="243" t="s">
        <v>173</v>
      </c>
      <c r="C386" s="84">
        <v>8</v>
      </c>
      <c r="D386" s="84">
        <v>6</v>
      </c>
      <c r="E386" s="226"/>
      <c r="F386" s="217">
        <v>68</v>
      </c>
      <c r="G386" s="217">
        <v>152</v>
      </c>
      <c r="H386" s="217">
        <v>10</v>
      </c>
      <c r="I386" s="217">
        <v>66</v>
      </c>
      <c r="J386" s="217">
        <v>356</v>
      </c>
      <c r="K386" s="217">
        <v>146</v>
      </c>
      <c r="L386" s="217">
        <v>434</v>
      </c>
      <c r="M386" s="217">
        <v>364</v>
      </c>
      <c r="N386" s="227"/>
      <c r="O386" s="228">
        <f t="shared" si="194"/>
        <v>0.59649122807017541</v>
      </c>
      <c r="P386" s="228">
        <f t="shared" si="195"/>
        <v>0.20202020202020202</v>
      </c>
      <c r="Q386" s="228">
        <f t="shared" si="196"/>
        <v>3.2511415525114153</v>
      </c>
      <c r="R386" s="228">
        <f t="shared" si="197"/>
        <v>1.5897435897435896</v>
      </c>
    </row>
    <row r="387" spans="1:18">
      <c r="A387" s="239" t="s">
        <v>543</v>
      </c>
      <c r="B387" s="243" t="s">
        <v>173</v>
      </c>
      <c r="C387" s="84">
        <v>8</v>
      </c>
      <c r="D387" s="84">
        <v>6</v>
      </c>
      <c r="E387" s="226"/>
      <c r="F387" s="217">
        <v>138</v>
      </c>
      <c r="G387" s="217">
        <v>1997</v>
      </c>
      <c r="H387" s="217">
        <v>863</v>
      </c>
      <c r="I387" s="217">
        <v>897</v>
      </c>
      <c r="J387" s="217">
        <v>1118</v>
      </c>
      <c r="K387" s="217">
        <v>2035</v>
      </c>
      <c r="L387" s="217">
        <v>2119</v>
      </c>
      <c r="M387" s="217">
        <v>4929</v>
      </c>
      <c r="N387" s="227"/>
      <c r="O387" s="228">
        <f t="shared" si="194"/>
        <v>9.2138207310966447E-2</v>
      </c>
      <c r="P387" s="228">
        <f t="shared" si="195"/>
        <v>1.2827945001858045</v>
      </c>
      <c r="Q387" s="228">
        <f t="shared" si="196"/>
        <v>0.73251433251433251</v>
      </c>
      <c r="R387" s="228">
        <f t="shared" si="197"/>
        <v>0.57320619463041866</v>
      </c>
    </row>
    <row r="388" spans="1:18">
      <c r="A388" s="224" t="s">
        <v>544</v>
      </c>
      <c r="B388" s="251" t="s">
        <v>173</v>
      </c>
      <c r="C388" s="84">
        <v>8</v>
      </c>
      <c r="D388" s="84">
        <v>6</v>
      </c>
      <c r="E388" s="226"/>
      <c r="F388" s="217">
        <v>28</v>
      </c>
      <c r="G388" s="217">
        <v>2495</v>
      </c>
      <c r="H388" s="217">
        <v>1263</v>
      </c>
      <c r="I388" s="217">
        <v>1140</v>
      </c>
      <c r="J388" s="217">
        <v>2671</v>
      </c>
      <c r="K388" s="217">
        <v>2610</v>
      </c>
      <c r="L388" s="217">
        <v>3962</v>
      </c>
      <c r="M388" s="217">
        <v>6245</v>
      </c>
      <c r="N388" s="227"/>
      <c r="O388" s="228">
        <f t="shared" si="194"/>
        <v>1.4963259853039411E-2</v>
      </c>
      <c r="P388" s="228">
        <f t="shared" si="195"/>
        <v>1.4771929824561403</v>
      </c>
      <c r="Q388" s="228">
        <f t="shared" si="196"/>
        <v>1.3644955300127715</v>
      </c>
      <c r="R388" s="228">
        <f t="shared" si="197"/>
        <v>0.84590338937816922</v>
      </c>
    </row>
    <row r="389" spans="1:18">
      <c r="A389" s="224" t="s">
        <v>545</v>
      </c>
      <c r="B389" s="251" t="s">
        <v>173</v>
      </c>
      <c r="C389" s="84">
        <v>8</v>
      </c>
      <c r="D389" s="84">
        <v>6</v>
      </c>
      <c r="E389" s="226"/>
      <c r="F389" s="217">
        <v>0</v>
      </c>
      <c r="G389" s="217">
        <v>2493</v>
      </c>
      <c r="H389" s="217">
        <v>457</v>
      </c>
      <c r="I389" s="217">
        <v>1112</v>
      </c>
      <c r="J389" s="217">
        <v>1354</v>
      </c>
      <c r="K389" s="217">
        <v>2564</v>
      </c>
      <c r="L389" s="217">
        <v>1811</v>
      </c>
      <c r="M389" s="217">
        <v>6169</v>
      </c>
      <c r="N389" s="227"/>
      <c r="O389" s="228">
        <f t="shared" si="194"/>
        <v>0</v>
      </c>
      <c r="P389" s="228">
        <f t="shared" si="195"/>
        <v>0.54796163069544368</v>
      </c>
      <c r="Q389" s="228">
        <f t="shared" si="196"/>
        <v>0.70410816432657308</v>
      </c>
      <c r="R389" s="228">
        <f t="shared" si="197"/>
        <v>0.3914194629059275</v>
      </c>
    </row>
    <row r="390" spans="1:18">
      <c r="A390" s="224" t="s">
        <v>546</v>
      </c>
      <c r="B390" s="251" t="s">
        <v>173</v>
      </c>
      <c r="C390" s="84">
        <v>8</v>
      </c>
      <c r="D390" s="84">
        <v>6</v>
      </c>
      <c r="E390" s="226"/>
      <c r="F390" s="217">
        <v>0</v>
      </c>
      <c r="G390" s="217">
        <v>657</v>
      </c>
      <c r="H390" s="217">
        <v>0</v>
      </c>
      <c r="I390" s="217">
        <v>289</v>
      </c>
      <c r="J390" s="217">
        <v>1361</v>
      </c>
      <c r="K390" s="217">
        <v>627</v>
      </c>
      <c r="L390" s="217">
        <v>1361</v>
      </c>
      <c r="M390" s="217">
        <v>1573</v>
      </c>
      <c r="N390" s="227"/>
      <c r="O390" s="228">
        <f t="shared" si="194"/>
        <v>0</v>
      </c>
      <c r="P390" s="228">
        <f t="shared" si="195"/>
        <v>0</v>
      </c>
      <c r="Q390" s="228">
        <f t="shared" si="196"/>
        <v>2.8942052099946838</v>
      </c>
      <c r="R390" s="228">
        <f t="shared" si="197"/>
        <v>1.1536342445433354</v>
      </c>
    </row>
    <row r="391" spans="1:18">
      <c r="A391" s="224" t="s">
        <v>547</v>
      </c>
      <c r="B391" s="251" t="s">
        <v>173</v>
      </c>
      <c r="C391" s="84">
        <v>8</v>
      </c>
      <c r="D391" s="84">
        <v>6</v>
      </c>
      <c r="E391" s="226"/>
      <c r="F391" s="217">
        <v>0</v>
      </c>
      <c r="G391" s="217">
        <v>341</v>
      </c>
      <c r="H391" s="217">
        <v>0</v>
      </c>
      <c r="I391" s="217">
        <v>151</v>
      </c>
      <c r="J391" s="217">
        <v>7</v>
      </c>
      <c r="K391" s="217">
        <v>326</v>
      </c>
      <c r="L391" s="217">
        <v>7</v>
      </c>
      <c r="M391" s="217">
        <v>818</v>
      </c>
      <c r="N391" s="227"/>
      <c r="O391" s="228">
        <f t="shared" si="194"/>
        <v>0</v>
      </c>
      <c r="P391" s="228">
        <f t="shared" si="195"/>
        <v>0</v>
      </c>
      <c r="Q391" s="228">
        <f t="shared" si="196"/>
        <v>2.8629856850715747E-2</v>
      </c>
      <c r="R391" s="228">
        <f t="shared" si="197"/>
        <v>1.1409942950285247E-2</v>
      </c>
    </row>
    <row r="392" spans="1:18">
      <c r="A392" s="224" t="s">
        <v>548</v>
      </c>
      <c r="B392" s="251" t="s">
        <v>173</v>
      </c>
      <c r="C392" s="84">
        <v>8</v>
      </c>
      <c r="D392" s="84">
        <v>6</v>
      </c>
      <c r="E392" s="226"/>
      <c r="F392" s="217">
        <v>74</v>
      </c>
      <c r="G392" s="217">
        <v>165</v>
      </c>
      <c r="H392" s="217">
        <v>0</v>
      </c>
      <c r="I392" s="217">
        <v>76</v>
      </c>
      <c r="J392" s="217">
        <v>437</v>
      </c>
      <c r="K392" s="217">
        <v>172</v>
      </c>
      <c r="L392" s="217">
        <v>511</v>
      </c>
      <c r="M392" s="217">
        <v>413</v>
      </c>
      <c r="N392" s="227"/>
      <c r="O392" s="228">
        <f t="shared" si="194"/>
        <v>0.59797979797979794</v>
      </c>
      <c r="P392" s="228">
        <f t="shared" si="195"/>
        <v>0</v>
      </c>
      <c r="Q392" s="228">
        <f t="shared" si="196"/>
        <v>3.3875968992248064</v>
      </c>
      <c r="R392" s="228">
        <f t="shared" si="197"/>
        <v>1.6497175141242939</v>
      </c>
    </row>
    <row r="393" spans="1:18">
      <c r="A393" s="224" t="s">
        <v>549</v>
      </c>
      <c r="B393" s="251" t="s">
        <v>173</v>
      </c>
      <c r="C393" s="84">
        <v>8</v>
      </c>
      <c r="D393" s="84">
        <v>6</v>
      </c>
      <c r="E393" s="226"/>
      <c r="F393" s="217">
        <v>0</v>
      </c>
      <c r="G393" s="217">
        <v>106</v>
      </c>
      <c r="H393" s="217">
        <v>4</v>
      </c>
      <c r="I393" s="217">
        <v>50</v>
      </c>
      <c r="J393" s="217">
        <v>983</v>
      </c>
      <c r="K393" s="217">
        <v>116</v>
      </c>
      <c r="L393" s="217">
        <v>987</v>
      </c>
      <c r="M393" s="217">
        <v>272</v>
      </c>
      <c r="N393" s="227"/>
      <c r="O393" s="228">
        <f t="shared" si="194"/>
        <v>0</v>
      </c>
      <c r="P393" s="228">
        <f t="shared" si="195"/>
        <v>0.10666666666666667</v>
      </c>
      <c r="Q393" s="228">
        <f t="shared" si="196"/>
        <v>11.298850574712644</v>
      </c>
      <c r="R393" s="228">
        <f t="shared" si="197"/>
        <v>4.8382352941176476</v>
      </c>
    </row>
    <row r="394" spans="1:18">
      <c r="A394" s="224" t="s">
        <v>550</v>
      </c>
      <c r="B394" s="251" t="s">
        <v>173</v>
      </c>
      <c r="C394" s="84">
        <v>8</v>
      </c>
      <c r="D394" s="84">
        <v>6</v>
      </c>
      <c r="E394" s="226"/>
      <c r="F394" s="217">
        <v>359</v>
      </c>
      <c r="G394" s="217">
        <v>1707</v>
      </c>
      <c r="H394" s="217">
        <v>222</v>
      </c>
      <c r="I394" s="217">
        <v>759</v>
      </c>
      <c r="J394" s="217">
        <v>923</v>
      </c>
      <c r="K394" s="217">
        <v>1814</v>
      </c>
      <c r="L394" s="217">
        <v>1504</v>
      </c>
      <c r="M394" s="217">
        <v>4280</v>
      </c>
      <c r="N394" s="227"/>
      <c r="O394" s="228">
        <f t="shared" si="194"/>
        <v>0.28041398164421011</v>
      </c>
      <c r="P394" s="228">
        <f t="shared" si="195"/>
        <v>0.38998682476943342</v>
      </c>
      <c r="Q394" s="228">
        <f t="shared" si="196"/>
        <v>0.67842704887908856</v>
      </c>
      <c r="R394" s="228">
        <f t="shared" si="197"/>
        <v>0.46853582554517131</v>
      </c>
    </row>
    <row r="395" spans="1:18">
      <c r="A395" s="244" t="s">
        <v>551</v>
      </c>
      <c r="B395" s="245" t="s">
        <v>173</v>
      </c>
      <c r="C395" s="84">
        <v>8</v>
      </c>
      <c r="D395" s="84">
        <v>6</v>
      </c>
      <c r="E395" s="226"/>
      <c r="F395" s="217">
        <v>0</v>
      </c>
      <c r="G395" s="217">
        <v>38</v>
      </c>
      <c r="H395" s="217">
        <v>2</v>
      </c>
      <c r="I395" s="217">
        <v>18</v>
      </c>
      <c r="J395" s="217">
        <v>231</v>
      </c>
      <c r="K395" s="217">
        <v>39</v>
      </c>
      <c r="L395" s="217">
        <v>233</v>
      </c>
      <c r="M395" s="217">
        <v>95</v>
      </c>
      <c r="N395" s="227"/>
      <c r="O395" s="228">
        <f t="shared" si="194"/>
        <v>0</v>
      </c>
      <c r="P395" s="228">
        <f t="shared" si="195"/>
        <v>0.14814814814814814</v>
      </c>
      <c r="Q395" s="228">
        <f t="shared" si="196"/>
        <v>7.8974358974358978</v>
      </c>
      <c r="R395" s="228">
        <f t="shared" si="197"/>
        <v>3.2701754385964912</v>
      </c>
    </row>
    <row r="396" spans="1:18">
      <c r="A396" s="244" t="s">
        <v>173</v>
      </c>
      <c r="B396" s="245" t="s">
        <v>173</v>
      </c>
      <c r="C396" s="84">
        <v>8</v>
      </c>
      <c r="D396" s="84">
        <v>6</v>
      </c>
      <c r="E396" s="226"/>
      <c r="F396" s="217">
        <v>4</v>
      </c>
      <c r="G396" s="217">
        <v>3338</v>
      </c>
      <c r="H396" s="217">
        <v>43</v>
      </c>
      <c r="I396" s="217">
        <v>1503</v>
      </c>
      <c r="J396" s="217">
        <v>1298</v>
      </c>
      <c r="K396" s="217">
        <v>3442</v>
      </c>
      <c r="L396" s="217">
        <v>1345</v>
      </c>
      <c r="M396" s="217">
        <v>8283</v>
      </c>
      <c r="N396" s="227"/>
      <c r="O396" s="228">
        <f t="shared" si="194"/>
        <v>1.5977631316157379E-3</v>
      </c>
      <c r="P396" s="228">
        <f t="shared" si="195"/>
        <v>3.8145930361499221E-2</v>
      </c>
      <c r="Q396" s="228">
        <f t="shared" si="196"/>
        <v>0.50280844470269226</v>
      </c>
      <c r="R396" s="228">
        <f t="shared" si="197"/>
        <v>0.21650770654754717</v>
      </c>
    </row>
    <row r="397" spans="1:18">
      <c r="A397" s="244" t="s">
        <v>552</v>
      </c>
      <c r="B397" s="245" t="s">
        <v>173</v>
      </c>
      <c r="C397" s="84">
        <v>8</v>
      </c>
      <c r="D397" s="84">
        <v>6</v>
      </c>
      <c r="E397" s="226"/>
      <c r="F397" s="217">
        <v>306</v>
      </c>
      <c r="G397" s="217">
        <v>12044</v>
      </c>
      <c r="H397" s="217">
        <v>1298</v>
      </c>
      <c r="I397" s="217">
        <v>5534</v>
      </c>
      <c r="J397" s="217">
        <v>6015</v>
      </c>
      <c r="K397" s="217">
        <v>12725</v>
      </c>
      <c r="L397" s="217">
        <v>7619</v>
      </c>
      <c r="M397" s="217">
        <v>30303</v>
      </c>
      <c r="N397" s="227"/>
      <c r="O397" s="228">
        <f t="shared" si="194"/>
        <v>3.3875788774493522E-2</v>
      </c>
      <c r="P397" s="228">
        <f t="shared" si="195"/>
        <v>0.31273340561378149</v>
      </c>
      <c r="Q397" s="228">
        <f t="shared" si="196"/>
        <v>0.63025540275049119</v>
      </c>
      <c r="R397" s="228">
        <f t="shared" si="197"/>
        <v>0.33523633523633523</v>
      </c>
    </row>
    <row r="398" spans="1:18">
      <c r="A398" s="244" t="s">
        <v>553</v>
      </c>
      <c r="B398" s="245" t="s">
        <v>173</v>
      </c>
      <c r="C398" s="84">
        <v>8</v>
      </c>
      <c r="D398" s="84">
        <v>6</v>
      </c>
      <c r="E398" s="226"/>
      <c r="F398" s="217">
        <v>0</v>
      </c>
      <c r="G398" s="217">
        <v>956</v>
      </c>
      <c r="H398" s="217">
        <v>479</v>
      </c>
      <c r="I398" s="217">
        <v>441</v>
      </c>
      <c r="J398" s="217">
        <v>318</v>
      </c>
      <c r="K398" s="217">
        <v>1036</v>
      </c>
      <c r="L398" s="217">
        <v>797</v>
      </c>
      <c r="M398" s="217">
        <v>2433</v>
      </c>
      <c r="N398" s="227"/>
      <c r="O398" s="228">
        <f t="shared" si="194"/>
        <v>0</v>
      </c>
      <c r="P398" s="228">
        <f t="shared" si="195"/>
        <v>1.4482237339380195</v>
      </c>
      <c r="Q398" s="228">
        <f t="shared" si="196"/>
        <v>0.40926640926640928</v>
      </c>
      <c r="R398" s="228">
        <f t="shared" si="197"/>
        <v>0.43677216056994106</v>
      </c>
    </row>
    <row r="399" spans="1:18">
      <c r="A399" s="244" t="s">
        <v>554</v>
      </c>
      <c r="B399" s="245" t="s">
        <v>173</v>
      </c>
      <c r="C399" s="84">
        <v>8</v>
      </c>
      <c r="D399" s="84">
        <v>6</v>
      </c>
      <c r="E399" s="226"/>
      <c r="F399" s="217">
        <v>15</v>
      </c>
      <c r="G399" s="217">
        <v>626</v>
      </c>
      <c r="H399" s="217">
        <v>15</v>
      </c>
      <c r="I399" s="217">
        <v>271</v>
      </c>
      <c r="J399" s="217">
        <v>1288</v>
      </c>
      <c r="K399" s="217">
        <v>596</v>
      </c>
      <c r="L399" s="217">
        <v>1318</v>
      </c>
      <c r="M399" s="217">
        <v>1493</v>
      </c>
      <c r="N399" s="227"/>
      <c r="O399" s="228">
        <f t="shared" si="194"/>
        <v>3.1948881789137379E-2</v>
      </c>
      <c r="P399" s="228">
        <f t="shared" si="195"/>
        <v>7.3800738007380073E-2</v>
      </c>
      <c r="Q399" s="228">
        <f t="shared" si="196"/>
        <v>2.881431767337808</v>
      </c>
      <c r="R399" s="228">
        <f t="shared" si="197"/>
        <v>1.177048448314356</v>
      </c>
    </row>
    <row r="400" spans="1:18">
      <c r="A400" s="244" t="s">
        <v>555</v>
      </c>
      <c r="B400" s="253" t="s">
        <v>173</v>
      </c>
      <c r="C400" s="84">
        <v>8</v>
      </c>
      <c r="D400" s="84">
        <v>6</v>
      </c>
      <c r="E400" s="226"/>
      <c r="F400" s="246">
        <v>16</v>
      </c>
      <c r="G400" s="246">
        <v>1036</v>
      </c>
      <c r="H400" s="246">
        <v>56</v>
      </c>
      <c r="I400" s="246">
        <v>461</v>
      </c>
      <c r="J400" s="246">
        <v>616</v>
      </c>
      <c r="K400" s="246">
        <v>1038</v>
      </c>
      <c r="L400" s="246">
        <v>688</v>
      </c>
      <c r="M400" s="246">
        <v>2535</v>
      </c>
      <c r="N400" s="227"/>
      <c r="O400" s="247">
        <f t="shared" si="194"/>
        <v>2.0592020592020591E-2</v>
      </c>
      <c r="P400" s="247">
        <f t="shared" si="195"/>
        <v>0.16196673897324657</v>
      </c>
      <c r="Q400" s="247">
        <f t="shared" si="196"/>
        <v>0.79126525369299927</v>
      </c>
      <c r="R400" s="247">
        <f t="shared" si="197"/>
        <v>0.36186719263642342</v>
      </c>
    </row>
    <row r="401" spans="1:18">
      <c r="A401" s="224"/>
      <c r="B401" s="225"/>
      <c r="C401" s="226"/>
      <c r="D401" s="226"/>
      <c r="E401" s="226"/>
      <c r="F401" s="241">
        <f t="shared" ref="F401:M401" si="198">SUM(F372:F400)</f>
        <v>1481</v>
      </c>
      <c r="G401" s="241">
        <f t="shared" si="198"/>
        <v>40436</v>
      </c>
      <c r="H401" s="241">
        <f t="shared" si="198"/>
        <v>5650</v>
      </c>
      <c r="I401" s="241">
        <f t="shared" si="198"/>
        <v>18459</v>
      </c>
      <c r="J401" s="241">
        <f t="shared" si="198"/>
        <v>26825</v>
      </c>
      <c r="K401" s="241">
        <f t="shared" si="198"/>
        <v>42479</v>
      </c>
      <c r="L401" s="241">
        <f t="shared" si="198"/>
        <v>33956</v>
      </c>
      <c r="M401" s="241">
        <f t="shared" si="198"/>
        <v>101374</v>
      </c>
      <c r="N401" s="227"/>
      <c r="O401" s="228">
        <f>F401/G401*C400/D400</f>
        <v>4.8834372011738715E-2</v>
      </c>
      <c r="P401" s="228">
        <f>H401/I401*C400/D400</f>
        <v>0.4081116709103057</v>
      </c>
      <c r="Q401" s="228">
        <f>J401/K401*C400/D400</f>
        <v>0.84198466693346508</v>
      </c>
      <c r="R401" s="228">
        <f>L401/M401*C400/D400</f>
        <v>0.44661024194237836</v>
      </c>
    </row>
    <row r="402" spans="1:18">
      <c r="A402" s="224"/>
      <c r="B402" s="225"/>
      <c r="C402" s="226"/>
      <c r="D402" s="226"/>
      <c r="E402" s="226"/>
      <c r="F402" s="264"/>
      <c r="G402" s="264"/>
      <c r="H402" s="98"/>
      <c r="I402" s="98"/>
      <c r="J402" s="98"/>
      <c r="K402" s="98"/>
      <c r="L402" s="98"/>
      <c r="M402" s="98"/>
      <c r="N402" s="180"/>
      <c r="O402" s="228"/>
      <c r="P402" s="228"/>
      <c r="Q402" s="228"/>
      <c r="R402" s="228"/>
    </row>
    <row r="403" spans="1:18">
      <c r="A403" s="224" t="s">
        <v>556</v>
      </c>
      <c r="B403" s="225" t="s">
        <v>174</v>
      </c>
      <c r="C403" s="84">
        <v>8</v>
      </c>
      <c r="D403" s="84">
        <v>6</v>
      </c>
      <c r="E403" s="226"/>
      <c r="F403" s="217">
        <v>13</v>
      </c>
      <c r="G403" s="217">
        <v>248</v>
      </c>
      <c r="H403" s="217">
        <v>25</v>
      </c>
      <c r="I403" s="217">
        <v>130</v>
      </c>
      <c r="J403" s="217">
        <v>89</v>
      </c>
      <c r="K403" s="217">
        <v>318</v>
      </c>
      <c r="L403" s="217">
        <v>127</v>
      </c>
      <c r="M403" s="217">
        <v>696</v>
      </c>
      <c r="N403" s="227"/>
      <c r="O403" s="228">
        <f t="shared" ref="O403:O410" si="199">F403/G403*C403/D403</f>
        <v>6.9892473118279577E-2</v>
      </c>
      <c r="P403" s="228">
        <f t="shared" ref="P403:P410" si="200">H403/I403*C403/D403</f>
        <v>0.25641025641025644</v>
      </c>
      <c r="Q403" s="228">
        <f t="shared" ref="Q403:Q410" si="201">J403/K403*C403/D403</f>
        <v>0.37316561844863733</v>
      </c>
      <c r="R403" s="228">
        <f t="shared" ref="R403:R410" si="202">L403/M403*C403/D403</f>
        <v>0.24329501915708815</v>
      </c>
    </row>
    <row r="404" spans="1:18">
      <c r="A404" s="224" t="s">
        <v>557</v>
      </c>
      <c r="B404" s="225" t="s">
        <v>174</v>
      </c>
      <c r="C404" s="84">
        <v>8</v>
      </c>
      <c r="D404" s="84">
        <v>6</v>
      </c>
      <c r="E404" s="226"/>
      <c r="F404" s="217">
        <v>255</v>
      </c>
      <c r="G404" s="217">
        <v>3462</v>
      </c>
      <c r="H404" s="217">
        <v>271</v>
      </c>
      <c r="I404" s="217">
        <v>1377</v>
      </c>
      <c r="J404" s="217">
        <v>4008</v>
      </c>
      <c r="K404" s="217">
        <v>2563</v>
      </c>
      <c r="L404" s="217">
        <v>4534</v>
      </c>
      <c r="M404" s="217">
        <v>7402</v>
      </c>
      <c r="N404" s="227"/>
      <c r="O404" s="228">
        <f t="shared" si="199"/>
        <v>9.8209127671865973E-2</v>
      </c>
      <c r="P404" s="228">
        <f t="shared" si="200"/>
        <v>0.26240619704671991</v>
      </c>
      <c r="Q404" s="228">
        <f t="shared" si="201"/>
        <v>2.0850565743269605</v>
      </c>
      <c r="R404" s="228">
        <f t="shared" si="202"/>
        <v>0.81671620282806445</v>
      </c>
    </row>
    <row r="405" spans="1:18">
      <c r="A405" s="239" t="s">
        <v>558</v>
      </c>
      <c r="B405" s="243" t="s">
        <v>174</v>
      </c>
      <c r="C405" s="84">
        <v>8</v>
      </c>
      <c r="D405" s="84">
        <v>6</v>
      </c>
      <c r="E405" s="226"/>
      <c r="F405" s="217">
        <v>10</v>
      </c>
      <c r="G405" s="217">
        <v>2072</v>
      </c>
      <c r="H405" s="217">
        <v>596</v>
      </c>
      <c r="I405" s="217">
        <v>862</v>
      </c>
      <c r="J405" s="217">
        <v>2048</v>
      </c>
      <c r="K405" s="217">
        <v>1699</v>
      </c>
      <c r="L405" s="217">
        <v>2654</v>
      </c>
      <c r="M405" s="217">
        <v>4633</v>
      </c>
      <c r="N405" s="227"/>
      <c r="O405" s="228">
        <f t="shared" si="199"/>
        <v>6.4350064350064346E-3</v>
      </c>
      <c r="P405" s="228">
        <f t="shared" si="200"/>
        <v>0.92188708430007738</v>
      </c>
      <c r="Q405" s="228">
        <f t="shared" si="201"/>
        <v>1.6072199332940944</v>
      </c>
      <c r="R405" s="228">
        <f t="shared" si="202"/>
        <v>0.7637959565436363</v>
      </c>
    </row>
    <row r="406" spans="1:18">
      <c r="A406" s="224" t="s">
        <v>559</v>
      </c>
      <c r="B406" s="225" t="s">
        <v>174</v>
      </c>
      <c r="C406" s="84">
        <v>8</v>
      </c>
      <c r="D406" s="84">
        <v>6</v>
      </c>
      <c r="E406" s="226"/>
      <c r="F406" s="217">
        <v>15</v>
      </c>
      <c r="G406" s="217">
        <v>222</v>
      </c>
      <c r="H406" s="217">
        <v>0</v>
      </c>
      <c r="I406" s="217">
        <v>126</v>
      </c>
      <c r="J406" s="217">
        <v>401</v>
      </c>
      <c r="K406" s="217">
        <v>331</v>
      </c>
      <c r="L406" s="217">
        <v>416</v>
      </c>
      <c r="M406" s="217">
        <v>679</v>
      </c>
      <c r="N406" s="227"/>
      <c r="O406" s="228">
        <f t="shared" si="199"/>
        <v>9.00900900900901E-2</v>
      </c>
      <c r="P406" s="228">
        <f t="shared" si="200"/>
        <v>0</v>
      </c>
      <c r="Q406" s="228">
        <f t="shared" si="201"/>
        <v>1.6153071500503524</v>
      </c>
      <c r="R406" s="228">
        <f t="shared" si="202"/>
        <v>0.81688757977417781</v>
      </c>
    </row>
    <row r="407" spans="1:18">
      <c r="A407" s="224" t="s">
        <v>560</v>
      </c>
      <c r="B407" s="225" t="s">
        <v>174</v>
      </c>
      <c r="C407" s="84">
        <v>8</v>
      </c>
      <c r="D407" s="84">
        <v>6</v>
      </c>
      <c r="E407" s="226"/>
      <c r="F407" s="217">
        <v>0</v>
      </c>
      <c r="G407" s="217">
        <v>7</v>
      </c>
      <c r="H407" s="217">
        <v>0</v>
      </c>
      <c r="I407" s="217">
        <v>4</v>
      </c>
      <c r="J407" s="217">
        <v>0</v>
      </c>
      <c r="K407" s="217">
        <v>12</v>
      </c>
      <c r="L407" s="217">
        <v>0</v>
      </c>
      <c r="M407" s="217">
        <v>23</v>
      </c>
      <c r="N407" s="227"/>
      <c r="O407" s="228">
        <f t="shared" si="199"/>
        <v>0</v>
      </c>
      <c r="P407" s="228">
        <f t="shared" si="200"/>
        <v>0</v>
      </c>
      <c r="Q407" s="228">
        <f t="shared" si="201"/>
        <v>0</v>
      </c>
      <c r="R407" s="228">
        <f t="shared" si="202"/>
        <v>0</v>
      </c>
    </row>
    <row r="408" spans="1:18">
      <c r="A408" s="244" t="s">
        <v>561</v>
      </c>
      <c r="B408" s="245" t="s">
        <v>174</v>
      </c>
      <c r="C408" s="84">
        <v>8</v>
      </c>
      <c r="D408" s="84">
        <v>6</v>
      </c>
      <c r="E408" s="226"/>
      <c r="F408" s="217">
        <v>100</v>
      </c>
      <c r="G408" s="217">
        <v>2618</v>
      </c>
      <c r="H408" s="217">
        <v>424</v>
      </c>
      <c r="I408" s="217">
        <v>1303</v>
      </c>
      <c r="J408" s="217">
        <v>2019</v>
      </c>
      <c r="K408" s="217">
        <v>3087</v>
      </c>
      <c r="L408" s="217">
        <v>2543</v>
      </c>
      <c r="M408" s="217">
        <v>7008</v>
      </c>
      <c r="N408" s="227"/>
      <c r="O408" s="228">
        <f t="shared" si="199"/>
        <v>5.0929462694168572E-2</v>
      </c>
      <c r="P408" s="228">
        <f t="shared" si="200"/>
        <v>0.43387055512918904</v>
      </c>
      <c r="Q408" s="228">
        <f t="shared" si="201"/>
        <v>0.87204405571752508</v>
      </c>
      <c r="R408" s="228">
        <f t="shared" si="202"/>
        <v>0.48382800608828003</v>
      </c>
    </row>
    <row r="409" spans="1:18">
      <c r="A409" s="244" t="s">
        <v>174</v>
      </c>
      <c r="B409" s="245" t="s">
        <v>174</v>
      </c>
      <c r="C409" s="84">
        <v>8</v>
      </c>
      <c r="D409" s="84">
        <v>6</v>
      </c>
      <c r="E409" s="226"/>
      <c r="F409" s="217">
        <v>741</v>
      </c>
      <c r="G409" s="217">
        <v>8411</v>
      </c>
      <c r="H409" s="217">
        <v>5808</v>
      </c>
      <c r="I409" s="217">
        <v>4482</v>
      </c>
      <c r="J409" s="217">
        <v>5143</v>
      </c>
      <c r="K409" s="217">
        <v>11208</v>
      </c>
      <c r="L409" s="217">
        <v>11692</v>
      </c>
      <c r="M409" s="217">
        <v>24101</v>
      </c>
      <c r="N409" s="227"/>
      <c r="O409" s="228">
        <f t="shared" si="199"/>
        <v>0.11746522411128285</v>
      </c>
      <c r="P409" s="228">
        <f t="shared" si="200"/>
        <v>1.7278000892458723</v>
      </c>
      <c r="Q409" s="228">
        <f t="shared" si="201"/>
        <v>0.61182488698548654</v>
      </c>
      <c r="R409" s="228">
        <f t="shared" si="202"/>
        <v>0.64683346472483849</v>
      </c>
    </row>
    <row r="410" spans="1:18">
      <c r="A410" s="244" t="s">
        <v>562</v>
      </c>
      <c r="B410" s="245" t="s">
        <v>174</v>
      </c>
      <c r="C410" s="84">
        <v>8</v>
      </c>
      <c r="D410" s="84">
        <v>6</v>
      </c>
      <c r="E410" s="226"/>
      <c r="F410" s="246">
        <v>288</v>
      </c>
      <c r="G410" s="246">
        <v>5357</v>
      </c>
      <c r="H410" s="246">
        <v>1401</v>
      </c>
      <c r="I410" s="246">
        <v>2574</v>
      </c>
      <c r="J410" s="246">
        <v>2197</v>
      </c>
      <c r="K410" s="246">
        <v>5913</v>
      </c>
      <c r="L410" s="246">
        <v>3886</v>
      </c>
      <c r="M410" s="246">
        <v>13844</v>
      </c>
      <c r="N410" s="227"/>
      <c r="O410" s="247">
        <f t="shared" si="199"/>
        <v>7.1681911517640473E-2</v>
      </c>
      <c r="P410" s="247">
        <f t="shared" si="200"/>
        <v>0.72571872571872575</v>
      </c>
      <c r="Q410" s="247">
        <f t="shared" si="201"/>
        <v>0.49540560347257451</v>
      </c>
      <c r="R410" s="247">
        <f t="shared" si="202"/>
        <v>0.37426562650486367</v>
      </c>
    </row>
    <row r="411" spans="1:18">
      <c r="A411" s="239"/>
      <c r="B411" s="243"/>
      <c r="C411" s="226"/>
      <c r="D411" s="226"/>
      <c r="E411" s="226"/>
      <c r="F411" s="241">
        <f t="shared" ref="F411:M411" si="203">SUM(F403:F410)</f>
        <v>1422</v>
      </c>
      <c r="G411" s="241">
        <f t="shared" si="203"/>
        <v>22397</v>
      </c>
      <c r="H411" s="241">
        <f t="shared" si="203"/>
        <v>8525</v>
      </c>
      <c r="I411" s="241">
        <f t="shared" si="203"/>
        <v>10858</v>
      </c>
      <c r="J411" s="241">
        <f t="shared" si="203"/>
        <v>15905</v>
      </c>
      <c r="K411" s="241">
        <f t="shared" si="203"/>
        <v>25131</v>
      </c>
      <c r="L411" s="241">
        <f t="shared" si="203"/>
        <v>25852</v>
      </c>
      <c r="M411" s="241">
        <f t="shared" si="203"/>
        <v>58386</v>
      </c>
      <c r="N411" s="227"/>
      <c r="O411" s="228">
        <f>F411/G411*C410/D410</f>
        <v>8.4654194758226553E-2</v>
      </c>
      <c r="P411" s="228">
        <f>H411/I411*C410/D410</f>
        <v>1.0468471787315037</v>
      </c>
      <c r="Q411" s="228">
        <f>J411/K411*C410/D410</f>
        <v>0.84384491928958916</v>
      </c>
      <c r="R411" s="228">
        <f>L411/M411*C410/D410</f>
        <v>0.59036983751812644</v>
      </c>
    </row>
    <row r="412" spans="1:18">
      <c r="A412" s="239"/>
      <c r="B412" s="243"/>
      <c r="C412" s="226"/>
      <c r="D412" s="226"/>
      <c r="E412" s="226"/>
      <c r="F412" s="264"/>
      <c r="G412" s="264"/>
      <c r="H412" s="98"/>
      <c r="I412" s="98"/>
      <c r="J412" s="98"/>
      <c r="K412" s="98"/>
      <c r="L412" s="98"/>
      <c r="M412" s="98"/>
      <c r="N412" s="180"/>
      <c r="O412" s="228"/>
      <c r="P412" s="228"/>
      <c r="Q412" s="228"/>
      <c r="R412" s="228"/>
    </row>
    <row r="413" spans="1:18">
      <c r="A413" s="239" t="s">
        <v>563</v>
      </c>
      <c r="B413" s="243" t="s">
        <v>176</v>
      </c>
      <c r="C413" s="84">
        <v>8</v>
      </c>
      <c r="D413" s="84">
        <v>4</v>
      </c>
      <c r="E413" s="226"/>
      <c r="F413" s="217">
        <v>0</v>
      </c>
      <c r="G413" s="217">
        <v>501</v>
      </c>
      <c r="H413" s="217">
        <v>104</v>
      </c>
      <c r="I413" s="217">
        <v>258</v>
      </c>
      <c r="J413" s="217">
        <v>629</v>
      </c>
      <c r="K413" s="217">
        <v>557</v>
      </c>
      <c r="L413" s="217">
        <v>733</v>
      </c>
      <c r="M413" s="217">
        <v>1316</v>
      </c>
      <c r="N413" s="227"/>
      <c r="O413" s="228">
        <f t="shared" ref="O413:O415" si="204">F413/G413*C413/D413</f>
        <v>0</v>
      </c>
      <c r="P413" s="228">
        <f t="shared" ref="P413:P415" si="205">H413/I413*C413/D413</f>
        <v>0.80620155038759689</v>
      </c>
      <c r="Q413" s="228">
        <f t="shared" ref="Q413:Q415" si="206">J413/K413*C413/D413</f>
        <v>2.2585278276481149</v>
      </c>
      <c r="R413" s="228">
        <f t="shared" ref="R413:R415" si="207">L413/M413*C413/D413</f>
        <v>1.1139817629179332</v>
      </c>
    </row>
    <row r="414" spans="1:18">
      <c r="A414" s="244" t="s">
        <v>564</v>
      </c>
      <c r="B414" s="245" t="s">
        <v>176</v>
      </c>
      <c r="C414" s="84">
        <v>8</v>
      </c>
      <c r="D414" s="84">
        <v>4</v>
      </c>
      <c r="E414" s="226"/>
      <c r="F414" s="217">
        <v>0</v>
      </c>
      <c r="G414" s="217">
        <v>318</v>
      </c>
      <c r="H414" s="217">
        <v>3</v>
      </c>
      <c r="I414" s="217">
        <v>164</v>
      </c>
      <c r="J414" s="217">
        <v>564</v>
      </c>
      <c r="K414" s="217">
        <v>355</v>
      </c>
      <c r="L414" s="217">
        <v>567</v>
      </c>
      <c r="M414" s="217">
        <v>837</v>
      </c>
      <c r="N414" s="227"/>
      <c r="O414" s="228">
        <f t="shared" si="204"/>
        <v>0</v>
      </c>
      <c r="P414" s="228">
        <f t="shared" si="205"/>
        <v>3.6585365853658534E-2</v>
      </c>
      <c r="Q414" s="228">
        <f t="shared" si="206"/>
        <v>3.1774647887323946</v>
      </c>
      <c r="R414" s="228">
        <f t="shared" si="207"/>
        <v>1.3548387096774193</v>
      </c>
    </row>
    <row r="415" spans="1:18">
      <c r="A415" s="244" t="s">
        <v>565</v>
      </c>
      <c r="B415" s="245" t="s">
        <v>176</v>
      </c>
      <c r="C415" s="84">
        <v>8</v>
      </c>
      <c r="D415" s="84">
        <v>4</v>
      </c>
      <c r="E415" s="226"/>
      <c r="F415" s="246">
        <v>0</v>
      </c>
      <c r="G415" s="246">
        <v>16</v>
      </c>
      <c r="H415" s="246">
        <v>0</v>
      </c>
      <c r="I415" s="246">
        <v>8</v>
      </c>
      <c r="J415" s="246">
        <v>0</v>
      </c>
      <c r="K415" s="246">
        <v>17</v>
      </c>
      <c r="L415" s="246">
        <v>0</v>
      </c>
      <c r="M415" s="246">
        <v>41</v>
      </c>
      <c r="N415" s="227"/>
      <c r="O415" s="247">
        <f t="shared" si="204"/>
        <v>0</v>
      </c>
      <c r="P415" s="247">
        <f t="shared" si="205"/>
        <v>0</v>
      </c>
      <c r="Q415" s="247">
        <f t="shared" si="206"/>
        <v>0</v>
      </c>
      <c r="R415" s="247">
        <f t="shared" si="207"/>
        <v>0</v>
      </c>
    </row>
    <row r="416" spans="1:18">
      <c r="A416" s="224"/>
      <c r="B416" s="225"/>
      <c r="C416" s="84"/>
      <c r="D416" s="226"/>
      <c r="E416" s="226"/>
      <c r="F416" s="241">
        <f t="shared" ref="F416:M416" si="208">SUM(F413:F415)</f>
        <v>0</v>
      </c>
      <c r="G416" s="241">
        <f t="shared" si="208"/>
        <v>835</v>
      </c>
      <c r="H416" s="241">
        <f t="shared" si="208"/>
        <v>107</v>
      </c>
      <c r="I416" s="241">
        <f t="shared" si="208"/>
        <v>430</v>
      </c>
      <c r="J416" s="241">
        <f t="shared" si="208"/>
        <v>1193</v>
      </c>
      <c r="K416" s="241">
        <f t="shared" si="208"/>
        <v>929</v>
      </c>
      <c r="L416" s="241">
        <f t="shared" si="208"/>
        <v>1300</v>
      </c>
      <c r="M416" s="241">
        <f t="shared" si="208"/>
        <v>2194</v>
      </c>
      <c r="N416" s="227"/>
      <c r="O416" s="228">
        <f>F416/G416*C415/D415</f>
        <v>0</v>
      </c>
      <c r="P416" s="228">
        <f>H416/I416*C415/D415</f>
        <v>0.49767441860465117</v>
      </c>
      <c r="Q416" s="228">
        <f>J416/K416*C415/D415</f>
        <v>2.5683530678148547</v>
      </c>
      <c r="R416" s="228">
        <f>L416/M416*C415/D415</f>
        <v>1.1850501367365542</v>
      </c>
    </row>
    <row r="417" spans="1:18">
      <c r="A417" s="224"/>
      <c r="B417" s="225"/>
      <c r="C417" s="226"/>
      <c r="D417" s="226"/>
      <c r="E417" s="226"/>
      <c r="F417" s="270"/>
      <c r="G417" s="270"/>
      <c r="H417" s="270"/>
      <c r="I417" s="271"/>
      <c r="J417" s="98"/>
      <c r="K417" s="98"/>
      <c r="L417" s="98"/>
      <c r="M417" s="98"/>
      <c r="N417" s="180"/>
      <c r="O417" s="228"/>
      <c r="P417" s="228"/>
      <c r="Q417" s="228"/>
      <c r="R417" s="228"/>
    </row>
    <row r="418" spans="1:18">
      <c r="A418" s="224" t="s">
        <v>566</v>
      </c>
      <c r="B418" s="225" t="s">
        <v>178</v>
      </c>
      <c r="C418" s="84">
        <v>8</v>
      </c>
      <c r="D418" s="84">
        <v>6</v>
      </c>
      <c r="E418" s="226"/>
      <c r="F418" s="241">
        <v>0</v>
      </c>
      <c r="G418" s="241">
        <v>1092</v>
      </c>
      <c r="H418" s="217">
        <v>0</v>
      </c>
      <c r="I418" s="217">
        <v>513</v>
      </c>
      <c r="J418" s="241">
        <v>0</v>
      </c>
      <c r="K418" s="241">
        <v>1236</v>
      </c>
      <c r="L418" s="217">
        <v>0</v>
      </c>
      <c r="M418" s="217">
        <v>2841</v>
      </c>
      <c r="N418" s="180"/>
      <c r="O418" s="228">
        <f t="shared" ref="O418:O442" si="209">F418/G418*C418/D418</f>
        <v>0</v>
      </c>
      <c r="P418" s="228">
        <f t="shared" ref="P418:P420" si="210">H418/I418*C418/D418</f>
        <v>0</v>
      </c>
      <c r="Q418" s="228">
        <f t="shared" ref="Q418:Q442" si="211">J418/K418*C418/D418</f>
        <v>0</v>
      </c>
      <c r="R418" s="228">
        <f t="shared" ref="R418:R442" si="212">L418/M418*C418/D418</f>
        <v>0</v>
      </c>
    </row>
    <row r="419" spans="1:18">
      <c r="A419" s="224" t="s">
        <v>567</v>
      </c>
      <c r="B419" s="225" t="s">
        <v>178</v>
      </c>
      <c r="C419" s="84">
        <v>8</v>
      </c>
      <c r="D419" s="84">
        <v>6</v>
      </c>
      <c r="E419" s="226"/>
      <c r="F419" s="217">
        <v>0</v>
      </c>
      <c r="G419" s="217">
        <v>1305</v>
      </c>
      <c r="H419" s="217">
        <v>0</v>
      </c>
      <c r="I419" s="217">
        <v>622</v>
      </c>
      <c r="J419" s="217">
        <v>0</v>
      </c>
      <c r="K419" s="217">
        <v>1407</v>
      </c>
      <c r="L419" s="217">
        <v>0</v>
      </c>
      <c r="M419" s="217">
        <v>3334</v>
      </c>
      <c r="N419" s="180"/>
      <c r="O419" s="228">
        <f t="shared" si="209"/>
        <v>0</v>
      </c>
      <c r="P419" s="228">
        <f t="shared" si="210"/>
        <v>0</v>
      </c>
      <c r="Q419" s="228">
        <f t="shared" si="211"/>
        <v>0</v>
      </c>
      <c r="R419" s="228">
        <f t="shared" si="212"/>
        <v>0</v>
      </c>
    </row>
    <row r="420" spans="1:18">
      <c r="A420" s="239" t="s">
        <v>568</v>
      </c>
      <c r="B420" s="243" t="s">
        <v>178</v>
      </c>
      <c r="C420" s="84">
        <v>8</v>
      </c>
      <c r="D420" s="84">
        <v>6</v>
      </c>
      <c r="E420" s="226"/>
      <c r="F420" s="217">
        <v>0</v>
      </c>
      <c r="G420" s="217">
        <v>326</v>
      </c>
      <c r="H420" s="217">
        <v>2</v>
      </c>
      <c r="I420" s="217">
        <v>154</v>
      </c>
      <c r="J420" s="217">
        <v>1</v>
      </c>
      <c r="K420" s="217">
        <v>363</v>
      </c>
      <c r="L420" s="217">
        <v>3</v>
      </c>
      <c r="M420" s="217">
        <v>843</v>
      </c>
      <c r="N420" s="180"/>
      <c r="O420" s="228">
        <f t="shared" si="209"/>
        <v>0</v>
      </c>
      <c r="P420" s="228">
        <f t="shared" si="210"/>
        <v>1.7316017316017316E-2</v>
      </c>
      <c r="Q420" s="228">
        <f t="shared" si="211"/>
        <v>3.6730945821854912E-3</v>
      </c>
      <c r="R420" s="228">
        <f t="shared" si="212"/>
        <v>4.7449584816132854E-3</v>
      </c>
    </row>
    <row r="421" spans="1:18">
      <c r="A421" s="239" t="s">
        <v>569</v>
      </c>
      <c r="B421" s="243" t="s">
        <v>178</v>
      </c>
      <c r="C421" s="84">
        <v>8</v>
      </c>
      <c r="D421" s="84">
        <v>6</v>
      </c>
      <c r="E421" s="226"/>
      <c r="F421" s="217">
        <v>4</v>
      </c>
      <c r="G421" s="217">
        <v>2</v>
      </c>
      <c r="H421" s="217">
        <v>10</v>
      </c>
      <c r="I421" s="217">
        <v>0</v>
      </c>
      <c r="J421" s="217">
        <v>77</v>
      </c>
      <c r="K421" s="217">
        <v>0</v>
      </c>
      <c r="L421" s="217">
        <v>91</v>
      </c>
      <c r="M421" s="217">
        <v>2</v>
      </c>
      <c r="N421" s="180"/>
      <c r="O421" s="228">
        <f t="shared" si="209"/>
        <v>2.6666666666666665</v>
      </c>
      <c r="P421" s="260" t="s">
        <v>249</v>
      </c>
      <c r="Q421" s="228" t="e">
        <f t="shared" si="211"/>
        <v>#DIV/0!</v>
      </c>
      <c r="R421" s="228">
        <f t="shared" si="212"/>
        <v>60.666666666666664</v>
      </c>
    </row>
    <row r="422" spans="1:18">
      <c r="A422" s="239" t="s">
        <v>570</v>
      </c>
      <c r="B422" s="243" t="s">
        <v>178</v>
      </c>
      <c r="C422" s="84">
        <v>8</v>
      </c>
      <c r="D422" s="84">
        <v>6</v>
      </c>
      <c r="E422" s="226"/>
      <c r="F422" s="217">
        <v>338</v>
      </c>
      <c r="G422" s="217">
        <v>1185</v>
      </c>
      <c r="H422" s="217">
        <v>0</v>
      </c>
      <c r="I422" s="217">
        <v>533</v>
      </c>
      <c r="J422" s="217">
        <v>2755</v>
      </c>
      <c r="K422" s="217">
        <v>1176</v>
      </c>
      <c r="L422" s="217">
        <v>3093</v>
      </c>
      <c r="M422" s="217">
        <v>2894</v>
      </c>
      <c r="N422" s="180"/>
      <c r="O422" s="228">
        <f t="shared" si="209"/>
        <v>0.38030942334739803</v>
      </c>
      <c r="P422" s="228">
        <f t="shared" ref="P422:P442" si="213">H422/I422*C422/D422</f>
        <v>0</v>
      </c>
      <c r="Q422" s="228">
        <f t="shared" si="211"/>
        <v>3.1235827664399092</v>
      </c>
      <c r="R422" s="228">
        <f t="shared" si="212"/>
        <v>1.4250172771250862</v>
      </c>
    </row>
    <row r="423" spans="1:18">
      <c r="A423" s="239" t="s">
        <v>571</v>
      </c>
      <c r="B423" s="243" t="s">
        <v>178</v>
      </c>
      <c r="C423" s="84">
        <v>8</v>
      </c>
      <c r="D423" s="84">
        <v>6</v>
      </c>
      <c r="E423" s="226"/>
      <c r="F423" s="217">
        <v>0</v>
      </c>
      <c r="G423" s="217">
        <v>365</v>
      </c>
      <c r="H423" s="217">
        <v>1322</v>
      </c>
      <c r="I423" s="217">
        <v>164</v>
      </c>
      <c r="J423" s="217">
        <v>872</v>
      </c>
      <c r="K423" s="217">
        <v>333</v>
      </c>
      <c r="L423" s="217">
        <v>2194</v>
      </c>
      <c r="M423" s="217">
        <v>862</v>
      </c>
      <c r="N423" s="180"/>
      <c r="O423" s="228">
        <f t="shared" si="209"/>
        <v>0</v>
      </c>
      <c r="P423" s="228">
        <f t="shared" si="213"/>
        <v>10.747967479674797</v>
      </c>
      <c r="Q423" s="228">
        <f t="shared" si="211"/>
        <v>3.4914914914914914</v>
      </c>
      <c r="R423" s="228">
        <f t="shared" si="212"/>
        <v>3.3936581593194126</v>
      </c>
    </row>
    <row r="424" spans="1:18">
      <c r="A424" s="239" t="s">
        <v>572</v>
      </c>
      <c r="B424" s="243" t="s">
        <v>178</v>
      </c>
      <c r="C424" s="84">
        <v>8</v>
      </c>
      <c r="D424" s="84">
        <v>6</v>
      </c>
      <c r="E424" s="226"/>
      <c r="F424" s="217">
        <v>0</v>
      </c>
      <c r="G424" s="217">
        <v>745</v>
      </c>
      <c r="H424" s="217">
        <v>13</v>
      </c>
      <c r="I424" s="217">
        <v>347</v>
      </c>
      <c r="J424" s="217">
        <v>188</v>
      </c>
      <c r="K424" s="217">
        <v>831</v>
      </c>
      <c r="L424" s="217">
        <v>201</v>
      </c>
      <c r="M424" s="217">
        <v>1923</v>
      </c>
      <c r="N424" s="180"/>
      <c r="O424" s="228">
        <f t="shared" si="209"/>
        <v>0</v>
      </c>
      <c r="P424" s="228">
        <f t="shared" si="213"/>
        <v>4.9951969260326606E-2</v>
      </c>
      <c r="Q424" s="228">
        <f t="shared" si="211"/>
        <v>0.30164460489370237</v>
      </c>
      <c r="R424" s="228">
        <f t="shared" si="212"/>
        <v>0.13936557462298491</v>
      </c>
    </row>
    <row r="425" spans="1:18">
      <c r="A425" s="239" t="s">
        <v>573</v>
      </c>
      <c r="B425" s="243" t="s">
        <v>178</v>
      </c>
      <c r="C425" s="84">
        <v>8</v>
      </c>
      <c r="D425" s="84">
        <v>6</v>
      </c>
      <c r="E425" s="226"/>
      <c r="F425" s="217">
        <v>210</v>
      </c>
      <c r="G425" s="217">
        <v>2416</v>
      </c>
      <c r="H425" s="217">
        <v>0</v>
      </c>
      <c r="I425" s="217">
        <v>1090</v>
      </c>
      <c r="J425" s="217">
        <v>2753</v>
      </c>
      <c r="K425" s="217">
        <v>2471</v>
      </c>
      <c r="L425" s="217">
        <v>2963</v>
      </c>
      <c r="M425" s="217">
        <v>5977</v>
      </c>
      <c r="N425" s="180"/>
      <c r="O425" s="228">
        <f t="shared" si="209"/>
        <v>0.11589403973509933</v>
      </c>
      <c r="P425" s="228">
        <f t="shared" si="213"/>
        <v>0</v>
      </c>
      <c r="Q425" s="228">
        <f t="shared" si="211"/>
        <v>1.485498448671253</v>
      </c>
      <c r="R425" s="228">
        <f t="shared" si="212"/>
        <v>0.66097819418883497</v>
      </c>
    </row>
    <row r="426" spans="1:18">
      <c r="A426" s="239" t="s">
        <v>574</v>
      </c>
      <c r="B426" s="243" t="s">
        <v>178</v>
      </c>
      <c r="C426" s="84">
        <v>8</v>
      </c>
      <c r="D426" s="84">
        <v>6</v>
      </c>
      <c r="E426" s="226"/>
      <c r="F426" s="217">
        <v>2</v>
      </c>
      <c r="G426" s="217">
        <v>47</v>
      </c>
      <c r="H426" s="217">
        <v>17</v>
      </c>
      <c r="I426" s="217">
        <v>22</v>
      </c>
      <c r="J426" s="217">
        <v>56</v>
      </c>
      <c r="K426" s="217">
        <v>49</v>
      </c>
      <c r="L426" s="217">
        <v>75</v>
      </c>
      <c r="M426" s="217">
        <v>118</v>
      </c>
      <c r="N426" s="180"/>
      <c r="O426" s="228">
        <f t="shared" si="209"/>
        <v>5.6737588652482268E-2</v>
      </c>
      <c r="P426" s="228">
        <f t="shared" si="213"/>
        <v>1.0303030303030303</v>
      </c>
      <c r="Q426" s="228">
        <f t="shared" si="211"/>
        <v>1.5238095238095237</v>
      </c>
      <c r="R426" s="228">
        <f t="shared" si="212"/>
        <v>0.84745762711864403</v>
      </c>
    </row>
    <row r="427" spans="1:18">
      <c r="A427" s="239" t="s">
        <v>575</v>
      </c>
      <c r="B427" s="243" t="s">
        <v>178</v>
      </c>
      <c r="C427" s="84">
        <v>8</v>
      </c>
      <c r="D427" s="84">
        <v>6</v>
      </c>
      <c r="E427" s="226"/>
      <c r="F427" s="217">
        <v>20</v>
      </c>
      <c r="G427" s="217">
        <v>672</v>
      </c>
      <c r="H427" s="217">
        <v>157</v>
      </c>
      <c r="I427" s="217">
        <v>314</v>
      </c>
      <c r="J427" s="217">
        <v>500</v>
      </c>
      <c r="K427" s="217">
        <v>729</v>
      </c>
      <c r="L427" s="217">
        <v>677</v>
      </c>
      <c r="M427" s="217">
        <v>1715</v>
      </c>
      <c r="N427" s="180"/>
      <c r="O427" s="228">
        <f t="shared" si="209"/>
        <v>3.968253968253968E-2</v>
      </c>
      <c r="P427" s="228">
        <f t="shared" si="213"/>
        <v>0.66666666666666663</v>
      </c>
      <c r="Q427" s="228">
        <f t="shared" si="211"/>
        <v>0.91449474165523548</v>
      </c>
      <c r="R427" s="228">
        <f t="shared" si="212"/>
        <v>0.52633624878522844</v>
      </c>
    </row>
    <row r="428" spans="1:18">
      <c r="A428" s="224" t="s">
        <v>576</v>
      </c>
      <c r="B428" s="225" t="s">
        <v>178</v>
      </c>
      <c r="C428" s="84">
        <v>8</v>
      </c>
      <c r="D428" s="84">
        <v>6</v>
      </c>
      <c r="E428" s="226"/>
      <c r="F428" s="217">
        <v>0</v>
      </c>
      <c r="G428" s="217">
        <v>595</v>
      </c>
      <c r="H428" s="217">
        <v>18</v>
      </c>
      <c r="I428" s="217">
        <v>280</v>
      </c>
      <c r="J428" s="217">
        <v>117</v>
      </c>
      <c r="K428" s="217">
        <v>625</v>
      </c>
      <c r="L428" s="217">
        <v>135</v>
      </c>
      <c r="M428" s="217">
        <v>1500</v>
      </c>
      <c r="N428" s="180"/>
      <c r="O428" s="228">
        <f t="shared" si="209"/>
        <v>0</v>
      </c>
      <c r="P428" s="228">
        <f t="shared" si="213"/>
        <v>8.5714285714285701E-2</v>
      </c>
      <c r="Q428" s="228">
        <f t="shared" si="211"/>
        <v>0.24960000000000002</v>
      </c>
      <c r="R428" s="228">
        <f t="shared" si="212"/>
        <v>0.12</v>
      </c>
    </row>
    <row r="429" spans="1:18">
      <c r="A429" s="239" t="s">
        <v>577</v>
      </c>
      <c r="B429" s="243" t="s">
        <v>178</v>
      </c>
      <c r="C429" s="84">
        <v>8</v>
      </c>
      <c r="D429" s="84">
        <v>6</v>
      </c>
      <c r="E429" s="226"/>
      <c r="F429" s="217">
        <v>86</v>
      </c>
      <c r="G429" s="217">
        <v>431</v>
      </c>
      <c r="H429" s="217">
        <v>1</v>
      </c>
      <c r="I429" s="217">
        <v>202</v>
      </c>
      <c r="J429" s="217">
        <v>131</v>
      </c>
      <c r="K429" s="217">
        <v>462</v>
      </c>
      <c r="L429" s="217">
        <v>218</v>
      </c>
      <c r="M429" s="217">
        <v>1095</v>
      </c>
      <c r="N429" s="180"/>
      <c r="O429" s="228">
        <f t="shared" si="209"/>
        <v>0.26604795050270685</v>
      </c>
      <c r="P429" s="228">
        <f t="shared" si="213"/>
        <v>6.6006600660066007E-3</v>
      </c>
      <c r="Q429" s="228">
        <f t="shared" si="211"/>
        <v>0.37806637806637805</v>
      </c>
      <c r="R429" s="228">
        <f t="shared" si="212"/>
        <v>0.26544901065449011</v>
      </c>
    </row>
    <row r="430" spans="1:18">
      <c r="A430" s="224" t="s">
        <v>578</v>
      </c>
      <c r="B430" s="251" t="s">
        <v>178</v>
      </c>
      <c r="C430" s="84">
        <v>8</v>
      </c>
      <c r="D430" s="84">
        <v>6</v>
      </c>
      <c r="E430" s="226"/>
      <c r="F430" s="217">
        <v>0</v>
      </c>
      <c r="G430" s="217">
        <v>278</v>
      </c>
      <c r="H430" s="217">
        <v>0</v>
      </c>
      <c r="I430" s="217">
        <v>125</v>
      </c>
      <c r="J430" s="217">
        <v>356</v>
      </c>
      <c r="K430" s="217">
        <v>294</v>
      </c>
      <c r="L430" s="217">
        <v>356</v>
      </c>
      <c r="M430" s="217">
        <v>697</v>
      </c>
      <c r="N430" s="180"/>
      <c r="O430" s="228">
        <f t="shared" si="209"/>
        <v>0</v>
      </c>
      <c r="P430" s="228">
        <f t="shared" si="213"/>
        <v>0</v>
      </c>
      <c r="Q430" s="228">
        <f t="shared" si="211"/>
        <v>1.6145124716553287</v>
      </c>
      <c r="R430" s="228">
        <f t="shared" si="212"/>
        <v>0.68101386896221905</v>
      </c>
    </row>
    <row r="431" spans="1:18">
      <c r="A431" s="224" t="s">
        <v>579</v>
      </c>
      <c r="B431" s="251" t="s">
        <v>178</v>
      </c>
      <c r="C431" s="84">
        <v>8</v>
      </c>
      <c r="D431" s="84">
        <v>6</v>
      </c>
      <c r="E431" s="226"/>
      <c r="F431" s="217">
        <v>0</v>
      </c>
      <c r="G431" s="217">
        <v>67</v>
      </c>
      <c r="H431" s="217">
        <v>12</v>
      </c>
      <c r="I431" s="217">
        <v>34</v>
      </c>
      <c r="J431" s="217">
        <v>13</v>
      </c>
      <c r="K431" s="217">
        <v>80</v>
      </c>
      <c r="L431" s="217">
        <v>25</v>
      </c>
      <c r="M431" s="217">
        <v>181</v>
      </c>
      <c r="N431" s="180"/>
      <c r="O431" s="228">
        <f t="shared" si="209"/>
        <v>0</v>
      </c>
      <c r="P431" s="228">
        <f t="shared" si="213"/>
        <v>0.4705882352941177</v>
      </c>
      <c r="Q431" s="228">
        <f t="shared" si="211"/>
        <v>0.21666666666666667</v>
      </c>
      <c r="R431" s="228">
        <f t="shared" si="212"/>
        <v>0.18416206261510129</v>
      </c>
    </row>
    <row r="432" spans="1:18">
      <c r="A432" s="224" t="s">
        <v>580</v>
      </c>
      <c r="B432" s="251" t="s">
        <v>178</v>
      </c>
      <c r="C432" s="84">
        <v>8</v>
      </c>
      <c r="D432" s="84">
        <v>6</v>
      </c>
      <c r="E432" s="226"/>
      <c r="F432" s="217">
        <v>174</v>
      </c>
      <c r="G432" s="217">
        <v>4337</v>
      </c>
      <c r="H432" s="217">
        <v>1434</v>
      </c>
      <c r="I432" s="217">
        <v>1977</v>
      </c>
      <c r="J432" s="217">
        <v>4625</v>
      </c>
      <c r="K432" s="217">
        <v>4547</v>
      </c>
      <c r="L432" s="217">
        <v>6233</v>
      </c>
      <c r="M432" s="217">
        <v>10861</v>
      </c>
      <c r="N432" s="180"/>
      <c r="O432" s="228">
        <f t="shared" si="209"/>
        <v>5.3493198063177309E-2</v>
      </c>
      <c r="P432" s="228">
        <f t="shared" si="213"/>
        <v>0.96712190187152247</v>
      </c>
      <c r="Q432" s="228">
        <f t="shared" si="211"/>
        <v>1.3562055567773623</v>
      </c>
      <c r="R432" s="228">
        <f t="shared" si="212"/>
        <v>0.76518429856059911</v>
      </c>
    </row>
    <row r="433" spans="1:18">
      <c r="A433" s="244" t="s">
        <v>581</v>
      </c>
      <c r="B433" s="245" t="s">
        <v>178</v>
      </c>
      <c r="C433" s="84">
        <v>8</v>
      </c>
      <c r="D433" s="84">
        <v>6</v>
      </c>
      <c r="E433" s="226"/>
      <c r="F433" s="217">
        <v>29</v>
      </c>
      <c r="G433" s="217">
        <v>350</v>
      </c>
      <c r="H433" s="217">
        <v>171</v>
      </c>
      <c r="I433" s="217">
        <v>158</v>
      </c>
      <c r="J433" s="217">
        <v>1835</v>
      </c>
      <c r="K433" s="217">
        <v>340</v>
      </c>
      <c r="L433" s="217">
        <v>2035</v>
      </c>
      <c r="M433" s="217">
        <v>848</v>
      </c>
      <c r="N433" s="180"/>
      <c r="O433" s="228">
        <f t="shared" si="209"/>
        <v>0.11047619047619046</v>
      </c>
      <c r="P433" s="228">
        <f t="shared" si="213"/>
        <v>1.4430379746835442</v>
      </c>
      <c r="Q433" s="228">
        <f t="shared" si="211"/>
        <v>7.1960784313725492</v>
      </c>
      <c r="R433" s="228">
        <f t="shared" si="212"/>
        <v>3.199685534591195</v>
      </c>
    </row>
    <row r="434" spans="1:18">
      <c r="A434" s="244" t="s">
        <v>582</v>
      </c>
      <c r="B434" s="245" t="s">
        <v>178</v>
      </c>
      <c r="C434" s="84">
        <v>8</v>
      </c>
      <c r="D434" s="84">
        <v>6</v>
      </c>
      <c r="E434" s="226"/>
      <c r="F434" s="217">
        <v>11</v>
      </c>
      <c r="G434" s="217">
        <v>975</v>
      </c>
      <c r="H434" s="217">
        <v>4</v>
      </c>
      <c r="I434" s="217">
        <v>453</v>
      </c>
      <c r="J434" s="217">
        <v>385</v>
      </c>
      <c r="K434" s="217">
        <v>1001</v>
      </c>
      <c r="L434" s="217">
        <v>400</v>
      </c>
      <c r="M434" s="217">
        <v>2429</v>
      </c>
      <c r="N434" s="180"/>
      <c r="O434" s="228">
        <f t="shared" si="209"/>
        <v>1.5042735042735044E-2</v>
      </c>
      <c r="P434" s="228">
        <f t="shared" si="213"/>
        <v>1.177336276674025E-2</v>
      </c>
      <c r="Q434" s="228">
        <f t="shared" si="211"/>
        <v>0.51282051282051289</v>
      </c>
      <c r="R434" s="228">
        <f t="shared" si="212"/>
        <v>0.2195690956497873</v>
      </c>
    </row>
    <row r="435" spans="1:18">
      <c r="A435" s="244" t="s">
        <v>583</v>
      </c>
      <c r="B435" s="245" t="s">
        <v>178</v>
      </c>
      <c r="C435" s="84">
        <v>8</v>
      </c>
      <c r="D435" s="84">
        <v>6</v>
      </c>
      <c r="E435" s="226"/>
      <c r="F435" s="217">
        <v>1</v>
      </c>
      <c r="G435" s="217">
        <v>1068</v>
      </c>
      <c r="H435" s="217">
        <v>0</v>
      </c>
      <c r="I435" s="217">
        <v>496</v>
      </c>
      <c r="J435" s="217">
        <v>149</v>
      </c>
      <c r="K435" s="217">
        <v>1151</v>
      </c>
      <c r="L435" s="217">
        <v>150</v>
      </c>
      <c r="M435" s="217">
        <v>2715</v>
      </c>
      <c r="N435" s="180"/>
      <c r="O435" s="228">
        <f t="shared" si="209"/>
        <v>1.2484394506866417E-3</v>
      </c>
      <c r="P435" s="228">
        <f t="shared" si="213"/>
        <v>0</v>
      </c>
      <c r="Q435" s="228">
        <f t="shared" si="211"/>
        <v>0.17260353315957136</v>
      </c>
      <c r="R435" s="228">
        <f t="shared" si="212"/>
        <v>7.3664825046040508E-2</v>
      </c>
    </row>
    <row r="436" spans="1:18">
      <c r="A436" s="244" t="s">
        <v>178</v>
      </c>
      <c r="B436" s="245" t="s">
        <v>178</v>
      </c>
      <c r="C436" s="84">
        <v>8</v>
      </c>
      <c r="D436" s="84">
        <v>6</v>
      </c>
      <c r="E436" s="226"/>
      <c r="F436" s="217">
        <v>75</v>
      </c>
      <c r="G436" s="217">
        <v>1676</v>
      </c>
      <c r="H436" s="217">
        <v>12</v>
      </c>
      <c r="I436" s="217">
        <v>808</v>
      </c>
      <c r="J436" s="217">
        <v>90</v>
      </c>
      <c r="K436" s="217">
        <v>1900</v>
      </c>
      <c r="L436" s="217">
        <v>177</v>
      </c>
      <c r="M436" s="217">
        <v>4384</v>
      </c>
      <c r="N436" s="180"/>
      <c r="O436" s="228">
        <f t="shared" si="209"/>
        <v>5.9665871121718374E-2</v>
      </c>
      <c r="P436" s="228">
        <f t="shared" si="213"/>
        <v>1.9801980198019802E-2</v>
      </c>
      <c r="Q436" s="228">
        <f t="shared" si="211"/>
        <v>6.3157894736842107E-2</v>
      </c>
      <c r="R436" s="228">
        <f t="shared" si="212"/>
        <v>5.3832116788321172E-2</v>
      </c>
    </row>
    <row r="437" spans="1:18">
      <c r="A437" s="244" t="s">
        <v>584</v>
      </c>
      <c r="B437" s="245" t="s">
        <v>178</v>
      </c>
      <c r="C437" s="84">
        <v>8</v>
      </c>
      <c r="D437" s="84">
        <v>6</v>
      </c>
      <c r="E437" s="226"/>
      <c r="F437" s="217">
        <v>607</v>
      </c>
      <c r="G437" s="217">
        <v>15</v>
      </c>
      <c r="H437" s="217">
        <v>555</v>
      </c>
      <c r="I437" s="217">
        <v>7</v>
      </c>
      <c r="J437" s="217">
        <v>1023</v>
      </c>
      <c r="K437" s="217">
        <v>17</v>
      </c>
      <c r="L437" s="217">
        <v>2185</v>
      </c>
      <c r="M437" s="217">
        <v>39</v>
      </c>
      <c r="N437" s="180"/>
      <c r="O437" s="228">
        <f t="shared" si="209"/>
        <v>53.955555555555556</v>
      </c>
      <c r="P437" s="228">
        <f t="shared" si="213"/>
        <v>105.71428571428572</v>
      </c>
      <c r="Q437" s="228">
        <f t="shared" si="211"/>
        <v>80.235294117647058</v>
      </c>
      <c r="R437" s="228">
        <f t="shared" si="212"/>
        <v>74.700854700854705</v>
      </c>
    </row>
    <row r="438" spans="1:18">
      <c r="A438" s="244" t="s">
        <v>585</v>
      </c>
      <c r="B438" s="253" t="s">
        <v>178</v>
      </c>
      <c r="C438" s="84">
        <v>8</v>
      </c>
      <c r="D438" s="84">
        <v>6</v>
      </c>
      <c r="E438" s="226"/>
      <c r="F438" s="217">
        <v>10</v>
      </c>
      <c r="G438" s="217">
        <v>175</v>
      </c>
      <c r="H438" s="217">
        <v>56</v>
      </c>
      <c r="I438" s="217">
        <v>84</v>
      </c>
      <c r="J438" s="217">
        <v>0</v>
      </c>
      <c r="K438" s="217">
        <v>195</v>
      </c>
      <c r="L438" s="217">
        <v>66</v>
      </c>
      <c r="M438" s="217">
        <v>454</v>
      </c>
      <c r="N438" s="180"/>
      <c r="O438" s="228">
        <f t="shared" si="209"/>
        <v>7.6190476190476183E-2</v>
      </c>
      <c r="P438" s="228">
        <f t="shared" si="213"/>
        <v>0.88888888888888884</v>
      </c>
      <c r="Q438" s="228">
        <f t="shared" si="211"/>
        <v>0</v>
      </c>
      <c r="R438" s="228">
        <f t="shared" si="212"/>
        <v>0.19383259911894271</v>
      </c>
    </row>
    <row r="439" spans="1:18">
      <c r="A439" s="244" t="s">
        <v>586</v>
      </c>
      <c r="B439" s="253" t="s">
        <v>178</v>
      </c>
      <c r="C439" s="84">
        <v>8</v>
      </c>
      <c r="D439" s="84">
        <v>6</v>
      </c>
      <c r="E439" s="226"/>
      <c r="F439" s="217">
        <v>0</v>
      </c>
      <c r="G439" s="217">
        <v>642</v>
      </c>
      <c r="H439" s="217">
        <v>14</v>
      </c>
      <c r="I439" s="217">
        <v>294</v>
      </c>
      <c r="J439" s="217">
        <v>813</v>
      </c>
      <c r="K439" s="217">
        <v>653</v>
      </c>
      <c r="L439" s="217">
        <v>827</v>
      </c>
      <c r="M439" s="217">
        <v>1589</v>
      </c>
      <c r="N439" s="180"/>
      <c r="O439" s="228">
        <f t="shared" si="209"/>
        <v>0</v>
      </c>
      <c r="P439" s="228">
        <f t="shared" si="213"/>
        <v>6.3492063492063489E-2</v>
      </c>
      <c r="Q439" s="228">
        <f t="shared" si="211"/>
        <v>1.6600306278713628</v>
      </c>
      <c r="R439" s="228">
        <f t="shared" si="212"/>
        <v>0.69393748688902868</v>
      </c>
    </row>
    <row r="440" spans="1:18">
      <c r="A440" s="244" t="s">
        <v>587</v>
      </c>
      <c r="B440" s="253" t="s">
        <v>178</v>
      </c>
      <c r="C440" s="84">
        <v>8</v>
      </c>
      <c r="D440" s="84">
        <v>6</v>
      </c>
      <c r="E440" s="226"/>
      <c r="F440" s="217">
        <v>7</v>
      </c>
      <c r="G440" s="217">
        <v>2905</v>
      </c>
      <c r="H440" s="217">
        <v>248</v>
      </c>
      <c r="I440" s="217">
        <v>1342</v>
      </c>
      <c r="J440" s="217">
        <v>302</v>
      </c>
      <c r="K440" s="217">
        <v>3124</v>
      </c>
      <c r="L440" s="217">
        <v>557</v>
      </c>
      <c r="M440" s="217">
        <v>7371</v>
      </c>
      <c r="N440" s="180"/>
      <c r="O440" s="228">
        <f t="shared" si="209"/>
        <v>3.2128514056224901E-3</v>
      </c>
      <c r="P440" s="228">
        <f t="shared" si="213"/>
        <v>0.24639841033283658</v>
      </c>
      <c r="Q440" s="228">
        <f t="shared" si="211"/>
        <v>0.12889457959880496</v>
      </c>
      <c r="R440" s="228">
        <f t="shared" si="212"/>
        <v>0.10075521186632297</v>
      </c>
    </row>
    <row r="441" spans="1:18">
      <c r="A441" s="244" t="s">
        <v>588</v>
      </c>
      <c r="B441" s="253" t="s">
        <v>178</v>
      </c>
      <c r="C441" s="84">
        <v>8</v>
      </c>
      <c r="D441" s="84">
        <v>6</v>
      </c>
      <c r="E441" s="226"/>
      <c r="F441" s="217">
        <v>275</v>
      </c>
      <c r="G441" s="217">
        <v>637</v>
      </c>
      <c r="H441" s="217">
        <v>35</v>
      </c>
      <c r="I441" s="217">
        <v>299</v>
      </c>
      <c r="J441" s="217">
        <v>300</v>
      </c>
      <c r="K441" s="217">
        <v>669</v>
      </c>
      <c r="L441" s="217">
        <v>610</v>
      </c>
      <c r="M441" s="217">
        <v>1605</v>
      </c>
      <c r="N441" s="180"/>
      <c r="O441" s="228">
        <f t="shared" si="209"/>
        <v>0.57561486132914708</v>
      </c>
      <c r="P441" s="228">
        <f t="shared" si="213"/>
        <v>0.15607580824972131</v>
      </c>
      <c r="Q441" s="228">
        <f t="shared" si="211"/>
        <v>0.59790732436472349</v>
      </c>
      <c r="R441" s="228">
        <f t="shared" si="212"/>
        <v>0.50674974039460019</v>
      </c>
    </row>
    <row r="442" spans="1:18">
      <c r="A442" s="244" t="s">
        <v>589</v>
      </c>
      <c r="B442" s="253" t="s">
        <v>178</v>
      </c>
      <c r="C442" s="84">
        <v>8</v>
      </c>
      <c r="D442" s="84">
        <v>6</v>
      </c>
      <c r="E442" s="226"/>
      <c r="F442" s="246">
        <v>0</v>
      </c>
      <c r="G442" s="246">
        <v>358</v>
      </c>
      <c r="H442" s="246">
        <v>0</v>
      </c>
      <c r="I442" s="246">
        <v>172</v>
      </c>
      <c r="J442" s="246">
        <v>148</v>
      </c>
      <c r="K442" s="246">
        <v>400</v>
      </c>
      <c r="L442" s="246">
        <v>148</v>
      </c>
      <c r="M442" s="246">
        <v>930</v>
      </c>
      <c r="N442" s="180"/>
      <c r="O442" s="247">
        <f t="shared" si="209"/>
        <v>0</v>
      </c>
      <c r="P442" s="247">
        <f t="shared" si="213"/>
        <v>0</v>
      </c>
      <c r="Q442" s="247">
        <f t="shared" si="211"/>
        <v>0.49333333333333335</v>
      </c>
      <c r="R442" s="247">
        <f t="shared" si="212"/>
        <v>0.21218637992831543</v>
      </c>
    </row>
    <row r="443" spans="1:18">
      <c r="A443" s="239"/>
      <c r="B443" s="243"/>
      <c r="C443" s="226"/>
      <c r="D443" s="226"/>
      <c r="E443" s="226"/>
      <c r="F443" s="241">
        <f t="shared" ref="F443:M443" si="214">SUM(F418:F442)</f>
        <v>1849</v>
      </c>
      <c r="G443" s="241">
        <f t="shared" si="214"/>
        <v>22664</v>
      </c>
      <c r="H443" s="241">
        <f t="shared" si="214"/>
        <v>4081</v>
      </c>
      <c r="I443" s="241">
        <f t="shared" si="214"/>
        <v>10490</v>
      </c>
      <c r="J443" s="241">
        <f t="shared" si="214"/>
        <v>17489</v>
      </c>
      <c r="K443" s="241">
        <f t="shared" si="214"/>
        <v>24053</v>
      </c>
      <c r="L443" s="241">
        <f t="shared" si="214"/>
        <v>23419</v>
      </c>
      <c r="M443" s="241">
        <f t="shared" si="214"/>
        <v>57207</v>
      </c>
      <c r="N443" s="180"/>
      <c r="O443" s="228">
        <f>F443/G443*C442/D442</f>
        <v>0.1087775032356748</v>
      </c>
      <c r="P443" s="228">
        <f>H443/I443*C442/D442</f>
        <v>0.51871623768668573</v>
      </c>
      <c r="Q443" s="228">
        <f>J443/K443*C442/D442</f>
        <v>0.96947019775772947</v>
      </c>
      <c r="R443" s="228">
        <f>L443/M443*C442/D442</f>
        <v>0.54583063844168256</v>
      </c>
    </row>
    <row r="444" spans="1:18">
      <c r="A444" s="239"/>
      <c r="B444" s="243"/>
      <c r="C444" s="226"/>
      <c r="D444" s="226"/>
      <c r="E444" s="226"/>
      <c r="F444" s="264"/>
      <c r="G444" s="264"/>
      <c r="H444" s="98"/>
      <c r="I444" s="98"/>
      <c r="J444" s="98"/>
      <c r="K444" s="98"/>
      <c r="L444" s="98"/>
      <c r="M444" s="98"/>
      <c r="N444" s="180"/>
      <c r="O444" s="228"/>
      <c r="P444" s="228"/>
      <c r="Q444" s="228"/>
      <c r="R444" s="228"/>
    </row>
    <row r="445" spans="1:18">
      <c r="A445" s="239" t="s">
        <v>590</v>
      </c>
      <c r="B445" s="243" t="s">
        <v>179</v>
      </c>
      <c r="C445" s="84">
        <v>8</v>
      </c>
      <c r="D445" s="84">
        <v>7</v>
      </c>
      <c r="E445" s="226"/>
      <c r="F445" s="217">
        <v>316</v>
      </c>
      <c r="G445" s="217">
        <v>1605</v>
      </c>
      <c r="H445" s="217">
        <v>316</v>
      </c>
      <c r="I445" s="217">
        <v>1062</v>
      </c>
      <c r="J445" s="217">
        <v>3028</v>
      </c>
      <c r="K445" s="217">
        <v>2332</v>
      </c>
      <c r="L445" s="217">
        <v>3660</v>
      </c>
      <c r="M445" s="217">
        <v>4999</v>
      </c>
      <c r="N445" s="180"/>
      <c r="O445" s="228">
        <f t="shared" ref="O445:O463" si="215">F445/G445*C445/D445</f>
        <v>0.22501112594570541</v>
      </c>
      <c r="P445" s="228">
        <f t="shared" ref="P445:P463" si="216">H445/I445*C445/D445</f>
        <v>0.34005918751681463</v>
      </c>
      <c r="Q445" s="228">
        <f t="shared" ref="Q445:Q463" si="217">J445/K445*C445/D445</f>
        <v>1.4839500122518992</v>
      </c>
      <c r="R445" s="228">
        <f t="shared" ref="R445:R463" si="218">L445/M445*C445/D445</f>
        <v>0.83673877632669391</v>
      </c>
    </row>
    <row r="446" spans="1:18">
      <c r="A446" s="239" t="s">
        <v>591</v>
      </c>
      <c r="B446" s="243" t="s">
        <v>179</v>
      </c>
      <c r="C446" s="84">
        <v>8</v>
      </c>
      <c r="D446" s="84">
        <v>7</v>
      </c>
      <c r="E446" s="226"/>
      <c r="F446" s="217">
        <v>680</v>
      </c>
      <c r="G446" s="217">
        <v>5648</v>
      </c>
      <c r="H446" s="217">
        <v>328</v>
      </c>
      <c r="I446" s="217">
        <v>2257</v>
      </c>
      <c r="J446" s="217">
        <v>8454</v>
      </c>
      <c r="K446" s="217">
        <v>4956</v>
      </c>
      <c r="L446" s="217">
        <v>9462</v>
      </c>
      <c r="M446" s="217">
        <v>12861</v>
      </c>
      <c r="N446" s="180"/>
      <c r="O446" s="228">
        <f t="shared" si="215"/>
        <v>0.13759611493322541</v>
      </c>
      <c r="P446" s="228">
        <f t="shared" si="216"/>
        <v>0.16608646116842837</v>
      </c>
      <c r="Q446" s="228">
        <f t="shared" si="217"/>
        <v>1.9494984434451745</v>
      </c>
      <c r="R446" s="228">
        <f t="shared" si="218"/>
        <v>0.84081442233996473</v>
      </c>
    </row>
    <row r="447" spans="1:18">
      <c r="A447" s="239" t="s">
        <v>592</v>
      </c>
      <c r="B447" s="243" t="s">
        <v>179</v>
      </c>
      <c r="C447" s="84">
        <v>8</v>
      </c>
      <c r="D447" s="84">
        <v>7</v>
      </c>
      <c r="E447" s="226"/>
      <c r="F447" s="217">
        <v>12</v>
      </c>
      <c r="G447" s="217">
        <v>22</v>
      </c>
      <c r="H447" s="217">
        <v>0</v>
      </c>
      <c r="I447" s="217">
        <v>9</v>
      </c>
      <c r="J447" s="217">
        <v>345</v>
      </c>
      <c r="K447" s="217">
        <v>19</v>
      </c>
      <c r="L447" s="217">
        <v>357</v>
      </c>
      <c r="M447" s="217">
        <v>50</v>
      </c>
      <c r="N447" s="180"/>
      <c r="O447" s="228">
        <f t="shared" si="215"/>
        <v>0.62337662337662336</v>
      </c>
      <c r="P447" s="228">
        <f t="shared" si="216"/>
        <v>0</v>
      </c>
      <c r="Q447" s="228">
        <f t="shared" si="217"/>
        <v>20.751879699248121</v>
      </c>
      <c r="R447" s="228">
        <f t="shared" si="218"/>
        <v>8.16</v>
      </c>
    </row>
    <row r="448" spans="1:18">
      <c r="A448" s="224" t="s">
        <v>593</v>
      </c>
      <c r="B448" s="225" t="s">
        <v>179</v>
      </c>
      <c r="C448" s="84">
        <v>8</v>
      </c>
      <c r="D448" s="84">
        <v>7</v>
      </c>
      <c r="E448" s="226"/>
      <c r="F448" s="217">
        <v>1</v>
      </c>
      <c r="G448" s="217">
        <v>12</v>
      </c>
      <c r="H448" s="217">
        <v>4</v>
      </c>
      <c r="I448" s="217">
        <v>15</v>
      </c>
      <c r="J448" s="217">
        <v>33</v>
      </c>
      <c r="K448" s="217">
        <v>34</v>
      </c>
      <c r="L448" s="217">
        <v>38</v>
      </c>
      <c r="M448" s="217">
        <v>61</v>
      </c>
      <c r="N448" s="180"/>
      <c r="O448" s="228">
        <f t="shared" si="215"/>
        <v>9.5238095238095233E-2</v>
      </c>
      <c r="P448" s="228">
        <f t="shared" si="216"/>
        <v>0.30476190476190473</v>
      </c>
      <c r="Q448" s="228">
        <f t="shared" si="217"/>
        <v>1.1092436974789917</v>
      </c>
      <c r="R448" s="228">
        <f t="shared" si="218"/>
        <v>0.71194379391100704</v>
      </c>
    </row>
    <row r="449" spans="1:18">
      <c r="A449" s="239" t="s">
        <v>594</v>
      </c>
      <c r="B449" s="243" t="s">
        <v>179</v>
      </c>
      <c r="C449" s="84">
        <v>8</v>
      </c>
      <c r="D449" s="84">
        <v>7</v>
      </c>
      <c r="E449" s="226"/>
      <c r="F449" s="217">
        <v>216</v>
      </c>
      <c r="G449" s="217">
        <v>2549</v>
      </c>
      <c r="H449" s="217">
        <v>34</v>
      </c>
      <c r="I449" s="217">
        <v>1019</v>
      </c>
      <c r="J449" s="217">
        <v>429</v>
      </c>
      <c r="K449" s="217">
        <v>2237</v>
      </c>
      <c r="L449" s="217">
        <v>679</v>
      </c>
      <c r="M449" s="217">
        <v>5805</v>
      </c>
      <c r="N449" s="180"/>
      <c r="O449" s="228">
        <f t="shared" si="215"/>
        <v>9.6844701003194533E-2</v>
      </c>
      <c r="P449" s="228">
        <f t="shared" si="216"/>
        <v>3.8132623019767276E-2</v>
      </c>
      <c r="Q449" s="228">
        <f t="shared" si="217"/>
        <v>0.21917108372182131</v>
      </c>
      <c r="R449" s="228">
        <f t="shared" si="218"/>
        <v>0.13367786391042205</v>
      </c>
    </row>
    <row r="450" spans="1:18">
      <c r="A450" s="224" t="s">
        <v>595</v>
      </c>
      <c r="B450" s="225" t="s">
        <v>179</v>
      </c>
      <c r="C450" s="84">
        <v>8</v>
      </c>
      <c r="D450" s="84">
        <v>7</v>
      </c>
      <c r="E450" s="226"/>
      <c r="F450" s="217">
        <v>94</v>
      </c>
      <c r="G450" s="217">
        <v>1033</v>
      </c>
      <c r="H450" s="217">
        <v>43</v>
      </c>
      <c r="I450" s="217">
        <v>413</v>
      </c>
      <c r="J450" s="217">
        <v>1048</v>
      </c>
      <c r="K450" s="217">
        <v>907</v>
      </c>
      <c r="L450" s="217">
        <v>1185</v>
      </c>
      <c r="M450" s="217">
        <v>2353</v>
      </c>
      <c r="N450" s="180"/>
      <c r="O450" s="228">
        <f t="shared" si="215"/>
        <v>0.10399668095699074</v>
      </c>
      <c r="P450" s="228">
        <f t="shared" si="216"/>
        <v>0.11898996886890349</v>
      </c>
      <c r="Q450" s="228">
        <f t="shared" si="217"/>
        <v>1.3205229169948023</v>
      </c>
      <c r="R450" s="228">
        <f t="shared" si="218"/>
        <v>0.57555703964543736</v>
      </c>
    </row>
    <row r="451" spans="1:18">
      <c r="A451" s="239" t="s">
        <v>596</v>
      </c>
      <c r="B451" s="243" t="s">
        <v>179</v>
      </c>
      <c r="C451" s="84">
        <v>8</v>
      </c>
      <c r="D451" s="84">
        <v>7</v>
      </c>
      <c r="E451" s="226"/>
      <c r="F451" s="217">
        <v>190</v>
      </c>
      <c r="G451" s="217">
        <v>1833</v>
      </c>
      <c r="H451" s="217">
        <v>51</v>
      </c>
      <c r="I451" s="217">
        <v>733</v>
      </c>
      <c r="J451" s="217">
        <v>1363</v>
      </c>
      <c r="K451" s="217">
        <v>1609</v>
      </c>
      <c r="L451" s="217">
        <v>1604</v>
      </c>
      <c r="M451" s="217">
        <v>4175</v>
      </c>
      <c r="N451" s="180"/>
      <c r="O451" s="228">
        <f t="shared" si="215"/>
        <v>0.11846309718650143</v>
      </c>
      <c r="P451" s="228">
        <f t="shared" si="216"/>
        <v>7.9516663418436953E-2</v>
      </c>
      <c r="Q451" s="228">
        <f t="shared" si="217"/>
        <v>0.96812572138861763</v>
      </c>
      <c r="R451" s="228">
        <f t="shared" si="218"/>
        <v>0.43907613344739094</v>
      </c>
    </row>
    <row r="452" spans="1:18">
      <c r="A452" s="239" t="s">
        <v>597</v>
      </c>
      <c r="B452" s="243" t="s">
        <v>179</v>
      </c>
      <c r="C452" s="84">
        <v>8</v>
      </c>
      <c r="D452" s="84">
        <v>7</v>
      </c>
      <c r="E452" s="226"/>
      <c r="F452" s="217">
        <v>35</v>
      </c>
      <c r="G452" s="217">
        <v>111</v>
      </c>
      <c r="H452" s="217">
        <v>5</v>
      </c>
      <c r="I452" s="217">
        <v>45</v>
      </c>
      <c r="J452" s="217">
        <v>304</v>
      </c>
      <c r="K452" s="217">
        <v>98</v>
      </c>
      <c r="L452" s="217">
        <v>344</v>
      </c>
      <c r="M452" s="217">
        <v>254</v>
      </c>
      <c r="N452" s="180"/>
      <c r="O452" s="228">
        <f t="shared" si="215"/>
        <v>0.36036036036036034</v>
      </c>
      <c r="P452" s="228">
        <f t="shared" si="216"/>
        <v>0.12698412698412698</v>
      </c>
      <c r="Q452" s="228">
        <f t="shared" si="217"/>
        <v>3.5451895043731776</v>
      </c>
      <c r="R452" s="228">
        <f t="shared" si="218"/>
        <v>1.547806524184477</v>
      </c>
    </row>
    <row r="453" spans="1:18">
      <c r="A453" s="224" t="s">
        <v>598</v>
      </c>
      <c r="B453" s="225" t="s">
        <v>179</v>
      </c>
      <c r="C453" s="84">
        <v>8</v>
      </c>
      <c r="D453" s="84">
        <v>7</v>
      </c>
      <c r="E453" s="226"/>
      <c r="F453" s="217">
        <v>40</v>
      </c>
      <c r="G453" s="217">
        <v>756</v>
      </c>
      <c r="H453" s="217">
        <v>279</v>
      </c>
      <c r="I453" s="217">
        <v>302</v>
      </c>
      <c r="J453" s="217">
        <v>999</v>
      </c>
      <c r="K453" s="217">
        <v>664</v>
      </c>
      <c r="L453" s="217">
        <v>1318</v>
      </c>
      <c r="M453" s="217">
        <v>1722</v>
      </c>
      <c r="N453" s="180"/>
      <c r="O453" s="228">
        <f t="shared" si="215"/>
        <v>6.046863189720332E-2</v>
      </c>
      <c r="P453" s="228">
        <f t="shared" si="216"/>
        <v>1.0558183538315988</v>
      </c>
      <c r="Q453" s="228">
        <f t="shared" si="217"/>
        <v>1.719449225473322</v>
      </c>
      <c r="R453" s="228">
        <f t="shared" si="218"/>
        <v>0.87473037995686087</v>
      </c>
    </row>
    <row r="454" spans="1:18">
      <c r="A454" s="224" t="s">
        <v>599</v>
      </c>
      <c r="B454" s="225" t="s">
        <v>179</v>
      </c>
      <c r="C454" s="84">
        <v>8</v>
      </c>
      <c r="D454" s="84">
        <v>7</v>
      </c>
      <c r="E454" s="226"/>
      <c r="F454" s="217">
        <v>188</v>
      </c>
      <c r="G454" s="217">
        <v>136</v>
      </c>
      <c r="H454" s="217">
        <v>62</v>
      </c>
      <c r="I454" s="217">
        <v>54</v>
      </c>
      <c r="J454" s="217">
        <v>108</v>
      </c>
      <c r="K454" s="217">
        <v>119</v>
      </c>
      <c r="L454" s="217">
        <v>358</v>
      </c>
      <c r="M454" s="217">
        <v>309</v>
      </c>
      <c r="N454" s="180"/>
      <c r="O454" s="228">
        <f t="shared" si="215"/>
        <v>1.5798319327731092</v>
      </c>
      <c r="P454" s="228">
        <f t="shared" si="216"/>
        <v>1.3121693121693121</v>
      </c>
      <c r="Q454" s="228">
        <f t="shared" si="217"/>
        <v>1.0372148859543817</v>
      </c>
      <c r="R454" s="228">
        <f t="shared" si="218"/>
        <v>1.324086916319926</v>
      </c>
    </row>
    <row r="455" spans="1:18">
      <c r="A455" s="224" t="s">
        <v>600</v>
      </c>
      <c r="B455" s="251" t="s">
        <v>179</v>
      </c>
      <c r="C455" s="84">
        <v>8</v>
      </c>
      <c r="D455" s="84">
        <v>7</v>
      </c>
      <c r="E455" s="226"/>
      <c r="F455" s="217">
        <v>161</v>
      </c>
      <c r="G455" s="217">
        <v>818</v>
      </c>
      <c r="H455" s="217">
        <v>163</v>
      </c>
      <c r="I455" s="217">
        <v>327</v>
      </c>
      <c r="J455" s="217">
        <v>471</v>
      </c>
      <c r="K455" s="217">
        <v>718</v>
      </c>
      <c r="L455" s="217">
        <v>795</v>
      </c>
      <c r="M455" s="217">
        <v>1863</v>
      </c>
      <c r="N455" s="180"/>
      <c r="O455" s="228">
        <f t="shared" si="215"/>
        <v>0.22493887530562345</v>
      </c>
      <c r="P455" s="228">
        <f t="shared" si="216"/>
        <v>0.56968108344255131</v>
      </c>
      <c r="Q455" s="228">
        <f t="shared" si="217"/>
        <v>0.74970155192996413</v>
      </c>
      <c r="R455" s="228">
        <f t="shared" si="218"/>
        <v>0.48769266160570507</v>
      </c>
    </row>
    <row r="456" spans="1:18">
      <c r="A456" s="224" t="s">
        <v>601</v>
      </c>
      <c r="B456" s="251" t="s">
        <v>179</v>
      </c>
      <c r="C456" s="84">
        <v>8</v>
      </c>
      <c r="D456" s="84">
        <v>7</v>
      </c>
      <c r="E456" s="226"/>
      <c r="F456" s="217">
        <v>497</v>
      </c>
      <c r="G456" s="217">
        <v>2727</v>
      </c>
      <c r="H456" s="217">
        <v>196</v>
      </c>
      <c r="I456" s="217">
        <v>1090</v>
      </c>
      <c r="J456" s="217">
        <v>1080</v>
      </c>
      <c r="K456" s="217">
        <v>2393</v>
      </c>
      <c r="L456" s="217">
        <v>1773</v>
      </c>
      <c r="M456" s="217">
        <v>6210</v>
      </c>
      <c r="N456" s="180"/>
      <c r="O456" s="228">
        <f t="shared" si="215"/>
        <v>0.20828749541620831</v>
      </c>
      <c r="P456" s="228">
        <f t="shared" si="216"/>
        <v>0.20550458715596331</v>
      </c>
      <c r="Q456" s="228">
        <f t="shared" si="217"/>
        <v>0.51579010208345777</v>
      </c>
      <c r="R456" s="228">
        <f t="shared" si="218"/>
        <v>0.3262939958592132</v>
      </c>
    </row>
    <row r="457" spans="1:18">
      <c r="A457" s="244" t="s">
        <v>602</v>
      </c>
      <c r="B457" s="245" t="s">
        <v>179</v>
      </c>
      <c r="C457" s="84">
        <v>8</v>
      </c>
      <c r="D457" s="84">
        <v>7</v>
      </c>
      <c r="E457" s="226"/>
      <c r="F457" s="217">
        <v>105</v>
      </c>
      <c r="G457" s="217">
        <v>353</v>
      </c>
      <c r="H457" s="217">
        <v>0</v>
      </c>
      <c r="I457" s="217">
        <v>282</v>
      </c>
      <c r="J457" s="217">
        <v>159</v>
      </c>
      <c r="K457" s="217">
        <v>618</v>
      </c>
      <c r="L457" s="217">
        <v>264</v>
      </c>
      <c r="M457" s="217">
        <v>1253</v>
      </c>
      <c r="N457" s="180"/>
      <c r="O457" s="228">
        <f t="shared" si="215"/>
        <v>0.33994334277620392</v>
      </c>
      <c r="P457" s="228">
        <f t="shared" si="216"/>
        <v>0</v>
      </c>
      <c r="Q457" s="228">
        <f t="shared" si="217"/>
        <v>0.29403606102635227</v>
      </c>
      <c r="R457" s="228">
        <f t="shared" si="218"/>
        <v>0.24079352411355606</v>
      </c>
    </row>
    <row r="458" spans="1:18">
      <c r="A458" s="244" t="s">
        <v>179</v>
      </c>
      <c r="B458" s="245" t="s">
        <v>179</v>
      </c>
      <c r="C458" s="84">
        <v>8</v>
      </c>
      <c r="D458" s="84">
        <v>7</v>
      </c>
      <c r="E458" s="226"/>
      <c r="F458" s="217">
        <v>4997</v>
      </c>
      <c r="G458" s="217">
        <v>38680</v>
      </c>
      <c r="H458" s="217">
        <v>34</v>
      </c>
      <c r="I458" s="217">
        <v>15462</v>
      </c>
      <c r="J458" s="217">
        <v>33018</v>
      </c>
      <c r="K458" s="217">
        <v>33954</v>
      </c>
      <c r="L458" s="217">
        <v>38049</v>
      </c>
      <c r="M458" s="217">
        <v>88096</v>
      </c>
      <c r="N458" s="180"/>
      <c r="O458" s="228">
        <f t="shared" si="215"/>
        <v>0.14764366967055695</v>
      </c>
      <c r="P458" s="228">
        <f t="shared" si="216"/>
        <v>2.5130735258791135E-3</v>
      </c>
      <c r="Q458" s="228">
        <f t="shared" si="217"/>
        <v>1.1113523338298035</v>
      </c>
      <c r="R458" s="228">
        <f t="shared" si="218"/>
        <v>0.49360437963779769</v>
      </c>
    </row>
    <row r="459" spans="1:18">
      <c r="A459" s="244" t="s">
        <v>603</v>
      </c>
      <c r="B459" s="245" t="s">
        <v>179</v>
      </c>
      <c r="C459" s="84">
        <v>8</v>
      </c>
      <c r="D459" s="84">
        <v>7</v>
      </c>
      <c r="E459" s="226"/>
      <c r="F459" s="217">
        <v>734</v>
      </c>
      <c r="G459" s="217">
        <v>3670</v>
      </c>
      <c r="H459" s="217">
        <v>999</v>
      </c>
      <c r="I459" s="217">
        <v>5864</v>
      </c>
      <c r="J459" s="217">
        <v>4271</v>
      </c>
      <c r="K459" s="217">
        <v>12878</v>
      </c>
      <c r="L459" s="217">
        <v>6004</v>
      </c>
      <c r="M459" s="217">
        <v>22412</v>
      </c>
      <c r="N459" s="180"/>
      <c r="O459" s="228">
        <f t="shared" si="215"/>
        <v>0.22857142857142859</v>
      </c>
      <c r="P459" s="228">
        <f t="shared" si="216"/>
        <v>0.19469888910543753</v>
      </c>
      <c r="Q459" s="228">
        <f t="shared" si="217"/>
        <v>0.3790295742462228</v>
      </c>
      <c r="R459" s="228">
        <f t="shared" si="218"/>
        <v>0.30616251497922031</v>
      </c>
    </row>
    <row r="460" spans="1:18">
      <c r="A460" s="244" t="s">
        <v>604</v>
      </c>
      <c r="B460" s="245" t="s">
        <v>179</v>
      </c>
      <c r="C460" s="84">
        <v>8</v>
      </c>
      <c r="D460" s="84">
        <v>7</v>
      </c>
      <c r="E460" s="226"/>
      <c r="F460" s="217">
        <v>335</v>
      </c>
      <c r="G460" s="217">
        <v>1836</v>
      </c>
      <c r="H460" s="217">
        <v>64</v>
      </c>
      <c r="I460" s="217">
        <v>734</v>
      </c>
      <c r="J460" s="217">
        <v>3501</v>
      </c>
      <c r="K460" s="217">
        <v>1613</v>
      </c>
      <c r="L460" s="217">
        <v>3900</v>
      </c>
      <c r="M460" s="217">
        <v>4183</v>
      </c>
      <c r="N460" s="180"/>
      <c r="O460" s="228">
        <f t="shared" si="215"/>
        <v>0.20852785558667913</v>
      </c>
      <c r="P460" s="228">
        <f t="shared" si="216"/>
        <v>9.9649669131957955E-2</v>
      </c>
      <c r="Q460" s="228">
        <f t="shared" si="217"/>
        <v>2.4805597378443012</v>
      </c>
      <c r="R460" s="228">
        <f t="shared" si="218"/>
        <v>1.0655373791878693</v>
      </c>
    </row>
    <row r="461" spans="1:18">
      <c r="A461" s="244" t="s">
        <v>605</v>
      </c>
      <c r="B461" s="245" t="s">
        <v>179</v>
      </c>
      <c r="C461" s="84">
        <v>8</v>
      </c>
      <c r="D461" s="84">
        <v>7</v>
      </c>
      <c r="E461" s="226"/>
      <c r="F461" s="217">
        <v>53</v>
      </c>
      <c r="G461" s="217">
        <v>1608</v>
      </c>
      <c r="H461" s="217">
        <v>97</v>
      </c>
      <c r="I461" s="217">
        <v>642</v>
      </c>
      <c r="J461" s="217">
        <v>997</v>
      </c>
      <c r="K461" s="217">
        <v>1410</v>
      </c>
      <c r="L461" s="217">
        <v>1147</v>
      </c>
      <c r="M461" s="217">
        <v>3660</v>
      </c>
      <c r="N461" s="180"/>
      <c r="O461" s="228">
        <f t="shared" si="215"/>
        <v>3.7668798862828715E-2</v>
      </c>
      <c r="P461" s="228">
        <f t="shared" si="216"/>
        <v>0.17267467734757452</v>
      </c>
      <c r="Q461" s="228">
        <f t="shared" si="217"/>
        <v>0.80810536980749748</v>
      </c>
      <c r="R461" s="228">
        <f t="shared" si="218"/>
        <v>0.35815768930523034</v>
      </c>
    </row>
    <row r="462" spans="1:18">
      <c r="A462" s="244" t="s">
        <v>606</v>
      </c>
      <c r="B462" s="245" t="s">
        <v>179</v>
      </c>
      <c r="C462" s="84">
        <v>8</v>
      </c>
      <c r="D462" s="84">
        <v>7</v>
      </c>
      <c r="E462" s="226"/>
      <c r="F462" s="217">
        <v>6</v>
      </c>
      <c r="G462" s="217">
        <v>150</v>
      </c>
      <c r="H462" s="217">
        <v>14</v>
      </c>
      <c r="I462" s="217">
        <v>59</v>
      </c>
      <c r="J462" s="217">
        <v>50</v>
      </c>
      <c r="K462" s="217">
        <v>131</v>
      </c>
      <c r="L462" s="217">
        <v>70</v>
      </c>
      <c r="M462" s="217">
        <v>340</v>
      </c>
      <c r="N462" s="180"/>
      <c r="O462" s="228">
        <f t="shared" si="215"/>
        <v>4.5714285714285714E-2</v>
      </c>
      <c r="P462" s="228">
        <f t="shared" si="216"/>
        <v>0.2711864406779661</v>
      </c>
      <c r="Q462" s="228">
        <f t="shared" si="217"/>
        <v>0.43620501635768816</v>
      </c>
      <c r="R462" s="228">
        <f t="shared" si="218"/>
        <v>0.23529411764705882</v>
      </c>
    </row>
    <row r="463" spans="1:18">
      <c r="A463" s="244" t="s">
        <v>607</v>
      </c>
      <c r="B463" s="253" t="s">
        <v>179</v>
      </c>
      <c r="C463" s="84">
        <v>8</v>
      </c>
      <c r="D463" s="84">
        <v>7</v>
      </c>
      <c r="E463" s="226"/>
      <c r="F463" s="246">
        <v>241</v>
      </c>
      <c r="G463" s="246">
        <v>603</v>
      </c>
      <c r="H463" s="246">
        <v>1</v>
      </c>
      <c r="I463" s="246">
        <v>241</v>
      </c>
      <c r="J463" s="246">
        <v>2329</v>
      </c>
      <c r="K463" s="246">
        <v>530</v>
      </c>
      <c r="L463" s="246">
        <v>2571</v>
      </c>
      <c r="M463" s="246">
        <v>1374</v>
      </c>
      <c r="N463" s="180"/>
      <c r="O463" s="247">
        <f t="shared" si="215"/>
        <v>0.45676380004738215</v>
      </c>
      <c r="P463" s="247">
        <f t="shared" si="216"/>
        <v>4.7421458209839949E-3</v>
      </c>
      <c r="Q463" s="247">
        <f t="shared" si="217"/>
        <v>5.0221024258760112</v>
      </c>
      <c r="R463" s="247">
        <f t="shared" si="218"/>
        <v>2.1384903306300687</v>
      </c>
    </row>
    <row r="464" spans="1:18">
      <c r="A464" s="244"/>
      <c r="B464" s="245"/>
      <c r="C464" s="226"/>
      <c r="D464" s="226"/>
      <c r="E464" s="226"/>
      <c r="F464" s="241">
        <f t="shared" ref="F464:M464" si="219">SUM(F445:F463)</f>
        <v>8901</v>
      </c>
      <c r="G464" s="241">
        <f t="shared" si="219"/>
        <v>64150</v>
      </c>
      <c r="H464" s="241">
        <f t="shared" si="219"/>
        <v>2690</v>
      </c>
      <c r="I464" s="241">
        <f t="shared" si="219"/>
        <v>30610</v>
      </c>
      <c r="J464" s="241">
        <f t="shared" si="219"/>
        <v>61987</v>
      </c>
      <c r="K464" s="241">
        <f t="shared" si="219"/>
        <v>67220</v>
      </c>
      <c r="L464" s="241">
        <f t="shared" si="219"/>
        <v>73578</v>
      </c>
      <c r="M464" s="241">
        <f t="shared" si="219"/>
        <v>161980</v>
      </c>
      <c r="N464" s="180"/>
      <c r="O464" s="228">
        <f>F464/G464*C463/D463</f>
        <v>0.15857476895668635</v>
      </c>
      <c r="P464" s="228">
        <f>H464/I464*C463/D463</f>
        <v>0.10043403182900079</v>
      </c>
      <c r="Q464" s="228">
        <f>J464/K464*C463/D463</f>
        <v>1.0538870234199005</v>
      </c>
      <c r="R464" s="228">
        <f>L464/M464*C463/D463</f>
        <v>0.51913287354699877</v>
      </c>
    </row>
    <row r="465" spans="1:18">
      <c r="A465" s="244"/>
      <c r="B465" s="245"/>
      <c r="C465" s="226"/>
      <c r="D465" s="226"/>
      <c r="E465" s="226"/>
      <c r="F465" s="264"/>
      <c r="G465" s="264"/>
      <c r="H465" s="98"/>
      <c r="I465" s="98"/>
      <c r="J465" s="98"/>
      <c r="K465" s="98"/>
      <c r="L465" s="98"/>
      <c r="M465" s="98"/>
      <c r="N465" s="180"/>
      <c r="O465" s="228"/>
      <c r="P465" s="228"/>
      <c r="Q465" s="228"/>
      <c r="R465" s="228"/>
    </row>
    <row r="466" spans="1:18">
      <c r="A466" s="244" t="s">
        <v>181</v>
      </c>
      <c r="B466" s="245" t="s">
        <v>181</v>
      </c>
      <c r="C466" s="84">
        <v>8</v>
      </c>
      <c r="D466" s="84">
        <v>5</v>
      </c>
      <c r="E466" s="226"/>
      <c r="F466" s="217">
        <v>5249</v>
      </c>
      <c r="G466" s="217">
        <v>10873</v>
      </c>
      <c r="H466" s="217">
        <v>1881</v>
      </c>
      <c r="I466" s="217">
        <v>5460</v>
      </c>
      <c r="J466" s="217">
        <v>19799</v>
      </c>
      <c r="K466" s="217">
        <v>12536</v>
      </c>
      <c r="L466" s="217">
        <v>26929</v>
      </c>
      <c r="M466" s="217">
        <v>28869</v>
      </c>
      <c r="N466" s="227"/>
      <c r="O466" s="228">
        <f>F466/G466*C466/D466</f>
        <v>0.77240871884484508</v>
      </c>
      <c r="P466" s="228">
        <f>H466/I466*C466/D466</f>
        <v>0.55120879120879118</v>
      </c>
      <c r="Q466" s="228">
        <f>J466/K466*C466/D466</f>
        <v>2.5269942565411614</v>
      </c>
      <c r="R466" s="228">
        <f>L466/M466*C466/D466</f>
        <v>1.4924798226471301</v>
      </c>
    </row>
    <row r="467" spans="1:18">
      <c r="A467" s="224"/>
      <c r="B467" s="225"/>
      <c r="C467" s="226"/>
      <c r="D467" s="226"/>
      <c r="E467" s="226"/>
      <c r="F467" s="249"/>
      <c r="G467" s="249"/>
      <c r="H467" s="250"/>
      <c r="I467" s="250"/>
      <c r="J467" s="250"/>
      <c r="K467" s="272"/>
      <c r="L467" s="273"/>
      <c r="M467" s="273"/>
      <c r="N467" s="227"/>
      <c r="O467" s="228"/>
      <c r="P467" s="228"/>
      <c r="Q467" s="228"/>
      <c r="R467" s="228"/>
    </row>
    <row r="468" spans="1:18">
      <c r="A468" s="224" t="s">
        <v>608</v>
      </c>
      <c r="B468" s="225" t="s">
        <v>182</v>
      </c>
      <c r="C468" s="84">
        <v>8</v>
      </c>
      <c r="D468" s="84">
        <v>4</v>
      </c>
      <c r="E468" s="226"/>
      <c r="F468" s="217">
        <v>0</v>
      </c>
      <c r="G468" s="217">
        <v>169</v>
      </c>
      <c r="H468" s="217">
        <v>1</v>
      </c>
      <c r="I468" s="217">
        <v>64</v>
      </c>
      <c r="J468" s="217">
        <v>17</v>
      </c>
      <c r="K468" s="217">
        <v>192</v>
      </c>
      <c r="L468" s="217">
        <v>18</v>
      </c>
      <c r="M468" s="217">
        <v>425</v>
      </c>
      <c r="N468" s="227"/>
      <c r="O468" s="228">
        <f t="shared" ref="O468:O475" si="220">F468/G468*C468/D468</f>
        <v>0</v>
      </c>
      <c r="P468" s="228">
        <f t="shared" ref="P468:P475" si="221">H468/I468*C468/D468</f>
        <v>3.125E-2</v>
      </c>
      <c r="Q468" s="228">
        <f t="shared" ref="Q468:Q475" si="222">J468/K468*C468/D468</f>
        <v>0.17708333333333334</v>
      </c>
      <c r="R468" s="228">
        <f t="shared" ref="R468:R475" si="223">L468/M468*C468/D468</f>
        <v>8.4705882352941173E-2</v>
      </c>
    </row>
    <row r="469" spans="1:18">
      <c r="A469" s="224" t="s">
        <v>609</v>
      </c>
      <c r="B469" s="225" t="s">
        <v>182</v>
      </c>
      <c r="C469" s="84">
        <v>8</v>
      </c>
      <c r="D469" s="84">
        <v>4</v>
      </c>
      <c r="E469" s="226"/>
      <c r="F469" s="217">
        <v>0</v>
      </c>
      <c r="G469" s="217">
        <v>1778</v>
      </c>
      <c r="H469" s="217">
        <v>0</v>
      </c>
      <c r="I469" s="217">
        <v>957</v>
      </c>
      <c r="J469" s="217">
        <v>1239</v>
      </c>
      <c r="K469" s="217">
        <v>2421</v>
      </c>
      <c r="L469" s="217">
        <v>1239</v>
      </c>
      <c r="M469" s="217">
        <v>5156</v>
      </c>
      <c r="N469" s="227"/>
      <c r="O469" s="228">
        <f t="shared" si="220"/>
        <v>0</v>
      </c>
      <c r="P469" s="228">
        <f t="shared" si="221"/>
        <v>0</v>
      </c>
      <c r="Q469" s="228">
        <f t="shared" si="222"/>
        <v>1.0235439900867409</v>
      </c>
      <c r="R469" s="228">
        <f t="shared" si="223"/>
        <v>0.48060512024825447</v>
      </c>
    </row>
    <row r="470" spans="1:18">
      <c r="A470" s="224" t="s">
        <v>610</v>
      </c>
      <c r="B470" s="225" t="s">
        <v>182</v>
      </c>
      <c r="C470" s="84">
        <v>8</v>
      </c>
      <c r="D470" s="84">
        <v>4</v>
      </c>
      <c r="E470" s="226"/>
      <c r="F470" s="217">
        <v>79</v>
      </c>
      <c r="G470" s="217">
        <v>828</v>
      </c>
      <c r="H470" s="217">
        <v>48</v>
      </c>
      <c r="I470" s="217">
        <v>333</v>
      </c>
      <c r="J470" s="217">
        <v>381</v>
      </c>
      <c r="K470" s="217">
        <v>770</v>
      </c>
      <c r="L470" s="217">
        <v>508</v>
      </c>
      <c r="M470" s="217">
        <v>1931</v>
      </c>
      <c r="N470" s="227"/>
      <c r="O470" s="228">
        <f t="shared" si="220"/>
        <v>0.19082125603864733</v>
      </c>
      <c r="P470" s="228">
        <f t="shared" si="221"/>
        <v>0.28828828828828829</v>
      </c>
      <c r="Q470" s="228">
        <f t="shared" si="222"/>
        <v>0.98961038961038961</v>
      </c>
      <c r="R470" s="228">
        <f t="shared" si="223"/>
        <v>0.52615225271879851</v>
      </c>
    </row>
    <row r="471" spans="1:18">
      <c r="A471" s="239" t="s">
        <v>611</v>
      </c>
      <c r="B471" s="243" t="s">
        <v>182</v>
      </c>
      <c r="C471" s="84">
        <v>8</v>
      </c>
      <c r="D471" s="84">
        <v>4</v>
      </c>
      <c r="E471" s="226"/>
      <c r="F471" s="217">
        <v>9</v>
      </c>
      <c r="G471" s="217">
        <v>1618</v>
      </c>
      <c r="H471" s="217">
        <v>186</v>
      </c>
      <c r="I471" s="217">
        <v>825</v>
      </c>
      <c r="J471" s="217">
        <v>990</v>
      </c>
      <c r="K471" s="217">
        <v>1958</v>
      </c>
      <c r="L471" s="217">
        <v>1185</v>
      </c>
      <c r="M471" s="217">
        <v>4401</v>
      </c>
      <c r="N471" s="227"/>
      <c r="O471" s="228">
        <f t="shared" si="220"/>
        <v>1.1124845488257108E-2</v>
      </c>
      <c r="P471" s="228">
        <f t="shared" si="221"/>
        <v>0.45090909090909093</v>
      </c>
      <c r="Q471" s="228">
        <f t="shared" si="222"/>
        <v>1.0112359550561798</v>
      </c>
      <c r="R471" s="228">
        <f t="shared" si="223"/>
        <v>0.53851397409679613</v>
      </c>
    </row>
    <row r="472" spans="1:18">
      <c r="A472" s="244" t="s">
        <v>612</v>
      </c>
      <c r="B472" s="245" t="s">
        <v>182</v>
      </c>
      <c r="C472" s="84">
        <v>8</v>
      </c>
      <c r="D472" s="84">
        <v>4</v>
      </c>
      <c r="E472" s="226"/>
      <c r="F472" s="217">
        <v>0</v>
      </c>
      <c r="G472" s="217">
        <v>523</v>
      </c>
      <c r="H472" s="217">
        <v>0</v>
      </c>
      <c r="I472" s="217">
        <v>231</v>
      </c>
      <c r="J472" s="241">
        <v>71</v>
      </c>
      <c r="K472" s="217">
        <v>726</v>
      </c>
      <c r="L472" s="217">
        <v>71</v>
      </c>
      <c r="M472" s="217">
        <v>1480</v>
      </c>
      <c r="N472" s="227"/>
      <c r="O472" s="228">
        <f t="shared" si="220"/>
        <v>0</v>
      </c>
      <c r="P472" s="228">
        <f t="shared" si="221"/>
        <v>0</v>
      </c>
      <c r="Q472" s="228">
        <f t="shared" si="222"/>
        <v>0.19559228650137742</v>
      </c>
      <c r="R472" s="228">
        <f t="shared" si="223"/>
        <v>9.5945945945945951E-2</v>
      </c>
    </row>
    <row r="473" spans="1:18">
      <c r="A473" s="244" t="s">
        <v>613</v>
      </c>
      <c r="B473" s="245" t="s">
        <v>182</v>
      </c>
      <c r="C473" s="84">
        <v>8</v>
      </c>
      <c r="D473" s="84">
        <v>4</v>
      </c>
      <c r="E473" s="226"/>
      <c r="F473" s="217">
        <v>387</v>
      </c>
      <c r="G473" s="217">
        <v>4223</v>
      </c>
      <c r="H473" s="217">
        <v>504</v>
      </c>
      <c r="I473" s="217">
        <v>1724</v>
      </c>
      <c r="J473" s="217">
        <v>960</v>
      </c>
      <c r="K473" s="217">
        <v>4220</v>
      </c>
      <c r="L473" s="217">
        <v>1851</v>
      </c>
      <c r="M473" s="217">
        <v>10167</v>
      </c>
      <c r="N473" s="227"/>
      <c r="O473" s="228">
        <f t="shared" si="220"/>
        <v>0.18328202699502724</v>
      </c>
      <c r="P473" s="228">
        <f t="shared" si="221"/>
        <v>0.58468677494199539</v>
      </c>
      <c r="Q473" s="228">
        <f t="shared" si="222"/>
        <v>0.45497630331753552</v>
      </c>
      <c r="R473" s="228">
        <f t="shared" si="223"/>
        <v>0.36411920920625551</v>
      </c>
    </row>
    <row r="474" spans="1:18">
      <c r="A474" s="244" t="s">
        <v>614</v>
      </c>
      <c r="B474" s="245" t="s">
        <v>182</v>
      </c>
      <c r="C474" s="84">
        <v>8</v>
      </c>
      <c r="D474" s="84">
        <v>4</v>
      </c>
      <c r="E474" s="226"/>
      <c r="F474" s="217">
        <v>290</v>
      </c>
      <c r="G474" s="217">
        <v>5161</v>
      </c>
      <c r="H474" s="217">
        <v>584</v>
      </c>
      <c r="I474" s="217">
        <v>2103</v>
      </c>
      <c r="J474" s="217">
        <v>418</v>
      </c>
      <c r="K474" s="217">
        <v>4560</v>
      </c>
      <c r="L474" s="217">
        <v>1292</v>
      </c>
      <c r="M474" s="217">
        <v>11824</v>
      </c>
      <c r="N474" s="227"/>
      <c r="O474" s="228">
        <f t="shared" si="220"/>
        <v>0.11238132144933152</v>
      </c>
      <c r="P474" s="228">
        <f t="shared" si="221"/>
        <v>0.55539705183071797</v>
      </c>
      <c r="Q474" s="228">
        <f t="shared" si="222"/>
        <v>0.18333333333333332</v>
      </c>
      <c r="R474" s="228">
        <f t="shared" si="223"/>
        <v>0.21853856562922869</v>
      </c>
    </row>
    <row r="475" spans="1:18">
      <c r="A475" s="244" t="s">
        <v>615</v>
      </c>
      <c r="B475" s="245" t="s">
        <v>182</v>
      </c>
      <c r="C475" s="84">
        <v>8</v>
      </c>
      <c r="D475" s="84">
        <v>4</v>
      </c>
      <c r="E475" s="226"/>
      <c r="F475" s="246">
        <v>0</v>
      </c>
      <c r="G475" s="246">
        <v>1685</v>
      </c>
      <c r="H475" s="246">
        <v>52</v>
      </c>
      <c r="I475" s="246">
        <v>828</v>
      </c>
      <c r="J475" s="246">
        <v>3198</v>
      </c>
      <c r="K475" s="246">
        <v>2463</v>
      </c>
      <c r="L475" s="246">
        <v>3250</v>
      </c>
      <c r="M475" s="246">
        <v>4976</v>
      </c>
      <c r="N475" s="227"/>
      <c r="O475" s="247">
        <f t="shared" si="220"/>
        <v>0</v>
      </c>
      <c r="P475" s="247">
        <f t="shared" si="221"/>
        <v>0.12560386473429952</v>
      </c>
      <c r="Q475" s="247">
        <f t="shared" si="222"/>
        <v>2.5968331303288674</v>
      </c>
      <c r="R475" s="247">
        <f t="shared" si="223"/>
        <v>1.3062700964630225</v>
      </c>
    </row>
    <row r="476" spans="1:18">
      <c r="A476" s="239"/>
      <c r="B476" s="243"/>
      <c r="C476" s="226"/>
      <c r="D476" s="226"/>
      <c r="E476" s="226"/>
      <c r="F476" s="241">
        <f t="shared" ref="F476:M476" si="224">SUM(F468:F475)</f>
        <v>765</v>
      </c>
      <c r="G476" s="241">
        <f t="shared" si="224"/>
        <v>15985</v>
      </c>
      <c r="H476" s="241">
        <f t="shared" si="224"/>
        <v>1375</v>
      </c>
      <c r="I476" s="241">
        <f t="shared" si="224"/>
        <v>7065</v>
      </c>
      <c r="J476" s="241">
        <f t="shared" si="224"/>
        <v>7274</v>
      </c>
      <c r="K476" s="241">
        <f t="shared" si="224"/>
        <v>17310</v>
      </c>
      <c r="L476" s="241">
        <f t="shared" si="224"/>
        <v>9414</v>
      </c>
      <c r="M476" s="241">
        <f t="shared" si="224"/>
        <v>40360</v>
      </c>
      <c r="N476" s="227"/>
      <c r="O476" s="228">
        <f>F476/G476*C475/D475</f>
        <v>9.5714732561776664E-2</v>
      </c>
      <c r="P476" s="228">
        <f>H476/I476*C475/D475</f>
        <v>0.38924274593064401</v>
      </c>
      <c r="Q476" s="228">
        <f>J476/K476*C475/D475</f>
        <v>0.84043905257076834</v>
      </c>
      <c r="R476" s="228">
        <f>L476/M476*C475/D475</f>
        <v>0.46650148662041624</v>
      </c>
    </row>
    <row r="477" spans="1:18">
      <c r="A477" s="239"/>
      <c r="B477" s="243"/>
      <c r="C477" s="226"/>
      <c r="D477" s="226"/>
      <c r="E477" s="226"/>
      <c r="F477" s="264"/>
      <c r="G477" s="264"/>
      <c r="H477" s="98"/>
      <c r="I477" s="98"/>
      <c r="J477" s="98"/>
      <c r="K477" s="98"/>
      <c r="L477" s="98"/>
      <c r="M477" s="98"/>
      <c r="N477" s="180"/>
      <c r="O477" s="228"/>
      <c r="P477" s="228"/>
      <c r="Q477" s="228"/>
      <c r="R477" s="228"/>
    </row>
    <row r="478" spans="1:18">
      <c r="A478" s="239" t="s">
        <v>616</v>
      </c>
      <c r="B478" s="243" t="s">
        <v>183</v>
      </c>
      <c r="C478" s="84">
        <v>5</v>
      </c>
      <c r="D478" s="84">
        <v>5</v>
      </c>
      <c r="E478" s="226"/>
      <c r="F478" s="274">
        <v>37</v>
      </c>
      <c r="G478" s="274">
        <v>98</v>
      </c>
      <c r="H478" s="274">
        <v>0</v>
      </c>
      <c r="I478" s="274">
        <v>43</v>
      </c>
      <c r="J478" s="274">
        <v>108</v>
      </c>
      <c r="K478" s="274">
        <v>101</v>
      </c>
      <c r="L478" s="274">
        <v>145</v>
      </c>
      <c r="M478" s="274">
        <v>242</v>
      </c>
      <c r="N478" s="180"/>
      <c r="O478" s="228">
        <f t="shared" ref="O478:O479" si="225">F478/G478*C478/D478</f>
        <v>0.37755102040816324</v>
      </c>
      <c r="P478" s="228">
        <f t="shared" ref="P478:P479" si="226">H478/I478*C478/D478</f>
        <v>0</v>
      </c>
      <c r="Q478" s="228">
        <f t="shared" ref="Q478:Q485" si="227">J478/K478*C478/D478</f>
        <v>1.0693069306930694</v>
      </c>
      <c r="R478" s="228">
        <f t="shared" ref="R478:R479" si="228">L478/M478*C478/D478</f>
        <v>0.59917355371900827</v>
      </c>
    </row>
    <row r="479" spans="1:18">
      <c r="A479" s="239" t="s">
        <v>617</v>
      </c>
      <c r="B479" s="243" t="s">
        <v>183</v>
      </c>
      <c r="C479" s="84">
        <v>5</v>
      </c>
      <c r="D479" s="84">
        <v>5</v>
      </c>
      <c r="E479" s="226"/>
      <c r="F479" s="274">
        <v>76</v>
      </c>
      <c r="G479" s="274">
        <v>160</v>
      </c>
      <c r="H479" s="274">
        <v>174</v>
      </c>
      <c r="I479" s="274">
        <v>69</v>
      </c>
      <c r="J479" s="274">
        <v>308</v>
      </c>
      <c r="K479" s="274">
        <v>164</v>
      </c>
      <c r="L479" s="274">
        <v>558</v>
      </c>
      <c r="M479" s="274">
        <v>393</v>
      </c>
      <c r="N479" s="180"/>
      <c r="O479" s="228">
        <f t="shared" si="225"/>
        <v>0.47499999999999998</v>
      </c>
      <c r="P479" s="228">
        <f t="shared" si="226"/>
        <v>2.5217391304347827</v>
      </c>
      <c r="Q479" s="228">
        <f t="shared" si="227"/>
        <v>1.878048780487805</v>
      </c>
      <c r="R479" s="228">
        <f t="shared" si="228"/>
        <v>1.4198473282442747</v>
      </c>
    </row>
    <row r="480" spans="1:18">
      <c r="A480" s="275" t="s">
        <v>618</v>
      </c>
      <c r="B480" s="243" t="s">
        <v>183</v>
      </c>
      <c r="C480" s="276">
        <v>8</v>
      </c>
      <c r="D480" s="276">
        <v>6</v>
      </c>
      <c r="E480" s="180"/>
      <c r="F480" s="274">
        <v>14</v>
      </c>
      <c r="G480" s="274">
        <v>67</v>
      </c>
      <c r="H480" s="274">
        <v>18</v>
      </c>
      <c r="I480" s="274">
        <v>29</v>
      </c>
      <c r="J480" s="274">
        <v>127</v>
      </c>
      <c r="K480" s="274">
        <v>69</v>
      </c>
      <c r="L480" s="274">
        <v>159</v>
      </c>
      <c r="M480" s="274">
        <v>165</v>
      </c>
      <c r="N480" s="180"/>
      <c r="O480" s="228">
        <v>0.17910447761194029</v>
      </c>
      <c r="P480" s="228">
        <v>0</v>
      </c>
      <c r="Q480" s="228">
        <f t="shared" si="227"/>
        <v>2.4541062801932365</v>
      </c>
      <c r="R480" s="228">
        <v>0.92121212121212126</v>
      </c>
    </row>
    <row r="481" spans="1:18">
      <c r="A481" s="224" t="s">
        <v>619</v>
      </c>
      <c r="B481" s="251" t="s">
        <v>183</v>
      </c>
      <c r="C481" s="84">
        <v>5</v>
      </c>
      <c r="D481" s="84">
        <v>5</v>
      </c>
      <c r="E481" s="226"/>
      <c r="F481" s="274">
        <v>0</v>
      </c>
      <c r="G481" s="274">
        <v>63</v>
      </c>
      <c r="H481" s="274">
        <v>3</v>
      </c>
      <c r="I481" s="274">
        <v>27</v>
      </c>
      <c r="J481" s="274">
        <v>63</v>
      </c>
      <c r="K481" s="274">
        <v>65</v>
      </c>
      <c r="L481" s="274">
        <v>66</v>
      </c>
      <c r="M481" s="274">
        <v>155</v>
      </c>
      <c r="N481" s="180"/>
      <c r="O481" s="228">
        <f t="shared" ref="O481:O485" si="229">F481/G481*C481/D481</f>
        <v>0</v>
      </c>
      <c r="P481" s="228">
        <f t="shared" ref="P481:P485" si="230">H481/I481*C481/D481</f>
        <v>0.11111111111111112</v>
      </c>
      <c r="Q481" s="228">
        <f t="shared" si="227"/>
        <v>0.96923076923076912</v>
      </c>
      <c r="R481" s="228">
        <f t="shared" ref="R481:R485" si="231">L481/M481*C481/D481</f>
        <v>0.4258064516129032</v>
      </c>
    </row>
    <row r="482" spans="1:18">
      <c r="A482" s="224" t="s">
        <v>620</v>
      </c>
      <c r="B482" s="251" t="s">
        <v>183</v>
      </c>
      <c r="C482" s="84">
        <v>5</v>
      </c>
      <c r="D482" s="84">
        <v>5</v>
      </c>
      <c r="E482" s="226"/>
      <c r="F482" s="274">
        <v>299</v>
      </c>
      <c r="G482" s="274">
        <v>200</v>
      </c>
      <c r="H482" s="274">
        <v>222</v>
      </c>
      <c r="I482" s="274">
        <v>87</v>
      </c>
      <c r="J482" s="274">
        <v>201</v>
      </c>
      <c r="K482" s="274">
        <v>206</v>
      </c>
      <c r="L482" s="274">
        <v>722</v>
      </c>
      <c r="M482" s="274">
        <v>493</v>
      </c>
      <c r="N482" s="180"/>
      <c r="O482" s="228">
        <f t="shared" si="229"/>
        <v>1.4950000000000001</v>
      </c>
      <c r="P482" s="228">
        <f t="shared" si="230"/>
        <v>2.5517241379310347</v>
      </c>
      <c r="Q482" s="228">
        <f t="shared" si="227"/>
        <v>0.97572815533980584</v>
      </c>
      <c r="R482" s="228">
        <f t="shared" si="231"/>
        <v>1.4645030425963488</v>
      </c>
    </row>
    <row r="483" spans="1:18">
      <c r="A483" s="239" t="s">
        <v>621</v>
      </c>
      <c r="B483" s="252" t="s">
        <v>183</v>
      </c>
      <c r="C483" s="84">
        <v>5</v>
      </c>
      <c r="D483" s="84">
        <v>5</v>
      </c>
      <c r="E483" s="226"/>
      <c r="F483" s="274">
        <v>12</v>
      </c>
      <c r="G483" s="274">
        <v>62</v>
      </c>
      <c r="H483" s="274">
        <v>0</v>
      </c>
      <c r="I483" s="274">
        <v>27</v>
      </c>
      <c r="J483" s="274">
        <v>289</v>
      </c>
      <c r="K483" s="274">
        <v>64</v>
      </c>
      <c r="L483" s="274">
        <v>301</v>
      </c>
      <c r="M483" s="274">
        <v>153</v>
      </c>
      <c r="N483" s="180"/>
      <c r="O483" s="228">
        <f t="shared" si="229"/>
        <v>0.19354838709677419</v>
      </c>
      <c r="P483" s="228">
        <f t="shared" si="230"/>
        <v>0</v>
      </c>
      <c r="Q483" s="228">
        <f t="shared" si="227"/>
        <v>4.515625</v>
      </c>
      <c r="R483" s="228">
        <f t="shared" si="231"/>
        <v>1.9673202614379082</v>
      </c>
    </row>
    <row r="484" spans="1:18">
      <c r="A484" s="244" t="s">
        <v>183</v>
      </c>
      <c r="B484" s="245" t="s">
        <v>183</v>
      </c>
      <c r="C484" s="84">
        <v>5</v>
      </c>
      <c r="D484" s="84">
        <v>5</v>
      </c>
      <c r="E484" s="226"/>
      <c r="F484" s="274">
        <v>203</v>
      </c>
      <c r="G484" s="274">
        <v>464</v>
      </c>
      <c r="H484" s="274">
        <v>21</v>
      </c>
      <c r="I484" s="274">
        <v>201</v>
      </c>
      <c r="J484" s="274">
        <v>1332</v>
      </c>
      <c r="K484" s="274">
        <v>478</v>
      </c>
      <c r="L484" s="274">
        <v>1556</v>
      </c>
      <c r="M484" s="274">
        <v>1143</v>
      </c>
      <c r="N484" s="180"/>
      <c r="O484" s="228">
        <f t="shared" si="229"/>
        <v>0.4375</v>
      </c>
      <c r="P484" s="228">
        <f t="shared" si="230"/>
        <v>0.1044776119402985</v>
      </c>
      <c r="Q484" s="228">
        <f t="shared" si="227"/>
        <v>2.7866108786610879</v>
      </c>
      <c r="R484" s="228">
        <f t="shared" si="231"/>
        <v>1.3613298337707787</v>
      </c>
    </row>
    <row r="485" spans="1:18">
      <c r="A485" s="244" t="s">
        <v>622</v>
      </c>
      <c r="B485" s="245" t="s">
        <v>183</v>
      </c>
      <c r="C485" s="84">
        <v>5</v>
      </c>
      <c r="D485" s="84">
        <v>5</v>
      </c>
      <c r="E485" s="226"/>
      <c r="F485" s="277">
        <v>174</v>
      </c>
      <c r="G485" s="277">
        <v>547</v>
      </c>
      <c r="H485" s="277">
        <v>176</v>
      </c>
      <c r="I485" s="277">
        <v>237</v>
      </c>
      <c r="J485" s="277">
        <v>1846</v>
      </c>
      <c r="K485" s="277">
        <v>563</v>
      </c>
      <c r="L485" s="277">
        <v>2196</v>
      </c>
      <c r="M485" s="277">
        <v>1347</v>
      </c>
      <c r="N485" s="180"/>
      <c r="O485" s="247">
        <f t="shared" si="229"/>
        <v>0.31809872029250458</v>
      </c>
      <c r="P485" s="247">
        <f t="shared" si="230"/>
        <v>0.7426160337552743</v>
      </c>
      <c r="Q485" s="247">
        <f t="shared" si="227"/>
        <v>3.2788632326820606</v>
      </c>
      <c r="R485" s="247">
        <f t="shared" si="231"/>
        <v>1.6302895322939865</v>
      </c>
    </row>
    <row r="486" spans="1:18">
      <c r="A486" s="224"/>
      <c r="B486" s="225"/>
      <c r="C486" s="226"/>
      <c r="D486" s="226"/>
      <c r="E486" s="226"/>
      <c r="F486" s="278">
        <f t="shared" ref="F486:M486" si="232">SUM(F478:F485)</f>
        <v>815</v>
      </c>
      <c r="G486" s="278">
        <f t="shared" si="232"/>
        <v>1661</v>
      </c>
      <c r="H486" s="278">
        <f t="shared" si="232"/>
        <v>614</v>
      </c>
      <c r="I486" s="278">
        <f t="shared" si="232"/>
        <v>720</v>
      </c>
      <c r="J486" s="278">
        <f t="shared" si="232"/>
        <v>4274</v>
      </c>
      <c r="K486" s="278">
        <f t="shared" si="232"/>
        <v>1710</v>
      </c>
      <c r="L486" s="278">
        <f t="shared" si="232"/>
        <v>5703</v>
      </c>
      <c r="M486" s="278">
        <f t="shared" si="232"/>
        <v>4091</v>
      </c>
      <c r="N486" s="180"/>
      <c r="O486" s="228">
        <f>F486/G486*C485/D485</f>
        <v>0.49066827212522579</v>
      </c>
      <c r="P486" s="228">
        <f>H486/I486*C485/D485</f>
        <v>0.85277777777777763</v>
      </c>
      <c r="Q486" s="228">
        <f>J486/K486*C485/D485</f>
        <v>2.4994152046783626</v>
      </c>
      <c r="R486" s="228">
        <f>L486/M486*C485/D485</f>
        <v>1.39403568809582</v>
      </c>
    </row>
    <row r="487" spans="1:18">
      <c r="A487" s="224"/>
      <c r="B487" s="225"/>
      <c r="C487" s="226"/>
      <c r="D487" s="226"/>
      <c r="E487" s="226"/>
      <c r="F487" s="264"/>
      <c r="G487" s="264"/>
      <c r="H487" s="98"/>
      <c r="I487" s="98"/>
      <c r="J487" s="98"/>
      <c r="K487" s="98"/>
      <c r="L487" s="98"/>
      <c r="M487" s="98"/>
      <c r="N487" s="180"/>
      <c r="O487" s="228"/>
      <c r="P487" s="228"/>
      <c r="Q487" s="228"/>
      <c r="R487" s="228"/>
    </row>
    <row r="488" spans="1:18">
      <c r="A488" s="224" t="s">
        <v>623</v>
      </c>
      <c r="B488" s="225" t="s">
        <v>184</v>
      </c>
      <c r="C488" s="84">
        <v>8</v>
      </c>
      <c r="D488" s="84">
        <v>5</v>
      </c>
      <c r="E488" s="226"/>
      <c r="F488" s="217">
        <v>50</v>
      </c>
      <c r="G488" s="217">
        <v>61</v>
      </c>
      <c r="H488" s="217">
        <v>3</v>
      </c>
      <c r="I488" s="217">
        <v>29</v>
      </c>
      <c r="J488" s="217">
        <v>78</v>
      </c>
      <c r="K488" s="217">
        <v>3</v>
      </c>
      <c r="L488" s="217">
        <v>131</v>
      </c>
      <c r="M488" s="217">
        <v>93</v>
      </c>
      <c r="N488" s="180"/>
      <c r="O488" s="228">
        <f t="shared" ref="O488:O508" si="233">F488/G488*C488/D488</f>
        <v>1.3114754098360657</v>
      </c>
      <c r="P488" s="228">
        <f t="shared" ref="P488:P508" si="234">H488/I488*C488/D488</f>
        <v>0.16551724137931034</v>
      </c>
      <c r="Q488" s="228">
        <f t="shared" ref="Q488:Q508" si="235">J488/K488*C488/D488</f>
        <v>41.6</v>
      </c>
      <c r="R488" s="228">
        <f t="shared" ref="R488:R508" si="236">L488/M488*C488/D488</f>
        <v>2.2537634408602152</v>
      </c>
    </row>
    <row r="489" spans="1:18">
      <c r="A489" s="239" t="s">
        <v>624</v>
      </c>
      <c r="B489" s="243" t="s">
        <v>184</v>
      </c>
      <c r="C489" s="84">
        <v>8</v>
      </c>
      <c r="D489" s="84">
        <v>5</v>
      </c>
      <c r="E489" s="226"/>
      <c r="F489" s="217">
        <v>0</v>
      </c>
      <c r="G489" s="217">
        <v>179</v>
      </c>
      <c r="H489" s="217">
        <v>25</v>
      </c>
      <c r="I489" s="217">
        <v>67</v>
      </c>
      <c r="J489" s="217">
        <v>147</v>
      </c>
      <c r="K489" s="217">
        <v>222</v>
      </c>
      <c r="L489" s="217">
        <v>172</v>
      </c>
      <c r="M489" s="217">
        <v>468</v>
      </c>
      <c r="N489" s="180"/>
      <c r="O489" s="228">
        <f t="shared" si="233"/>
        <v>0</v>
      </c>
      <c r="P489" s="228">
        <f t="shared" si="234"/>
        <v>0.59701492537313439</v>
      </c>
      <c r="Q489" s="228">
        <f t="shared" si="235"/>
        <v>1.0594594594594595</v>
      </c>
      <c r="R489" s="228">
        <f t="shared" si="236"/>
        <v>0.58803418803418805</v>
      </c>
    </row>
    <row r="490" spans="1:18">
      <c r="A490" s="239" t="s">
        <v>625</v>
      </c>
      <c r="B490" s="243" t="s">
        <v>184</v>
      </c>
      <c r="C490" s="84">
        <v>8</v>
      </c>
      <c r="D490" s="84">
        <v>5</v>
      </c>
      <c r="E490" s="226"/>
      <c r="F490" s="217">
        <v>0</v>
      </c>
      <c r="G490" s="217">
        <v>38</v>
      </c>
      <c r="H490" s="217">
        <v>19</v>
      </c>
      <c r="I490" s="217">
        <v>15</v>
      </c>
      <c r="J490" s="217">
        <v>55</v>
      </c>
      <c r="K490" s="217">
        <v>30</v>
      </c>
      <c r="L490" s="217">
        <v>74</v>
      </c>
      <c r="M490" s="217">
        <v>83</v>
      </c>
      <c r="N490" s="180"/>
      <c r="O490" s="228">
        <f t="shared" si="233"/>
        <v>0</v>
      </c>
      <c r="P490" s="228">
        <f t="shared" si="234"/>
        <v>2.0266666666666664</v>
      </c>
      <c r="Q490" s="228">
        <f t="shared" si="235"/>
        <v>2.9333333333333331</v>
      </c>
      <c r="R490" s="228">
        <f t="shared" si="236"/>
        <v>1.4265060240963856</v>
      </c>
    </row>
    <row r="491" spans="1:18">
      <c r="A491" s="239" t="s">
        <v>626</v>
      </c>
      <c r="B491" s="243" t="s">
        <v>184</v>
      </c>
      <c r="C491" s="84">
        <v>8</v>
      </c>
      <c r="D491" s="84">
        <v>5</v>
      </c>
      <c r="E491" s="226"/>
      <c r="F491" s="217">
        <v>0</v>
      </c>
      <c r="G491" s="217">
        <v>420</v>
      </c>
      <c r="H491" s="217">
        <v>32</v>
      </c>
      <c r="I491" s="217">
        <v>155</v>
      </c>
      <c r="J491" s="217">
        <v>432</v>
      </c>
      <c r="K491" s="217">
        <v>288</v>
      </c>
      <c r="L491" s="217">
        <v>464</v>
      </c>
      <c r="M491" s="217">
        <v>863</v>
      </c>
      <c r="N491" s="180"/>
      <c r="O491" s="228">
        <f t="shared" si="233"/>
        <v>0</v>
      </c>
      <c r="P491" s="228">
        <f t="shared" si="234"/>
        <v>0.33032258064516129</v>
      </c>
      <c r="Q491" s="228">
        <f t="shared" si="235"/>
        <v>2.4</v>
      </c>
      <c r="R491" s="228">
        <f t="shared" si="236"/>
        <v>0.86025492468134424</v>
      </c>
    </row>
    <row r="492" spans="1:18">
      <c r="A492" s="224" t="s">
        <v>627</v>
      </c>
      <c r="B492" s="225" t="s">
        <v>184</v>
      </c>
      <c r="C492" s="84">
        <v>8</v>
      </c>
      <c r="D492" s="84">
        <v>5</v>
      </c>
      <c r="E492" s="226"/>
      <c r="F492" s="217">
        <v>65</v>
      </c>
      <c r="G492" s="217">
        <v>28</v>
      </c>
      <c r="H492" s="217">
        <v>0</v>
      </c>
      <c r="I492" s="217">
        <v>9</v>
      </c>
      <c r="J492" s="217">
        <v>10</v>
      </c>
      <c r="K492" s="217">
        <v>22</v>
      </c>
      <c r="L492" s="217">
        <v>75</v>
      </c>
      <c r="M492" s="217">
        <v>59</v>
      </c>
      <c r="N492" s="180"/>
      <c r="O492" s="228">
        <f t="shared" si="233"/>
        <v>3.7142857142857144</v>
      </c>
      <c r="P492" s="228">
        <f t="shared" si="234"/>
        <v>0</v>
      </c>
      <c r="Q492" s="228">
        <f t="shared" si="235"/>
        <v>0.72727272727272729</v>
      </c>
      <c r="R492" s="228">
        <f t="shared" si="236"/>
        <v>2.0338983050847457</v>
      </c>
    </row>
    <row r="493" spans="1:18">
      <c r="A493" s="239" t="s">
        <v>628</v>
      </c>
      <c r="B493" s="243" t="s">
        <v>184</v>
      </c>
      <c r="C493" s="84">
        <v>8</v>
      </c>
      <c r="D493" s="84">
        <v>5</v>
      </c>
      <c r="E493" s="226"/>
      <c r="F493" s="217">
        <v>353</v>
      </c>
      <c r="G493" s="217">
        <v>588</v>
      </c>
      <c r="H493" s="217">
        <v>132</v>
      </c>
      <c r="I493" s="217">
        <v>221</v>
      </c>
      <c r="J493" s="217">
        <v>359</v>
      </c>
      <c r="K493" s="217">
        <v>541</v>
      </c>
      <c r="L493" s="217">
        <v>844</v>
      </c>
      <c r="M493" s="217">
        <v>1350</v>
      </c>
      <c r="N493" s="180"/>
      <c r="O493" s="228">
        <f t="shared" si="233"/>
        <v>0.96054421768707476</v>
      </c>
      <c r="P493" s="228">
        <f t="shared" si="234"/>
        <v>0.955656108597285</v>
      </c>
      <c r="Q493" s="228">
        <f t="shared" si="235"/>
        <v>1.0617375231053603</v>
      </c>
      <c r="R493" s="228">
        <f t="shared" si="236"/>
        <v>1.0002962962962962</v>
      </c>
    </row>
    <row r="494" spans="1:18">
      <c r="A494" s="239" t="s">
        <v>629</v>
      </c>
      <c r="B494" s="243" t="s">
        <v>184</v>
      </c>
      <c r="C494" s="84">
        <v>8</v>
      </c>
      <c r="D494" s="84">
        <v>5</v>
      </c>
      <c r="E494" s="226"/>
      <c r="F494" s="217">
        <v>54</v>
      </c>
      <c r="G494" s="217">
        <v>118</v>
      </c>
      <c r="H494" s="217">
        <v>35</v>
      </c>
      <c r="I494" s="217">
        <v>83</v>
      </c>
      <c r="J494" s="217">
        <v>6</v>
      </c>
      <c r="K494" s="217">
        <v>266</v>
      </c>
      <c r="L494" s="217">
        <v>95</v>
      </c>
      <c r="M494" s="217">
        <v>467</v>
      </c>
      <c r="N494" s="180"/>
      <c r="O494" s="228">
        <f t="shared" si="233"/>
        <v>0.73220338983050848</v>
      </c>
      <c r="P494" s="228">
        <f t="shared" si="234"/>
        <v>0.67469879518072295</v>
      </c>
      <c r="Q494" s="228">
        <f t="shared" si="235"/>
        <v>3.609022556390977E-2</v>
      </c>
      <c r="R494" s="228">
        <f t="shared" si="236"/>
        <v>0.32548179871520344</v>
      </c>
    </row>
    <row r="495" spans="1:18">
      <c r="A495" s="239" t="s">
        <v>630</v>
      </c>
      <c r="B495" s="243" t="s">
        <v>184</v>
      </c>
      <c r="C495" s="84">
        <v>8</v>
      </c>
      <c r="D495" s="84">
        <v>5</v>
      </c>
      <c r="E495" s="226"/>
      <c r="F495" s="217">
        <v>135</v>
      </c>
      <c r="G495" s="217">
        <v>235</v>
      </c>
      <c r="H495" s="217">
        <v>14</v>
      </c>
      <c r="I495" s="217">
        <v>76</v>
      </c>
      <c r="J495" s="217">
        <v>657</v>
      </c>
      <c r="K495" s="217">
        <v>119</v>
      </c>
      <c r="L495" s="217">
        <v>806</v>
      </c>
      <c r="M495" s="217">
        <v>430</v>
      </c>
      <c r="N495" s="180"/>
      <c r="O495" s="228">
        <f t="shared" si="233"/>
        <v>0.91914893617021287</v>
      </c>
      <c r="P495" s="228">
        <f t="shared" si="234"/>
        <v>0.29473684210526313</v>
      </c>
      <c r="Q495" s="228">
        <f t="shared" si="235"/>
        <v>8.8336134453781519</v>
      </c>
      <c r="R495" s="228">
        <f t="shared" si="236"/>
        <v>2.9990697674418607</v>
      </c>
    </row>
    <row r="496" spans="1:18">
      <c r="A496" s="239" t="s">
        <v>631</v>
      </c>
      <c r="B496" s="243" t="s">
        <v>184</v>
      </c>
      <c r="C496" s="84">
        <v>8</v>
      </c>
      <c r="D496" s="84">
        <v>5</v>
      </c>
      <c r="E496" s="226"/>
      <c r="F496" s="217">
        <v>55</v>
      </c>
      <c r="G496" s="217">
        <v>83</v>
      </c>
      <c r="H496" s="217">
        <v>24</v>
      </c>
      <c r="I496" s="217">
        <v>36</v>
      </c>
      <c r="J496" s="217">
        <v>52</v>
      </c>
      <c r="K496" s="217">
        <v>121</v>
      </c>
      <c r="L496" s="217">
        <v>131</v>
      </c>
      <c r="M496" s="217">
        <v>240</v>
      </c>
      <c r="N496" s="180"/>
      <c r="O496" s="228">
        <f t="shared" si="233"/>
        <v>1.0602409638554218</v>
      </c>
      <c r="P496" s="228">
        <f t="shared" si="234"/>
        <v>1.0666666666666667</v>
      </c>
      <c r="Q496" s="228">
        <f t="shared" si="235"/>
        <v>0.68760330578512396</v>
      </c>
      <c r="R496" s="228">
        <f t="shared" si="236"/>
        <v>0.87333333333333329</v>
      </c>
    </row>
    <row r="497" spans="1:18">
      <c r="A497" s="239" t="s">
        <v>632</v>
      </c>
      <c r="B497" s="243" t="s">
        <v>184</v>
      </c>
      <c r="C497" s="84">
        <v>8</v>
      </c>
      <c r="D497" s="84">
        <v>5</v>
      </c>
      <c r="E497" s="226"/>
      <c r="F497" s="217">
        <v>51</v>
      </c>
      <c r="G497" s="217">
        <v>49</v>
      </c>
      <c r="H497" s="217">
        <v>19</v>
      </c>
      <c r="I497" s="217">
        <v>21</v>
      </c>
      <c r="J497" s="217">
        <v>13</v>
      </c>
      <c r="K497" s="217">
        <v>21</v>
      </c>
      <c r="L497" s="217">
        <v>83</v>
      </c>
      <c r="M497" s="217">
        <v>91</v>
      </c>
      <c r="N497" s="180"/>
      <c r="O497" s="228">
        <f t="shared" si="233"/>
        <v>1.6653061224489796</v>
      </c>
      <c r="P497" s="228">
        <f t="shared" si="234"/>
        <v>1.4476190476190476</v>
      </c>
      <c r="Q497" s="228">
        <f t="shared" si="235"/>
        <v>0.99047619047619051</v>
      </c>
      <c r="R497" s="228">
        <f t="shared" si="236"/>
        <v>1.4593406593406593</v>
      </c>
    </row>
    <row r="498" spans="1:18">
      <c r="A498" s="239" t="s">
        <v>633</v>
      </c>
      <c r="B498" s="252" t="s">
        <v>184</v>
      </c>
      <c r="C498" s="84">
        <v>8</v>
      </c>
      <c r="D498" s="84">
        <v>5</v>
      </c>
      <c r="E498" s="226"/>
      <c r="F498" s="217">
        <v>202</v>
      </c>
      <c r="G498" s="217">
        <v>362</v>
      </c>
      <c r="H498" s="217">
        <v>11</v>
      </c>
      <c r="I498" s="217">
        <v>143</v>
      </c>
      <c r="J498" s="217">
        <v>947</v>
      </c>
      <c r="K498" s="217">
        <v>150</v>
      </c>
      <c r="L498" s="217">
        <v>1160</v>
      </c>
      <c r="M498" s="217">
        <v>655</v>
      </c>
      <c r="N498" s="180"/>
      <c r="O498" s="228">
        <f t="shared" si="233"/>
        <v>0.89281767955801106</v>
      </c>
      <c r="P498" s="228">
        <f t="shared" si="234"/>
        <v>0.12307692307692308</v>
      </c>
      <c r="Q498" s="228">
        <f t="shared" si="235"/>
        <v>10.101333333333333</v>
      </c>
      <c r="R498" s="228">
        <f t="shared" si="236"/>
        <v>2.833587786259542</v>
      </c>
    </row>
    <row r="499" spans="1:18">
      <c r="A499" s="224" t="s">
        <v>634</v>
      </c>
      <c r="B499" s="251" t="s">
        <v>184</v>
      </c>
      <c r="C499" s="84">
        <v>8</v>
      </c>
      <c r="D499" s="84">
        <v>5</v>
      </c>
      <c r="E499" s="226"/>
      <c r="F499" s="217">
        <v>10</v>
      </c>
      <c r="G499" s="217">
        <v>294</v>
      </c>
      <c r="H499" s="217">
        <v>4</v>
      </c>
      <c r="I499" s="217">
        <v>112</v>
      </c>
      <c r="J499" s="217">
        <v>7</v>
      </c>
      <c r="K499" s="217">
        <v>257</v>
      </c>
      <c r="L499" s="217">
        <v>21</v>
      </c>
      <c r="M499" s="217">
        <v>663</v>
      </c>
      <c r="N499" s="180"/>
      <c r="O499" s="228">
        <f t="shared" si="233"/>
        <v>5.4421768707482998E-2</v>
      </c>
      <c r="P499" s="228">
        <f t="shared" si="234"/>
        <v>5.7142857142857141E-2</v>
      </c>
      <c r="Q499" s="228">
        <f t="shared" si="235"/>
        <v>4.3579766536964978E-2</v>
      </c>
      <c r="R499" s="228">
        <f t="shared" si="236"/>
        <v>5.0678733031674209E-2</v>
      </c>
    </row>
    <row r="500" spans="1:18">
      <c r="A500" s="224" t="s">
        <v>635</v>
      </c>
      <c r="B500" s="251" t="s">
        <v>184</v>
      </c>
      <c r="C500" s="84">
        <v>8</v>
      </c>
      <c r="D500" s="84">
        <v>5</v>
      </c>
      <c r="E500" s="226"/>
      <c r="F500" s="217">
        <v>0</v>
      </c>
      <c r="G500" s="217">
        <v>189</v>
      </c>
      <c r="H500" s="217">
        <v>6</v>
      </c>
      <c r="I500" s="217">
        <v>70</v>
      </c>
      <c r="J500" s="217">
        <v>64</v>
      </c>
      <c r="K500" s="217">
        <v>154</v>
      </c>
      <c r="L500" s="217">
        <v>70</v>
      </c>
      <c r="M500" s="217">
        <v>413</v>
      </c>
      <c r="N500" s="180"/>
      <c r="O500" s="228">
        <f t="shared" si="233"/>
        <v>0</v>
      </c>
      <c r="P500" s="228">
        <f t="shared" si="234"/>
        <v>0.13714285714285715</v>
      </c>
      <c r="Q500" s="228">
        <f t="shared" si="235"/>
        <v>0.66493506493506493</v>
      </c>
      <c r="R500" s="228">
        <f t="shared" si="236"/>
        <v>0.2711864406779661</v>
      </c>
    </row>
    <row r="501" spans="1:18">
      <c r="A501" s="244" t="s">
        <v>636</v>
      </c>
      <c r="B501" s="245" t="s">
        <v>184</v>
      </c>
      <c r="C501" s="84">
        <v>8</v>
      </c>
      <c r="D501" s="84">
        <v>5</v>
      </c>
      <c r="E501" s="226"/>
      <c r="F501" s="217">
        <v>10</v>
      </c>
      <c r="G501" s="217">
        <v>36</v>
      </c>
      <c r="H501" s="217">
        <v>5</v>
      </c>
      <c r="I501" s="217">
        <v>15</v>
      </c>
      <c r="J501" s="217">
        <v>28</v>
      </c>
      <c r="K501" s="217">
        <v>13</v>
      </c>
      <c r="L501" s="217">
        <v>43</v>
      </c>
      <c r="M501" s="217">
        <v>64</v>
      </c>
      <c r="N501" s="180"/>
      <c r="O501" s="228">
        <f t="shared" si="233"/>
        <v>0.44444444444444448</v>
      </c>
      <c r="P501" s="228">
        <f t="shared" si="234"/>
        <v>0.53333333333333333</v>
      </c>
      <c r="Q501" s="228">
        <f t="shared" si="235"/>
        <v>3.4461538461538459</v>
      </c>
      <c r="R501" s="228">
        <f t="shared" si="236"/>
        <v>1.075</v>
      </c>
    </row>
    <row r="502" spans="1:18">
      <c r="A502" s="244" t="s">
        <v>637</v>
      </c>
      <c r="B502" s="245" t="s">
        <v>184</v>
      </c>
      <c r="C502" s="84">
        <v>8</v>
      </c>
      <c r="D502" s="84">
        <v>5</v>
      </c>
      <c r="E502" s="226"/>
      <c r="F502" s="217">
        <v>275</v>
      </c>
      <c r="G502" s="217">
        <v>1135</v>
      </c>
      <c r="H502" s="217">
        <v>0</v>
      </c>
      <c r="I502" s="217">
        <v>502</v>
      </c>
      <c r="J502" s="217">
        <v>1782</v>
      </c>
      <c r="K502" s="217">
        <v>1152</v>
      </c>
      <c r="L502" s="217">
        <v>2057</v>
      </c>
      <c r="M502" s="217">
        <v>2789</v>
      </c>
      <c r="N502" s="180"/>
      <c r="O502" s="228">
        <f t="shared" si="233"/>
        <v>0.38766519823788548</v>
      </c>
      <c r="P502" s="228">
        <f t="shared" si="234"/>
        <v>0</v>
      </c>
      <c r="Q502" s="228">
        <f t="shared" si="235"/>
        <v>2.4750000000000001</v>
      </c>
      <c r="R502" s="228">
        <f t="shared" si="236"/>
        <v>1.180064539261384</v>
      </c>
    </row>
    <row r="503" spans="1:18">
      <c r="A503" s="244" t="s">
        <v>638</v>
      </c>
      <c r="B503" s="245" t="s">
        <v>184</v>
      </c>
      <c r="C503" s="84">
        <v>8</v>
      </c>
      <c r="D503" s="84">
        <v>5</v>
      </c>
      <c r="E503" s="226"/>
      <c r="F503" s="217">
        <v>66</v>
      </c>
      <c r="G503" s="217">
        <v>519</v>
      </c>
      <c r="H503" s="217">
        <v>47</v>
      </c>
      <c r="I503" s="217">
        <v>205</v>
      </c>
      <c r="J503" s="217">
        <v>55</v>
      </c>
      <c r="K503" s="217">
        <v>431</v>
      </c>
      <c r="L503" s="217">
        <v>168</v>
      </c>
      <c r="M503" s="217">
        <v>1155</v>
      </c>
      <c r="N503" s="180"/>
      <c r="O503" s="228">
        <f t="shared" si="233"/>
        <v>0.20346820809248553</v>
      </c>
      <c r="P503" s="228">
        <f t="shared" si="234"/>
        <v>0.36682926829268292</v>
      </c>
      <c r="Q503" s="228">
        <f t="shared" si="235"/>
        <v>0.20417633410672856</v>
      </c>
      <c r="R503" s="228">
        <f t="shared" si="236"/>
        <v>0.23272727272727273</v>
      </c>
    </row>
    <row r="504" spans="1:18">
      <c r="A504" s="244" t="s">
        <v>639</v>
      </c>
      <c r="B504" s="245" t="s">
        <v>184</v>
      </c>
      <c r="C504" s="84">
        <v>8</v>
      </c>
      <c r="D504" s="84">
        <v>5</v>
      </c>
      <c r="E504" s="226"/>
      <c r="F504" s="217">
        <v>19</v>
      </c>
      <c r="G504" s="217">
        <v>302</v>
      </c>
      <c r="H504" s="217">
        <v>13</v>
      </c>
      <c r="I504" s="217">
        <v>111</v>
      </c>
      <c r="J504" s="217">
        <v>486</v>
      </c>
      <c r="K504" s="217">
        <v>183</v>
      </c>
      <c r="L504" s="217">
        <v>518</v>
      </c>
      <c r="M504" s="217">
        <v>596</v>
      </c>
      <c r="N504" s="180"/>
      <c r="O504" s="228">
        <f t="shared" si="233"/>
        <v>0.10066225165562914</v>
      </c>
      <c r="P504" s="228">
        <f t="shared" si="234"/>
        <v>0.18738738738738739</v>
      </c>
      <c r="Q504" s="228">
        <f t="shared" si="235"/>
        <v>4.249180327868852</v>
      </c>
      <c r="R504" s="228">
        <f t="shared" si="236"/>
        <v>1.3906040268456377</v>
      </c>
    </row>
    <row r="505" spans="1:18">
      <c r="A505" s="244" t="s">
        <v>184</v>
      </c>
      <c r="B505" s="245" t="s">
        <v>184</v>
      </c>
      <c r="C505" s="84">
        <v>8</v>
      </c>
      <c r="D505" s="84">
        <v>5</v>
      </c>
      <c r="E505" s="226"/>
      <c r="F505" s="217">
        <v>188</v>
      </c>
      <c r="G505" s="217">
        <v>1328</v>
      </c>
      <c r="H505" s="217">
        <v>94</v>
      </c>
      <c r="I505" s="217">
        <v>530</v>
      </c>
      <c r="J505" s="217">
        <v>1432</v>
      </c>
      <c r="K505" s="217">
        <v>1242</v>
      </c>
      <c r="L505" s="217">
        <v>1714</v>
      </c>
      <c r="M505" s="217">
        <v>3100</v>
      </c>
      <c r="N505" s="180"/>
      <c r="O505" s="228">
        <f t="shared" si="233"/>
        <v>0.22650602409638557</v>
      </c>
      <c r="P505" s="228">
        <f t="shared" si="234"/>
        <v>0.28377358490566035</v>
      </c>
      <c r="Q505" s="228">
        <f t="shared" si="235"/>
        <v>1.8447665056360709</v>
      </c>
      <c r="R505" s="228">
        <f t="shared" si="236"/>
        <v>0.88464516129032256</v>
      </c>
    </row>
    <row r="506" spans="1:18">
      <c r="A506" s="244" t="s">
        <v>640</v>
      </c>
      <c r="B506" s="245" t="s">
        <v>184</v>
      </c>
      <c r="C506" s="84">
        <v>8</v>
      </c>
      <c r="D506" s="84">
        <v>5</v>
      </c>
      <c r="E506" s="226"/>
      <c r="F506" s="217">
        <v>43</v>
      </c>
      <c r="G506" s="217">
        <v>256</v>
      </c>
      <c r="H506" s="217">
        <v>28</v>
      </c>
      <c r="I506" s="217">
        <v>102</v>
      </c>
      <c r="J506" s="217">
        <v>332</v>
      </c>
      <c r="K506" s="217">
        <v>555</v>
      </c>
      <c r="L506" s="217">
        <v>403</v>
      </c>
      <c r="M506" s="217">
        <v>913</v>
      </c>
      <c r="N506" s="180"/>
      <c r="O506" s="228">
        <f t="shared" si="233"/>
        <v>0.26874999999999999</v>
      </c>
      <c r="P506" s="228">
        <f t="shared" si="234"/>
        <v>0.43921568627450985</v>
      </c>
      <c r="Q506" s="228">
        <f t="shared" si="235"/>
        <v>0.95711711711711711</v>
      </c>
      <c r="R506" s="228">
        <f t="shared" si="236"/>
        <v>0.70624315443592556</v>
      </c>
    </row>
    <row r="507" spans="1:18">
      <c r="A507" s="244" t="s">
        <v>641</v>
      </c>
      <c r="B507" s="245" t="s">
        <v>184</v>
      </c>
      <c r="C507" s="84">
        <v>8</v>
      </c>
      <c r="D507" s="84">
        <v>5</v>
      </c>
      <c r="E507" s="226"/>
      <c r="F507" s="217">
        <v>85</v>
      </c>
      <c r="G507" s="217">
        <v>846</v>
      </c>
      <c r="H507" s="217">
        <v>58</v>
      </c>
      <c r="I507" s="217">
        <v>313</v>
      </c>
      <c r="J507" s="217">
        <v>834</v>
      </c>
      <c r="K507" s="217">
        <v>705</v>
      </c>
      <c r="L507" s="217">
        <v>977</v>
      </c>
      <c r="M507" s="217">
        <v>1864</v>
      </c>
      <c r="N507" s="180"/>
      <c r="O507" s="228">
        <f t="shared" si="233"/>
        <v>0.16075650118203311</v>
      </c>
      <c r="P507" s="228">
        <f t="shared" si="234"/>
        <v>0.29648562300319486</v>
      </c>
      <c r="Q507" s="228">
        <f t="shared" si="235"/>
        <v>1.8927659574468083</v>
      </c>
      <c r="R507" s="228">
        <f t="shared" si="236"/>
        <v>0.83862660944206002</v>
      </c>
    </row>
    <row r="508" spans="1:18">
      <c r="A508" s="244" t="s">
        <v>642</v>
      </c>
      <c r="B508" s="253" t="s">
        <v>184</v>
      </c>
      <c r="C508" s="84">
        <v>8</v>
      </c>
      <c r="D508" s="84">
        <v>5</v>
      </c>
      <c r="E508" s="226"/>
      <c r="F508" s="246">
        <v>40</v>
      </c>
      <c r="G508" s="246">
        <v>36</v>
      </c>
      <c r="H508" s="246">
        <v>5</v>
      </c>
      <c r="I508" s="246">
        <v>15</v>
      </c>
      <c r="J508" s="246">
        <v>36</v>
      </c>
      <c r="K508" s="246">
        <v>11</v>
      </c>
      <c r="L508" s="246">
        <v>81</v>
      </c>
      <c r="M508" s="246">
        <v>62</v>
      </c>
      <c r="N508" s="180"/>
      <c r="O508" s="247">
        <f t="shared" si="233"/>
        <v>1.7777777777777779</v>
      </c>
      <c r="P508" s="247">
        <f t="shared" si="234"/>
        <v>0.53333333333333333</v>
      </c>
      <c r="Q508" s="247">
        <f t="shared" si="235"/>
        <v>5.2363636363636363</v>
      </c>
      <c r="R508" s="247">
        <f t="shared" si="236"/>
        <v>2.0903225806451613</v>
      </c>
    </row>
    <row r="509" spans="1:18">
      <c r="A509" s="239"/>
      <c r="B509" s="243"/>
      <c r="C509" s="226"/>
      <c r="D509" s="226"/>
      <c r="E509" s="226"/>
      <c r="F509" s="241">
        <f t="shared" ref="F509:M509" si="237">SUM(F488:F508)</f>
        <v>1701</v>
      </c>
      <c r="G509" s="241">
        <f t="shared" si="237"/>
        <v>7102</v>
      </c>
      <c r="H509" s="241">
        <f t="shared" si="237"/>
        <v>574</v>
      </c>
      <c r="I509" s="241">
        <f t="shared" si="237"/>
        <v>2830</v>
      </c>
      <c r="J509" s="241">
        <f t="shared" si="237"/>
        <v>7812</v>
      </c>
      <c r="K509" s="241">
        <f t="shared" si="237"/>
        <v>6486</v>
      </c>
      <c r="L509" s="241">
        <f t="shared" si="237"/>
        <v>10087</v>
      </c>
      <c r="M509" s="241">
        <f t="shared" si="237"/>
        <v>16418</v>
      </c>
      <c r="N509" s="180"/>
      <c r="O509" s="228">
        <f>F509/G509*C508/D508</f>
        <v>0.38321599549422697</v>
      </c>
      <c r="P509" s="228">
        <f>H509/I509*C508/D508</f>
        <v>0.32452296819787985</v>
      </c>
      <c r="Q509" s="228">
        <f>J509/K509*C508/D508</f>
        <v>1.927104532839963</v>
      </c>
      <c r="R509" s="228">
        <f>L509/M509*C508/D508</f>
        <v>0.98301863808015588</v>
      </c>
    </row>
    <row r="510" spans="1:18">
      <c r="A510" s="239"/>
      <c r="B510" s="243"/>
      <c r="C510" s="226"/>
      <c r="D510" s="226"/>
      <c r="E510" s="226"/>
      <c r="F510" s="264"/>
      <c r="G510" s="264"/>
      <c r="H510" s="98"/>
      <c r="I510" s="98"/>
      <c r="J510" s="98"/>
      <c r="K510" s="98"/>
      <c r="L510" s="98"/>
      <c r="M510" s="98"/>
      <c r="N510" s="180"/>
      <c r="O510" s="228"/>
      <c r="P510" s="228"/>
      <c r="Q510" s="228"/>
      <c r="R510" s="228"/>
    </row>
    <row r="511" spans="1:18">
      <c r="A511" s="239" t="s">
        <v>643</v>
      </c>
      <c r="B511" s="243" t="s">
        <v>185</v>
      </c>
      <c r="C511" s="84">
        <v>8</v>
      </c>
      <c r="D511" s="84">
        <v>5</v>
      </c>
      <c r="E511" s="226"/>
      <c r="F511" s="217">
        <v>9</v>
      </c>
      <c r="G511" s="217">
        <v>110</v>
      </c>
      <c r="H511" s="217">
        <v>62</v>
      </c>
      <c r="I511" s="217">
        <v>41</v>
      </c>
      <c r="J511" s="217">
        <v>142</v>
      </c>
      <c r="K511" s="217">
        <v>124</v>
      </c>
      <c r="L511" s="217">
        <v>213</v>
      </c>
      <c r="M511" s="217">
        <v>275</v>
      </c>
      <c r="N511" s="180"/>
      <c r="O511" s="228">
        <f t="shared" ref="O511:O519" si="238">F511/G511*C511/D511</f>
        <v>0.13090909090909092</v>
      </c>
      <c r="P511" s="228">
        <f t="shared" ref="P511:P519" si="239">H511/I511*C511/D511</f>
        <v>2.4195121951219511</v>
      </c>
      <c r="Q511" s="228">
        <f t="shared" ref="Q511:Q519" si="240">J511/K511*C511/D511</f>
        <v>1.8322580645161293</v>
      </c>
      <c r="R511" s="228">
        <f t="shared" ref="R511:R519" si="241">L511/M511*C511/D511</f>
        <v>1.2392727272727273</v>
      </c>
    </row>
    <row r="512" spans="1:18">
      <c r="A512" s="239" t="s">
        <v>644</v>
      </c>
      <c r="B512" s="243" t="s">
        <v>185</v>
      </c>
      <c r="C512" s="84">
        <v>8</v>
      </c>
      <c r="D512" s="84">
        <v>5</v>
      </c>
      <c r="E512" s="226"/>
      <c r="F512" s="217">
        <v>45</v>
      </c>
      <c r="G512" s="217">
        <v>65</v>
      </c>
      <c r="H512" s="217">
        <v>0</v>
      </c>
      <c r="I512" s="217">
        <v>34</v>
      </c>
      <c r="J512" s="217">
        <v>81</v>
      </c>
      <c r="K512" s="217">
        <v>64</v>
      </c>
      <c r="L512" s="217">
        <v>126</v>
      </c>
      <c r="M512" s="217">
        <v>163</v>
      </c>
      <c r="N512" s="180"/>
      <c r="O512" s="228">
        <f t="shared" si="238"/>
        <v>1.1076923076923078</v>
      </c>
      <c r="P512" s="228">
        <f t="shared" si="239"/>
        <v>0</v>
      </c>
      <c r="Q512" s="228">
        <f t="shared" si="240"/>
        <v>2.0249999999999999</v>
      </c>
      <c r="R512" s="228">
        <f t="shared" si="241"/>
        <v>1.2368098159509202</v>
      </c>
    </row>
    <row r="513" spans="1:18">
      <c r="A513" s="239" t="s">
        <v>645</v>
      </c>
      <c r="B513" s="243" t="s">
        <v>185</v>
      </c>
      <c r="C513" s="84">
        <v>8</v>
      </c>
      <c r="D513" s="84">
        <v>5</v>
      </c>
      <c r="E513" s="226"/>
      <c r="F513" s="217">
        <v>76</v>
      </c>
      <c r="G513" s="217">
        <v>392</v>
      </c>
      <c r="H513" s="217">
        <v>9</v>
      </c>
      <c r="I513" s="217">
        <v>174</v>
      </c>
      <c r="J513" s="217">
        <v>837</v>
      </c>
      <c r="K513" s="217">
        <v>413</v>
      </c>
      <c r="L513" s="217">
        <v>922</v>
      </c>
      <c r="M513" s="217">
        <v>979</v>
      </c>
      <c r="N513" s="180"/>
      <c r="O513" s="228">
        <f t="shared" si="238"/>
        <v>0.31020408163265306</v>
      </c>
      <c r="P513" s="228">
        <f t="shared" si="239"/>
        <v>8.2758620689655171E-2</v>
      </c>
      <c r="Q513" s="228">
        <f t="shared" si="240"/>
        <v>3.2426150121065378</v>
      </c>
      <c r="R513" s="228">
        <f t="shared" si="241"/>
        <v>1.5068437180796732</v>
      </c>
    </row>
    <row r="514" spans="1:18">
      <c r="A514" s="224" t="s">
        <v>646</v>
      </c>
      <c r="B514" s="225" t="s">
        <v>185</v>
      </c>
      <c r="C514" s="84">
        <v>5</v>
      </c>
      <c r="D514" s="84">
        <v>5</v>
      </c>
      <c r="E514" s="226"/>
      <c r="F514" s="217">
        <v>74</v>
      </c>
      <c r="G514" s="217">
        <v>20</v>
      </c>
      <c r="H514" s="217">
        <v>35</v>
      </c>
      <c r="I514" s="217">
        <v>13</v>
      </c>
      <c r="J514" s="217">
        <v>62</v>
      </c>
      <c r="K514" s="217">
        <v>16</v>
      </c>
      <c r="L514" s="217">
        <v>171</v>
      </c>
      <c r="M514" s="217">
        <v>49</v>
      </c>
      <c r="N514" s="180"/>
      <c r="O514" s="228">
        <f t="shared" si="238"/>
        <v>3.7</v>
      </c>
      <c r="P514" s="228">
        <f t="shared" si="239"/>
        <v>2.6923076923076925</v>
      </c>
      <c r="Q514" s="228">
        <f t="shared" si="240"/>
        <v>3.875</v>
      </c>
      <c r="R514" s="228">
        <f t="shared" si="241"/>
        <v>3.489795918367347</v>
      </c>
    </row>
    <row r="515" spans="1:18">
      <c r="A515" s="224" t="s">
        <v>647</v>
      </c>
      <c r="B515" s="225" t="s">
        <v>185</v>
      </c>
      <c r="C515" s="84">
        <v>8</v>
      </c>
      <c r="D515" s="84">
        <v>5</v>
      </c>
      <c r="E515" s="226"/>
      <c r="F515" s="217">
        <v>0</v>
      </c>
      <c r="G515" s="217">
        <v>210</v>
      </c>
      <c r="H515" s="217">
        <v>49</v>
      </c>
      <c r="I515" s="217">
        <v>95</v>
      </c>
      <c r="J515" s="217">
        <v>10</v>
      </c>
      <c r="K515" s="217">
        <v>221</v>
      </c>
      <c r="L515" s="217">
        <v>59</v>
      </c>
      <c r="M515" s="217">
        <v>526</v>
      </c>
      <c r="N515" s="180"/>
      <c r="O515" s="228">
        <f t="shared" si="238"/>
        <v>0</v>
      </c>
      <c r="P515" s="228">
        <f t="shared" si="239"/>
        <v>0.82526315789473692</v>
      </c>
      <c r="Q515" s="228">
        <f t="shared" si="240"/>
        <v>7.2398190045248861E-2</v>
      </c>
      <c r="R515" s="228">
        <f t="shared" si="241"/>
        <v>0.17946768060836502</v>
      </c>
    </row>
    <row r="516" spans="1:18">
      <c r="A516" s="244" t="s">
        <v>185</v>
      </c>
      <c r="B516" s="245" t="s">
        <v>185</v>
      </c>
      <c r="C516" s="84">
        <v>8</v>
      </c>
      <c r="D516" s="84">
        <v>5</v>
      </c>
      <c r="E516" s="226"/>
      <c r="F516" s="217">
        <v>202</v>
      </c>
      <c r="G516" s="217">
        <v>1663</v>
      </c>
      <c r="H516" s="217">
        <v>4</v>
      </c>
      <c r="I516" s="217">
        <v>820</v>
      </c>
      <c r="J516" s="217">
        <v>991</v>
      </c>
      <c r="K516" s="217">
        <v>1617</v>
      </c>
      <c r="L516" s="217">
        <v>1197</v>
      </c>
      <c r="M516" s="217">
        <v>4100</v>
      </c>
      <c r="N516" s="180"/>
      <c r="O516" s="228">
        <f t="shared" si="238"/>
        <v>0.19434756464221287</v>
      </c>
      <c r="P516" s="228">
        <f t="shared" si="239"/>
        <v>7.8048780487804878E-3</v>
      </c>
      <c r="Q516" s="228">
        <f t="shared" si="240"/>
        <v>0.98058132343846638</v>
      </c>
      <c r="R516" s="228">
        <f t="shared" si="241"/>
        <v>0.46712195121951217</v>
      </c>
    </row>
    <row r="517" spans="1:18">
      <c r="A517" s="244" t="s">
        <v>648</v>
      </c>
      <c r="B517" s="245" t="s">
        <v>185</v>
      </c>
      <c r="C517" s="84">
        <v>8</v>
      </c>
      <c r="D517" s="84">
        <v>5</v>
      </c>
      <c r="E517" s="226"/>
      <c r="F517" s="217">
        <v>147</v>
      </c>
      <c r="G517" s="217">
        <v>265</v>
      </c>
      <c r="H517" s="217">
        <v>273</v>
      </c>
      <c r="I517" s="217">
        <v>112</v>
      </c>
      <c r="J517" s="217">
        <v>776</v>
      </c>
      <c r="K517" s="217">
        <v>284</v>
      </c>
      <c r="L517" s="217">
        <v>1196</v>
      </c>
      <c r="M517" s="217">
        <v>661</v>
      </c>
      <c r="N517" s="180"/>
      <c r="O517" s="228">
        <f t="shared" si="238"/>
        <v>0.88754716981132076</v>
      </c>
      <c r="P517" s="228">
        <f t="shared" si="239"/>
        <v>3.9</v>
      </c>
      <c r="Q517" s="228">
        <f t="shared" si="240"/>
        <v>4.3718309859154925</v>
      </c>
      <c r="R517" s="228">
        <f t="shared" si="241"/>
        <v>2.8950075642965203</v>
      </c>
    </row>
    <row r="518" spans="1:18">
      <c r="A518" s="244" t="s">
        <v>649</v>
      </c>
      <c r="B518" s="245" t="s">
        <v>185</v>
      </c>
      <c r="C518" s="84">
        <v>8</v>
      </c>
      <c r="D518" s="84">
        <v>5</v>
      </c>
      <c r="E518" s="226"/>
      <c r="F518" s="217">
        <v>344</v>
      </c>
      <c r="G518" s="217">
        <v>1641</v>
      </c>
      <c r="H518" s="217">
        <v>783</v>
      </c>
      <c r="I518" s="217">
        <v>730</v>
      </c>
      <c r="J518" s="217">
        <v>770</v>
      </c>
      <c r="K518" s="217">
        <v>1731</v>
      </c>
      <c r="L518" s="217">
        <v>1897</v>
      </c>
      <c r="M518" s="217">
        <v>4102</v>
      </c>
      <c r="N518" s="180"/>
      <c r="O518" s="228">
        <f t="shared" si="238"/>
        <v>0.33540524070688604</v>
      </c>
      <c r="P518" s="228">
        <f t="shared" si="239"/>
        <v>1.7161643835616438</v>
      </c>
      <c r="Q518" s="228">
        <f t="shared" si="240"/>
        <v>0.71172732524552285</v>
      </c>
      <c r="R518" s="228">
        <f t="shared" si="241"/>
        <v>0.73993174061433442</v>
      </c>
    </row>
    <row r="519" spans="1:18">
      <c r="A519" s="244" t="s">
        <v>650</v>
      </c>
      <c r="B519" s="245" t="s">
        <v>185</v>
      </c>
      <c r="C519" s="84">
        <v>8</v>
      </c>
      <c r="D519" s="84">
        <v>5</v>
      </c>
      <c r="E519" s="226"/>
      <c r="F519" s="246">
        <v>45</v>
      </c>
      <c r="G519" s="246">
        <v>70</v>
      </c>
      <c r="H519" s="246">
        <v>1</v>
      </c>
      <c r="I519" s="246">
        <v>30</v>
      </c>
      <c r="J519" s="246">
        <v>81</v>
      </c>
      <c r="K519" s="246">
        <v>75</v>
      </c>
      <c r="L519" s="246">
        <v>127</v>
      </c>
      <c r="M519" s="246">
        <v>175</v>
      </c>
      <c r="N519" s="180"/>
      <c r="O519" s="247">
        <f t="shared" si="238"/>
        <v>1.0285714285714287</v>
      </c>
      <c r="P519" s="247">
        <f t="shared" si="239"/>
        <v>5.333333333333333E-2</v>
      </c>
      <c r="Q519" s="247">
        <f t="shared" si="240"/>
        <v>1.7280000000000002</v>
      </c>
      <c r="R519" s="247">
        <f t="shared" si="241"/>
        <v>1.1611428571428573</v>
      </c>
    </row>
    <row r="520" spans="1:18">
      <c r="A520" s="239"/>
      <c r="B520" s="243"/>
      <c r="C520" s="226"/>
      <c r="D520" s="226"/>
      <c r="E520" s="226"/>
      <c r="F520" s="241">
        <f t="shared" ref="F520:M520" si="242">SUM(F511:F519)</f>
        <v>942</v>
      </c>
      <c r="G520" s="241">
        <f t="shared" si="242"/>
        <v>4436</v>
      </c>
      <c r="H520" s="241">
        <f t="shared" si="242"/>
        <v>1216</v>
      </c>
      <c r="I520" s="241">
        <f t="shared" si="242"/>
        <v>2049</v>
      </c>
      <c r="J520" s="241">
        <f t="shared" si="242"/>
        <v>3750</v>
      </c>
      <c r="K520" s="241">
        <f t="shared" si="242"/>
        <v>4545</v>
      </c>
      <c r="L520" s="241">
        <f t="shared" si="242"/>
        <v>5908</v>
      </c>
      <c r="M520" s="241">
        <f t="shared" si="242"/>
        <v>11030</v>
      </c>
      <c r="N520" s="180"/>
      <c r="O520" s="228">
        <f>F520/G520*C519/D519</f>
        <v>0.33976555455365193</v>
      </c>
      <c r="P520" s="228">
        <f>H520/I520*C519/D519</f>
        <v>0.94953635919960955</v>
      </c>
      <c r="Q520" s="228">
        <f>J520/K520*C519/D519</f>
        <v>1.3201320132013201</v>
      </c>
      <c r="R520" s="228">
        <f>L520/M520*C519/D519</f>
        <v>0.85700815956482312</v>
      </c>
    </row>
    <row r="521" spans="1:18">
      <c r="A521" s="239"/>
      <c r="B521" s="243"/>
      <c r="C521" s="226"/>
      <c r="D521" s="226"/>
      <c r="E521" s="226"/>
      <c r="F521" s="264"/>
      <c r="G521" s="264"/>
      <c r="H521" s="98"/>
      <c r="I521" s="98"/>
      <c r="J521" s="98"/>
      <c r="K521" s="98"/>
      <c r="L521" s="98"/>
      <c r="M521" s="98"/>
      <c r="N521" s="180"/>
      <c r="O521" s="228"/>
      <c r="P521" s="228"/>
      <c r="Q521" s="228"/>
      <c r="R521" s="228"/>
    </row>
    <row r="522" spans="1:18">
      <c r="A522" s="239" t="s">
        <v>651</v>
      </c>
      <c r="B522" s="243" t="s">
        <v>187</v>
      </c>
      <c r="C522" s="84">
        <v>8</v>
      </c>
      <c r="D522" s="84">
        <v>5</v>
      </c>
      <c r="E522" s="226"/>
      <c r="F522" s="217">
        <v>15</v>
      </c>
      <c r="G522" s="217">
        <v>391</v>
      </c>
      <c r="H522" s="217">
        <v>16</v>
      </c>
      <c r="I522" s="217">
        <v>151</v>
      </c>
      <c r="J522" s="217">
        <v>407</v>
      </c>
      <c r="K522" s="217">
        <v>391</v>
      </c>
      <c r="L522" s="217">
        <v>438</v>
      </c>
      <c r="M522" s="217">
        <v>933</v>
      </c>
      <c r="N522" s="227"/>
      <c r="O522" s="228">
        <f t="shared" ref="O522:O537" si="243">F522/G522*C522/D522</f>
        <v>6.1381074168797956E-2</v>
      </c>
      <c r="P522" s="228">
        <f t="shared" ref="P522:P537" si="244">H522/I522*C522/D522</f>
        <v>0.1695364238410596</v>
      </c>
      <c r="Q522" s="228">
        <f t="shared" ref="Q522:Q537" si="245">J522/K522*C522/D522</f>
        <v>1.6654731457800511</v>
      </c>
      <c r="R522" s="228">
        <f t="shared" ref="R522:R537" si="246">L522/M522*C522/D522</f>
        <v>0.75112540192926047</v>
      </c>
    </row>
    <row r="523" spans="1:18">
      <c r="A523" s="224" t="s">
        <v>652</v>
      </c>
      <c r="B523" s="225" t="s">
        <v>187</v>
      </c>
      <c r="C523" s="84">
        <v>8</v>
      </c>
      <c r="D523" s="84">
        <v>5</v>
      </c>
      <c r="E523" s="226"/>
      <c r="F523" s="217">
        <v>19</v>
      </c>
      <c r="G523" s="217">
        <v>563</v>
      </c>
      <c r="H523" s="217">
        <v>74</v>
      </c>
      <c r="I523" s="217">
        <v>231</v>
      </c>
      <c r="J523" s="217">
        <v>215</v>
      </c>
      <c r="K523" s="217">
        <v>270</v>
      </c>
      <c r="L523" s="217">
        <v>308</v>
      </c>
      <c r="M523" s="217">
        <v>1064</v>
      </c>
      <c r="N523" s="227"/>
      <c r="O523" s="228">
        <f t="shared" si="243"/>
        <v>5.3996447602131438E-2</v>
      </c>
      <c r="P523" s="228">
        <f t="shared" si="244"/>
        <v>0.51255411255411254</v>
      </c>
      <c r="Q523" s="228">
        <f t="shared" si="245"/>
        <v>1.2740740740740741</v>
      </c>
      <c r="R523" s="228">
        <f t="shared" si="246"/>
        <v>0.4631578947368421</v>
      </c>
    </row>
    <row r="524" spans="1:18">
      <c r="A524" s="224" t="s">
        <v>653</v>
      </c>
      <c r="B524" s="225" t="s">
        <v>187</v>
      </c>
      <c r="C524" s="84">
        <v>8</v>
      </c>
      <c r="D524" s="84">
        <v>5</v>
      </c>
      <c r="E524" s="226"/>
      <c r="F524" s="217">
        <v>550</v>
      </c>
      <c r="G524" s="217">
        <v>396</v>
      </c>
      <c r="H524" s="217">
        <v>24</v>
      </c>
      <c r="I524" s="217">
        <v>217</v>
      </c>
      <c r="J524" s="217">
        <v>1124</v>
      </c>
      <c r="K524" s="217">
        <v>475</v>
      </c>
      <c r="L524" s="217">
        <v>1698</v>
      </c>
      <c r="M524" s="217">
        <v>1088</v>
      </c>
      <c r="N524" s="227"/>
      <c r="O524" s="228">
        <f t="shared" si="243"/>
        <v>2.2222222222222223</v>
      </c>
      <c r="P524" s="228">
        <f t="shared" si="244"/>
        <v>0.17695852534562212</v>
      </c>
      <c r="Q524" s="228">
        <f t="shared" si="245"/>
        <v>3.7861052631578951</v>
      </c>
      <c r="R524" s="228">
        <f t="shared" si="246"/>
        <v>2.4970588235294118</v>
      </c>
    </row>
    <row r="525" spans="1:18">
      <c r="A525" s="239" t="s">
        <v>654</v>
      </c>
      <c r="B525" s="243" t="s">
        <v>187</v>
      </c>
      <c r="C525" s="84">
        <v>8</v>
      </c>
      <c r="D525" s="84">
        <v>5</v>
      </c>
      <c r="E525" s="226"/>
      <c r="F525" s="217">
        <v>30</v>
      </c>
      <c r="G525" s="217">
        <v>268</v>
      </c>
      <c r="H525" s="217">
        <v>2</v>
      </c>
      <c r="I525" s="217">
        <v>112</v>
      </c>
      <c r="J525" s="217">
        <v>535</v>
      </c>
      <c r="K525" s="217">
        <v>97</v>
      </c>
      <c r="L525" s="217">
        <v>567</v>
      </c>
      <c r="M525" s="217">
        <v>477</v>
      </c>
      <c r="N525" s="227"/>
      <c r="O525" s="228">
        <f t="shared" si="243"/>
        <v>0.17910447761194032</v>
      </c>
      <c r="P525" s="228">
        <f t="shared" si="244"/>
        <v>2.8571428571428571E-2</v>
      </c>
      <c r="Q525" s="228">
        <f t="shared" si="245"/>
        <v>8.8247422680412377</v>
      </c>
      <c r="R525" s="228">
        <f t="shared" si="246"/>
        <v>1.9018867924528302</v>
      </c>
    </row>
    <row r="526" spans="1:18">
      <c r="A526" s="224" t="s">
        <v>655</v>
      </c>
      <c r="B526" s="225" t="s">
        <v>187</v>
      </c>
      <c r="C526" s="84">
        <v>8</v>
      </c>
      <c r="D526" s="84">
        <v>5</v>
      </c>
      <c r="E526" s="226"/>
      <c r="F526" s="217">
        <v>18</v>
      </c>
      <c r="G526" s="217">
        <v>74</v>
      </c>
      <c r="H526" s="217">
        <v>4</v>
      </c>
      <c r="I526" s="217">
        <v>32</v>
      </c>
      <c r="J526" s="217">
        <v>38</v>
      </c>
      <c r="K526" s="217">
        <v>15</v>
      </c>
      <c r="L526" s="217">
        <v>60</v>
      </c>
      <c r="M526" s="217">
        <v>121</v>
      </c>
      <c r="N526" s="227"/>
      <c r="O526" s="228">
        <f t="shared" si="243"/>
        <v>0.38918918918918921</v>
      </c>
      <c r="P526" s="228">
        <f t="shared" si="244"/>
        <v>0.2</v>
      </c>
      <c r="Q526" s="228">
        <f t="shared" si="245"/>
        <v>4.0533333333333328</v>
      </c>
      <c r="R526" s="228">
        <f t="shared" si="246"/>
        <v>0.79338842975206614</v>
      </c>
    </row>
    <row r="527" spans="1:18">
      <c r="A527" s="224" t="s">
        <v>656</v>
      </c>
      <c r="B527" s="225" t="s">
        <v>187</v>
      </c>
      <c r="C527" s="84">
        <v>8</v>
      </c>
      <c r="D527" s="84">
        <v>5</v>
      </c>
      <c r="E527" s="226"/>
      <c r="F527" s="217">
        <v>2</v>
      </c>
      <c r="G527" s="217">
        <v>313</v>
      </c>
      <c r="H527" s="217">
        <v>53</v>
      </c>
      <c r="I527" s="217">
        <v>132</v>
      </c>
      <c r="J527" s="217">
        <v>79</v>
      </c>
      <c r="K527" s="217">
        <v>174</v>
      </c>
      <c r="L527" s="217">
        <v>134</v>
      </c>
      <c r="M527" s="217">
        <v>619</v>
      </c>
      <c r="N527" s="227"/>
      <c r="O527" s="228">
        <f t="shared" si="243"/>
        <v>1.0223642172523962E-2</v>
      </c>
      <c r="P527" s="228">
        <f t="shared" si="244"/>
        <v>0.64242424242424234</v>
      </c>
      <c r="Q527" s="228">
        <f t="shared" si="245"/>
        <v>0.72643678160919545</v>
      </c>
      <c r="R527" s="228">
        <f t="shared" si="246"/>
        <v>0.34636510500807755</v>
      </c>
    </row>
    <row r="528" spans="1:18">
      <c r="A528" s="224" t="s">
        <v>657</v>
      </c>
      <c r="B528" s="251" t="s">
        <v>187</v>
      </c>
      <c r="C528" s="84">
        <v>8</v>
      </c>
      <c r="D528" s="84">
        <v>5</v>
      </c>
      <c r="E528" s="226"/>
      <c r="F528" s="217">
        <v>10</v>
      </c>
      <c r="G528" s="217">
        <v>1574</v>
      </c>
      <c r="H528" s="217">
        <v>0</v>
      </c>
      <c r="I528" s="217">
        <v>565</v>
      </c>
      <c r="J528" s="217">
        <v>3221</v>
      </c>
      <c r="K528" s="217">
        <v>1151</v>
      </c>
      <c r="L528" s="217">
        <v>3231</v>
      </c>
      <c r="M528" s="217">
        <v>3290</v>
      </c>
      <c r="N528" s="227"/>
      <c r="O528" s="228">
        <f t="shared" si="243"/>
        <v>1.0165184243964422E-2</v>
      </c>
      <c r="P528" s="228">
        <f t="shared" si="244"/>
        <v>0</v>
      </c>
      <c r="Q528" s="228">
        <f t="shared" si="245"/>
        <v>4.4774978279756734</v>
      </c>
      <c r="R528" s="228">
        <f t="shared" si="246"/>
        <v>1.571306990881459</v>
      </c>
    </row>
    <row r="529" spans="1:18">
      <c r="A529" s="224" t="s">
        <v>658</v>
      </c>
      <c r="B529" s="251" t="s">
        <v>187</v>
      </c>
      <c r="C529" s="84">
        <v>8</v>
      </c>
      <c r="D529" s="84">
        <v>5</v>
      </c>
      <c r="E529" s="226"/>
      <c r="F529" s="217">
        <v>44</v>
      </c>
      <c r="G529" s="217">
        <v>36</v>
      </c>
      <c r="H529" s="217">
        <v>1</v>
      </c>
      <c r="I529" s="217">
        <v>13</v>
      </c>
      <c r="J529" s="217">
        <v>30</v>
      </c>
      <c r="K529" s="217">
        <v>12</v>
      </c>
      <c r="L529" s="217">
        <v>75</v>
      </c>
      <c r="M529" s="217">
        <v>61</v>
      </c>
      <c r="N529" s="227"/>
      <c r="O529" s="228">
        <f t="shared" si="243"/>
        <v>1.9555555555555557</v>
      </c>
      <c r="P529" s="228">
        <f t="shared" si="244"/>
        <v>0.12307692307692308</v>
      </c>
      <c r="Q529" s="228">
        <f t="shared" si="245"/>
        <v>4</v>
      </c>
      <c r="R529" s="228">
        <f t="shared" si="246"/>
        <v>1.9672131147540983</v>
      </c>
    </row>
    <row r="530" spans="1:18">
      <c r="A530" s="224" t="s">
        <v>659</v>
      </c>
      <c r="B530" s="251" t="s">
        <v>187</v>
      </c>
      <c r="C530" s="84">
        <v>8</v>
      </c>
      <c r="D530" s="84">
        <v>5</v>
      </c>
      <c r="E530" s="226"/>
      <c r="F530" s="217">
        <v>269</v>
      </c>
      <c r="G530" s="217">
        <v>427</v>
      </c>
      <c r="H530" s="217">
        <v>399</v>
      </c>
      <c r="I530" s="217">
        <v>185</v>
      </c>
      <c r="J530" s="217">
        <v>1393</v>
      </c>
      <c r="K530" s="217">
        <v>316</v>
      </c>
      <c r="L530" s="217">
        <v>2061</v>
      </c>
      <c r="M530" s="217">
        <v>928</v>
      </c>
      <c r="N530" s="227"/>
      <c r="O530" s="228">
        <f t="shared" si="243"/>
        <v>1.0079625292740046</v>
      </c>
      <c r="P530" s="228">
        <f t="shared" si="244"/>
        <v>3.4508108108108111</v>
      </c>
      <c r="Q530" s="228">
        <f t="shared" si="245"/>
        <v>7.0531645569620256</v>
      </c>
      <c r="R530" s="228">
        <f t="shared" si="246"/>
        <v>3.5534482758620691</v>
      </c>
    </row>
    <row r="531" spans="1:18">
      <c r="A531" s="224" t="s">
        <v>660</v>
      </c>
      <c r="B531" s="251" t="s">
        <v>187</v>
      </c>
      <c r="C531" s="84">
        <v>8</v>
      </c>
      <c r="D531" s="84">
        <v>5</v>
      </c>
      <c r="E531" s="226"/>
      <c r="F531" s="217">
        <v>372</v>
      </c>
      <c r="G531" s="217">
        <v>1306</v>
      </c>
      <c r="H531" s="217">
        <v>0</v>
      </c>
      <c r="I531" s="217">
        <v>527</v>
      </c>
      <c r="J531" s="217">
        <v>3223</v>
      </c>
      <c r="K531" s="217">
        <v>1093</v>
      </c>
      <c r="L531" s="217">
        <v>3595</v>
      </c>
      <c r="M531" s="217">
        <v>2926</v>
      </c>
      <c r="N531" s="227"/>
      <c r="O531" s="228">
        <f t="shared" si="243"/>
        <v>0.45574272588055126</v>
      </c>
      <c r="P531" s="228">
        <f t="shared" si="244"/>
        <v>0</v>
      </c>
      <c r="Q531" s="228">
        <f t="shared" si="245"/>
        <v>4.7180237877401643</v>
      </c>
      <c r="R531" s="228">
        <f t="shared" si="246"/>
        <v>1.9658236500341766</v>
      </c>
    </row>
    <row r="532" spans="1:18">
      <c r="A532" s="224" t="s">
        <v>661</v>
      </c>
      <c r="B532" s="251" t="s">
        <v>187</v>
      </c>
      <c r="C532" s="84">
        <v>8</v>
      </c>
      <c r="D532" s="84">
        <v>5</v>
      </c>
      <c r="E532" s="226"/>
      <c r="F532" s="217">
        <v>103</v>
      </c>
      <c r="G532" s="217">
        <v>1123</v>
      </c>
      <c r="H532" s="217">
        <v>42</v>
      </c>
      <c r="I532" s="217">
        <v>278</v>
      </c>
      <c r="J532" s="217">
        <v>409</v>
      </c>
      <c r="K532" s="217">
        <v>587</v>
      </c>
      <c r="L532" s="217">
        <v>554</v>
      </c>
      <c r="M532" s="217">
        <v>1988</v>
      </c>
      <c r="N532" s="227"/>
      <c r="O532" s="228">
        <f t="shared" si="243"/>
        <v>0.14674977738201248</v>
      </c>
      <c r="P532" s="228">
        <f t="shared" si="244"/>
        <v>0.24172661870503598</v>
      </c>
      <c r="Q532" s="228">
        <f t="shared" si="245"/>
        <v>1.1148211243611583</v>
      </c>
      <c r="R532" s="228">
        <f t="shared" si="246"/>
        <v>0.44587525150905433</v>
      </c>
    </row>
    <row r="533" spans="1:18">
      <c r="A533" s="244" t="s">
        <v>662</v>
      </c>
      <c r="B533" s="245" t="s">
        <v>187</v>
      </c>
      <c r="C533" s="84">
        <v>8</v>
      </c>
      <c r="D533" s="84">
        <v>5</v>
      </c>
      <c r="E533" s="226"/>
      <c r="F533" s="217">
        <v>1360</v>
      </c>
      <c r="G533" s="217">
        <v>14661</v>
      </c>
      <c r="H533" s="217">
        <v>2304</v>
      </c>
      <c r="I533" s="217">
        <v>6188</v>
      </c>
      <c r="J533" s="217">
        <v>13392</v>
      </c>
      <c r="K533" s="217">
        <v>14231</v>
      </c>
      <c r="L533" s="217">
        <v>17056</v>
      </c>
      <c r="M533" s="217">
        <v>35080</v>
      </c>
      <c r="N533" s="227"/>
      <c r="O533" s="228">
        <f t="shared" si="243"/>
        <v>0.14842098083350386</v>
      </c>
      <c r="P533" s="228">
        <f t="shared" si="244"/>
        <v>0.59573367808661926</v>
      </c>
      <c r="Q533" s="228">
        <f t="shared" si="245"/>
        <v>1.5056707188532079</v>
      </c>
      <c r="R533" s="228">
        <f t="shared" si="246"/>
        <v>0.77792474344355766</v>
      </c>
    </row>
    <row r="534" spans="1:18">
      <c r="A534" s="244" t="s">
        <v>187</v>
      </c>
      <c r="B534" s="245" t="s">
        <v>187</v>
      </c>
      <c r="C534" s="84">
        <v>8</v>
      </c>
      <c r="D534" s="84">
        <v>5</v>
      </c>
      <c r="E534" s="226"/>
      <c r="F534" s="217">
        <v>147</v>
      </c>
      <c r="G534" s="217">
        <v>1745</v>
      </c>
      <c r="H534" s="217">
        <v>54</v>
      </c>
      <c r="I534" s="217">
        <v>755</v>
      </c>
      <c r="J534" s="217">
        <v>4008</v>
      </c>
      <c r="K534" s="217">
        <v>1593</v>
      </c>
      <c r="L534" s="217">
        <v>4209</v>
      </c>
      <c r="M534" s="217">
        <v>4093</v>
      </c>
      <c r="N534" s="227"/>
      <c r="O534" s="228">
        <f t="shared" si="243"/>
        <v>0.13478510028653296</v>
      </c>
      <c r="P534" s="228">
        <f t="shared" si="244"/>
        <v>0.11443708609271523</v>
      </c>
      <c r="Q534" s="228">
        <f t="shared" si="245"/>
        <v>4.0256120527306969</v>
      </c>
      <c r="R534" s="228">
        <f t="shared" si="246"/>
        <v>1.6453457121915467</v>
      </c>
    </row>
    <row r="535" spans="1:18">
      <c r="A535" s="244" t="s">
        <v>663</v>
      </c>
      <c r="B535" s="245" t="s">
        <v>187</v>
      </c>
      <c r="C535" s="84">
        <v>8</v>
      </c>
      <c r="D535" s="84">
        <v>5</v>
      </c>
      <c r="E535" s="226"/>
      <c r="F535" s="217">
        <v>88</v>
      </c>
      <c r="G535" s="217">
        <v>35</v>
      </c>
      <c r="H535" s="217">
        <v>2597</v>
      </c>
      <c r="I535" s="217">
        <v>214</v>
      </c>
      <c r="J535" s="217">
        <v>268</v>
      </c>
      <c r="K535" s="217">
        <v>28</v>
      </c>
      <c r="L535" s="217">
        <v>2953</v>
      </c>
      <c r="M535" s="217">
        <v>277</v>
      </c>
      <c r="N535" s="227"/>
      <c r="O535" s="228">
        <f t="shared" si="243"/>
        <v>4.0228571428571431</v>
      </c>
      <c r="P535" s="228">
        <f t="shared" si="244"/>
        <v>19.416822429906542</v>
      </c>
      <c r="Q535" s="228">
        <f t="shared" si="245"/>
        <v>15.314285714285713</v>
      </c>
      <c r="R535" s="228">
        <f t="shared" si="246"/>
        <v>17.057039711191337</v>
      </c>
    </row>
    <row r="536" spans="1:18">
      <c r="A536" s="244" t="s">
        <v>664</v>
      </c>
      <c r="B536" s="245" t="s">
        <v>187</v>
      </c>
      <c r="C536" s="84">
        <v>8</v>
      </c>
      <c r="D536" s="84">
        <v>5</v>
      </c>
      <c r="E536" s="226"/>
      <c r="F536" s="217">
        <v>49</v>
      </c>
      <c r="G536" s="217">
        <v>242</v>
      </c>
      <c r="H536" s="217">
        <v>14</v>
      </c>
      <c r="I536" s="217">
        <v>104</v>
      </c>
      <c r="J536" s="217">
        <v>22</v>
      </c>
      <c r="K536" s="217">
        <v>93</v>
      </c>
      <c r="L536" s="217">
        <v>85</v>
      </c>
      <c r="M536" s="217">
        <v>439</v>
      </c>
      <c r="N536" s="227"/>
      <c r="O536" s="228">
        <f t="shared" si="243"/>
        <v>0.32396694214876032</v>
      </c>
      <c r="P536" s="228">
        <f t="shared" si="244"/>
        <v>0.21538461538461537</v>
      </c>
      <c r="Q536" s="228">
        <f t="shared" si="245"/>
        <v>0.37849462365591402</v>
      </c>
      <c r="R536" s="228">
        <f t="shared" si="246"/>
        <v>0.30979498861047838</v>
      </c>
    </row>
    <row r="537" spans="1:18">
      <c r="A537" s="244" t="s">
        <v>665</v>
      </c>
      <c r="B537" s="245" t="s">
        <v>187</v>
      </c>
      <c r="C537" s="84">
        <v>8</v>
      </c>
      <c r="D537" s="84">
        <v>5</v>
      </c>
      <c r="E537" s="226"/>
      <c r="F537" s="246">
        <v>135</v>
      </c>
      <c r="G537" s="246">
        <v>2546</v>
      </c>
      <c r="H537" s="246">
        <v>207</v>
      </c>
      <c r="I537" s="246">
        <v>932</v>
      </c>
      <c r="J537" s="246">
        <v>2215</v>
      </c>
      <c r="K537" s="246">
        <v>1974</v>
      </c>
      <c r="L537" s="246">
        <v>2557</v>
      </c>
      <c r="M537" s="246">
        <v>5452</v>
      </c>
      <c r="N537" s="227"/>
      <c r="O537" s="247">
        <f t="shared" si="243"/>
        <v>8.4838963079340149E-2</v>
      </c>
      <c r="P537" s="247">
        <f t="shared" si="244"/>
        <v>0.35536480686695276</v>
      </c>
      <c r="Q537" s="247">
        <f t="shared" si="245"/>
        <v>1.7953394123606892</v>
      </c>
      <c r="R537" s="247">
        <f t="shared" si="246"/>
        <v>0.7504035216434336</v>
      </c>
    </row>
    <row r="538" spans="1:18">
      <c r="A538" s="239"/>
      <c r="B538" s="243"/>
      <c r="C538" s="226"/>
      <c r="D538" s="226"/>
      <c r="E538" s="226"/>
      <c r="F538" s="241">
        <f t="shared" ref="F538:M538" si="247">SUM(F522:F537)</f>
        <v>3211</v>
      </c>
      <c r="G538" s="241">
        <f t="shared" si="247"/>
        <v>25700</v>
      </c>
      <c r="H538" s="241">
        <f t="shared" si="247"/>
        <v>5791</v>
      </c>
      <c r="I538" s="241">
        <f t="shared" si="247"/>
        <v>10636</v>
      </c>
      <c r="J538" s="241">
        <f t="shared" si="247"/>
        <v>30579</v>
      </c>
      <c r="K538" s="241">
        <f t="shared" si="247"/>
        <v>22500</v>
      </c>
      <c r="L538" s="241">
        <f t="shared" si="247"/>
        <v>39581</v>
      </c>
      <c r="M538" s="241">
        <f t="shared" si="247"/>
        <v>58836</v>
      </c>
      <c r="N538" s="227"/>
      <c r="O538" s="228">
        <f>F538/G538*C537/D537</f>
        <v>0.1999066147859922</v>
      </c>
      <c r="P538" s="228">
        <f>H538/I538*C537/D537</f>
        <v>0.87115456938698765</v>
      </c>
      <c r="Q538" s="228">
        <f>J538/K538*C537/D537</f>
        <v>2.1745066666666668</v>
      </c>
      <c r="R538" s="228">
        <f>L538/M538*C537/D537</f>
        <v>1.0763750084981984</v>
      </c>
    </row>
    <row r="539" spans="1:18">
      <c r="A539" s="239"/>
      <c r="B539" s="243"/>
      <c r="C539" s="226"/>
      <c r="D539" s="226"/>
      <c r="E539" s="226"/>
      <c r="F539" s="264"/>
      <c r="G539" s="264"/>
      <c r="H539" s="98"/>
      <c r="I539" s="98"/>
      <c r="J539" s="98"/>
      <c r="K539" s="98"/>
      <c r="L539" s="98"/>
      <c r="M539" s="98"/>
      <c r="N539" s="180"/>
      <c r="O539" s="228"/>
      <c r="P539" s="228"/>
      <c r="Q539" s="228"/>
      <c r="R539" s="228"/>
    </row>
    <row r="540" spans="1:18">
      <c r="A540" s="239" t="s">
        <v>666</v>
      </c>
      <c r="B540" s="243" t="s">
        <v>188</v>
      </c>
      <c r="C540" s="84">
        <v>8</v>
      </c>
      <c r="D540" s="84">
        <v>4</v>
      </c>
      <c r="E540" s="226"/>
      <c r="F540" s="217">
        <v>0</v>
      </c>
      <c r="G540" s="217">
        <v>57</v>
      </c>
      <c r="H540" s="217">
        <v>1</v>
      </c>
      <c r="I540" s="217">
        <v>26</v>
      </c>
      <c r="J540" s="217">
        <v>30</v>
      </c>
      <c r="K540" s="217">
        <v>60</v>
      </c>
      <c r="L540" s="217">
        <f t="shared" ref="L540:L544" si="248">F540+H540+J540</f>
        <v>31</v>
      </c>
      <c r="M540" s="217">
        <v>143</v>
      </c>
      <c r="N540" s="227"/>
      <c r="O540" s="228">
        <f t="shared" ref="O540:O544" si="249">F540/G540*C540/D540</f>
        <v>0</v>
      </c>
      <c r="P540" s="228">
        <f t="shared" ref="P540:P544" si="250">H540/I540*C540/D540</f>
        <v>7.6923076923076927E-2</v>
      </c>
      <c r="Q540" s="228">
        <f t="shared" ref="Q540:Q544" si="251">J540/K540*C540/D540</f>
        <v>1</v>
      </c>
      <c r="R540" s="228">
        <f t="shared" ref="R540:R544" si="252">L540/M540*C540/D540</f>
        <v>0.43356643356643354</v>
      </c>
    </row>
    <row r="541" spans="1:18">
      <c r="A541" s="244" t="s">
        <v>188</v>
      </c>
      <c r="B541" s="245" t="s">
        <v>188</v>
      </c>
      <c r="C541" s="84">
        <v>8</v>
      </c>
      <c r="D541" s="84">
        <v>4</v>
      </c>
      <c r="E541" s="226"/>
      <c r="F541" s="217">
        <v>215</v>
      </c>
      <c r="G541" s="217">
        <v>298</v>
      </c>
      <c r="H541" s="217">
        <v>209</v>
      </c>
      <c r="I541" s="217">
        <v>136</v>
      </c>
      <c r="J541" s="217">
        <v>364</v>
      </c>
      <c r="K541" s="217">
        <v>313</v>
      </c>
      <c r="L541" s="217">
        <f t="shared" si="248"/>
        <v>788</v>
      </c>
      <c r="M541" s="217">
        <v>747</v>
      </c>
      <c r="N541" s="227"/>
      <c r="O541" s="228">
        <f t="shared" si="249"/>
        <v>1.4429530201342282</v>
      </c>
      <c r="P541" s="228">
        <f t="shared" si="250"/>
        <v>3.0735294117647061</v>
      </c>
      <c r="Q541" s="228">
        <f t="shared" si="251"/>
        <v>2.3258785942492013</v>
      </c>
      <c r="R541" s="228">
        <f t="shared" si="252"/>
        <v>2.1097724230254351</v>
      </c>
    </row>
    <row r="542" spans="1:18">
      <c r="A542" s="244" t="s">
        <v>667</v>
      </c>
      <c r="B542" s="245" t="s">
        <v>188</v>
      </c>
      <c r="C542" s="84">
        <v>8</v>
      </c>
      <c r="D542" s="84">
        <v>4</v>
      </c>
      <c r="E542" s="226"/>
      <c r="F542" s="217">
        <v>85</v>
      </c>
      <c r="G542" s="217">
        <v>524</v>
      </c>
      <c r="H542" s="217">
        <v>239</v>
      </c>
      <c r="I542" s="217">
        <v>239</v>
      </c>
      <c r="J542" s="217">
        <v>178</v>
      </c>
      <c r="K542" s="217">
        <v>551</v>
      </c>
      <c r="L542" s="217">
        <f t="shared" si="248"/>
        <v>502</v>
      </c>
      <c r="M542" s="217">
        <v>1314</v>
      </c>
      <c r="N542" s="227"/>
      <c r="O542" s="228">
        <f t="shared" si="249"/>
        <v>0.32442748091603052</v>
      </c>
      <c r="P542" s="228">
        <f t="shared" si="250"/>
        <v>2</v>
      </c>
      <c r="Q542" s="228">
        <f t="shared" si="251"/>
        <v>0.64609800362976411</v>
      </c>
      <c r="R542" s="228">
        <f t="shared" si="252"/>
        <v>0.76407914764079143</v>
      </c>
    </row>
    <row r="543" spans="1:18">
      <c r="A543" s="244" t="s">
        <v>668</v>
      </c>
      <c r="B543" s="245" t="s">
        <v>188</v>
      </c>
      <c r="C543" s="84">
        <v>8</v>
      </c>
      <c r="D543" s="84">
        <v>4</v>
      </c>
      <c r="E543" s="226"/>
      <c r="F543" s="217">
        <v>3</v>
      </c>
      <c r="G543" s="217">
        <v>56</v>
      </c>
      <c r="H543" s="217">
        <v>7</v>
      </c>
      <c r="I543" s="217">
        <v>26</v>
      </c>
      <c r="J543" s="217">
        <v>127</v>
      </c>
      <c r="K543" s="217">
        <v>58</v>
      </c>
      <c r="L543" s="217">
        <f t="shared" si="248"/>
        <v>137</v>
      </c>
      <c r="M543" s="217">
        <v>140</v>
      </c>
      <c r="N543" s="227"/>
      <c r="O543" s="228">
        <f t="shared" si="249"/>
        <v>0.10714285714285714</v>
      </c>
      <c r="P543" s="228">
        <f t="shared" si="250"/>
        <v>0.53846153846153844</v>
      </c>
      <c r="Q543" s="228">
        <f t="shared" si="251"/>
        <v>4.3793103448275863</v>
      </c>
      <c r="R543" s="228">
        <f t="shared" si="252"/>
        <v>1.9571428571428571</v>
      </c>
    </row>
    <row r="544" spans="1:18">
      <c r="A544" s="244" t="s">
        <v>669</v>
      </c>
      <c r="B544" s="253" t="s">
        <v>188</v>
      </c>
      <c r="C544" s="84">
        <v>8</v>
      </c>
      <c r="D544" s="84">
        <v>4</v>
      </c>
      <c r="E544" s="226"/>
      <c r="F544" s="246">
        <v>27</v>
      </c>
      <c r="G544" s="246">
        <v>279</v>
      </c>
      <c r="H544" s="246">
        <v>12</v>
      </c>
      <c r="I544" s="246">
        <v>128</v>
      </c>
      <c r="J544" s="246">
        <v>159</v>
      </c>
      <c r="K544" s="246">
        <v>293</v>
      </c>
      <c r="L544" s="246">
        <f t="shared" si="248"/>
        <v>198</v>
      </c>
      <c r="M544" s="246">
        <v>700</v>
      </c>
      <c r="N544" s="227"/>
      <c r="O544" s="247">
        <f t="shared" si="249"/>
        <v>0.19354838709677419</v>
      </c>
      <c r="P544" s="247">
        <f t="shared" si="250"/>
        <v>0.1875</v>
      </c>
      <c r="Q544" s="247">
        <f t="shared" si="251"/>
        <v>1.0853242320819112</v>
      </c>
      <c r="R544" s="247">
        <f t="shared" si="252"/>
        <v>0.56571428571428573</v>
      </c>
    </row>
    <row r="545" spans="1:18">
      <c r="A545" s="239"/>
      <c r="B545" s="243"/>
      <c r="C545" s="226"/>
      <c r="D545" s="226"/>
      <c r="E545" s="226"/>
      <c r="F545" s="241">
        <f t="shared" ref="F545:M545" si="253">SUM(F540:F544)</f>
        <v>330</v>
      </c>
      <c r="G545" s="241">
        <f t="shared" si="253"/>
        <v>1214</v>
      </c>
      <c r="H545" s="241">
        <f t="shared" si="253"/>
        <v>468</v>
      </c>
      <c r="I545" s="241">
        <f t="shared" si="253"/>
        <v>555</v>
      </c>
      <c r="J545" s="241">
        <f t="shared" si="253"/>
        <v>858</v>
      </c>
      <c r="K545" s="241">
        <f t="shared" si="253"/>
        <v>1275</v>
      </c>
      <c r="L545" s="241">
        <f t="shared" si="253"/>
        <v>1656</v>
      </c>
      <c r="M545" s="241">
        <f t="shared" si="253"/>
        <v>3044</v>
      </c>
      <c r="N545" s="227"/>
      <c r="O545" s="228">
        <f>F545/G545*C544/D544</f>
        <v>0.54365733113673809</v>
      </c>
      <c r="P545" s="228">
        <f>H545/I545*C544/D544</f>
        <v>1.6864864864864866</v>
      </c>
      <c r="Q545" s="228">
        <f>J545/K545*C544/D544</f>
        <v>1.3458823529411765</v>
      </c>
      <c r="R545" s="228">
        <f>L545/M545*C544/D544</f>
        <v>1.0880420499342969</v>
      </c>
    </row>
    <row r="546" spans="1:18">
      <c r="A546" s="239"/>
      <c r="B546" s="243"/>
      <c r="C546" s="226"/>
      <c r="D546" s="226"/>
      <c r="E546" s="226"/>
      <c r="F546" s="278"/>
      <c r="G546" s="278"/>
      <c r="H546" s="274"/>
      <c r="I546" s="274"/>
      <c r="J546" s="274"/>
      <c r="K546" s="274"/>
      <c r="L546" s="274"/>
      <c r="M546" s="274"/>
      <c r="N546" s="180"/>
      <c r="O546" s="228"/>
      <c r="P546" s="228"/>
      <c r="Q546" s="228"/>
      <c r="R546" s="228"/>
    </row>
    <row r="547" spans="1:18">
      <c r="A547" s="239" t="s">
        <v>670</v>
      </c>
      <c r="B547" s="243" t="s">
        <v>189</v>
      </c>
      <c r="C547" s="84">
        <v>5</v>
      </c>
      <c r="D547" s="84">
        <v>5</v>
      </c>
      <c r="E547" s="226"/>
      <c r="F547" s="217">
        <v>43</v>
      </c>
      <c r="G547" s="217">
        <v>53</v>
      </c>
      <c r="H547" s="217">
        <v>93</v>
      </c>
      <c r="I547" s="217">
        <v>24</v>
      </c>
      <c r="J547" s="217">
        <v>86</v>
      </c>
      <c r="K547" s="217">
        <v>59</v>
      </c>
      <c r="L547" s="217">
        <v>222</v>
      </c>
      <c r="M547" s="217">
        <v>136</v>
      </c>
      <c r="N547" s="227"/>
      <c r="O547" s="228">
        <f t="shared" ref="O547:O550" si="254">F547/G547*C547/D547</f>
        <v>0.81132075471698106</v>
      </c>
      <c r="P547" s="228">
        <f t="shared" ref="P547:P550" si="255">H547/I547*C547/D547</f>
        <v>3.875</v>
      </c>
      <c r="Q547" s="228">
        <f t="shared" ref="Q547:Q550" si="256">J547/K547*C547/D547</f>
        <v>1.4576271186440677</v>
      </c>
      <c r="R547" s="228">
        <f t="shared" ref="R547:R550" si="257">L547/M547*C547/D547</f>
        <v>1.6323529411764706</v>
      </c>
    </row>
    <row r="548" spans="1:18">
      <c r="A548" s="244" t="s">
        <v>671</v>
      </c>
      <c r="B548" s="245" t="s">
        <v>189</v>
      </c>
      <c r="C548" s="84">
        <v>5</v>
      </c>
      <c r="D548" s="84">
        <v>5</v>
      </c>
      <c r="E548" s="226"/>
      <c r="F548" s="217">
        <v>223</v>
      </c>
      <c r="G548" s="217">
        <v>468</v>
      </c>
      <c r="H548" s="217">
        <v>113</v>
      </c>
      <c r="I548" s="217">
        <v>205</v>
      </c>
      <c r="J548" s="217">
        <v>878</v>
      </c>
      <c r="K548" s="217">
        <v>502</v>
      </c>
      <c r="L548" s="217">
        <v>1214</v>
      </c>
      <c r="M548" s="217">
        <v>1175</v>
      </c>
      <c r="N548" s="227"/>
      <c r="O548" s="228">
        <f t="shared" si="254"/>
        <v>0.47649572649572647</v>
      </c>
      <c r="P548" s="228">
        <f t="shared" si="255"/>
        <v>0.551219512195122</v>
      </c>
      <c r="Q548" s="228">
        <f t="shared" si="256"/>
        <v>1.749003984063745</v>
      </c>
      <c r="R548" s="228">
        <f t="shared" si="257"/>
        <v>1.033191489361702</v>
      </c>
    </row>
    <row r="549" spans="1:18">
      <c r="A549" s="244" t="s">
        <v>672</v>
      </c>
      <c r="B549" s="245" t="s">
        <v>189</v>
      </c>
      <c r="C549" s="84">
        <v>5</v>
      </c>
      <c r="D549" s="84">
        <v>5</v>
      </c>
      <c r="E549" s="226"/>
      <c r="F549" s="217">
        <v>59</v>
      </c>
      <c r="G549" s="217">
        <v>306</v>
      </c>
      <c r="H549" s="217">
        <v>143</v>
      </c>
      <c r="I549" s="217">
        <v>128</v>
      </c>
      <c r="J549" s="217">
        <v>425</v>
      </c>
      <c r="K549" s="217">
        <v>321</v>
      </c>
      <c r="L549" s="217">
        <v>627</v>
      </c>
      <c r="M549" s="217">
        <v>755</v>
      </c>
      <c r="N549" s="227"/>
      <c r="O549" s="228">
        <f t="shared" si="254"/>
        <v>0.19281045751633988</v>
      </c>
      <c r="P549" s="228">
        <f t="shared" si="255"/>
        <v>1.1171875</v>
      </c>
      <c r="Q549" s="228">
        <f t="shared" si="256"/>
        <v>1.32398753894081</v>
      </c>
      <c r="R549" s="228">
        <f t="shared" si="257"/>
        <v>0.8304635761589404</v>
      </c>
    </row>
    <row r="550" spans="1:18">
      <c r="A550" s="244" t="s">
        <v>673</v>
      </c>
      <c r="B550" s="245" t="s">
        <v>189</v>
      </c>
      <c r="C550" s="84">
        <v>5</v>
      </c>
      <c r="D550" s="84">
        <v>5</v>
      </c>
      <c r="E550" s="226"/>
      <c r="F550" s="246">
        <v>71</v>
      </c>
      <c r="G550" s="246">
        <v>53</v>
      </c>
      <c r="H550" s="246">
        <v>88</v>
      </c>
      <c r="I550" s="246">
        <v>23</v>
      </c>
      <c r="J550" s="246">
        <v>19</v>
      </c>
      <c r="K550" s="246">
        <v>58</v>
      </c>
      <c r="L550" s="246">
        <v>178</v>
      </c>
      <c r="M550" s="246">
        <v>134</v>
      </c>
      <c r="N550" s="227"/>
      <c r="O550" s="247">
        <f t="shared" si="254"/>
        <v>1.3396226415094339</v>
      </c>
      <c r="P550" s="247">
        <f t="shared" si="255"/>
        <v>3.8260869565217392</v>
      </c>
      <c r="Q550" s="247">
        <f t="shared" si="256"/>
        <v>0.32758620689655171</v>
      </c>
      <c r="R550" s="247">
        <f t="shared" si="257"/>
        <v>1.3283582089552239</v>
      </c>
    </row>
    <row r="551" spans="1:18">
      <c r="A551" s="224"/>
      <c r="B551" s="225"/>
      <c r="C551" s="226"/>
      <c r="D551" s="226"/>
      <c r="E551" s="226"/>
      <c r="F551" s="241">
        <f t="shared" ref="F551:M551" si="258">SUM(F547:F550)</f>
        <v>396</v>
      </c>
      <c r="G551" s="241">
        <f t="shared" si="258"/>
        <v>880</v>
      </c>
      <c r="H551" s="241">
        <f t="shared" si="258"/>
        <v>437</v>
      </c>
      <c r="I551" s="241">
        <f t="shared" si="258"/>
        <v>380</v>
      </c>
      <c r="J551" s="241">
        <f t="shared" si="258"/>
        <v>1408</v>
      </c>
      <c r="K551" s="241">
        <f t="shared" si="258"/>
        <v>940</v>
      </c>
      <c r="L551" s="241">
        <f t="shared" si="258"/>
        <v>2241</v>
      </c>
      <c r="M551" s="241">
        <f t="shared" si="258"/>
        <v>2200</v>
      </c>
      <c r="N551" s="227"/>
      <c r="O551" s="228">
        <f>F551/G551*C550/D550</f>
        <v>0.45</v>
      </c>
      <c r="P551" s="228">
        <f>H551/I551*C550/D550</f>
        <v>1.1499999999999999</v>
      </c>
      <c r="Q551" s="228">
        <f>J551/K551*C550/D550</f>
        <v>1.4978723404255319</v>
      </c>
      <c r="R551" s="228">
        <f>L551/M551*C550/D550</f>
        <v>1.0186363636363636</v>
      </c>
    </row>
    <row r="552" spans="1:18">
      <c r="A552" s="224"/>
      <c r="B552" s="225"/>
      <c r="C552" s="226"/>
      <c r="D552" s="226"/>
      <c r="E552" s="226"/>
      <c r="F552" s="278"/>
      <c r="G552" s="278"/>
      <c r="H552" s="274"/>
      <c r="I552" s="274"/>
      <c r="J552" s="274"/>
      <c r="K552" s="274"/>
      <c r="L552" s="274"/>
      <c r="M552" s="274"/>
      <c r="N552" s="180"/>
      <c r="O552" s="228"/>
      <c r="P552" s="228"/>
      <c r="Q552" s="228"/>
      <c r="R552" s="228"/>
    </row>
    <row r="553" spans="1:18">
      <c r="A553" s="224" t="s">
        <v>674</v>
      </c>
      <c r="B553" s="225" t="s">
        <v>190</v>
      </c>
      <c r="C553" s="84">
        <v>5</v>
      </c>
      <c r="D553" s="84">
        <v>5</v>
      </c>
      <c r="E553" s="226"/>
      <c r="F553" s="241">
        <v>0</v>
      </c>
      <c r="G553" s="241">
        <v>2</v>
      </c>
      <c r="H553" s="217">
        <v>0</v>
      </c>
      <c r="I553" s="217">
        <v>1</v>
      </c>
      <c r="J553" s="241">
        <v>0</v>
      </c>
      <c r="K553" s="241">
        <v>0</v>
      </c>
      <c r="L553" s="217">
        <v>0</v>
      </c>
      <c r="M553" s="217">
        <v>4</v>
      </c>
      <c r="N553" s="227"/>
      <c r="O553" s="228">
        <f t="shared" ref="O553:O554" si="259">F553/G553*C553/D553</f>
        <v>0</v>
      </c>
      <c r="P553" s="228">
        <f>H553/I553*C553/D553</f>
        <v>0</v>
      </c>
      <c r="Q553" s="242" t="s">
        <v>249</v>
      </c>
      <c r="R553" s="228">
        <f t="shared" ref="R553:R554" si="260">L553/M553*C553/D553</f>
        <v>0</v>
      </c>
    </row>
    <row r="554" spans="1:18">
      <c r="A554" s="244" t="s">
        <v>675</v>
      </c>
      <c r="B554" s="245" t="s">
        <v>190</v>
      </c>
      <c r="C554" s="84">
        <v>5</v>
      </c>
      <c r="D554" s="84">
        <v>5</v>
      </c>
      <c r="E554" s="226"/>
      <c r="F554" s="259">
        <v>0</v>
      </c>
      <c r="G554" s="259">
        <v>2</v>
      </c>
      <c r="H554" s="246">
        <v>0</v>
      </c>
      <c r="I554" s="246">
        <v>0</v>
      </c>
      <c r="J554" s="259">
        <v>0</v>
      </c>
      <c r="K554" s="259">
        <v>0</v>
      </c>
      <c r="L554" s="246">
        <v>0</v>
      </c>
      <c r="M554" s="246">
        <v>2</v>
      </c>
      <c r="N554" s="227"/>
      <c r="O554" s="247">
        <f t="shared" si="259"/>
        <v>0</v>
      </c>
      <c r="P554" s="279" t="s">
        <v>249</v>
      </c>
      <c r="Q554" s="280" t="s">
        <v>249</v>
      </c>
      <c r="R554" s="247">
        <f t="shared" si="260"/>
        <v>0</v>
      </c>
    </row>
    <row r="555" spans="1:18">
      <c r="A555" s="239"/>
      <c r="B555" s="240"/>
      <c r="C555" s="226"/>
      <c r="D555" s="226"/>
      <c r="E555" s="226"/>
      <c r="F555" s="241">
        <f t="shared" ref="F555:M555" si="261">F553+F554</f>
        <v>0</v>
      </c>
      <c r="G555" s="241">
        <f t="shared" si="261"/>
        <v>4</v>
      </c>
      <c r="H555" s="241">
        <f t="shared" si="261"/>
        <v>0</v>
      </c>
      <c r="I555" s="241">
        <f t="shared" si="261"/>
        <v>1</v>
      </c>
      <c r="J555" s="241">
        <f t="shared" si="261"/>
        <v>0</v>
      </c>
      <c r="K555" s="241">
        <f t="shared" si="261"/>
        <v>0</v>
      </c>
      <c r="L555" s="241">
        <f t="shared" si="261"/>
        <v>0</v>
      </c>
      <c r="M555" s="241">
        <f t="shared" si="261"/>
        <v>6</v>
      </c>
      <c r="N555" s="227"/>
      <c r="O555" s="228">
        <f>F555/G555</f>
        <v>0</v>
      </c>
      <c r="P555" s="260">
        <f>H555/I555*C554/5</f>
        <v>0</v>
      </c>
      <c r="Q555" s="242" t="s">
        <v>249</v>
      </c>
      <c r="R555" s="228">
        <f>L555/M555</f>
        <v>0</v>
      </c>
    </row>
    <row r="556" spans="1:18">
      <c r="A556" s="239"/>
      <c r="B556" s="240"/>
      <c r="C556" s="226"/>
      <c r="D556" s="226"/>
      <c r="E556" s="226"/>
      <c r="F556" s="278"/>
      <c r="G556" s="278"/>
      <c r="H556" s="274"/>
      <c r="I556" s="274"/>
      <c r="J556" s="274"/>
      <c r="K556" s="274"/>
      <c r="L556" s="274"/>
      <c r="M556" s="274"/>
      <c r="N556" s="180"/>
      <c r="O556" s="228"/>
      <c r="P556" s="228"/>
      <c r="Q556" s="228"/>
      <c r="R556" s="228"/>
    </row>
    <row r="557" spans="1:18">
      <c r="A557" s="239" t="s">
        <v>676</v>
      </c>
      <c r="B557" s="240" t="s">
        <v>191</v>
      </c>
      <c r="C557" s="84">
        <v>5</v>
      </c>
      <c r="D557" s="84">
        <v>5</v>
      </c>
      <c r="E557" s="226"/>
      <c r="F557" s="217">
        <v>1</v>
      </c>
      <c r="G557" s="217">
        <v>5</v>
      </c>
      <c r="H557" s="217">
        <v>1</v>
      </c>
      <c r="I557" s="217">
        <v>2</v>
      </c>
      <c r="J557" s="217">
        <v>0</v>
      </c>
      <c r="K557" s="217">
        <v>5</v>
      </c>
      <c r="L557" s="217">
        <v>2</v>
      </c>
      <c r="M557" s="217">
        <v>12</v>
      </c>
      <c r="N557" s="227"/>
      <c r="O557" s="228">
        <f t="shared" ref="O557:O566" si="262">F557/G557*C557/D557</f>
        <v>0.2</v>
      </c>
      <c r="P557" s="228">
        <f t="shared" ref="P557:P566" si="263">H557/I557*C557/D557</f>
        <v>0.5</v>
      </c>
      <c r="Q557" s="228">
        <f t="shared" ref="Q557:Q566" si="264">J557/K557*C557/5</f>
        <v>0</v>
      </c>
      <c r="R557" s="228">
        <f t="shared" ref="R557:R566" si="265">L557/M557*C557/D557</f>
        <v>0.16666666666666666</v>
      </c>
    </row>
    <row r="558" spans="1:18">
      <c r="A558" s="239" t="s">
        <v>677</v>
      </c>
      <c r="B558" s="243" t="s">
        <v>191</v>
      </c>
      <c r="C558" s="84">
        <v>5</v>
      </c>
      <c r="D558" s="84">
        <v>5</v>
      </c>
      <c r="E558" s="226"/>
      <c r="F558" s="217">
        <v>0</v>
      </c>
      <c r="G558" s="217">
        <v>10</v>
      </c>
      <c r="H558" s="217">
        <v>0</v>
      </c>
      <c r="I558" s="217">
        <v>4</v>
      </c>
      <c r="J558" s="217">
        <v>3</v>
      </c>
      <c r="K558" s="217">
        <v>9</v>
      </c>
      <c r="L558" s="217">
        <v>3</v>
      </c>
      <c r="M558" s="217">
        <v>23</v>
      </c>
      <c r="N558" s="227"/>
      <c r="O558" s="228">
        <f t="shared" si="262"/>
        <v>0</v>
      </c>
      <c r="P558" s="228">
        <f t="shared" si="263"/>
        <v>0</v>
      </c>
      <c r="Q558" s="228">
        <f t="shared" si="264"/>
        <v>0.33333333333333331</v>
      </c>
      <c r="R558" s="228">
        <f t="shared" si="265"/>
        <v>0.13043478260869565</v>
      </c>
    </row>
    <row r="559" spans="1:18">
      <c r="A559" s="224" t="s">
        <v>678</v>
      </c>
      <c r="B559" s="225" t="s">
        <v>191</v>
      </c>
      <c r="C559" s="84">
        <v>5</v>
      </c>
      <c r="D559" s="84">
        <v>5</v>
      </c>
      <c r="E559" s="226"/>
      <c r="F559" s="217">
        <v>0</v>
      </c>
      <c r="G559" s="217">
        <v>5</v>
      </c>
      <c r="H559" s="217">
        <v>1</v>
      </c>
      <c r="I559" s="217">
        <v>2</v>
      </c>
      <c r="J559" s="217">
        <v>0</v>
      </c>
      <c r="K559" s="217">
        <v>3</v>
      </c>
      <c r="L559" s="217">
        <v>1</v>
      </c>
      <c r="M559" s="217">
        <v>10</v>
      </c>
      <c r="N559" s="227"/>
      <c r="O559" s="228">
        <f t="shared" si="262"/>
        <v>0</v>
      </c>
      <c r="P559" s="228">
        <f t="shared" si="263"/>
        <v>0.5</v>
      </c>
      <c r="Q559" s="228">
        <f t="shared" si="264"/>
        <v>0</v>
      </c>
      <c r="R559" s="228">
        <f t="shared" si="265"/>
        <v>0.1</v>
      </c>
    </row>
    <row r="560" spans="1:18">
      <c r="A560" s="239" t="s">
        <v>679</v>
      </c>
      <c r="B560" s="243" t="s">
        <v>191</v>
      </c>
      <c r="C560" s="84">
        <v>5</v>
      </c>
      <c r="D560" s="84">
        <v>5</v>
      </c>
      <c r="E560" s="226"/>
      <c r="F560" s="217">
        <v>0</v>
      </c>
      <c r="G560" s="217">
        <v>3</v>
      </c>
      <c r="H560" s="217">
        <v>0</v>
      </c>
      <c r="I560" s="217">
        <v>2</v>
      </c>
      <c r="J560" s="217">
        <v>0</v>
      </c>
      <c r="K560" s="217">
        <v>4</v>
      </c>
      <c r="L560" s="217">
        <v>0</v>
      </c>
      <c r="M560" s="217">
        <v>9</v>
      </c>
      <c r="N560" s="227"/>
      <c r="O560" s="228">
        <f t="shared" si="262"/>
        <v>0</v>
      </c>
      <c r="P560" s="228">
        <f t="shared" si="263"/>
        <v>0</v>
      </c>
      <c r="Q560" s="228">
        <f t="shared" si="264"/>
        <v>0</v>
      </c>
      <c r="R560" s="228">
        <f t="shared" si="265"/>
        <v>0</v>
      </c>
    </row>
    <row r="561" spans="1:18">
      <c r="A561" s="224" t="s">
        <v>680</v>
      </c>
      <c r="B561" s="251" t="s">
        <v>191</v>
      </c>
      <c r="C561" s="84">
        <v>5</v>
      </c>
      <c r="D561" s="84">
        <v>5</v>
      </c>
      <c r="E561" s="226"/>
      <c r="F561" s="217">
        <v>0</v>
      </c>
      <c r="G561" s="217">
        <v>8</v>
      </c>
      <c r="H561" s="217">
        <v>0</v>
      </c>
      <c r="I561" s="217">
        <v>3</v>
      </c>
      <c r="J561" s="217">
        <v>0</v>
      </c>
      <c r="K561" s="217">
        <v>8</v>
      </c>
      <c r="L561" s="217">
        <v>0</v>
      </c>
      <c r="M561" s="217">
        <v>19</v>
      </c>
      <c r="N561" s="227"/>
      <c r="O561" s="228">
        <f t="shared" si="262"/>
        <v>0</v>
      </c>
      <c r="P561" s="228">
        <f t="shared" si="263"/>
        <v>0</v>
      </c>
      <c r="Q561" s="228">
        <f t="shared" si="264"/>
        <v>0</v>
      </c>
      <c r="R561" s="228">
        <f t="shared" si="265"/>
        <v>0</v>
      </c>
    </row>
    <row r="562" spans="1:18">
      <c r="A562" s="224" t="s">
        <v>681</v>
      </c>
      <c r="B562" s="251" t="s">
        <v>191</v>
      </c>
      <c r="C562" s="84">
        <v>5</v>
      </c>
      <c r="D562" s="84">
        <v>5</v>
      </c>
      <c r="E562" s="226"/>
      <c r="F562" s="217">
        <v>0</v>
      </c>
      <c r="G562" s="217">
        <v>18</v>
      </c>
      <c r="H562" s="217">
        <v>1</v>
      </c>
      <c r="I562" s="217">
        <v>8</v>
      </c>
      <c r="J562" s="217">
        <v>2</v>
      </c>
      <c r="K562" s="217">
        <v>19</v>
      </c>
      <c r="L562" s="217">
        <v>3</v>
      </c>
      <c r="M562" s="217">
        <v>45</v>
      </c>
      <c r="N562" s="227"/>
      <c r="O562" s="228">
        <f t="shared" si="262"/>
        <v>0</v>
      </c>
      <c r="P562" s="228">
        <f t="shared" si="263"/>
        <v>0.125</v>
      </c>
      <c r="Q562" s="228">
        <f t="shared" si="264"/>
        <v>0.10526315789473684</v>
      </c>
      <c r="R562" s="228">
        <f t="shared" si="265"/>
        <v>6.6666666666666666E-2</v>
      </c>
    </row>
    <row r="563" spans="1:18">
      <c r="A563" s="224" t="s">
        <v>682</v>
      </c>
      <c r="B563" s="251" t="s">
        <v>191</v>
      </c>
      <c r="C563" s="84">
        <v>5</v>
      </c>
      <c r="D563" s="84">
        <v>5</v>
      </c>
      <c r="E563" s="226"/>
      <c r="F563" s="241">
        <v>0</v>
      </c>
      <c r="G563" s="241">
        <v>105</v>
      </c>
      <c r="H563" s="241">
        <v>0</v>
      </c>
      <c r="I563" s="241">
        <v>43</v>
      </c>
      <c r="J563" s="241">
        <v>11</v>
      </c>
      <c r="K563" s="241">
        <v>110</v>
      </c>
      <c r="L563" s="217">
        <f t="shared" ref="L563:M563" si="266">F563+H563+J563</f>
        <v>11</v>
      </c>
      <c r="M563" s="217">
        <f t="shared" si="266"/>
        <v>258</v>
      </c>
      <c r="N563" s="227"/>
      <c r="O563" s="228">
        <f t="shared" si="262"/>
        <v>0</v>
      </c>
      <c r="P563" s="228">
        <f t="shared" si="263"/>
        <v>0</v>
      </c>
      <c r="Q563" s="228">
        <f t="shared" si="264"/>
        <v>0.1</v>
      </c>
      <c r="R563" s="228">
        <f t="shared" si="265"/>
        <v>4.2635658914728682E-2</v>
      </c>
    </row>
    <row r="564" spans="1:18">
      <c r="A564" s="244" t="s">
        <v>683</v>
      </c>
      <c r="B564" s="253" t="s">
        <v>191</v>
      </c>
      <c r="C564" s="84">
        <v>5</v>
      </c>
      <c r="D564" s="84">
        <v>5</v>
      </c>
      <c r="E564" s="226"/>
      <c r="F564" s="217">
        <v>0</v>
      </c>
      <c r="G564" s="217">
        <v>5</v>
      </c>
      <c r="H564" s="217">
        <v>0</v>
      </c>
      <c r="I564" s="217">
        <v>2</v>
      </c>
      <c r="J564" s="217">
        <v>0</v>
      </c>
      <c r="K564" s="217">
        <v>6</v>
      </c>
      <c r="L564" s="217">
        <v>0</v>
      </c>
      <c r="M564" s="217">
        <v>13</v>
      </c>
      <c r="N564" s="227"/>
      <c r="O564" s="228">
        <f t="shared" si="262"/>
        <v>0</v>
      </c>
      <c r="P564" s="228">
        <f t="shared" si="263"/>
        <v>0</v>
      </c>
      <c r="Q564" s="228">
        <f t="shared" si="264"/>
        <v>0</v>
      </c>
      <c r="R564" s="228">
        <f t="shared" si="265"/>
        <v>0</v>
      </c>
    </row>
    <row r="565" spans="1:18">
      <c r="A565" s="244" t="s">
        <v>684</v>
      </c>
      <c r="B565" s="253" t="s">
        <v>191</v>
      </c>
      <c r="C565" s="84">
        <v>5</v>
      </c>
      <c r="D565" s="84">
        <v>5</v>
      </c>
      <c r="E565" s="226"/>
      <c r="F565" s="217">
        <v>0</v>
      </c>
      <c r="G565" s="217">
        <v>16</v>
      </c>
      <c r="H565" s="217">
        <v>0</v>
      </c>
      <c r="I565" s="217">
        <v>6</v>
      </c>
      <c r="J565" s="217">
        <v>6</v>
      </c>
      <c r="K565" s="217">
        <v>16</v>
      </c>
      <c r="L565" s="217">
        <v>6</v>
      </c>
      <c r="M565" s="217">
        <v>38</v>
      </c>
      <c r="N565" s="227"/>
      <c r="O565" s="228">
        <f t="shared" si="262"/>
        <v>0</v>
      </c>
      <c r="P565" s="228">
        <f t="shared" si="263"/>
        <v>0</v>
      </c>
      <c r="Q565" s="228">
        <f t="shared" si="264"/>
        <v>0.375</v>
      </c>
      <c r="R565" s="228">
        <f t="shared" si="265"/>
        <v>0.15789473684210525</v>
      </c>
    </row>
    <row r="566" spans="1:18">
      <c r="A566" s="244" t="s">
        <v>685</v>
      </c>
      <c r="B566" s="253" t="s">
        <v>191</v>
      </c>
      <c r="C566" s="84">
        <v>5</v>
      </c>
      <c r="D566" s="84">
        <v>5</v>
      </c>
      <c r="E566" s="226"/>
      <c r="F566" s="246">
        <v>0</v>
      </c>
      <c r="G566" s="246">
        <v>42</v>
      </c>
      <c r="H566" s="246">
        <v>6</v>
      </c>
      <c r="I566" s="246">
        <v>18</v>
      </c>
      <c r="J566" s="246">
        <v>0</v>
      </c>
      <c r="K566" s="246">
        <v>43</v>
      </c>
      <c r="L566" s="246">
        <v>6</v>
      </c>
      <c r="M566" s="246">
        <v>103</v>
      </c>
      <c r="N566" s="227"/>
      <c r="O566" s="247">
        <f t="shared" si="262"/>
        <v>0</v>
      </c>
      <c r="P566" s="247">
        <f t="shared" si="263"/>
        <v>0.33333333333333331</v>
      </c>
      <c r="Q566" s="247">
        <f t="shared" si="264"/>
        <v>0</v>
      </c>
      <c r="R566" s="247">
        <f t="shared" si="265"/>
        <v>5.8252427184466014E-2</v>
      </c>
    </row>
    <row r="567" spans="1:18">
      <c r="A567" s="239"/>
      <c r="B567" s="243"/>
      <c r="C567" s="226"/>
      <c r="D567" s="226"/>
      <c r="E567" s="226"/>
      <c r="F567" s="241">
        <f t="shared" ref="F567:M567" si="267">SUM(F557:F566)</f>
        <v>1</v>
      </c>
      <c r="G567" s="241">
        <f t="shared" si="267"/>
        <v>217</v>
      </c>
      <c r="H567" s="241">
        <f t="shared" si="267"/>
        <v>9</v>
      </c>
      <c r="I567" s="241">
        <f t="shared" si="267"/>
        <v>90</v>
      </c>
      <c r="J567" s="241">
        <f t="shared" si="267"/>
        <v>22</v>
      </c>
      <c r="K567" s="241">
        <f t="shared" si="267"/>
        <v>223</v>
      </c>
      <c r="L567" s="241">
        <f t="shared" si="267"/>
        <v>32</v>
      </c>
      <c r="M567" s="241">
        <f t="shared" si="267"/>
        <v>530</v>
      </c>
      <c r="N567" s="227"/>
      <c r="O567" s="228">
        <f>F567/G567*C566/D566</f>
        <v>4.608294930875576E-3</v>
      </c>
      <c r="P567" s="228">
        <f>H567/I567*C566/D566</f>
        <v>0.1</v>
      </c>
      <c r="Q567" s="228">
        <f>J567/K567*C566/5</f>
        <v>9.8654708520179366E-2</v>
      </c>
      <c r="R567" s="228">
        <f>L567/M567*C566/D566</f>
        <v>6.0377358490566038E-2</v>
      </c>
    </row>
    <row r="568" spans="1:18">
      <c r="A568" s="239"/>
      <c r="B568" s="243"/>
      <c r="C568" s="226"/>
      <c r="D568" s="226"/>
      <c r="E568" s="226"/>
      <c r="F568" s="241"/>
      <c r="G568" s="241"/>
      <c r="H568" s="217"/>
      <c r="I568" s="217"/>
      <c r="J568" s="217"/>
      <c r="K568" s="217"/>
      <c r="L568" s="217"/>
      <c r="M568" s="217"/>
      <c r="N568" s="227"/>
      <c r="O568" s="228"/>
      <c r="P568" s="228"/>
      <c r="Q568" s="228"/>
      <c r="R568" s="228"/>
    </row>
    <row r="569" spans="1:18">
      <c r="A569" s="239" t="s">
        <v>686</v>
      </c>
      <c r="B569" s="243" t="s">
        <v>192</v>
      </c>
      <c r="C569" s="84">
        <v>8</v>
      </c>
      <c r="D569" s="84">
        <v>5</v>
      </c>
      <c r="E569" s="226"/>
      <c r="F569" s="217">
        <v>4</v>
      </c>
      <c r="G569" s="217">
        <v>148</v>
      </c>
      <c r="H569" s="217">
        <v>3</v>
      </c>
      <c r="I569" s="217">
        <v>56</v>
      </c>
      <c r="J569" s="217">
        <v>15</v>
      </c>
      <c r="K569" s="217">
        <v>123</v>
      </c>
      <c r="L569" s="217">
        <v>22</v>
      </c>
      <c r="M569" s="217">
        <v>327</v>
      </c>
      <c r="N569" s="227"/>
      <c r="O569" s="228">
        <f t="shared" ref="O569:O576" si="268">F569/G569*C569/D569</f>
        <v>4.3243243243243246E-2</v>
      </c>
      <c r="P569" s="228">
        <f t="shared" ref="P569:P576" si="269">H569/I569*C569/D569</f>
        <v>8.5714285714285715E-2</v>
      </c>
      <c r="Q569" s="228">
        <f t="shared" ref="Q569:Q576" si="270">J569/K569*C569/D569</f>
        <v>0.1951219512195122</v>
      </c>
      <c r="R569" s="228">
        <f t="shared" ref="R569:R576" si="271">L569/M569*C569/D569</f>
        <v>0.10764525993883792</v>
      </c>
    </row>
    <row r="570" spans="1:18">
      <c r="A570" s="239" t="s">
        <v>687</v>
      </c>
      <c r="B570" s="243" t="s">
        <v>192</v>
      </c>
      <c r="C570" s="84">
        <v>8</v>
      </c>
      <c r="D570" s="84">
        <v>5</v>
      </c>
      <c r="E570" s="226"/>
      <c r="F570" s="217">
        <v>54</v>
      </c>
      <c r="G570" s="217">
        <v>74</v>
      </c>
      <c r="H570" s="217">
        <v>130</v>
      </c>
      <c r="I570" s="217">
        <v>30</v>
      </c>
      <c r="J570" s="217">
        <v>191</v>
      </c>
      <c r="K570" s="217">
        <v>93</v>
      </c>
      <c r="L570" s="217">
        <v>375</v>
      </c>
      <c r="M570" s="217">
        <v>197</v>
      </c>
      <c r="N570" s="227"/>
      <c r="O570" s="228">
        <f t="shared" si="268"/>
        <v>1.1675675675675676</v>
      </c>
      <c r="P570" s="228">
        <f t="shared" si="269"/>
        <v>6.9333333333333327</v>
      </c>
      <c r="Q570" s="228">
        <f t="shared" si="270"/>
        <v>3.2860215053763442</v>
      </c>
      <c r="R570" s="228">
        <f t="shared" si="271"/>
        <v>3.0456852791878175</v>
      </c>
    </row>
    <row r="571" spans="1:18">
      <c r="A571" s="224" t="s">
        <v>688</v>
      </c>
      <c r="B571" s="225" t="s">
        <v>192</v>
      </c>
      <c r="C571" s="84">
        <v>8</v>
      </c>
      <c r="D571" s="84">
        <v>5</v>
      </c>
      <c r="E571" s="226"/>
      <c r="F571" s="217">
        <v>0</v>
      </c>
      <c r="G571" s="217">
        <v>1183</v>
      </c>
      <c r="H571" s="217">
        <v>362</v>
      </c>
      <c r="I571" s="217">
        <v>456</v>
      </c>
      <c r="J571" s="217">
        <v>2065</v>
      </c>
      <c r="K571" s="217">
        <v>1461</v>
      </c>
      <c r="L571" s="217">
        <v>2427</v>
      </c>
      <c r="M571" s="217">
        <v>3100</v>
      </c>
      <c r="N571" s="227"/>
      <c r="O571" s="228">
        <f t="shared" si="268"/>
        <v>0</v>
      </c>
      <c r="P571" s="228">
        <f t="shared" si="269"/>
        <v>1.2701754385964912</v>
      </c>
      <c r="Q571" s="228">
        <f t="shared" si="270"/>
        <v>2.2614647501711156</v>
      </c>
      <c r="R571" s="228">
        <f t="shared" si="271"/>
        <v>1.2526451612903227</v>
      </c>
    </row>
    <row r="572" spans="1:18">
      <c r="A572" s="244" t="s">
        <v>689</v>
      </c>
      <c r="B572" s="245" t="s">
        <v>192</v>
      </c>
      <c r="C572" s="84">
        <v>8</v>
      </c>
      <c r="D572" s="84">
        <v>5</v>
      </c>
      <c r="E572" s="226"/>
      <c r="F572" s="217">
        <v>4</v>
      </c>
      <c r="G572" s="217">
        <v>81</v>
      </c>
      <c r="H572" s="217">
        <v>155</v>
      </c>
      <c r="I572" s="217">
        <v>48</v>
      </c>
      <c r="J572" s="217">
        <v>438</v>
      </c>
      <c r="K572" s="217">
        <v>170</v>
      </c>
      <c r="L572" s="217">
        <v>597</v>
      </c>
      <c r="M572" s="217">
        <v>299</v>
      </c>
      <c r="N572" s="227"/>
      <c r="O572" s="228">
        <f t="shared" si="268"/>
        <v>7.9012345679012344E-2</v>
      </c>
      <c r="P572" s="228">
        <f t="shared" si="269"/>
        <v>5.1666666666666661</v>
      </c>
      <c r="Q572" s="228">
        <f t="shared" si="270"/>
        <v>4.1223529411764712</v>
      </c>
      <c r="R572" s="228">
        <f t="shared" si="271"/>
        <v>3.1946488294314381</v>
      </c>
    </row>
    <row r="573" spans="1:18">
      <c r="A573" s="244" t="s">
        <v>690</v>
      </c>
      <c r="B573" s="245" t="s">
        <v>192</v>
      </c>
      <c r="C573" s="84">
        <v>8</v>
      </c>
      <c r="D573" s="84">
        <v>5</v>
      </c>
      <c r="E573" s="226"/>
      <c r="F573" s="217">
        <v>79</v>
      </c>
      <c r="G573" s="217">
        <v>41</v>
      </c>
      <c r="H573" s="217">
        <v>27</v>
      </c>
      <c r="I573" s="217">
        <v>19</v>
      </c>
      <c r="J573" s="217">
        <v>65</v>
      </c>
      <c r="K573" s="217">
        <v>43</v>
      </c>
      <c r="L573" s="217">
        <v>171</v>
      </c>
      <c r="M573" s="217">
        <v>103</v>
      </c>
      <c r="N573" s="227"/>
      <c r="O573" s="228">
        <f t="shared" si="268"/>
        <v>3.0829268292682928</v>
      </c>
      <c r="P573" s="228">
        <f t="shared" si="269"/>
        <v>2.2736842105263158</v>
      </c>
      <c r="Q573" s="228">
        <f t="shared" si="270"/>
        <v>2.4186046511627906</v>
      </c>
      <c r="R573" s="228">
        <f t="shared" si="271"/>
        <v>2.6563106796116505</v>
      </c>
    </row>
    <row r="574" spans="1:18">
      <c r="A574" s="244" t="s">
        <v>691</v>
      </c>
      <c r="B574" s="245" t="s">
        <v>192</v>
      </c>
      <c r="C574" s="84">
        <v>8</v>
      </c>
      <c r="D574" s="84">
        <v>5</v>
      </c>
      <c r="E574" s="226"/>
      <c r="F574" s="217">
        <v>0</v>
      </c>
      <c r="G574" s="217">
        <v>204</v>
      </c>
      <c r="H574" s="217">
        <v>0</v>
      </c>
      <c r="I574" s="217">
        <v>60</v>
      </c>
      <c r="J574" s="217">
        <v>84</v>
      </c>
      <c r="K574" s="217">
        <v>241</v>
      </c>
      <c r="L574" s="217">
        <v>84</v>
      </c>
      <c r="M574" s="217">
        <v>505</v>
      </c>
      <c r="N574" s="227"/>
      <c r="O574" s="228">
        <f t="shared" si="268"/>
        <v>0</v>
      </c>
      <c r="P574" s="228">
        <f t="shared" si="269"/>
        <v>0</v>
      </c>
      <c r="Q574" s="228">
        <f t="shared" si="270"/>
        <v>0.55767634854771786</v>
      </c>
      <c r="R574" s="228">
        <f t="shared" si="271"/>
        <v>0.26613861386138615</v>
      </c>
    </row>
    <row r="575" spans="1:18">
      <c r="A575" s="244" t="s">
        <v>692</v>
      </c>
      <c r="B575" s="253" t="s">
        <v>192</v>
      </c>
      <c r="C575" s="84">
        <v>8</v>
      </c>
      <c r="D575" s="84">
        <v>5</v>
      </c>
      <c r="E575" s="226"/>
      <c r="F575" s="217">
        <v>147</v>
      </c>
      <c r="G575" s="217">
        <v>421</v>
      </c>
      <c r="H575" s="217">
        <v>533</v>
      </c>
      <c r="I575" s="217">
        <v>173</v>
      </c>
      <c r="J575" s="217">
        <v>1035</v>
      </c>
      <c r="K575" s="217">
        <v>490</v>
      </c>
      <c r="L575" s="217">
        <v>1715</v>
      </c>
      <c r="M575" s="217">
        <v>1084</v>
      </c>
      <c r="N575" s="227"/>
      <c r="O575" s="228">
        <f t="shared" si="268"/>
        <v>0.55866983372921619</v>
      </c>
      <c r="P575" s="228">
        <f t="shared" si="269"/>
        <v>4.9294797687861269</v>
      </c>
      <c r="Q575" s="228">
        <f t="shared" si="270"/>
        <v>3.3795918367346935</v>
      </c>
      <c r="R575" s="228">
        <f t="shared" si="271"/>
        <v>2.5313653136531364</v>
      </c>
    </row>
    <row r="576" spans="1:18">
      <c r="A576" s="244" t="s">
        <v>693</v>
      </c>
      <c r="B576" s="253" t="s">
        <v>192</v>
      </c>
      <c r="C576" s="84">
        <v>8</v>
      </c>
      <c r="D576" s="84">
        <v>5</v>
      </c>
      <c r="E576" s="226"/>
      <c r="F576" s="246">
        <v>0</v>
      </c>
      <c r="G576" s="246">
        <v>461</v>
      </c>
      <c r="H576" s="246">
        <v>0</v>
      </c>
      <c r="I576" s="246">
        <v>211</v>
      </c>
      <c r="J576" s="246">
        <v>210</v>
      </c>
      <c r="K576" s="246">
        <v>690</v>
      </c>
      <c r="L576" s="246">
        <v>210</v>
      </c>
      <c r="M576" s="246">
        <v>1362</v>
      </c>
      <c r="N576" s="227"/>
      <c r="O576" s="247">
        <f t="shared" si="268"/>
        <v>0</v>
      </c>
      <c r="P576" s="247">
        <f t="shared" si="269"/>
        <v>0</v>
      </c>
      <c r="Q576" s="247">
        <f t="shared" si="270"/>
        <v>0.48695652173913045</v>
      </c>
      <c r="R576" s="247">
        <f t="shared" si="271"/>
        <v>0.24669603524229075</v>
      </c>
    </row>
    <row r="577" spans="1:18">
      <c r="A577" s="239"/>
      <c r="B577" s="243"/>
      <c r="C577" s="226"/>
      <c r="D577" s="226"/>
      <c r="E577" s="226"/>
      <c r="F577" s="241">
        <f t="shared" ref="F577:M577" si="272">SUM(F569:F576)</f>
        <v>288</v>
      </c>
      <c r="G577" s="241">
        <f t="shared" si="272"/>
        <v>2613</v>
      </c>
      <c r="H577" s="241">
        <f t="shared" si="272"/>
        <v>1210</v>
      </c>
      <c r="I577" s="241">
        <f t="shared" si="272"/>
        <v>1053</v>
      </c>
      <c r="J577" s="241">
        <f t="shared" si="272"/>
        <v>4103</v>
      </c>
      <c r="K577" s="241">
        <f t="shared" si="272"/>
        <v>3311</v>
      </c>
      <c r="L577" s="241">
        <f t="shared" si="272"/>
        <v>5601</v>
      </c>
      <c r="M577" s="241">
        <f t="shared" si="272"/>
        <v>6977</v>
      </c>
      <c r="N577" s="227"/>
      <c r="O577" s="228">
        <f>F577/G577*C576/D576</f>
        <v>0.17634902411021813</v>
      </c>
      <c r="P577" s="228">
        <f>H577/I577*C576/D576</f>
        <v>1.8385565052231718</v>
      </c>
      <c r="Q577" s="228">
        <f>J577/K577*C576/D576</f>
        <v>1.9827242524916944</v>
      </c>
      <c r="R577" s="228">
        <f>L577/M577*C576/D576</f>
        <v>1.2844489035402034</v>
      </c>
    </row>
    <row r="578" spans="1:18">
      <c r="A578" s="239"/>
      <c r="B578" s="243"/>
      <c r="C578" s="226"/>
      <c r="D578" s="226"/>
      <c r="E578" s="226"/>
      <c r="F578" s="278"/>
      <c r="G578" s="278"/>
      <c r="H578" s="274"/>
      <c r="I578" s="274"/>
      <c r="J578" s="274"/>
      <c r="K578" s="274"/>
      <c r="L578" s="274"/>
      <c r="M578" s="274"/>
      <c r="N578" s="180"/>
      <c r="O578" s="228"/>
      <c r="P578" s="228"/>
      <c r="Q578" s="228"/>
      <c r="R578" s="228"/>
    </row>
    <row r="579" spans="1:18">
      <c r="A579" s="239" t="s">
        <v>694</v>
      </c>
      <c r="B579" s="243" t="s">
        <v>193</v>
      </c>
      <c r="C579" s="84">
        <v>8</v>
      </c>
      <c r="D579" s="84">
        <v>5</v>
      </c>
      <c r="E579" s="226"/>
      <c r="F579" s="217">
        <v>32</v>
      </c>
      <c r="G579" s="217">
        <v>68</v>
      </c>
      <c r="H579" s="217">
        <v>5</v>
      </c>
      <c r="I579" s="217">
        <v>31</v>
      </c>
      <c r="J579" s="217">
        <v>77</v>
      </c>
      <c r="K579" s="217">
        <v>112</v>
      </c>
      <c r="L579" s="217">
        <v>114</v>
      </c>
      <c r="M579" s="217">
        <v>211</v>
      </c>
      <c r="N579" s="227"/>
      <c r="O579" s="228">
        <f t="shared" ref="O579:O588" si="273">F579/G579*C579/D579</f>
        <v>0.75294117647058822</v>
      </c>
      <c r="P579" s="228">
        <f t="shared" ref="P579:P588" si="274">H579/I579*C579/D579</f>
        <v>0.25806451612903225</v>
      </c>
      <c r="Q579" s="228">
        <f t="shared" ref="Q579:Q588" si="275">J579/K579*C579/D579</f>
        <v>1.1000000000000001</v>
      </c>
      <c r="R579" s="228">
        <f t="shared" ref="R579:R588" si="276">L579/M579*C579/D579</f>
        <v>0.86445497630331758</v>
      </c>
    </row>
    <row r="580" spans="1:18">
      <c r="A580" s="224" t="s">
        <v>695</v>
      </c>
      <c r="B580" s="225" t="s">
        <v>193</v>
      </c>
      <c r="C580" s="84">
        <v>8</v>
      </c>
      <c r="D580" s="84">
        <v>5</v>
      </c>
      <c r="E580" s="226"/>
      <c r="F580" s="217">
        <v>21</v>
      </c>
      <c r="G580" s="217">
        <v>53</v>
      </c>
      <c r="H580" s="217">
        <v>13</v>
      </c>
      <c r="I580" s="217">
        <v>18</v>
      </c>
      <c r="J580" s="217">
        <v>41</v>
      </c>
      <c r="K580" s="217">
        <v>66</v>
      </c>
      <c r="L580" s="217">
        <v>75</v>
      </c>
      <c r="M580" s="217">
        <v>137</v>
      </c>
      <c r="N580" s="227"/>
      <c r="O580" s="228">
        <f t="shared" si="273"/>
        <v>0.63396226415094348</v>
      </c>
      <c r="P580" s="228">
        <f t="shared" si="274"/>
        <v>1.1555555555555554</v>
      </c>
      <c r="Q580" s="228">
        <f t="shared" si="275"/>
        <v>0.9939393939393939</v>
      </c>
      <c r="R580" s="228">
        <f t="shared" si="276"/>
        <v>0.87591240875912413</v>
      </c>
    </row>
    <row r="581" spans="1:18">
      <c r="A581" s="239" t="s">
        <v>696</v>
      </c>
      <c r="B581" s="243" t="s">
        <v>193</v>
      </c>
      <c r="C581" s="84">
        <v>8</v>
      </c>
      <c r="D581" s="84">
        <v>5</v>
      </c>
      <c r="E581" s="226"/>
      <c r="F581" s="217">
        <v>41</v>
      </c>
      <c r="G581" s="217">
        <v>55</v>
      </c>
      <c r="H581" s="217">
        <v>74</v>
      </c>
      <c r="I581" s="217">
        <v>26</v>
      </c>
      <c r="J581" s="217">
        <v>163</v>
      </c>
      <c r="K581" s="217">
        <v>76</v>
      </c>
      <c r="L581" s="217">
        <v>278</v>
      </c>
      <c r="M581" s="217">
        <v>157</v>
      </c>
      <c r="N581" s="227"/>
      <c r="O581" s="228">
        <f t="shared" si="273"/>
        <v>1.1927272727272729</v>
      </c>
      <c r="P581" s="228">
        <f t="shared" si="274"/>
        <v>4.5538461538461537</v>
      </c>
      <c r="Q581" s="228">
        <f t="shared" si="275"/>
        <v>3.4315789473684211</v>
      </c>
      <c r="R581" s="228">
        <f t="shared" si="276"/>
        <v>2.8331210191082805</v>
      </c>
    </row>
    <row r="582" spans="1:18">
      <c r="A582" s="224" t="s">
        <v>697</v>
      </c>
      <c r="B582" s="251" t="s">
        <v>193</v>
      </c>
      <c r="C582" s="84">
        <v>8</v>
      </c>
      <c r="D582" s="84">
        <v>5</v>
      </c>
      <c r="E582" s="226"/>
      <c r="F582" s="217">
        <v>31</v>
      </c>
      <c r="G582" s="217">
        <v>302</v>
      </c>
      <c r="H582" s="217">
        <v>96</v>
      </c>
      <c r="I582" s="217">
        <v>121</v>
      </c>
      <c r="J582" s="217">
        <v>785</v>
      </c>
      <c r="K582" s="217">
        <v>322</v>
      </c>
      <c r="L582" s="217">
        <v>912</v>
      </c>
      <c r="M582" s="217">
        <v>745</v>
      </c>
      <c r="N582" s="227"/>
      <c r="O582" s="228">
        <f t="shared" si="273"/>
        <v>0.16423841059602648</v>
      </c>
      <c r="P582" s="228">
        <f t="shared" si="274"/>
        <v>1.2694214876033059</v>
      </c>
      <c r="Q582" s="228">
        <f t="shared" si="275"/>
        <v>3.9006211180124226</v>
      </c>
      <c r="R582" s="228">
        <f t="shared" si="276"/>
        <v>1.9586577181208054</v>
      </c>
    </row>
    <row r="583" spans="1:18">
      <c r="A583" s="244" t="s">
        <v>698</v>
      </c>
      <c r="B583" s="245" t="s">
        <v>193</v>
      </c>
      <c r="C583" s="84">
        <v>8</v>
      </c>
      <c r="D583" s="84">
        <v>5</v>
      </c>
      <c r="E583" s="226"/>
      <c r="F583" s="217">
        <v>225</v>
      </c>
      <c r="G583" s="217">
        <v>288</v>
      </c>
      <c r="H583" s="217">
        <v>19</v>
      </c>
      <c r="I583" s="217">
        <v>127</v>
      </c>
      <c r="J583" s="217">
        <v>1247</v>
      </c>
      <c r="K583" s="217">
        <v>484</v>
      </c>
      <c r="L583" s="217">
        <v>1491</v>
      </c>
      <c r="M583" s="217">
        <v>899</v>
      </c>
      <c r="N583" s="227"/>
      <c r="O583" s="228">
        <f t="shared" si="273"/>
        <v>1.25</v>
      </c>
      <c r="P583" s="228">
        <f t="shared" si="274"/>
        <v>0.2393700787401575</v>
      </c>
      <c r="Q583" s="228">
        <f t="shared" si="275"/>
        <v>4.1223140495867767</v>
      </c>
      <c r="R583" s="228">
        <f t="shared" si="276"/>
        <v>2.6536151279199109</v>
      </c>
    </row>
    <row r="584" spans="1:18">
      <c r="A584" s="244" t="s">
        <v>699</v>
      </c>
      <c r="B584" s="245" t="s">
        <v>193</v>
      </c>
      <c r="C584" s="84">
        <v>8</v>
      </c>
      <c r="D584" s="84">
        <v>5</v>
      </c>
      <c r="E584" s="226"/>
      <c r="F584" s="217">
        <v>262</v>
      </c>
      <c r="G584" s="217">
        <v>1712</v>
      </c>
      <c r="H584" s="217">
        <v>100</v>
      </c>
      <c r="I584" s="217">
        <v>759</v>
      </c>
      <c r="J584" s="217">
        <v>1111</v>
      </c>
      <c r="K584" s="217">
        <v>2612</v>
      </c>
      <c r="L584" s="217">
        <v>1473</v>
      </c>
      <c r="M584" s="217">
        <v>5083</v>
      </c>
      <c r="N584" s="227"/>
      <c r="O584" s="228">
        <f t="shared" si="273"/>
        <v>0.24485981308411214</v>
      </c>
      <c r="P584" s="228">
        <f t="shared" si="274"/>
        <v>0.21080368906455865</v>
      </c>
      <c r="Q584" s="228">
        <f t="shared" si="275"/>
        <v>0.68055130168453293</v>
      </c>
      <c r="R584" s="228">
        <f t="shared" si="276"/>
        <v>0.4636631910289199</v>
      </c>
    </row>
    <row r="585" spans="1:18">
      <c r="A585" s="244" t="s">
        <v>700</v>
      </c>
      <c r="B585" s="245" t="s">
        <v>193</v>
      </c>
      <c r="C585" s="84">
        <v>8</v>
      </c>
      <c r="D585" s="84">
        <v>5</v>
      </c>
      <c r="E585" s="226"/>
      <c r="F585" s="217">
        <v>14</v>
      </c>
      <c r="G585" s="217">
        <v>39</v>
      </c>
      <c r="H585" s="217">
        <v>20</v>
      </c>
      <c r="I585" s="217">
        <v>19</v>
      </c>
      <c r="J585" s="217">
        <v>25</v>
      </c>
      <c r="K585" s="217">
        <v>62</v>
      </c>
      <c r="L585" s="217">
        <v>59</v>
      </c>
      <c r="M585" s="217">
        <v>120</v>
      </c>
      <c r="N585" s="227"/>
      <c r="O585" s="228">
        <f t="shared" si="273"/>
        <v>0.57435897435897432</v>
      </c>
      <c r="P585" s="228">
        <f t="shared" si="274"/>
        <v>1.6842105263157894</v>
      </c>
      <c r="Q585" s="228">
        <f t="shared" si="275"/>
        <v>0.64516129032258063</v>
      </c>
      <c r="R585" s="228">
        <f t="shared" si="276"/>
        <v>0.78666666666666663</v>
      </c>
    </row>
    <row r="586" spans="1:18">
      <c r="A586" s="244" t="s">
        <v>193</v>
      </c>
      <c r="B586" s="245" t="s">
        <v>193</v>
      </c>
      <c r="C586" s="84">
        <v>8</v>
      </c>
      <c r="D586" s="84">
        <v>5</v>
      </c>
      <c r="E586" s="226"/>
      <c r="F586" s="217">
        <v>13</v>
      </c>
      <c r="G586" s="217">
        <v>47</v>
      </c>
      <c r="H586" s="217">
        <v>15</v>
      </c>
      <c r="I586" s="217">
        <v>27</v>
      </c>
      <c r="J586" s="217">
        <v>77</v>
      </c>
      <c r="K586" s="217">
        <v>63</v>
      </c>
      <c r="L586" s="217">
        <v>105</v>
      </c>
      <c r="M586" s="217">
        <v>137</v>
      </c>
      <c r="N586" s="227"/>
      <c r="O586" s="228">
        <f t="shared" si="273"/>
        <v>0.44255319148936173</v>
      </c>
      <c r="P586" s="228">
        <f t="shared" si="274"/>
        <v>0.88888888888888895</v>
      </c>
      <c r="Q586" s="228">
        <f t="shared" si="275"/>
        <v>1.9555555555555557</v>
      </c>
      <c r="R586" s="228">
        <f t="shared" si="276"/>
        <v>1.2262773722627736</v>
      </c>
    </row>
    <row r="587" spans="1:18">
      <c r="A587" s="244" t="s">
        <v>701</v>
      </c>
      <c r="B587" s="245" t="s">
        <v>193</v>
      </c>
      <c r="C587" s="84">
        <v>8</v>
      </c>
      <c r="D587" s="84">
        <v>5</v>
      </c>
      <c r="E587" s="226"/>
      <c r="F587" s="217">
        <v>345</v>
      </c>
      <c r="G587" s="217">
        <v>163</v>
      </c>
      <c r="H587" s="217">
        <v>341</v>
      </c>
      <c r="I587" s="217">
        <v>160</v>
      </c>
      <c r="J587" s="217">
        <v>954</v>
      </c>
      <c r="K587" s="217">
        <v>192</v>
      </c>
      <c r="L587" s="217">
        <v>1640</v>
      </c>
      <c r="M587" s="217">
        <v>515</v>
      </c>
      <c r="N587" s="227"/>
      <c r="O587" s="228">
        <f t="shared" si="273"/>
        <v>3.386503067484663</v>
      </c>
      <c r="P587" s="228">
        <f t="shared" si="274"/>
        <v>3.41</v>
      </c>
      <c r="Q587" s="228">
        <f t="shared" si="275"/>
        <v>7.95</v>
      </c>
      <c r="R587" s="228">
        <f t="shared" si="276"/>
        <v>5.095145631067961</v>
      </c>
    </row>
    <row r="588" spans="1:18">
      <c r="A588" s="244" t="s">
        <v>702</v>
      </c>
      <c r="B588" s="253" t="s">
        <v>193</v>
      </c>
      <c r="C588" s="84">
        <v>8</v>
      </c>
      <c r="D588" s="84">
        <v>5</v>
      </c>
      <c r="E588" s="226"/>
      <c r="F588" s="246">
        <v>59</v>
      </c>
      <c r="G588" s="246">
        <v>185</v>
      </c>
      <c r="H588" s="246">
        <v>2</v>
      </c>
      <c r="I588" s="246">
        <v>67</v>
      </c>
      <c r="J588" s="246">
        <v>113</v>
      </c>
      <c r="K588" s="246">
        <v>188</v>
      </c>
      <c r="L588" s="246">
        <v>174</v>
      </c>
      <c r="M588" s="246">
        <v>440</v>
      </c>
      <c r="N588" s="227"/>
      <c r="O588" s="247">
        <f t="shared" si="273"/>
        <v>0.51027027027027028</v>
      </c>
      <c r="P588" s="247">
        <f t="shared" si="274"/>
        <v>4.7761194029850747E-2</v>
      </c>
      <c r="Q588" s="247">
        <f t="shared" si="275"/>
        <v>0.96170212765957452</v>
      </c>
      <c r="R588" s="247">
        <f t="shared" si="276"/>
        <v>0.63272727272727269</v>
      </c>
    </row>
    <row r="589" spans="1:18">
      <c r="A589" s="239"/>
      <c r="B589" s="243"/>
      <c r="C589" s="226"/>
      <c r="D589" s="226"/>
      <c r="E589" s="226"/>
      <c r="F589" s="241">
        <f t="shared" ref="F589:M589" si="277">SUM(F579:F588)</f>
        <v>1043</v>
      </c>
      <c r="G589" s="241">
        <f t="shared" si="277"/>
        <v>2912</v>
      </c>
      <c r="H589" s="241">
        <f t="shared" si="277"/>
        <v>685</v>
      </c>
      <c r="I589" s="241">
        <f t="shared" si="277"/>
        <v>1355</v>
      </c>
      <c r="J589" s="241">
        <f t="shared" si="277"/>
        <v>4593</v>
      </c>
      <c r="K589" s="241">
        <f t="shared" si="277"/>
        <v>4177</v>
      </c>
      <c r="L589" s="241">
        <f t="shared" si="277"/>
        <v>6321</v>
      </c>
      <c r="M589" s="241">
        <f t="shared" si="277"/>
        <v>8444</v>
      </c>
      <c r="N589" s="227"/>
      <c r="O589" s="228">
        <f>F589/G589*C588/D588</f>
        <v>0.57307692307692304</v>
      </c>
      <c r="P589" s="228">
        <f>H589/I589*C588/D588</f>
        <v>0.80885608856088564</v>
      </c>
      <c r="Q589" s="228">
        <f>J589/K589*C588/D588</f>
        <v>1.7593488149389516</v>
      </c>
      <c r="R589" s="228">
        <f>L589/M589*C588/D588</f>
        <v>1.197726196115585</v>
      </c>
    </row>
    <row r="590" spans="1:18">
      <c r="A590" s="239"/>
      <c r="B590" s="243"/>
      <c r="C590" s="226"/>
      <c r="D590" s="226"/>
      <c r="E590" s="226"/>
      <c r="F590" s="281"/>
      <c r="G590" s="281"/>
      <c r="H590" s="281"/>
      <c r="I590" s="281"/>
      <c r="J590" s="258"/>
      <c r="K590" s="274"/>
      <c r="L590" s="274"/>
      <c r="M590" s="274"/>
      <c r="N590" s="180"/>
      <c r="O590" s="228"/>
      <c r="P590" s="228"/>
      <c r="Q590" s="228"/>
      <c r="R590" s="228"/>
    </row>
    <row r="591" spans="1:18">
      <c r="A591" s="224" t="s">
        <v>703</v>
      </c>
      <c r="B591" s="243" t="s">
        <v>195</v>
      </c>
      <c r="C591" s="84">
        <v>8</v>
      </c>
      <c r="D591" s="84">
        <v>4</v>
      </c>
      <c r="E591" s="226"/>
      <c r="F591" s="217">
        <v>0</v>
      </c>
      <c r="G591" s="217">
        <v>1021</v>
      </c>
      <c r="H591" s="217">
        <v>11</v>
      </c>
      <c r="I591" s="217">
        <v>446</v>
      </c>
      <c r="J591" s="217">
        <v>58</v>
      </c>
      <c r="K591" s="217">
        <v>1104</v>
      </c>
      <c r="L591" s="217">
        <v>69</v>
      </c>
      <c r="M591" s="217">
        <v>2571</v>
      </c>
      <c r="N591" s="180"/>
      <c r="O591" s="228"/>
      <c r="P591" s="228"/>
      <c r="Q591" s="228"/>
      <c r="R591" s="228"/>
    </row>
    <row r="592" spans="1:18">
      <c r="A592" s="224" t="s">
        <v>704</v>
      </c>
      <c r="B592" s="225" t="s">
        <v>195</v>
      </c>
      <c r="C592" s="84">
        <v>8</v>
      </c>
      <c r="D592" s="84">
        <v>4</v>
      </c>
      <c r="E592" s="226"/>
      <c r="F592" s="217">
        <v>0</v>
      </c>
      <c r="G592" s="217">
        <v>87</v>
      </c>
      <c r="H592" s="217">
        <v>0</v>
      </c>
      <c r="I592" s="217">
        <v>38</v>
      </c>
      <c r="J592" s="217">
        <v>91</v>
      </c>
      <c r="K592" s="217">
        <v>93</v>
      </c>
      <c r="L592" s="217">
        <v>91</v>
      </c>
      <c r="M592" s="217">
        <v>218</v>
      </c>
      <c r="N592" s="180"/>
      <c r="O592" s="228">
        <f t="shared" ref="O592:O600" si="278">F592/G592*C592/D592</f>
        <v>0</v>
      </c>
      <c r="P592" s="228">
        <f t="shared" ref="P592:P600" si="279">H592/I592*C592/D592</f>
        <v>0</v>
      </c>
      <c r="Q592" s="228">
        <f t="shared" ref="Q592:Q600" si="280">J591/K591*$C$591/$D$591</f>
        <v>0.10507246376811594</v>
      </c>
      <c r="R592" s="228">
        <f t="shared" ref="R592:R600" si="281">L592/M592*C592/D592</f>
        <v>0.83486238532110091</v>
      </c>
    </row>
    <row r="593" spans="1:18">
      <c r="A593" s="224" t="s">
        <v>705</v>
      </c>
      <c r="B593" s="251" t="s">
        <v>195</v>
      </c>
      <c r="C593" s="84">
        <v>8</v>
      </c>
      <c r="D593" s="84">
        <v>4</v>
      </c>
      <c r="E593" s="226"/>
      <c r="F593" s="217">
        <v>61</v>
      </c>
      <c r="G593" s="217">
        <v>2537</v>
      </c>
      <c r="H593" s="217">
        <v>276</v>
      </c>
      <c r="I593" s="217">
        <v>1100</v>
      </c>
      <c r="J593" s="217">
        <v>584</v>
      </c>
      <c r="K593" s="217">
        <v>2724</v>
      </c>
      <c r="L593" s="217">
        <v>921</v>
      </c>
      <c r="M593" s="217">
        <v>6361</v>
      </c>
      <c r="N593" s="180"/>
      <c r="O593" s="228">
        <f t="shared" si="278"/>
        <v>4.8088293259755617E-2</v>
      </c>
      <c r="P593" s="228">
        <f t="shared" si="279"/>
        <v>0.50181818181818183</v>
      </c>
      <c r="Q593" s="228">
        <f t="shared" si="280"/>
        <v>1.956989247311828</v>
      </c>
      <c r="R593" s="228">
        <f t="shared" si="281"/>
        <v>0.2895771105172143</v>
      </c>
    </row>
    <row r="594" spans="1:18">
      <c r="A594" s="224" t="s">
        <v>706</v>
      </c>
      <c r="B594" s="225" t="s">
        <v>195</v>
      </c>
      <c r="C594" s="84">
        <v>8</v>
      </c>
      <c r="D594" s="84">
        <v>4</v>
      </c>
      <c r="E594" s="226"/>
      <c r="F594" s="217">
        <v>0</v>
      </c>
      <c r="G594" s="217">
        <v>305</v>
      </c>
      <c r="H594" s="217">
        <v>0</v>
      </c>
      <c r="I594" s="217">
        <v>136</v>
      </c>
      <c r="J594" s="217">
        <v>0</v>
      </c>
      <c r="K594" s="217">
        <v>337</v>
      </c>
      <c r="L594" s="217">
        <v>0</v>
      </c>
      <c r="M594" s="217">
        <v>778</v>
      </c>
      <c r="N594" s="180"/>
      <c r="O594" s="228">
        <f t="shared" si="278"/>
        <v>0</v>
      </c>
      <c r="P594" s="228">
        <f t="shared" si="279"/>
        <v>0</v>
      </c>
      <c r="Q594" s="228">
        <f t="shared" si="280"/>
        <v>0.42878120411160059</v>
      </c>
      <c r="R594" s="228">
        <f t="shared" si="281"/>
        <v>0</v>
      </c>
    </row>
    <row r="595" spans="1:18">
      <c r="A595" s="224" t="s">
        <v>707</v>
      </c>
      <c r="B595" s="251" t="s">
        <v>195</v>
      </c>
      <c r="C595" s="84">
        <v>8</v>
      </c>
      <c r="D595" s="84">
        <v>4</v>
      </c>
      <c r="E595" s="226"/>
      <c r="F595" s="217">
        <v>58</v>
      </c>
      <c r="G595" s="217">
        <v>517</v>
      </c>
      <c r="H595" s="217">
        <v>84</v>
      </c>
      <c r="I595" s="217">
        <v>210</v>
      </c>
      <c r="J595" s="217">
        <v>287</v>
      </c>
      <c r="K595" s="217">
        <v>520</v>
      </c>
      <c r="L595" s="217">
        <v>429</v>
      </c>
      <c r="M595" s="217">
        <v>1247</v>
      </c>
      <c r="N595" s="180"/>
      <c r="O595" s="228">
        <f t="shared" si="278"/>
        <v>0.22437137330754353</v>
      </c>
      <c r="P595" s="228">
        <f t="shared" si="279"/>
        <v>0.8</v>
      </c>
      <c r="Q595" s="228">
        <f t="shared" si="280"/>
        <v>0</v>
      </c>
      <c r="R595" s="228">
        <f t="shared" si="281"/>
        <v>0.68805132317562145</v>
      </c>
    </row>
    <row r="596" spans="1:18">
      <c r="A596" s="224" t="s">
        <v>708</v>
      </c>
      <c r="B596" s="225" t="s">
        <v>195</v>
      </c>
      <c r="C596" s="84">
        <v>8</v>
      </c>
      <c r="D596" s="84">
        <v>4</v>
      </c>
      <c r="E596" s="226"/>
      <c r="F596" s="241">
        <v>0</v>
      </c>
      <c r="G596" s="241">
        <v>1044</v>
      </c>
      <c r="H596" s="217">
        <v>0</v>
      </c>
      <c r="I596" s="217">
        <v>416</v>
      </c>
      <c r="J596" s="241">
        <v>0</v>
      </c>
      <c r="K596" s="241">
        <v>1031</v>
      </c>
      <c r="L596" s="217">
        <v>0</v>
      </c>
      <c r="M596" s="217">
        <v>2491</v>
      </c>
      <c r="N596" s="180"/>
      <c r="O596" s="228">
        <f t="shared" si="278"/>
        <v>0</v>
      </c>
      <c r="P596" s="228">
        <f t="shared" si="279"/>
        <v>0</v>
      </c>
      <c r="Q596" s="228">
        <f t="shared" si="280"/>
        <v>1.1038461538461539</v>
      </c>
      <c r="R596" s="228">
        <f t="shared" si="281"/>
        <v>0</v>
      </c>
    </row>
    <row r="597" spans="1:18">
      <c r="A597" s="244" t="s">
        <v>709</v>
      </c>
      <c r="B597" s="245" t="s">
        <v>195</v>
      </c>
      <c r="C597" s="84">
        <v>8</v>
      </c>
      <c r="D597" s="84">
        <v>4</v>
      </c>
      <c r="E597" s="226"/>
      <c r="F597" s="217">
        <v>71</v>
      </c>
      <c r="G597" s="217">
        <v>527</v>
      </c>
      <c r="H597" s="217">
        <v>0</v>
      </c>
      <c r="I597" s="217">
        <v>217</v>
      </c>
      <c r="J597" s="217">
        <v>121</v>
      </c>
      <c r="K597" s="217">
        <v>536</v>
      </c>
      <c r="L597" s="217">
        <v>192</v>
      </c>
      <c r="M597" s="217">
        <v>1280</v>
      </c>
      <c r="N597" s="180"/>
      <c r="O597" s="228">
        <f t="shared" si="278"/>
        <v>0.26944971537001899</v>
      </c>
      <c r="P597" s="228">
        <f t="shared" si="279"/>
        <v>0</v>
      </c>
      <c r="Q597" s="228">
        <f t="shared" si="280"/>
        <v>0</v>
      </c>
      <c r="R597" s="228">
        <f t="shared" si="281"/>
        <v>0.3</v>
      </c>
    </row>
    <row r="598" spans="1:18">
      <c r="A598" s="244" t="s">
        <v>710</v>
      </c>
      <c r="B598" s="245" t="s">
        <v>195</v>
      </c>
      <c r="C598" s="84">
        <v>8</v>
      </c>
      <c r="D598" s="84">
        <v>4</v>
      </c>
      <c r="E598" s="226"/>
      <c r="F598" s="217">
        <v>29</v>
      </c>
      <c r="G598" s="217">
        <v>883</v>
      </c>
      <c r="H598" s="217">
        <v>44</v>
      </c>
      <c r="I598" s="217">
        <v>391</v>
      </c>
      <c r="J598" s="217">
        <v>479</v>
      </c>
      <c r="K598" s="217">
        <v>967</v>
      </c>
      <c r="L598" s="217">
        <v>552</v>
      </c>
      <c r="M598" s="217">
        <v>2241</v>
      </c>
      <c r="N598" s="180"/>
      <c r="O598" s="228">
        <f t="shared" si="278"/>
        <v>6.5685164212910527E-2</v>
      </c>
      <c r="P598" s="228">
        <f t="shared" si="279"/>
        <v>0.22506393861892582</v>
      </c>
      <c r="Q598" s="228">
        <f t="shared" si="280"/>
        <v>0.45149253731343286</v>
      </c>
      <c r="R598" s="228">
        <f t="shared" si="281"/>
        <v>0.49263721552878181</v>
      </c>
    </row>
    <row r="599" spans="1:18">
      <c r="A599" s="244" t="s">
        <v>711</v>
      </c>
      <c r="B599" s="253" t="s">
        <v>195</v>
      </c>
      <c r="C599" s="84">
        <v>8</v>
      </c>
      <c r="D599" s="84">
        <v>4</v>
      </c>
      <c r="E599" s="226"/>
      <c r="F599" s="217">
        <v>255</v>
      </c>
      <c r="G599" s="217">
        <v>1439</v>
      </c>
      <c r="H599" s="217">
        <v>597</v>
      </c>
      <c r="I599" s="217">
        <v>627</v>
      </c>
      <c r="J599" s="217">
        <v>141</v>
      </c>
      <c r="K599" s="217">
        <v>1552</v>
      </c>
      <c r="L599" s="217">
        <v>993</v>
      </c>
      <c r="M599" s="217">
        <v>3618</v>
      </c>
      <c r="N599" s="180"/>
      <c r="O599" s="228">
        <f t="shared" si="278"/>
        <v>0.35441278665740095</v>
      </c>
      <c r="P599" s="228">
        <f t="shared" si="279"/>
        <v>1.9043062200956937</v>
      </c>
      <c r="Q599" s="228">
        <f t="shared" si="280"/>
        <v>0.99069286452947258</v>
      </c>
      <c r="R599" s="228">
        <f t="shared" si="281"/>
        <v>0.54892205638474301</v>
      </c>
    </row>
    <row r="600" spans="1:18">
      <c r="A600" s="244" t="s">
        <v>712</v>
      </c>
      <c r="B600" s="253" t="s">
        <v>195</v>
      </c>
      <c r="C600" s="84">
        <v>8</v>
      </c>
      <c r="D600" s="84">
        <v>4</v>
      </c>
      <c r="E600" s="226"/>
      <c r="F600" s="246">
        <v>0</v>
      </c>
      <c r="G600" s="246">
        <v>215</v>
      </c>
      <c r="H600" s="246">
        <v>0</v>
      </c>
      <c r="I600" s="246">
        <v>89</v>
      </c>
      <c r="J600" s="246">
        <v>29</v>
      </c>
      <c r="K600" s="246">
        <v>221</v>
      </c>
      <c r="L600" s="246">
        <v>29</v>
      </c>
      <c r="M600" s="246">
        <v>525</v>
      </c>
      <c r="N600" s="180"/>
      <c r="O600" s="247">
        <f t="shared" si="278"/>
        <v>0</v>
      </c>
      <c r="P600" s="247">
        <f t="shared" si="279"/>
        <v>0</v>
      </c>
      <c r="Q600" s="247">
        <f t="shared" si="280"/>
        <v>0.18170103092783504</v>
      </c>
      <c r="R600" s="247">
        <f t="shared" si="281"/>
        <v>0.11047619047619048</v>
      </c>
    </row>
    <row r="601" spans="1:18">
      <c r="A601" s="239"/>
      <c r="B601" s="243"/>
      <c r="C601" s="226"/>
      <c r="D601" s="226"/>
      <c r="E601" s="226"/>
      <c r="F601" s="241">
        <f t="shared" ref="F601:M601" si="282">SUM(F591:F600)</f>
        <v>474</v>
      </c>
      <c r="G601" s="241">
        <f t="shared" si="282"/>
        <v>8575</v>
      </c>
      <c r="H601" s="241">
        <f t="shared" si="282"/>
        <v>1012</v>
      </c>
      <c r="I601" s="241">
        <f t="shared" si="282"/>
        <v>3670</v>
      </c>
      <c r="J601" s="241">
        <f t="shared" si="282"/>
        <v>1790</v>
      </c>
      <c r="K601" s="241">
        <f t="shared" si="282"/>
        <v>9085</v>
      </c>
      <c r="L601" s="241">
        <f t="shared" si="282"/>
        <v>3276</v>
      </c>
      <c r="M601" s="241">
        <f t="shared" si="282"/>
        <v>21330</v>
      </c>
      <c r="N601" s="180"/>
      <c r="O601" s="228">
        <f>F601/G601*C600/D600</f>
        <v>0.11055393586005831</v>
      </c>
      <c r="P601" s="228">
        <f>H601/I601*C600/D600</f>
        <v>0.55149863760217988</v>
      </c>
      <c r="Q601" s="228">
        <f>J601/K601*C600/D600</f>
        <v>0.39405613648871768</v>
      </c>
      <c r="R601" s="228">
        <f>L601/M601*C600/D600</f>
        <v>0.30717299578059071</v>
      </c>
    </row>
    <row r="602" spans="1:18">
      <c r="A602" s="239"/>
      <c r="B602" s="243"/>
      <c r="C602" s="226"/>
      <c r="D602" s="226"/>
      <c r="E602" s="226"/>
      <c r="F602" s="278"/>
      <c r="G602" s="278"/>
      <c r="H602" s="274"/>
      <c r="I602" s="274"/>
      <c r="J602" s="274"/>
      <c r="K602" s="274"/>
      <c r="L602" s="274"/>
      <c r="M602" s="274"/>
      <c r="N602" s="180"/>
      <c r="O602" s="228"/>
      <c r="P602" s="228"/>
      <c r="Q602" s="228"/>
      <c r="R602" s="228"/>
    </row>
    <row r="603" spans="1:18">
      <c r="A603" s="239" t="s">
        <v>713</v>
      </c>
      <c r="B603" s="243" t="s">
        <v>196</v>
      </c>
      <c r="C603" s="84">
        <v>8</v>
      </c>
      <c r="D603" s="84">
        <v>5</v>
      </c>
      <c r="E603" s="226"/>
      <c r="F603" s="217">
        <v>83</v>
      </c>
      <c r="G603" s="217">
        <v>176</v>
      </c>
      <c r="H603" s="217">
        <v>3</v>
      </c>
      <c r="I603" s="217">
        <v>83</v>
      </c>
      <c r="J603" s="217">
        <v>107</v>
      </c>
      <c r="K603" s="217">
        <v>190</v>
      </c>
      <c r="L603" s="217">
        <v>193</v>
      </c>
      <c r="M603" s="217">
        <v>449</v>
      </c>
      <c r="N603" s="180"/>
      <c r="O603" s="228">
        <f t="shared" ref="O603:O605" si="283">F603/G603*C603/D603</f>
        <v>0.75454545454545463</v>
      </c>
      <c r="P603" s="228">
        <f t="shared" ref="P603:P605" si="284">H603/I603*C603/D603</f>
        <v>5.7831325301204814E-2</v>
      </c>
      <c r="Q603" s="228">
        <f t="shared" ref="Q603:Q605" si="285">J603/K603*C603/D603</f>
        <v>0.90105263157894733</v>
      </c>
      <c r="R603" s="228">
        <f t="shared" ref="R603:R605" si="286">L603/M603*C603/D603</f>
        <v>0.68775055679287311</v>
      </c>
    </row>
    <row r="604" spans="1:18">
      <c r="A604" s="244" t="s">
        <v>714</v>
      </c>
      <c r="B604" s="245" t="s">
        <v>196</v>
      </c>
      <c r="C604" s="84">
        <v>8</v>
      </c>
      <c r="D604" s="84">
        <v>5</v>
      </c>
      <c r="E604" s="226"/>
      <c r="F604" s="217">
        <v>3</v>
      </c>
      <c r="G604" s="217">
        <v>145</v>
      </c>
      <c r="H604" s="217">
        <v>19</v>
      </c>
      <c r="I604" s="217">
        <v>62</v>
      </c>
      <c r="J604" s="217">
        <v>81</v>
      </c>
      <c r="K604" s="217">
        <v>128</v>
      </c>
      <c r="L604" s="217">
        <v>103</v>
      </c>
      <c r="M604" s="217">
        <v>335</v>
      </c>
      <c r="N604" s="180"/>
      <c r="O604" s="228">
        <f t="shared" si="283"/>
        <v>3.310344827586207E-2</v>
      </c>
      <c r="P604" s="228">
        <f t="shared" si="284"/>
        <v>0.49032258064516132</v>
      </c>
      <c r="Q604" s="228">
        <f t="shared" si="285"/>
        <v>1.0125</v>
      </c>
      <c r="R604" s="228">
        <f t="shared" si="286"/>
        <v>0.49194029850746268</v>
      </c>
    </row>
    <row r="605" spans="1:18">
      <c r="A605" s="244" t="s">
        <v>715</v>
      </c>
      <c r="B605" s="253" t="s">
        <v>196</v>
      </c>
      <c r="C605" s="84">
        <v>8</v>
      </c>
      <c r="D605" s="84">
        <v>5</v>
      </c>
      <c r="E605" s="226"/>
      <c r="F605" s="246">
        <v>14</v>
      </c>
      <c r="G605" s="246">
        <v>1061</v>
      </c>
      <c r="H605" s="246">
        <v>135</v>
      </c>
      <c r="I605" s="246">
        <v>498</v>
      </c>
      <c r="J605" s="246">
        <v>100</v>
      </c>
      <c r="K605" s="246">
        <v>1120</v>
      </c>
      <c r="L605" s="246">
        <v>249</v>
      </c>
      <c r="M605" s="246">
        <v>2679</v>
      </c>
      <c r="N605" s="180"/>
      <c r="O605" s="247">
        <f t="shared" si="283"/>
        <v>2.111215834118756E-2</v>
      </c>
      <c r="P605" s="247">
        <f t="shared" si="284"/>
        <v>0.4337349397590361</v>
      </c>
      <c r="Q605" s="247">
        <f t="shared" si="285"/>
        <v>0.14285714285714285</v>
      </c>
      <c r="R605" s="247">
        <f t="shared" si="286"/>
        <v>0.14871220604703247</v>
      </c>
    </row>
    <row r="606" spans="1:18">
      <c r="A606" s="244"/>
      <c r="B606" s="253"/>
      <c r="C606" s="226"/>
      <c r="D606" s="226"/>
      <c r="E606" s="226"/>
      <c r="F606" s="241">
        <f t="shared" ref="F606:M606" si="287">SUM(F603:F605)</f>
        <v>100</v>
      </c>
      <c r="G606" s="241">
        <f t="shared" si="287"/>
        <v>1382</v>
      </c>
      <c r="H606" s="241">
        <f t="shared" si="287"/>
        <v>157</v>
      </c>
      <c r="I606" s="241">
        <f t="shared" si="287"/>
        <v>643</v>
      </c>
      <c r="J606" s="241">
        <f t="shared" si="287"/>
        <v>288</v>
      </c>
      <c r="K606" s="241">
        <f t="shared" si="287"/>
        <v>1438</v>
      </c>
      <c r="L606" s="241">
        <f t="shared" si="287"/>
        <v>545</v>
      </c>
      <c r="M606" s="241">
        <f t="shared" si="287"/>
        <v>3463</v>
      </c>
      <c r="N606" s="180"/>
      <c r="O606" s="228">
        <f>F606/G606*C605/D605</f>
        <v>0.11577424023154848</v>
      </c>
      <c r="P606" s="228">
        <f>H606/I606*C605/D605</f>
        <v>0.39066874027993781</v>
      </c>
      <c r="Q606" s="228">
        <f>J606/K606*C605/D605</f>
        <v>0.32044506258692629</v>
      </c>
      <c r="R606" s="228">
        <f>L606/M606*C605/D605</f>
        <v>0.25180479353162</v>
      </c>
    </row>
    <row r="607" spans="1:18">
      <c r="A607" s="239"/>
      <c r="B607" s="243"/>
      <c r="C607" s="226"/>
      <c r="D607" s="226"/>
      <c r="E607" s="226"/>
      <c r="F607" s="278"/>
      <c r="G607" s="278"/>
      <c r="H607" s="274"/>
      <c r="I607" s="274"/>
      <c r="J607" s="274"/>
      <c r="K607" s="274"/>
      <c r="L607" s="274"/>
      <c r="M607" s="274"/>
      <c r="N607" s="180"/>
      <c r="O607" s="228"/>
      <c r="P607" s="228"/>
      <c r="Q607" s="228"/>
      <c r="R607" s="228"/>
    </row>
    <row r="608" spans="1:18">
      <c r="A608" s="239" t="s">
        <v>716</v>
      </c>
      <c r="B608" s="243" t="s">
        <v>197</v>
      </c>
      <c r="C608" s="84">
        <v>5</v>
      </c>
      <c r="D608" s="84">
        <v>5</v>
      </c>
      <c r="E608" s="226"/>
      <c r="F608" s="217">
        <v>0</v>
      </c>
      <c r="G608" s="217">
        <v>68</v>
      </c>
      <c r="H608" s="217">
        <v>4</v>
      </c>
      <c r="I608" s="217">
        <v>33</v>
      </c>
      <c r="J608" s="217">
        <v>13</v>
      </c>
      <c r="K608" s="217">
        <v>75</v>
      </c>
      <c r="L608" s="217">
        <v>17</v>
      </c>
      <c r="M608" s="217">
        <v>176</v>
      </c>
      <c r="N608" s="227"/>
      <c r="O608" s="228">
        <f t="shared" ref="O608:O611" si="288">F608/G608*C608/D608</f>
        <v>0</v>
      </c>
      <c r="P608" s="228">
        <f t="shared" ref="P608:P611" si="289">H608/I608*C608/D608</f>
        <v>0.12121212121212122</v>
      </c>
      <c r="Q608" s="228">
        <f t="shared" ref="Q608:Q612" si="290">J608/K608*$C$608/$D$608</f>
        <v>0.17333333333333334</v>
      </c>
      <c r="R608" s="228">
        <f t="shared" ref="R608:R611" si="291">L608/M608*C608/D608</f>
        <v>9.6590909090909088E-2</v>
      </c>
    </row>
    <row r="609" spans="1:18">
      <c r="A609" s="244" t="s">
        <v>717</v>
      </c>
      <c r="B609" s="245" t="s">
        <v>197</v>
      </c>
      <c r="C609" s="84">
        <v>5</v>
      </c>
      <c r="D609" s="84">
        <v>5</v>
      </c>
      <c r="E609" s="226"/>
      <c r="F609" s="217">
        <v>46</v>
      </c>
      <c r="G609" s="217">
        <v>125</v>
      </c>
      <c r="H609" s="217">
        <v>33</v>
      </c>
      <c r="I609" s="217">
        <v>61</v>
      </c>
      <c r="J609" s="217">
        <v>0</v>
      </c>
      <c r="K609" s="217">
        <v>137</v>
      </c>
      <c r="L609" s="217">
        <v>79</v>
      </c>
      <c r="M609" s="217">
        <v>323</v>
      </c>
      <c r="N609" s="227"/>
      <c r="O609" s="228">
        <f t="shared" si="288"/>
        <v>0.36799999999999999</v>
      </c>
      <c r="P609" s="228">
        <f t="shared" si="289"/>
        <v>0.54098360655737709</v>
      </c>
      <c r="Q609" s="228">
        <f t="shared" si="290"/>
        <v>0</v>
      </c>
      <c r="R609" s="228">
        <f t="shared" si="291"/>
        <v>0.24458204334365324</v>
      </c>
    </row>
    <row r="610" spans="1:18">
      <c r="A610" s="244" t="s">
        <v>197</v>
      </c>
      <c r="B610" s="245" t="s">
        <v>197</v>
      </c>
      <c r="C610" s="84">
        <v>5</v>
      </c>
      <c r="D610" s="84">
        <v>5</v>
      </c>
      <c r="E610" s="226"/>
      <c r="F610" s="217">
        <v>0</v>
      </c>
      <c r="G610" s="217">
        <v>4</v>
      </c>
      <c r="H610" s="217">
        <v>0</v>
      </c>
      <c r="I610" s="217">
        <v>2</v>
      </c>
      <c r="J610" s="217">
        <v>0</v>
      </c>
      <c r="K610" s="217">
        <v>4</v>
      </c>
      <c r="L610" s="217">
        <v>0</v>
      </c>
      <c r="M610" s="217">
        <v>10</v>
      </c>
      <c r="N610" s="227"/>
      <c r="O610" s="228">
        <f t="shared" si="288"/>
        <v>0</v>
      </c>
      <c r="P610" s="228">
        <f t="shared" si="289"/>
        <v>0</v>
      </c>
      <c r="Q610" s="228">
        <f t="shared" si="290"/>
        <v>0</v>
      </c>
      <c r="R610" s="228">
        <f t="shared" si="291"/>
        <v>0</v>
      </c>
    </row>
    <row r="611" spans="1:18">
      <c r="A611" s="244" t="s">
        <v>718</v>
      </c>
      <c r="B611" s="245" t="s">
        <v>197</v>
      </c>
      <c r="C611" s="84">
        <v>5</v>
      </c>
      <c r="D611" s="84">
        <v>5</v>
      </c>
      <c r="E611" s="226"/>
      <c r="F611" s="246">
        <v>114</v>
      </c>
      <c r="G611" s="246">
        <v>188</v>
      </c>
      <c r="H611" s="246">
        <v>81</v>
      </c>
      <c r="I611" s="246">
        <v>89</v>
      </c>
      <c r="J611" s="246">
        <v>99</v>
      </c>
      <c r="K611" s="246">
        <v>209</v>
      </c>
      <c r="L611" s="246">
        <v>294</v>
      </c>
      <c r="M611" s="246">
        <v>486</v>
      </c>
      <c r="N611" s="227"/>
      <c r="O611" s="247">
        <f t="shared" si="288"/>
        <v>0.6063829787234043</v>
      </c>
      <c r="P611" s="247">
        <f t="shared" si="289"/>
        <v>0.9101123595505618</v>
      </c>
      <c r="Q611" s="247">
        <f t="shared" si="290"/>
        <v>0.47368421052631576</v>
      </c>
      <c r="R611" s="247">
        <f t="shared" si="291"/>
        <v>0.60493827160493829</v>
      </c>
    </row>
    <row r="612" spans="1:18">
      <c r="A612" s="244"/>
      <c r="B612" s="245"/>
      <c r="C612" s="226"/>
      <c r="D612" s="226"/>
      <c r="E612" s="226"/>
      <c r="F612" s="241">
        <f t="shared" ref="F612:M612" si="292">SUM(F608:F611)</f>
        <v>160</v>
      </c>
      <c r="G612" s="241">
        <f t="shared" si="292"/>
        <v>385</v>
      </c>
      <c r="H612" s="241">
        <f t="shared" si="292"/>
        <v>118</v>
      </c>
      <c r="I612" s="241">
        <f t="shared" si="292"/>
        <v>185</v>
      </c>
      <c r="J612" s="241">
        <f t="shared" si="292"/>
        <v>112</v>
      </c>
      <c r="K612" s="241">
        <f t="shared" si="292"/>
        <v>425</v>
      </c>
      <c r="L612" s="241">
        <f t="shared" si="292"/>
        <v>390</v>
      </c>
      <c r="M612" s="241">
        <f t="shared" si="292"/>
        <v>995</v>
      </c>
      <c r="N612" s="227"/>
      <c r="O612" s="228">
        <f>F612/G612*C611/D611</f>
        <v>0.41558441558441561</v>
      </c>
      <c r="P612" s="228">
        <f>H612/I612*C611/D611</f>
        <v>0.63783783783783787</v>
      </c>
      <c r="Q612" s="228">
        <f t="shared" si="290"/>
        <v>0.2635294117647059</v>
      </c>
      <c r="R612" s="228">
        <f>L612/M612*C611/D611</f>
        <v>0.39195979899497485</v>
      </c>
    </row>
    <row r="613" spans="1:18">
      <c r="A613" s="244"/>
      <c r="B613" s="245"/>
      <c r="C613" s="226"/>
      <c r="D613" s="226"/>
      <c r="E613" s="226"/>
      <c r="F613" s="278"/>
      <c r="G613" s="278"/>
      <c r="H613" s="274"/>
      <c r="I613" s="274"/>
      <c r="J613" s="274"/>
      <c r="K613" s="274"/>
      <c r="L613" s="274"/>
      <c r="M613" s="274"/>
      <c r="N613" s="180"/>
      <c r="O613" s="228"/>
      <c r="P613" s="228"/>
      <c r="Q613" s="228"/>
      <c r="R613" s="228"/>
    </row>
    <row r="614" spans="1:18">
      <c r="A614" s="244" t="s">
        <v>719</v>
      </c>
      <c r="B614" s="245" t="s">
        <v>198</v>
      </c>
      <c r="C614" s="84">
        <v>5</v>
      </c>
      <c r="D614" s="84">
        <v>5</v>
      </c>
      <c r="E614" s="226"/>
      <c r="F614" s="274">
        <v>0</v>
      </c>
      <c r="G614" s="274">
        <v>4</v>
      </c>
      <c r="H614" s="274">
        <v>0</v>
      </c>
      <c r="I614" s="274">
        <v>2</v>
      </c>
      <c r="J614" s="274">
        <v>0</v>
      </c>
      <c r="K614" s="274">
        <v>4</v>
      </c>
      <c r="L614" s="274">
        <v>0</v>
      </c>
      <c r="M614" s="274">
        <v>10</v>
      </c>
      <c r="N614" s="180"/>
      <c r="O614" s="228">
        <f>F614/G614*C614/D614</f>
        <v>0</v>
      </c>
      <c r="P614" s="228">
        <f>H614/I614*C614/D614</f>
        <v>0</v>
      </c>
      <c r="Q614" s="228">
        <f>J614/K614*C614/D614</f>
        <v>0</v>
      </c>
      <c r="R614" s="228">
        <f>L614/M614*C614/D614</f>
        <v>0</v>
      </c>
    </row>
    <row r="615" spans="1:18">
      <c r="A615" s="224"/>
      <c r="B615" s="225"/>
      <c r="C615" s="226"/>
      <c r="D615" s="226"/>
      <c r="E615" s="226"/>
      <c r="F615" s="278"/>
      <c r="G615" s="278"/>
      <c r="H615" s="274"/>
      <c r="I615" s="274"/>
      <c r="J615" s="274"/>
      <c r="K615" s="274"/>
      <c r="L615" s="274"/>
      <c r="M615" s="274"/>
      <c r="N615" s="180"/>
      <c r="O615" s="228"/>
      <c r="P615" s="228"/>
      <c r="Q615" s="228"/>
      <c r="R615" s="228"/>
    </row>
    <row r="616" spans="1:18">
      <c r="A616" s="224" t="s">
        <v>720</v>
      </c>
      <c r="B616" s="225" t="s">
        <v>199</v>
      </c>
      <c r="C616" s="84">
        <v>8</v>
      </c>
      <c r="D616" s="84">
        <v>4</v>
      </c>
      <c r="E616" s="226"/>
      <c r="F616" s="217">
        <v>137</v>
      </c>
      <c r="G616" s="217">
        <v>374</v>
      </c>
      <c r="H616" s="217">
        <v>202</v>
      </c>
      <c r="I616" s="217">
        <v>121</v>
      </c>
      <c r="J616" s="217">
        <v>243</v>
      </c>
      <c r="K616" s="217">
        <v>470</v>
      </c>
      <c r="L616" s="217">
        <v>582</v>
      </c>
      <c r="M616" s="217">
        <v>965</v>
      </c>
      <c r="N616" s="180"/>
      <c r="O616" s="228">
        <f t="shared" ref="O616:O623" si="293">F616/G616*C616/D616</f>
        <v>0.73262032085561501</v>
      </c>
      <c r="P616" s="228">
        <f t="shared" ref="P616:P623" si="294">H616/I616*C616/D616</f>
        <v>3.3388429752066116</v>
      </c>
      <c r="Q616" s="228">
        <f t="shared" ref="Q616:Q625" si="295">F616/G616*$C$616/$D$616</f>
        <v>0.73262032085561501</v>
      </c>
      <c r="R616" s="228">
        <f t="shared" ref="R616:R623" si="296">L616/M616*C616/D616</f>
        <v>1.2062176165803109</v>
      </c>
    </row>
    <row r="617" spans="1:18">
      <c r="A617" s="224" t="s">
        <v>721</v>
      </c>
      <c r="B617" s="225" t="s">
        <v>199</v>
      </c>
      <c r="C617" s="84">
        <v>8</v>
      </c>
      <c r="D617" s="84">
        <v>4</v>
      </c>
      <c r="E617" s="226"/>
      <c r="F617" s="217">
        <v>6</v>
      </c>
      <c r="G617" s="217">
        <v>268</v>
      </c>
      <c r="H617" s="217">
        <v>4</v>
      </c>
      <c r="I617" s="217">
        <v>85</v>
      </c>
      <c r="J617" s="217">
        <v>14</v>
      </c>
      <c r="K617" s="217">
        <v>272</v>
      </c>
      <c r="L617" s="217">
        <v>24</v>
      </c>
      <c r="M617" s="217">
        <v>625</v>
      </c>
      <c r="N617" s="180"/>
      <c r="O617" s="228">
        <f t="shared" si="293"/>
        <v>4.4776119402985072E-2</v>
      </c>
      <c r="P617" s="228">
        <f t="shared" si="294"/>
        <v>9.4117647058823528E-2</v>
      </c>
      <c r="Q617" s="228">
        <f t="shared" si="295"/>
        <v>4.4776119402985072E-2</v>
      </c>
      <c r="R617" s="228">
        <f t="shared" si="296"/>
        <v>7.6799999999999993E-2</v>
      </c>
    </row>
    <row r="618" spans="1:18">
      <c r="A618" s="239" t="s">
        <v>722</v>
      </c>
      <c r="B618" s="243" t="s">
        <v>199</v>
      </c>
      <c r="C618" s="84">
        <v>8</v>
      </c>
      <c r="D618" s="84">
        <v>4</v>
      </c>
      <c r="E618" s="226"/>
      <c r="F618" s="217">
        <v>19</v>
      </c>
      <c r="G618" s="217">
        <v>139</v>
      </c>
      <c r="H618" s="217">
        <v>11</v>
      </c>
      <c r="I618" s="217">
        <v>68</v>
      </c>
      <c r="J618" s="217">
        <v>5</v>
      </c>
      <c r="K618" s="217">
        <v>259</v>
      </c>
      <c r="L618" s="217">
        <v>35</v>
      </c>
      <c r="M618" s="217">
        <v>466</v>
      </c>
      <c r="N618" s="180"/>
      <c r="O618" s="228">
        <f t="shared" si="293"/>
        <v>0.2733812949640288</v>
      </c>
      <c r="P618" s="228">
        <f t="shared" si="294"/>
        <v>0.3235294117647059</v>
      </c>
      <c r="Q618" s="228">
        <f t="shared" si="295"/>
        <v>0.2733812949640288</v>
      </c>
      <c r="R618" s="228">
        <f t="shared" si="296"/>
        <v>0.15021459227467812</v>
      </c>
    </row>
    <row r="619" spans="1:18">
      <c r="A619" s="239" t="s">
        <v>723</v>
      </c>
      <c r="B619" s="243" t="s">
        <v>199</v>
      </c>
      <c r="C619" s="84">
        <v>8</v>
      </c>
      <c r="D619" s="84">
        <v>4</v>
      </c>
      <c r="E619" s="226"/>
      <c r="F619" s="255">
        <v>108</v>
      </c>
      <c r="G619" s="255">
        <v>160</v>
      </c>
      <c r="H619" s="255">
        <v>53</v>
      </c>
      <c r="I619" s="255">
        <v>82</v>
      </c>
      <c r="J619" s="83">
        <v>10</v>
      </c>
      <c r="K619" s="255">
        <v>348</v>
      </c>
      <c r="L619" s="255">
        <v>171</v>
      </c>
      <c r="M619" s="255">
        <v>590</v>
      </c>
      <c r="N619" s="180"/>
      <c r="O619" s="228">
        <f t="shared" si="293"/>
        <v>1.35</v>
      </c>
      <c r="P619" s="228">
        <f t="shared" si="294"/>
        <v>1.2926829268292683</v>
      </c>
      <c r="Q619" s="228">
        <f t="shared" si="295"/>
        <v>1.35</v>
      </c>
      <c r="R619" s="228">
        <f t="shared" si="296"/>
        <v>0.57966101694915251</v>
      </c>
    </row>
    <row r="620" spans="1:18">
      <c r="A620" s="244" t="s">
        <v>724</v>
      </c>
      <c r="B620" s="245" t="s">
        <v>199</v>
      </c>
      <c r="C620" s="84">
        <v>8</v>
      </c>
      <c r="D620" s="84">
        <v>4</v>
      </c>
      <c r="E620" s="226"/>
      <c r="F620" s="217">
        <v>19</v>
      </c>
      <c r="G620" s="217">
        <v>1199</v>
      </c>
      <c r="H620" s="217">
        <v>154</v>
      </c>
      <c r="I620" s="217">
        <v>566</v>
      </c>
      <c r="J620" s="217">
        <v>75</v>
      </c>
      <c r="K620" s="217">
        <v>1431</v>
      </c>
      <c r="L620" s="217">
        <v>248</v>
      </c>
      <c r="M620" s="217">
        <v>3196</v>
      </c>
      <c r="N620" s="180"/>
      <c r="O620" s="228">
        <f t="shared" si="293"/>
        <v>3.1693077564637198E-2</v>
      </c>
      <c r="P620" s="228">
        <f t="shared" si="294"/>
        <v>0.54416961130742048</v>
      </c>
      <c r="Q620" s="228">
        <f t="shared" si="295"/>
        <v>3.1693077564637198E-2</v>
      </c>
      <c r="R620" s="228">
        <f t="shared" si="296"/>
        <v>0.15519399249061328</v>
      </c>
    </row>
    <row r="621" spans="1:18">
      <c r="A621" s="244" t="s">
        <v>199</v>
      </c>
      <c r="B621" s="253" t="s">
        <v>199</v>
      </c>
      <c r="C621" s="84">
        <v>8</v>
      </c>
      <c r="D621" s="84">
        <v>4</v>
      </c>
      <c r="E621" s="226"/>
      <c r="F621" s="217">
        <v>71</v>
      </c>
      <c r="G621" s="217">
        <v>1529</v>
      </c>
      <c r="H621" s="217">
        <v>193</v>
      </c>
      <c r="I621" s="217">
        <v>613</v>
      </c>
      <c r="J621" s="217">
        <v>2146</v>
      </c>
      <c r="K621" s="217">
        <v>1452</v>
      </c>
      <c r="L621" s="217">
        <v>2410</v>
      </c>
      <c r="M621" s="217">
        <v>3594</v>
      </c>
      <c r="N621" s="180"/>
      <c r="O621" s="228">
        <f t="shared" si="293"/>
        <v>9.287115761935906E-2</v>
      </c>
      <c r="P621" s="228">
        <f t="shared" si="294"/>
        <v>0.62969004893964109</v>
      </c>
      <c r="Q621" s="228">
        <f t="shared" si="295"/>
        <v>9.287115761935906E-2</v>
      </c>
      <c r="R621" s="228">
        <f t="shared" si="296"/>
        <v>1.3411240957150807</v>
      </c>
    </row>
    <row r="622" spans="1:18">
      <c r="A622" s="244" t="s">
        <v>725</v>
      </c>
      <c r="B622" s="253" t="s">
        <v>199</v>
      </c>
      <c r="C622" s="84">
        <v>8</v>
      </c>
      <c r="D622" s="84">
        <v>4</v>
      </c>
      <c r="E622" s="226"/>
      <c r="F622" s="217">
        <v>584</v>
      </c>
      <c r="G622" s="217">
        <v>2542</v>
      </c>
      <c r="H622" s="217">
        <v>154</v>
      </c>
      <c r="I622" s="217">
        <v>1169</v>
      </c>
      <c r="J622" s="217">
        <v>153</v>
      </c>
      <c r="K622" s="217">
        <v>3370</v>
      </c>
      <c r="L622" s="217">
        <v>891</v>
      </c>
      <c r="M622" s="217">
        <v>7081</v>
      </c>
      <c r="N622" s="180"/>
      <c r="O622" s="228">
        <f t="shared" si="293"/>
        <v>0.45948072383949645</v>
      </c>
      <c r="P622" s="228">
        <f t="shared" si="294"/>
        <v>0.26347305389221559</v>
      </c>
      <c r="Q622" s="228">
        <f t="shared" si="295"/>
        <v>0.45948072383949645</v>
      </c>
      <c r="R622" s="228">
        <f t="shared" si="296"/>
        <v>0.25165937014545969</v>
      </c>
    </row>
    <row r="623" spans="1:18">
      <c r="A623" s="244" t="s">
        <v>726</v>
      </c>
      <c r="B623" s="253" t="s">
        <v>199</v>
      </c>
      <c r="C623" s="84">
        <v>8</v>
      </c>
      <c r="D623" s="84">
        <v>4</v>
      </c>
      <c r="E623" s="226"/>
      <c r="F623" s="217">
        <v>537</v>
      </c>
      <c r="G623" s="217">
        <v>4547</v>
      </c>
      <c r="H623" s="217">
        <v>1005</v>
      </c>
      <c r="I623" s="217">
        <v>1802</v>
      </c>
      <c r="J623" s="217">
        <v>1576</v>
      </c>
      <c r="K623" s="217">
        <v>3672</v>
      </c>
      <c r="L623" s="217">
        <v>3118</v>
      </c>
      <c r="M623" s="217">
        <v>10021</v>
      </c>
      <c r="N623" s="180"/>
      <c r="O623" s="228">
        <f t="shared" si="293"/>
        <v>0.23619969210468442</v>
      </c>
      <c r="P623" s="228">
        <f t="shared" si="294"/>
        <v>1.1154273029966704</v>
      </c>
      <c r="Q623" s="228">
        <f t="shared" si="295"/>
        <v>0.23619969210468442</v>
      </c>
      <c r="R623" s="228">
        <f t="shared" si="296"/>
        <v>0.62229318431294278</v>
      </c>
    </row>
    <row r="624" spans="1:18">
      <c r="A624" s="244" t="s">
        <v>727</v>
      </c>
      <c r="B624" s="253" t="s">
        <v>199</v>
      </c>
      <c r="C624" s="84">
        <v>8</v>
      </c>
      <c r="D624" s="84">
        <v>4</v>
      </c>
      <c r="E624" s="226"/>
      <c r="F624" s="246">
        <v>71</v>
      </c>
      <c r="G624" s="246">
        <v>112</v>
      </c>
      <c r="H624" s="246">
        <v>24</v>
      </c>
      <c r="I624" s="246">
        <v>69</v>
      </c>
      <c r="J624" s="246">
        <v>1</v>
      </c>
      <c r="K624" s="246">
        <v>191</v>
      </c>
      <c r="L624" s="246">
        <v>96</v>
      </c>
      <c r="M624" s="246">
        <v>372</v>
      </c>
      <c r="N624" s="180"/>
      <c r="O624" s="247">
        <f t="shared" ref="O624:O625" si="297">F624/G624*$C$624/$D$624</f>
        <v>1.2678571428571428</v>
      </c>
      <c r="P624" s="247">
        <f t="shared" ref="P624:P625" si="298">H624/I624*$C$624/$D$624</f>
        <v>0.69565217391304346</v>
      </c>
      <c r="Q624" s="247">
        <f t="shared" si="295"/>
        <v>1.2678571428571428</v>
      </c>
      <c r="R624" s="247">
        <f t="shared" ref="R624:R625" si="299">L624/M624*$C$624/$D$624</f>
        <v>0.5161290322580645</v>
      </c>
    </row>
    <row r="625" spans="1:18">
      <c r="A625" s="244"/>
      <c r="B625" s="245"/>
      <c r="C625" s="226"/>
      <c r="D625" s="226"/>
      <c r="E625" s="226"/>
      <c r="F625" s="241">
        <f t="shared" ref="F625:M625" si="300">SUM(F616:F624)</f>
        <v>1552</v>
      </c>
      <c r="G625" s="241">
        <f t="shared" si="300"/>
        <v>10870</v>
      </c>
      <c r="H625" s="241">
        <f t="shared" si="300"/>
        <v>1800</v>
      </c>
      <c r="I625" s="241">
        <f t="shared" si="300"/>
        <v>4575</v>
      </c>
      <c r="J625" s="241">
        <f t="shared" si="300"/>
        <v>4223</v>
      </c>
      <c r="K625" s="241">
        <f t="shared" si="300"/>
        <v>11465</v>
      </c>
      <c r="L625" s="241">
        <f t="shared" si="300"/>
        <v>7575</v>
      </c>
      <c r="M625" s="241">
        <f t="shared" si="300"/>
        <v>26910</v>
      </c>
      <c r="N625" s="180"/>
      <c r="O625" s="228">
        <f t="shared" si="297"/>
        <v>0.28555657773689053</v>
      </c>
      <c r="P625" s="228">
        <f t="shared" si="298"/>
        <v>0.78688524590163933</v>
      </c>
      <c r="Q625" s="228">
        <f t="shared" si="295"/>
        <v>0.28555657773689053</v>
      </c>
      <c r="R625" s="228">
        <f t="shared" si="299"/>
        <v>0.56298773690078041</v>
      </c>
    </row>
    <row r="626" spans="1:18">
      <c r="A626" s="244"/>
      <c r="B626" s="245"/>
      <c r="C626" s="226"/>
      <c r="D626" s="226"/>
      <c r="E626" s="226"/>
      <c r="F626" s="241"/>
      <c r="G626" s="241"/>
      <c r="H626" s="217"/>
      <c r="I626" s="217"/>
      <c r="J626" s="217"/>
      <c r="K626" s="217"/>
      <c r="L626" s="217"/>
      <c r="M626" s="217"/>
      <c r="N626" s="180"/>
      <c r="O626" s="228"/>
      <c r="P626" s="228"/>
      <c r="Q626" s="228"/>
      <c r="R626" s="228"/>
    </row>
    <row r="627" spans="1:18">
      <c r="A627" s="244" t="s">
        <v>728</v>
      </c>
      <c r="B627" s="245" t="s">
        <v>200</v>
      </c>
      <c r="C627" s="84">
        <v>5</v>
      </c>
      <c r="D627" s="84">
        <v>5</v>
      </c>
      <c r="E627" s="226"/>
      <c r="F627" s="217">
        <v>10</v>
      </c>
      <c r="G627" s="217">
        <v>39</v>
      </c>
      <c r="H627" s="217">
        <v>9</v>
      </c>
      <c r="I627" s="217">
        <v>19</v>
      </c>
      <c r="J627" s="217">
        <v>6</v>
      </c>
      <c r="K627" s="217">
        <v>42</v>
      </c>
      <c r="L627" s="217">
        <v>25</v>
      </c>
      <c r="M627" s="217">
        <v>100</v>
      </c>
      <c r="N627" s="180"/>
      <c r="O627" s="228">
        <f>F627/G627*C627/D627</f>
        <v>0.25641025641025639</v>
      </c>
      <c r="P627" s="228">
        <f>H627/I627*C627/D627</f>
        <v>0.47368421052631576</v>
      </c>
      <c r="Q627" s="228">
        <f t="shared" ref="Q627:Q629" si="301">J627/K627*$C$616/$D$616</f>
        <v>0.2857142857142857</v>
      </c>
      <c r="R627" s="228">
        <f t="shared" ref="R627:R629" si="302">L627/M627*$C$627/$D$627</f>
        <v>0.25</v>
      </c>
    </row>
    <row r="628" spans="1:18">
      <c r="A628" s="244" t="s">
        <v>729</v>
      </c>
      <c r="B628" s="253" t="s">
        <v>200</v>
      </c>
      <c r="C628" s="84">
        <v>5</v>
      </c>
      <c r="D628" s="84">
        <v>5</v>
      </c>
      <c r="E628" s="226"/>
      <c r="F628" s="246">
        <v>6</v>
      </c>
      <c r="G628" s="246">
        <v>176</v>
      </c>
      <c r="H628" s="246">
        <v>0</v>
      </c>
      <c r="I628" s="246">
        <v>81</v>
      </c>
      <c r="J628" s="246">
        <v>130</v>
      </c>
      <c r="K628" s="246">
        <v>193</v>
      </c>
      <c r="L628" s="246">
        <v>136</v>
      </c>
      <c r="M628" s="246">
        <v>450</v>
      </c>
      <c r="N628" s="180"/>
      <c r="O628" s="247">
        <f t="shared" ref="O628:O629" si="303">F628/G628*$C$628/$D$628</f>
        <v>3.4090909090909088E-2</v>
      </c>
      <c r="P628" s="247">
        <f t="shared" ref="P628:P629" si="304">H628/I628*$C$628/$D$628</f>
        <v>0</v>
      </c>
      <c r="Q628" s="247">
        <f t="shared" si="301"/>
        <v>1.3471502590673574</v>
      </c>
      <c r="R628" s="247">
        <f t="shared" si="302"/>
        <v>0.30222222222222223</v>
      </c>
    </row>
    <row r="629" spans="1:18">
      <c r="A629" s="239"/>
      <c r="B629" s="243"/>
      <c r="C629" s="226"/>
      <c r="D629" s="226"/>
      <c r="E629" s="226"/>
      <c r="F629" s="241">
        <f t="shared" ref="F629:M629" si="305">F627+F628</f>
        <v>16</v>
      </c>
      <c r="G629" s="241">
        <f t="shared" si="305"/>
        <v>215</v>
      </c>
      <c r="H629" s="241">
        <f t="shared" si="305"/>
        <v>9</v>
      </c>
      <c r="I629" s="241">
        <f t="shared" si="305"/>
        <v>100</v>
      </c>
      <c r="J629" s="241">
        <f t="shared" si="305"/>
        <v>136</v>
      </c>
      <c r="K629" s="241">
        <f t="shared" si="305"/>
        <v>235</v>
      </c>
      <c r="L629" s="241">
        <f t="shared" si="305"/>
        <v>161</v>
      </c>
      <c r="M629" s="241">
        <f t="shared" si="305"/>
        <v>550</v>
      </c>
      <c r="N629" s="180"/>
      <c r="O629" s="228">
        <f t="shared" si="303"/>
        <v>7.441860465116279E-2</v>
      </c>
      <c r="P629" s="228">
        <f t="shared" si="304"/>
        <v>0.09</v>
      </c>
      <c r="Q629" s="228">
        <f t="shared" si="301"/>
        <v>1.1574468085106382</v>
      </c>
      <c r="R629" s="228">
        <f t="shared" si="302"/>
        <v>0.29272727272727272</v>
      </c>
    </row>
    <row r="630" spans="1:18">
      <c r="A630" s="239"/>
      <c r="B630" s="243"/>
      <c r="C630" s="226"/>
      <c r="D630" s="226"/>
      <c r="E630" s="226"/>
      <c r="F630" s="278"/>
      <c r="G630" s="278"/>
      <c r="H630" s="274"/>
      <c r="I630" s="274"/>
      <c r="J630" s="274"/>
      <c r="K630" s="274"/>
      <c r="L630" s="274"/>
      <c r="M630" s="274"/>
      <c r="N630" s="180"/>
      <c r="O630" s="228"/>
      <c r="P630" s="228"/>
      <c r="Q630" s="228"/>
      <c r="R630" s="228"/>
    </row>
    <row r="631" spans="1:18">
      <c r="A631" s="239" t="s">
        <v>730</v>
      </c>
      <c r="B631" s="243" t="s">
        <v>201</v>
      </c>
      <c r="C631" s="84">
        <v>8</v>
      </c>
      <c r="D631" s="84">
        <v>6</v>
      </c>
      <c r="E631" s="226"/>
      <c r="F631" s="217">
        <v>234</v>
      </c>
      <c r="G631" s="217">
        <v>905</v>
      </c>
      <c r="H631" s="217">
        <v>858</v>
      </c>
      <c r="I631" s="217">
        <v>411</v>
      </c>
      <c r="J631" s="217">
        <v>827</v>
      </c>
      <c r="K631" s="217">
        <v>908</v>
      </c>
      <c r="L631" s="217">
        <v>1919</v>
      </c>
      <c r="M631" s="217">
        <v>2224</v>
      </c>
      <c r="N631" s="180"/>
      <c r="O631" s="228">
        <f t="shared" ref="O631:O639" si="306">F631/G631*C631/D631</f>
        <v>0.34475138121546961</v>
      </c>
      <c r="P631" s="228">
        <f t="shared" ref="P631:P635" si="307">H631/I631*C631/D631</f>
        <v>2.7834549878345496</v>
      </c>
      <c r="Q631" s="228">
        <f t="shared" ref="Q631:Q642" si="308">F631/G631*$C$631/$D$631</f>
        <v>0.34475138121546961</v>
      </c>
      <c r="R631" s="228">
        <f t="shared" ref="R631:R639" si="309">L631/M631*C631/D631</f>
        <v>1.1504796163069544</v>
      </c>
    </row>
    <row r="632" spans="1:18">
      <c r="A632" s="239" t="s">
        <v>731</v>
      </c>
      <c r="B632" s="243" t="s">
        <v>201</v>
      </c>
      <c r="C632" s="84">
        <v>8</v>
      </c>
      <c r="D632" s="84">
        <v>6</v>
      </c>
      <c r="E632" s="226"/>
      <c r="F632" s="241">
        <v>0</v>
      </c>
      <c r="G632" s="241">
        <v>272</v>
      </c>
      <c r="H632" s="217">
        <v>0</v>
      </c>
      <c r="I632" s="217">
        <v>128</v>
      </c>
      <c r="J632" s="217"/>
      <c r="K632" s="217"/>
      <c r="L632" s="217">
        <v>0</v>
      </c>
      <c r="M632" s="217">
        <v>694</v>
      </c>
      <c r="N632" s="180"/>
      <c r="O632" s="228">
        <f t="shared" si="306"/>
        <v>0</v>
      </c>
      <c r="P632" s="228">
        <f t="shared" si="307"/>
        <v>0</v>
      </c>
      <c r="Q632" s="228">
        <f t="shared" si="308"/>
        <v>0</v>
      </c>
      <c r="R632" s="228">
        <f t="shared" si="309"/>
        <v>0</v>
      </c>
    </row>
    <row r="633" spans="1:18">
      <c r="A633" s="224" t="s">
        <v>732</v>
      </c>
      <c r="B633" s="251" t="s">
        <v>201</v>
      </c>
      <c r="C633" s="84">
        <v>8</v>
      </c>
      <c r="D633" s="84">
        <v>6</v>
      </c>
      <c r="E633" s="226"/>
      <c r="F633" s="217">
        <v>29</v>
      </c>
      <c r="G633" s="217">
        <v>486</v>
      </c>
      <c r="H633" s="217">
        <v>10</v>
      </c>
      <c r="I633" s="217">
        <v>216</v>
      </c>
      <c r="J633" s="217">
        <v>495</v>
      </c>
      <c r="K633" s="217">
        <v>462</v>
      </c>
      <c r="L633" s="217">
        <v>534</v>
      </c>
      <c r="M633" s="217">
        <v>1164</v>
      </c>
      <c r="N633" s="180"/>
      <c r="O633" s="228">
        <f t="shared" si="306"/>
        <v>7.956104252400549E-2</v>
      </c>
      <c r="P633" s="228">
        <f t="shared" si="307"/>
        <v>6.1728395061728392E-2</v>
      </c>
      <c r="Q633" s="228">
        <f t="shared" si="308"/>
        <v>7.956104252400549E-2</v>
      </c>
      <c r="R633" s="228">
        <f t="shared" si="309"/>
        <v>0.6116838487972508</v>
      </c>
    </row>
    <row r="634" spans="1:18">
      <c r="A634" s="224" t="s">
        <v>733</v>
      </c>
      <c r="B634" s="251" t="s">
        <v>201</v>
      </c>
      <c r="C634" s="84">
        <v>8</v>
      </c>
      <c r="D634" s="84">
        <v>6</v>
      </c>
      <c r="E634" s="226"/>
      <c r="F634" s="217">
        <v>0</v>
      </c>
      <c r="G634" s="217">
        <v>146</v>
      </c>
      <c r="H634" s="217">
        <v>29</v>
      </c>
      <c r="I634" s="217">
        <v>70</v>
      </c>
      <c r="J634" s="217">
        <v>11</v>
      </c>
      <c r="K634" s="217">
        <v>155</v>
      </c>
      <c r="L634" s="217">
        <v>40</v>
      </c>
      <c r="M634" s="217">
        <v>371</v>
      </c>
      <c r="N634" s="180"/>
      <c r="O634" s="228">
        <f t="shared" si="306"/>
        <v>0</v>
      </c>
      <c r="P634" s="228">
        <f t="shared" si="307"/>
        <v>0.55238095238095242</v>
      </c>
      <c r="Q634" s="228">
        <f t="shared" si="308"/>
        <v>0</v>
      </c>
      <c r="R634" s="228">
        <f t="shared" si="309"/>
        <v>0.14375561545372867</v>
      </c>
    </row>
    <row r="635" spans="1:18">
      <c r="A635" s="224" t="s">
        <v>734</v>
      </c>
      <c r="B635" s="251" t="s">
        <v>201</v>
      </c>
      <c r="C635" s="84">
        <v>8</v>
      </c>
      <c r="D635" s="84">
        <v>6</v>
      </c>
      <c r="E635" s="226"/>
      <c r="F635" s="217">
        <v>917</v>
      </c>
      <c r="G635" s="217">
        <v>2848</v>
      </c>
      <c r="H635" s="217">
        <v>375</v>
      </c>
      <c r="I635" s="217">
        <v>1351</v>
      </c>
      <c r="J635" s="217">
        <v>545</v>
      </c>
      <c r="K635" s="217">
        <v>3102</v>
      </c>
      <c r="L635" s="217">
        <v>1837</v>
      </c>
      <c r="M635" s="217">
        <v>7301</v>
      </c>
      <c r="N635" s="180"/>
      <c r="O635" s="228">
        <f t="shared" si="306"/>
        <v>0.42930711610486894</v>
      </c>
      <c r="P635" s="228">
        <f t="shared" si="307"/>
        <v>0.37009622501850487</v>
      </c>
      <c r="Q635" s="228">
        <f t="shared" si="308"/>
        <v>0.42930711610486894</v>
      </c>
      <c r="R635" s="228">
        <f t="shared" si="309"/>
        <v>0.3354791581061955</v>
      </c>
    </row>
    <row r="636" spans="1:18">
      <c r="A636" s="244" t="s">
        <v>735</v>
      </c>
      <c r="B636" s="245" t="s">
        <v>201</v>
      </c>
      <c r="C636" s="84">
        <v>8</v>
      </c>
      <c r="D636" s="84">
        <v>6</v>
      </c>
      <c r="E636" s="226"/>
      <c r="F636" s="217">
        <v>0</v>
      </c>
      <c r="G636" s="217">
        <v>2</v>
      </c>
      <c r="H636" s="217">
        <v>0</v>
      </c>
      <c r="I636" s="217">
        <v>0</v>
      </c>
      <c r="J636" s="217">
        <v>4</v>
      </c>
      <c r="K636" s="217">
        <v>0</v>
      </c>
      <c r="L636" s="217">
        <v>4</v>
      </c>
      <c r="M636" s="217">
        <v>2</v>
      </c>
      <c r="N636" s="180"/>
      <c r="O636" s="228">
        <f t="shared" si="306"/>
        <v>0</v>
      </c>
      <c r="P636" s="260" t="s">
        <v>249</v>
      </c>
      <c r="Q636" s="228">
        <f t="shared" si="308"/>
        <v>0</v>
      </c>
      <c r="R636" s="228">
        <f t="shared" si="309"/>
        <v>2.6666666666666665</v>
      </c>
    </row>
    <row r="637" spans="1:18">
      <c r="A637" s="244" t="s">
        <v>736</v>
      </c>
      <c r="B637" s="245" t="s">
        <v>201</v>
      </c>
      <c r="C637" s="84">
        <v>8</v>
      </c>
      <c r="D637" s="84">
        <v>6</v>
      </c>
      <c r="E637" s="226"/>
      <c r="F637" s="217">
        <v>195</v>
      </c>
      <c r="G637" s="217">
        <v>1452</v>
      </c>
      <c r="H637" s="217">
        <v>77</v>
      </c>
      <c r="I637" s="217">
        <v>673</v>
      </c>
      <c r="J637" s="217">
        <v>1584</v>
      </c>
      <c r="K637" s="217">
        <v>1529</v>
      </c>
      <c r="L637" s="217">
        <v>1856</v>
      </c>
      <c r="M637" s="217">
        <v>3654</v>
      </c>
      <c r="N637" s="180"/>
      <c r="O637" s="228">
        <f t="shared" si="306"/>
        <v>0.1790633608815427</v>
      </c>
      <c r="P637" s="228">
        <f t="shared" ref="P637:P639" si="310">H637/I637*C637/D637</f>
        <v>0.15255076770678552</v>
      </c>
      <c r="Q637" s="228">
        <f t="shared" si="308"/>
        <v>0.1790633608815427</v>
      </c>
      <c r="R637" s="228">
        <f t="shared" si="309"/>
        <v>0.67724867724867721</v>
      </c>
    </row>
    <row r="638" spans="1:18">
      <c r="A638" s="244" t="s">
        <v>737</v>
      </c>
      <c r="B638" s="245" t="s">
        <v>201</v>
      </c>
      <c r="C638" s="84">
        <v>8</v>
      </c>
      <c r="D638" s="84">
        <v>6</v>
      </c>
      <c r="E638" s="226"/>
      <c r="F638" s="217">
        <v>10</v>
      </c>
      <c r="G638" s="217">
        <v>489</v>
      </c>
      <c r="H638" s="217">
        <v>6</v>
      </c>
      <c r="I638" s="217">
        <v>241</v>
      </c>
      <c r="J638" s="217">
        <v>1</v>
      </c>
      <c r="K638" s="217">
        <v>555</v>
      </c>
      <c r="L638" s="217">
        <v>17</v>
      </c>
      <c r="M638" s="217">
        <v>1285</v>
      </c>
      <c r="N638" s="180"/>
      <c r="O638" s="228">
        <f t="shared" si="306"/>
        <v>2.7266530334014997E-2</v>
      </c>
      <c r="P638" s="228">
        <f t="shared" si="310"/>
        <v>3.3195020746887967E-2</v>
      </c>
      <c r="Q638" s="228">
        <f t="shared" si="308"/>
        <v>2.7266530334014997E-2</v>
      </c>
      <c r="R638" s="228">
        <f t="shared" si="309"/>
        <v>1.7639429312581063E-2</v>
      </c>
    </row>
    <row r="639" spans="1:18">
      <c r="A639" s="244" t="s">
        <v>738</v>
      </c>
      <c r="B639" s="245" t="s">
        <v>201</v>
      </c>
      <c r="C639" s="84">
        <v>8</v>
      </c>
      <c r="D639" s="84">
        <v>6</v>
      </c>
      <c r="E639" s="226"/>
      <c r="F639" s="217">
        <v>38</v>
      </c>
      <c r="G639" s="217">
        <v>518</v>
      </c>
      <c r="H639" s="217">
        <v>54</v>
      </c>
      <c r="I639" s="217">
        <v>229</v>
      </c>
      <c r="J639" s="217">
        <v>438</v>
      </c>
      <c r="K639" s="217">
        <v>509</v>
      </c>
      <c r="L639" s="217">
        <v>530</v>
      </c>
      <c r="M639" s="217">
        <v>1256</v>
      </c>
      <c r="N639" s="180"/>
      <c r="O639" s="228">
        <f t="shared" si="306"/>
        <v>9.781209781209782E-2</v>
      </c>
      <c r="P639" s="228">
        <f t="shared" si="310"/>
        <v>0.31441048034934499</v>
      </c>
      <c r="Q639" s="228">
        <f t="shared" si="308"/>
        <v>9.781209781209782E-2</v>
      </c>
      <c r="R639" s="228">
        <f t="shared" si="309"/>
        <v>0.56263269639065816</v>
      </c>
    </row>
    <row r="640" spans="1:18">
      <c r="A640" s="244" t="s">
        <v>739</v>
      </c>
      <c r="B640" s="245" t="s">
        <v>201</v>
      </c>
      <c r="C640" s="84">
        <v>8</v>
      </c>
      <c r="D640" s="84">
        <v>6</v>
      </c>
      <c r="E640" s="226"/>
      <c r="F640" s="217">
        <v>22</v>
      </c>
      <c r="G640" s="217">
        <v>79</v>
      </c>
      <c r="H640" s="217">
        <v>136</v>
      </c>
      <c r="I640" s="217">
        <v>36</v>
      </c>
      <c r="J640" s="217">
        <v>319</v>
      </c>
      <c r="K640" s="217">
        <v>77</v>
      </c>
      <c r="L640" s="217">
        <v>477</v>
      </c>
      <c r="M640" s="217">
        <v>192</v>
      </c>
      <c r="N640" s="180"/>
      <c r="O640" s="228">
        <f t="shared" ref="O640:O642" si="311">F640/G640*$C$640/$D$640</f>
        <v>0.37130801687763709</v>
      </c>
      <c r="P640" s="228">
        <f t="shared" ref="P640:P642" si="312">H640/I640*$C$640/$D$640</f>
        <v>5.0370370370370372</v>
      </c>
      <c r="Q640" s="228">
        <f t="shared" si="308"/>
        <v>0.37130801687763709</v>
      </c>
      <c r="R640" s="228">
        <f t="shared" ref="R640:R642" si="313">L640/M640*$C$640/$D$640</f>
        <v>3.3125</v>
      </c>
    </row>
    <row r="641" spans="1:18">
      <c r="A641" s="244" t="s">
        <v>740</v>
      </c>
      <c r="B641" s="253" t="s">
        <v>201</v>
      </c>
      <c r="C641" s="84">
        <v>8</v>
      </c>
      <c r="D641" s="84">
        <v>6</v>
      </c>
      <c r="E641" s="226"/>
      <c r="F641" s="246">
        <v>229</v>
      </c>
      <c r="G641" s="246">
        <v>414</v>
      </c>
      <c r="H641" s="246">
        <v>95</v>
      </c>
      <c r="I641" s="246">
        <v>189</v>
      </c>
      <c r="J641" s="246">
        <v>270</v>
      </c>
      <c r="K641" s="246">
        <v>412</v>
      </c>
      <c r="L641" s="246">
        <v>594</v>
      </c>
      <c r="M641" s="246">
        <v>1015</v>
      </c>
      <c r="N641" s="180"/>
      <c r="O641" s="247">
        <f t="shared" si="311"/>
        <v>0.73752012882447671</v>
      </c>
      <c r="P641" s="247">
        <f t="shared" si="312"/>
        <v>0.67019400352733693</v>
      </c>
      <c r="Q641" s="247">
        <f t="shared" si="308"/>
        <v>0.73752012882447671</v>
      </c>
      <c r="R641" s="247">
        <f t="shared" si="313"/>
        <v>0.78029556650246301</v>
      </c>
    </row>
    <row r="642" spans="1:18">
      <c r="A642" s="239"/>
      <c r="B642" s="243"/>
      <c r="C642" s="226"/>
      <c r="D642" s="226"/>
      <c r="E642" s="226"/>
      <c r="F642" s="241">
        <f t="shared" ref="F642:M642" si="314">SUM(F631:F641)</f>
        <v>1674</v>
      </c>
      <c r="G642" s="241">
        <f t="shared" si="314"/>
        <v>7611</v>
      </c>
      <c r="H642" s="241">
        <f t="shared" si="314"/>
        <v>1640</v>
      </c>
      <c r="I642" s="241">
        <f t="shared" si="314"/>
        <v>3544</v>
      </c>
      <c r="J642" s="241">
        <f t="shared" si="314"/>
        <v>4494</v>
      </c>
      <c r="K642" s="241">
        <f t="shared" si="314"/>
        <v>7709</v>
      </c>
      <c r="L642" s="241">
        <f t="shared" si="314"/>
        <v>7808</v>
      </c>
      <c r="M642" s="241">
        <f t="shared" si="314"/>
        <v>19158</v>
      </c>
      <c r="N642" s="180"/>
      <c r="O642" s="228">
        <f t="shared" si="311"/>
        <v>0.29325975561687029</v>
      </c>
      <c r="P642" s="228">
        <f t="shared" si="312"/>
        <v>0.61700526711813397</v>
      </c>
      <c r="Q642" s="228">
        <f t="shared" si="308"/>
        <v>0.29325975561687029</v>
      </c>
      <c r="R642" s="228">
        <f t="shared" si="313"/>
        <v>0.54341093363955872</v>
      </c>
    </row>
    <row r="643" spans="1:18">
      <c r="A643" s="239"/>
      <c r="B643" s="243"/>
      <c r="C643" s="226"/>
      <c r="D643" s="226"/>
      <c r="E643" s="226"/>
      <c r="F643" s="241"/>
      <c r="G643" s="241"/>
      <c r="H643" s="217"/>
      <c r="I643" s="217"/>
      <c r="J643" s="217"/>
      <c r="K643" s="217"/>
      <c r="L643" s="217"/>
      <c r="M643" s="217"/>
      <c r="N643" s="180"/>
      <c r="O643" s="228"/>
      <c r="P643" s="228"/>
      <c r="Q643" s="228"/>
      <c r="R643" s="228"/>
    </row>
    <row r="644" spans="1:18">
      <c r="A644" s="239" t="s">
        <v>741</v>
      </c>
      <c r="B644" s="243" t="s">
        <v>202</v>
      </c>
      <c r="C644" s="84">
        <v>8</v>
      </c>
      <c r="D644" s="84">
        <v>6</v>
      </c>
      <c r="E644" s="226"/>
      <c r="F644" s="217">
        <v>260</v>
      </c>
      <c r="G644" s="217">
        <v>422</v>
      </c>
      <c r="H644" s="217">
        <v>237</v>
      </c>
      <c r="I644" s="217">
        <v>198</v>
      </c>
      <c r="J644" s="217">
        <v>808</v>
      </c>
      <c r="K644" s="217">
        <v>446</v>
      </c>
      <c r="L644" s="217">
        <v>1305</v>
      </c>
      <c r="M644" s="217">
        <v>1066</v>
      </c>
      <c r="N644" s="180"/>
      <c r="O644" s="228">
        <f t="shared" ref="O644:O647" si="315">F644/G644*C644/D644</f>
        <v>0.82148499210110593</v>
      </c>
      <c r="P644" s="228">
        <f t="shared" ref="P644:P647" si="316">H644/I644*C644/D644</f>
        <v>1.595959595959596</v>
      </c>
      <c r="Q644" s="228">
        <f t="shared" ref="Q644:Q649" si="317">J644/K644*$C$644/$D$644</f>
        <v>2.4155455904334828</v>
      </c>
      <c r="R644" s="228">
        <f t="shared" ref="R644:R647" si="318">L644/M644*C644/D644</f>
        <v>1.6322701688555348</v>
      </c>
    </row>
    <row r="645" spans="1:18">
      <c r="A645" s="244" t="s">
        <v>742</v>
      </c>
      <c r="B645" s="253" t="s">
        <v>202</v>
      </c>
      <c r="C645" s="84">
        <v>8</v>
      </c>
      <c r="D645" s="84">
        <v>6</v>
      </c>
      <c r="E645" s="226"/>
      <c r="F645" s="217">
        <v>149</v>
      </c>
      <c r="G645" s="217">
        <v>2239</v>
      </c>
      <c r="H645" s="217">
        <v>894</v>
      </c>
      <c r="I645" s="217">
        <v>1111</v>
      </c>
      <c r="J645" s="217">
        <v>451</v>
      </c>
      <c r="K645" s="217">
        <v>2627</v>
      </c>
      <c r="L645" s="217">
        <v>1494</v>
      </c>
      <c r="M645" s="217">
        <v>5977</v>
      </c>
      <c r="N645" s="180"/>
      <c r="O645" s="228">
        <f t="shared" si="315"/>
        <v>8.8730087836831908E-2</v>
      </c>
      <c r="P645" s="228">
        <f t="shared" si="316"/>
        <v>1.0729072907290729</v>
      </c>
      <c r="Q645" s="228">
        <f t="shared" si="317"/>
        <v>0.2289049612993275</v>
      </c>
      <c r="R645" s="228">
        <f t="shared" si="318"/>
        <v>0.33327756399531538</v>
      </c>
    </row>
    <row r="646" spans="1:18">
      <c r="A646" s="244" t="s">
        <v>743</v>
      </c>
      <c r="B646" s="253" t="s">
        <v>202</v>
      </c>
      <c r="C646" s="84">
        <v>8</v>
      </c>
      <c r="D646" s="84">
        <v>6</v>
      </c>
      <c r="E646" s="226"/>
      <c r="F646" s="217">
        <v>62</v>
      </c>
      <c r="G646" s="217">
        <v>130</v>
      </c>
      <c r="H646" s="217">
        <v>10</v>
      </c>
      <c r="I646" s="217">
        <v>59</v>
      </c>
      <c r="J646" s="217">
        <v>174</v>
      </c>
      <c r="K646" s="217">
        <v>130</v>
      </c>
      <c r="L646" s="217">
        <v>246</v>
      </c>
      <c r="M646" s="217">
        <v>319</v>
      </c>
      <c r="N646" s="180"/>
      <c r="O646" s="228">
        <f t="shared" si="315"/>
        <v>0.63589743589743597</v>
      </c>
      <c r="P646" s="228">
        <f t="shared" si="316"/>
        <v>0.22598870056497175</v>
      </c>
      <c r="Q646" s="228">
        <f t="shared" si="317"/>
        <v>1.7846153846153845</v>
      </c>
      <c r="R646" s="228">
        <f t="shared" si="318"/>
        <v>1.0282131661442007</v>
      </c>
    </row>
    <row r="647" spans="1:18">
      <c r="A647" s="244" t="s">
        <v>744</v>
      </c>
      <c r="B647" s="253" t="s">
        <v>202</v>
      </c>
      <c r="C647" s="84">
        <v>8</v>
      </c>
      <c r="D647" s="84">
        <v>6</v>
      </c>
      <c r="E647" s="226"/>
      <c r="F647" s="217">
        <v>182</v>
      </c>
      <c r="G647" s="217">
        <v>664</v>
      </c>
      <c r="H647" s="217">
        <v>210</v>
      </c>
      <c r="I647" s="217">
        <v>349</v>
      </c>
      <c r="J647" s="217">
        <v>793</v>
      </c>
      <c r="K647" s="217">
        <v>864</v>
      </c>
      <c r="L647" s="217">
        <v>1185</v>
      </c>
      <c r="M647" s="217">
        <v>1877</v>
      </c>
      <c r="N647" s="180"/>
      <c r="O647" s="228">
        <f t="shared" si="315"/>
        <v>0.36546184738955828</v>
      </c>
      <c r="P647" s="228">
        <f t="shared" si="316"/>
        <v>0.80229226361031525</v>
      </c>
      <c r="Q647" s="228">
        <f t="shared" si="317"/>
        <v>1.2237654320987654</v>
      </c>
      <c r="R647" s="228">
        <f t="shared" si="318"/>
        <v>0.84176877996803412</v>
      </c>
    </row>
    <row r="648" spans="1:18">
      <c r="A648" s="244" t="s">
        <v>745</v>
      </c>
      <c r="B648" s="253" t="s">
        <v>202</v>
      </c>
      <c r="C648" s="84">
        <v>8</v>
      </c>
      <c r="D648" s="84">
        <v>6</v>
      </c>
      <c r="E648" s="226"/>
      <c r="F648" s="246">
        <v>74</v>
      </c>
      <c r="G648" s="246">
        <v>726</v>
      </c>
      <c r="H648" s="246">
        <v>24</v>
      </c>
      <c r="I648" s="246">
        <v>351</v>
      </c>
      <c r="J648" s="246">
        <v>25</v>
      </c>
      <c r="K648" s="246">
        <v>813</v>
      </c>
      <c r="L648" s="246">
        <v>123</v>
      </c>
      <c r="M648" s="246">
        <v>1890</v>
      </c>
      <c r="N648" s="180"/>
      <c r="O648" s="247">
        <f t="shared" ref="O648:O649" si="319">F648/G648*$C$648/$D$648</f>
        <v>0.13590449954086317</v>
      </c>
      <c r="P648" s="247">
        <f t="shared" ref="P648:P649" si="320">H648/I648*$C$648/$D$648</f>
        <v>9.1168091168091173E-2</v>
      </c>
      <c r="Q648" s="247">
        <f t="shared" si="317"/>
        <v>4.1000410004100041E-2</v>
      </c>
      <c r="R648" s="247">
        <f t="shared" ref="R648:R649" si="321">L648/M648*$C$648/$D$648</f>
        <v>8.6772486772486779E-2</v>
      </c>
    </row>
    <row r="649" spans="1:18">
      <c r="A649" s="224"/>
      <c r="B649" s="225"/>
      <c r="C649" s="226"/>
      <c r="D649" s="226"/>
      <c r="E649" s="226"/>
      <c r="F649" s="241">
        <f t="shared" ref="F649:M649" si="322">SUM(F644:F648)</f>
        <v>727</v>
      </c>
      <c r="G649" s="241">
        <f t="shared" si="322"/>
        <v>4181</v>
      </c>
      <c r="H649" s="241">
        <f t="shared" si="322"/>
        <v>1375</v>
      </c>
      <c r="I649" s="241">
        <f t="shared" si="322"/>
        <v>2068</v>
      </c>
      <c r="J649" s="241">
        <f t="shared" si="322"/>
        <v>2251</v>
      </c>
      <c r="K649" s="241">
        <f t="shared" si="322"/>
        <v>4880</v>
      </c>
      <c r="L649" s="241">
        <f t="shared" si="322"/>
        <v>4353</v>
      </c>
      <c r="M649" s="241">
        <f t="shared" si="322"/>
        <v>11129</v>
      </c>
      <c r="N649" s="180"/>
      <c r="O649" s="228">
        <f t="shared" si="319"/>
        <v>0.23184246193095751</v>
      </c>
      <c r="P649" s="228">
        <f t="shared" si="320"/>
        <v>0.88652482269503541</v>
      </c>
      <c r="Q649" s="228">
        <f t="shared" si="317"/>
        <v>0.61502732240437152</v>
      </c>
      <c r="R649" s="228">
        <f t="shared" si="321"/>
        <v>0.52152035223290505</v>
      </c>
    </row>
    <row r="650" spans="1:18">
      <c r="A650" s="224"/>
      <c r="B650" s="225"/>
      <c r="C650" s="226"/>
      <c r="D650" s="226"/>
      <c r="E650" s="226"/>
      <c r="F650" s="241"/>
      <c r="G650" s="241"/>
      <c r="H650" s="217"/>
      <c r="I650" s="217"/>
      <c r="J650" s="217"/>
      <c r="K650" s="217"/>
      <c r="L650" s="217"/>
      <c r="M650" s="217"/>
      <c r="N650" s="180"/>
      <c r="O650" s="228"/>
      <c r="P650" s="228"/>
      <c r="Q650" s="228"/>
      <c r="R650" s="228"/>
    </row>
    <row r="651" spans="1:18">
      <c r="A651" s="224" t="s">
        <v>746</v>
      </c>
      <c r="B651" s="225" t="s">
        <v>204</v>
      </c>
      <c r="C651" s="84">
        <v>8</v>
      </c>
      <c r="D651" s="84">
        <v>6</v>
      </c>
      <c r="E651" s="226"/>
      <c r="F651" s="217">
        <v>0</v>
      </c>
      <c r="G651" s="217">
        <v>20</v>
      </c>
      <c r="H651" s="217">
        <v>0</v>
      </c>
      <c r="I651" s="217">
        <v>13</v>
      </c>
      <c r="J651" s="217">
        <v>5</v>
      </c>
      <c r="K651" s="217">
        <v>39</v>
      </c>
      <c r="L651" s="217">
        <v>5</v>
      </c>
      <c r="M651" s="217">
        <v>72</v>
      </c>
      <c r="N651" s="180"/>
      <c r="O651" s="228">
        <f t="shared" ref="O651:O652" si="323">F651/G651*C651/D651</f>
        <v>0</v>
      </c>
      <c r="P651" s="228">
        <f t="shared" ref="P651:P652" si="324">H651/I651*C651/D651</f>
        <v>0</v>
      </c>
      <c r="Q651" s="228">
        <f t="shared" ref="Q651:Q654" si="325">J651/K651*$C$651/$D$651</f>
        <v>0.17094017094017092</v>
      </c>
      <c r="R651" s="228">
        <f t="shared" ref="R651:R652" si="326">L651/M651*C651/D651</f>
        <v>9.2592592592592601E-2</v>
      </c>
    </row>
    <row r="652" spans="1:18">
      <c r="A652" s="244" t="s">
        <v>747</v>
      </c>
      <c r="B652" s="253" t="s">
        <v>204</v>
      </c>
      <c r="C652" s="84">
        <v>8</v>
      </c>
      <c r="D652" s="84">
        <v>6</v>
      </c>
      <c r="E652" s="226"/>
      <c r="F652" s="217">
        <v>0</v>
      </c>
      <c r="G652" s="217">
        <v>185</v>
      </c>
      <c r="H652" s="217">
        <v>0</v>
      </c>
      <c r="I652" s="217">
        <v>90</v>
      </c>
      <c r="J652" s="217">
        <v>0</v>
      </c>
      <c r="K652" s="217">
        <v>208</v>
      </c>
      <c r="L652" s="217">
        <v>0</v>
      </c>
      <c r="M652" s="217">
        <v>483</v>
      </c>
      <c r="N652" s="180"/>
      <c r="O652" s="228">
        <f t="shared" si="323"/>
        <v>0</v>
      </c>
      <c r="P652" s="228">
        <f t="shared" si="324"/>
        <v>0</v>
      </c>
      <c r="Q652" s="228">
        <f t="shared" si="325"/>
        <v>0</v>
      </c>
      <c r="R652" s="228">
        <f t="shared" si="326"/>
        <v>0</v>
      </c>
    </row>
    <row r="653" spans="1:18">
      <c r="A653" s="244" t="s">
        <v>748</v>
      </c>
      <c r="B653" s="253" t="s">
        <v>204</v>
      </c>
      <c r="C653" s="84">
        <v>8</v>
      </c>
      <c r="D653" s="84">
        <v>6</v>
      </c>
      <c r="E653" s="226"/>
      <c r="F653" s="246">
        <v>14</v>
      </c>
      <c r="G653" s="246">
        <v>1763</v>
      </c>
      <c r="H653" s="246">
        <v>1</v>
      </c>
      <c r="I653" s="246">
        <v>870</v>
      </c>
      <c r="J653" s="246">
        <v>774</v>
      </c>
      <c r="K653" s="246">
        <v>2043</v>
      </c>
      <c r="L653" s="246">
        <v>789</v>
      </c>
      <c r="M653" s="246">
        <v>4676</v>
      </c>
      <c r="N653" s="180"/>
      <c r="O653" s="247">
        <f t="shared" ref="O653:O654" si="327">F653/G653*$C$653/$D$653</f>
        <v>1.0588012856872754E-2</v>
      </c>
      <c r="P653" s="247">
        <f t="shared" ref="P653:P654" si="328">H653/I653*$C$653/$D$653</f>
        <v>1.5325670498084292E-3</v>
      </c>
      <c r="Q653" s="247">
        <f t="shared" si="325"/>
        <v>0.50513950073421443</v>
      </c>
      <c r="R653" s="247">
        <f t="shared" ref="R653:R654" si="329">L653/M653*$C$653/$D$653</f>
        <v>0.2249786142001711</v>
      </c>
    </row>
    <row r="654" spans="1:18">
      <c r="A654" s="244"/>
      <c r="B654" s="282"/>
      <c r="C654" s="226"/>
      <c r="D654" s="226"/>
      <c r="E654" s="226"/>
      <c r="F654" s="241">
        <f t="shared" ref="F654:M654" si="330">SUM(F651:F653)</f>
        <v>14</v>
      </c>
      <c r="G654" s="241">
        <f t="shared" si="330"/>
        <v>1968</v>
      </c>
      <c r="H654" s="241">
        <f t="shared" si="330"/>
        <v>1</v>
      </c>
      <c r="I654" s="241">
        <f t="shared" si="330"/>
        <v>973</v>
      </c>
      <c r="J654" s="241">
        <f t="shared" si="330"/>
        <v>779</v>
      </c>
      <c r="K654" s="241">
        <f t="shared" si="330"/>
        <v>2290</v>
      </c>
      <c r="L654" s="241">
        <f t="shared" si="330"/>
        <v>794</v>
      </c>
      <c r="M654" s="241">
        <f t="shared" si="330"/>
        <v>5231</v>
      </c>
      <c r="N654" s="180"/>
      <c r="O654" s="228">
        <f t="shared" si="327"/>
        <v>9.485094850948509E-3</v>
      </c>
      <c r="P654" s="228">
        <f t="shared" si="328"/>
        <v>1.3703323055841042E-3</v>
      </c>
      <c r="Q654" s="228">
        <f t="shared" si="325"/>
        <v>0.45356622998544394</v>
      </c>
      <c r="R654" s="228">
        <f t="shared" si="329"/>
        <v>0.20238322819091314</v>
      </c>
    </row>
    <row r="655" spans="1:18">
      <c r="A655" s="283"/>
      <c r="B655" s="283"/>
      <c r="C655" s="85"/>
      <c r="D655" s="85"/>
      <c r="E655" s="85"/>
      <c r="F655" s="96"/>
      <c r="G655" s="96"/>
      <c r="H655" s="96"/>
      <c r="I655" s="96"/>
      <c r="J655" s="96"/>
      <c r="K655" s="96"/>
      <c r="L655" s="96"/>
      <c r="M655" s="96"/>
      <c r="N655" s="85"/>
      <c r="O655" s="189"/>
      <c r="P655" s="189"/>
      <c r="Q655" s="189"/>
      <c r="R655" s="189"/>
    </row>
    <row r="656" spans="1:18">
      <c r="A656" s="284" t="s">
        <v>749</v>
      </c>
      <c r="B656" s="285"/>
      <c r="C656" s="100"/>
      <c r="D656" s="95"/>
      <c r="E656" s="100"/>
      <c r="F656" s="286">
        <f t="shared" ref="F656:M656" si="331">F654+F649+F642+F629+F625+F614+F612+F606+F601+F589+F577+F567+F555+F551+F545+F538+F520+F509+F486+F476+F466+F464+F443+F416+F411+F401+F370+F366+F357+F320+F314+F306+F291+F287+F283+F274+F267+F265+F251+F246+F155+F151+F146+F139+F125+F121+F111+F101+F96+F78+F73+F69+F47+F42+F38+F30+F22+F20</f>
        <v>61780</v>
      </c>
      <c r="G656" s="286">
        <f t="shared" si="331"/>
        <v>463949</v>
      </c>
      <c r="H656" s="286">
        <f t="shared" si="331"/>
        <v>81521</v>
      </c>
      <c r="I656" s="286">
        <f t="shared" si="331"/>
        <v>204917</v>
      </c>
      <c r="J656" s="286">
        <f t="shared" si="331"/>
        <v>486984</v>
      </c>
      <c r="K656" s="286">
        <f t="shared" si="331"/>
        <v>487611</v>
      </c>
      <c r="L656" s="286">
        <f t="shared" si="331"/>
        <v>630291</v>
      </c>
      <c r="M656" s="286">
        <f t="shared" si="331"/>
        <v>1156772</v>
      </c>
      <c r="N656" s="100"/>
      <c r="O656" s="287"/>
      <c r="P656" s="287"/>
      <c r="Q656" s="287"/>
      <c r="R656" s="287"/>
    </row>
    <row r="657" spans="1:18">
      <c r="A657" s="283"/>
      <c r="B657" s="283"/>
      <c r="C657" s="85"/>
      <c r="D657" s="85"/>
      <c r="E657" s="85"/>
      <c r="F657" s="96"/>
      <c r="G657" s="96"/>
      <c r="H657" s="96"/>
      <c r="I657" s="96"/>
      <c r="J657" s="96"/>
      <c r="K657" s="96"/>
      <c r="L657" s="96"/>
      <c r="M657" s="96"/>
      <c r="N657" s="85"/>
      <c r="O657" s="189"/>
      <c r="P657" s="189"/>
      <c r="Q657" s="189"/>
      <c r="R657" s="189"/>
    </row>
    <row r="658" spans="1:18">
      <c r="A658" s="283"/>
      <c r="B658" s="283"/>
      <c r="C658" s="85"/>
      <c r="D658" s="85"/>
      <c r="E658" s="85"/>
      <c r="F658" s="96"/>
      <c r="G658" s="96"/>
      <c r="H658" s="96"/>
      <c r="I658" s="96"/>
      <c r="J658" s="96"/>
      <c r="K658" s="96"/>
      <c r="L658" s="96"/>
      <c r="M658" s="96"/>
      <c r="N658" s="85"/>
      <c r="O658" s="189"/>
      <c r="P658" s="189"/>
      <c r="Q658" s="189"/>
      <c r="R658" s="189"/>
    </row>
    <row r="659" spans="1:18">
      <c r="A659" s="283"/>
      <c r="B659" s="283"/>
      <c r="C659" s="85"/>
      <c r="D659" s="85"/>
      <c r="E659" s="85"/>
      <c r="F659" s="85"/>
      <c r="G659" s="85"/>
      <c r="H659" s="187"/>
      <c r="I659" s="85"/>
      <c r="J659" s="85"/>
      <c r="K659" s="85"/>
      <c r="L659" s="85"/>
      <c r="M659" s="85"/>
      <c r="N659" s="85"/>
      <c r="O659" s="189"/>
      <c r="P659" s="189"/>
      <c r="Q659" s="189"/>
      <c r="R659" s="189"/>
    </row>
    <row r="660" spans="1:18">
      <c r="A660" s="283"/>
      <c r="B660" s="283"/>
      <c r="C660" s="85"/>
      <c r="D660" s="85"/>
      <c r="E660" s="85"/>
      <c r="F660" s="85"/>
      <c r="G660" s="85"/>
      <c r="H660" s="187"/>
      <c r="I660" s="85"/>
      <c r="J660" s="85"/>
      <c r="K660" s="85"/>
      <c r="L660" s="85"/>
      <c r="M660" s="67"/>
      <c r="N660" s="85"/>
      <c r="O660" s="189"/>
      <c r="P660" s="189"/>
      <c r="Q660" s="189"/>
      <c r="R660" s="189"/>
    </row>
    <row r="661" spans="1:18">
      <c r="A661" s="283"/>
      <c r="B661" s="283"/>
      <c r="C661" s="85"/>
      <c r="D661" s="85"/>
      <c r="E661" s="85"/>
      <c r="F661" s="85"/>
      <c r="G661" s="85"/>
      <c r="H661" s="187"/>
      <c r="I661" s="85"/>
      <c r="J661" s="85"/>
      <c r="K661" s="85"/>
      <c r="L661" s="85"/>
      <c r="M661" s="85"/>
      <c r="N661" s="85"/>
      <c r="O661" s="189"/>
      <c r="P661" s="189"/>
      <c r="Q661" s="189"/>
      <c r="R661" s="189"/>
    </row>
    <row r="662" spans="1:18">
      <c r="A662" s="283"/>
      <c r="B662" s="283"/>
      <c r="C662" s="85"/>
      <c r="D662" s="85"/>
      <c r="E662" s="85"/>
      <c r="F662" s="85"/>
      <c r="G662" s="85"/>
      <c r="H662" s="187"/>
      <c r="I662" s="85"/>
      <c r="J662" s="85"/>
      <c r="K662" s="85"/>
      <c r="L662" s="85"/>
      <c r="M662" s="85"/>
      <c r="N662" s="85"/>
      <c r="O662" s="189"/>
      <c r="P662" s="189"/>
      <c r="Q662" s="189"/>
      <c r="R662" s="189"/>
    </row>
    <row r="663" spans="1:18">
      <c r="A663" s="283"/>
      <c r="B663" s="283"/>
      <c r="C663" s="85"/>
      <c r="D663" s="85"/>
      <c r="E663" s="85"/>
      <c r="F663" s="85"/>
      <c r="G663" s="85"/>
      <c r="H663" s="187"/>
      <c r="I663" s="85"/>
      <c r="J663" s="85"/>
      <c r="K663" s="85"/>
      <c r="L663" s="85"/>
      <c r="M663" s="85"/>
      <c r="N663" s="85"/>
      <c r="O663" s="189"/>
      <c r="P663" s="189"/>
      <c r="Q663" s="189"/>
      <c r="R663" s="189"/>
    </row>
    <row r="664" spans="1:18">
      <c r="A664" s="283"/>
      <c r="B664" s="283"/>
      <c r="C664" s="85"/>
      <c r="D664" s="85"/>
      <c r="E664" s="85"/>
      <c r="F664" s="85"/>
      <c r="G664" s="85"/>
      <c r="H664" s="187"/>
      <c r="I664" s="85"/>
      <c r="J664" s="85"/>
      <c r="K664" s="85"/>
      <c r="L664" s="85"/>
      <c r="M664" s="85"/>
      <c r="N664" s="85"/>
      <c r="O664" s="189"/>
      <c r="P664" s="189"/>
      <c r="Q664" s="189"/>
      <c r="R664" s="189"/>
    </row>
    <row r="665" spans="1:18">
      <c r="A665" s="283"/>
      <c r="B665" s="283"/>
      <c r="C665" s="85"/>
      <c r="D665" s="85"/>
      <c r="E665" s="85"/>
      <c r="F665" s="85"/>
      <c r="G665" s="85"/>
      <c r="H665" s="187"/>
      <c r="I665" s="85"/>
      <c r="J665" s="85"/>
      <c r="K665" s="85"/>
      <c r="L665" s="85"/>
      <c r="M665" s="85"/>
      <c r="N665" s="85"/>
      <c r="O665" s="189"/>
      <c r="P665" s="189"/>
      <c r="Q665" s="189"/>
      <c r="R665" s="189"/>
    </row>
    <row r="666" spans="1:18">
      <c r="A666" s="283"/>
      <c r="B666" s="283"/>
      <c r="C666" s="85"/>
      <c r="D666" s="85"/>
      <c r="E666" s="85"/>
      <c r="F666" s="85"/>
      <c r="G666" s="85"/>
      <c r="H666" s="187"/>
      <c r="I666" s="85"/>
      <c r="J666" s="85"/>
      <c r="K666" s="85"/>
      <c r="L666" s="85"/>
      <c r="M666" s="85"/>
      <c r="N666" s="85"/>
      <c r="O666" s="189"/>
      <c r="P666" s="189"/>
      <c r="Q666" s="189"/>
      <c r="R666" s="189"/>
    </row>
    <row r="667" spans="1:18">
      <c r="A667" s="283"/>
      <c r="B667" s="283"/>
      <c r="C667" s="85"/>
      <c r="D667" s="85"/>
      <c r="E667" s="85"/>
      <c r="F667" s="85"/>
      <c r="G667" s="85"/>
      <c r="H667" s="187"/>
      <c r="I667" s="85"/>
      <c r="J667" s="85"/>
      <c r="K667" s="85"/>
      <c r="L667" s="85"/>
      <c r="M667" s="85"/>
      <c r="N667" s="85"/>
      <c r="O667" s="189"/>
      <c r="P667" s="189"/>
      <c r="Q667" s="189"/>
      <c r="R667" s="189"/>
    </row>
    <row r="668" spans="1:18">
      <c r="A668" s="283"/>
      <c r="B668" s="283"/>
      <c r="C668" s="85"/>
      <c r="D668" s="85"/>
      <c r="E668" s="85"/>
      <c r="F668" s="85"/>
      <c r="G668" s="85"/>
      <c r="H668" s="187"/>
      <c r="I668" s="85"/>
      <c r="J668" s="85"/>
      <c r="K668" s="85"/>
      <c r="L668" s="85"/>
      <c r="M668" s="85"/>
      <c r="N668" s="85"/>
      <c r="O668" s="189"/>
      <c r="P668" s="189"/>
      <c r="Q668" s="189"/>
      <c r="R668" s="189"/>
    </row>
    <row r="669" spans="1:18">
      <c r="A669" s="283"/>
      <c r="B669" s="283"/>
      <c r="C669" s="85"/>
      <c r="D669" s="85"/>
      <c r="E669" s="85"/>
      <c r="F669" s="85"/>
      <c r="G669" s="85"/>
      <c r="H669" s="187"/>
      <c r="I669" s="85"/>
      <c r="J669" s="85"/>
      <c r="K669" s="85"/>
      <c r="L669" s="85"/>
      <c r="M669" s="85"/>
      <c r="N669" s="85"/>
      <c r="O669" s="189"/>
      <c r="P669" s="189"/>
      <c r="Q669" s="189"/>
      <c r="R669" s="189"/>
    </row>
    <row r="670" spans="1:18">
      <c r="A670" s="283"/>
      <c r="B670" s="283"/>
      <c r="C670" s="85"/>
      <c r="D670" s="85"/>
      <c r="E670" s="85"/>
      <c r="F670" s="85"/>
      <c r="G670" s="85"/>
      <c r="H670" s="187"/>
      <c r="I670" s="85"/>
      <c r="J670" s="85"/>
      <c r="K670" s="85"/>
      <c r="L670" s="85"/>
      <c r="M670" s="85"/>
      <c r="N670" s="85"/>
      <c r="O670" s="189"/>
      <c r="P670" s="189"/>
      <c r="Q670" s="189"/>
      <c r="R670" s="189"/>
    </row>
    <row r="671" spans="1:18">
      <c r="A671" s="283"/>
      <c r="B671" s="283"/>
      <c r="C671" s="85"/>
      <c r="D671" s="85"/>
      <c r="E671" s="85"/>
      <c r="F671" s="85"/>
      <c r="G671" s="85"/>
      <c r="H671" s="187"/>
      <c r="I671" s="85"/>
      <c r="J671" s="85"/>
      <c r="K671" s="85"/>
      <c r="L671" s="85"/>
      <c r="M671" s="85"/>
      <c r="N671" s="85"/>
      <c r="O671" s="189"/>
      <c r="P671" s="189"/>
      <c r="Q671" s="189"/>
      <c r="R671" s="189"/>
    </row>
    <row r="672" spans="1:18">
      <c r="A672" s="283"/>
      <c r="B672" s="283"/>
      <c r="C672" s="85"/>
      <c r="D672" s="85"/>
      <c r="E672" s="85"/>
      <c r="F672" s="85"/>
      <c r="G672" s="85"/>
      <c r="H672" s="187"/>
      <c r="I672" s="85"/>
      <c r="J672" s="85"/>
      <c r="K672" s="85"/>
      <c r="L672" s="85"/>
      <c r="M672" s="85"/>
      <c r="N672" s="85"/>
      <c r="O672" s="189"/>
      <c r="P672" s="189"/>
      <c r="Q672" s="189"/>
      <c r="R672" s="189"/>
    </row>
    <row r="673" spans="1:18">
      <c r="A673" s="283"/>
      <c r="B673" s="283"/>
      <c r="C673" s="85"/>
      <c r="D673" s="85"/>
      <c r="E673" s="85"/>
      <c r="F673" s="85"/>
      <c r="G673" s="85"/>
      <c r="H673" s="187"/>
      <c r="I673" s="85"/>
      <c r="J673" s="85"/>
      <c r="K673" s="85"/>
      <c r="L673" s="85"/>
      <c r="M673" s="85"/>
      <c r="N673" s="85"/>
      <c r="O673" s="189"/>
      <c r="P673" s="189"/>
      <c r="Q673" s="189"/>
      <c r="R673" s="189"/>
    </row>
    <row r="674" spans="1:18">
      <c r="A674" s="283"/>
      <c r="B674" s="283"/>
      <c r="C674" s="85"/>
      <c r="D674" s="85"/>
      <c r="E674" s="85"/>
      <c r="F674" s="85"/>
      <c r="G674" s="85"/>
      <c r="H674" s="187"/>
      <c r="I674" s="85"/>
      <c r="J674" s="85"/>
      <c r="K674" s="85"/>
      <c r="L674" s="85"/>
      <c r="M674" s="85"/>
      <c r="N674" s="85"/>
      <c r="O674" s="189"/>
      <c r="P674" s="189"/>
      <c r="Q674" s="189"/>
      <c r="R674" s="189"/>
    </row>
    <row r="675" spans="1:18">
      <c r="A675" s="283"/>
      <c r="B675" s="283"/>
      <c r="C675" s="85"/>
      <c r="D675" s="85"/>
      <c r="E675" s="85"/>
      <c r="F675" s="85"/>
      <c r="G675" s="85"/>
      <c r="H675" s="187"/>
      <c r="I675" s="85"/>
      <c r="J675" s="85"/>
      <c r="K675" s="85"/>
      <c r="L675" s="85"/>
      <c r="M675" s="85"/>
      <c r="N675" s="85"/>
      <c r="O675" s="189"/>
      <c r="P675" s="189"/>
      <c r="Q675" s="189"/>
      <c r="R675" s="189"/>
    </row>
    <row r="676" spans="1:18">
      <c r="A676" s="283"/>
      <c r="B676" s="283"/>
      <c r="C676" s="85"/>
      <c r="D676" s="85"/>
      <c r="E676" s="85"/>
      <c r="F676" s="85"/>
      <c r="G676" s="85"/>
      <c r="H676" s="187"/>
      <c r="I676" s="85"/>
      <c r="J676" s="85"/>
      <c r="K676" s="85"/>
      <c r="L676" s="85"/>
      <c r="M676" s="85"/>
      <c r="N676" s="85"/>
      <c r="O676" s="189"/>
      <c r="P676" s="189"/>
      <c r="Q676" s="189"/>
      <c r="R676" s="189"/>
    </row>
    <row r="677" spans="1:18">
      <c r="A677" s="283"/>
      <c r="B677" s="283"/>
      <c r="C677" s="85"/>
      <c r="D677" s="85"/>
      <c r="E677" s="85"/>
      <c r="F677" s="85"/>
      <c r="G677" s="85"/>
      <c r="H677" s="187"/>
      <c r="I677" s="85"/>
      <c r="J677" s="85"/>
      <c r="K677" s="85"/>
      <c r="L677" s="85"/>
      <c r="M677" s="85"/>
      <c r="N677" s="85"/>
      <c r="O677" s="189"/>
      <c r="P677" s="189"/>
      <c r="Q677" s="189"/>
      <c r="R677" s="189"/>
    </row>
    <row r="678" spans="1:18">
      <c r="A678" s="283"/>
      <c r="B678" s="283"/>
      <c r="C678" s="85"/>
      <c r="D678" s="85"/>
      <c r="E678" s="85"/>
      <c r="F678" s="85"/>
      <c r="G678" s="85"/>
      <c r="H678" s="187"/>
      <c r="I678" s="85"/>
      <c r="J678" s="85"/>
      <c r="K678" s="85"/>
      <c r="L678" s="85"/>
      <c r="M678" s="85"/>
      <c r="N678" s="85"/>
      <c r="O678" s="189"/>
      <c r="P678" s="189"/>
      <c r="Q678" s="189"/>
      <c r="R678" s="189"/>
    </row>
    <row r="679" spans="1:18">
      <c r="A679" s="283"/>
      <c r="B679" s="283"/>
      <c r="C679" s="85"/>
      <c r="D679" s="85"/>
      <c r="E679" s="85"/>
      <c r="F679" s="85"/>
      <c r="G679" s="85"/>
      <c r="H679" s="187"/>
      <c r="I679" s="85"/>
      <c r="J679" s="85"/>
      <c r="K679" s="85"/>
      <c r="L679" s="85"/>
      <c r="M679" s="85"/>
      <c r="N679" s="85"/>
      <c r="O679" s="189"/>
      <c r="P679" s="189"/>
      <c r="Q679" s="189"/>
      <c r="R679" s="189"/>
    </row>
    <row r="680" spans="1:18">
      <c r="A680" s="283"/>
      <c r="B680" s="283"/>
      <c r="C680" s="85"/>
      <c r="D680" s="85"/>
      <c r="E680" s="85"/>
      <c r="F680" s="85"/>
      <c r="G680" s="85"/>
      <c r="H680" s="187"/>
      <c r="I680" s="85"/>
      <c r="J680" s="85"/>
      <c r="K680" s="85"/>
      <c r="L680" s="85"/>
      <c r="M680" s="85"/>
      <c r="N680" s="85"/>
      <c r="O680" s="189"/>
      <c r="P680" s="189"/>
      <c r="Q680" s="189"/>
      <c r="R680" s="189"/>
    </row>
    <row r="681" spans="1:18">
      <c r="A681" s="283"/>
      <c r="B681" s="283"/>
      <c r="C681" s="85"/>
      <c r="D681" s="85"/>
      <c r="E681" s="85"/>
      <c r="F681" s="85"/>
      <c r="G681" s="85"/>
      <c r="H681" s="187"/>
      <c r="I681" s="85"/>
      <c r="J681" s="85"/>
      <c r="K681" s="85"/>
      <c r="L681" s="85"/>
      <c r="M681" s="85"/>
      <c r="N681" s="85"/>
      <c r="O681" s="189"/>
      <c r="P681" s="189"/>
      <c r="Q681" s="189"/>
      <c r="R681" s="189"/>
    </row>
    <row r="682" spans="1:18">
      <c r="A682" s="283"/>
      <c r="B682" s="283"/>
      <c r="C682" s="85"/>
      <c r="D682" s="85"/>
      <c r="E682" s="85"/>
      <c r="F682" s="85"/>
      <c r="G682" s="85"/>
      <c r="H682" s="187"/>
      <c r="I682" s="85"/>
      <c r="J682" s="85"/>
      <c r="K682" s="85"/>
      <c r="L682" s="85"/>
      <c r="M682" s="85"/>
      <c r="N682" s="85"/>
      <c r="O682" s="189"/>
      <c r="P682" s="189"/>
      <c r="Q682" s="189"/>
      <c r="R682" s="189"/>
    </row>
    <row r="683" spans="1:18">
      <c r="A683" s="283"/>
      <c r="B683" s="283"/>
      <c r="C683" s="85"/>
      <c r="D683" s="85"/>
      <c r="E683" s="85"/>
      <c r="F683" s="85"/>
      <c r="G683" s="85"/>
      <c r="H683" s="187"/>
      <c r="I683" s="85"/>
      <c r="J683" s="85"/>
      <c r="K683" s="85"/>
      <c r="L683" s="85"/>
      <c r="M683" s="85"/>
      <c r="N683" s="85"/>
      <c r="O683" s="189"/>
      <c r="P683" s="189"/>
      <c r="Q683" s="189"/>
      <c r="R683" s="189"/>
    </row>
    <row r="684" spans="1:18">
      <c r="A684" s="283"/>
      <c r="B684" s="283"/>
      <c r="C684" s="85"/>
      <c r="D684" s="85"/>
      <c r="E684" s="85"/>
      <c r="F684" s="85"/>
      <c r="G684" s="85"/>
      <c r="H684" s="187"/>
      <c r="I684" s="85"/>
      <c r="J684" s="85"/>
      <c r="K684" s="85"/>
      <c r="L684" s="85"/>
      <c r="M684" s="85"/>
      <c r="N684" s="85"/>
      <c r="O684" s="189"/>
      <c r="P684" s="189"/>
      <c r="Q684" s="189"/>
      <c r="R684" s="189"/>
    </row>
    <row r="685" spans="1:18">
      <c r="A685" s="283"/>
      <c r="B685" s="283"/>
      <c r="C685" s="85"/>
      <c r="D685" s="85"/>
      <c r="E685" s="85"/>
      <c r="F685" s="85"/>
      <c r="G685" s="85"/>
      <c r="H685" s="187"/>
      <c r="I685" s="85"/>
      <c r="J685" s="85"/>
      <c r="K685" s="85"/>
      <c r="L685" s="85"/>
      <c r="M685" s="85"/>
      <c r="N685" s="85"/>
      <c r="O685" s="189"/>
      <c r="P685" s="189"/>
      <c r="Q685" s="189"/>
      <c r="R685" s="189"/>
    </row>
    <row r="686" spans="1:18">
      <c r="A686" s="283"/>
      <c r="B686" s="283"/>
      <c r="C686" s="85"/>
      <c r="D686" s="85"/>
      <c r="E686" s="85"/>
      <c r="F686" s="85"/>
      <c r="G686" s="85"/>
      <c r="H686" s="187"/>
      <c r="I686" s="85"/>
      <c r="J686" s="85"/>
      <c r="K686" s="85"/>
      <c r="L686" s="85"/>
      <c r="M686" s="85"/>
      <c r="N686" s="85"/>
      <c r="O686" s="189"/>
      <c r="P686" s="189"/>
      <c r="Q686" s="189"/>
      <c r="R686" s="189"/>
    </row>
    <row r="687" spans="1:18">
      <c r="A687" s="283"/>
      <c r="B687" s="283"/>
      <c r="C687" s="85"/>
      <c r="D687" s="85"/>
      <c r="E687" s="85"/>
      <c r="F687" s="85"/>
      <c r="G687" s="85"/>
      <c r="H687" s="187"/>
      <c r="I687" s="85"/>
      <c r="J687" s="85"/>
      <c r="K687" s="85"/>
      <c r="L687" s="85"/>
      <c r="M687" s="85"/>
      <c r="N687" s="85"/>
      <c r="O687" s="189"/>
      <c r="P687" s="189"/>
      <c r="Q687" s="189"/>
      <c r="R687" s="189"/>
    </row>
    <row r="688" spans="1:18">
      <c r="A688" s="283"/>
      <c r="B688" s="283"/>
      <c r="C688" s="85"/>
      <c r="D688" s="85"/>
      <c r="E688" s="85"/>
      <c r="F688" s="85"/>
      <c r="G688" s="85"/>
      <c r="H688" s="187"/>
      <c r="I688" s="85"/>
      <c r="J688" s="85"/>
      <c r="K688" s="85"/>
      <c r="L688" s="85"/>
      <c r="M688" s="85"/>
      <c r="N688" s="85"/>
      <c r="O688" s="189"/>
      <c r="P688" s="189"/>
      <c r="Q688" s="189"/>
      <c r="R688" s="189"/>
    </row>
    <row r="689" spans="1:18">
      <c r="A689" s="283"/>
      <c r="B689" s="283"/>
      <c r="C689" s="85"/>
      <c r="D689" s="85"/>
      <c r="E689" s="85"/>
      <c r="F689" s="85"/>
      <c r="G689" s="85"/>
      <c r="H689" s="187"/>
      <c r="I689" s="85"/>
      <c r="J689" s="85"/>
      <c r="K689" s="85"/>
      <c r="L689" s="85"/>
      <c r="M689" s="85"/>
      <c r="N689" s="85"/>
      <c r="O689" s="189"/>
      <c r="P689" s="189"/>
      <c r="Q689" s="189"/>
      <c r="R689" s="189"/>
    </row>
    <row r="690" spans="1:18">
      <c r="A690" s="283"/>
      <c r="B690" s="283"/>
      <c r="C690" s="85"/>
      <c r="D690" s="85"/>
      <c r="E690" s="85"/>
      <c r="F690" s="85"/>
      <c r="G690" s="85"/>
      <c r="H690" s="187"/>
      <c r="I690" s="85"/>
      <c r="J690" s="85"/>
      <c r="K690" s="85"/>
      <c r="L690" s="85"/>
      <c r="M690" s="85"/>
      <c r="N690" s="85"/>
      <c r="O690" s="189"/>
      <c r="P690" s="189"/>
      <c r="Q690" s="189"/>
      <c r="R690" s="189"/>
    </row>
    <row r="691" spans="1:18">
      <c r="A691" s="283"/>
      <c r="B691" s="283"/>
      <c r="C691" s="85"/>
      <c r="D691" s="85"/>
      <c r="E691" s="85"/>
      <c r="F691" s="85"/>
      <c r="G691" s="85"/>
      <c r="H691" s="187"/>
      <c r="I691" s="85"/>
      <c r="J691" s="85"/>
      <c r="K691" s="85"/>
      <c r="L691" s="85"/>
      <c r="M691" s="85"/>
      <c r="N691" s="85"/>
      <c r="O691" s="189"/>
      <c r="P691" s="189"/>
      <c r="Q691" s="189"/>
      <c r="R691" s="189"/>
    </row>
    <row r="692" spans="1:18">
      <c r="A692" s="283"/>
      <c r="B692" s="283"/>
      <c r="C692" s="85"/>
      <c r="D692" s="85"/>
      <c r="E692" s="85"/>
      <c r="F692" s="85"/>
      <c r="G692" s="85"/>
      <c r="H692" s="187"/>
      <c r="I692" s="85"/>
      <c r="J692" s="85"/>
      <c r="K692" s="85"/>
      <c r="L692" s="85"/>
      <c r="M692" s="85"/>
      <c r="N692" s="85"/>
      <c r="O692" s="189"/>
      <c r="P692" s="189"/>
      <c r="Q692" s="189"/>
      <c r="R692" s="189"/>
    </row>
    <row r="693" spans="1:18">
      <c r="A693" s="283"/>
      <c r="B693" s="283"/>
      <c r="C693" s="85"/>
      <c r="D693" s="85"/>
      <c r="E693" s="85"/>
      <c r="F693" s="85"/>
      <c r="G693" s="85"/>
      <c r="H693" s="187"/>
      <c r="I693" s="85"/>
      <c r="J693" s="85"/>
      <c r="K693" s="85"/>
      <c r="L693" s="85"/>
      <c r="M693" s="85"/>
      <c r="N693" s="85"/>
      <c r="O693" s="189"/>
      <c r="P693" s="189"/>
      <c r="Q693" s="189"/>
      <c r="R693" s="189"/>
    </row>
    <row r="694" spans="1:18">
      <c r="A694" s="283"/>
      <c r="B694" s="283"/>
      <c r="C694" s="85"/>
      <c r="D694" s="85"/>
      <c r="E694" s="85"/>
      <c r="F694" s="85"/>
      <c r="G694" s="85"/>
      <c r="H694" s="187"/>
      <c r="I694" s="85"/>
      <c r="J694" s="85"/>
      <c r="K694" s="85"/>
      <c r="L694" s="85"/>
      <c r="M694" s="85"/>
      <c r="N694" s="85"/>
      <c r="O694" s="189"/>
      <c r="P694" s="189"/>
      <c r="Q694" s="189"/>
      <c r="R694" s="189"/>
    </row>
    <row r="695" spans="1:18">
      <c r="A695" s="283"/>
      <c r="B695" s="283"/>
      <c r="C695" s="85"/>
      <c r="D695" s="85"/>
      <c r="E695" s="85"/>
      <c r="F695" s="85"/>
      <c r="G695" s="85"/>
      <c r="H695" s="187"/>
      <c r="I695" s="85"/>
      <c r="J695" s="85"/>
      <c r="K695" s="85"/>
      <c r="L695" s="85"/>
      <c r="M695" s="85"/>
      <c r="N695" s="85"/>
      <c r="O695" s="189"/>
      <c r="P695" s="189"/>
      <c r="Q695" s="189"/>
      <c r="R695" s="189"/>
    </row>
    <row r="696" spans="1:18">
      <c r="A696" s="283"/>
      <c r="B696" s="283"/>
      <c r="C696" s="85"/>
      <c r="D696" s="85"/>
      <c r="E696" s="85"/>
      <c r="F696" s="85"/>
      <c r="G696" s="85"/>
      <c r="H696" s="187"/>
      <c r="I696" s="85"/>
      <c r="J696" s="85"/>
      <c r="K696" s="85"/>
      <c r="L696" s="85"/>
      <c r="M696" s="85"/>
      <c r="N696" s="85"/>
      <c r="O696" s="189"/>
      <c r="P696" s="189"/>
      <c r="Q696" s="189"/>
      <c r="R696" s="189"/>
    </row>
    <row r="697" spans="1:18">
      <c r="A697" s="283"/>
      <c r="B697" s="283"/>
      <c r="C697" s="85"/>
      <c r="D697" s="85"/>
      <c r="E697" s="85"/>
      <c r="F697" s="85"/>
      <c r="G697" s="85"/>
      <c r="H697" s="187"/>
      <c r="I697" s="85"/>
      <c r="J697" s="85"/>
      <c r="K697" s="85"/>
      <c r="L697" s="85"/>
      <c r="M697" s="85"/>
      <c r="N697" s="85"/>
      <c r="O697" s="189"/>
      <c r="P697" s="189"/>
      <c r="Q697" s="189"/>
      <c r="R697" s="189"/>
    </row>
    <row r="698" spans="1:18">
      <c r="A698" s="283"/>
      <c r="B698" s="283"/>
      <c r="C698" s="85"/>
      <c r="D698" s="85"/>
      <c r="E698" s="85"/>
      <c r="F698" s="85"/>
      <c r="G698" s="85"/>
      <c r="H698" s="187"/>
      <c r="I698" s="85"/>
      <c r="J698" s="85"/>
      <c r="K698" s="85"/>
      <c r="L698" s="85"/>
      <c r="M698" s="85"/>
      <c r="N698" s="85"/>
      <c r="O698" s="189"/>
      <c r="P698" s="189"/>
      <c r="Q698" s="189"/>
      <c r="R698" s="189"/>
    </row>
    <row r="699" spans="1:18">
      <c r="A699" s="283"/>
      <c r="B699" s="283"/>
      <c r="C699" s="85"/>
      <c r="D699" s="85"/>
      <c r="E699" s="85"/>
      <c r="F699" s="85"/>
      <c r="G699" s="85"/>
      <c r="H699" s="187"/>
      <c r="I699" s="85"/>
      <c r="J699" s="85"/>
      <c r="K699" s="85"/>
      <c r="L699" s="85"/>
      <c r="M699" s="85"/>
      <c r="N699" s="85"/>
      <c r="O699" s="189"/>
      <c r="P699" s="189"/>
      <c r="Q699" s="189"/>
      <c r="R699" s="189"/>
    </row>
    <row r="700" spans="1:18">
      <c r="A700" s="283"/>
      <c r="B700" s="283"/>
      <c r="C700" s="85"/>
      <c r="D700" s="85"/>
      <c r="E700" s="85"/>
      <c r="F700" s="85"/>
      <c r="G700" s="85"/>
      <c r="H700" s="187"/>
      <c r="I700" s="85"/>
      <c r="J700" s="85"/>
      <c r="K700" s="85"/>
      <c r="L700" s="85"/>
      <c r="M700" s="85"/>
      <c r="N700" s="85"/>
      <c r="O700" s="189"/>
      <c r="P700" s="189"/>
      <c r="Q700" s="189"/>
      <c r="R700" s="189"/>
    </row>
    <row r="701" spans="1:18">
      <c r="A701" s="283"/>
      <c r="B701" s="283"/>
      <c r="C701" s="85"/>
      <c r="D701" s="85"/>
      <c r="E701" s="85"/>
      <c r="F701" s="85"/>
      <c r="G701" s="85"/>
      <c r="H701" s="187"/>
      <c r="I701" s="85"/>
      <c r="J701" s="85"/>
      <c r="K701" s="85"/>
      <c r="L701" s="85"/>
      <c r="M701" s="85"/>
      <c r="N701" s="85"/>
      <c r="O701" s="189"/>
      <c r="P701" s="189"/>
      <c r="Q701" s="189"/>
      <c r="R701" s="189"/>
    </row>
    <row r="702" spans="1:18">
      <c r="A702" s="283"/>
      <c r="B702" s="283"/>
      <c r="C702" s="85"/>
      <c r="D702" s="85"/>
      <c r="E702" s="85"/>
      <c r="F702" s="85"/>
      <c r="G702" s="85"/>
      <c r="H702" s="187"/>
      <c r="I702" s="85"/>
      <c r="J702" s="85"/>
      <c r="K702" s="85"/>
      <c r="L702" s="85"/>
      <c r="M702" s="85"/>
      <c r="N702" s="85"/>
      <c r="O702" s="189"/>
      <c r="P702" s="189"/>
      <c r="Q702" s="189"/>
      <c r="R702" s="189"/>
    </row>
    <row r="703" spans="1:18">
      <c r="A703" s="283"/>
      <c r="B703" s="283"/>
      <c r="C703" s="85"/>
      <c r="D703" s="85"/>
      <c r="E703" s="85"/>
      <c r="F703" s="85"/>
      <c r="G703" s="85"/>
      <c r="H703" s="187"/>
      <c r="I703" s="85"/>
      <c r="J703" s="85"/>
      <c r="K703" s="85"/>
      <c r="L703" s="85"/>
      <c r="M703" s="85"/>
      <c r="N703" s="85"/>
      <c r="O703" s="189"/>
      <c r="P703" s="189"/>
      <c r="Q703" s="189"/>
      <c r="R703" s="189"/>
    </row>
    <row r="704" spans="1:18">
      <c r="A704" s="283"/>
      <c r="B704" s="283"/>
      <c r="C704" s="85"/>
      <c r="D704" s="85"/>
      <c r="E704" s="85"/>
      <c r="F704" s="85"/>
      <c r="G704" s="85"/>
      <c r="H704" s="187"/>
      <c r="I704" s="85"/>
      <c r="J704" s="85"/>
      <c r="K704" s="85"/>
      <c r="L704" s="85"/>
      <c r="M704" s="85"/>
      <c r="N704" s="85"/>
      <c r="O704" s="189"/>
      <c r="P704" s="189"/>
      <c r="Q704" s="189"/>
      <c r="R704" s="189"/>
    </row>
    <row r="705" spans="1:18">
      <c r="A705" s="283"/>
      <c r="B705" s="283"/>
      <c r="C705" s="85"/>
      <c r="D705" s="85"/>
      <c r="E705" s="85"/>
      <c r="F705" s="85"/>
      <c r="G705" s="85"/>
      <c r="H705" s="187"/>
      <c r="I705" s="85"/>
      <c r="J705" s="85"/>
      <c r="K705" s="85"/>
      <c r="L705" s="85"/>
      <c r="M705" s="85"/>
      <c r="N705" s="85"/>
      <c r="O705" s="189"/>
      <c r="P705" s="189"/>
      <c r="Q705" s="189"/>
      <c r="R705" s="189"/>
    </row>
    <row r="706" spans="1:18">
      <c r="A706" s="283"/>
      <c r="B706" s="283"/>
      <c r="C706" s="85"/>
      <c r="D706" s="85"/>
      <c r="E706" s="85"/>
      <c r="F706" s="85"/>
      <c r="G706" s="85"/>
      <c r="H706" s="187"/>
      <c r="I706" s="85"/>
      <c r="J706" s="85"/>
      <c r="K706" s="85"/>
      <c r="L706" s="85"/>
      <c r="M706" s="85"/>
      <c r="N706" s="85"/>
      <c r="O706" s="189"/>
      <c r="P706" s="189"/>
      <c r="Q706" s="189"/>
      <c r="R706" s="189"/>
    </row>
    <row r="707" spans="1:18">
      <c r="A707" s="283"/>
      <c r="B707" s="283"/>
      <c r="C707" s="85"/>
      <c r="D707" s="85"/>
      <c r="E707" s="85"/>
      <c r="F707" s="85"/>
      <c r="G707" s="85"/>
      <c r="H707" s="187"/>
      <c r="I707" s="85"/>
      <c r="J707" s="85"/>
      <c r="K707" s="85"/>
      <c r="L707" s="85"/>
      <c r="M707" s="85"/>
      <c r="N707" s="85"/>
      <c r="O707" s="189"/>
      <c r="P707" s="189"/>
      <c r="Q707" s="189"/>
      <c r="R707" s="189"/>
    </row>
    <row r="708" spans="1:18">
      <c r="A708" s="283"/>
      <c r="B708" s="283"/>
      <c r="C708" s="85"/>
      <c r="D708" s="85"/>
      <c r="E708" s="85"/>
      <c r="F708" s="85"/>
      <c r="G708" s="85"/>
      <c r="H708" s="187"/>
      <c r="I708" s="85"/>
      <c r="J708" s="85"/>
      <c r="K708" s="85"/>
      <c r="L708" s="85"/>
      <c r="M708" s="85"/>
      <c r="N708" s="85"/>
      <c r="O708" s="189"/>
      <c r="P708" s="189"/>
      <c r="Q708" s="189"/>
      <c r="R708" s="189"/>
    </row>
    <row r="709" spans="1:18">
      <c r="A709" s="283"/>
      <c r="B709" s="283"/>
      <c r="C709" s="85"/>
      <c r="D709" s="85"/>
      <c r="E709" s="85"/>
      <c r="F709" s="85"/>
      <c r="G709" s="85"/>
      <c r="H709" s="187"/>
      <c r="I709" s="85"/>
      <c r="J709" s="85"/>
      <c r="K709" s="85"/>
      <c r="L709" s="85"/>
      <c r="M709" s="85"/>
      <c r="N709" s="85"/>
      <c r="O709" s="189"/>
      <c r="P709" s="189"/>
      <c r="Q709" s="189"/>
      <c r="R709" s="189"/>
    </row>
    <row r="710" spans="1:18">
      <c r="A710" s="283"/>
      <c r="B710" s="283"/>
      <c r="C710" s="85"/>
      <c r="D710" s="85"/>
      <c r="E710" s="85"/>
      <c r="F710" s="85"/>
      <c r="G710" s="85"/>
      <c r="H710" s="187"/>
      <c r="I710" s="85"/>
      <c r="J710" s="85"/>
      <c r="K710" s="85"/>
      <c r="L710" s="85"/>
      <c r="M710" s="85"/>
      <c r="N710" s="85"/>
      <c r="O710" s="189"/>
      <c r="P710" s="189"/>
      <c r="Q710" s="189"/>
      <c r="R710" s="189"/>
    </row>
    <row r="711" spans="1:18">
      <c r="A711" s="283"/>
      <c r="B711" s="283"/>
      <c r="C711" s="85"/>
      <c r="D711" s="85"/>
      <c r="E711" s="85"/>
      <c r="F711" s="85"/>
      <c r="G711" s="85"/>
      <c r="H711" s="187"/>
      <c r="I711" s="85"/>
      <c r="J711" s="85"/>
      <c r="K711" s="85"/>
      <c r="L711" s="85"/>
      <c r="M711" s="85"/>
      <c r="N711" s="85"/>
      <c r="O711" s="189"/>
      <c r="P711" s="189"/>
      <c r="Q711" s="189"/>
      <c r="R711" s="189"/>
    </row>
    <row r="712" spans="1:18">
      <c r="A712" s="283"/>
      <c r="B712" s="283"/>
      <c r="C712" s="85"/>
      <c r="D712" s="85"/>
      <c r="E712" s="85"/>
      <c r="F712" s="85"/>
      <c r="G712" s="85"/>
      <c r="H712" s="187"/>
      <c r="I712" s="85"/>
      <c r="J712" s="85"/>
      <c r="K712" s="85"/>
      <c r="L712" s="85"/>
      <c r="M712" s="85"/>
      <c r="N712" s="85"/>
      <c r="O712" s="189"/>
      <c r="P712" s="189"/>
      <c r="Q712" s="189"/>
      <c r="R712" s="189"/>
    </row>
    <row r="713" spans="1:18">
      <c r="A713" s="283"/>
      <c r="B713" s="283"/>
      <c r="C713" s="85"/>
      <c r="D713" s="85"/>
      <c r="E713" s="85"/>
      <c r="F713" s="85"/>
      <c r="G713" s="85"/>
      <c r="H713" s="187"/>
      <c r="I713" s="85"/>
      <c r="J713" s="85"/>
      <c r="K713" s="85"/>
      <c r="L713" s="85"/>
      <c r="M713" s="85"/>
      <c r="N713" s="85"/>
      <c r="O713" s="189"/>
      <c r="P713" s="189"/>
      <c r="Q713" s="189"/>
      <c r="R713" s="189"/>
    </row>
    <row r="714" spans="1:18">
      <c r="A714" s="283"/>
      <c r="B714" s="283"/>
      <c r="C714" s="85"/>
      <c r="D714" s="85"/>
      <c r="E714" s="85"/>
      <c r="F714" s="85"/>
      <c r="G714" s="85"/>
      <c r="H714" s="187"/>
      <c r="I714" s="85"/>
      <c r="J714" s="85"/>
      <c r="K714" s="85"/>
      <c r="L714" s="85"/>
      <c r="M714" s="85"/>
      <c r="N714" s="85"/>
      <c r="O714" s="189"/>
      <c r="P714" s="189"/>
      <c r="Q714" s="189"/>
      <c r="R714" s="189"/>
    </row>
    <row r="715" spans="1:18">
      <c r="A715" s="283"/>
      <c r="B715" s="283"/>
      <c r="C715" s="85"/>
      <c r="D715" s="85"/>
      <c r="E715" s="85"/>
      <c r="F715" s="85"/>
      <c r="G715" s="85"/>
      <c r="H715" s="187"/>
      <c r="I715" s="85"/>
      <c r="J715" s="85"/>
      <c r="K715" s="85"/>
      <c r="L715" s="85"/>
      <c r="M715" s="85"/>
      <c r="N715" s="85"/>
      <c r="O715" s="189"/>
      <c r="P715" s="189"/>
      <c r="Q715" s="189"/>
      <c r="R715" s="189"/>
    </row>
    <row r="716" spans="1:18">
      <c r="A716" s="283"/>
      <c r="B716" s="283"/>
      <c r="C716" s="85"/>
      <c r="D716" s="85"/>
      <c r="E716" s="85"/>
      <c r="F716" s="85"/>
      <c r="G716" s="85"/>
      <c r="H716" s="187"/>
      <c r="I716" s="85"/>
      <c r="J716" s="85"/>
      <c r="K716" s="85"/>
      <c r="L716" s="85"/>
      <c r="M716" s="85"/>
      <c r="N716" s="85"/>
      <c r="O716" s="189"/>
      <c r="P716" s="189"/>
      <c r="Q716" s="189"/>
      <c r="R716" s="189"/>
    </row>
    <row r="717" spans="1:18">
      <c r="A717" s="283"/>
      <c r="B717" s="283"/>
      <c r="C717" s="85"/>
      <c r="D717" s="85"/>
      <c r="E717" s="85"/>
      <c r="F717" s="85"/>
      <c r="G717" s="85"/>
      <c r="H717" s="187"/>
      <c r="I717" s="85"/>
      <c r="J717" s="85"/>
      <c r="K717" s="85"/>
      <c r="L717" s="85"/>
      <c r="M717" s="85"/>
      <c r="N717" s="85"/>
      <c r="O717" s="189"/>
      <c r="P717" s="189"/>
      <c r="Q717" s="189"/>
      <c r="R717" s="189"/>
    </row>
    <row r="718" spans="1:18">
      <c r="A718" s="283"/>
      <c r="B718" s="283"/>
      <c r="C718" s="85"/>
      <c r="D718" s="85"/>
      <c r="E718" s="85"/>
      <c r="F718" s="85"/>
      <c r="G718" s="85"/>
      <c r="H718" s="187"/>
      <c r="I718" s="85"/>
      <c r="J718" s="85"/>
      <c r="K718" s="85"/>
      <c r="L718" s="85"/>
      <c r="M718" s="85"/>
      <c r="N718" s="85"/>
      <c r="O718" s="189"/>
      <c r="P718" s="189"/>
      <c r="Q718" s="189"/>
      <c r="R718" s="189"/>
    </row>
    <row r="719" spans="1:18">
      <c r="A719" s="283"/>
      <c r="B719" s="283"/>
      <c r="C719" s="85"/>
      <c r="D719" s="85"/>
      <c r="E719" s="85"/>
      <c r="F719" s="85"/>
      <c r="G719" s="85"/>
      <c r="H719" s="187"/>
      <c r="I719" s="85"/>
      <c r="J719" s="85"/>
      <c r="K719" s="85"/>
      <c r="L719" s="85"/>
      <c r="M719" s="85"/>
      <c r="N719" s="85"/>
      <c r="O719" s="189"/>
      <c r="P719" s="189"/>
      <c r="Q719" s="189"/>
      <c r="R719" s="189"/>
    </row>
    <row r="720" spans="1:18">
      <c r="A720" s="283"/>
      <c r="B720" s="283"/>
      <c r="C720" s="85"/>
      <c r="D720" s="85"/>
      <c r="E720" s="85"/>
      <c r="F720" s="85"/>
      <c r="G720" s="85"/>
      <c r="H720" s="187"/>
      <c r="I720" s="85"/>
      <c r="J720" s="85"/>
      <c r="K720" s="85"/>
      <c r="L720" s="85"/>
      <c r="M720" s="85"/>
      <c r="N720" s="85"/>
      <c r="O720" s="189"/>
      <c r="P720" s="189"/>
      <c r="Q720" s="189"/>
      <c r="R720" s="189"/>
    </row>
    <row r="721" spans="1:18">
      <c r="A721" s="283"/>
      <c r="B721" s="283"/>
      <c r="C721" s="85"/>
      <c r="D721" s="85"/>
      <c r="E721" s="85"/>
      <c r="F721" s="85"/>
      <c r="G721" s="85"/>
      <c r="H721" s="187"/>
      <c r="I721" s="85"/>
      <c r="J721" s="85"/>
      <c r="K721" s="85"/>
      <c r="L721" s="85"/>
      <c r="M721" s="85"/>
      <c r="N721" s="85"/>
      <c r="O721" s="189"/>
      <c r="P721" s="189"/>
      <c r="Q721" s="189"/>
      <c r="R721" s="189"/>
    </row>
    <row r="722" spans="1:18">
      <c r="A722" s="283"/>
      <c r="B722" s="283"/>
      <c r="C722" s="85"/>
      <c r="D722" s="85"/>
      <c r="E722" s="85"/>
      <c r="F722" s="85"/>
      <c r="G722" s="85"/>
      <c r="H722" s="187"/>
      <c r="I722" s="85"/>
      <c r="J722" s="85"/>
      <c r="K722" s="85"/>
      <c r="L722" s="85"/>
      <c r="M722" s="85"/>
      <c r="N722" s="85"/>
      <c r="O722" s="189"/>
      <c r="P722" s="189"/>
      <c r="Q722" s="189"/>
      <c r="R722" s="189"/>
    </row>
    <row r="723" spans="1:18">
      <c r="A723" s="283"/>
      <c r="B723" s="283"/>
      <c r="C723" s="85"/>
      <c r="D723" s="85"/>
      <c r="E723" s="85"/>
      <c r="F723" s="85"/>
      <c r="G723" s="85"/>
      <c r="H723" s="187"/>
      <c r="I723" s="85"/>
      <c r="J723" s="85"/>
      <c r="K723" s="85"/>
      <c r="L723" s="85"/>
      <c r="M723" s="85"/>
      <c r="N723" s="85"/>
      <c r="O723" s="189"/>
      <c r="P723" s="189"/>
      <c r="Q723" s="189"/>
      <c r="R723" s="189"/>
    </row>
    <row r="724" spans="1:18">
      <c r="A724" s="283"/>
      <c r="B724" s="283"/>
      <c r="C724" s="85"/>
      <c r="D724" s="85"/>
      <c r="E724" s="85"/>
      <c r="F724" s="85"/>
      <c r="G724" s="85"/>
      <c r="H724" s="187"/>
      <c r="I724" s="85"/>
      <c r="J724" s="85"/>
      <c r="K724" s="85"/>
      <c r="L724" s="85"/>
      <c r="M724" s="85"/>
      <c r="N724" s="85"/>
      <c r="O724" s="189"/>
      <c r="P724" s="189"/>
      <c r="Q724" s="189"/>
      <c r="R724" s="189"/>
    </row>
    <row r="725" spans="1:18">
      <c r="A725" s="283"/>
      <c r="B725" s="283"/>
      <c r="C725" s="85"/>
      <c r="D725" s="85"/>
      <c r="E725" s="85"/>
      <c r="F725" s="85"/>
      <c r="G725" s="85"/>
      <c r="H725" s="187"/>
      <c r="I725" s="85"/>
      <c r="J725" s="85"/>
      <c r="K725" s="85"/>
      <c r="L725" s="85"/>
      <c r="M725" s="85"/>
      <c r="N725" s="85"/>
      <c r="O725" s="189"/>
      <c r="P725" s="189"/>
      <c r="Q725" s="189"/>
      <c r="R725" s="189"/>
    </row>
    <row r="726" spans="1:18">
      <c r="A726" s="283"/>
      <c r="B726" s="283"/>
      <c r="C726" s="85"/>
      <c r="D726" s="85"/>
      <c r="E726" s="85"/>
      <c r="F726" s="85"/>
      <c r="G726" s="85"/>
      <c r="H726" s="187"/>
      <c r="I726" s="85"/>
      <c r="J726" s="85"/>
      <c r="K726" s="85"/>
      <c r="L726" s="85"/>
      <c r="M726" s="85"/>
      <c r="N726" s="85"/>
      <c r="O726" s="189"/>
      <c r="P726" s="189"/>
      <c r="Q726" s="189"/>
      <c r="R726" s="189"/>
    </row>
    <row r="727" spans="1:18">
      <c r="A727" s="283"/>
      <c r="B727" s="283"/>
      <c r="C727" s="85"/>
      <c r="D727" s="85"/>
      <c r="E727" s="85"/>
      <c r="F727" s="85"/>
      <c r="G727" s="85"/>
      <c r="H727" s="187"/>
      <c r="I727" s="85"/>
      <c r="J727" s="85"/>
      <c r="K727" s="85"/>
      <c r="L727" s="85"/>
      <c r="M727" s="85"/>
      <c r="N727" s="85"/>
      <c r="O727" s="189"/>
      <c r="P727" s="189"/>
      <c r="Q727" s="189"/>
      <c r="R727" s="189"/>
    </row>
    <row r="728" spans="1:18">
      <c r="A728" s="283"/>
      <c r="B728" s="283"/>
      <c r="C728" s="85"/>
      <c r="D728" s="85"/>
      <c r="E728" s="85"/>
      <c r="F728" s="85"/>
      <c r="G728" s="85"/>
      <c r="H728" s="187"/>
      <c r="I728" s="85"/>
      <c r="J728" s="85"/>
      <c r="K728" s="85"/>
      <c r="L728" s="85"/>
      <c r="M728" s="85"/>
      <c r="N728" s="85"/>
      <c r="O728" s="189"/>
      <c r="P728" s="189"/>
      <c r="Q728" s="189"/>
      <c r="R728" s="189"/>
    </row>
    <row r="729" spans="1:18">
      <c r="A729" s="283"/>
      <c r="B729" s="283"/>
      <c r="C729" s="85"/>
      <c r="D729" s="85"/>
      <c r="E729" s="85"/>
      <c r="F729" s="85"/>
      <c r="G729" s="85"/>
      <c r="H729" s="187"/>
      <c r="I729" s="85"/>
      <c r="J729" s="85"/>
      <c r="K729" s="85"/>
      <c r="L729" s="85"/>
      <c r="M729" s="85"/>
      <c r="N729" s="85"/>
      <c r="O729" s="189"/>
      <c r="P729" s="189"/>
      <c r="Q729" s="189"/>
      <c r="R729" s="189"/>
    </row>
    <row r="730" spans="1:18">
      <c r="A730" s="283"/>
      <c r="B730" s="283"/>
      <c r="C730" s="85"/>
      <c r="D730" s="85"/>
      <c r="E730" s="85"/>
      <c r="F730" s="85"/>
      <c r="G730" s="85"/>
      <c r="H730" s="187"/>
      <c r="I730" s="85"/>
      <c r="J730" s="85"/>
      <c r="K730" s="85"/>
      <c r="L730" s="85"/>
      <c r="M730" s="85"/>
      <c r="N730" s="85"/>
      <c r="O730" s="189"/>
      <c r="P730" s="189"/>
      <c r="Q730" s="189"/>
      <c r="R730" s="189"/>
    </row>
    <row r="731" spans="1:18">
      <c r="A731" s="283"/>
      <c r="B731" s="283"/>
      <c r="C731" s="85"/>
      <c r="D731" s="85"/>
      <c r="E731" s="85"/>
      <c r="F731" s="85"/>
      <c r="G731" s="85"/>
      <c r="H731" s="187"/>
      <c r="I731" s="85"/>
      <c r="J731" s="85"/>
      <c r="K731" s="85"/>
      <c r="L731" s="85"/>
      <c r="M731" s="85"/>
      <c r="N731" s="85"/>
      <c r="O731" s="189"/>
      <c r="P731" s="189"/>
      <c r="Q731" s="189"/>
      <c r="R731" s="189"/>
    </row>
    <row r="732" spans="1:18">
      <c r="A732" s="283"/>
      <c r="B732" s="283"/>
      <c r="C732" s="85"/>
      <c r="D732" s="85"/>
      <c r="E732" s="85"/>
      <c r="F732" s="85"/>
      <c r="G732" s="85"/>
      <c r="H732" s="187"/>
      <c r="I732" s="85"/>
      <c r="J732" s="85"/>
      <c r="K732" s="85"/>
      <c r="L732" s="85"/>
      <c r="M732" s="85"/>
      <c r="N732" s="85"/>
      <c r="O732" s="189"/>
      <c r="P732" s="189"/>
      <c r="Q732" s="189"/>
      <c r="R732" s="189"/>
    </row>
    <row r="733" spans="1:18">
      <c r="A733" s="283"/>
      <c r="B733" s="283"/>
      <c r="C733" s="85"/>
      <c r="D733" s="85"/>
      <c r="E733" s="85"/>
      <c r="F733" s="85"/>
      <c r="G733" s="85"/>
      <c r="H733" s="187"/>
      <c r="I733" s="85"/>
      <c r="J733" s="85"/>
      <c r="K733" s="85"/>
      <c r="L733" s="85"/>
      <c r="M733" s="85"/>
      <c r="N733" s="85"/>
      <c r="O733" s="189"/>
      <c r="P733" s="189"/>
      <c r="Q733" s="189"/>
      <c r="R733" s="189"/>
    </row>
    <row r="734" spans="1:18">
      <c r="A734" s="283"/>
      <c r="B734" s="283"/>
      <c r="C734" s="85"/>
      <c r="D734" s="85"/>
      <c r="E734" s="85"/>
      <c r="F734" s="85"/>
      <c r="G734" s="85"/>
      <c r="H734" s="187"/>
      <c r="I734" s="85"/>
      <c r="J734" s="85"/>
      <c r="K734" s="85"/>
      <c r="L734" s="85"/>
      <c r="M734" s="85"/>
      <c r="N734" s="85"/>
      <c r="O734" s="189"/>
      <c r="P734" s="189"/>
      <c r="Q734" s="189"/>
      <c r="R734" s="189"/>
    </row>
    <row r="735" spans="1:18">
      <c r="A735" s="283"/>
      <c r="B735" s="283"/>
      <c r="C735" s="85"/>
      <c r="D735" s="85"/>
      <c r="E735" s="85"/>
      <c r="F735" s="85"/>
      <c r="G735" s="85"/>
      <c r="H735" s="187"/>
      <c r="I735" s="85"/>
      <c r="J735" s="85"/>
      <c r="K735" s="85"/>
      <c r="L735" s="85"/>
      <c r="M735" s="85"/>
      <c r="N735" s="85"/>
      <c r="O735" s="189"/>
      <c r="P735" s="189"/>
      <c r="Q735" s="189"/>
      <c r="R735" s="189"/>
    </row>
    <row r="736" spans="1:18">
      <c r="A736" s="283"/>
      <c r="B736" s="283"/>
      <c r="C736" s="85"/>
      <c r="D736" s="85"/>
      <c r="E736" s="85"/>
      <c r="F736" s="85"/>
      <c r="G736" s="85"/>
      <c r="H736" s="187"/>
      <c r="I736" s="85"/>
      <c r="J736" s="85"/>
      <c r="K736" s="85"/>
      <c r="L736" s="85"/>
      <c r="M736" s="85"/>
      <c r="N736" s="85"/>
      <c r="O736" s="189"/>
      <c r="P736" s="189"/>
      <c r="Q736" s="189"/>
      <c r="R736" s="189"/>
    </row>
    <row r="737" spans="1:18">
      <c r="A737" s="283"/>
      <c r="B737" s="283"/>
      <c r="C737" s="85"/>
      <c r="D737" s="85"/>
      <c r="E737" s="85"/>
      <c r="F737" s="85"/>
      <c r="G737" s="85"/>
      <c r="H737" s="187"/>
      <c r="I737" s="85"/>
      <c r="J737" s="85"/>
      <c r="K737" s="85"/>
      <c r="L737" s="85"/>
      <c r="M737" s="85"/>
      <c r="N737" s="85"/>
      <c r="O737" s="189"/>
      <c r="P737" s="189"/>
      <c r="Q737" s="189"/>
      <c r="R737" s="189"/>
    </row>
    <row r="738" spans="1:18">
      <c r="A738" s="283"/>
      <c r="B738" s="283"/>
      <c r="C738" s="85"/>
      <c r="D738" s="85"/>
      <c r="E738" s="85"/>
      <c r="F738" s="85"/>
      <c r="G738" s="85"/>
      <c r="H738" s="187"/>
      <c r="I738" s="85"/>
      <c r="J738" s="85"/>
      <c r="K738" s="85"/>
      <c r="L738" s="85"/>
      <c r="M738" s="85"/>
      <c r="N738" s="85"/>
      <c r="O738" s="189"/>
      <c r="P738" s="189"/>
      <c r="Q738" s="189"/>
      <c r="R738" s="189"/>
    </row>
    <row r="739" spans="1:18">
      <c r="A739" s="283"/>
      <c r="B739" s="283"/>
      <c r="C739" s="85"/>
      <c r="D739" s="85"/>
      <c r="E739" s="85"/>
      <c r="F739" s="85"/>
      <c r="G739" s="85"/>
      <c r="H739" s="187"/>
      <c r="I739" s="85"/>
      <c r="J739" s="85"/>
      <c r="K739" s="85"/>
      <c r="L739" s="85"/>
      <c r="M739" s="85"/>
      <c r="N739" s="85"/>
      <c r="O739" s="189"/>
      <c r="P739" s="189"/>
      <c r="Q739" s="189"/>
      <c r="R739" s="189"/>
    </row>
    <row r="740" spans="1:18">
      <c r="A740" s="283"/>
      <c r="B740" s="283"/>
      <c r="C740" s="85"/>
      <c r="D740" s="85"/>
      <c r="E740" s="85"/>
      <c r="F740" s="85"/>
      <c r="G740" s="85"/>
      <c r="H740" s="187"/>
      <c r="I740" s="85"/>
      <c r="J740" s="85"/>
      <c r="K740" s="85"/>
      <c r="L740" s="85"/>
      <c r="M740" s="85"/>
      <c r="N740" s="85"/>
      <c r="O740" s="189"/>
      <c r="P740" s="189"/>
      <c r="Q740" s="189"/>
      <c r="R740" s="189"/>
    </row>
    <row r="741" spans="1:18">
      <c r="A741" s="283"/>
      <c r="B741" s="283"/>
      <c r="C741" s="85"/>
      <c r="D741" s="85"/>
      <c r="E741" s="85"/>
      <c r="F741" s="85"/>
      <c r="G741" s="85"/>
      <c r="H741" s="187"/>
      <c r="I741" s="85"/>
      <c r="J741" s="85"/>
      <c r="K741" s="85"/>
      <c r="L741" s="85"/>
      <c r="M741" s="85"/>
      <c r="N741" s="85"/>
      <c r="O741" s="189"/>
      <c r="P741" s="189"/>
      <c r="Q741" s="189"/>
      <c r="R741" s="189"/>
    </row>
    <row r="742" spans="1:18">
      <c r="A742" s="283"/>
      <c r="B742" s="283"/>
      <c r="C742" s="85"/>
      <c r="D742" s="85"/>
      <c r="E742" s="85"/>
      <c r="F742" s="85"/>
      <c r="G742" s="85"/>
      <c r="H742" s="187"/>
      <c r="I742" s="85"/>
      <c r="J742" s="85"/>
      <c r="K742" s="85"/>
      <c r="L742" s="85"/>
      <c r="M742" s="85"/>
      <c r="N742" s="85"/>
      <c r="O742" s="189"/>
      <c r="P742" s="189"/>
      <c r="Q742" s="189"/>
      <c r="R742" s="189"/>
    </row>
    <row r="743" spans="1:18">
      <c r="A743" s="283"/>
      <c r="B743" s="283"/>
      <c r="C743" s="85"/>
      <c r="D743" s="85"/>
      <c r="E743" s="85"/>
      <c r="F743" s="85"/>
      <c r="G743" s="85"/>
      <c r="H743" s="187"/>
      <c r="I743" s="85"/>
      <c r="J743" s="85"/>
      <c r="K743" s="85"/>
      <c r="L743" s="85"/>
      <c r="M743" s="85"/>
      <c r="N743" s="85"/>
      <c r="O743" s="189"/>
      <c r="P743" s="189"/>
      <c r="Q743" s="189"/>
      <c r="R743" s="189"/>
    </row>
    <row r="744" spans="1:18">
      <c r="A744" s="283"/>
      <c r="B744" s="283"/>
      <c r="C744" s="85"/>
      <c r="D744" s="85"/>
      <c r="E744" s="85"/>
      <c r="F744" s="85"/>
      <c r="G744" s="85"/>
      <c r="H744" s="187"/>
      <c r="I744" s="85"/>
      <c r="J744" s="85"/>
      <c r="K744" s="85"/>
      <c r="L744" s="85"/>
      <c r="M744" s="85"/>
      <c r="N744" s="85"/>
      <c r="O744" s="189"/>
      <c r="P744" s="189"/>
      <c r="Q744" s="189"/>
      <c r="R744" s="189"/>
    </row>
    <row r="745" spans="1:18">
      <c r="A745" s="283"/>
      <c r="B745" s="283"/>
      <c r="C745" s="85"/>
      <c r="D745" s="85"/>
      <c r="E745" s="85"/>
      <c r="F745" s="85"/>
      <c r="G745" s="85"/>
      <c r="H745" s="187"/>
      <c r="I745" s="85"/>
      <c r="J745" s="85"/>
      <c r="K745" s="85"/>
      <c r="L745" s="85"/>
      <c r="M745" s="85"/>
      <c r="N745" s="85"/>
      <c r="O745" s="189"/>
      <c r="P745" s="189"/>
      <c r="Q745" s="189"/>
      <c r="R745" s="189"/>
    </row>
    <row r="746" spans="1:18">
      <c r="A746" s="283"/>
      <c r="B746" s="283"/>
      <c r="C746" s="85"/>
      <c r="D746" s="85"/>
      <c r="E746" s="85"/>
      <c r="F746" s="85"/>
      <c r="G746" s="85"/>
      <c r="H746" s="187"/>
      <c r="I746" s="85"/>
      <c r="J746" s="85"/>
      <c r="K746" s="85"/>
      <c r="L746" s="85"/>
      <c r="M746" s="85"/>
      <c r="N746" s="85"/>
      <c r="O746" s="189"/>
      <c r="P746" s="189"/>
      <c r="Q746" s="189"/>
      <c r="R746" s="189"/>
    </row>
    <row r="747" spans="1:18">
      <c r="A747" s="283"/>
      <c r="B747" s="283"/>
      <c r="C747" s="85"/>
      <c r="D747" s="85"/>
      <c r="E747" s="85"/>
      <c r="F747" s="85"/>
      <c r="G747" s="85"/>
      <c r="H747" s="187"/>
      <c r="I747" s="85"/>
      <c r="J747" s="85"/>
      <c r="K747" s="85"/>
      <c r="L747" s="85"/>
      <c r="M747" s="85"/>
      <c r="N747" s="85"/>
      <c r="O747" s="189"/>
      <c r="P747" s="189"/>
      <c r="Q747" s="189"/>
      <c r="R747" s="189"/>
    </row>
    <row r="748" spans="1:18">
      <c r="A748" s="283"/>
      <c r="B748" s="283"/>
      <c r="C748" s="85"/>
      <c r="D748" s="85"/>
      <c r="E748" s="85"/>
      <c r="F748" s="85"/>
      <c r="G748" s="85"/>
      <c r="H748" s="187"/>
      <c r="I748" s="85"/>
      <c r="J748" s="85"/>
      <c r="K748" s="85"/>
      <c r="L748" s="85"/>
      <c r="M748" s="85"/>
      <c r="N748" s="85"/>
      <c r="O748" s="189"/>
      <c r="P748" s="189"/>
      <c r="Q748" s="189"/>
      <c r="R748" s="189"/>
    </row>
    <row r="749" spans="1:18">
      <c r="A749" s="283"/>
      <c r="B749" s="283"/>
      <c r="C749" s="85"/>
      <c r="D749" s="85"/>
      <c r="E749" s="85"/>
      <c r="F749" s="85"/>
      <c r="G749" s="85"/>
      <c r="H749" s="187"/>
      <c r="I749" s="85"/>
      <c r="J749" s="85"/>
      <c r="K749" s="85"/>
      <c r="L749" s="85"/>
      <c r="M749" s="85"/>
      <c r="N749" s="85"/>
      <c r="O749" s="189"/>
      <c r="P749" s="189"/>
      <c r="Q749" s="189"/>
      <c r="R749" s="189"/>
    </row>
    <row r="750" spans="1:18">
      <c r="A750" s="283"/>
      <c r="B750" s="283"/>
      <c r="C750" s="85"/>
      <c r="D750" s="85"/>
      <c r="E750" s="85"/>
      <c r="F750" s="85"/>
      <c r="G750" s="85"/>
      <c r="H750" s="187"/>
      <c r="I750" s="85"/>
      <c r="J750" s="85"/>
      <c r="K750" s="85"/>
      <c r="L750" s="85"/>
      <c r="M750" s="85"/>
      <c r="N750" s="85"/>
      <c r="O750" s="189"/>
      <c r="P750" s="189"/>
      <c r="Q750" s="189"/>
      <c r="R750" s="189"/>
    </row>
    <row r="751" spans="1:18">
      <c r="A751" s="283"/>
      <c r="B751" s="283"/>
      <c r="C751" s="85"/>
      <c r="D751" s="85"/>
      <c r="E751" s="85"/>
      <c r="F751" s="85"/>
      <c r="G751" s="85"/>
      <c r="H751" s="187"/>
      <c r="I751" s="85"/>
      <c r="J751" s="85"/>
      <c r="K751" s="85"/>
      <c r="L751" s="85"/>
      <c r="M751" s="85"/>
      <c r="N751" s="85"/>
      <c r="O751" s="189"/>
      <c r="P751" s="189"/>
      <c r="Q751" s="189"/>
      <c r="R751" s="189"/>
    </row>
    <row r="752" spans="1:18">
      <c r="A752" s="283"/>
      <c r="B752" s="283"/>
      <c r="C752" s="85"/>
      <c r="D752" s="85"/>
      <c r="E752" s="85"/>
      <c r="F752" s="85"/>
      <c r="G752" s="85"/>
      <c r="H752" s="187"/>
      <c r="I752" s="85"/>
      <c r="J752" s="85"/>
      <c r="K752" s="85"/>
      <c r="L752" s="85"/>
      <c r="M752" s="85"/>
      <c r="N752" s="85"/>
      <c r="O752" s="189"/>
      <c r="P752" s="189"/>
      <c r="Q752" s="189"/>
      <c r="R752" s="189"/>
    </row>
    <row r="753" spans="1:18">
      <c r="A753" s="283"/>
      <c r="B753" s="283"/>
      <c r="C753" s="85"/>
      <c r="D753" s="85"/>
      <c r="E753" s="85"/>
      <c r="F753" s="85"/>
      <c r="G753" s="85"/>
      <c r="H753" s="187"/>
      <c r="I753" s="85"/>
      <c r="J753" s="85"/>
      <c r="K753" s="85"/>
      <c r="L753" s="85"/>
      <c r="M753" s="85"/>
      <c r="N753" s="85"/>
      <c r="O753" s="189"/>
      <c r="P753" s="189"/>
      <c r="Q753" s="189"/>
      <c r="R753" s="189"/>
    </row>
    <row r="754" spans="1:18">
      <c r="A754" s="283"/>
      <c r="B754" s="283"/>
      <c r="C754" s="85"/>
      <c r="D754" s="85"/>
      <c r="E754" s="85"/>
      <c r="F754" s="85"/>
      <c r="G754" s="85"/>
      <c r="H754" s="187"/>
      <c r="I754" s="85"/>
      <c r="J754" s="85"/>
      <c r="K754" s="85"/>
      <c r="L754" s="85"/>
      <c r="M754" s="85"/>
      <c r="N754" s="85"/>
      <c r="O754" s="189"/>
      <c r="P754" s="189"/>
      <c r="Q754" s="189"/>
      <c r="R754" s="189"/>
    </row>
    <row r="755" spans="1:18">
      <c r="A755" s="283"/>
      <c r="B755" s="283"/>
      <c r="C755" s="85"/>
      <c r="D755" s="85"/>
      <c r="E755" s="85"/>
      <c r="F755" s="85"/>
      <c r="G755" s="85"/>
      <c r="H755" s="187"/>
      <c r="I755" s="85"/>
      <c r="J755" s="85"/>
      <c r="K755" s="85"/>
      <c r="L755" s="85"/>
      <c r="M755" s="85"/>
      <c r="N755" s="85"/>
      <c r="O755" s="189"/>
      <c r="P755" s="189"/>
      <c r="Q755" s="189"/>
      <c r="R755" s="189"/>
    </row>
    <row r="756" spans="1:18">
      <c r="A756" s="283"/>
      <c r="B756" s="283"/>
      <c r="C756" s="85"/>
      <c r="D756" s="85"/>
      <c r="E756" s="85"/>
      <c r="F756" s="85"/>
      <c r="G756" s="85"/>
      <c r="H756" s="187"/>
      <c r="I756" s="85"/>
      <c r="J756" s="85"/>
      <c r="K756" s="85"/>
      <c r="L756" s="85"/>
      <c r="M756" s="85"/>
      <c r="N756" s="85"/>
      <c r="O756" s="189"/>
      <c r="P756" s="189"/>
      <c r="Q756" s="189"/>
      <c r="R756" s="189"/>
    </row>
    <row r="757" spans="1:18">
      <c r="A757" s="283"/>
      <c r="B757" s="283"/>
      <c r="C757" s="85"/>
      <c r="D757" s="85"/>
      <c r="E757" s="85"/>
      <c r="F757" s="85"/>
      <c r="G757" s="85"/>
      <c r="H757" s="187"/>
      <c r="I757" s="85"/>
      <c r="J757" s="85"/>
      <c r="K757" s="85"/>
      <c r="L757" s="85"/>
      <c r="M757" s="85"/>
      <c r="N757" s="85"/>
      <c r="O757" s="189"/>
      <c r="P757" s="189"/>
      <c r="Q757" s="189"/>
      <c r="R757" s="189"/>
    </row>
    <row r="758" spans="1:18">
      <c r="A758" s="283"/>
      <c r="B758" s="283"/>
      <c r="C758" s="85"/>
      <c r="D758" s="85"/>
      <c r="E758" s="85"/>
      <c r="F758" s="85"/>
      <c r="G758" s="85"/>
      <c r="H758" s="187"/>
      <c r="I758" s="85"/>
      <c r="J758" s="85"/>
      <c r="K758" s="85"/>
      <c r="L758" s="85"/>
      <c r="M758" s="85"/>
      <c r="N758" s="85"/>
      <c r="O758" s="189"/>
      <c r="P758" s="189"/>
      <c r="Q758" s="189"/>
      <c r="R758" s="189"/>
    </row>
    <row r="759" spans="1:18">
      <c r="A759" s="283"/>
      <c r="B759" s="283"/>
      <c r="C759" s="85"/>
      <c r="D759" s="85"/>
      <c r="E759" s="85"/>
      <c r="F759" s="85"/>
      <c r="G759" s="85"/>
      <c r="H759" s="187"/>
      <c r="I759" s="85"/>
      <c r="J759" s="85"/>
      <c r="K759" s="85"/>
      <c r="L759" s="85"/>
      <c r="M759" s="85"/>
      <c r="N759" s="85"/>
      <c r="O759" s="189"/>
      <c r="P759" s="189"/>
      <c r="Q759" s="189"/>
      <c r="R759" s="189"/>
    </row>
    <row r="760" spans="1:18">
      <c r="A760" s="283"/>
      <c r="B760" s="283"/>
      <c r="C760" s="85"/>
      <c r="D760" s="85"/>
      <c r="E760" s="85"/>
      <c r="F760" s="85"/>
      <c r="G760" s="85"/>
      <c r="H760" s="187"/>
      <c r="I760" s="85"/>
      <c r="J760" s="85"/>
      <c r="K760" s="85"/>
      <c r="L760" s="85"/>
      <c r="M760" s="85"/>
      <c r="N760" s="85"/>
      <c r="O760" s="189"/>
      <c r="P760" s="189"/>
      <c r="Q760" s="189"/>
      <c r="R760" s="189"/>
    </row>
    <row r="761" spans="1:18">
      <c r="A761" s="283"/>
      <c r="B761" s="283"/>
      <c r="C761" s="85"/>
      <c r="D761" s="85"/>
      <c r="E761" s="85"/>
      <c r="F761" s="85"/>
      <c r="G761" s="85"/>
      <c r="H761" s="187"/>
      <c r="I761" s="85"/>
      <c r="J761" s="85"/>
      <c r="K761" s="85"/>
      <c r="L761" s="85"/>
      <c r="M761" s="85"/>
      <c r="N761" s="85"/>
      <c r="O761" s="189"/>
      <c r="P761" s="189"/>
      <c r="Q761" s="189"/>
      <c r="R761" s="189"/>
    </row>
    <row r="762" spans="1:18">
      <c r="A762" s="283"/>
      <c r="B762" s="283"/>
      <c r="C762" s="85"/>
      <c r="D762" s="85"/>
      <c r="E762" s="85"/>
      <c r="F762" s="85"/>
      <c r="G762" s="85"/>
      <c r="H762" s="187"/>
      <c r="I762" s="85"/>
      <c r="J762" s="85"/>
      <c r="K762" s="85"/>
      <c r="L762" s="85"/>
      <c r="M762" s="85"/>
      <c r="N762" s="85"/>
      <c r="O762" s="189"/>
      <c r="P762" s="189"/>
      <c r="Q762" s="189"/>
      <c r="R762" s="189"/>
    </row>
    <row r="763" spans="1:18">
      <c r="A763" s="283"/>
      <c r="B763" s="283"/>
      <c r="C763" s="85"/>
      <c r="D763" s="85"/>
      <c r="E763" s="85"/>
      <c r="F763" s="85"/>
      <c r="G763" s="85"/>
      <c r="H763" s="187"/>
      <c r="I763" s="85"/>
      <c r="J763" s="85"/>
      <c r="K763" s="85"/>
      <c r="L763" s="85"/>
      <c r="M763" s="85"/>
      <c r="N763" s="85"/>
      <c r="O763" s="189"/>
      <c r="P763" s="189"/>
      <c r="Q763" s="189"/>
      <c r="R763" s="189"/>
    </row>
    <row r="764" spans="1:18">
      <c r="A764" s="283"/>
      <c r="B764" s="283"/>
      <c r="C764" s="85"/>
      <c r="D764" s="85"/>
      <c r="E764" s="85"/>
      <c r="F764" s="85"/>
      <c r="G764" s="85"/>
      <c r="H764" s="187"/>
      <c r="I764" s="85"/>
      <c r="J764" s="85"/>
      <c r="K764" s="85"/>
      <c r="L764" s="85"/>
      <c r="M764" s="85"/>
      <c r="N764" s="85"/>
      <c r="O764" s="189"/>
      <c r="P764" s="189"/>
      <c r="Q764" s="189"/>
      <c r="R764" s="189"/>
    </row>
    <row r="765" spans="1:18">
      <c r="A765" s="283"/>
      <c r="B765" s="283"/>
      <c r="C765" s="85"/>
      <c r="D765" s="85"/>
      <c r="E765" s="85"/>
      <c r="F765" s="85"/>
      <c r="G765" s="85"/>
      <c r="H765" s="187"/>
      <c r="I765" s="85"/>
      <c r="J765" s="85"/>
      <c r="K765" s="85"/>
      <c r="L765" s="85"/>
      <c r="M765" s="85"/>
      <c r="N765" s="85"/>
      <c r="O765" s="189"/>
      <c r="P765" s="189"/>
      <c r="Q765" s="189"/>
      <c r="R765" s="189"/>
    </row>
    <row r="766" spans="1:18">
      <c r="A766" s="283"/>
      <c r="B766" s="283"/>
      <c r="C766" s="85"/>
      <c r="D766" s="85"/>
      <c r="E766" s="85"/>
      <c r="F766" s="85"/>
      <c r="G766" s="85"/>
      <c r="H766" s="187"/>
      <c r="I766" s="85"/>
      <c r="J766" s="85"/>
      <c r="K766" s="85"/>
      <c r="L766" s="85"/>
      <c r="M766" s="85"/>
      <c r="N766" s="85"/>
      <c r="O766" s="189"/>
      <c r="P766" s="189"/>
      <c r="Q766" s="189"/>
      <c r="R766" s="189"/>
    </row>
    <row r="767" spans="1:18">
      <c r="A767" s="283"/>
      <c r="B767" s="283"/>
      <c r="C767" s="85"/>
      <c r="D767" s="85"/>
      <c r="E767" s="85"/>
      <c r="F767" s="85"/>
      <c r="G767" s="85"/>
      <c r="H767" s="187"/>
      <c r="I767" s="85"/>
      <c r="J767" s="85"/>
      <c r="K767" s="85"/>
      <c r="L767" s="85"/>
      <c r="M767" s="85"/>
      <c r="N767" s="85"/>
      <c r="O767" s="189"/>
      <c r="P767" s="189"/>
      <c r="Q767" s="189"/>
      <c r="R767" s="189"/>
    </row>
    <row r="768" spans="1:18">
      <c r="A768" s="283"/>
      <c r="B768" s="283"/>
      <c r="C768" s="85"/>
      <c r="D768" s="85"/>
      <c r="E768" s="85"/>
      <c r="F768" s="85"/>
      <c r="G768" s="85"/>
      <c r="H768" s="187"/>
      <c r="I768" s="85"/>
      <c r="J768" s="85"/>
      <c r="K768" s="85"/>
      <c r="L768" s="85"/>
      <c r="M768" s="85"/>
      <c r="N768" s="85"/>
      <c r="O768" s="189"/>
      <c r="P768" s="189"/>
      <c r="Q768" s="189"/>
      <c r="R768" s="189"/>
    </row>
    <row r="769" spans="1:18">
      <c r="A769" s="283"/>
      <c r="B769" s="283"/>
      <c r="C769" s="85"/>
      <c r="D769" s="85"/>
      <c r="E769" s="85"/>
      <c r="F769" s="85"/>
      <c r="G769" s="85"/>
      <c r="H769" s="187"/>
      <c r="I769" s="85"/>
      <c r="J769" s="85"/>
      <c r="K769" s="85"/>
      <c r="L769" s="85"/>
      <c r="M769" s="85"/>
      <c r="N769" s="85"/>
      <c r="O769" s="189"/>
      <c r="P769" s="189"/>
      <c r="Q769" s="189"/>
      <c r="R769" s="189"/>
    </row>
    <row r="770" spans="1:18">
      <c r="A770" s="283"/>
      <c r="B770" s="283"/>
      <c r="C770" s="85"/>
      <c r="D770" s="85"/>
      <c r="E770" s="85"/>
      <c r="F770" s="85"/>
      <c r="G770" s="85"/>
      <c r="H770" s="187"/>
      <c r="I770" s="85"/>
      <c r="J770" s="85"/>
      <c r="K770" s="85"/>
      <c r="L770" s="85"/>
      <c r="M770" s="85"/>
      <c r="N770" s="85"/>
      <c r="O770" s="189"/>
      <c r="P770" s="189"/>
      <c r="Q770" s="189"/>
      <c r="R770" s="189"/>
    </row>
    <row r="771" spans="1:18">
      <c r="A771" s="283"/>
      <c r="B771" s="283"/>
      <c r="C771" s="85"/>
      <c r="D771" s="85"/>
      <c r="E771" s="85"/>
      <c r="F771" s="85"/>
      <c r="G771" s="85"/>
      <c r="H771" s="187"/>
      <c r="I771" s="85"/>
      <c r="J771" s="85"/>
      <c r="K771" s="85"/>
      <c r="L771" s="85"/>
      <c r="M771" s="85"/>
      <c r="N771" s="85"/>
      <c r="O771" s="189"/>
      <c r="P771" s="189"/>
      <c r="Q771" s="189"/>
      <c r="R771" s="189"/>
    </row>
    <row r="772" spans="1:18">
      <c r="A772" s="283"/>
      <c r="B772" s="283"/>
      <c r="C772" s="85"/>
      <c r="D772" s="85"/>
      <c r="E772" s="85"/>
      <c r="F772" s="85"/>
      <c r="G772" s="85"/>
      <c r="H772" s="187"/>
      <c r="I772" s="85"/>
      <c r="J772" s="85"/>
      <c r="K772" s="85"/>
      <c r="L772" s="85"/>
      <c r="M772" s="85"/>
      <c r="N772" s="85"/>
      <c r="O772" s="189"/>
      <c r="P772" s="189"/>
      <c r="Q772" s="189"/>
      <c r="R772" s="189"/>
    </row>
    <row r="773" spans="1:18">
      <c r="A773" s="283"/>
      <c r="B773" s="283"/>
      <c r="C773" s="85"/>
      <c r="D773" s="85"/>
      <c r="E773" s="85"/>
      <c r="F773" s="85"/>
      <c r="G773" s="85"/>
      <c r="H773" s="187"/>
      <c r="I773" s="85"/>
      <c r="J773" s="85"/>
      <c r="K773" s="85"/>
      <c r="L773" s="85"/>
      <c r="M773" s="85"/>
      <c r="N773" s="85"/>
      <c r="O773" s="189"/>
      <c r="P773" s="189"/>
      <c r="Q773" s="189"/>
      <c r="R773" s="189"/>
    </row>
    <row r="774" spans="1:18">
      <c r="A774" s="283"/>
      <c r="B774" s="283"/>
      <c r="C774" s="85"/>
      <c r="D774" s="85"/>
      <c r="E774" s="85"/>
      <c r="F774" s="85"/>
      <c r="G774" s="85"/>
      <c r="H774" s="187"/>
      <c r="I774" s="85"/>
      <c r="J774" s="85"/>
      <c r="K774" s="85"/>
      <c r="L774" s="85"/>
      <c r="M774" s="85"/>
      <c r="N774" s="85"/>
      <c r="O774" s="189"/>
      <c r="P774" s="189"/>
      <c r="Q774" s="189"/>
      <c r="R774" s="189"/>
    </row>
    <row r="775" spans="1:18">
      <c r="A775" s="283"/>
      <c r="B775" s="283"/>
      <c r="C775" s="85"/>
      <c r="D775" s="85"/>
      <c r="E775" s="85"/>
      <c r="F775" s="85"/>
      <c r="G775" s="85"/>
      <c r="H775" s="187"/>
      <c r="I775" s="85"/>
      <c r="J775" s="85"/>
      <c r="K775" s="85"/>
      <c r="L775" s="85"/>
      <c r="M775" s="85"/>
      <c r="N775" s="85"/>
      <c r="O775" s="189"/>
      <c r="P775" s="189"/>
      <c r="Q775" s="189"/>
      <c r="R775" s="189"/>
    </row>
    <row r="776" spans="1:18">
      <c r="A776" s="283"/>
      <c r="B776" s="283"/>
      <c r="C776" s="85"/>
      <c r="D776" s="85"/>
      <c r="E776" s="85"/>
      <c r="F776" s="85"/>
      <c r="G776" s="85"/>
      <c r="H776" s="187"/>
      <c r="I776" s="85"/>
      <c r="J776" s="85"/>
      <c r="K776" s="85"/>
      <c r="L776" s="85"/>
      <c r="M776" s="85"/>
      <c r="N776" s="85"/>
      <c r="O776" s="189"/>
      <c r="P776" s="189"/>
      <c r="Q776" s="189"/>
      <c r="R776" s="189"/>
    </row>
    <row r="777" spans="1:18">
      <c r="A777" s="283"/>
      <c r="B777" s="283"/>
      <c r="C777" s="85"/>
      <c r="D777" s="85"/>
      <c r="E777" s="85"/>
      <c r="F777" s="85"/>
      <c r="G777" s="85"/>
      <c r="H777" s="187"/>
      <c r="I777" s="85"/>
      <c r="J777" s="85"/>
      <c r="K777" s="85"/>
      <c r="L777" s="85"/>
      <c r="M777" s="85"/>
      <c r="N777" s="85"/>
      <c r="O777" s="189"/>
      <c r="P777" s="189"/>
      <c r="Q777" s="189"/>
      <c r="R777" s="189"/>
    </row>
    <row r="778" spans="1:18">
      <c r="A778" s="283"/>
      <c r="B778" s="283"/>
      <c r="C778" s="85"/>
      <c r="D778" s="85"/>
      <c r="E778" s="85"/>
      <c r="F778" s="85"/>
      <c r="G778" s="85"/>
      <c r="H778" s="187"/>
      <c r="I778" s="85"/>
      <c r="J778" s="85"/>
      <c r="K778" s="85"/>
      <c r="L778" s="85"/>
      <c r="M778" s="85"/>
      <c r="N778" s="85"/>
      <c r="O778" s="189"/>
      <c r="P778" s="189"/>
      <c r="Q778" s="189"/>
      <c r="R778" s="189"/>
    </row>
    <row r="779" spans="1:18">
      <c r="A779" s="283"/>
      <c r="B779" s="283"/>
      <c r="C779" s="85"/>
      <c r="D779" s="85"/>
      <c r="E779" s="85"/>
      <c r="F779" s="85"/>
      <c r="G779" s="85"/>
      <c r="H779" s="187"/>
      <c r="I779" s="85"/>
      <c r="J779" s="85"/>
      <c r="K779" s="85"/>
      <c r="L779" s="85"/>
      <c r="M779" s="85"/>
      <c r="N779" s="85"/>
      <c r="O779" s="189"/>
      <c r="P779" s="189"/>
      <c r="Q779" s="189"/>
      <c r="R779" s="189"/>
    </row>
    <row r="780" spans="1:18">
      <c r="A780" s="283"/>
      <c r="B780" s="283"/>
      <c r="C780" s="85"/>
      <c r="D780" s="85"/>
      <c r="E780" s="85"/>
      <c r="F780" s="85"/>
      <c r="G780" s="85"/>
      <c r="H780" s="187"/>
      <c r="I780" s="85"/>
      <c r="J780" s="85"/>
      <c r="K780" s="85"/>
      <c r="L780" s="85"/>
      <c r="M780" s="85"/>
      <c r="N780" s="85"/>
      <c r="O780" s="189"/>
      <c r="P780" s="189"/>
      <c r="Q780" s="189"/>
      <c r="R780" s="189"/>
    </row>
    <row r="781" spans="1:18">
      <c r="A781" s="283"/>
      <c r="B781" s="283"/>
      <c r="C781" s="85"/>
      <c r="D781" s="85"/>
      <c r="E781" s="85"/>
      <c r="F781" s="85"/>
      <c r="G781" s="85"/>
      <c r="H781" s="187"/>
      <c r="I781" s="85"/>
      <c r="J781" s="85"/>
      <c r="K781" s="85"/>
      <c r="L781" s="85"/>
      <c r="M781" s="85"/>
      <c r="N781" s="85"/>
      <c r="O781" s="189"/>
      <c r="P781" s="189"/>
      <c r="Q781" s="189"/>
      <c r="R781" s="189"/>
    </row>
    <row r="782" spans="1:18">
      <c r="A782" s="283"/>
      <c r="B782" s="283"/>
      <c r="C782" s="85"/>
      <c r="D782" s="85"/>
      <c r="E782" s="85"/>
      <c r="F782" s="85"/>
      <c r="G782" s="85"/>
      <c r="H782" s="187"/>
      <c r="I782" s="85"/>
      <c r="J782" s="85"/>
      <c r="K782" s="85"/>
      <c r="L782" s="85"/>
      <c r="M782" s="85"/>
      <c r="N782" s="85"/>
      <c r="O782" s="189"/>
      <c r="P782" s="189"/>
      <c r="Q782" s="189"/>
      <c r="R782" s="189"/>
    </row>
    <row r="783" spans="1:18">
      <c r="A783" s="283"/>
      <c r="B783" s="283"/>
      <c r="C783" s="85"/>
      <c r="D783" s="85"/>
      <c r="E783" s="85"/>
      <c r="F783" s="85"/>
      <c r="G783" s="85"/>
      <c r="H783" s="187"/>
      <c r="I783" s="85"/>
      <c r="J783" s="85"/>
      <c r="K783" s="85"/>
      <c r="L783" s="85"/>
      <c r="M783" s="85"/>
      <c r="N783" s="85"/>
      <c r="O783" s="189"/>
      <c r="P783" s="189"/>
      <c r="Q783" s="189"/>
      <c r="R783" s="189"/>
    </row>
    <row r="784" spans="1:18">
      <c r="A784" s="283"/>
      <c r="B784" s="283"/>
      <c r="C784" s="85"/>
      <c r="D784" s="85"/>
      <c r="E784" s="85"/>
      <c r="F784" s="85"/>
      <c r="G784" s="85"/>
      <c r="H784" s="187"/>
      <c r="I784" s="85"/>
      <c r="J784" s="85"/>
      <c r="K784" s="85"/>
      <c r="L784" s="85"/>
      <c r="M784" s="85"/>
      <c r="N784" s="85"/>
      <c r="O784" s="189"/>
      <c r="P784" s="189"/>
      <c r="Q784" s="189"/>
      <c r="R784" s="189"/>
    </row>
    <row r="785" spans="1:18">
      <c r="A785" s="283"/>
      <c r="B785" s="283"/>
      <c r="C785" s="85"/>
      <c r="D785" s="85"/>
      <c r="E785" s="85"/>
      <c r="F785" s="85"/>
      <c r="G785" s="85"/>
      <c r="H785" s="187"/>
      <c r="I785" s="85"/>
      <c r="J785" s="85"/>
      <c r="K785" s="85"/>
      <c r="L785" s="85"/>
      <c r="M785" s="85"/>
      <c r="N785" s="85"/>
      <c r="O785" s="189"/>
      <c r="P785" s="189"/>
      <c r="Q785" s="189"/>
      <c r="R785" s="189"/>
    </row>
    <row r="786" spans="1:18">
      <c r="A786" s="283"/>
      <c r="B786" s="283"/>
      <c r="C786" s="85"/>
      <c r="D786" s="85"/>
      <c r="E786" s="85"/>
      <c r="F786" s="85"/>
      <c r="G786" s="85"/>
      <c r="H786" s="187"/>
      <c r="I786" s="85"/>
      <c r="J786" s="85"/>
      <c r="K786" s="85"/>
      <c r="L786" s="85"/>
      <c r="M786" s="85"/>
      <c r="N786" s="85"/>
      <c r="O786" s="189"/>
      <c r="P786" s="189"/>
      <c r="Q786" s="189"/>
      <c r="R786" s="189"/>
    </row>
    <row r="787" spans="1:18">
      <c r="A787" s="283"/>
      <c r="B787" s="283"/>
      <c r="C787" s="85"/>
      <c r="D787" s="85"/>
      <c r="E787" s="85"/>
      <c r="F787" s="85"/>
      <c r="G787" s="85"/>
      <c r="H787" s="187"/>
      <c r="I787" s="85"/>
      <c r="J787" s="85"/>
      <c r="K787" s="85"/>
      <c r="L787" s="85"/>
      <c r="M787" s="85"/>
      <c r="N787" s="85"/>
      <c r="O787" s="189"/>
      <c r="P787" s="189"/>
      <c r="Q787" s="189"/>
      <c r="R787" s="189"/>
    </row>
    <row r="788" spans="1:18">
      <c r="A788" s="283"/>
      <c r="B788" s="283"/>
      <c r="C788" s="85"/>
      <c r="D788" s="85"/>
      <c r="E788" s="85"/>
      <c r="F788" s="85"/>
      <c r="G788" s="85"/>
      <c r="H788" s="187"/>
      <c r="I788" s="85"/>
      <c r="J788" s="85"/>
      <c r="K788" s="85"/>
      <c r="L788" s="85"/>
      <c r="M788" s="85"/>
      <c r="N788" s="85"/>
      <c r="O788" s="189"/>
      <c r="P788" s="189"/>
      <c r="Q788" s="189"/>
      <c r="R788" s="189"/>
    </row>
    <row r="789" spans="1:18">
      <c r="A789" s="283"/>
      <c r="B789" s="283"/>
      <c r="C789" s="85"/>
      <c r="D789" s="85"/>
      <c r="E789" s="85"/>
      <c r="F789" s="85"/>
      <c r="G789" s="85"/>
      <c r="H789" s="187"/>
      <c r="I789" s="85"/>
      <c r="J789" s="85"/>
      <c r="K789" s="85"/>
      <c r="L789" s="85"/>
      <c r="M789" s="85"/>
      <c r="N789" s="85"/>
      <c r="O789" s="189"/>
      <c r="P789" s="189"/>
      <c r="Q789" s="189"/>
      <c r="R789" s="189"/>
    </row>
    <row r="790" spans="1:18">
      <c r="A790" s="283"/>
      <c r="B790" s="283"/>
      <c r="C790" s="85"/>
      <c r="D790" s="85"/>
      <c r="E790" s="85"/>
      <c r="F790" s="85"/>
      <c r="G790" s="85"/>
      <c r="H790" s="187"/>
      <c r="I790" s="85"/>
      <c r="J790" s="85"/>
      <c r="K790" s="85"/>
      <c r="L790" s="85"/>
      <c r="M790" s="85"/>
      <c r="N790" s="85"/>
      <c r="O790" s="189"/>
      <c r="P790" s="189"/>
      <c r="Q790" s="189"/>
      <c r="R790" s="189"/>
    </row>
    <row r="791" spans="1:18">
      <c r="A791" s="283"/>
      <c r="B791" s="283"/>
      <c r="C791" s="85"/>
      <c r="D791" s="85"/>
      <c r="E791" s="85"/>
      <c r="F791" s="85"/>
      <c r="G791" s="85"/>
      <c r="H791" s="187"/>
      <c r="I791" s="85"/>
      <c r="J791" s="85"/>
      <c r="K791" s="85"/>
      <c r="L791" s="85"/>
      <c r="M791" s="85"/>
      <c r="N791" s="85"/>
      <c r="O791" s="189"/>
      <c r="P791" s="189"/>
      <c r="Q791" s="189"/>
      <c r="R791" s="189"/>
    </row>
    <row r="792" spans="1:18">
      <c r="A792" s="283"/>
      <c r="B792" s="283"/>
      <c r="C792" s="85"/>
      <c r="D792" s="85"/>
      <c r="E792" s="85"/>
      <c r="F792" s="85"/>
      <c r="G792" s="85"/>
      <c r="H792" s="187"/>
      <c r="I792" s="85"/>
      <c r="J792" s="85"/>
      <c r="K792" s="85"/>
      <c r="L792" s="85"/>
      <c r="M792" s="85"/>
      <c r="N792" s="85"/>
      <c r="O792" s="189"/>
      <c r="P792" s="189"/>
      <c r="Q792" s="189"/>
      <c r="R792" s="189"/>
    </row>
    <row r="793" spans="1:18">
      <c r="A793" s="283"/>
      <c r="B793" s="283"/>
      <c r="C793" s="85"/>
      <c r="D793" s="85"/>
      <c r="E793" s="85"/>
      <c r="F793" s="85"/>
      <c r="G793" s="85"/>
      <c r="H793" s="187"/>
      <c r="I793" s="85"/>
      <c r="J793" s="85"/>
      <c r="K793" s="85"/>
      <c r="L793" s="85"/>
      <c r="M793" s="85"/>
      <c r="N793" s="85"/>
      <c r="O793" s="189"/>
      <c r="P793" s="189"/>
      <c r="Q793" s="189"/>
      <c r="R793" s="189"/>
    </row>
    <row r="794" spans="1:18">
      <c r="A794" s="283"/>
      <c r="B794" s="283"/>
      <c r="C794" s="85"/>
      <c r="D794" s="85"/>
      <c r="E794" s="85"/>
      <c r="F794" s="85"/>
      <c r="G794" s="85"/>
      <c r="H794" s="187"/>
      <c r="I794" s="85"/>
      <c r="J794" s="85"/>
      <c r="K794" s="85"/>
      <c r="L794" s="85"/>
      <c r="M794" s="85"/>
      <c r="N794" s="85"/>
      <c r="O794" s="189"/>
      <c r="P794" s="189"/>
      <c r="Q794" s="189"/>
      <c r="R794" s="189"/>
    </row>
    <row r="795" spans="1:18">
      <c r="A795" s="283"/>
      <c r="B795" s="283"/>
      <c r="C795" s="85"/>
      <c r="D795" s="85"/>
      <c r="E795" s="85"/>
      <c r="F795" s="85"/>
      <c r="G795" s="85"/>
      <c r="H795" s="187"/>
      <c r="I795" s="85"/>
      <c r="J795" s="85"/>
      <c r="K795" s="85"/>
      <c r="L795" s="85"/>
      <c r="M795" s="85"/>
      <c r="N795" s="85"/>
      <c r="O795" s="189"/>
      <c r="P795" s="189"/>
      <c r="Q795" s="189"/>
      <c r="R795" s="189"/>
    </row>
    <row r="796" spans="1:18">
      <c r="A796" s="283"/>
      <c r="B796" s="283"/>
      <c r="C796" s="85"/>
      <c r="D796" s="85"/>
      <c r="E796" s="85"/>
      <c r="F796" s="85"/>
      <c r="G796" s="85"/>
      <c r="H796" s="187"/>
      <c r="I796" s="85"/>
      <c r="J796" s="85"/>
      <c r="K796" s="85"/>
      <c r="L796" s="85"/>
      <c r="M796" s="85"/>
      <c r="N796" s="85"/>
      <c r="O796" s="189"/>
      <c r="P796" s="189"/>
      <c r="Q796" s="189"/>
      <c r="R796" s="189"/>
    </row>
    <row r="797" spans="1:18">
      <c r="A797" s="283"/>
      <c r="B797" s="283"/>
      <c r="C797" s="85"/>
      <c r="D797" s="85"/>
      <c r="E797" s="85"/>
      <c r="F797" s="85"/>
      <c r="G797" s="85"/>
      <c r="H797" s="187"/>
      <c r="I797" s="85"/>
      <c r="J797" s="85"/>
      <c r="K797" s="85"/>
      <c r="L797" s="85"/>
      <c r="M797" s="85"/>
      <c r="N797" s="85"/>
      <c r="O797" s="189"/>
      <c r="P797" s="189"/>
      <c r="Q797" s="189"/>
      <c r="R797" s="189"/>
    </row>
    <row r="798" spans="1:18">
      <c r="A798" s="283"/>
      <c r="B798" s="283"/>
      <c r="C798" s="85"/>
      <c r="D798" s="85"/>
      <c r="E798" s="85"/>
      <c r="F798" s="85"/>
      <c r="G798" s="85"/>
      <c r="H798" s="187"/>
      <c r="I798" s="85"/>
      <c r="J798" s="85"/>
      <c r="K798" s="85"/>
      <c r="L798" s="85"/>
      <c r="M798" s="85"/>
      <c r="N798" s="85"/>
      <c r="O798" s="189"/>
      <c r="P798" s="189"/>
      <c r="Q798" s="189"/>
      <c r="R798" s="189"/>
    </row>
    <row r="799" spans="1:18">
      <c r="A799" s="283"/>
      <c r="B799" s="283"/>
      <c r="C799" s="85"/>
      <c r="D799" s="85"/>
      <c r="E799" s="85"/>
      <c r="F799" s="85"/>
      <c r="G799" s="85"/>
      <c r="H799" s="187"/>
      <c r="I799" s="85"/>
      <c r="J799" s="85"/>
      <c r="K799" s="85"/>
      <c r="L799" s="85"/>
      <c r="M799" s="85"/>
      <c r="N799" s="85"/>
      <c r="O799" s="189"/>
      <c r="P799" s="189"/>
      <c r="Q799" s="189"/>
      <c r="R799" s="189"/>
    </row>
    <row r="800" spans="1:18">
      <c r="A800" s="283"/>
      <c r="B800" s="283"/>
      <c r="C800" s="85"/>
      <c r="D800" s="85"/>
      <c r="E800" s="85"/>
      <c r="F800" s="85"/>
      <c r="G800" s="85"/>
      <c r="H800" s="187"/>
      <c r="I800" s="85"/>
      <c r="J800" s="85"/>
      <c r="K800" s="85"/>
      <c r="L800" s="85"/>
      <c r="M800" s="85"/>
      <c r="N800" s="85"/>
      <c r="O800" s="189"/>
      <c r="P800" s="189"/>
      <c r="Q800" s="189"/>
      <c r="R800" s="189"/>
    </row>
    <row r="801" spans="1:18">
      <c r="A801" s="283"/>
      <c r="B801" s="283"/>
      <c r="C801" s="85"/>
      <c r="D801" s="85"/>
      <c r="E801" s="85"/>
      <c r="F801" s="85"/>
      <c r="G801" s="85"/>
      <c r="H801" s="187"/>
      <c r="I801" s="85"/>
      <c r="J801" s="85"/>
      <c r="K801" s="85"/>
      <c r="L801" s="85"/>
      <c r="M801" s="85"/>
      <c r="N801" s="85"/>
      <c r="O801" s="189"/>
      <c r="P801" s="189"/>
      <c r="Q801" s="189"/>
      <c r="R801" s="189"/>
    </row>
    <row r="802" spans="1:18">
      <c r="A802" s="283"/>
      <c r="B802" s="283"/>
      <c r="C802" s="85"/>
      <c r="D802" s="85"/>
      <c r="E802" s="85"/>
      <c r="F802" s="85"/>
      <c r="G802" s="85"/>
      <c r="H802" s="187"/>
      <c r="I802" s="85"/>
      <c r="J802" s="85"/>
      <c r="K802" s="85"/>
      <c r="L802" s="85"/>
      <c r="M802" s="85"/>
      <c r="N802" s="85"/>
      <c r="O802" s="189"/>
      <c r="P802" s="189"/>
      <c r="Q802" s="189"/>
      <c r="R802" s="189"/>
    </row>
    <row r="803" spans="1:18">
      <c r="A803" s="283"/>
      <c r="B803" s="283"/>
      <c r="C803" s="85"/>
      <c r="D803" s="85"/>
      <c r="E803" s="85"/>
      <c r="F803" s="85"/>
      <c r="G803" s="85"/>
      <c r="H803" s="187"/>
      <c r="I803" s="85"/>
      <c r="J803" s="85"/>
      <c r="K803" s="85"/>
      <c r="L803" s="85"/>
      <c r="M803" s="85"/>
      <c r="N803" s="85"/>
      <c r="O803" s="189"/>
      <c r="P803" s="189"/>
      <c r="Q803" s="189"/>
      <c r="R803" s="189"/>
    </row>
    <row r="804" spans="1:18">
      <c r="A804" s="283"/>
      <c r="B804" s="283"/>
      <c r="C804" s="85"/>
      <c r="D804" s="85"/>
      <c r="E804" s="85"/>
      <c r="F804" s="85"/>
      <c r="G804" s="85"/>
      <c r="H804" s="187"/>
      <c r="I804" s="85"/>
      <c r="J804" s="85"/>
      <c r="K804" s="85"/>
      <c r="L804" s="85"/>
      <c r="M804" s="85"/>
      <c r="N804" s="85"/>
      <c r="O804" s="189"/>
      <c r="P804" s="189"/>
      <c r="Q804" s="189"/>
      <c r="R804" s="189"/>
    </row>
    <row r="805" spans="1:18">
      <c r="A805" s="283"/>
      <c r="B805" s="283"/>
      <c r="C805" s="85"/>
      <c r="D805" s="85"/>
      <c r="E805" s="85"/>
      <c r="F805" s="85"/>
      <c r="G805" s="85"/>
      <c r="H805" s="187"/>
      <c r="I805" s="85"/>
      <c r="J805" s="85"/>
      <c r="K805" s="85"/>
      <c r="L805" s="85"/>
      <c r="M805" s="85"/>
      <c r="N805" s="85"/>
      <c r="O805" s="189"/>
      <c r="P805" s="189"/>
      <c r="Q805" s="189"/>
      <c r="R805" s="189"/>
    </row>
    <row r="806" spans="1:18">
      <c r="A806" s="283"/>
      <c r="B806" s="283"/>
      <c r="C806" s="85"/>
      <c r="D806" s="85"/>
      <c r="E806" s="85"/>
      <c r="F806" s="85"/>
      <c r="G806" s="85"/>
      <c r="H806" s="187"/>
      <c r="I806" s="85"/>
      <c r="J806" s="85"/>
      <c r="K806" s="85"/>
      <c r="L806" s="85"/>
      <c r="M806" s="85"/>
      <c r="N806" s="85"/>
      <c r="O806" s="189"/>
      <c r="P806" s="189"/>
      <c r="Q806" s="189"/>
      <c r="R806" s="189"/>
    </row>
    <row r="807" spans="1:18">
      <c r="A807" s="283"/>
      <c r="B807" s="283"/>
      <c r="C807" s="85"/>
      <c r="D807" s="85"/>
      <c r="E807" s="85"/>
      <c r="F807" s="85"/>
      <c r="G807" s="85"/>
      <c r="H807" s="187"/>
      <c r="I807" s="85"/>
      <c r="J807" s="85"/>
      <c r="K807" s="85"/>
      <c r="L807" s="85"/>
      <c r="M807" s="85"/>
      <c r="N807" s="85"/>
      <c r="O807" s="189"/>
      <c r="P807" s="189"/>
      <c r="Q807" s="189"/>
      <c r="R807" s="189"/>
    </row>
    <row r="808" spans="1:18">
      <c r="A808" s="283"/>
      <c r="B808" s="283"/>
      <c r="C808" s="85"/>
      <c r="D808" s="85"/>
      <c r="E808" s="85"/>
      <c r="F808" s="85"/>
      <c r="G808" s="85"/>
      <c r="H808" s="187"/>
      <c r="I808" s="85"/>
      <c r="J808" s="85"/>
      <c r="K808" s="85"/>
      <c r="L808" s="85"/>
      <c r="M808" s="85"/>
      <c r="N808" s="85"/>
      <c r="O808" s="189"/>
      <c r="P808" s="189"/>
      <c r="Q808" s="189"/>
      <c r="R808" s="189"/>
    </row>
    <row r="809" spans="1:18">
      <c r="A809" s="283"/>
      <c r="B809" s="283"/>
      <c r="C809" s="85"/>
      <c r="D809" s="85"/>
      <c r="E809" s="85"/>
      <c r="F809" s="85"/>
      <c r="G809" s="85"/>
      <c r="H809" s="187"/>
      <c r="I809" s="85"/>
      <c r="J809" s="85"/>
      <c r="K809" s="85"/>
      <c r="L809" s="85"/>
      <c r="M809" s="85"/>
      <c r="N809" s="85"/>
      <c r="O809" s="189"/>
      <c r="P809" s="189"/>
      <c r="Q809" s="189"/>
      <c r="R809" s="189"/>
    </row>
    <row r="810" spans="1:18">
      <c r="A810" s="283"/>
      <c r="B810" s="283"/>
      <c r="C810" s="85"/>
      <c r="D810" s="85"/>
      <c r="E810" s="85"/>
      <c r="F810" s="85"/>
      <c r="G810" s="85"/>
      <c r="H810" s="187"/>
      <c r="I810" s="85"/>
      <c r="J810" s="85"/>
      <c r="K810" s="85"/>
      <c r="L810" s="85"/>
      <c r="M810" s="85"/>
      <c r="N810" s="85"/>
      <c r="O810" s="189"/>
      <c r="P810" s="189"/>
      <c r="Q810" s="189"/>
      <c r="R810" s="189"/>
    </row>
    <row r="811" spans="1:18">
      <c r="A811" s="283"/>
      <c r="B811" s="283"/>
      <c r="C811" s="85"/>
      <c r="D811" s="85"/>
      <c r="E811" s="85"/>
      <c r="F811" s="85"/>
      <c r="G811" s="85"/>
      <c r="H811" s="187"/>
      <c r="I811" s="85"/>
      <c r="J811" s="85"/>
      <c r="K811" s="85"/>
      <c r="L811" s="85"/>
      <c r="M811" s="85"/>
      <c r="N811" s="85"/>
      <c r="O811" s="189"/>
      <c r="P811" s="189"/>
      <c r="Q811" s="189"/>
      <c r="R811" s="189"/>
    </row>
    <row r="812" spans="1:18">
      <c r="A812" s="283"/>
      <c r="B812" s="283"/>
      <c r="C812" s="85"/>
      <c r="D812" s="85"/>
      <c r="E812" s="85"/>
      <c r="F812" s="85"/>
      <c r="G812" s="85"/>
      <c r="H812" s="187"/>
      <c r="I812" s="85"/>
      <c r="J812" s="85"/>
      <c r="K812" s="85"/>
      <c r="L812" s="85"/>
      <c r="M812" s="85"/>
      <c r="N812" s="85"/>
      <c r="O812" s="189"/>
      <c r="P812" s="189"/>
      <c r="Q812" s="189"/>
      <c r="R812" s="189"/>
    </row>
    <row r="813" spans="1:18">
      <c r="A813" s="283"/>
      <c r="B813" s="283"/>
      <c r="C813" s="85"/>
      <c r="D813" s="85"/>
      <c r="E813" s="85"/>
      <c r="F813" s="85"/>
      <c r="G813" s="85"/>
      <c r="H813" s="187"/>
      <c r="I813" s="85"/>
      <c r="J813" s="85"/>
      <c r="K813" s="85"/>
      <c r="L813" s="85"/>
      <c r="M813" s="85"/>
      <c r="N813" s="85"/>
      <c r="O813" s="189"/>
      <c r="P813" s="189"/>
      <c r="Q813" s="189"/>
      <c r="R813" s="189"/>
    </row>
    <row r="814" spans="1:18">
      <c r="A814" s="283"/>
      <c r="B814" s="283"/>
      <c r="C814" s="85"/>
      <c r="D814" s="85"/>
      <c r="E814" s="85"/>
      <c r="F814" s="85"/>
      <c r="G814" s="85"/>
      <c r="H814" s="187"/>
      <c r="I814" s="85"/>
      <c r="J814" s="85"/>
      <c r="K814" s="85"/>
      <c r="L814" s="85"/>
      <c r="M814" s="85"/>
      <c r="N814" s="85"/>
      <c r="O814" s="189"/>
      <c r="P814" s="189"/>
      <c r="Q814" s="189"/>
      <c r="R814" s="189"/>
    </row>
    <row r="815" spans="1:18">
      <c r="A815" s="283"/>
      <c r="B815" s="283"/>
      <c r="C815" s="85"/>
      <c r="D815" s="85"/>
      <c r="E815" s="85"/>
      <c r="F815" s="85"/>
      <c r="G815" s="85"/>
      <c r="H815" s="187"/>
      <c r="I815" s="85"/>
      <c r="J815" s="85"/>
      <c r="K815" s="85"/>
      <c r="L815" s="85"/>
      <c r="M815" s="85"/>
      <c r="N815" s="85"/>
      <c r="O815" s="189"/>
      <c r="P815" s="189"/>
      <c r="Q815" s="189"/>
      <c r="R815" s="189"/>
    </row>
    <row r="816" spans="1:18">
      <c r="A816" s="283"/>
      <c r="B816" s="283"/>
      <c r="C816" s="85"/>
      <c r="D816" s="85"/>
      <c r="E816" s="85"/>
      <c r="F816" s="85"/>
      <c r="G816" s="85"/>
      <c r="H816" s="187"/>
      <c r="I816" s="85"/>
      <c r="J816" s="85"/>
      <c r="K816" s="85"/>
      <c r="L816" s="85"/>
      <c r="M816" s="85"/>
      <c r="N816" s="85"/>
      <c r="O816" s="189"/>
      <c r="P816" s="189"/>
      <c r="Q816" s="189"/>
      <c r="R816" s="189"/>
    </row>
    <row r="817" spans="1:18">
      <c r="A817" s="283"/>
      <c r="B817" s="283"/>
      <c r="C817" s="85"/>
      <c r="D817" s="85"/>
      <c r="E817" s="85"/>
      <c r="F817" s="85"/>
      <c r="G817" s="85"/>
      <c r="H817" s="187"/>
      <c r="I817" s="85"/>
      <c r="J817" s="85"/>
      <c r="K817" s="85"/>
      <c r="L817" s="85"/>
      <c r="M817" s="85"/>
      <c r="N817" s="85"/>
      <c r="O817" s="189"/>
      <c r="P817" s="189"/>
      <c r="Q817" s="189"/>
      <c r="R817" s="189"/>
    </row>
    <row r="818" spans="1:18">
      <c r="A818" s="283"/>
      <c r="B818" s="283"/>
      <c r="C818" s="85"/>
      <c r="D818" s="85"/>
      <c r="E818" s="85"/>
      <c r="F818" s="85"/>
      <c r="G818" s="85"/>
      <c r="H818" s="187"/>
      <c r="I818" s="85"/>
      <c r="J818" s="85"/>
      <c r="K818" s="85"/>
      <c r="L818" s="85"/>
      <c r="M818" s="85"/>
      <c r="N818" s="85"/>
      <c r="O818" s="189"/>
      <c r="P818" s="189"/>
      <c r="Q818" s="189"/>
      <c r="R818" s="189"/>
    </row>
    <row r="819" spans="1:18">
      <c r="A819" s="283"/>
      <c r="B819" s="283"/>
      <c r="C819" s="85"/>
      <c r="D819" s="85"/>
      <c r="E819" s="85"/>
      <c r="F819" s="85"/>
      <c r="G819" s="85"/>
      <c r="H819" s="187"/>
      <c r="I819" s="85"/>
      <c r="J819" s="85"/>
      <c r="K819" s="85"/>
      <c r="L819" s="85"/>
      <c r="M819" s="85"/>
      <c r="N819" s="85"/>
      <c r="O819" s="189"/>
      <c r="P819" s="189"/>
      <c r="Q819" s="189"/>
      <c r="R819" s="189"/>
    </row>
    <row r="820" spans="1:18">
      <c r="A820" s="283"/>
      <c r="B820" s="283"/>
      <c r="C820" s="85"/>
      <c r="D820" s="85"/>
      <c r="E820" s="85"/>
      <c r="F820" s="85"/>
      <c r="G820" s="85"/>
      <c r="H820" s="187"/>
      <c r="I820" s="85"/>
      <c r="J820" s="85"/>
      <c r="K820" s="85"/>
      <c r="L820" s="85"/>
      <c r="M820" s="85"/>
      <c r="N820" s="85"/>
      <c r="O820" s="189"/>
      <c r="P820" s="189"/>
      <c r="Q820" s="189"/>
      <c r="R820" s="189"/>
    </row>
    <row r="821" spans="1:18">
      <c r="A821" s="283"/>
      <c r="B821" s="283"/>
      <c r="C821" s="85"/>
      <c r="D821" s="85"/>
      <c r="E821" s="85"/>
      <c r="F821" s="85"/>
      <c r="G821" s="85"/>
      <c r="H821" s="187"/>
      <c r="I821" s="85"/>
      <c r="J821" s="85"/>
      <c r="K821" s="85"/>
      <c r="L821" s="85"/>
      <c r="M821" s="85"/>
      <c r="N821" s="85"/>
      <c r="O821" s="189"/>
      <c r="P821" s="189"/>
      <c r="Q821" s="189"/>
      <c r="R821" s="189"/>
    </row>
    <row r="822" spans="1:18">
      <c r="A822" s="283"/>
      <c r="B822" s="283"/>
      <c r="C822" s="85"/>
      <c r="D822" s="85"/>
      <c r="E822" s="85"/>
      <c r="F822" s="85"/>
      <c r="G822" s="85"/>
      <c r="H822" s="187"/>
      <c r="I822" s="85"/>
      <c r="J822" s="85"/>
      <c r="K822" s="85"/>
      <c r="L822" s="85"/>
      <c r="M822" s="85"/>
      <c r="N822" s="85"/>
      <c r="O822" s="189"/>
      <c r="P822" s="189"/>
      <c r="Q822" s="189"/>
      <c r="R822" s="189"/>
    </row>
    <row r="823" spans="1:18">
      <c r="A823" s="283"/>
      <c r="B823" s="283"/>
      <c r="C823" s="85"/>
      <c r="D823" s="85"/>
      <c r="E823" s="85"/>
      <c r="F823" s="85"/>
      <c r="G823" s="85"/>
      <c r="H823" s="187"/>
      <c r="I823" s="85"/>
      <c r="J823" s="85"/>
      <c r="K823" s="85"/>
      <c r="L823" s="85"/>
      <c r="M823" s="85"/>
      <c r="N823" s="85"/>
      <c r="O823" s="189"/>
      <c r="P823" s="189"/>
      <c r="Q823" s="189"/>
      <c r="R823" s="189"/>
    </row>
    <row r="824" spans="1:18">
      <c r="A824" s="283"/>
      <c r="B824" s="283"/>
      <c r="C824" s="85"/>
      <c r="D824" s="85"/>
      <c r="E824" s="85"/>
      <c r="F824" s="85"/>
      <c r="G824" s="85"/>
      <c r="H824" s="187"/>
      <c r="I824" s="85"/>
      <c r="J824" s="85"/>
      <c r="K824" s="85"/>
      <c r="L824" s="85"/>
      <c r="M824" s="85"/>
      <c r="N824" s="85"/>
      <c r="O824" s="189"/>
      <c r="P824" s="189"/>
      <c r="Q824" s="189"/>
      <c r="R824" s="189"/>
    </row>
    <row r="825" spans="1:18">
      <c r="A825" s="283"/>
      <c r="B825" s="283"/>
      <c r="C825" s="85"/>
      <c r="D825" s="85"/>
      <c r="E825" s="85"/>
      <c r="F825" s="85"/>
      <c r="G825" s="85"/>
      <c r="H825" s="187"/>
      <c r="I825" s="85"/>
      <c r="J825" s="85"/>
      <c r="K825" s="85"/>
      <c r="L825" s="85"/>
      <c r="M825" s="85"/>
      <c r="N825" s="85"/>
      <c r="O825" s="189"/>
      <c r="P825" s="189"/>
      <c r="Q825" s="189"/>
      <c r="R825" s="189"/>
    </row>
    <row r="826" spans="1:18">
      <c r="A826" s="283"/>
      <c r="B826" s="283"/>
      <c r="C826" s="85"/>
      <c r="D826" s="85"/>
      <c r="E826" s="85"/>
      <c r="F826" s="85"/>
      <c r="G826" s="85"/>
      <c r="H826" s="187"/>
      <c r="I826" s="85"/>
      <c r="J826" s="85"/>
      <c r="K826" s="85"/>
      <c r="L826" s="85"/>
      <c r="M826" s="85"/>
      <c r="N826" s="85"/>
      <c r="O826" s="189"/>
      <c r="P826" s="189"/>
      <c r="Q826" s="189"/>
      <c r="R826" s="189"/>
    </row>
    <row r="827" spans="1:18">
      <c r="A827" s="283"/>
      <c r="B827" s="283"/>
      <c r="C827" s="85"/>
      <c r="D827" s="85"/>
      <c r="E827" s="85"/>
      <c r="F827" s="85"/>
      <c r="G827" s="85"/>
      <c r="H827" s="187"/>
      <c r="I827" s="85"/>
      <c r="J827" s="85"/>
      <c r="K827" s="85"/>
      <c r="L827" s="85"/>
      <c r="M827" s="85"/>
      <c r="N827" s="85"/>
      <c r="O827" s="189"/>
      <c r="P827" s="189"/>
      <c r="Q827" s="189"/>
      <c r="R827" s="189"/>
    </row>
    <row r="828" spans="1:18">
      <c r="A828" s="283"/>
      <c r="B828" s="283"/>
      <c r="C828" s="85"/>
      <c r="D828" s="85"/>
      <c r="E828" s="85"/>
      <c r="F828" s="85"/>
      <c r="G828" s="85"/>
      <c r="H828" s="187"/>
      <c r="I828" s="85"/>
      <c r="J828" s="85"/>
      <c r="K828" s="85"/>
      <c r="L828" s="85"/>
      <c r="M828" s="85"/>
      <c r="N828" s="85"/>
      <c r="O828" s="189"/>
      <c r="P828" s="189"/>
      <c r="Q828" s="189"/>
      <c r="R828" s="189"/>
    </row>
    <row r="829" spans="1:18">
      <c r="A829" s="283"/>
      <c r="B829" s="283"/>
      <c r="C829" s="85"/>
      <c r="D829" s="85"/>
      <c r="E829" s="85"/>
      <c r="F829" s="85"/>
      <c r="G829" s="85"/>
      <c r="H829" s="187"/>
      <c r="I829" s="85"/>
      <c r="J829" s="85"/>
      <c r="K829" s="85"/>
      <c r="L829" s="85"/>
      <c r="M829" s="85"/>
      <c r="N829" s="85"/>
      <c r="O829" s="189"/>
      <c r="P829" s="189"/>
      <c r="Q829" s="189"/>
      <c r="R829" s="189"/>
    </row>
    <row r="830" spans="1:18">
      <c r="A830" s="283"/>
      <c r="B830" s="283"/>
      <c r="C830" s="85"/>
      <c r="D830" s="85"/>
      <c r="E830" s="85"/>
      <c r="F830" s="85"/>
      <c r="G830" s="85"/>
      <c r="H830" s="187"/>
      <c r="I830" s="85"/>
      <c r="J830" s="85"/>
      <c r="K830" s="85"/>
      <c r="L830" s="85"/>
      <c r="M830" s="85"/>
      <c r="N830" s="85"/>
      <c r="O830" s="189"/>
      <c r="P830" s="189"/>
      <c r="Q830" s="189"/>
      <c r="R830" s="189"/>
    </row>
    <row r="831" spans="1:18">
      <c r="A831" s="283"/>
      <c r="B831" s="283"/>
      <c r="C831" s="85"/>
      <c r="D831" s="85"/>
      <c r="E831" s="85"/>
      <c r="F831" s="85"/>
      <c r="G831" s="85"/>
      <c r="H831" s="187"/>
      <c r="I831" s="85"/>
      <c r="J831" s="85"/>
      <c r="K831" s="85"/>
      <c r="L831" s="85"/>
      <c r="M831" s="85"/>
      <c r="N831" s="85"/>
      <c r="O831" s="189"/>
      <c r="P831" s="189"/>
      <c r="Q831" s="189"/>
      <c r="R831" s="189"/>
    </row>
    <row r="832" spans="1:18">
      <c r="A832" s="283"/>
      <c r="B832" s="283"/>
      <c r="C832" s="85"/>
      <c r="D832" s="85"/>
      <c r="E832" s="85"/>
      <c r="F832" s="85"/>
      <c r="G832" s="85"/>
      <c r="H832" s="187"/>
      <c r="I832" s="85"/>
      <c r="J832" s="85"/>
      <c r="K832" s="85"/>
      <c r="L832" s="85"/>
      <c r="M832" s="85"/>
      <c r="N832" s="85"/>
      <c r="O832" s="189"/>
      <c r="P832" s="189"/>
      <c r="Q832" s="189"/>
      <c r="R832" s="189"/>
    </row>
    <row r="833" spans="1:18">
      <c r="A833" s="283"/>
      <c r="B833" s="283"/>
      <c r="C833" s="85"/>
      <c r="D833" s="85"/>
      <c r="E833" s="85"/>
      <c r="F833" s="85"/>
      <c r="G833" s="85"/>
      <c r="H833" s="187"/>
      <c r="I833" s="85"/>
      <c r="J833" s="85"/>
      <c r="K833" s="85"/>
      <c r="L833" s="85"/>
      <c r="M833" s="85"/>
      <c r="N833" s="85"/>
      <c r="O833" s="189"/>
      <c r="P833" s="189"/>
      <c r="Q833" s="189"/>
      <c r="R833" s="189"/>
    </row>
    <row r="834" spans="1:18">
      <c r="A834" s="283"/>
      <c r="B834" s="283"/>
      <c r="C834" s="85"/>
      <c r="D834" s="85"/>
      <c r="E834" s="85"/>
      <c r="F834" s="85"/>
      <c r="G834" s="85"/>
      <c r="H834" s="187"/>
      <c r="I834" s="85"/>
      <c r="J834" s="85"/>
      <c r="K834" s="85"/>
      <c r="L834" s="85"/>
      <c r="M834" s="85"/>
      <c r="N834" s="85"/>
      <c r="O834" s="189"/>
      <c r="P834" s="189"/>
      <c r="Q834" s="189"/>
      <c r="R834" s="189"/>
    </row>
    <row r="835" spans="1:18">
      <c r="A835" s="283"/>
      <c r="B835" s="283"/>
      <c r="C835" s="85"/>
      <c r="D835" s="85"/>
      <c r="E835" s="85"/>
      <c r="F835" s="85"/>
      <c r="G835" s="85"/>
      <c r="H835" s="187"/>
      <c r="I835" s="85"/>
      <c r="J835" s="85"/>
      <c r="K835" s="85"/>
      <c r="L835" s="85"/>
      <c r="M835" s="85"/>
      <c r="N835" s="85"/>
      <c r="O835" s="189"/>
      <c r="P835" s="189"/>
      <c r="Q835" s="189"/>
      <c r="R835" s="189"/>
    </row>
    <row r="836" spans="1:18">
      <c r="A836" s="283"/>
      <c r="B836" s="283"/>
      <c r="C836" s="85"/>
      <c r="D836" s="85"/>
      <c r="E836" s="85"/>
      <c r="F836" s="85"/>
      <c r="G836" s="85"/>
      <c r="H836" s="187"/>
      <c r="I836" s="85"/>
      <c r="J836" s="85"/>
      <c r="K836" s="85"/>
      <c r="L836" s="85"/>
      <c r="M836" s="85"/>
      <c r="N836" s="85"/>
      <c r="O836" s="189"/>
      <c r="P836" s="189"/>
      <c r="Q836" s="189"/>
      <c r="R836" s="189"/>
    </row>
    <row r="837" spans="1:18">
      <c r="A837" s="283"/>
      <c r="B837" s="283"/>
      <c r="C837" s="85"/>
      <c r="D837" s="85"/>
      <c r="E837" s="85"/>
      <c r="F837" s="85"/>
      <c r="G837" s="85"/>
      <c r="H837" s="187"/>
      <c r="I837" s="85"/>
      <c r="J837" s="85"/>
      <c r="K837" s="85"/>
      <c r="L837" s="85"/>
      <c r="M837" s="85"/>
      <c r="N837" s="85"/>
      <c r="O837" s="189"/>
      <c r="P837" s="189"/>
      <c r="Q837" s="189"/>
      <c r="R837" s="189"/>
    </row>
    <row r="838" spans="1:18">
      <c r="A838" s="283"/>
      <c r="B838" s="283"/>
      <c r="C838" s="85"/>
      <c r="D838" s="85"/>
      <c r="E838" s="85"/>
      <c r="F838" s="85"/>
      <c r="G838" s="85"/>
      <c r="H838" s="187"/>
      <c r="I838" s="85"/>
      <c r="J838" s="85"/>
      <c r="K838" s="85"/>
      <c r="L838" s="85"/>
      <c r="M838" s="85"/>
      <c r="N838" s="85"/>
      <c r="O838" s="189"/>
      <c r="P838" s="189"/>
      <c r="Q838" s="189"/>
      <c r="R838" s="189"/>
    </row>
    <row r="839" spans="1:18">
      <c r="A839" s="283"/>
      <c r="B839" s="283"/>
      <c r="C839" s="85"/>
      <c r="D839" s="85"/>
      <c r="E839" s="85"/>
      <c r="F839" s="85"/>
      <c r="G839" s="85"/>
      <c r="H839" s="187"/>
      <c r="I839" s="85"/>
      <c r="J839" s="85"/>
      <c r="K839" s="85"/>
      <c r="L839" s="85"/>
      <c r="M839" s="85"/>
      <c r="N839" s="85"/>
      <c r="O839" s="189"/>
      <c r="P839" s="189"/>
      <c r="Q839" s="189"/>
      <c r="R839" s="189"/>
    </row>
    <row r="840" spans="1:18">
      <c r="A840" s="283"/>
      <c r="B840" s="283"/>
      <c r="C840" s="85"/>
      <c r="D840" s="85"/>
      <c r="E840" s="85"/>
      <c r="F840" s="85"/>
      <c r="G840" s="85"/>
      <c r="H840" s="187"/>
      <c r="I840" s="85"/>
      <c r="J840" s="85"/>
      <c r="K840" s="85"/>
      <c r="L840" s="85"/>
      <c r="M840" s="85"/>
      <c r="N840" s="85"/>
      <c r="O840" s="189"/>
      <c r="P840" s="189"/>
      <c r="Q840" s="189"/>
      <c r="R840" s="189"/>
    </row>
    <row r="841" spans="1:18">
      <c r="A841" s="283"/>
      <c r="B841" s="283"/>
      <c r="C841" s="85"/>
      <c r="D841" s="85"/>
      <c r="E841" s="85"/>
      <c r="F841" s="85"/>
      <c r="G841" s="85"/>
      <c r="H841" s="187"/>
      <c r="I841" s="85"/>
      <c r="J841" s="85"/>
      <c r="K841" s="85"/>
      <c r="L841" s="85"/>
      <c r="M841" s="85"/>
      <c r="N841" s="85"/>
      <c r="O841" s="189"/>
      <c r="P841" s="189"/>
      <c r="Q841" s="189"/>
      <c r="R841" s="189"/>
    </row>
    <row r="842" spans="1:18">
      <c r="A842" s="283"/>
      <c r="B842" s="283"/>
      <c r="C842" s="85"/>
      <c r="D842" s="85"/>
      <c r="E842" s="85"/>
      <c r="F842" s="85"/>
      <c r="G842" s="85"/>
      <c r="H842" s="187"/>
      <c r="I842" s="85"/>
      <c r="J842" s="85"/>
      <c r="K842" s="85"/>
      <c r="L842" s="85"/>
      <c r="M842" s="85"/>
      <c r="N842" s="85"/>
      <c r="O842" s="189"/>
      <c r="P842" s="189"/>
      <c r="Q842" s="189"/>
      <c r="R842" s="189"/>
    </row>
    <row r="843" spans="1:18">
      <c r="A843" s="283"/>
      <c r="B843" s="283"/>
      <c r="C843" s="85"/>
      <c r="D843" s="85"/>
      <c r="E843" s="85"/>
      <c r="F843" s="85"/>
      <c r="G843" s="85"/>
      <c r="H843" s="187"/>
      <c r="I843" s="85"/>
      <c r="J843" s="85"/>
      <c r="K843" s="85"/>
      <c r="L843" s="85"/>
      <c r="M843" s="85"/>
      <c r="N843" s="85"/>
      <c r="O843" s="189"/>
      <c r="P843" s="189"/>
      <c r="Q843" s="189"/>
      <c r="R843" s="189"/>
    </row>
    <row r="844" spans="1:18">
      <c r="A844" s="283"/>
      <c r="B844" s="283"/>
      <c r="C844" s="85"/>
      <c r="D844" s="85"/>
      <c r="E844" s="85"/>
      <c r="F844" s="85"/>
      <c r="G844" s="85"/>
      <c r="H844" s="187"/>
      <c r="I844" s="85"/>
      <c r="J844" s="85"/>
      <c r="K844" s="85"/>
      <c r="L844" s="85"/>
      <c r="M844" s="85"/>
      <c r="N844" s="85"/>
      <c r="O844" s="189"/>
      <c r="P844" s="189"/>
      <c r="Q844" s="189"/>
      <c r="R844" s="189"/>
    </row>
    <row r="845" spans="1:18">
      <c r="A845" s="283"/>
      <c r="B845" s="283"/>
      <c r="C845" s="85"/>
      <c r="D845" s="85"/>
      <c r="E845" s="85"/>
      <c r="F845" s="85"/>
      <c r="G845" s="85"/>
      <c r="H845" s="187"/>
      <c r="I845" s="85"/>
      <c r="J845" s="85"/>
      <c r="K845" s="85"/>
      <c r="L845" s="85"/>
      <c r="M845" s="85"/>
      <c r="N845" s="85"/>
      <c r="O845" s="189"/>
      <c r="P845" s="189"/>
      <c r="Q845" s="189"/>
      <c r="R845" s="189"/>
    </row>
    <row r="846" spans="1:18">
      <c r="A846" s="283"/>
      <c r="B846" s="283"/>
      <c r="C846" s="85"/>
      <c r="D846" s="85"/>
      <c r="E846" s="85"/>
      <c r="F846" s="85"/>
      <c r="G846" s="85"/>
      <c r="H846" s="187"/>
      <c r="I846" s="85"/>
      <c r="J846" s="85"/>
      <c r="K846" s="85"/>
      <c r="L846" s="85"/>
      <c r="M846" s="85"/>
      <c r="N846" s="85"/>
      <c r="O846" s="189"/>
      <c r="P846" s="189"/>
      <c r="Q846" s="189"/>
      <c r="R846" s="189"/>
    </row>
    <row r="847" spans="1:18">
      <c r="A847" s="283"/>
      <c r="B847" s="283"/>
      <c r="C847" s="85"/>
      <c r="D847" s="85"/>
      <c r="E847" s="85"/>
      <c r="F847" s="85"/>
      <c r="G847" s="85"/>
      <c r="H847" s="187"/>
      <c r="I847" s="85"/>
      <c r="J847" s="85"/>
      <c r="K847" s="85"/>
      <c r="L847" s="85"/>
      <c r="M847" s="85"/>
      <c r="N847" s="85"/>
      <c r="O847" s="189"/>
      <c r="P847" s="189"/>
      <c r="Q847" s="189"/>
      <c r="R847" s="189"/>
    </row>
    <row r="848" spans="1:18">
      <c r="A848" s="283"/>
      <c r="B848" s="283"/>
      <c r="C848" s="85"/>
      <c r="D848" s="85"/>
      <c r="E848" s="85"/>
      <c r="F848" s="85"/>
      <c r="G848" s="85"/>
      <c r="H848" s="187"/>
      <c r="I848" s="85"/>
      <c r="J848" s="85"/>
      <c r="K848" s="85"/>
      <c r="L848" s="85"/>
      <c r="M848" s="85"/>
      <c r="N848" s="85"/>
      <c r="O848" s="189"/>
      <c r="P848" s="189"/>
      <c r="Q848" s="189"/>
      <c r="R848" s="189"/>
    </row>
    <row r="849" spans="1:18">
      <c r="A849" s="283"/>
      <c r="B849" s="283"/>
      <c r="C849" s="85"/>
      <c r="D849" s="85"/>
      <c r="E849" s="85"/>
      <c r="F849" s="85"/>
      <c r="G849" s="85"/>
      <c r="H849" s="187"/>
      <c r="I849" s="85"/>
      <c r="J849" s="85"/>
      <c r="K849" s="85"/>
      <c r="L849" s="85"/>
      <c r="M849" s="85"/>
      <c r="N849" s="85"/>
      <c r="O849" s="189"/>
      <c r="P849" s="189"/>
      <c r="Q849" s="189"/>
      <c r="R849" s="189"/>
    </row>
    <row r="850" spans="1:18">
      <c r="A850" s="283"/>
      <c r="B850" s="283"/>
      <c r="C850" s="85"/>
      <c r="D850" s="85"/>
      <c r="E850" s="85"/>
      <c r="F850" s="85"/>
      <c r="G850" s="85"/>
      <c r="H850" s="187"/>
      <c r="I850" s="85"/>
      <c r="J850" s="85"/>
      <c r="K850" s="85"/>
      <c r="L850" s="85"/>
      <c r="M850" s="85"/>
      <c r="N850" s="85"/>
      <c r="O850" s="189"/>
      <c r="P850" s="189"/>
      <c r="Q850" s="189"/>
      <c r="R850" s="189"/>
    </row>
    <row r="851" spans="1:18">
      <c r="A851" s="283"/>
      <c r="B851" s="283"/>
      <c r="C851" s="85"/>
      <c r="D851" s="85"/>
      <c r="E851" s="85"/>
      <c r="F851" s="85"/>
      <c r="G851" s="85"/>
      <c r="H851" s="187"/>
      <c r="I851" s="85"/>
      <c r="J851" s="85"/>
      <c r="K851" s="85"/>
      <c r="L851" s="85"/>
      <c r="M851" s="85"/>
      <c r="N851" s="85"/>
      <c r="O851" s="189"/>
      <c r="P851" s="189"/>
      <c r="Q851" s="189"/>
      <c r="R851" s="189"/>
    </row>
    <row r="852" spans="1:18">
      <c r="A852" s="283"/>
      <c r="B852" s="283"/>
      <c r="C852" s="85"/>
      <c r="D852" s="85"/>
      <c r="E852" s="85"/>
      <c r="F852" s="85"/>
      <c r="G852" s="85"/>
      <c r="H852" s="187"/>
      <c r="I852" s="85"/>
      <c r="J852" s="85"/>
      <c r="K852" s="85"/>
      <c r="L852" s="85"/>
      <c r="M852" s="85"/>
      <c r="N852" s="85"/>
      <c r="O852" s="189"/>
      <c r="P852" s="189"/>
      <c r="Q852" s="189"/>
      <c r="R852" s="189"/>
    </row>
    <row r="853" spans="1:18">
      <c r="A853" s="283"/>
      <c r="B853" s="283"/>
      <c r="C853" s="85"/>
      <c r="D853" s="85"/>
      <c r="E853" s="85"/>
      <c r="F853" s="85"/>
      <c r="G853" s="85"/>
      <c r="H853" s="187"/>
      <c r="I853" s="85"/>
      <c r="J853" s="85"/>
      <c r="K853" s="85"/>
      <c r="L853" s="85"/>
      <c r="M853" s="85"/>
      <c r="N853" s="85"/>
      <c r="O853" s="189"/>
      <c r="P853" s="189"/>
      <c r="Q853" s="189"/>
      <c r="R853" s="189"/>
    </row>
    <row r="854" spans="1:18">
      <c r="A854" s="283"/>
      <c r="B854" s="283"/>
      <c r="C854" s="85"/>
      <c r="D854" s="85"/>
      <c r="E854" s="85"/>
      <c r="F854" s="85"/>
      <c r="G854" s="85"/>
      <c r="H854" s="187"/>
      <c r="I854" s="85"/>
      <c r="J854" s="85"/>
      <c r="K854" s="85"/>
      <c r="L854" s="85"/>
      <c r="M854" s="85"/>
      <c r="N854" s="85"/>
      <c r="O854" s="189"/>
      <c r="P854" s="189"/>
      <c r="Q854" s="189"/>
      <c r="R854" s="189"/>
    </row>
    <row r="855" spans="1:18">
      <c r="A855" s="283"/>
      <c r="B855" s="283"/>
      <c r="C855" s="85"/>
      <c r="D855" s="85"/>
      <c r="E855" s="85"/>
      <c r="F855" s="85"/>
      <c r="G855" s="85"/>
      <c r="H855" s="187"/>
      <c r="I855" s="85"/>
      <c r="J855" s="85"/>
      <c r="K855" s="85"/>
      <c r="L855" s="85"/>
      <c r="M855" s="85"/>
      <c r="N855" s="85"/>
      <c r="O855" s="189"/>
      <c r="P855" s="189"/>
      <c r="Q855" s="189"/>
      <c r="R855" s="189"/>
    </row>
    <row r="856" spans="1:18">
      <c r="A856" s="283"/>
      <c r="B856" s="283"/>
      <c r="C856" s="85"/>
      <c r="D856" s="85"/>
      <c r="E856" s="85"/>
      <c r="F856" s="85"/>
      <c r="G856" s="85"/>
      <c r="H856" s="187"/>
      <c r="I856" s="85"/>
      <c r="J856" s="85"/>
      <c r="K856" s="85"/>
      <c r="L856" s="85"/>
      <c r="M856" s="85"/>
      <c r="N856" s="85"/>
      <c r="O856" s="189"/>
      <c r="P856" s="189"/>
      <c r="Q856" s="189"/>
      <c r="R856" s="189"/>
    </row>
    <row r="857" spans="1:18">
      <c r="A857" s="283"/>
      <c r="B857" s="283"/>
      <c r="C857" s="85"/>
      <c r="D857" s="85"/>
      <c r="E857" s="85"/>
      <c r="F857" s="85"/>
      <c r="G857" s="85"/>
      <c r="H857" s="187"/>
      <c r="I857" s="85"/>
      <c r="J857" s="85"/>
      <c r="K857" s="85"/>
      <c r="L857" s="85"/>
      <c r="M857" s="85"/>
      <c r="N857" s="85"/>
      <c r="O857" s="189"/>
      <c r="P857" s="189"/>
      <c r="Q857" s="189"/>
      <c r="R857" s="189"/>
    </row>
    <row r="858" spans="1:18">
      <c r="A858" s="283"/>
      <c r="B858" s="283"/>
      <c r="C858" s="85"/>
      <c r="D858" s="85"/>
      <c r="E858" s="85"/>
      <c r="F858" s="85"/>
      <c r="G858" s="85"/>
      <c r="H858" s="187"/>
      <c r="I858" s="85"/>
      <c r="J858" s="85"/>
      <c r="K858" s="85"/>
      <c r="L858" s="85"/>
      <c r="M858" s="85"/>
      <c r="N858" s="85"/>
      <c r="O858" s="189"/>
      <c r="P858" s="189"/>
      <c r="Q858" s="189"/>
      <c r="R858" s="189"/>
    </row>
    <row r="859" spans="1:18">
      <c r="A859" s="283"/>
      <c r="B859" s="283"/>
      <c r="C859" s="85"/>
      <c r="D859" s="85"/>
      <c r="E859" s="85"/>
      <c r="F859" s="85"/>
      <c r="G859" s="85"/>
      <c r="H859" s="187"/>
      <c r="I859" s="85"/>
      <c r="J859" s="85"/>
      <c r="K859" s="85"/>
      <c r="L859" s="85"/>
      <c r="M859" s="85"/>
      <c r="N859" s="85"/>
      <c r="O859" s="189"/>
      <c r="P859" s="189"/>
      <c r="Q859" s="189"/>
      <c r="R859" s="189"/>
    </row>
    <row r="860" spans="1:18">
      <c r="A860" s="283"/>
      <c r="B860" s="283"/>
      <c r="C860" s="85"/>
      <c r="D860" s="85"/>
      <c r="E860" s="85"/>
      <c r="F860" s="85"/>
      <c r="G860" s="85"/>
      <c r="H860" s="187"/>
      <c r="I860" s="85"/>
      <c r="J860" s="85"/>
      <c r="K860" s="85"/>
      <c r="L860" s="85"/>
      <c r="M860" s="85"/>
      <c r="N860" s="85"/>
      <c r="O860" s="189"/>
      <c r="P860" s="189"/>
      <c r="Q860" s="189"/>
      <c r="R860" s="189"/>
    </row>
    <row r="861" spans="1:18">
      <c r="A861" s="283"/>
      <c r="B861" s="283"/>
      <c r="C861" s="85"/>
      <c r="D861" s="85"/>
      <c r="E861" s="85"/>
      <c r="F861" s="85"/>
      <c r="G861" s="85"/>
      <c r="H861" s="187"/>
      <c r="I861" s="85"/>
      <c r="J861" s="85"/>
      <c r="K861" s="85"/>
      <c r="L861" s="85"/>
      <c r="M861" s="85"/>
      <c r="N861" s="85"/>
      <c r="O861" s="189"/>
      <c r="P861" s="189"/>
      <c r="Q861" s="189"/>
      <c r="R861" s="189"/>
    </row>
    <row r="862" spans="1:18">
      <c r="A862" s="283"/>
      <c r="B862" s="283"/>
      <c r="C862" s="85"/>
      <c r="D862" s="85"/>
      <c r="E862" s="85"/>
      <c r="F862" s="85"/>
      <c r="G862" s="85"/>
      <c r="H862" s="187"/>
      <c r="I862" s="85"/>
      <c r="J862" s="85"/>
      <c r="K862" s="85"/>
      <c r="L862" s="85"/>
      <c r="M862" s="85"/>
      <c r="N862" s="85"/>
      <c r="O862" s="189"/>
      <c r="P862" s="189"/>
      <c r="Q862" s="189"/>
      <c r="R862" s="189"/>
    </row>
    <row r="863" spans="1:18">
      <c r="A863" s="283"/>
      <c r="B863" s="283"/>
      <c r="C863" s="85"/>
      <c r="D863" s="85"/>
      <c r="E863" s="85"/>
      <c r="F863" s="85"/>
      <c r="G863" s="85"/>
      <c r="H863" s="187"/>
      <c r="I863" s="85"/>
      <c r="J863" s="85"/>
      <c r="K863" s="85"/>
      <c r="L863" s="85"/>
      <c r="M863" s="85"/>
      <c r="N863" s="85"/>
      <c r="O863" s="189"/>
      <c r="P863" s="189"/>
      <c r="Q863" s="189"/>
      <c r="R863" s="189"/>
    </row>
    <row r="864" spans="1:18">
      <c r="A864" s="283"/>
      <c r="B864" s="283"/>
      <c r="C864" s="85"/>
      <c r="D864" s="85"/>
      <c r="E864" s="85"/>
      <c r="F864" s="85"/>
      <c r="G864" s="85"/>
      <c r="H864" s="187"/>
      <c r="I864" s="85"/>
      <c r="J864" s="85"/>
      <c r="K864" s="85"/>
      <c r="L864" s="85"/>
      <c r="M864" s="85"/>
      <c r="N864" s="85"/>
      <c r="O864" s="189"/>
      <c r="P864" s="189"/>
      <c r="Q864" s="189"/>
      <c r="R864" s="189"/>
    </row>
    <row r="865" spans="1:18">
      <c r="A865" s="283"/>
      <c r="B865" s="283"/>
      <c r="C865" s="85"/>
      <c r="D865" s="85"/>
      <c r="E865" s="85"/>
      <c r="F865" s="85"/>
      <c r="G865" s="85"/>
      <c r="H865" s="187"/>
      <c r="I865" s="85"/>
      <c r="J865" s="85"/>
      <c r="K865" s="85"/>
      <c r="L865" s="85"/>
      <c r="M865" s="85"/>
      <c r="N865" s="85"/>
      <c r="O865" s="189"/>
      <c r="P865" s="189"/>
      <c r="Q865" s="189"/>
      <c r="R865" s="189"/>
    </row>
    <row r="866" spans="1:18">
      <c r="A866" s="283"/>
      <c r="B866" s="283"/>
      <c r="C866" s="85"/>
      <c r="D866" s="85"/>
      <c r="E866" s="85"/>
      <c r="F866" s="85"/>
      <c r="G866" s="85"/>
      <c r="H866" s="187"/>
      <c r="I866" s="85"/>
      <c r="J866" s="85"/>
      <c r="K866" s="85"/>
      <c r="L866" s="85"/>
      <c r="M866" s="85"/>
      <c r="N866" s="85"/>
      <c r="O866" s="189"/>
      <c r="P866" s="189"/>
      <c r="Q866" s="189"/>
      <c r="R866" s="189"/>
    </row>
    <row r="867" spans="1:18">
      <c r="A867" s="283"/>
      <c r="B867" s="283"/>
      <c r="C867" s="85"/>
      <c r="D867" s="85"/>
      <c r="E867" s="85"/>
      <c r="F867" s="85"/>
      <c r="G867" s="85"/>
      <c r="H867" s="187"/>
      <c r="I867" s="85"/>
      <c r="J867" s="85"/>
      <c r="K867" s="85"/>
      <c r="L867" s="85"/>
      <c r="M867" s="85"/>
      <c r="N867" s="85"/>
      <c r="O867" s="189"/>
      <c r="P867" s="189"/>
      <c r="Q867" s="189"/>
      <c r="R867" s="189"/>
    </row>
    <row r="868" spans="1:18">
      <c r="A868" s="283"/>
      <c r="B868" s="283"/>
      <c r="C868" s="85"/>
      <c r="D868" s="85"/>
      <c r="E868" s="85"/>
      <c r="F868" s="85"/>
      <c r="G868" s="85"/>
      <c r="H868" s="187"/>
      <c r="I868" s="85"/>
      <c r="J868" s="85"/>
      <c r="K868" s="85"/>
      <c r="L868" s="85"/>
      <c r="M868" s="85"/>
      <c r="N868" s="85"/>
      <c r="O868" s="189"/>
      <c r="P868" s="189"/>
      <c r="Q868" s="189"/>
      <c r="R868" s="189"/>
    </row>
    <row r="869" spans="1:18">
      <c r="A869" s="283"/>
      <c r="B869" s="283"/>
      <c r="C869" s="85"/>
      <c r="D869" s="85"/>
      <c r="E869" s="85"/>
      <c r="F869" s="85"/>
      <c r="G869" s="85"/>
      <c r="H869" s="187"/>
      <c r="I869" s="85"/>
      <c r="J869" s="85"/>
      <c r="K869" s="85"/>
      <c r="L869" s="85"/>
      <c r="M869" s="85"/>
      <c r="N869" s="85"/>
      <c r="O869" s="189"/>
      <c r="P869" s="189"/>
      <c r="Q869" s="189"/>
      <c r="R869" s="189"/>
    </row>
    <row r="870" spans="1:18">
      <c r="A870" s="283"/>
      <c r="B870" s="283"/>
      <c r="C870" s="85"/>
      <c r="D870" s="85"/>
      <c r="E870" s="85"/>
      <c r="F870" s="85"/>
      <c r="G870" s="85"/>
      <c r="H870" s="187"/>
      <c r="I870" s="85"/>
      <c r="J870" s="85"/>
      <c r="K870" s="85"/>
      <c r="L870" s="85"/>
      <c r="M870" s="85"/>
      <c r="N870" s="85"/>
      <c r="O870" s="189"/>
      <c r="P870" s="189"/>
      <c r="Q870" s="189"/>
      <c r="R870" s="189"/>
    </row>
    <row r="871" spans="1:18">
      <c r="A871" s="283"/>
      <c r="B871" s="283"/>
      <c r="C871" s="85"/>
      <c r="D871" s="85"/>
      <c r="E871" s="85"/>
      <c r="F871" s="85"/>
      <c r="G871" s="85"/>
      <c r="H871" s="187"/>
      <c r="I871" s="85"/>
      <c r="J871" s="85"/>
      <c r="K871" s="85"/>
      <c r="L871" s="85"/>
      <c r="M871" s="85"/>
      <c r="N871" s="85"/>
      <c r="O871" s="189"/>
      <c r="P871" s="189"/>
      <c r="Q871" s="189"/>
      <c r="R871" s="189"/>
    </row>
    <row r="872" spans="1:18">
      <c r="A872" s="283"/>
      <c r="B872" s="283"/>
      <c r="C872" s="85"/>
      <c r="D872" s="85"/>
      <c r="E872" s="85"/>
      <c r="F872" s="85"/>
      <c r="G872" s="85"/>
      <c r="H872" s="187"/>
      <c r="I872" s="85"/>
      <c r="J872" s="85"/>
      <c r="K872" s="85"/>
      <c r="L872" s="85"/>
      <c r="M872" s="85"/>
      <c r="N872" s="85"/>
      <c r="O872" s="189"/>
      <c r="P872" s="189"/>
      <c r="Q872" s="189"/>
      <c r="R872" s="189"/>
    </row>
    <row r="873" spans="1:18">
      <c r="A873" s="283"/>
      <c r="B873" s="283"/>
      <c r="C873" s="85"/>
      <c r="D873" s="85"/>
      <c r="E873" s="85"/>
      <c r="F873" s="85"/>
      <c r="G873" s="85"/>
      <c r="H873" s="187"/>
      <c r="I873" s="85"/>
      <c r="J873" s="85"/>
      <c r="K873" s="85"/>
      <c r="L873" s="85"/>
      <c r="M873" s="85"/>
      <c r="N873" s="85"/>
      <c r="O873" s="189"/>
      <c r="P873" s="189"/>
      <c r="Q873" s="189"/>
      <c r="R873" s="189"/>
    </row>
    <row r="874" spans="1:18">
      <c r="A874" s="283"/>
      <c r="B874" s="283"/>
      <c r="C874" s="85"/>
      <c r="D874" s="85"/>
      <c r="E874" s="85"/>
      <c r="F874" s="85"/>
      <c r="G874" s="85"/>
      <c r="H874" s="187"/>
      <c r="I874" s="85"/>
      <c r="J874" s="85"/>
      <c r="K874" s="85"/>
      <c r="L874" s="85"/>
      <c r="M874" s="85"/>
      <c r="N874" s="85"/>
      <c r="O874" s="189"/>
      <c r="P874" s="189"/>
      <c r="Q874" s="189"/>
      <c r="R874" s="189"/>
    </row>
    <row r="875" spans="1:18">
      <c r="A875" s="283"/>
      <c r="B875" s="283"/>
      <c r="C875" s="85"/>
      <c r="D875" s="85"/>
      <c r="E875" s="85"/>
      <c r="F875" s="85"/>
      <c r="G875" s="85"/>
      <c r="H875" s="187"/>
      <c r="I875" s="85"/>
      <c r="J875" s="85"/>
      <c r="K875" s="85"/>
      <c r="L875" s="85"/>
      <c r="M875" s="85"/>
      <c r="N875" s="85"/>
      <c r="O875" s="189"/>
      <c r="P875" s="189"/>
      <c r="Q875" s="189"/>
      <c r="R875" s="189"/>
    </row>
    <row r="876" spans="1:18">
      <c r="A876" s="283"/>
      <c r="B876" s="283"/>
      <c r="C876" s="85"/>
      <c r="D876" s="85"/>
      <c r="E876" s="85"/>
      <c r="F876" s="85"/>
      <c r="G876" s="85"/>
      <c r="H876" s="187"/>
      <c r="I876" s="85"/>
      <c r="J876" s="85"/>
      <c r="K876" s="85"/>
      <c r="L876" s="85"/>
      <c r="M876" s="85"/>
      <c r="N876" s="85"/>
      <c r="O876" s="189"/>
      <c r="P876" s="189"/>
      <c r="Q876" s="189"/>
      <c r="R876" s="189"/>
    </row>
    <row r="877" spans="1:18">
      <c r="A877" s="283"/>
      <c r="B877" s="283"/>
      <c r="C877" s="85"/>
      <c r="D877" s="85"/>
      <c r="E877" s="85"/>
      <c r="F877" s="85"/>
      <c r="G877" s="85"/>
      <c r="H877" s="187"/>
      <c r="I877" s="85"/>
      <c r="J877" s="85"/>
      <c r="K877" s="85"/>
      <c r="L877" s="85"/>
      <c r="M877" s="85"/>
      <c r="N877" s="85"/>
      <c r="O877" s="189"/>
      <c r="P877" s="189"/>
      <c r="Q877" s="189"/>
      <c r="R877" s="189"/>
    </row>
    <row r="878" spans="1:18">
      <c r="A878" s="283"/>
      <c r="B878" s="283"/>
      <c r="C878" s="85"/>
      <c r="D878" s="85"/>
      <c r="E878" s="85"/>
      <c r="F878" s="85"/>
      <c r="G878" s="85"/>
      <c r="H878" s="187"/>
      <c r="I878" s="85"/>
      <c r="J878" s="85"/>
      <c r="K878" s="85"/>
      <c r="L878" s="85"/>
      <c r="M878" s="85"/>
      <c r="N878" s="85"/>
      <c r="O878" s="189"/>
      <c r="P878" s="189"/>
      <c r="Q878" s="189"/>
      <c r="R878" s="189"/>
    </row>
    <row r="879" spans="1:18">
      <c r="A879" s="283"/>
      <c r="B879" s="283"/>
      <c r="C879" s="85"/>
      <c r="D879" s="85"/>
      <c r="E879" s="85"/>
      <c r="F879" s="85"/>
      <c r="G879" s="85"/>
      <c r="H879" s="187"/>
      <c r="I879" s="85"/>
      <c r="J879" s="85"/>
      <c r="K879" s="85"/>
      <c r="L879" s="85"/>
      <c r="M879" s="85"/>
      <c r="N879" s="85"/>
      <c r="O879" s="189"/>
      <c r="P879" s="189"/>
      <c r="Q879" s="189"/>
      <c r="R879" s="189"/>
    </row>
    <row r="880" spans="1:18">
      <c r="A880" s="283"/>
      <c r="B880" s="283"/>
      <c r="C880" s="85"/>
      <c r="D880" s="85"/>
      <c r="E880" s="85"/>
      <c r="F880" s="85"/>
      <c r="G880" s="85"/>
      <c r="H880" s="187"/>
      <c r="I880" s="85"/>
      <c r="J880" s="85"/>
      <c r="K880" s="85"/>
      <c r="L880" s="85"/>
      <c r="M880" s="85"/>
      <c r="N880" s="85"/>
      <c r="O880" s="189"/>
      <c r="P880" s="189"/>
      <c r="Q880" s="189"/>
      <c r="R880" s="189"/>
    </row>
    <row r="881" spans="1:18">
      <c r="A881" s="283"/>
      <c r="B881" s="283"/>
      <c r="C881" s="85"/>
      <c r="D881" s="85"/>
      <c r="E881" s="85"/>
      <c r="F881" s="85"/>
      <c r="G881" s="85"/>
      <c r="H881" s="187"/>
      <c r="I881" s="85"/>
      <c r="J881" s="85"/>
      <c r="K881" s="85"/>
      <c r="L881" s="85"/>
      <c r="M881" s="85"/>
      <c r="N881" s="85"/>
      <c r="O881" s="189"/>
      <c r="P881" s="189"/>
      <c r="Q881" s="189"/>
      <c r="R881" s="189"/>
    </row>
    <row r="882" spans="1:18">
      <c r="A882" s="283"/>
      <c r="B882" s="283"/>
      <c r="C882" s="85"/>
      <c r="D882" s="85"/>
      <c r="E882" s="85"/>
      <c r="F882" s="85"/>
      <c r="G882" s="85"/>
      <c r="H882" s="187"/>
      <c r="I882" s="85"/>
      <c r="J882" s="85"/>
      <c r="K882" s="85"/>
      <c r="L882" s="85"/>
      <c r="M882" s="85"/>
      <c r="N882" s="85"/>
      <c r="O882" s="189"/>
      <c r="P882" s="189"/>
      <c r="Q882" s="189"/>
      <c r="R882" s="189"/>
    </row>
    <row r="883" spans="1:18">
      <c r="A883" s="283"/>
      <c r="B883" s="283"/>
      <c r="C883" s="85"/>
      <c r="D883" s="85"/>
      <c r="E883" s="85"/>
      <c r="F883" s="85"/>
      <c r="G883" s="85"/>
      <c r="H883" s="187"/>
      <c r="I883" s="85"/>
      <c r="J883" s="85"/>
      <c r="K883" s="85"/>
      <c r="L883" s="85"/>
      <c r="M883" s="85"/>
      <c r="N883" s="85"/>
      <c r="O883" s="189"/>
      <c r="P883" s="189"/>
      <c r="Q883" s="189"/>
      <c r="R883" s="189"/>
    </row>
    <row r="884" spans="1:18">
      <c r="A884" s="283"/>
      <c r="B884" s="283"/>
      <c r="C884" s="85"/>
      <c r="D884" s="85"/>
      <c r="E884" s="85"/>
      <c r="F884" s="85"/>
      <c r="G884" s="85"/>
      <c r="H884" s="187"/>
      <c r="I884" s="85"/>
      <c r="J884" s="85"/>
      <c r="K884" s="85"/>
      <c r="L884" s="85"/>
      <c r="M884" s="85"/>
      <c r="N884" s="85"/>
      <c r="O884" s="189"/>
      <c r="P884" s="189"/>
      <c r="Q884" s="189"/>
      <c r="R884" s="189"/>
    </row>
    <row r="885" spans="1:18">
      <c r="A885" s="283"/>
      <c r="B885" s="283"/>
      <c r="C885" s="85"/>
      <c r="D885" s="85"/>
      <c r="E885" s="85"/>
      <c r="F885" s="85"/>
      <c r="G885" s="85"/>
      <c r="H885" s="187"/>
      <c r="I885" s="85"/>
      <c r="J885" s="85"/>
      <c r="K885" s="85"/>
      <c r="L885" s="85"/>
      <c r="M885" s="85"/>
      <c r="N885" s="85"/>
      <c r="O885" s="189"/>
      <c r="P885" s="189"/>
      <c r="Q885" s="189"/>
      <c r="R885" s="189"/>
    </row>
    <row r="886" spans="1:18">
      <c r="A886" s="283"/>
      <c r="B886" s="283"/>
      <c r="C886" s="85"/>
      <c r="D886" s="85"/>
      <c r="E886" s="85"/>
      <c r="F886" s="85"/>
      <c r="G886" s="85"/>
      <c r="H886" s="187"/>
      <c r="I886" s="85"/>
      <c r="J886" s="85"/>
      <c r="K886" s="85"/>
      <c r="L886" s="85"/>
      <c r="M886" s="85"/>
      <c r="N886" s="85"/>
      <c r="O886" s="189"/>
      <c r="P886" s="189"/>
      <c r="Q886" s="189"/>
      <c r="R886" s="189"/>
    </row>
    <row r="887" spans="1:18">
      <c r="A887" s="283"/>
      <c r="B887" s="283"/>
      <c r="C887" s="85"/>
      <c r="D887" s="85"/>
      <c r="E887" s="85"/>
      <c r="F887" s="85"/>
      <c r="G887" s="85"/>
      <c r="H887" s="187"/>
      <c r="I887" s="85"/>
      <c r="J887" s="85"/>
      <c r="K887" s="85"/>
      <c r="L887" s="85"/>
      <c r="M887" s="85"/>
      <c r="N887" s="85"/>
      <c r="O887" s="189"/>
      <c r="P887" s="189"/>
      <c r="Q887" s="189"/>
      <c r="R887" s="189"/>
    </row>
    <row r="888" spans="1:18">
      <c r="A888" s="283"/>
      <c r="B888" s="283"/>
      <c r="C888" s="85"/>
      <c r="D888" s="85"/>
      <c r="E888" s="85"/>
      <c r="F888" s="85"/>
      <c r="G888" s="85"/>
      <c r="H888" s="187"/>
      <c r="I888" s="85"/>
      <c r="J888" s="85"/>
      <c r="K888" s="85"/>
      <c r="L888" s="85"/>
      <c r="M888" s="85"/>
      <c r="N888" s="85"/>
      <c r="O888" s="189"/>
      <c r="P888" s="189"/>
      <c r="Q888" s="189"/>
      <c r="R888" s="189"/>
    </row>
    <row r="889" spans="1:18">
      <c r="A889" s="283"/>
      <c r="B889" s="283"/>
      <c r="C889" s="85"/>
      <c r="D889" s="85"/>
      <c r="E889" s="85"/>
      <c r="F889" s="85"/>
      <c r="G889" s="85"/>
      <c r="H889" s="187"/>
      <c r="I889" s="85"/>
      <c r="J889" s="85"/>
      <c r="K889" s="85"/>
      <c r="L889" s="85"/>
      <c r="M889" s="85"/>
      <c r="N889" s="85"/>
      <c r="O889" s="189"/>
      <c r="P889" s="189"/>
      <c r="Q889" s="189"/>
      <c r="R889" s="189"/>
    </row>
    <row r="890" spans="1:18">
      <c r="A890" s="283"/>
      <c r="B890" s="283"/>
      <c r="C890" s="85"/>
      <c r="D890" s="85"/>
      <c r="E890" s="85"/>
      <c r="F890" s="85"/>
      <c r="G890" s="85"/>
      <c r="H890" s="187"/>
      <c r="I890" s="85"/>
      <c r="J890" s="85"/>
      <c r="K890" s="85"/>
      <c r="L890" s="85"/>
      <c r="M890" s="85"/>
      <c r="N890" s="85"/>
      <c r="O890" s="189"/>
      <c r="P890" s="189"/>
      <c r="Q890" s="189"/>
      <c r="R890" s="189"/>
    </row>
    <row r="891" spans="1:18">
      <c r="A891" s="283"/>
      <c r="B891" s="283"/>
      <c r="C891" s="85"/>
      <c r="D891" s="85"/>
      <c r="E891" s="85"/>
      <c r="F891" s="85"/>
      <c r="G891" s="85"/>
      <c r="H891" s="187"/>
      <c r="I891" s="85"/>
      <c r="J891" s="85"/>
      <c r="K891" s="85"/>
      <c r="L891" s="85"/>
      <c r="M891" s="85"/>
      <c r="N891" s="85"/>
      <c r="O891" s="189"/>
      <c r="P891" s="189"/>
      <c r="Q891" s="189"/>
      <c r="R891" s="189"/>
    </row>
    <row r="892" spans="1:18">
      <c r="A892" s="283"/>
      <c r="B892" s="283"/>
      <c r="C892" s="85"/>
      <c r="D892" s="85"/>
      <c r="E892" s="85"/>
      <c r="F892" s="85"/>
      <c r="G892" s="85"/>
      <c r="H892" s="187"/>
      <c r="I892" s="85"/>
      <c r="J892" s="85"/>
      <c r="K892" s="85"/>
      <c r="L892" s="85"/>
      <c r="M892" s="85"/>
      <c r="N892" s="85"/>
      <c r="O892" s="189"/>
      <c r="P892" s="189"/>
      <c r="Q892" s="189"/>
      <c r="R892" s="189"/>
    </row>
    <row r="893" spans="1:18">
      <c r="A893" s="283"/>
      <c r="B893" s="283"/>
      <c r="C893" s="85"/>
      <c r="D893" s="85"/>
      <c r="E893" s="85"/>
      <c r="F893" s="85"/>
      <c r="G893" s="85"/>
      <c r="H893" s="187"/>
      <c r="I893" s="85"/>
      <c r="J893" s="85"/>
      <c r="K893" s="85"/>
      <c r="L893" s="85"/>
      <c r="M893" s="85"/>
      <c r="N893" s="85"/>
      <c r="O893" s="189"/>
      <c r="P893" s="189"/>
      <c r="Q893" s="189"/>
      <c r="R893" s="189"/>
    </row>
    <row r="894" spans="1:18">
      <c r="A894" s="283"/>
      <c r="B894" s="283"/>
      <c r="C894" s="85"/>
      <c r="D894" s="85"/>
      <c r="E894" s="85"/>
      <c r="F894" s="85"/>
      <c r="G894" s="85"/>
      <c r="H894" s="187"/>
      <c r="I894" s="85"/>
      <c r="J894" s="85"/>
      <c r="K894" s="85"/>
      <c r="L894" s="85"/>
      <c r="M894" s="85"/>
      <c r="N894" s="85"/>
      <c r="O894" s="189"/>
      <c r="P894" s="189"/>
      <c r="Q894" s="189"/>
      <c r="R894" s="189"/>
    </row>
    <row r="895" spans="1:18">
      <c r="A895" s="283"/>
      <c r="B895" s="283"/>
      <c r="C895" s="85"/>
      <c r="D895" s="85"/>
      <c r="E895" s="85"/>
      <c r="F895" s="85"/>
      <c r="G895" s="85"/>
      <c r="H895" s="187"/>
      <c r="I895" s="85"/>
      <c r="J895" s="85"/>
      <c r="K895" s="85"/>
      <c r="L895" s="85"/>
      <c r="M895" s="85"/>
      <c r="N895" s="85"/>
      <c r="O895" s="189"/>
      <c r="P895" s="189"/>
      <c r="Q895" s="189"/>
      <c r="R895" s="189"/>
    </row>
    <row r="896" spans="1:18">
      <c r="A896" s="283"/>
      <c r="B896" s="283"/>
      <c r="C896" s="85"/>
      <c r="D896" s="85"/>
      <c r="E896" s="85"/>
      <c r="F896" s="85"/>
      <c r="G896" s="85"/>
      <c r="H896" s="187"/>
      <c r="I896" s="85"/>
      <c r="J896" s="85"/>
      <c r="K896" s="85"/>
      <c r="L896" s="85"/>
      <c r="M896" s="85"/>
      <c r="N896" s="85"/>
      <c r="O896" s="189"/>
      <c r="P896" s="189"/>
      <c r="Q896" s="189"/>
      <c r="R896" s="189"/>
    </row>
    <row r="897" spans="1:18">
      <c r="A897" s="283"/>
      <c r="B897" s="283"/>
      <c r="C897" s="85"/>
      <c r="D897" s="85"/>
      <c r="E897" s="85"/>
      <c r="F897" s="85"/>
      <c r="G897" s="85"/>
      <c r="H897" s="187"/>
      <c r="I897" s="85"/>
      <c r="J897" s="85"/>
      <c r="K897" s="85"/>
      <c r="L897" s="85"/>
      <c r="M897" s="85"/>
      <c r="N897" s="85"/>
      <c r="O897" s="189"/>
      <c r="P897" s="189"/>
      <c r="Q897" s="189"/>
      <c r="R897" s="189"/>
    </row>
    <row r="898" spans="1:18">
      <c r="A898" s="283"/>
      <c r="B898" s="283"/>
      <c r="C898" s="85"/>
      <c r="D898" s="85"/>
      <c r="E898" s="85"/>
      <c r="F898" s="85"/>
      <c r="G898" s="85"/>
      <c r="H898" s="187"/>
      <c r="I898" s="85"/>
      <c r="J898" s="85"/>
      <c r="K898" s="85"/>
      <c r="L898" s="85"/>
      <c r="M898" s="85"/>
      <c r="N898" s="85"/>
      <c r="O898" s="189"/>
      <c r="P898" s="189"/>
      <c r="Q898" s="189"/>
      <c r="R898" s="189"/>
    </row>
    <row r="899" spans="1:18">
      <c r="A899" s="283"/>
      <c r="B899" s="283"/>
      <c r="C899" s="85"/>
      <c r="D899" s="85"/>
      <c r="E899" s="85"/>
      <c r="F899" s="85"/>
      <c r="G899" s="85"/>
      <c r="H899" s="187"/>
      <c r="I899" s="85"/>
      <c r="J899" s="85"/>
      <c r="K899" s="85"/>
      <c r="L899" s="85"/>
      <c r="M899" s="85"/>
      <c r="N899" s="85"/>
      <c r="O899" s="189"/>
      <c r="P899" s="189"/>
      <c r="Q899" s="189"/>
      <c r="R899" s="189"/>
    </row>
    <row r="900" spans="1:18">
      <c r="A900" s="283"/>
      <c r="B900" s="283"/>
      <c r="C900" s="85"/>
      <c r="D900" s="85"/>
      <c r="E900" s="85"/>
      <c r="F900" s="85"/>
      <c r="G900" s="85"/>
      <c r="H900" s="187"/>
      <c r="I900" s="85"/>
      <c r="J900" s="85"/>
      <c r="K900" s="85"/>
      <c r="L900" s="85"/>
      <c r="M900" s="85"/>
      <c r="N900" s="85"/>
      <c r="O900" s="189"/>
      <c r="P900" s="189"/>
      <c r="Q900" s="189"/>
      <c r="R900" s="189"/>
    </row>
    <row r="901" spans="1:18">
      <c r="A901" s="283"/>
      <c r="B901" s="283"/>
      <c r="C901" s="85"/>
      <c r="D901" s="85"/>
      <c r="E901" s="85"/>
      <c r="F901" s="85"/>
      <c r="G901" s="85"/>
      <c r="H901" s="187"/>
      <c r="I901" s="85"/>
      <c r="J901" s="85"/>
      <c r="K901" s="85"/>
      <c r="L901" s="85"/>
      <c r="M901" s="85"/>
      <c r="N901" s="85"/>
      <c r="O901" s="189"/>
      <c r="P901" s="189"/>
      <c r="Q901" s="189"/>
      <c r="R901" s="189"/>
    </row>
    <row r="902" spans="1:18">
      <c r="A902" s="283"/>
      <c r="B902" s="283"/>
      <c r="C902" s="85"/>
      <c r="D902" s="85"/>
      <c r="E902" s="85"/>
      <c r="F902" s="85"/>
      <c r="G902" s="85"/>
      <c r="H902" s="187"/>
      <c r="I902" s="85"/>
      <c r="J902" s="85"/>
      <c r="K902" s="85"/>
      <c r="L902" s="85"/>
      <c r="M902" s="85"/>
      <c r="N902" s="85"/>
      <c r="O902" s="189"/>
      <c r="P902" s="189"/>
      <c r="Q902" s="189"/>
      <c r="R902" s="189"/>
    </row>
    <row r="903" spans="1:18">
      <c r="A903" s="283"/>
      <c r="B903" s="283"/>
      <c r="C903" s="85"/>
      <c r="D903" s="85"/>
      <c r="E903" s="85"/>
      <c r="F903" s="85"/>
      <c r="G903" s="85"/>
      <c r="H903" s="187"/>
      <c r="I903" s="85"/>
      <c r="J903" s="85"/>
      <c r="K903" s="85"/>
      <c r="L903" s="85"/>
      <c r="M903" s="85"/>
      <c r="N903" s="85"/>
      <c r="O903" s="189"/>
      <c r="P903" s="189"/>
      <c r="Q903" s="189"/>
      <c r="R903" s="189"/>
    </row>
    <row r="904" spans="1:18">
      <c r="A904" s="283"/>
      <c r="B904" s="283"/>
      <c r="C904" s="85"/>
      <c r="D904" s="85"/>
      <c r="E904" s="85"/>
      <c r="F904" s="85"/>
      <c r="G904" s="85"/>
      <c r="H904" s="187"/>
      <c r="I904" s="85"/>
      <c r="J904" s="85"/>
      <c r="K904" s="85"/>
      <c r="L904" s="85"/>
      <c r="M904" s="85"/>
      <c r="N904" s="85"/>
      <c r="O904" s="189"/>
      <c r="P904" s="189"/>
      <c r="Q904" s="189"/>
      <c r="R904" s="189"/>
    </row>
    <row r="905" spans="1:18">
      <c r="A905" s="283"/>
      <c r="B905" s="283"/>
      <c r="C905" s="85"/>
      <c r="D905" s="85"/>
      <c r="E905" s="85"/>
      <c r="F905" s="85"/>
      <c r="G905" s="85"/>
      <c r="H905" s="187"/>
      <c r="I905" s="85"/>
      <c r="J905" s="85"/>
      <c r="K905" s="85"/>
      <c r="L905" s="85"/>
      <c r="M905" s="85"/>
      <c r="N905" s="85"/>
      <c r="O905" s="189"/>
      <c r="P905" s="189"/>
      <c r="Q905" s="189"/>
      <c r="R905" s="189"/>
    </row>
    <row r="906" spans="1:18">
      <c r="A906" s="283"/>
      <c r="B906" s="283"/>
      <c r="C906" s="85"/>
      <c r="D906" s="85"/>
      <c r="E906" s="85"/>
      <c r="F906" s="85"/>
      <c r="G906" s="85"/>
      <c r="H906" s="187"/>
      <c r="I906" s="85"/>
      <c r="J906" s="85"/>
      <c r="K906" s="85"/>
      <c r="L906" s="85"/>
      <c r="M906" s="85"/>
      <c r="N906" s="85"/>
      <c r="O906" s="189"/>
      <c r="P906" s="189"/>
      <c r="Q906" s="189"/>
      <c r="R906" s="189"/>
    </row>
    <row r="907" spans="1:18">
      <c r="A907" s="283"/>
      <c r="B907" s="283"/>
      <c r="C907" s="85"/>
      <c r="D907" s="85"/>
      <c r="E907" s="85"/>
      <c r="F907" s="85"/>
      <c r="G907" s="85"/>
      <c r="H907" s="187"/>
      <c r="I907" s="85"/>
      <c r="J907" s="85"/>
      <c r="K907" s="85"/>
      <c r="L907" s="85"/>
      <c r="M907" s="85"/>
      <c r="N907" s="85"/>
      <c r="O907" s="189"/>
      <c r="P907" s="189"/>
      <c r="Q907" s="189"/>
      <c r="R907" s="189"/>
    </row>
    <row r="908" spans="1:18">
      <c r="A908" s="283"/>
      <c r="B908" s="283"/>
      <c r="C908" s="85"/>
      <c r="D908" s="85"/>
      <c r="E908" s="85"/>
      <c r="F908" s="85"/>
      <c r="G908" s="85"/>
      <c r="H908" s="187"/>
      <c r="I908" s="85"/>
      <c r="J908" s="85"/>
      <c r="K908" s="85"/>
      <c r="L908" s="85"/>
      <c r="M908" s="85"/>
      <c r="N908" s="85"/>
      <c r="O908" s="189"/>
      <c r="P908" s="189"/>
      <c r="Q908" s="189"/>
      <c r="R908" s="189"/>
    </row>
    <row r="909" spans="1:18">
      <c r="A909" s="283"/>
      <c r="B909" s="283"/>
      <c r="C909" s="85"/>
      <c r="D909" s="85"/>
      <c r="E909" s="85"/>
      <c r="F909" s="85"/>
      <c r="G909" s="85"/>
      <c r="H909" s="187"/>
      <c r="I909" s="85"/>
      <c r="J909" s="85"/>
      <c r="K909" s="85"/>
      <c r="L909" s="85"/>
      <c r="M909" s="85"/>
      <c r="N909" s="85"/>
      <c r="O909" s="189"/>
      <c r="P909" s="189"/>
      <c r="Q909" s="189"/>
      <c r="R909" s="189"/>
    </row>
    <row r="910" spans="1:18">
      <c r="A910" s="283"/>
      <c r="B910" s="283"/>
      <c r="C910" s="85"/>
      <c r="D910" s="85"/>
      <c r="E910" s="85"/>
      <c r="F910" s="85"/>
      <c r="G910" s="85"/>
      <c r="H910" s="187"/>
      <c r="I910" s="85"/>
      <c r="J910" s="85"/>
      <c r="K910" s="85"/>
      <c r="L910" s="85"/>
      <c r="M910" s="85"/>
      <c r="N910" s="85"/>
      <c r="O910" s="189"/>
      <c r="P910" s="189"/>
      <c r="Q910" s="189"/>
      <c r="R910" s="189"/>
    </row>
    <row r="911" spans="1:18">
      <c r="A911" s="283"/>
      <c r="B911" s="283"/>
      <c r="C911" s="85"/>
      <c r="D911" s="85"/>
      <c r="E911" s="85"/>
      <c r="F911" s="85"/>
      <c r="G911" s="85"/>
      <c r="H911" s="187"/>
      <c r="I911" s="85"/>
      <c r="J911" s="85"/>
      <c r="K911" s="85"/>
      <c r="L911" s="85"/>
      <c r="M911" s="85"/>
      <c r="N911" s="85"/>
      <c r="O911" s="189"/>
      <c r="P911" s="189"/>
      <c r="Q911" s="189"/>
      <c r="R911" s="189"/>
    </row>
    <row r="912" spans="1:18">
      <c r="A912" s="283"/>
      <c r="B912" s="283"/>
      <c r="C912" s="85"/>
      <c r="D912" s="85"/>
      <c r="E912" s="85"/>
      <c r="F912" s="85"/>
      <c r="G912" s="85"/>
      <c r="H912" s="187"/>
      <c r="I912" s="85"/>
      <c r="J912" s="85"/>
      <c r="K912" s="85"/>
      <c r="L912" s="85"/>
      <c r="M912" s="85"/>
      <c r="N912" s="85"/>
      <c r="O912" s="189"/>
      <c r="P912" s="189"/>
      <c r="Q912" s="189"/>
      <c r="R912" s="189"/>
    </row>
    <row r="913" spans="1:18">
      <c r="A913" s="283"/>
      <c r="B913" s="283"/>
      <c r="C913" s="85"/>
      <c r="D913" s="85"/>
      <c r="E913" s="85"/>
      <c r="F913" s="85"/>
      <c r="G913" s="85"/>
      <c r="H913" s="187"/>
      <c r="I913" s="85"/>
      <c r="J913" s="85"/>
      <c r="K913" s="85"/>
      <c r="L913" s="85"/>
      <c r="M913" s="85"/>
      <c r="N913" s="85"/>
      <c r="O913" s="189"/>
      <c r="P913" s="189"/>
      <c r="Q913" s="189"/>
      <c r="R913" s="189"/>
    </row>
    <row r="914" spans="1:18">
      <c r="A914" s="283"/>
      <c r="B914" s="283"/>
      <c r="C914" s="85"/>
      <c r="D914" s="85"/>
      <c r="E914" s="85"/>
      <c r="F914" s="85"/>
      <c r="G914" s="85"/>
      <c r="H914" s="187"/>
      <c r="I914" s="85"/>
      <c r="J914" s="85"/>
      <c r="K914" s="85"/>
      <c r="L914" s="85"/>
      <c r="M914" s="85"/>
      <c r="N914" s="85"/>
      <c r="O914" s="189"/>
      <c r="P914" s="189"/>
      <c r="Q914" s="189"/>
      <c r="R914" s="189"/>
    </row>
    <row r="915" spans="1:18">
      <c r="A915" s="283"/>
      <c r="B915" s="283"/>
      <c r="C915" s="85"/>
      <c r="D915" s="85"/>
      <c r="E915" s="85"/>
      <c r="F915" s="85"/>
      <c r="G915" s="85"/>
      <c r="H915" s="187"/>
      <c r="I915" s="85"/>
      <c r="J915" s="85"/>
      <c r="K915" s="85"/>
      <c r="L915" s="85"/>
      <c r="M915" s="85"/>
      <c r="N915" s="85"/>
      <c r="O915" s="189"/>
      <c r="P915" s="189"/>
      <c r="Q915" s="189"/>
      <c r="R915" s="189"/>
    </row>
    <row r="916" spans="1:18">
      <c r="A916" s="283"/>
      <c r="B916" s="283"/>
      <c r="C916" s="85"/>
      <c r="D916" s="85"/>
      <c r="E916" s="85"/>
      <c r="F916" s="85"/>
      <c r="G916" s="85"/>
      <c r="H916" s="187"/>
      <c r="I916" s="85"/>
      <c r="J916" s="85"/>
      <c r="K916" s="85"/>
      <c r="L916" s="85"/>
      <c r="M916" s="85"/>
      <c r="N916" s="85"/>
      <c r="O916" s="189"/>
      <c r="P916" s="189"/>
      <c r="Q916" s="189"/>
      <c r="R916" s="189"/>
    </row>
    <row r="917" spans="1:18">
      <c r="A917" s="283"/>
      <c r="B917" s="283"/>
      <c r="C917" s="85"/>
      <c r="D917" s="85"/>
      <c r="E917" s="85"/>
      <c r="F917" s="85"/>
      <c r="G917" s="85"/>
      <c r="H917" s="187"/>
      <c r="I917" s="85"/>
      <c r="J917" s="85"/>
      <c r="K917" s="85"/>
      <c r="L917" s="85"/>
      <c r="M917" s="85"/>
      <c r="N917" s="85"/>
      <c r="O917" s="189"/>
      <c r="P917" s="189"/>
      <c r="Q917" s="189"/>
      <c r="R917" s="189"/>
    </row>
    <row r="918" spans="1:18">
      <c r="A918" s="283"/>
      <c r="B918" s="283"/>
      <c r="C918" s="85"/>
      <c r="D918" s="85"/>
      <c r="E918" s="85"/>
      <c r="F918" s="85"/>
      <c r="G918" s="85"/>
      <c r="H918" s="187"/>
      <c r="I918" s="85"/>
      <c r="J918" s="85"/>
      <c r="K918" s="85"/>
      <c r="L918" s="85"/>
      <c r="M918" s="85"/>
      <c r="N918" s="85"/>
      <c r="O918" s="189"/>
      <c r="P918" s="189"/>
      <c r="Q918" s="189"/>
      <c r="R918" s="189"/>
    </row>
    <row r="919" spans="1:18">
      <c r="A919" s="283"/>
      <c r="B919" s="283"/>
      <c r="C919" s="85"/>
      <c r="D919" s="85"/>
      <c r="E919" s="85"/>
      <c r="F919" s="85"/>
      <c r="G919" s="85"/>
      <c r="H919" s="187"/>
      <c r="I919" s="85"/>
      <c r="J919" s="85"/>
      <c r="K919" s="85"/>
      <c r="L919" s="85"/>
      <c r="M919" s="85"/>
      <c r="N919" s="85"/>
      <c r="O919" s="189"/>
      <c r="P919" s="189"/>
      <c r="Q919" s="189"/>
      <c r="R919" s="189"/>
    </row>
    <row r="920" spans="1:18">
      <c r="A920" s="283"/>
      <c r="B920" s="283"/>
      <c r="C920" s="85"/>
      <c r="D920" s="85"/>
      <c r="E920" s="85"/>
      <c r="F920" s="85"/>
      <c r="G920" s="85"/>
      <c r="H920" s="187"/>
      <c r="I920" s="85"/>
      <c r="J920" s="85"/>
      <c r="K920" s="85"/>
      <c r="L920" s="85"/>
      <c r="M920" s="85"/>
      <c r="N920" s="85"/>
      <c r="O920" s="189"/>
      <c r="P920" s="189"/>
      <c r="Q920" s="189"/>
      <c r="R920" s="189"/>
    </row>
    <row r="921" spans="1:18">
      <c r="A921" s="283"/>
      <c r="B921" s="283"/>
      <c r="C921" s="85"/>
      <c r="D921" s="85"/>
      <c r="E921" s="85"/>
      <c r="F921" s="85"/>
      <c r="G921" s="85"/>
      <c r="H921" s="187"/>
      <c r="I921" s="85"/>
      <c r="J921" s="85"/>
      <c r="K921" s="85"/>
      <c r="L921" s="85"/>
      <c r="M921" s="85"/>
      <c r="N921" s="85"/>
      <c r="O921" s="189"/>
      <c r="P921" s="189"/>
      <c r="Q921" s="189"/>
      <c r="R921" s="189"/>
    </row>
    <row r="922" spans="1:18">
      <c r="A922" s="283"/>
      <c r="B922" s="283"/>
      <c r="C922" s="85"/>
      <c r="D922" s="85"/>
      <c r="E922" s="85"/>
      <c r="F922" s="85"/>
      <c r="G922" s="85"/>
      <c r="H922" s="187"/>
      <c r="I922" s="85"/>
      <c r="J922" s="85"/>
      <c r="K922" s="85"/>
      <c r="L922" s="85"/>
      <c r="M922" s="85"/>
      <c r="N922" s="85"/>
      <c r="O922" s="189"/>
      <c r="P922" s="189"/>
      <c r="Q922" s="189"/>
      <c r="R922" s="189"/>
    </row>
    <row r="923" spans="1:18">
      <c r="A923" s="283"/>
      <c r="B923" s="283"/>
      <c r="C923" s="85"/>
      <c r="D923" s="85"/>
      <c r="E923" s="85"/>
      <c r="F923" s="85"/>
      <c r="G923" s="85"/>
      <c r="H923" s="187"/>
      <c r="I923" s="85"/>
      <c r="J923" s="85"/>
      <c r="K923" s="85"/>
      <c r="L923" s="85"/>
      <c r="M923" s="85"/>
      <c r="N923" s="85"/>
      <c r="O923" s="189"/>
      <c r="P923" s="189"/>
      <c r="Q923" s="189"/>
      <c r="R923" s="189"/>
    </row>
    <row r="924" spans="1:18">
      <c r="A924" s="283"/>
      <c r="B924" s="283"/>
      <c r="C924" s="85"/>
      <c r="D924" s="85"/>
      <c r="E924" s="85"/>
      <c r="F924" s="85"/>
      <c r="G924" s="85"/>
      <c r="H924" s="187"/>
      <c r="I924" s="85"/>
      <c r="J924" s="85"/>
      <c r="K924" s="85"/>
      <c r="L924" s="85"/>
      <c r="M924" s="85"/>
      <c r="N924" s="85"/>
      <c r="O924" s="189"/>
      <c r="P924" s="189"/>
      <c r="Q924" s="189"/>
      <c r="R924" s="189"/>
    </row>
    <row r="925" spans="1:18">
      <c r="A925" s="283"/>
      <c r="B925" s="283"/>
      <c r="C925" s="85"/>
      <c r="D925" s="85"/>
      <c r="E925" s="85"/>
      <c r="F925" s="85"/>
      <c r="G925" s="85"/>
      <c r="H925" s="187"/>
      <c r="I925" s="85"/>
      <c r="J925" s="85"/>
      <c r="K925" s="85"/>
      <c r="L925" s="85"/>
      <c r="M925" s="85"/>
      <c r="N925" s="85"/>
      <c r="O925" s="189"/>
      <c r="P925" s="189"/>
      <c r="Q925" s="189"/>
      <c r="R925" s="189"/>
    </row>
    <row r="926" spans="1:18">
      <c r="A926" s="283"/>
      <c r="B926" s="283"/>
      <c r="C926" s="85"/>
      <c r="D926" s="85"/>
      <c r="E926" s="85"/>
      <c r="F926" s="85"/>
      <c r="G926" s="85"/>
      <c r="H926" s="187"/>
      <c r="I926" s="85"/>
      <c r="J926" s="85"/>
      <c r="K926" s="85"/>
      <c r="L926" s="85"/>
      <c r="M926" s="85"/>
      <c r="N926" s="85"/>
      <c r="O926" s="189"/>
      <c r="P926" s="189"/>
      <c r="Q926" s="189"/>
      <c r="R926" s="189"/>
    </row>
    <row r="927" spans="1:18">
      <c r="A927" s="283"/>
      <c r="B927" s="283"/>
      <c r="C927" s="85"/>
      <c r="D927" s="85"/>
      <c r="E927" s="85"/>
      <c r="F927" s="85"/>
      <c r="G927" s="85"/>
      <c r="H927" s="187"/>
      <c r="I927" s="85"/>
      <c r="J927" s="85"/>
      <c r="K927" s="85"/>
      <c r="L927" s="85"/>
      <c r="M927" s="85"/>
      <c r="N927" s="85"/>
      <c r="O927" s="189"/>
      <c r="P927" s="189"/>
      <c r="Q927" s="189"/>
      <c r="R927" s="189"/>
    </row>
    <row r="928" spans="1:18">
      <c r="A928" s="283"/>
      <c r="B928" s="283"/>
      <c r="C928" s="85"/>
      <c r="D928" s="85"/>
      <c r="E928" s="85"/>
      <c r="F928" s="85"/>
      <c r="G928" s="85"/>
      <c r="H928" s="187"/>
      <c r="I928" s="85"/>
      <c r="J928" s="85"/>
      <c r="K928" s="85"/>
      <c r="L928" s="85"/>
      <c r="M928" s="85"/>
      <c r="N928" s="85"/>
      <c r="O928" s="189"/>
      <c r="P928" s="189"/>
      <c r="Q928" s="189"/>
      <c r="R928" s="189"/>
    </row>
    <row r="929" spans="1:18">
      <c r="A929" s="283"/>
      <c r="B929" s="283"/>
      <c r="C929" s="85"/>
      <c r="D929" s="85"/>
      <c r="E929" s="85"/>
      <c r="F929" s="85"/>
      <c r="G929" s="85"/>
      <c r="H929" s="187"/>
      <c r="I929" s="85"/>
      <c r="J929" s="85"/>
      <c r="K929" s="85"/>
      <c r="L929" s="85"/>
      <c r="M929" s="85"/>
      <c r="N929" s="85"/>
      <c r="O929" s="189"/>
      <c r="P929" s="189"/>
      <c r="Q929" s="189"/>
      <c r="R929" s="189"/>
    </row>
    <row r="930" spans="1:18">
      <c r="A930" s="283"/>
      <c r="B930" s="283"/>
      <c r="C930" s="85"/>
      <c r="D930" s="85"/>
      <c r="E930" s="85"/>
      <c r="F930" s="85"/>
      <c r="G930" s="85"/>
      <c r="H930" s="187"/>
      <c r="I930" s="85"/>
      <c r="J930" s="85"/>
      <c r="K930" s="85"/>
      <c r="L930" s="85"/>
      <c r="M930" s="85"/>
      <c r="N930" s="85"/>
      <c r="O930" s="189"/>
      <c r="P930" s="189"/>
      <c r="Q930" s="189"/>
      <c r="R930" s="189"/>
    </row>
    <row r="931" spans="1:18">
      <c r="A931" s="283"/>
      <c r="B931" s="283"/>
      <c r="C931" s="85"/>
      <c r="D931" s="85"/>
      <c r="E931" s="85"/>
      <c r="F931" s="85"/>
      <c r="G931" s="85"/>
      <c r="H931" s="187"/>
      <c r="I931" s="85"/>
      <c r="J931" s="85"/>
      <c r="K931" s="85"/>
      <c r="L931" s="85"/>
      <c r="M931" s="85"/>
      <c r="N931" s="85"/>
      <c r="O931" s="189"/>
      <c r="P931" s="189"/>
      <c r="Q931" s="189"/>
      <c r="R931" s="189"/>
    </row>
    <row r="932" spans="1:18">
      <c r="A932" s="283"/>
      <c r="B932" s="283"/>
      <c r="C932" s="85"/>
      <c r="D932" s="85"/>
      <c r="E932" s="85"/>
      <c r="F932" s="85"/>
      <c r="G932" s="85"/>
      <c r="H932" s="187"/>
      <c r="I932" s="85"/>
      <c r="J932" s="85"/>
      <c r="K932" s="85"/>
      <c r="L932" s="85"/>
      <c r="M932" s="85"/>
      <c r="N932" s="85"/>
      <c r="O932" s="189"/>
      <c r="P932" s="189"/>
      <c r="Q932" s="189"/>
      <c r="R932" s="189"/>
    </row>
    <row r="933" spans="1:18">
      <c r="A933" s="283"/>
      <c r="B933" s="283"/>
      <c r="C933" s="85"/>
      <c r="D933" s="85"/>
      <c r="E933" s="85"/>
      <c r="F933" s="85"/>
      <c r="G933" s="85"/>
      <c r="H933" s="187"/>
      <c r="I933" s="85"/>
      <c r="J933" s="85"/>
      <c r="K933" s="85"/>
      <c r="L933" s="85"/>
      <c r="M933" s="85"/>
      <c r="N933" s="85"/>
      <c r="O933" s="189"/>
      <c r="P933" s="189"/>
      <c r="Q933" s="189"/>
      <c r="R933" s="189"/>
    </row>
    <row r="934" spans="1:18">
      <c r="A934" s="283"/>
      <c r="B934" s="283"/>
      <c r="C934" s="85"/>
      <c r="D934" s="85"/>
      <c r="E934" s="85"/>
      <c r="F934" s="85"/>
      <c r="G934" s="85"/>
      <c r="H934" s="187"/>
      <c r="I934" s="85"/>
      <c r="J934" s="85"/>
      <c r="K934" s="85"/>
      <c r="L934" s="85"/>
      <c r="M934" s="85"/>
      <c r="N934" s="85"/>
      <c r="O934" s="189"/>
      <c r="P934" s="189"/>
      <c r="Q934" s="189"/>
      <c r="R934" s="189"/>
    </row>
    <row r="935" spans="1:18">
      <c r="A935" s="283"/>
      <c r="B935" s="283"/>
      <c r="C935" s="85"/>
      <c r="D935" s="85"/>
      <c r="E935" s="85"/>
      <c r="F935" s="85"/>
      <c r="G935" s="85"/>
      <c r="H935" s="187"/>
      <c r="I935" s="85"/>
      <c r="J935" s="85"/>
      <c r="K935" s="85"/>
      <c r="L935" s="85"/>
      <c r="M935" s="85"/>
      <c r="N935" s="85"/>
      <c r="O935" s="189"/>
      <c r="P935" s="189"/>
      <c r="Q935" s="189"/>
      <c r="R935" s="189"/>
    </row>
    <row r="936" spans="1:18">
      <c r="A936" s="283"/>
      <c r="B936" s="283"/>
      <c r="C936" s="85"/>
      <c r="D936" s="85"/>
      <c r="E936" s="85"/>
      <c r="F936" s="85"/>
      <c r="G936" s="85"/>
      <c r="H936" s="187"/>
      <c r="I936" s="85"/>
      <c r="J936" s="85"/>
      <c r="K936" s="85"/>
      <c r="L936" s="85"/>
      <c r="M936" s="85"/>
      <c r="N936" s="85"/>
      <c r="O936" s="189"/>
      <c r="P936" s="189"/>
      <c r="Q936" s="189"/>
      <c r="R936" s="189"/>
    </row>
    <row r="937" spans="1:18">
      <c r="A937" s="283"/>
      <c r="B937" s="283"/>
      <c r="C937" s="85"/>
      <c r="D937" s="85"/>
      <c r="E937" s="85"/>
      <c r="F937" s="85"/>
      <c r="G937" s="85"/>
      <c r="H937" s="187"/>
      <c r="I937" s="85"/>
      <c r="J937" s="85"/>
      <c r="K937" s="85"/>
      <c r="L937" s="85"/>
      <c r="M937" s="85"/>
      <c r="N937" s="85"/>
      <c r="O937" s="189"/>
      <c r="P937" s="189"/>
      <c r="Q937" s="189"/>
      <c r="R937" s="189"/>
    </row>
    <row r="938" spans="1:18">
      <c r="A938" s="283"/>
      <c r="B938" s="283"/>
      <c r="C938" s="85"/>
      <c r="D938" s="85"/>
      <c r="E938" s="85"/>
      <c r="F938" s="85"/>
      <c r="G938" s="85"/>
      <c r="H938" s="187"/>
      <c r="I938" s="85"/>
      <c r="J938" s="85"/>
      <c r="K938" s="85"/>
      <c r="L938" s="85"/>
      <c r="M938" s="85"/>
      <c r="N938" s="85"/>
      <c r="O938" s="189"/>
      <c r="P938" s="189"/>
      <c r="Q938" s="189"/>
      <c r="R938" s="189"/>
    </row>
    <row r="939" spans="1:18">
      <c r="A939" s="283"/>
      <c r="B939" s="283"/>
      <c r="C939" s="85"/>
      <c r="D939" s="85"/>
      <c r="E939" s="85"/>
      <c r="F939" s="85"/>
      <c r="G939" s="85"/>
      <c r="H939" s="187"/>
      <c r="I939" s="85"/>
      <c r="J939" s="85"/>
      <c r="K939" s="85"/>
      <c r="L939" s="85"/>
      <c r="M939" s="85"/>
      <c r="N939" s="85"/>
      <c r="O939" s="189"/>
      <c r="P939" s="189"/>
      <c r="Q939" s="189"/>
      <c r="R939" s="189"/>
    </row>
    <row r="940" spans="1:18">
      <c r="A940" s="283"/>
      <c r="B940" s="283"/>
      <c r="C940" s="85"/>
      <c r="D940" s="85"/>
      <c r="E940" s="85"/>
      <c r="F940" s="85"/>
      <c r="G940" s="85"/>
      <c r="H940" s="187"/>
      <c r="I940" s="85"/>
      <c r="J940" s="85"/>
      <c r="K940" s="85"/>
      <c r="L940" s="85"/>
      <c r="M940" s="85"/>
      <c r="N940" s="85"/>
      <c r="O940" s="189"/>
      <c r="P940" s="189"/>
      <c r="Q940" s="189"/>
      <c r="R940" s="189"/>
    </row>
    <row r="941" spans="1:18">
      <c r="A941" s="283"/>
      <c r="B941" s="283"/>
      <c r="C941" s="85"/>
      <c r="D941" s="85"/>
      <c r="E941" s="85"/>
      <c r="F941" s="85"/>
      <c r="G941" s="85"/>
      <c r="H941" s="187"/>
      <c r="I941" s="85"/>
      <c r="J941" s="85"/>
      <c r="K941" s="85"/>
      <c r="L941" s="85"/>
      <c r="M941" s="85"/>
      <c r="N941" s="85"/>
      <c r="O941" s="189"/>
      <c r="P941" s="189"/>
      <c r="Q941" s="189"/>
      <c r="R941" s="189"/>
    </row>
    <row r="942" spans="1:18">
      <c r="A942" s="283"/>
      <c r="B942" s="283"/>
      <c r="C942" s="85"/>
      <c r="D942" s="85"/>
      <c r="E942" s="85"/>
      <c r="F942" s="85"/>
      <c r="G942" s="85"/>
      <c r="H942" s="187"/>
      <c r="I942" s="85"/>
      <c r="J942" s="85"/>
      <c r="K942" s="85"/>
      <c r="L942" s="85"/>
      <c r="M942" s="85"/>
      <c r="N942" s="85"/>
      <c r="O942" s="189"/>
      <c r="P942" s="189"/>
      <c r="Q942" s="189"/>
      <c r="R942" s="189"/>
    </row>
    <row r="943" spans="1:18">
      <c r="A943" s="283"/>
      <c r="B943" s="283"/>
      <c r="C943" s="85"/>
      <c r="D943" s="85"/>
      <c r="E943" s="85"/>
      <c r="F943" s="85"/>
      <c r="G943" s="85"/>
      <c r="H943" s="187"/>
      <c r="I943" s="85"/>
      <c r="J943" s="85"/>
      <c r="K943" s="85"/>
      <c r="L943" s="85"/>
      <c r="M943" s="85"/>
      <c r="N943" s="85"/>
      <c r="O943" s="189"/>
      <c r="P943" s="189"/>
      <c r="Q943" s="189"/>
      <c r="R943" s="189"/>
    </row>
    <row r="944" spans="1:18">
      <c r="A944" s="283"/>
      <c r="B944" s="283"/>
      <c r="C944" s="85"/>
      <c r="D944" s="85"/>
      <c r="E944" s="85"/>
      <c r="F944" s="85"/>
      <c r="G944" s="85"/>
      <c r="H944" s="187"/>
      <c r="I944" s="85"/>
      <c r="J944" s="85"/>
      <c r="K944" s="85"/>
      <c r="L944" s="85"/>
      <c r="M944" s="85"/>
      <c r="N944" s="85"/>
      <c r="O944" s="189"/>
      <c r="P944" s="189"/>
      <c r="Q944" s="189"/>
      <c r="R944" s="189"/>
    </row>
    <row r="945" spans="1:18">
      <c r="A945" s="283"/>
      <c r="B945" s="283"/>
      <c r="C945" s="85"/>
      <c r="D945" s="85"/>
      <c r="E945" s="85"/>
      <c r="F945" s="85"/>
      <c r="G945" s="85"/>
      <c r="H945" s="187"/>
      <c r="I945" s="85"/>
      <c r="J945" s="85"/>
      <c r="K945" s="85"/>
      <c r="L945" s="85"/>
      <c r="M945" s="85"/>
      <c r="N945" s="85"/>
      <c r="O945" s="189"/>
      <c r="P945" s="189"/>
      <c r="Q945" s="189"/>
      <c r="R945" s="189"/>
    </row>
    <row r="946" spans="1:18">
      <c r="A946" s="283"/>
      <c r="B946" s="283"/>
      <c r="C946" s="85"/>
      <c r="D946" s="85"/>
      <c r="E946" s="85"/>
      <c r="F946" s="85"/>
      <c r="G946" s="85"/>
      <c r="H946" s="187"/>
      <c r="I946" s="85"/>
      <c r="J946" s="85"/>
      <c r="K946" s="85"/>
      <c r="L946" s="85"/>
      <c r="M946" s="85"/>
      <c r="N946" s="85"/>
      <c r="O946" s="189"/>
      <c r="P946" s="189"/>
      <c r="Q946" s="189"/>
      <c r="R946" s="189"/>
    </row>
    <row r="947" spans="1:18">
      <c r="A947" s="283"/>
      <c r="B947" s="283"/>
      <c r="C947" s="85"/>
      <c r="D947" s="85"/>
      <c r="E947" s="85"/>
      <c r="F947" s="85"/>
      <c r="G947" s="85"/>
      <c r="H947" s="187"/>
      <c r="I947" s="85"/>
      <c r="J947" s="85"/>
      <c r="K947" s="85"/>
      <c r="L947" s="85"/>
      <c r="M947" s="85"/>
      <c r="N947" s="85"/>
      <c r="O947" s="189"/>
      <c r="P947" s="189"/>
      <c r="Q947" s="189"/>
      <c r="R947" s="189"/>
    </row>
    <row r="948" spans="1:18">
      <c r="A948" s="283"/>
      <c r="B948" s="283"/>
      <c r="C948" s="85"/>
      <c r="D948" s="85"/>
      <c r="E948" s="85"/>
      <c r="F948" s="85"/>
      <c r="G948" s="85"/>
      <c r="H948" s="187"/>
      <c r="I948" s="85"/>
      <c r="J948" s="85"/>
      <c r="K948" s="85"/>
      <c r="L948" s="85"/>
      <c r="M948" s="85"/>
      <c r="N948" s="85"/>
      <c r="O948" s="189"/>
      <c r="P948" s="189"/>
      <c r="Q948" s="189"/>
      <c r="R948" s="189"/>
    </row>
    <row r="949" spans="1:18">
      <c r="A949" s="283"/>
      <c r="B949" s="283"/>
      <c r="C949" s="85"/>
      <c r="D949" s="85"/>
      <c r="E949" s="85"/>
      <c r="F949" s="85"/>
      <c r="G949" s="85"/>
      <c r="H949" s="187"/>
      <c r="I949" s="85"/>
      <c r="J949" s="85"/>
      <c r="K949" s="85"/>
      <c r="L949" s="85"/>
      <c r="M949" s="85"/>
      <c r="N949" s="85"/>
      <c r="O949" s="189"/>
      <c r="P949" s="189"/>
      <c r="Q949" s="189"/>
      <c r="R949" s="189"/>
    </row>
    <row r="950" spans="1:18">
      <c r="A950" s="283"/>
      <c r="B950" s="283"/>
      <c r="C950" s="85"/>
      <c r="D950" s="85"/>
      <c r="E950" s="85"/>
      <c r="F950" s="85"/>
      <c r="G950" s="85"/>
      <c r="H950" s="187"/>
      <c r="I950" s="85"/>
      <c r="J950" s="85"/>
      <c r="K950" s="85"/>
      <c r="L950" s="85"/>
      <c r="M950" s="85"/>
      <c r="N950" s="85"/>
      <c r="O950" s="189"/>
      <c r="P950" s="189"/>
      <c r="Q950" s="189"/>
      <c r="R950" s="189"/>
    </row>
    <row r="951" spans="1:18">
      <c r="A951" s="283"/>
      <c r="B951" s="283"/>
      <c r="C951" s="85"/>
      <c r="D951" s="85"/>
      <c r="E951" s="85"/>
      <c r="F951" s="85"/>
      <c r="G951" s="85"/>
      <c r="H951" s="187"/>
      <c r="I951" s="85"/>
      <c r="J951" s="85"/>
      <c r="K951" s="85"/>
      <c r="L951" s="85"/>
      <c r="M951" s="85"/>
      <c r="N951" s="85"/>
      <c r="O951" s="189"/>
      <c r="P951" s="189"/>
      <c r="Q951" s="189"/>
      <c r="R951" s="189"/>
    </row>
    <row r="952" spans="1:18">
      <c r="A952" s="283"/>
      <c r="B952" s="283"/>
      <c r="C952" s="85"/>
      <c r="D952" s="85"/>
      <c r="E952" s="85"/>
      <c r="F952" s="85"/>
      <c r="G952" s="85"/>
      <c r="H952" s="187"/>
      <c r="I952" s="85"/>
      <c r="J952" s="85"/>
      <c r="K952" s="85"/>
      <c r="L952" s="85"/>
      <c r="M952" s="85"/>
      <c r="N952" s="85"/>
      <c r="O952" s="189"/>
      <c r="P952" s="189"/>
      <c r="Q952" s="189"/>
      <c r="R952" s="189"/>
    </row>
    <row r="953" spans="1:18">
      <c r="A953" s="283"/>
      <c r="B953" s="283"/>
      <c r="C953" s="85"/>
      <c r="D953" s="85"/>
      <c r="E953" s="85"/>
      <c r="F953" s="85"/>
      <c r="G953" s="85"/>
      <c r="H953" s="187"/>
      <c r="I953" s="85"/>
      <c r="J953" s="85"/>
      <c r="K953" s="85"/>
      <c r="L953" s="85"/>
      <c r="M953" s="85"/>
      <c r="N953" s="85"/>
      <c r="O953" s="189"/>
      <c r="P953" s="189"/>
      <c r="Q953" s="189"/>
      <c r="R953" s="189"/>
    </row>
    <row r="954" spans="1:18">
      <c r="A954" s="283"/>
      <c r="B954" s="283"/>
      <c r="C954" s="85"/>
      <c r="D954" s="85"/>
      <c r="E954" s="85"/>
      <c r="F954" s="85"/>
      <c r="G954" s="85"/>
      <c r="H954" s="187"/>
      <c r="I954" s="85"/>
      <c r="J954" s="85"/>
      <c r="K954" s="85"/>
      <c r="L954" s="85"/>
      <c r="M954" s="85"/>
      <c r="N954" s="85"/>
      <c r="O954" s="189"/>
      <c r="P954" s="189"/>
      <c r="Q954" s="189"/>
      <c r="R954" s="189"/>
    </row>
    <row r="955" spans="1:18">
      <c r="A955" s="283"/>
      <c r="B955" s="283"/>
      <c r="C955" s="85"/>
      <c r="D955" s="85"/>
      <c r="E955" s="85"/>
      <c r="F955" s="85"/>
      <c r="G955" s="85"/>
      <c r="H955" s="187"/>
      <c r="I955" s="85"/>
      <c r="J955" s="85"/>
      <c r="K955" s="85"/>
      <c r="L955" s="85"/>
      <c r="M955" s="85"/>
      <c r="N955" s="85"/>
      <c r="O955" s="189"/>
      <c r="P955" s="189"/>
      <c r="Q955" s="189"/>
      <c r="R955" s="189"/>
    </row>
    <row r="956" spans="1:18">
      <c r="A956" s="283"/>
      <c r="B956" s="283"/>
      <c r="C956" s="85"/>
      <c r="D956" s="85"/>
      <c r="E956" s="85"/>
      <c r="F956" s="85"/>
      <c r="G956" s="85"/>
      <c r="H956" s="187"/>
      <c r="I956" s="85"/>
      <c r="J956" s="85"/>
      <c r="K956" s="85"/>
      <c r="L956" s="85"/>
      <c r="M956" s="85"/>
      <c r="N956" s="85"/>
      <c r="O956" s="189"/>
      <c r="P956" s="189"/>
      <c r="Q956" s="189"/>
      <c r="R956" s="189"/>
    </row>
    <row r="957" spans="1:18">
      <c r="A957" s="283"/>
      <c r="B957" s="283"/>
      <c r="C957" s="85"/>
      <c r="D957" s="85"/>
      <c r="E957" s="85"/>
      <c r="F957" s="85"/>
      <c r="G957" s="85"/>
      <c r="H957" s="187"/>
      <c r="I957" s="85"/>
      <c r="J957" s="85"/>
      <c r="K957" s="85"/>
      <c r="L957" s="85"/>
      <c r="M957" s="85"/>
      <c r="N957" s="85"/>
      <c r="O957" s="189"/>
      <c r="P957" s="189"/>
      <c r="Q957" s="189"/>
      <c r="R957" s="189"/>
    </row>
    <row r="958" spans="1:18">
      <c r="A958" s="283"/>
      <c r="B958" s="283"/>
      <c r="C958" s="85"/>
      <c r="D958" s="85"/>
      <c r="E958" s="85"/>
      <c r="F958" s="85"/>
      <c r="G958" s="85"/>
      <c r="H958" s="187"/>
      <c r="I958" s="85"/>
      <c r="J958" s="85"/>
      <c r="K958" s="85"/>
      <c r="L958" s="85"/>
      <c r="M958" s="85"/>
      <c r="N958" s="85"/>
      <c r="O958" s="189"/>
      <c r="P958" s="189"/>
      <c r="Q958" s="189"/>
      <c r="R958" s="189"/>
    </row>
    <row r="959" spans="1:18">
      <c r="A959" s="283"/>
      <c r="B959" s="283"/>
      <c r="C959" s="85"/>
      <c r="D959" s="85"/>
      <c r="E959" s="85"/>
      <c r="F959" s="85"/>
      <c r="G959" s="85"/>
      <c r="H959" s="187"/>
      <c r="I959" s="85"/>
      <c r="J959" s="85"/>
      <c r="K959" s="85"/>
      <c r="L959" s="85"/>
      <c r="M959" s="85"/>
      <c r="N959" s="85"/>
      <c r="O959" s="189"/>
      <c r="P959" s="189"/>
      <c r="Q959" s="189"/>
      <c r="R959" s="189"/>
    </row>
    <row r="960" spans="1:18">
      <c r="A960" s="283"/>
      <c r="B960" s="283"/>
      <c r="C960" s="85"/>
      <c r="D960" s="85"/>
      <c r="E960" s="85"/>
      <c r="F960" s="85"/>
      <c r="G960" s="85"/>
      <c r="H960" s="187"/>
      <c r="I960" s="85"/>
      <c r="J960" s="85"/>
      <c r="K960" s="85"/>
      <c r="L960" s="85"/>
      <c r="M960" s="85"/>
      <c r="N960" s="85"/>
      <c r="O960" s="189"/>
      <c r="P960" s="189"/>
      <c r="Q960" s="189"/>
      <c r="R960" s="189"/>
    </row>
    <row r="961" spans="1:18">
      <c r="A961" s="283"/>
      <c r="B961" s="283"/>
      <c r="C961" s="85"/>
      <c r="D961" s="85"/>
      <c r="E961" s="85"/>
      <c r="F961" s="85"/>
      <c r="G961" s="85"/>
      <c r="H961" s="187"/>
      <c r="I961" s="85"/>
      <c r="J961" s="85"/>
      <c r="K961" s="85"/>
      <c r="L961" s="85"/>
      <c r="M961" s="85"/>
      <c r="N961" s="85"/>
      <c r="O961" s="189"/>
      <c r="P961" s="189"/>
      <c r="Q961" s="189"/>
      <c r="R961" s="189"/>
    </row>
    <row r="962" spans="1:18">
      <c r="A962" s="283"/>
      <c r="B962" s="283"/>
      <c r="C962" s="85"/>
      <c r="D962" s="85"/>
      <c r="E962" s="85"/>
      <c r="F962" s="85"/>
      <c r="G962" s="85"/>
      <c r="H962" s="187"/>
      <c r="I962" s="85"/>
      <c r="J962" s="85"/>
      <c r="K962" s="85"/>
      <c r="L962" s="85"/>
      <c r="M962" s="85"/>
      <c r="N962" s="85"/>
      <c r="O962" s="189"/>
      <c r="P962" s="189"/>
      <c r="Q962" s="189"/>
      <c r="R962" s="189"/>
    </row>
    <row r="963" spans="1:18">
      <c r="A963" s="283"/>
      <c r="B963" s="283"/>
      <c r="C963" s="85"/>
      <c r="D963" s="85"/>
      <c r="E963" s="85"/>
      <c r="F963" s="85"/>
      <c r="G963" s="85"/>
      <c r="H963" s="187"/>
      <c r="I963" s="85"/>
      <c r="J963" s="85"/>
      <c r="K963" s="85"/>
      <c r="L963" s="85"/>
      <c r="M963" s="85"/>
      <c r="N963" s="85"/>
      <c r="O963" s="189"/>
      <c r="P963" s="189"/>
      <c r="Q963" s="189"/>
      <c r="R963" s="189"/>
    </row>
    <row r="964" spans="1:18">
      <c r="A964" s="283"/>
      <c r="B964" s="283"/>
      <c r="C964" s="85"/>
      <c r="D964" s="85"/>
      <c r="E964" s="85"/>
      <c r="F964" s="85"/>
      <c r="G964" s="85"/>
      <c r="H964" s="187"/>
      <c r="I964" s="85"/>
      <c r="J964" s="85"/>
      <c r="K964" s="85"/>
      <c r="L964" s="85"/>
      <c r="M964" s="85"/>
      <c r="N964" s="85"/>
      <c r="O964" s="189"/>
      <c r="P964" s="189"/>
      <c r="Q964" s="189"/>
      <c r="R964" s="189"/>
    </row>
    <row r="965" spans="1:18">
      <c r="A965" s="283"/>
      <c r="B965" s="283"/>
      <c r="C965" s="85"/>
      <c r="D965" s="85"/>
      <c r="E965" s="85"/>
      <c r="F965" s="85"/>
      <c r="G965" s="85"/>
      <c r="H965" s="187"/>
      <c r="I965" s="85"/>
      <c r="J965" s="85"/>
      <c r="K965" s="85"/>
      <c r="L965" s="85"/>
      <c r="M965" s="85"/>
      <c r="N965" s="85"/>
      <c r="O965" s="189"/>
      <c r="P965" s="189"/>
      <c r="Q965" s="189"/>
      <c r="R965" s="189"/>
    </row>
    <row r="966" spans="1:18">
      <c r="A966" s="283"/>
      <c r="B966" s="283"/>
      <c r="C966" s="85"/>
      <c r="D966" s="85"/>
      <c r="E966" s="85"/>
      <c r="F966" s="85"/>
      <c r="G966" s="85"/>
      <c r="H966" s="187"/>
      <c r="I966" s="85"/>
      <c r="J966" s="85"/>
      <c r="K966" s="85"/>
      <c r="L966" s="85"/>
      <c r="M966" s="85"/>
      <c r="N966" s="85"/>
      <c r="O966" s="189"/>
      <c r="P966" s="189"/>
      <c r="Q966" s="189"/>
      <c r="R966" s="189"/>
    </row>
    <row r="967" spans="1:18">
      <c r="A967" s="283"/>
      <c r="B967" s="283"/>
      <c r="C967" s="85"/>
      <c r="D967" s="85"/>
      <c r="E967" s="85"/>
      <c r="F967" s="85"/>
      <c r="G967" s="85"/>
      <c r="H967" s="187"/>
      <c r="I967" s="85"/>
      <c r="J967" s="85"/>
      <c r="K967" s="85"/>
      <c r="L967" s="85"/>
      <c r="M967" s="85"/>
      <c r="N967" s="85"/>
      <c r="O967" s="189"/>
      <c r="P967" s="189"/>
      <c r="Q967" s="189"/>
      <c r="R967" s="189"/>
    </row>
    <row r="968" spans="1:18">
      <c r="A968" s="283"/>
      <c r="B968" s="283"/>
      <c r="C968" s="85"/>
      <c r="D968" s="85"/>
      <c r="E968" s="85"/>
      <c r="F968" s="85"/>
      <c r="G968" s="85"/>
      <c r="H968" s="187"/>
      <c r="I968" s="85"/>
      <c r="J968" s="85"/>
      <c r="K968" s="85"/>
      <c r="L968" s="85"/>
      <c r="M968" s="85"/>
      <c r="N968" s="85"/>
      <c r="O968" s="189"/>
      <c r="P968" s="189"/>
      <c r="Q968" s="189"/>
      <c r="R968" s="189"/>
    </row>
    <row r="969" spans="1:18">
      <c r="A969" s="283"/>
      <c r="B969" s="283"/>
      <c r="C969" s="85"/>
      <c r="D969" s="85"/>
      <c r="E969" s="85"/>
      <c r="F969" s="85"/>
      <c r="G969" s="85"/>
      <c r="H969" s="187"/>
      <c r="I969" s="85"/>
      <c r="J969" s="85"/>
      <c r="K969" s="85"/>
      <c r="L969" s="85"/>
      <c r="M969" s="85"/>
      <c r="N969" s="85"/>
      <c r="O969" s="189"/>
      <c r="P969" s="189"/>
      <c r="Q969" s="189"/>
      <c r="R969" s="189"/>
    </row>
    <row r="970" spans="1:18">
      <c r="A970" s="283"/>
      <c r="B970" s="283"/>
      <c r="C970" s="85"/>
      <c r="D970" s="85"/>
      <c r="E970" s="85"/>
      <c r="F970" s="85"/>
      <c r="G970" s="85"/>
      <c r="H970" s="187"/>
      <c r="I970" s="85"/>
      <c r="J970" s="85"/>
      <c r="K970" s="85"/>
      <c r="L970" s="85"/>
      <c r="M970" s="85"/>
      <c r="N970" s="85"/>
      <c r="O970" s="189"/>
      <c r="P970" s="189"/>
      <c r="Q970" s="189"/>
      <c r="R970" s="189"/>
    </row>
    <row r="971" spans="1:18">
      <c r="A971" s="283"/>
      <c r="B971" s="283"/>
      <c r="C971" s="85"/>
      <c r="D971" s="85"/>
      <c r="E971" s="85"/>
      <c r="F971" s="85"/>
      <c r="G971" s="85"/>
      <c r="H971" s="187"/>
      <c r="I971" s="85"/>
      <c r="J971" s="85"/>
      <c r="K971" s="85"/>
      <c r="L971" s="85"/>
      <c r="M971" s="85"/>
      <c r="N971" s="85"/>
      <c r="O971" s="189"/>
      <c r="P971" s="189"/>
      <c r="Q971" s="189"/>
      <c r="R971" s="189"/>
    </row>
    <row r="972" spans="1:18">
      <c r="A972" s="283"/>
      <c r="B972" s="283"/>
      <c r="C972" s="85"/>
      <c r="D972" s="85"/>
      <c r="E972" s="85"/>
      <c r="F972" s="85"/>
      <c r="G972" s="85"/>
      <c r="H972" s="187"/>
      <c r="I972" s="85"/>
      <c r="J972" s="85"/>
      <c r="K972" s="85"/>
      <c r="L972" s="85"/>
      <c r="M972" s="85"/>
      <c r="N972" s="85"/>
      <c r="O972" s="189"/>
      <c r="P972" s="189"/>
      <c r="Q972" s="189"/>
      <c r="R972" s="189"/>
    </row>
    <row r="973" spans="1:18">
      <c r="A973" s="283"/>
      <c r="B973" s="283"/>
      <c r="C973" s="85"/>
      <c r="D973" s="85"/>
      <c r="E973" s="85"/>
      <c r="F973" s="85"/>
      <c r="G973" s="85"/>
      <c r="H973" s="187"/>
      <c r="I973" s="85"/>
      <c r="J973" s="85"/>
      <c r="K973" s="85"/>
      <c r="L973" s="85"/>
      <c r="M973" s="85"/>
      <c r="N973" s="85"/>
      <c r="O973" s="189"/>
      <c r="P973" s="189"/>
      <c r="Q973" s="189"/>
      <c r="R973" s="189"/>
    </row>
    <row r="974" spans="1:18">
      <c r="A974" s="283"/>
      <c r="B974" s="283"/>
      <c r="C974" s="85"/>
      <c r="D974" s="85"/>
      <c r="E974" s="85"/>
      <c r="F974" s="85"/>
      <c r="G974" s="85"/>
      <c r="H974" s="187"/>
      <c r="I974" s="85"/>
      <c r="J974" s="85"/>
      <c r="K974" s="85"/>
      <c r="L974" s="85"/>
      <c r="M974" s="85"/>
      <c r="N974" s="85"/>
      <c r="O974" s="189"/>
      <c r="P974" s="189"/>
      <c r="Q974" s="189"/>
      <c r="R974" s="189"/>
    </row>
    <row r="975" spans="1:18">
      <c r="A975" s="283"/>
      <c r="B975" s="283"/>
      <c r="C975" s="85"/>
      <c r="D975" s="85"/>
      <c r="E975" s="85"/>
      <c r="F975" s="85"/>
      <c r="G975" s="85"/>
      <c r="H975" s="187"/>
      <c r="I975" s="85"/>
      <c r="J975" s="85"/>
      <c r="K975" s="85"/>
      <c r="L975" s="85"/>
      <c r="M975" s="85"/>
      <c r="N975" s="85"/>
      <c r="O975" s="189"/>
      <c r="P975" s="189"/>
      <c r="Q975" s="189"/>
      <c r="R975" s="189"/>
    </row>
    <row r="976" spans="1:18">
      <c r="A976" s="283"/>
      <c r="B976" s="283"/>
      <c r="C976" s="85"/>
      <c r="D976" s="85"/>
      <c r="E976" s="85"/>
      <c r="F976" s="85"/>
      <c r="G976" s="85"/>
      <c r="H976" s="187"/>
      <c r="I976" s="85"/>
      <c r="J976" s="85"/>
      <c r="K976" s="85"/>
      <c r="L976" s="85"/>
      <c r="M976" s="85"/>
      <c r="N976" s="85"/>
      <c r="O976" s="189"/>
      <c r="P976" s="189"/>
      <c r="Q976" s="189"/>
      <c r="R976" s="189"/>
    </row>
    <row r="977" spans="1:18">
      <c r="A977" s="283"/>
      <c r="B977" s="283"/>
      <c r="C977" s="85"/>
      <c r="D977" s="85"/>
      <c r="E977" s="85"/>
      <c r="F977" s="85"/>
      <c r="G977" s="85"/>
      <c r="H977" s="187"/>
      <c r="I977" s="85"/>
      <c r="J977" s="85"/>
      <c r="K977" s="85"/>
      <c r="L977" s="85"/>
      <c r="M977" s="85"/>
      <c r="N977" s="85"/>
      <c r="O977" s="189"/>
      <c r="P977" s="189"/>
      <c r="Q977" s="189"/>
      <c r="R977" s="189"/>
    </row>
    <row r="978" spans="1:18">
      <c r="A978" s="283"/>
      <c r="B978" s="283"/>
      <c r="C978" s="85"/>
      <c r="D978" s="85"/>
      <c r="E978" s="85"/>
      <c r="F978" s="85"/>
      <c r="G978" s="85"/>
      <c r="H978" s="187"/>
      <c r="I978" s="85"/>
      <c r="J978" s="85"/>
      <c r="K978" s="85"/>
      <c r="L978" s="85"/>
      <c r="M978" s="85"/>
      <c r="N978" s="85"/>
      <c r="O978" s="189"/>
      <c r="P978" s="189"/>
      <c r="Q978" s="189"/>
      <c r="R978" s="189"/>
    </row>
    <row r="979" spans="1:18">
      <c r="A979" s="283"/>
      <c r="B979" s="283"/>
      <c r="C979" s="85"/>
      <c r="D979" s="85"/>
      <c r="E979" s="85"/>
      <c r="F979" s="85"/>
      <c r="G979" s="85"/>
      <c r="H979" s="187"/>
      <c r="I979" s="85"/>
      <c r="J979" s="85"/>
      <c r="K979" s="85"/>
      <c r="L979" s="85"/>
      <c r="M979" s="85"/>
      <c r="N979" s="85"/>
      <c r="O979" s="189"/>
      <c r="P979" s="189"/>
      <c r="Q979" s="189"/>
      <c r="R979" s="189"/>
    </row>
    <row r="980" spans="1:18">
      <c r="A980" s="283"/>
      <c r="B980" s="283"/>
      <c r="C980" s="85"/>
      <c r="D980" s="85"/>
      <c r="E980" s="85"/>
      <c r="F980" s="85"/>
      <c r="G980" s="85"/>
      <c r="H980" s="187"/>
      <c r="I980" s="85"/>
      <c r="J980" s="85"/>
      <c r="K980" s="85"/>
      <c r="L980" s="85"/>
      <c r="M980" s="85"/>
      <c r="N980" s="85"/>
      <c r="O980" s="189"/>
      <c r="P980" s="189"/>
      <c r="Q980" s="189"/>
      <c r="R980" s="189"/>
    </row>
    <row r="981" spans="1:18">
      <c r="A981" s="283"/>
      <c r="B981" s="283"/>
      <c r="C981" s="85"/>
      <c r="D981" s="85"/>
      <c r="E981" s="85"/>
      <c r="F981" s="85"/>
      <c r="G981" s="85"/>
      <c r="H981" s="187"/>
      <c r="I981" s="85"/>
      <c r="J981" s="85"/>
      <c r="K981" s="85"/>
      <c r="L981" s="85"/>
      <c r="M981" s="85"/>
      <c r="N981" s="85"/>
      <c r="O981" s="189"/>
      <c r="P981" s="189"/>
      <c r="Q981" s="189"/>
      <c r="R981" s="189"/>
    </row>
    <row r="982" spans="1:18">
      <c r="A982" s="283"/>
      <c r="B982" s="283"/>
      <c r="C982" s="85"/>
      <c r="D982" s="85"/>
      <c r="E982" s="85"/>
      <c r="F982" s="85"/>
      <c r="G982" s="85"/>
      <c r="H982" s="187"/>
      <c r="I982" s="85"/>
      <c r="J982" s="85"/>
      <c r="K982" s="85"/>
      <c r="L982" s="85"/>
      <c r="M982" s="85"/>
      <c r="N982" s="85"/>
      <c r="O982" s="189"/>
      <c r="P982" s="189"/>
      <c r="Q982" s="189"/>
      <c r="R982" s="189"/>
    </row>
    <row r="983" spans="1:18">
      <c r="A983" s="283"/>
      <c r="B983" s="283"/>
      <c r="C983" s="85"/>
      <c r="D983" s="85"/>
      <c r="E983" s="85"/>
      <c r="F983" s="85"/>
      <c r="G983" s="85"/>
      <c r="H983" s="187"/>
      <c r="I983" s="85"/>
      <c r="J983" s="85"/>
      <c r="K983" s="85"/>
      <c r="L983" s="85"/>
      <c r="M983" s="85"/>
      <c r="N983" s="85"/>
      <c r="O983" s="189"/>
      <c r="P983" s="189"/>
      <c r="Q983" s="189"/>
      <c r="R983" s="189"/>
    </row>
    <row r="984" spans="1:18">
      <c r="A984" s="283"/>
      <c r="B984" s="283"/>
      <c r="C984" s="85"/>
      <c r="D984" s="85"/>
      <c r="E984" s="85"/>
      <c r="F984" s="85"/>
      <c r="G984" s="85"/>
      <c r="H984" s="187"/>
      <c r="I984" s="85"/>
      <c r="J984" s="85"/>
      <c r="K984" s="85"/>
      <c r="L984" s="85"/>
      <c r="M984" s="85"/>
      <c r="N984" s="85"/>
      <c r="O984" s="189"/>
      <c r="P984" s="189"/>
      <c r="Q984" s="189"/>
      <c r="R984" s="189"/>
    </row>
    <row r="985" spans="1:18">
      <c r="A985" s="283"/>
      <c r="B985" s="283"/>
      <c r="C985" s="85"/>
      <c r="D985" s="85"/>
      <c r="E985" s="85"/>
      <c r="F985" s="85"/>
      <c r="G985" s="85"/>
      <c r="H985" s="187"/>
      <c r="I985" s="85"/>
      <c r="J985" s="85"/>
      <c r="K985" s="85"/>
      <c r="L985" s="85"/>
      <c r="M985" s="85"/>
      <c r="N985" s="85"/>
      <c r="O985" s="189"/>
      <c r="P985" s="189"/>
      <c r="Q985" s="189"/>
      <c r="R985" s="189"/>
    </row>
    <row r="986" spans="1:18">
      <c r="A986" s="283"/>
      <c r="B986" s="283"/>
      <c r="C986" s="85"/>
      <c r="D986" s="85"/>
      <c r="E986" s="85"/>
      <c r="F986" s="85"/>
      <c r="G986" s="85"/>
      <c r="H986" s="187"/>
      <c r="I986" s="85"/>
      <c r="J986" s="85"/>
      <c r="K986" s="85"/>
      <c r="L986" s="85"/>
      <c r="M986" s="85"/>
      <c r="N986" s="85"/>
      <c r="O986" s="189"/>
      <c r="P986" s="189"/>
      <c r="Q986" s="189"/>
      <c r="R986" s="189"/>
    </row>
    <row r="987" spans="1:18">
      <c r="A987" s="283"/>
      <c r="B987" s="283"/>
      <c r="C987" s="85"/>
      <c r="D987" s="85"/>
      <c r="E987" s="85"/>
      <c r="F987" s="85"/>
      <c r="G987" s="85"/>
      <c r="H987" s="187"/>
      <c r="I987" s="85"/>
      <c r="J987" s="85"/>
      <c r="K987" s="85"/>
      <c r="L987" s="85"/>
      <c r="M987" s="85"/>
      <c r="N987" s="85"/>
      <c r="O987" s="189"/>
      <c r="P987" s="189"/>
      <c r="Q987" s="189"/>
      <c r="R987" s="189"/>
    </row>
    <row r="988" spans="1:18">
      <c r="A988" s="283"/>
      <c r="B988" s="283"/>
      <c r="C988" s="85"/>
      <c r="D988" s="85"/>
      <c r="E988" s="85"/>
      <c r="F988" s="85"/>
      <c r="G988" s="85"/>
      <c r="H988" s="187"/>
      <c r="I988" s="85"/>
      <c r="J988" s="85"/>
      <c r="K988" s="85"/>
      <c r="L988" s="85"/>
      <c r="M988" s="85"/>
      <c r="N988" s="85"/>
      <c r="O988" s="189"/>
      <c r="P988" s="189"/>
      <c r="Q988" s="189"/>
      <c r="R988" s="189"/>
    </row>
    <row r="989" spans="1:18">
      <c r="A989" s="283"/>
      <c r="B989" s="283"/>
      <c r="C989" s="85"/>
      <c r="D989" s="85"/>
      <c r="E989" s="85"/>
      <c r="F989" s="85"/>
      <c r="G989" s="85"/>
      <c r="H989" s="187"/>
      <c r="I989" s="85"/>
      <c r="J989" s="85"/>
      <c r="K989" s="85"/>
      <c r="L989" s="85"/>
      <c r="M989" s="85"/>
      <c r="N989" s="85"/>
      <c r="O989" s="189"/>
      <c r="P989" s="189"/>
      <c r="Q989" s="189"/>
      <c r="R989" s="189"/>
    </row>
    <row r="990" spans="1:18">
      <c r="A990" s="283"/>
      <c r="B990" s="283"/>
      <c r="C990" s="85"/>
      <c r="D990" s="85"/>
      <c r="E990" s="85"/>
      <c r="F990" s="85"/>
      <c r="G990" s="85"/>
      <c r="H990" s="187"/>
      <c r="I990" s="85"/>
      <c r="J990" s="85"/>
      <c r="K990" s="85"/>
      <c r="L990" s="85"/>
      <c r="M990" s="85"/>
      <c r="N990" s="85"/>
      <c r="O990" s="189"/>
      <c r="P990" s="189"/>
      <c r="Q990" s="189"/>
      <c r="R990" s="189"/>
    </row>
    <row r="991" spans="1:18">
      <c r="A991" s="283"/>
      <c r="B991" s="283"/>
      <c r="C991" s="85"/>
      <c r="D991" s="85"/>
      <c r="E991" s="85"/>
      <c r="F991" s="85"/>
      <c r="G991" s="85"/>
      <c r="H991" s="187"/>
      <c r="I991" s="85"/>
      <c r="J991" s="85"/>
      <c r="K991" s="85"/>
      <c r="L991" s="85"/>
      <c r="M991" s="85"/>
      <c r="N991" s="85"/>
      <c r="O991" s="189"/>
      <c r="P991" s="189"/>
      <c r="Q991" s="189"/>
      <c r="R991" s="189"/>
    </row>
    <row r="992" spans="1:18">
      <c r="A992" s="283"/>
      <c r="B992" s="283"/>
      <c r="C992" s="85"/>
      <c r="D992" s="85"/>
      <c r="E992" s="85"/>
      <c r="F992" s="85"/>
      <c r="G992" s="85"/>
      <c r="H992" s="187"/>
      <c r="I992" s="85"/>
      <c r="J992" s="85"/>
      <c r="K992" s="85"/>
      <c r="L992" s="85"/>
      <c r="M992" s="85"/>
      <c r="N992" s="85"/>
      <c r="O992" s="189"/>
      <c r="P992" s="189"/>
      <c r="Q992" s="189"/>
      <c r="R992" s="189"/>
    </row>
    <row r="993" spans="1:18">
      <c r="A993" s="283"/>
      <c r="B993" s="283"/>
      <c r="C993" s="85"/>
      <c r="D993" s="85"/>
      <c r="E993" s="85"/>
      <c r="F993" s="85"/>
      <c r="G993" s="85"/>
      <c r="H993" s="187"/>
      <c r="I993" s="85"/>
      <c r="J993" s="85"/>
      <c r="K993" s="85"/>
      <c r="L993" s="85"/>
      <c r="M993" s="85"/>
      <c r="N993" s="85"/>
      <c r="O993" s="189"/>
      <c r="P993" s="189"/>
      <c r="Q993" s="189"/>
      <c r="R993" s="189"/>
    </row>
    <row r="994" spans="1:18">
      <c r="A994" s="283"/>
      <c r="B994" s="283"/>
      <c r="C994" s="85"/>
      <c r="D994" s="85"/>
      <c r="E994" s="85"/>
      <c r="F994" s="85"/>
      <c r="G994" s="85"/>
      <c r="H994" s="187"/>
      <c r="I994" s="85"/>
      <c r="J994" s="85"/>
      <c r="K994" s="85"/>
      <c r="L994" s="85"/>
      <c r="M994" s="85"/>
      <c r="N994" s="85"/>
      <c r="O994" s="189"/>
      <c r="P994" s="189"/>
      <c r="Q994" s="189"/>
      <c r="R994" s="189"/>
    </row>
    <row r="995" spans="1:18">
      <c r="A995" s="283"/>
      <c r="B995" s="283"/>
      <c r="C995" s="85"/>
      <c r="D995" s="85"/>
      <c r="E995" s="85"/>
      <c r="F995" s="85"/>
      <c r="G995" s="85"/>
      <c r="H995" s="187"/>
      <c r="I995" s="85"/>
      <c r="J995" s="85"/>
      <c r="K995" s="85"/>
      <c r="L995" s="85"/>
      <c r="M995" s="85"/>
      <c r="N995" s="85"/>
      <c r="O995" s="189"/>
      <c r="P995" s="189"/>
      <c r="Q995" s="189"/>
      <c r="R995" s="189"/>
    </row>
    <row r="996" spans="1:18">
      <c r="A996" s="283"/>
      <c r="B996" s="283"/>
      <c r="C996" s="85"/>
      <c r="D996" s="85"/>
      <c r="E996" s="85"/>
      <c r="F996" s="85"/>
      <c r="G996" s="85"/>
      <c r="H996" s="187"/>
      <c r="I996" s="85"/>
      <c r="J996" s="85"/>
      <c r="K996" s="85"/>
      <c r="L996" s="85"/>
      <c r="M996" s="85"/>
      <c r="N996" s="85"/>
      <c r="O996" s="189"/>
      <c r="P996" s="189"/>
      <c r="Q996" s="189"/>
      <c r="R996" s="189"/>
    </row>
    <row r="997" spans="1:18">
      <c r="A997" s="283"/>
      <c r="B997" s="283"/>
      <c r="C997" s="85"/>
      <c r="D997" s="85"/>
      <c r="E997" s="85"/>
      <c r="F997" s="85"/>
      <c r="G997" s="85"/>
      <c r="H997" s="187"/>
      <c r="I997" s="85"/>
      <c r="J997" s="85"/>
      <c r="K997" s="85"/>
      <c r="L997" s="85"/>
      <c r="M997" s="85"/>
      <c r="N997" s="85"/>
      <c r="O997" s="189"/>
      <c r="P997" s="189"/>
      <c r="Q997" s="189"/>
      <c r="R997" s="189"/>
    </row>
    <row r="998" spans="1:18">
      <c r="A998" s="283"/>
      <c r="B998" s="283"/>
      <c r="C998" s="85"/>
      <c r="D998" s="85"/>
      <c r="E998" s="85"/>
      <c r="F998" s="85"/>
      <c r="G998" s="85"/>
      <c r="H998" s="187"/>
      <c r="I998" s="85"/>
      <c r="J998" s="85"/>
      <c r="K998" s="85"/>
      <c r="L998" s="85"/>
      <c r="M998" s="85"/>
      <c r="N998" s="85"/>
      <c r="O998" s="189"/>
      <c r="P998" s="189"/>
      <c r="Q998" s="189"/>
      <c r="R998" s="189"/>
    </row>
    <row r="999" spans="1:18">
      <c r="A999" s="283"/>
      <c r="B999" s="283"/>
      <c r="C999" s="85"/>
      <c r="D999" s="85"/>
      <c r="E999" s="85"/>
      <c r="F999" s="85"/>
      <c r="G999" s="85"/>
      <c r="H999" s="187"/>
      <c r="I999" s="85"/>
      <c r="J999" s="85"/>
      <c r="K999" s="85"/>
      <c r="L999" s="85"/>
      <c r="M999" s="85"/>
      <c r="N999" s="85"/>
      <c r="O999" s="189"/>
      <c r="P999" s="189"/>
      <c r="Q999" s="189"/>
      <c r="R999" s="189"/>
    </row>
    <row r="1000" spans="1:18">
      <c r="A1000" s="283"/>
      <c r="B1000" s="283"/>
      <c r="C1000" s="85"/>
      <c r="D1000" s="85"/>
      <c r="E1000" s="85"/>
      <c r="F1000" s="85"/>
      <c r="G1000" s="85"/>
      <c r="H1000" s="187"/>
      <c r="I1000" s="85"/>
      <c r="J1000" s="85"/>
      <c r="K1000" s="85"/>
      <c r="L1000" s="85"/>
      <c r="M1000" s="85"/>
      <c r="N1000" s="85"/>
      <c r="O1000" s="189"/>
      <c r="P1000" s="189"/>
      <c r="Q1000" s="189"/>
      <c r="R1000" s="189"/>
    </row>
    <row r="1001" spans="1:18">
      <c r="A1001" s="283"/>
      <c r="B1001" s="283"/>
      <c r="C1001" s="85"/>
      <c r="D1001" s="85"/>
      <c r="E1001" s="85"/>
      <c r="F1001" s="85"/>
      <c r="G1001" s="85"/>
      <c r="H1001" s="187"/>
      <c r="I1001" s="85"/>
      <c r="J1001" s="85"/>
      <c r="K1001" s="85"/>
      <c r="L1001" s="85"/>
      <c r="M1001" s="85"/>
      <c r="N1001" s="85"/>
      <c r="O1001" s="189"/>
      <c r="P1001" s="189"/>
      <c r="Q1001" s="189"/>
      <c r="R1001" s="189"/>
    </row>
    <row r="1002" spans="1:18">
      <c r="A1002" s="283"/>
      <c r="B1002" s="283"/>
      <c r="C1002" s="85"/>
      <c r="D1002" s="85"/>
      <c r="E1002" s="85"/>
      <c r="F1002" s="85"/>
      <c r="G1002" s="85"/>
      <c r="H1002" s="187"/>
      <c r="I1002" s="85"/>
      <c r="J1002" s="85"/>
      <c r="K1002" s="85"/>
      <c r="L1002" s="85"/>
      <c r="M1002" s="85"/>
      <c r="N1002" s="85"/>
      <c r="O1002" s="189"/>
      <c r="P1002" s="189"/>
      <c r="Q1002" s="189"/>
      <c r="R1002" s="189"/>
    </row>
    <row r="1003" spans="1:18">
      <c r="A1003" s="283"/>
      <c r="B1003" s="283"/>
      <c r="C1003" s="85"/>
      <c r="D1003" s="85"/>
      <c r="E1003" s="85"/>
      <c r="F1003" s="85"/>
      <c r="G1003" s="85"/>
      <c r="H1003" s="187"/>
      <c r="I1003" s="85"/>
      <c r="J1003" s="85"/>
      <c r="K1003" s="85"/>
      <c r="L1003" s="85"/>
      <c r="M1003" s="85"/>
      <c r="N1003" s="85"/>
      <c r="O1003" s="189"/>
      <c r="P1003" s="189"/>
      <c r="Q1003" s="189"/>
      <c r="R1003" s="189"/>
    </row>
    <row r="1004" spans="1:18">
      <c r="A1004" s="283"/>
      <c r="B1004" s="283"/>
      <c r="C1004" s="85"/>
      <c r="D1004" s="85"/>
      <c r="E1004" s="85"/>
      <c r="F1004" s="85"/>
      <c r="G1004" s="85"/>
      <c r="H1004" s="187"/>
      <c r="I1004" s="85"/>
      <c r="J1004" s="85"/>
      <c r="K1004" s="85"/>
      <c r="L1004" s="85"/>
      <c r="M1004" s="85"/>
      <c r="N1004" s="85"/>
      <c r="O1004" s="189"/>
      <c r="P1004" s="189"/>
      <c r="Q1004" s="189"/>
      <c r="R1004" s="189"/>
    </row>
    <row r="1005" spans="1:18">
      <c r="A1005" s="283"/>
      <c r="B1005" s="283"/>
      <c r="C1005" s="85"/>
      <c r="D1005" s="85"/>
      <c r="E1005" s="85"/>
      <c r="F1005" s="85"/>
      <c r="G1005" s="85"/>
      <c r="H1005" s="187"/>
      <c r="I1005" s="85"/>
      <c r="J1005" s="85"/>
      <c r="K1005" s="85"/>
      <c r="L1005" s="85"/>
      <c r="M1005" s="85"/>
      <c r="N1005" s="85"/>
      <c r="O1005" s="189"/>
      <c r="P1005" s="189"/>
      <c r="Q1005" s="189"/>
      <c r="R1005" s="189"/>
    </row>
    <row r="1006" spans="1:18">
      <c r="A1006" s="283"/>
      <c r="B1006" s="283"/>
      <c r="C1006" s="85"/>
      <c r="D1006" s="85"/>
      <c r="E1006" s="85"/>
      <c r="F1006" s="85"/>
      <c r="G1006" s="85"/>
      <c r="H1006" s="187"/>
      <c r="I1006" s="85"/>
      <c r="J1006" s="85"/>
      <c r="K1006" s="85"/>
      <c r="L1006" s="85"/>
      <c r="M1006" s="85"/>
      <c r="N1006" s="85"/>
      <c r="O1006" s="189"/>
      <c r="P1006" s="189"/>
      <c r="Q1006" s="189"/>
      <c r="R1006" s="189"/>
    </row>
    <row r="1007" spans="1:18">
      <c r="A1007" s="283"/>
      <c r="B1007" s="283"/>
      <c r="C1007" s="85"/>
      <c r="D1007" s="85"/>
      <c r="E1007" s="85"/>
      <c r="F1007" s="85"/>
      <c r="G1007" s="85"/>
      <c r="H1007" s="187"/>
      <c r="I1007" s="85"/>
      <c r="J1007" s="85"/>
      <c r="K1007" s="85"/>
      <c r="L1007" s="85"/>
      <c r="M1007" s="85"/>
      <c r="N1007" s="85"/>
      <c r="O1007" s="189"/>
      <c r="P1007" s="189"/>
      <c r="Q1007" s="189"/>
      <c r="R1007" s="189"/>
    </row>
    <row r="1008" spans="1:18">
      <c r="A1008" s="283"/>
      <c r="B1008" s="283"/>
      <c r="C1008" s="85"/>
      <c r="D1008" s="85"/>
      <c r="E1008" s="85"/>
      <c r="F1008" s="85"/>
      <c r="G1008" s="85"/>
      <c r="H1008" s="187"/>
      <c r="I1008" s="85"/>
      <c r="J1008" s="85"/>
      <c r="K1008" s="85"/>
      <c r="L1008" s="85"/>
      <c r="M1008" s="85"/>
      <c r="N1008" s="85"/>
      <c r="O1008" s="189"/>
      <c r="P1008" s="189"/>
      <c r="Q1008" s="189"/>
      <c r="R1008" s="189"/>
    </row>
    <row r="1009" spans="1:18">
      <c r="A1009" s="283"/>
      <c r="B1009" s="283"/>
      <c r="C1009" s="85"/>
      <c r="D1009" s="85"/>
      <c r="E1009" s="85"/>
      <c r="F1009" s="85"/>
      <c r="G1009" s="85"/>
      <c r="H1009" s="187"/>
      <c r="I1009" s="85"/>
      <c r="J1009" s="85"/>
      <c r="K1009" s="85"/>
      <c r="L1009" s="85"/>
      <c r="M1009" s="85"/>
      <c r="N1009" s="85"/>
      <c r="O1009" s="189"/>
      <c r="P1009" s="189"/>
      <c r="Q1009" s="189"/>
      <c r="R1009" s="189"/>
    </row>
    <row r="1010" spans="1:18">
      <c r="A1010" s="283"/>
      <c r="B1010" s="283"/>
      <c r="C1010" s="85"/>
      <c r="D1010" s="85"/>
      <c r="E1010" s="85"/>
      <c r="F1010" s="85"/>
      <c r="G1010" s="85"/>
      <c r="H1010" s="187"/>
      <c r="I1010" s="85"/>
      <c r="J1010" s="85"/>
      <c r="K1010" s="85"/>
      <c r="L1010" s="85"/>
      <c r="M1010" s="85"/>
      <c r="N1010" s="85"/>
      <c r="O1010" s="189"/>
      <c r="P1010" s="189"/>
      <c r="Q1010" s="189"/>
      <c r="R1010" s="189"/>
    </row>
    <row r="1011" spans="1:18">
      <c r="A1011" s="283"/>
      <c r="B1011" s="283"/>
      <c r="C1011" s="85"/>
      <c r="D1011" s="85"/>
      <c r="E1011" s="85"/>
      <c r="F1011" s="85"/>
      <c r="G1011" s="85"/>
      <c r="H1011" s="187"/>
      <c r="I1011" s="85"/>
      <c r="J1011" s="85"/>
      <c r="K1011" s="85"/>
      <c r="L1011" s="85"/>
      <c r="M1011" s="85"/>
      <c r="N1011" s="85"/>
      <c r="O1011" s="189"/>
      <c r="P1011" s="189"/>
      <c r="Q1011" s="189"/>
      <c r="R1011" s="189"/>
    </row>
    <row r="1012" spans="1:18">
      <c r="A1012" s="283"/>
      <c r="B1012" s="283"/>
      <c r="C1012" s="85"/>
      <c r="D1012" s="85"/>
      <c r="E1012" s="85"/>
      <c r="F1012" s="85"/>
      <c r="G1012" s="85"/>
      <c r="H1012" s="187"/>
      <c r="I1012" s="85"/>
      <c r="J1012" s="85"/>
      <c r="K1012" s="85"/>
      <c r="L1012" s="85"/>
      <c r="M1012" s="85"/>
      <c r="N1012" s="85"/>
      <c r="O1012" s="189"/>
      <c r="P1012" s="189"/>
      <c r="Q1012" s="189"/>
      <c r="R1012" s="189"/>
    </row>
    <row r="1013" spans="1:18">
      <c r="A1013" s="283"/>
      <c r="B1013" s="283"/>
      <c r="C1013" s="85"/>
      <c r="D1013" s="85"/>
      <c r="E1013" s="85"/>
      <c r="F1013" s="85"/>
      <c r="G1013" s="85"/>
      <c r="H1013" s="187"/>
      <c r="I1013" s="85"/>
      <c r="J1013" s="85"/>
      <c r="K1013" s="85"/>
      <c r="L1013" s="85"/>
      <c r="M1013" s="85"/>
      <c r="N1013" s="85"/>
      <c r="O1013" s="189"/>
      <c r="P1013" s="189"/>
      <c r="Q1013" s="189"/>
      <c r="R1013" s="189"/>
    </row>
    <row r="1014" spans="1:18">
      <c r="A1014" s="283"/>
      <c r="B1014" s="283"/>
      <c r="C1014" s="85"/>
      <c r="D1014" s="85"/>
      <c r="E1014" s="85"/>
      <c r="F1014" s="85"/>
      <c r="G1014" s="85"/>
      <c r="H1014" s="187"/>
      <c r="I1014" s="85"/>
      <c r="J1014" s="85"/>
      <c r="K1014" s="85"/>
      <c r="L1014" s="85"/>
      <c r="M1014" s="85"/>
      <c r="N1014" s="85"/>
      <c r="O1014" s="189"/>
      <c r="P1014" s="189"/>
      <c r="Q1014" s="189"/>
      <c r="R1014" s="189"/>
    </row>
    <row r="1015" spans="1:18">
      <c r="A1015" s="283"/>
      <c r="B1015" s="283"/>
      <c r="C1015" s="85"/>
      <c r="D1015" s="85"/>
      <c r="E1015" s="85"/>
      <c r="F1015" s="85"/>
      <c r="G1015" s="85"/>
      <c r="H1015" s="187"/>
      <c r="I1015" s="85"/>
      <c r="J1015" s="85"/>
      <c r="K1015" s="85"/>
      <c r="L1015" s="85"/>
      <c r="M1015" s="85"/>
      <c r="N1015" s="85"/>
      <c r="O1015" s="189"/>
      <c r="P1015" s="189"/>
      <c r="Q1015" s="189"/>
      <c r="R1015" s="189"/>
    </row>
    <row r="1016" spans="1:18">
      <c r="A1016" s="283"/>
      <c r="B1016" s="283"/>
      <c r="C1016" s="85"/>
      <c r="D1016" s="85"/>
      <c r="E1016" s="85"/>
      <c r="F1016" s="85"/>
      <c r="G1016" s="85"/>
      <c r="H1016" s="187"/>
      <c r="I1016" s="85"/>
      <c r="J1016" s="85"/>
      <c r="K1016" s="85"/>
      <c r="L1016" s="85"/>
      <c r="M1016" s="85"/>
      <c r="N1016" s="85"/>
      <c r="O1016" s="189"/>
      <c r="P1016" s="189"/>
      <c r="Q1016" s="189"/>
      <c r="R1016" s="189"/>
    </row>
    <row r="1017" spans="1:18">
      <c r="A1017" s="283"/>
      <c r="B1017" s="283"/>
      <c r="C1017" s="85"/>
      <c r="D1017" s="85"/>
      <c r="E1017" s="85"/>
      <c r="F1017" s="85"/>
      <c r="G1017" s="85"/>
      <c r="H1017" s="187"/>
      <c r="I1017" s="85"/>
      <c r="J1017" s="85"/>
      <c r="K1017" s="85"/>
      <c r="L1017" s="85"/>
      <c r="M1017" s="85"/>
      <c r="N1017" s="85"/>
      <c r="O1017" s="189"/>
      <c r="P1017" s="189"/>
      <c r="Q1017" s="189"/>
      <c r="R1017" s="189"/>
    </row>
    <row r="1018" spans="1:18">
      <c r="A1018" s="283"/>
      <c r="B1018" s="283"/>
      <c r="C1018" s="85"/>
      <c r="D1018" s="85"/>
      <c r="E1018" s="85"/>
      <c r="F1018" s="85"/>
      <c r="G1018" s="85"/>
      <c r="H1018" s="187"/>
      <c r="I1018" s="85"/>
      <c r="J1018" s="85"/>
      <c r="K1018" s="85"/>
      <c r="L1018" s="85"/>
      <c r="M1018" s="85"/>
      <c r="N1018" s="85"/>
      <c r="O1018" s="189"/>
      <c r="P1018" s="189"/>
      <c r="Q1018" s="189"/>
      <c r="R1018" s="189"/>
    </row>
    <row r="1019" spans="1:18">
      <c r="A1019" s="283"/>
      <c r="B1019" s="283"/>
      <c r="C1019" s="85"/>
      <c r="D1019" s="85"/>
      <c r="E1019" s="85"/>
      <c r="F1019" s="85"/>
      <c r="G1019" s="85"/>
      <c r="H1019" s="187"/>
      <c r="I1019" s="85"/>
      <c r="J1019" s="85"/>
      <c r="K1019" s="85"/>
      <c r="L1019" s="85"/>
      <c r="M1019" s="85"/>
      <c r="N1019" s="85"/>
      <c r="O1019" s="189"/>
      <c r="P1019" s="189"/>
      <c r="Q1019" s="189"/>
      <c r="R1019" s="189"/>
    </row>
    <row r="1020" spans="1:18">
      <c r="A1020" s="283"/>
      <c r="B1020" s="283"/>
      <c r="C1020" s="85"/>
      <c r="D1020" s="85"/>
      <c r="E1020" s="85"/>
      <c r="F1020" s="85"/>
      <c r="G1020" s="85"/>
      <c r="H1020" s="187"/>
      <c r="I1020" s="85"/>
      <c r="J1020" s="85"/>
      <c r="K1020" s="85"/>
      <c r="L1020" s="85"/>
      <c r="M1020" s="85"/>
      <c r="N1020" s="85"/>
      <c r="O1020" s="189"/>
      <c r="P1020" s="189"/>
      <c r="Q1020" s="189"/>
      <c r="R1020" s="189"/>
    </row>
    <row r="1021" spans="1:18">
      <c r="A1021" s="283"/>
      <c r="B1021" s="283"/>
      <c r="C1021" s="85"/>
      <c r="D1021" s="85"/>
      <c r="E1021" s="85"/>
      <c r="F1021" s="85"/>
      <c r="G1021" s="85"/>
      <c r="H1021" s="187"/>
      <c r="I1021" s="85"/>
      <c r="J1021" s="85"/>
      <c r="K1021" s="85"/>
      <c r="L1021" s="85"/>
      <c r="M1021" s="85"/>
      <c r="N1021" s="85"/>
      <c r="O1021" s="189"/>
      <c r="P1021" s="189"/>
      <c r="Q1021" s="189"/>
      <c r="R1021" s="189"/>
    </row>
    <row r="1022" spans="1:18">
      <c r="A1022" s="283"/>
      <c r="B1022" s="283"/>
      <c r="C1022" s="85"/>
      <c r="D1022" s="85"/>
      <c r="E1022" s="85"/>
      <c r="F1022" s="85"/>
      <c r="G1022" s="85"/>
      <c r="H1022" s="187"/>
      <c r="I1022" s="85"/>
      <c r="J1022" s="85"/>
      <c r="K1022" s="85"/>
      <c r="L1022" s="85"/>
      <c r="M1022" s="85"/>
      <c r="N1022" s="85"/>
      <c r="O1022" s="189"/>
      <c r="P1022" s="189"/>
      <c r="Q1022" s="189"/>
      <c r="R1022" s="189"/>
    </row>
    <row r="1023" spans="1:18">
      <c r="A1023" s="283"/>
      <c r="B1023" s="283"/>
      <c r="C1023" s="85"/>
      <c r="D1023" s="85"/>
      <c r="E1023" s="85"/>
      <c r="F1023" s="85"/>
      <c r="G1023" s="85"/>
      <c r="H1023" s="187"/>
      <c r="I1023" s="85"/>
      <c r="J1023" s="85"/>
      <c r="K1023" s="85"/>
      <c r="L1023" s="85"/>
      <c r="M1023" s="85"/>
      <c r="N1023" s="85"/>
      <c r="O1023" s="189"/>
      <c r="P1023" s="189"/>
      <c r="Q1023" s="189"/>
      <c r="R1023" s="189"/>
    </row>
    <row r="1024" spans="1:18">
      <c r="A1024" s="283"/>
      <c r="B1024" s="283"/>
      <c r="C1024" s="85"/>
      <c r="D1024" s="85"/>
      <c r="E1024" s="85"/>
      <c r="F1024" s="85"/>
      <c r="G1024" s="85"/>
      <c r="H1024" s="187"/>
      <c r="I1024" s="85"/>
      <c r="J1024" s="85"/>
      <c r="K1024" s="85"/>
      <c r="L1024" s="85"/>
      <c r="M1024" s="85"/>
      <c r="N1024" s="85"/>
      <c r="O1024" s="189"/>
      <c r="P1024" s="189"/>
      <c r="Q1024" s="189"/>
      <c r="R1024" s="189"/>
    </row>
    <row r="1025" spans="1:18">
      <c r="A1025" s="283"/>
      <c r="B1025" s="283"/>
      <c r="C1025" s="85"/>
      <c r="D1025" s="85"/>
      <c r="E1025" s="85"/>
      <c r="F1025" s="85"/>
      <c r="G1025" s="85"/>
      <c r="H1025" s="187"/>
      <c r="I1025" s="85"/>
      <c r="J1025" s="85"/>
      <c r="K1025" s="85"/>
      <c r="L1025" s="85"/>
      <c r="M1025" s="85"/>
      <c r="N1025" s="85"/>
      <c r="O1025" s="189"/>
      <c r="P1025" s="189"/>
      <c r="Q1025" s="189"/>
      <c r="R1025" s="189"/>
    </row>
    <row r="1026" spans="1:18">
      <c r="A1026" s="283"/>
      <c r="B1026" s="283"/>
      <c r="C1026" s="85"/>
      <c r="D1026" s="85"/>
      <c r="E1026" s="85"/>
      <c r="F1026" s="85"/>
      <c r="G1026" s="85"/>
      <c r="H1026" s="187"/>
      <c r="I1026" s="85"/>
      <c r="J1026" s="85"/>
      <c r="K1026" s="85"/>
      <c r="L1026" s="85"/>
      <c r="M1026" s="85"/>
      <c r="N1026" s="85"/>
      <c r="O1026" s="189"/>
      <c r="P1026" s="189"/>
      <c r="Q1026" s="189"/>
      <c r="R1026" s="189"/>
    </row>
    <row r="1027" spans="1:18">
      <c r="A1027" s="283"/>
      <c r="B1027" s="283"/>
      <c r="C1027" s="85"/>
      <c r="D1027" s="85"/>
      <c r="E1027" s="85"/>
      <c r="F1027" s="85"/>
      <c r="G1027" s="85"/>
      <c r="H1027" s="187"/>
      <c r="I1027" s="85"/>
      <c r="J1027" s="85"/>
      <c r="K1027" s="85"/>
      <c r="L1027" s="85"/>
      <c r="M1027" s="85"/>
      <c r="N1027" s="85"/>
      <c r="O1027" s="189"/>
      <c r="P1027" s="189"/>
      <c r="Q1027" s="189"/>
      <c r="R1027" s="189"/>
    </row>
    <row r="1028" spans="1:18">
      <c r="A1028" s="283"/>
      <c r="B1028" s="283"/>
      <c r="C1028" s="85"/>
      <c r="D1028" s="85"/>
      <c r="E1028" s="85"/>
      <c r="F1028" s="85"/>
      <c r="G1028" s="85"/>
      <c r="H1028" s="187"/>
      <c r="I1028" s="85"/>
      <c r="J1028" s="85"/>
      <c r="K1028" s="85"/>
      <c r="L1028" s="85"/>
      <c r="M1028" s="85"/>
      <c r="N1028" s="85"/>
      <c r="O1028" s="189"/>
      <c r="P1028" s="189"/>
      <c r="Q1028" s="189"/>
      <c r="R1028" s="189"/>
    </row>
    <row r="1029" spans="1:18">
      <c r="A1029" s="283"/>
      <c r="B1029" s="283"/>
      <c r="C1029" s="85"/>
      <c r="D1029" s="85"/>
      <c r="E1029" s="85"/>
      <c r="F1029" s="85"/>
      <c r="G1029" s="85"/>
      <c r="H1029" s="187"/>
      <c r="I1029" s="85"/>
      <c r="J1029" s="85"/>
      <c r="K1029" s="85"/>
      <c r="L1029" s="85"/>
      <c r="M1029" s="85"/>
      <c r="N1029" s="85"/>
      <c r="O1029" s="189"/>
      <c r="P1029" s="189"/>
      <c r="Q1029" s="189"/>
      <c r="R1029" s="189"/>
    </row>
    <row r="1030" spans="1:18">
      <c r="A1030" s="283"/>
      <c r="B1030" s="283"/>
      <c r="C1030" s="85"/>
      <c r="D1030" s="85"/>
      <c r="E1030" s="85"/>
      <c r="F1030" s="85"/>
      <c r="G1030" s="85"/>
      <c r="H1030" s="187"/>
      <c r="I1030" s="85"/>
      <c r="J1030" s="85"/>
      <c r="K1030" s="85"/>
      <c r="L1030" s="85"/>
      <c r="M1030" s="85"/>
      <c r="N1030" s="85"/>
      <c r="O1030" s="189"/>
      <c r="P1030" s="189"/>
      <c r="Q1030" s="189"/>
      <c r="R1030" s="189"/>
    </row>
    <row r="1031" spans="1:18">
      <c r="A1031" s="283"/>
      <c r="B1031" s="283"/>
      <c r="C1031" s="85"/>
      <c r="D1031" s="85"/>
      <c r="E1031" s="85"/>
      <c r="F1031" s="85"/>
      <c r="G1031" s="85"/>
      <c r="H1031" s="187"/>
      <c r="I1031" s="85"/>
      <c r="J1031" s="85"/>
      <c r="K1031" s="85"/>
      <c r="L1031" s="85"/>
      <c r="M1031" s="85"/>
      <c r="N1031" s="85"/>
      <c r="O1031" s="189"/>
      <c r="P1031" s="189"/>
      <c r="Q1031" s="189"/>
      <c r="R1031" s="189"/>
    </row>
    <row r="1032" spans="1:18">
      <c r="A1032" s="283"/>
      <c r="B1032" s="283"/>
      <c r="C1032" s="85"/>
      <c r="D1032" s="85"/>
      <c r="E1032" s="85"/>
      <c r="F1032" s="85"/>
      <c r="G1032" s="85"/>
      <c r="H1032" s="187"/>
      <c r="I1032" s="85"/>
      <c r="J1032" s="85"/>
      <c r="K1032" s="85"/>
      <c r="L1032" s="85"/>
      <c r="M1032" s="85"/>
      <c r="N1032" s="85"/>
      <c r="O1032" s="189"/>
      <c r="P1032" s="189"/>
      <c r="Q1032" s="189"/>
      <c r="R1032" s="189"/>
    </row>
    <row r="1033" spans="1:18">
      <c r="A1033" s="283"/>
      <c r="B1033" s="283"/>
      <c r="C1033" s="85"/>
      <c r="D1033" s="85"/>
      <c r="E1033" s="85"/>
      <c r="F1033" s="85"/>
      <c r="G1033" s="85"/>
      <c r="H1033" s="187"/>
      <c r="I1033" s="85"/>
      <c r="J1033" s="85"/>
      <c r="K1033" s="85"/>
      <c r="L1033" s="85"/>
      <c r="M1033" s="85"/>
      <c r="N1033" s="85"/>
      <c r="O1033" s="189"/>
      <c r="P1033" s="189"/>
      <c r="Q1033" s="189"/>
      <c r="R1033" s="189"/>
    </row>
    <row r="1034" spans="1:18">
      <c r="A1034" s="283"/>
      <c r="B1034" s="283"/>
      <c r="C1034" s="85"/>
      <c r="D1034" s="85"/>
      <c r="E1034" s="85"/>
      <c r="F1034" s="85"/>
      <c r="G1034" s="85"/>
      <c r="H1034" s="187"/>
      <c r="I1034" s="85"/>
      <c r="J1034" s="85"/>
      <c r="K1034" s="85"/>
      <c r="L1034" s="85"/>
      <c r="M1034" s="85"/>
      <c r="N1034" s="85"/>
      <c r="O1034" s="189"/>
      <c r="P1034" s="189"/>
      <c r="Q1034" s="189"/>
      <c r="R1034" s="189"/>
    </row>
    <row r="1035" spans="1:18">
      <c r="A1035" s="283"/>
      <c r="B1035" s="283"/>
      <c r="C1035" s="85"/>
      <c r="D1035" s="85"/>
      <c r="E1035" s="85"/>
      <c r="F1035" s="85"/>
      <c r="G1035" s="85"/>
      <c r="H1035" s="187"/>
      <c r="I1035" s="85"/>
      <c r="J1035" s="85"/>
      <c r="K1035" s="85"/>
      <c r="L1035" s="85"/>
      <c r="M1035" s="85"/>
      <c r="N1035" s="85"/>
      <c r="O1035" s="189"/>
      <c r="P1035" s="189"/>
      <c r="Q1035" s="189"/>
      <c r="R1035" s="189"/>
    </row>
    <row r="1036" spans="1:18">
      <c r="A1036" s="283"/>
      <c r="B1036" s="283"/>
      <c r="C1036" s="85"/>
      <c r="D1036" s="85"/>
      <c r="E1036" s="85"/>
      <c r="F1036" s="85"/>
      <c r="G1036" s="85"/>
      <c r="H1036" s="187"/>
      <c r="I1036" s="85"/>
      <c r="J1036" s="85"/>
      <c r="K1036" s="85"/>
      <c r="L1036" s="85"/>
      <c r="M1036" s="85"/>
      <c r="N1036" s="85"/>
      <c r="O1036" s="189"/>
      <c r="P1036" s="189"/>
      <c r="Q1036" s="189"/>
      <c r="R1036" s="189"/>
    </row>
    <row r="1037" spans="1:18">
      <c r="A1037" s="283"/>
      <c r="B1037" s="283"/>
      <c r="C1037" s="85"/>
      <c r="D1037" s="85"/>
      <c r="E1037" s="85"/>
      <c r="F1037" s="85"/>
      <c r="G1037" s="85"/>
      <c r="H1037" s="187"/>
      <c r="I1037" s="85"/>
      <c r="J1037" s="85"/>
      <c r="K1037" s="85"/>
      <c r="L1037" s="85"/>
      <c r="M1037" s="85"/>
      <c r="N1037" s="85"/>
      <c r="O1037" s="189"/>
      <c r="P1037" s="189"/>
      <c r="Q1037" s="189"/>
      <c r="R1037" s="189"/>
    </row>
    <row r="1038" spans="1:18">
      <c r="A1038" s="283"/>
      <c r="B1038" s="283"/>
      <c r="C1038" s="85"/>
      <c r="D1038" s="85"/>
      <c r="E1038" s="85"/>
      <c r="F1038" s="85"/>
      <c r="G1038" s="85"/>
      <c r="H1038" s="187"/>
      <c r="I1038" s="85"/>
      <c r="J1038" s="85"/>
      <c r="K1038" s="85"/>
      <c r="L1038" s="85"/>
      <c r="M1038" s="85"/>
      <c r="N1038" s="85"/>
      <c r="O1038" s="189"/>
      <c r="P1038" s="189"/>
      <c r="Q1038" s="189"/>
      <c r="R1038" s="189"/>
    </row>
    <row r="1039" spans="1:18">
      <c r="A1039" s="283"/>
      <c r="B1039" s="283"/>
      <c r="C1039" s="85"/>
      <c r="D1039" s="85"/>
      <c r="E1039" s="85"/>
      <c r="F1039" s="85"/>
      <c r="G1039" s="85"/>
      <c r="H1039" s="187"/>
      <c r="I1039" s="85"/>
      <c r="J1039" s="85"/>
      <c r="K1039" s="85"/>
      <c r="L1039" s="85"/>
      <c r="M1039" s="85"/>
      <c r="N1039" s="85"/>
      <c r="O1039" s="189"/>
      <c r="P1039" s="189"/>
      <c r="Q1039" s="189"/>
      <c r="R1039" s="189"/>
    </row>
    <row r="1040" spans="1:18">
      <c r="A1040" s="283"/>
      <c r="B1040" s="283"/>
      <c r="C1040" s="85"/>
      <c r="D1040" s="85"/>
      <c r="E1040" s="85"/>
      <c r="F1040" s="85"/>
      <c r="G1040" s="85"/>
      <c r="H1040" s="187"/>
      <c r="I1040" s="85"/>
      <c r="J1040" s="85"/>
      <c r="K1040" s="85"/>
      <c r="L1040" s="85"/>
      <c r="M1040" s="85"/>
      <c r="N1040" s="85"/>
      <c r="O1040" s="189"/>
      <c r="P1040" s="189"/>
      <c r="Q1040" s="189"/>
      <c r="R1040" s="189"/>
    </row>
    <row r="1041" spans="1:18">
      <c r="A1041" s="283"/>
      <c r="B1041" s="283"/>
      <c r="C1041" s="85"/>
      <c r="D1041" s="85"/>
      <c r="E1041" s="85"/>
      <c r="F1041" s="85"/>
      <c r="G1041" s="85"/>
      <c r="H1041" s="187"/>
      <c r="I1041" s="85"/>
      <c r="J1041" s="85"/>
      <c r="K1041" s="85"/>
      <c r="L1041" s="85"/>
      <c r="M1041" s="85"/>
      <c r="N1041" s="85"/>
      <c r="O1041" s="189"/>
      <c r="P1041" s="189"/>
      <c r="Q1041" s="189"/>
      <c r="R1041" s="189"/>
    </row>
    <row r="1042" spans="1:18">
      <c r="A1042" s="283"/>
      <c r="B1042" s="283"/>
      <c r="C1042" s="85"/>
      <c r="D1042" s="85"/>
      <c r="E1042" s="85"/>
      <c r="F1042" s="85"/>
      <c r="G1042" s="85"/>
      <c r="H1042" s="187"/>
      <c r="I1042" s="85"/>
      <c r="J1042" s="85"/>
      <c r="K1042" s="85"/>
      <c r="L1042" s="85"/>
      <c r="M1042" s="85"/>
      <c r="N1042" s="85"/>
      <c r="O1042" s="189"/>
      <c r="P1042" s="189"/>
      <c r="Q1042" s="189"/>
      <c r="R1042" s="189"/>
    </row>
    <row r="1043" spans="1:18">
      <c r="A1043" s="283"/>
      <c r="B1043" s="283"/>
      <c r="C1043" s="85"/>
      <c r="D1043" s="85"/>
      <c r="E1043" s="85"/>
      <c r="F1043" s="85"/>
      <c r="G1043" s="85"/>
      <c r="H1043" s="187"/>
      <c r="I1043" s="85"/>
      <c r="J1043" s="85"/>
      <c r="K1043" s="85"/>
      <c r="L1043" s="85"/>
      <c r="M1043" s="85"/>
      <c r="N1043" s="85"/>
      <c r="O1043" s="189"/>
      <c r="P1043" s="189"/>
      <c r="Q1043" s="189"/>
      <c r="R1043" s="189"/>
    </row>
    <row r="1044" spans="1:18">
      <c r="A1044" s="283"/>
      <c r="B1044" s="283"/>
      <c r="C1044" s="85"/>
      <c r="D1044" s="85"/>
      <c r="E1044" s="85"/>
      <c r="F1044" s="85"/>
      <c r="G1044" s="85"/>
      <c r="H1044" s="187"/>
      <c r="I1044" s="85"/>
      <c r="J1044" s="85"/>
      <c r="K1044" s="85"/>
      <c r="L1044" s="85"/>
      <c r="M1044" s="85"/>
      <c r="N1044" s="85"/>
      <c r="O1044" s="189"/>
      <c r="P1044" s="189"/>
      <c r="Q1044" s="189"/>
      <c r="R1044" s="189"/>
    </row>
    <row r="1045" spans="1:18">
      <c r="A1045" s="283"/>
      <c r="B1045" s="283"/>
      <c r="C1045" s="85"/>
      <c r="D1045" s="85"/>
      <c r="E1045" s="85"/>
      <c r="F1045" s="85"/>
      <c r="G1045" s="85"/>
      <c r="H1045" s="187"/>
      <c r="I1045" s="85"/>
      <c r="J1045" s="85"/>
      <c r="K1045" s="85"/>
      <c r="L1045" s="85"/>
      <c r="M1045" s="85"/>
      <c r="N1045" s="85"/>
      <c r="O1045" s="189"/>
      <c r="P1045" s="189"/>
      <c r="Q1045" s="189"/>
      <c r="R1045" s="189"/>
    </row>
    <row r="1046" spans="1:18">
      <c r="A1046" s="283"/>
      <c r="B1046" s="283"/>
      <c r="C1046" s="85"/>
      <c r="D1046" s="85"/>
      <c r="E1046" s="85"/>
      <c r="F1046" s="85"/>
      <c r="G1046" s="85"/>
      <c r="H1046" s="187"/>
      <c r="I1046" s="85"/>
      <c r="J1046" s="85"/>
      <c r="K1046" s="85"/>
      <c r="L1046" s="85"/>
      <c r="M1046" s="85"/>
      <c r="N1046" s="85"/>
      <c r="O1046" s="189"/>
      <c r="P1046" s="189"/>
      <c r="Q1046" s="189"/>
      <c r="R1046" s="189"/>
    </row>
    <row r="1047" spans="1:18">
      <c r="A1047" s="283"/>
      <c r="B1047" s="283"/>
      <c r="C1047" s="85"/>
      <c r="D1047" s="85"/>
      <c r="E1047" s="85"/>
      <c r="F1047" s="85"/>
      <c r="G1047" s="85"/>
      <c r="H1047" s="187"/>
      <c r="I1047" s="85"/>
      <c r="J1047" s="85"/>
      <c r="K1047" s="85"/>
      <c r="L1047" s="85"/>
      <c r="M1047" s="85"/>
      <c r="N1047" s="85"/>
      <c r="O1047" s="189"/>
      <c r="P1047" s="189"/>
      <c r="Q1047" s="189"/>
      <c r="R1047" s="189"/>
    </row>
    <row r="1048" spans="1:18">
      <c r="A1048" s="283"/>
      <c r="B1048" s="283"/>
      <c r="C1048" s="85"/>
      <c r="D1048" s="85"/>
      <c r="E1048" s="85"/>
      <c r="F1048" s="85"/>
      <c r="G1048" s="85"/>
      <c r="H1048" s="187"/>
      <c r="I1048" s="85"/>
      <c r="J1048" s="85"/>
      <c r="K1048" s="85"/>
      <c r="L1048" s="85"/>
      <c r="M1048" s="85"/>
      <c r="N1048" s="85"/>
      <c r="O1048" s="189"/>
      <c r="P1048" s="189"/>
      <c r="Q1048" s="189"/>
      <c r="R1048" s="189"/>
    </row>
    <row r="1049" spans="1:18">
      <c r="A1049" s="283"/>
      <c r="B1049" s="283"/>
      <c r="C1049" s="85"/>
      <c r="D1049" s="85"/>
      <c r="E1049" s="85"/>
      <c r="F1049" s="85"/>
      <c r="G1049" s="85"/>
      <c r="H1049" s="187"/>
      <c r="I1049" s="85"/>
      <c r="J1049" s="85"/>
      <c r="K1049" s="85"/>
      <c r="L1049" s="85"/>
      <c r="M1049" s="85"/>
      <c r="N1049" s="85"/>
      <c r="O1049" s="189"/>
      <c r="P1049" s="189"/>
      <c r="Q1049" s="189"/>
      <c r="R1049" s="189"/>
    </row>
    <row r="1050" spans="1:18">
      <c r="A1050" s="283"/>
      <c r="B1050" s="283"/>
      <c r="C1050" s="85"/>
      <c r="D1050" s="85"/>
      <c r="E1050" s="85"/>
      <c r="F1050" s="85"/>
      <c r="G1050" s="85"/>
      <c r="H1050" s="187"/>
      <c r="I1050" s="85"/>
      <c r="J1050" s="85"/>
      <c r="K1050" s="85"/>
      <c r="L1050" s="85"/>
      <c r="M1050" s="85"/>
      <c r="N1050" s="85"/>
      <c r="O1050" s="189"/>
      <c r="P1050" s="189"/>
      <c r="Q1050" s="189"/>
      <c r="R1050" s="189"/>
    </row>
    <row r="1051" spans="1:18">
      <c r="A1051" s="283"/>
      <c r="B1051" s="283"/>
      <c r="C1051" s="85"/>
      <c r="D1051" s="85"/>
      <c r="E1051" s="85"/>
      <c r="F1051" s="85"/>
      <c r="G1051" s="85"/>
      <c r="H1051" s="187"/>
      <c r="I1051" s="85"/>
      <c r="J1051" s="85"/>
      <c r="K1051" s="85"/>
      <c r="L1051" s="85"/>
      <c r="M1051" s="85"/>
      <c r="N1051" s="85"/>
      <c r="O1051" s="189"/>
      <c r="P1051" s="189"/>
      <c r="Q1051" s="189"/>
      <c r="R1051" s="189"/>
    </row>
    <row r="1052" spans="1:18">
      <c r="A1052" s="283"/>
      <c r="B1052" s="283"/>
      <c r="C1052" s="85"/>
      <c r="D1052" s="85"/>
      <c r="E1052" s="85"/>
      <c r="F1052" s="85"/>
      <c r="G1052" s="85"/>
      <c r="H1052" s="187"/>
      <c r="I1052" s="85"/>
      <c r="J1052" s="85"/>
      <c r="K1052" s="85"/>
      <c r="L1052" s="85"/>
      <c r="M1052" s="85"/>
      <c r="N1052" s="85"/>
      <c r="O1052" s="189"/>
      <c r="P1052" s="189"/>
      <c r="Q1052" s="189"/>
      <c r="R1052" s="189"/>
    </row>
    <row r="1053" spans="1:18">
      <c r="A1053" s="283"/>
      <c r="B1053" s="283"/>
      <c r="C1053" s="85"/>
      <c r="D1053" s="85"/>
      <c r="E1053" s="85"/>
      <c r="F1053" s="85"/>
      <c r="G1053" s="85"/>
      <c r="H1053" s="187"/>
      <c r="I1053" s="85"/>
      <c r="J1053" s="85"/>
      <c r="K1053" s="85"/>
      <c r="L1053" s="85"/>
      <c r="M1053" s="85"/>
      <c r="N1053" s="85"/>
      <c r="O1053" s="189"/>
      <c r="P1053" s="189"/>
      <c r="Q1053" s="189"/>
      <c r="R1053" s="189"/>
    </row>
    <row r="1054" spans="1:18">
      <c r="A1054" s="283"/>
      <c r="B1054" s="283"/>
      <c r="C1054" s="85"/>
      <c r="D1054" s="85"/>
      <c r="E1054" s="85"/>
      <c r="F1054" s="85"/>
      <c r="G1054" s="85"/>
      <c r="H1054" s="187"/>
      <c r="I1054" s="85"/>
      <c r="J1054" s="85"/>
      <c r="K1054" s="85"/>
      <c r="L1054" s="85"/>
      <c r="M1054" s="85"/>
      <c r="N1054" s="85"/>
      <c r="O1054" s="189"/>
      <c r="P1054" s="189"/>
      <c r="Q1054" s="189"/>
      <c r="R1054" s="189"/>
    </row>
    <row r="1055" spans="1:18">
      <c r="A1055" s="283"/>
      <c r="B1055" s="283"/>
      <c r="C1055" s="85"/>
      <c r="D1055" s="85"/>
      <c r="E1055" s="85"/>
      <c r="F1055" s="85"/>
      <c r="G1055" s="85"/>
      <c r="H1055" s="187"/>
      <c r="I1055" s="85"/>
      <c r="J1055" s="85"/>
      <c r="K1055" s="85"/>
      <c r="L1055" s="85"/>
      <c r="M1055" s="85"/>
      <c r="N1055" s="85"/>
      <c r="O1055" s="189"/>
      <c r="P1055" s="189"/>
      <c r="Q1055" s="189"/>
      <c r="R1055" s="189"/>
    </row>
    <row r="1056" spans="1:18">
      <c r="A1056" s="283"/>
      <c r="B1056" s="283"/>
      <c r="C1056" s="85"/>
      <c r="D1056" s="85"/>
      <c r="E1056" s="85"/>
      <c r="F1056" s="85"/>
      <c r="G1056" s="85"/>
      <c r="H1056" s="187"/>
      <c r="I1056" s="85"/>
      <c r="J1056" s="85"/>
      <c r="K1056" s="85"/>
      <c r="L1056" s="85"/>
      <c r="M1056" s="85"/>
      <c r="N1056" s="85"/>
      <c r="O1056" s="189"/>
      <c r="P1056" s="189"/>
      <c r="Q1056" s="189"/>
      <c r="R1056" s="189"/>
    </row>
    <row r="1057" spans="1:18">
      <c r="A1057" s="283"/>
      <c r="B1057" s="283"/>
      <c r="C1057" s="85"/>
      <c r="D1057" s="85"/>
      <c r="E1057" s="85"/>
      <c r="F1057" s="85"/>
      <c r="G1057" s="85"/>
      <c r="H1057" s="187"/>
      <c r="I1057" s="85"/>
      <c r="J1057" s="85"/>
      <c r="K1057" s="85"/>
      <c r="L1057" s="85"/>
      <c r="M1057" s="85"/>
      <c r="N1057" s="85"/>
      <c r="O1057" s="189"/>
      <c r="P1057" s="189"/>
      <c r="Q1057" s="189"/>
      <c r="R1057" s="189"/>
    </row>
    <row r="1058" spans="1:18">
      <c r="A1058" s="283"/>
      <c r="B1058" s="283"/>
      <c r="C1058" s="85"/>
      <c r="D1058" s="85"/>
      <c r="E1058" s="85"/>
      <c r="F1058" s="85"/>
      <c r="G1058" s="85"/>
      <c r="H1058" s="187"/>
      <c r="I1058" s="85"/>
      <c r="J1058" s="85"/>
      <c r="K1058" s="85"/>
      <c r="L1058" s="85"/>
      <c r="M1058" s="85"/>
      <c r="N1058" s="85"/>
      <c r="O1058" s="189"/>
      <c r="P1058" s="189"/>
      <c r="Q1058" s="189"/>
      <c r="R1058" s="189"/>
    </row>
    <row r="1059" spans="1:18">
      <c r="A1059" s="283"/>
      <c r="B1059" s="283"/>
      <c r="C1059" s="85"/>
      <c r="D1059" s="85"/>
      <c r="E1059" s="85"/>
      <c r="F1059" s="85"/>
      <c r="G1059" s="85"/>
      <c r="H1059" s="187"/>
      <c r="I1059" s="85"/>
      <c r="J1059" s="85"/>
      <c r="K1059" s="85"/>
      <c r="L1059" s="85"/>
      <c r="M1059" s="85"/>
      <c r="N1059" s="85"/>
      <c r="O1059" s="189"/>
      <c r="P1059" s="189"/>
      <c r="Q1059" s="189"/>
      <c r="R1059" s="189"/>
    </row>
    <row r="1060" spans="1:18">
      <c r="A1060" s="283"/>
      <c r="B1060" s="283"/>
      <c r="C1060" s="85"/>
      <c r="D1060" s="85"/>
      <c r="E1060" s="85"/>
      <c r="F1060" s="85"/>
      <c r="G1060" s="85"/>
      <c r="H1060" s="187"/>
      <c r="I1060" s="85"/>
      <c r="J1060" s="85"/>
      <c r="K1060" s="85"/>
      <c r="L1060" s="85"/>
      <c r="M1060" s="85"/>
      <c r="N1060" s="85"/>
      <c r="O1060" s="189"/>
      <c r="P1060" s="189"/>
      <c r="Q1060" s="189"/>
      <c r="R1060" s="189"/>
    </row>
    <row r="1061" spans="1:18">
      <c r="A1061" s="283"/>
      <c r="B1061" s="283"/>
      <c r="C1061" s="85"/>
      <c r="D1061" s="85"/>
      <c r="E1061" s="85"/>
      <c r="F1061" s="85"/>
      <c r="G1061" s="85"/>
      <c r="H1061" s="187"/>
      <c r="I1061" s="85"/>
      <c r="J1061" s="85"/>
      <c r="K1061" s="85"/>
      <c r="L1061" s="85"/>
      <c r="M1061" s="85"/>
      <c r="N1061" s="85"/>
      <c r="O1061" s="189"/>
      <c r="P1061" s="189"/>
      <c r="Q1061" s="189"/>
      <c r="R1061" s="189"/>
    </row>
    <row r="1062" spans="1:18">
      <c r="A1062" s="283"/>
      <c r="B1062" s="283"/>
      <c r="C1062" s="85"/>
      <c r="D1062" s="85"/>
      <c r="E1062" s="85"/>
      <c r="F1062" s="85"/>
      <c r="G1062" s="85"/>
      <c r="H1062" s="187"/>
      <c r="I1062" s="85"/>
      <c r="J1062" s="85"/>
      <c r="K1062" s="85"/>
      <c r="L1062" s="85"/>
      <c r="M1062" s="85"/>
      <c r="N1062" s="85"/>
      <c r="O1062" s="189"/>
      <c r="P1062" s="189"/>
      <c r="Q1062" s="189"/>
      <c r="R1062" s="189"/>
    </row>
    <row r="1063" spans="1:18">
      <c r="A1063" s="283"/>
      <c r="B1063" s="283"/>
      <c r="C1063" s="85"/>
      <c r="D1063" s="85"/>
      <c r="E1063" s="85"/>
      <c r="F1063" s="85"/>
      <c r="G1063" s="85"/>
      <c r="H1063" s="187"/>
      <c r="I1063" s="85"/>
      <c r="J1063" s="85"/>
      <c r="K1063" s="85"/>
      <c r="L1063" s="85"/>
      <c r="M1063" s="85"/>
      <c r="N1063" s="85"/>
      <c r="O1063" s="189"/>
      <c r="P1063" s="189"/>
      <c r="Q1063" s="189"/>
      <c r="R1063" s="189"/>
    </row>
    <row r="1064" spans="1:18">
      <c r="A1064" s="283"/>
      <c r="B1064" s="283"/>
      <c r="C1064" s="85"/>
      <c r="D1064" s="85"/>
      <c r="E1064" s="85"/>
      <c r="F1064" s="85"/>
      <c r="G1064" s="85"/>
      <c r="H1064" s="187"/>
      <c r="I1064" s="85"/>
      <c r="J1064" s="85"/>
      <c r="K1064" s="85"/>
      <c r="L1064" s="85"/>
      <c r="M1064" s="85"/>
      <c r="N1064" s="85"/>
      <c r="O1064" s="189"/>
      <c r="P1064" s="189"/>
      <c r="Q1064" s="189"/>
      <c r="R1064" s="189"/>
    </row>
    <row r="1065" spans="1:18">
      <c r="A1065" s="283"/>
      <c r="B1065" s="283"/>
      <c r="C1065" s="85"/>
      <c r="D1065" s="85"/>
      <c r="E1065" s="85"/>
      <c r="F1065" s="85"/>
      <c r="G1065" s="85"/>
      <c r="H1065" s="187"/>
      <c r="I1065" s="85"/>
      <c r="J1065" s="85"/>
      <c r="K1065" s="85"/>
      <c r="L1065" s="85"/>
      <c r="M1065" s="85"/>
      <c r="N1065" s="85"/>
      <c r="O1065" s="189"/>
      <c r="P1065" s="189"/>
      <c r="Q1065" s="189"/>
      <c r="R1065" s="189"/>
    </row>
    <row r="1066" spans="1:18">
      <c r="A1066" s="283"/>
      <c r="B1066" s="283"/>
      <c r="C1066" s="85"/>
      <c r="D1066" s="85"/>
      <c r="E1066" s="85"/>
      <c r="F1066" s="85"/>
      <c r="G1066" s="85"/>
      <c r="H1066" s="187"/>
      <c r="I1066" s="85"/>
      <c r="J1066" s="85"/>
      <c r="K1066" s="85"/>
      <c r="L1066" s="85"/>
      <c r="M1066" s="85"/>
      <c r="N1066" s="85"/>
      <c r="O1066" s="189"/>
      <c r="P1066" s="189"/>
      <c r="Q1066" s="189"/>
      <c r="R1066" s="189"/>
    </row>
    <row r="1067" spans="1:18">
      <c r="A1067" s="283"/>
      <c r="B1067" s="283"/>
      <c r="C1067" s="85"/>
      <c r="D1067" s="85"/>
      <c r="E1067" s="85"/>
      <c r="F1067" s="85"/>
      <c r="G1067" s="85"/>
      <c r="H1067" s="187"/>
      <c r="I1067" s="85"/>
      <c r="J1067" s="85"/>
      <c r="K1067" s="85"/>
      <c r="L1067" s="85"/>
      <c r="M1067" s="85"/>
      <c r="N1067" s="85"/>
      <c r="O1067" s="189"/>
      <c r="P1067" s="189"/>
      <c r="Q1067" s="189"/>
      <c r="R1067" s="189"/>
    </row>
    <row r="1068" spans="1:18">
      <c r="A1068" s="283"/>
      <c r="B1068" s="283"/>
      <c r="C1068" s="85"/>
      <c r="D1068" s="85"/>
      <c r="E1068" s="85"/>
      <c r="F1068" s="85"/>
      <c r="G1068" s="85"/>
      <c r="H1068" s="187"/>
      <c r="I1068" s="85"/>
      <c r="J1068" s="85"/>
      <c r="K1068" s="85"/>
      <c r="L1068" s="85"/>
      <c r="M1068" s="85"/>
      <c r="N1068" s="85"/>
      <c r="O1068" s="189"/>
      <c r="P1068" s="189"/>
      <c r="Q1068" s="189"/>
      <c r="R1068" s="189"/>
    </row>
    <row r="1069" spans="1:18">
      <c r="A1069" s="283"/>
      <c r="B1069" s="283"/>
      <c r="C1069" s="85"/>
      <c r="D1069" s="85"/>
      <c r="E1069" s="85"/>
      <c r="F1069" s="85"/>
      <c r="G1069" s="85"/>
      <c r="H1069" s="187"/>
      <c r="I1069" s="85"/>
      <c r="J1069" s="85"/>
      <c r="K1069" s="85"/>
      <c r="L1069" s="85"/>
      <c r="M1069" s="85"/>
      <c r="N1069" s="85"/>
      <c r="O1069" s="189"/>
      <c r="P1069" s="189"/>
      <c r="Q1069" s="189"/>
      <c r="R1069" s="189"/>
    </row>
    <row r="1070" spans="1:18">
      <c r="A1070" s="283"/>
      <c r="B1070" s="283"/>
      <c r="C1070" s="85"/>
      <c r="D1070" s="85"/>
      <c r="E1070" s="85"/>
      <c r="F1070" s="85"/>
      <c r="G1070" s="85"/>
      <c r="H1070" s="187"/>
      <c r="I1070" s="85"/>
      <c r="J1070" s="85"/>
      <c r="K1070" s="85"/>
      <c r="L1070" s="85"/>
      <c r="M1070" s="85"/>
      <c r="N1070" s="85"/>
      <c r="O1070" s="189"/>
      <c r="P1070" s="189"/>
      <c r="Q1070" s="189"/>
      <c r="R1070" s="189"/>
    </row>
    <row r="1071" spans="1:18">
      <c r="A1071" s="283"/>
      <c r="B1071" s="283"/>
      <c r="C1071" s="85"/>
      <c r="D1071" s="85"/>
      <c r="E1071" s="85"/>
      <c r="F1071" s="85"/>
      <c r="G1071" s="85"/>
      <c r="H1071" s="187"/>
      <c r="I1071" s="85"/>
      <c r="J1071" s="85"/>
      <c r="K1071" s="85"/>
      <c r="L1071" s="85"/>
      <c r="M1071" s="85"/>
      <c r="N1071" s="85"/>
      <c r="O1071" s="189"/>
      <c r="P1071" s="189"/>
      <c r="Q1071" s="189"/>
      <c r="R1071" s="189"/>
    </row>
    <row r="1072" spans="1:18">
      <c r="A1072" s="283"/>
      <c r="B1072" s="283"/>
      <c r="C1072" s="85"/>
      <c r="D1072" s="85"/>
      <c r="E1072" s="85"/>
      <c r="F1072" s="85"/>
      <c r="G1072" s="85"/>
      <c r="H1072" s="187"/>
      <c r="I1072" s="85"/>
      <c r="J1072" s="85"/>
      <c r="K1072" s="85"/>
      <c r="L1072" s="85"/>
      <c r="M1072" s="85"/>
      <c r="N1072" s="85"/>
      <c r="O1072" s="189"/>
      <c r="P1072" s="189"/>
      <c r="Q1072" s="189"/>
      <c r="R1072" s="189"/>
    </row>
    <row r="1073" spans="1:18">
      <c r="A1073" s="283"/>
      <c r="B1073" s="283"/>
      <c r="C1073" s="85"/>
      <c r="D1073" s="85"/>
      <c r="E1073" s="85"/>
      <c r="F1073" s="85"/>
      <c r="G1073" s="85"/>
      <c r="H1073" s="187"/>
      <c r="I1073" s="85"/>
      <c r="J1073" s="85"/>
      <c r="K1073" s="85"/>
      <c r="L1073" s="85"/>
      <c r="M1073" s="85"/>
      <c r="N1073" s="85"/>
      <c r="O1073" s="189"/>
      <c r="P1073" s="189"/>
      <c r="Q1073" s="189"/>
      <c r="R1073" s="189"/>
    </row>
    <row r="1074" spans="1:18">
      <c r="A1074" s="283"/>
      <c r="B1074" s="283"/>
      <c r="C1074" s="85"/>
      <c r="D1074" s="85"/>
      <c r="E1074" s="85"/>
      <c r="F1074" s="85"/>
      <c r="G1074" s="85"/>
      <c r="H1074" s="187"/>
      <c r="I1074" s="85"/>
      <c r="J1074" s="85"/>
      <c r="K1074" s="85"/>
      <c r="L1074" s="85"/>
      <c r="M1074" s="85"/>
      <c r="N1074" s="85"/>
      <c r="O1074" s="189"/>
      <c r="P1074" s="189"/>
      <c r="Q1074" s="189"/>
      <c r="R1074" s="189"/>
    </row>
    <row r="1075" spans="1:18">
      <c r="A1075" s="283"/>
      <c r="B1075" s="283"/>
      <c r="C1075" s="85"/>
      <c r="D1075" s="85"/>
      <c r="E1075" s="85"/>
      <c r="F1075" s="85"/>
      <c r="G1075" s="85"/>
      <c r="H1075" s="187"/>
      <c r="I1075" s="85"/>
      <c r="J1075" s="85"/>
      <c r="K1075" s="85"/>
      <c r="L1075" s="85"/>
      <c r="M1075" s="85"/>
      <c r="N1075" s="85"/>
      <c r="O1075" s="189"/>
      <c r="P1075" s="189"/>
      <c r="Q1075" s="189"/>
      <c r="R1075" s="189"/>
    </row>
    <row r="1076" spans="1:18">
      <c r="A1076" s="283"/>
      <c r="B1076" s="283"/>
      <c r="C1076" s="85"/>
      <c r="D1076" s="85"/>
      <c r="E1076" s="85"/>
      <c r="F1076" s="85"/>
      <c r="G1076" s="85"/>
      <c r="H1076" s="187"/>
      <c r="I1076" s="85"/>
      <c r="J1076" s="85"/>
      <c r="K1076" s="85"/>
      <c r="L1076" s="85"/>
      <c r="M1076" s="85"/>
      <c r="N1076" s="85"/>
      <c r="O1076" s="189"/>
      <c r="P1076" s="189"/>
      <c r="Q1076" s="189"/>
      <c r="R1076" s="189"/>
    </row>
    <row r="1077" spans="1:18">
      <c r="A1077" s="283"/>
      <c r="B1077" s="283"/>
      <c r="C1077" s="85"/>
      <c r="D1077" s="85"/>
      <c r="E1077" s="85"/>
      <c r="F1077" s="85"/>
      <c r="G1077" s="85"/>
      <c r="H1077" s="187"/>
      <c r="I1077" s="85"/>
      <c r="J1077" s="85"/>
      <c r="K1077" s="85"/>
      <c r="L1077" s="85"/>
      <c r="M1077" s="85"/>
      <c r="N1077" s="85"/>
      <c r="O1077" s="189"/>
      <c r="P1077" s="189"/>
      <c r="Q1077" s="189"/>
      <c r="R1077" s="189"/>
    </row>
    <row r="1078" spans="1:18">
      <c r="A1078" s="283"/>
      <c r="B1078" s="283"/>
      <c r="C1078" s="85"/>
      <c r="D1078" s="85"/>
      <c r="E1078" s="85"/>
      <c r="F1078" s="85"/>
      <c r="G1078" s="85"/>
      <c r="H1078" s="187"/>
      <c r="I1078" s="85"/>
      <c r="J1078" s="85"/>
      <c r="K1078" s="85"/>
      <c r="L1078" s="85"/>
      <c r="M1078" s="85"/>
      <c r="N1078" s="85"/>
      <c r="O1078" s="189"/>
      <c r="P1078" s="189"/>
      <c r="Q1078" s="189"/>
      <c r="R1078" s="189"/>
    </row>
    <row r="1079" spans="1:18">
      <c r="A1079" s="283"/>
      <c r="B1079" s="283"/>
      <c r="C1079" s="85"/>
      <c r="D1079" s="85"/>
      <c r="E1079" s="85"/>
      <c r="F1079" s="85"/>
      <c r="G1079" s="85"/>
      <c r="H1079" s="187"/>
      <c r="I1079" s="85"/>
      <c r="J1079" s="85"/>
      <c r="K1079" s="85"/>
      <c r="L1079" s="85"/>
      <c r="M1079" s="85"/>
      <c r="N1079" s="85"/>
      <c r="O1079" s="189"/>
      <c r="P1079" s="189"/>
      <c r="Q1079" s="189"/>
      <c r="R1079" s="189"/>
    </row>
    <row r="1080" spans="1:18">
      <c r="A1080" s="283"/>
      <c r="B1080" s="283"/>
      <c r="C1080" s="85"/>
      <c r="D1080" s="85"/>
      <c r="E1080" s="85"/>
      <c r="F1080" s="85"/>
      <c r="G1080" s="85"/>
      <c r="H1080" s="187"/>
      <c r="I1080" s="85"/>
      <c r="J1080" s="85"/>
      <c r="K1080" s="85"/>
      <c r="L1080" s="85"/>
      <c r="M1080" s="85"/>
      <c r="N1080" s="85"/>
      <c r="O1080" s="189"/>
      <c r="P1080" s="189"/>
      <c r="Q1080" s="189"/>
      <c r="R1080" s="189"/>
    </row>
    <row r="1081" spans="1:18">
      <c r="A1081" s="283"/>
      <c r="B1081" s="283"/>
      <c r="C1081" s="85"/>
      <c r="D1081" s="85"/>
      <c r="E1081" s="85"/>
      <c r="F1081" s="85"/>
      <c r="G1081" s="85"/>
      <c r="H1081" s="187"/>
      <c r="I1081" s="85"/>
      <c r="J1081" s="85"/>
      <c r="K1081" s="85"/>
      <c r="L1081" s="85"/>
      <c r="M1081" s="85"/>
      <c r="N1081" s="85"/>
      <c r="O1081" s="189"/>
      <c r="P1081" s="189"/>
      <c r="Q1081" s="189"/>
      <c r="R1081" s="189"/>
    </row>
    <row r="1082" spans="1:18">
      <c r="A1082" s="283"/>
      <c r="B1082" s="283"/>
      <c r="C1082" s="85"/>
      <c r="D1082" s="85"/>
      <c r="E1082" s="85"/>
      <c r="F1082" s="85"/>
      <c r="G1082" s="85"/>
      <c r="H1082" s="187"/>
      <c r="I1082" s="85"/>
      <c r="J1082" s="85"/>
      <c r="K1082" s="85"/>
      <c r="L1082" s="85"/>
      <c r="M1082" s="85"/>
      <c r="N1082" s="85"/>
      <c r="O1082" s="189"/>
      <c r="P1082" s="189"/>
      <c r="Q1082" s="189"/>
      <c r="R1082" s="189"/>
    </row>
    <row r="1083" spans="1:18">
      <c r="A1083" s="283"/>
      <c r="B1083" s="283"/>
      <c r="C1083" s="85"/>
      <c r="D1083" s="85"/>
      <c r="E1083" s="85"/>
      <c r="F1083" s="85"/>
      <c r="G1083" s="85"/>
      <c r="H1083" s="187"/>
      <c r="I1083" s="85"/>
      <c r="J1083" s="85"/>
      <c r="K1083" s="85"/>
      <c r="L1083" s="85"/>
      <c r="M1083" s="85"/>
      <c r="N1083" s="85"/>
      <c r="O1083" s="189"/>
      <c r="P1083" s="189"/>
      <c r="Q1083" s="189"/>
      <c r="R1083" s="189"/>
    </row>
    <row r="1084" spans="1:18">
      <c r="A1084" s="283"/>
      <c r="B1084" s="283"/>
      <c r="C1084" s="85"/>
      <c r="D1084" s="85"/>
      <c r="E1084" s="85"/>
      <c r="F1084" s="85"/>
      <c r="G1084" s="85"/>
      <c r="H1084" s="187"/>
      <c r="I1084" s="85"/>
      <c r="J1084" s="85"/>
      <c r="K1084" s="85"/>
      <c r="L1084" s="85"/>
      <c r="M1084" s="85"/>
      <c r="N1084" s="85"/>
      <c r="O1084" s="189"/>
      <c r="P1084" s="189"/>
      <c r="Q1084" s="189"/>
      <c r="R1084" s="189"/>
    </row>
    <row r="1085" spans="1:18">
      <c r="A1085" s="283"/>
      <c r="B1085" s="283"/>
      <c r="C1085" s="85"/>
      <c r="D1085" s="85"/>
      <c r="E1085" s="85"/>
      <c r="F1085" s="85"/>
      <c r="G1085" s="85"/>
      <c r="H1085" s="187"/>
      <c r="I1085" s="85"/>
      <c r="J1085" s="85"/>
      <c r="K1085" s="85"/>
      <c r="L1085" s="85"/>
      <c r="M1085" s="85"/>
      <c r="N1085" s="85"/>
      <c r="O1085" s="189"/>
      <c r="P1085" s="189"/>
      <c r="Q1085" s="189"/>
      <c r="R1085" s="189"/>
    </row>
    <row r="1086" spans="1:18">
      <c r="A1086" s="283"/>
      <c r="B1086" s="283"/>
      <c r="C1086" s="85"/>
      <c r="D1086" s="85"/>
      <c r="E1086" s="85"/>
      <c r="F1086" s="85"/>
      <c r="G1086" s="85"/>
      <c r="H1086" s="187"/>
      <c r="I1086" s="85"/>
      <c r="J1086" s="85"/>
      <c r="K1086" s="85"/>
      <c r="L1086" s="85"/>
      <c r="M1086" s="85"/>
      <c r="N1086" s="85"/>
      <c r="O1086" s="189"/>
      <c r="P1086" s="189"/>
      <c r="Q1086" s="189"/>
      <c r="R1086" s="189"/>
    </row>
    <row r="1087" spans="1:18">
      <c r="A1087" s="283"/>
      <c r="B1087" s="283"/>
      <c r="C1087" s="85"/>
      <c r="D1087" s="85"/>
      <c r="E1087" s="85"/>
      <c r="F1087" s="85"/>
      <c r="G1087" s="85"/>
      <c r="H1087" s="187"/>
      <c r="I1087" s="85"/>
      <c r="J1087" s="85"/>
      <c r="K1087" s="85"/>
      <c r="L1087" s="85"/>
      <c r="M1087" s="85"/>
      <c r="N1087" s="85"/>
      <c r="O1087" s="189"/>
      <c r="P1087" s="189"/>
      <c r="Q1087" s="189"/>
      <c r="R1087" s="189"/>
    </row>
    <row r="1088" spans="1:18">
      <c r="A1088" s="283"/>
      <c r="B1088" s="283"/>
      <c r="C1088" s="85"/>
      <c r="D1088" s="85"/>
      <c r="E1088" s="85"/>
      <c r="F1088" s="85"/>
      <c r="G1088" s="85"/>
      <c r="H1088" s="187"/>
      <c r="I1088" s="85"/>
      <c r="J1088" s="85"/>
      <c r="K1088" s="85"/>
      <c r="L1088" s="85"/>
      <c r="M1088" s="85"/>
      <c r="N1088" s="85"/>
      <c r="O1088" s="189"/>
      <c r="P1088" s="189"/>
      <c r="Q1088" s="189"/>
      <c r="R1088" s="189"/>
    </row>
    <row r="1089" spans="1:18">
      <c r="A1089" s="283"/>
      <c r="B1089" s="283"/>
      <c r="C1089" s="85"/>
      <c r="D1089" s="85"/>
      <c r="E1089" s="85"/>
      <c r="F1089" s="85"/>
      <c r="G1089" s="85"/>
      <c r="H1089" s="187"/>
      <c r="I1089" s="85"/>
      <c r="J1089" s="85"/>
      <c r="K1089" s="85"/>
      <c r="L1089" s="85"/>
      <c r="M1089" s="85"/>
      <c r="N1089" s="85"/>
      <c r="O1089" s="189"/>
      <c r="P1089" s="189"/>
      <c r="Q1089" s="189"/>
      <c r="R1089" s="189"/>
    </row>
    <row r="1090" spans="1:18">
      <c r="A1090" s="283"/>
      <c r="B1090" s="283"/>
      <c r="C1090" s="85"/>
      <c r="D1090" s="85"/>
      <c r="E1090" s="85"/>
      <c r="F1090" s="85"/>
      <c r="G1090" s="85"/>
      <c r="H1090" s="187"/>
      <c r="I1090" s="85"/>
      <c r="J1090" s="85"/>
      <c r="K1090" s="85"/>
      <c r="L1090" s="85"/>
      <c r="M1090" s="85"/>
      <c r="N1090" s="85"/>
      <c r="O1090" s="189"/>
      <c r="P1090" s="189"/>
      <c r="Q1090" s="189"/>
      <c r="R1090" s="189"/>
    </row>
    <row r="1091" spans="1:18">
      <c r="A1091" s="283"/>
      <c r="B1091" s="283"/>
      <c r="C1091" s="85"/>
      <c r="D1091" s="85"/>
      <c r="E1091" s="85"/>
      <c r="F1091" s="85"/>
      <c r="G1091" s="85"/>
      <c r="H1091" s="187"/>
      <c r="I1091" s="85"/>
      <c r="J1091" s="85"/>
      <c r="K1091" s="85"/>
      <c r="L1091" s="85"/>
      <c r="M1091" s="85"/>
      <c r="N1091" s="85"/>
      <c r="O1091" s="189"/>
      <c r="P1091" s="189"/>
      <c r="Q1091" s="189"/>
      <c r="R1091" s="189"/>
    </row>
    <row r="1092" spans="1:18">
      <c r="A1092" s="283"/>
      <c r="B1092" s="283"/>
      <c r="C1092" s="85"/>
      <c r="D1092" s="85"/>
      <c r="E1092" s="85"/>
      <c r="F1092" s="85"/>
      <c r="G1092" s="85"/>
      <c r="H1092" s="187"/>
      <c r="I1092" s="85"/>
      <c r="J1092" s="85"/>
      <c r="K1092" s="85"/>
      <c r="L1092" s="85"/>
      <c r="M1092" s="85"/>
      <c r="N1092" s="85"/>
      <c r="O1092" s="189"/>
      <c r="P1092" s="189"/>
      <c r="Q1092" s="189"/>
      <c r="R1092" s="189"/>
    </row>
    <row r="1093" spans="1:18">
      <c r="A1093" s="283"/>
      <c r="B1093" s="283"/>
      <c r="C1093" s="85"/>
      <c r="D1093" s="85"/>
      <c r="E1093" s="85"/>
      <c r="F1093" s="85"/>
      <c r="G1093" s="85"/>
      <c r="H1093" s="187"/>
      <c r="I1093" s="85"/>
      <c r="J1093" s="85"/>
      <c r="K1093" s="85"/>
      <c r="L1093" s="85"/>
      <c r="M1093" s="85"/>
      <c r="N1093" s="85"/>
      <c r="O1093" s="189"/>
      <c r="P1093" s="189"/>
      <c r="Q1093" s="189"/>
      <c r="R1093" s="189"/>
    </row>
    <row r="1094" spans="1:18">
      <c r="A1094" s="283"/>
      <c r="B1094" s="283"/>
      <c r="C1094" s="85"/>
      <c r="D1094" s="85"/>
      <c r="E1094" s="85"/>
      <c r="F1094" s="85"/>
      <c r="G1094" s="85"/>
      <c r="H1094" s="187"/>
      <c r="I1094" s="85"/>
      <c r="J1094" s="85"/>
      <c r="K1094" s="85"/>
      <c r="L1094" s="85"/>
      <c r="M1094" s="85"/>
      <c r="N1094" s="85"/>
      <c r="O1094" s="189"/>
      <c r="P1094" s="189"/>
      <c r="Q1094" s="189"/>
      <c r="R1094" s="189"/>
    </row>
    <row r="1095" spans="1:18">
      <c r="A1095" s="283"/>
      <c r="B1095" s="283"/>
      <c r="C1095" s="85"/>
      <c r="D1095" s="85"/>
      <c r="E1095" s="85"/>
      <c r="F1095" s="85"/>
      <c r="G1095" s="85"/>
      <c r="H1095" s="187"/>
      <c r="I1095" s="85"/>
      <c r="J1095" s="85"/>
      <c r="K1095" s="85"/>
      <c r="L1095" s="85"/>
      <c r="M1095" s="85"/>
      <c r="N1095" s="85"/>
      <c r="O1095" s="189"/>
      <c r="P1095" s="189"/>
      <c r="Q1095" s="189"/>
      <c r="R1095" s="189"/>
    </row>
    <row r="1096" spans="1:18">
      <c r="A1096" s="283"/>
      <c r="B1096" s="283"/>
      <c r="C1096" s="85"/>
      <c r="D1096" s="85"/>
      <c r="E1096" s="85"/>
      <c r="F1096" s="85"/>
      <c r="G1096" s="85"/>
      <c r="H1096" s="187"/>
      <c r="I1096" s="85"/>
      <c r="J1096" s="85"/>
      <c r="K1096" s="85"/>
      <c r="L1096" s="85"/>
      <c r="M1096" s="85"/>
      <c r="N1096" s="85"/>
      <c r="O1096" s="189"/>
      <c r="P1096" s="189"/>
      <c r="Q1096" s="189"/>
      <c r="R1096" s="189"/>
    </row>
    <row r="1097" spans="1:18">
      <c r="A1097" s="283"/>
      <c r="B1097" s="283"/>
      <c r="C1097" s="85"/>
      <c r="D1097" s="85"/>
      <c r="E1097" s="85"/>
      <c r="F1097" s="85"/>
      <c r="G1097" s="85"/>
      <c r="H1097" s="187"/>
      <c r="I1097" s="85"/>
      <c r="J1097" s="85"/>
      <c r="K1097" s="85"/>
      <c r="L1097" s="85"/>
      <c r="M1097" s="85"/>
      <c r="N1097" s="85"/>
      <c r="O1097" s="189"/>
      <c r="P1097" s="189"/>
      <c r="Q1097" s="189"/>
      <c r="R1097" s="189"/>
    </row>
    <row r="1098" spans="1:18">
      <c r="A1098" s="283"/>
      <c r="B1098" s="283"/>
      <c r="C1098" s="85"/>
      <c r="D1098" s="85"/>
      <c r="E1098" s="85"/>
      <c r="F1098" s="85"/>
      <c r="G1098" s="85"/>
      <c r="H1098" s="187"/>
      <c r="I1098" s="85"/>
      <c r="J1098" s="85"/>
      <c r="K1098" s="85"/>
      <c r="L1098" s="85"/>
      <c r="M1098" s="85"/>
      <c r="N1098" s="85"/>
      <c r="O1098" s="189"/>
      <c r="P1098" s="189"/>
      <c r="Q1098" s="189"/>
      <c r="R1098" s="189"/>
    </row>
    <row r="1099" spans="1:18">
      <c r="A1099" s="283"/>
      <c r="B1099" s="283"/>
      <c r="C1099" s="85"/>
      <c r="D1099" s="85"/>
      <c r="E1099" s="85"/>
      <c r="F1099" s="85"/>
      <c r="G1099" s="85"/>
      <c r="H1099" s="187"/>
      <c r="I1099" s="85"/>
      <c r="J1099" s="85"/>
      <c r="K1099" s="85"/>
      <c r="L1099" s="85"/>
      <c r="M1099" s="85"/>
      <c r="N1099" s="85"/>
      <c r="O1099" s="189"/>
      <c r="P1099" s="189"/>
      <c r="Q1099" s="189"/>
      <c r="R1099" s="189"/>
    </row>
    <row r="1100" spans="1:18">
      <c r="A1100" s="283"/>
      <c r="B1100" s="283"/>
      <c r="C1100" s="85"/>
      <c r="D1100" s="85"/>
      <c r="E1100" s="85"/>
      <c r="F1100" s="85"/>
      <c r="G1100" s="85"/>
      <c r="H1100" s="187"/>
      <c r="I1100" s="85"/>
      <c r="J1100" s="85"/>
      <c r="K1100" s="85"/>
      <c r="L1100" s="85"/>
      <c r="M1100" s="85"/>
      <c r="N1100" s="85"/>
      <c r="O1100" s="189"/>
      <c r="P1100" s="189"/>
      <c r="Q1100" s="189"/>
      <c r="R1100" s="189"/>
    </row>
    <row r="1101" spans="1:18">
      <c r="A1101" s="283"/>
      <c r="B1101" s="283"/>
      <c r="C1101" s="85"/>
      <c r="D1101" s="85"/>
      <c r="E1101" s="85"/>
      <c r="F1101" s="85"/>
      <c r="G1101" s="85"/>
      <c r="H1101" s="187"/>
      <c r="I1101" s="85"/>
      <c r="J1101" s="85"/>
      <c r="K1101" s="85"/>
      <c r="L1101" s="85"/>
      <c r="M1101" s="85"/>
      <c r="N1101" s="85"/>
      <c r="O1101" s="189"/>
      <c r="P1101" s="189"/>
      <c r="Q1101" s="189"/>
      <c r="R1101" s="189"/>
    </row>
    <row r="1102" spans="1:18">
      <c r="A1102" s="283"/>
      <c r="B1102" s="283"/>
      <c r="C1102" s="85"/>
      <c r="D1102" s="85"/>
      <c r="E1102" s="85"/>
      <c r="F1102" s="85"/>
      <c r="G1102" s="85"/>
      <c r="H1102" s="187"/>
      <c r="I1102" s="85"/>
      <c r="J1102" s="85"/>
      <c r="K1102" s="85"/>
      <c r="L1102" s="85"/>
      <c r="M1102" s="85"/>
      <c r="N1102" s="85"/>
      <c r="O1102" s="189"/>
      <c r="P1102" s="189"/>
      <c r="Q1102" s="189"/>
      <c r="R1102" s="189"/>
    </row>
    <row r="1103" spans="1:18">
      <c r="A1103" s="283"/>
      <c r="B1103" s="283"/>
      <c r="C1103" s="85"/>
      <c r="D1103" s="85"/>
      <c r="E1103" s="85"/>
      <c r="F1103" s="85"/>
      <c r="G1103" s="85"/>
      <c r="H1103" s="187"/>
      <c r="I1103" s="85"/>
      <c r="J1103" s="85"/>
      <c r="K1103" s="85"/>
      <c r="L1103" s="85"/>
      <c r="M1103" s="85"/>
      <c r="N1103" s="85"/>
      <c r="O1103" s="189"/>
      <c r="P1103" s="189"/>
      <c r="Q1103" s="189"/>
      <c r="R1103" s="189"/>
    </row>
    <row r="1104" spans="1:18">
      <c r="A1104" s="283"/>
      <c r="B1104" s="283"/>
      <c r="C1104" s="85"/>
      <c r="D1104" s="85"/>
      <c r="E1104" s="85"/>
      <c r="F1104" s="85"/>
      <c r="G1104" s="85"/>
      <c r="H1104" s="187"/>
      <c r="I1104" s="85"/>
      <c r="J1104" s="85"/>
      <c r="K1104" s="85"/>
      <c r="L1104" s="85"/>
      <c r="M1104" s="85"/>
      <c r="N1104" s="85"/>
      <c r="O1104" s="189"/>
      <c r="P1104" s="189"/>
      <c r="Q1104" s="189"/>
      <c r="R1104" s="189"/>
    </row>
    <row r="1105" spans="1:18">
      <c r="A1105" s="283"/>
      <c r="B1105" s="283"/>
      <c r="C1105" s="85"/>
      <c r="D1105" s="85"/>
      <c r="E1105" s="85"/>
      <c r="F1105" s="85"/>
      <c r="G1105" s="85"/>
      <c r="H1105" s="187"/>
      <c r="I1105" s="85"/>
      <c r="J1105" s="85"/>
      <c r="K1105" s="85"/>
      <c r="L1105" s="85"/>
      <c r="M1105" s="85"/>
      <c r="N1105" s="85"/>
      <c r="O1105" s="189"/>
      <c r="P1105" s="189"/>
      <c r="Q1105" s="189"/>
      <c r="R1105" s="189"/>
    </row>
    <row r="1106" spans="1:18">
      <c r="A1106" s="283"/>
      <c r="B1106" s="283"/>
      <c r="C1106" s="85"/>
      <c r="D1106" s="85"/>
      <c r="E1106" s="85"/>
      <c r="F1106" s="85"/>
      <c r="G1106" s="85"/>
      <c r="H1106" s="187"/>
      <c r="I1106" s="85"/>
      <c r="J1106" s="85"/>
      <c r="K1106" s="85"/>
      <c r="L1106" s="85"/>
      <c r="M1106" s="85"/>
      <c r="N1106" s="85"/>
      <c r="O1106" s="189"/>
      <c r="P1106" s="189"/>
      <c r="Q1106" s="189"/>
      <c r="R1106" s="189"/>
    </row>
    <row r="1107" spans="1:18">
      <c r="A1107" s="283"/>
      <c r="B1107" s="283"/>
      <c r="C1107" s="85"/>
      <c r="D1107" s="85"/>
      <c r="E1107" s="85"/>
      <c r="F1107" s="85"/>
      <c r="G1107" s="85"/>
      <c r="H1107" s="187"/>
      <c r="I1107" s="85"/>
      <c r="J1107" s="85"/>
      <c r="K1107" s="85"/>
      <c r="L1107" s="85"/>
      <c r="M1107" s="85"/>
      <c r="N1107" s="85"/>
      <c r="O1107" s="189"/>
      <c r="P1107" s="189"/>
      <c r="Q1107" s="189"/>
      <c r="R1107" s="189"/>
    </row>
    <row r="1108" spans="1:18">
      <c r="A1108" s="283"/>
      <c r="B1108" s="283"/>
      <c r="C1108" s="85"/>
      <c r="D1108" s="85"/>
      <c r="E1108" s="85"/>
      <c r="F1108" s="85"/>
      <c r="G1108" s="85"/>
      <c r="H1108" s="187"/>
      <c r="I1108" s="85"/>
      <c r="J1108" s="85"/>
      <c r="K1108" s="85"/>
      <c r="L1108" s="85"/>
      <c r="M1108" s="85"/>
      <c r="N1108" s="85"/>
      <c r="O1108" s="189"/>
      <c r="P1108" s="189"/>
      <c r="Q1108" s="189"/>
      <c r="R1108" s="189"/>
    </row>
    <row r="1109" spans="1:18">
      <c r="A1109" s="283"/>
      <c r="B1109" s="283"/>
      <c r="C1109" s="85"/>
      <c r="D1109" s="85"/>
      <c r="E1109" s="85"/>
      <c r="F1109" s="85"/>
      <c r="G1109" s="85"/>
      <c r="H1109" s="187"/>
      <c r="I1109" s="85"/>
      <c r="J1109" s="85"/>
      <c r="K1109" s="85"/>
      <c r="L1109" s="85"/>
      <c r="M1109" s="85"/>
      <c r="N1109" s="85"/>
      <c r="O1109" s="189"/>
      <c r="P1109" s="189"/>
      <c r="Q1109" s="189"/>
      <c r="R1109" s="189"/>
    </row>
    <row r="1110" spans="1:18">
      <c r="A1110" s="283"/>
      <c r="B1110" s="283"/>
      <c r="C1110" s="85"/>
      <c r="D1110" s="85"/>
      <c r="E1110" s="85"/>
      <c r="F1110" s="85"/>
      <c r="G1110" s="85"/>
      <c r="H1110" s="187"/>
      <c r="I1110" s="85"/>
      <c r="J1110" s="85"/>
      <c r="K1110" s="85"/>
      <c r="L1110" s="85"/>
      <c r="M1110" s="85"/>
      <c r="N1110" s="85"/>
      <c r="O1110" s="189"/>
      <c r="P1110" s="189"/>
      <c r="Q1110" s="189"/>
      <c r="R1110" s="189"/>
    </row>
    <row r="1111" spans="1:18">
      <c r="A1111" s="283"/>
      <c r="B1111" s="283"/>
      <c r="C1111" s="85"/>
      <c r="D1111" s="85"/>
      <c r="E1111" s="85"/>
      <c r="F1111" s="85"/>
      <c r="G1111" s="85"/>
      <c r="H1111" s="187"/>
      <c r="I1111" s="85"/>
      <c r="J1111" s="85"/>
      <c r="K1111" s="85"/>
      <c r="L1111" s="85"/>
      <c r="M1111" s="85"/>
      <c r="N1111" s="85"/>
      <c r="O1111" s="189"/>
      <c r="P1111" s="189"/>
      <c r="Q1111" s="189"/>
      <c r="R1111" s="189"/>
    </row>
    <row r="1112" spans="1:18">
      <c r="A1112" s="283"/>
      <c r="B1112" s="283"/>
      <c r="C1112" s="85"/>
      <c r="D1112" s="85"/>
      <c r="E1112" s="85"/>
      <c r="F1112" s="85"/>
      <c r="G1112" s="85"/>
      <c r="H1112" s="187"/>
      <c r="I1112" s="85"/>
      <c r="J1112" s="85"/>
      <c r="K1112" s="85"/>
      <c r="L1112" s="85"/>
      <c r="M1112" s="85"/>
      <c r="N1112" s="85"/>
      <c r="O1112" s="189"/>
      <c r="P1112" s="189"/>
      <c r="Q1112" s="189"/>
      <c r="R1112" s="189"/>
    </row>
    <row r="1113" spans="1:18">
      <c r="A1113" s="283"/>
      <c r="B1113" s="283"/>
      <c r="C1113" s="85"/>
      <c r="D1113" s="85"/>
      <c r="E1113" s="85"/>
      <c r="F1113" s="85"/>
      <c r="G1113" s="85"/>
      <c r="H1113" s="187"/>
      <c r="I1113" s="85"/>
      <c r="J1113" s="85"/>
      <c r="K1113" s="85"/>
      <c r="L1113" s="85"/>
      <c r="M1113" s="85"/>
      <c r="N1113" s="85"/>
      <c r="O1113" s="189"/>
      <c r="P1113" s="189"/>
      <c r="Q1113" s="189"/>
      <c r="R1113" s="189"/>
    </row>
  </sheetData>
  <mergeCells count="1">
    <mergeCell ref="A2:R2"/>
  </mergeCells>
  <printOptions horizontalCentered="1" gridLines="1"/>
  <pageMargins left="0.7" right="0.7" top="0.75" bottom="0.75" header="0" footer="0"/>
  <pageSetup fitToHeight="0" pageOrder="overThenDown" orientation="portrait" cellComments="atEnd"/>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CEFAB"/>
    <outlinePr summaryBelow="0" summaryRight="0"/>
  </sheetPr>
  <dimension ref="A1:X2601"/>
  <sheetViews>
    <sheetView workbookViewId="0">
      <pane ySplit="10" topLeftCell="A11" activePane="bottomLeft" state="frozen"/>
      <selection pane="bottomLeft" activeCell="B12" sqref="B12"/>
    </sheetView>
  </sheetViews>
  <sheetFormatPr defaultColWidth="14.42578125" defaultRowHeight="15.75" customHeight="1"/>
  <cols>
    <col min="1" max="1" width="24.42578125" customWidth="1"/>
    <col min="2" max="2" width="21.140625" customWidth="1"/>
    <col min="3" max="3" width="25.85546875" customWidth="1"/>
    <col min="4" max="4" width="18.85546875" customWidth="1"/>
    <col min="5" max="5" width="9.28515625" customWidth="1"/>
  </cols>
  <sheetData>
    <row r="1" spans="1:24">
      <c r="A1" s="288"/>
      <c r="B1" s="289">
        <v>2013</v>
      </c>
      <c r="C1" s="289"/>
      <c r="D1" s="289"/>
      <c r="E1" s="289"/>
      <c r="F1" s="290"/>
      <c r="G1" s="290"/>
      <c r="H1" s="290"/>
      <c r="I1" s="290"/>
      <c r="J1" s="290"/>
      <c r="K1" s="290"/>
      <c r="L1" s="290"/>
      <c r="M1" s="290"/>
      <c r="N1" s="290"/>
      <c r="O1" s="290"/>
      <c r="P1" s="290"/>
      <c r="Q1" s="290"/>
      <c r="R1" s="97"/>
      <c r="S1" s="97"/>
      <c r="T1" s="97"/>
      <c r="U1" s="97"/>
      <c r="V1" s="97"/>
      <c r="W1" s="97"/>
      <c r="X1" s="97"/>
    </row>
    <row r="2" spans="1:24">
      <c r="A2" s="291"/>
      <c r="B2" s="289">
        <v>2014</v>
      </c>
      <c r="C2" s="289"/>
      <c r="D2" s="289"/>
      <c r="E2" s="289"/>
      <c r="F2" s="290"/>
      <c r="G2" s="290"/>
      <c r="H2" s="290"/>
      <c r="I2" s="290"/>
      <c r="J2" s="290"/>
      <c r="K2" s="290"/>
      <c r="L2" s="290"/>
      <c r="M2" s="290"/>
      <c r="N2" s="290"/>
      <c r="O2" s="290"/>
      <c r="P2" s="290"/>
      <c r="Q2" s="290"/>
      <c r="R2" s="97"/>
      <c r="S2" s="97"/>
      <c r="T2" s="97"/>
      <c r="U2" s="97"/>
      <c r="V2" s="97"/>
      <c r="W2" s="97"/>
      <c r="X2" s="97"/>
    </row>
    <row r="3" spans="1:24">
      <c r="A3" s="292"/>
      <c r="B3" s="289">
        <v>2015</v>
      </c>
      <c r="C3" s="289"/>
      <c r="D3" s="289"/>
      <c r="E3" s="289"/>
      <c r="F3" s="290"/>
      <c r="G3" s="290"/>
      <c r="H3" s="290"/>
      <c r="I3" s="290"/>
      <c r="J3" s="290"/>
      <c r="K3" s="290"/>
      <c r="L3" s="290"/>
      <c r="M3" s="290"/>
      <c r="N3" s="290"/>
      <c r="O3" s="290"/>
      <c r="P3" s="290"/>
      <c r="Q3" s="290"/>
      <c r="R3" s="97"/>
      <c r="S3" s="97"/>
      <c r="T3" s="97"/>
      <c r="U3" s="97"/>
      <c r="V3" s="97"/>
      <c r="W3" s="97"/>
      <c r="X3" s="97"/>
    </row>
    <row r="4" spans="1:24">
      <c r="A4" s="293"/>
      <c r="B4" s="289">
        <v>2016</v>
      </c>
      <c r="C4" s="289"/>
      <c r="D4" s="289"/>
      <c r="E4" s="289"/>
      <c r="F4" s="290"/>
      <c r="G4" s="290"/>
      <c r="H4" s="290"/>
      <c r="I4" s="290"/>
      <c r="J4" s="290"/>
      <c r="K4" s="290"/>
      <c r="L4" s="290"/>
      <c r="M4" s="290"/>
      <c r="N4" s="290"/>
      <c r="O4" s="290"/>
      <c r="P4" s="290"/>
      <c r="Q4" s="290"/>
      <c r="R4" s="97"/>
      <c r="S4" s="97"/>
      <c r="T4" s="97"/>
      <c r="U4" s="97"/>
      <c r="V4" s="97"/>
      <c r="W4" s="97"/>
      <c r="X4" s="97"/>
    </row>
    <row r="5" spans="1:24">
      <c r="A5" s="294"/>
      <c r="B5" s="289">
        <v>2017</v>
      </c>
      <c r="C5" s="289"/>
      <c r="D5" s="289"/>
      <c r="E5" s="289"/>
      <c r="F5" s="290"/>
      <c r="G5" s="290"/>
      <c r="H5" s="290"/>
      <c r="I5" s="290"/>
      <c r="J5" s="290"/>
      <c r="K5" s="290"/>
      <c r="L5" s="290"/>
      <c r="M5" s="290"/>
      <c r="N5" s="290"/>
      <c r="O5" s="290"/>
      <c r="P5" s="290"/>
      <c r="Q5" s="290"/>
      <c r="R5" s="97"/>
      <c r="S5" s="97"/>
      <c r="T5" s="97"/>
      <c r="U5" s="97"/>
      <c r="V5" s="97"/>
      <c r="W5" s="97"/>
      <c r="X5" s="97"/>
    </row>
    <row r="6" spans="1:24">
      <c r="A6" s="295"/>
      <c r="B6" s="289">
        <v>2018</v>
      </c>
      <c r="C6" s="289"/>
      <c r="D6" s="289"/>
      <c r="E6" s="289"/>
      <c r="F6" s="290"/>
      <c r="G6" s="290"/>
      <c r="H6" s="290"/>
      <c r="I6" s="290"/>
      <c r="J6" s="290"/>
      <c r="K6" s="290"/>
      <c r="L6" s="290"/>
      <c r="M6" s="290"/>
      <c r="N6" s="290"/>
      <c r="O6" s="290"/>
      <c r="P6" s="290"/>
      <c r="Q6" s="290"/>
      <c r="R6" s="97"/>
      <c r="S6" s="97"/>
      <c r="T6" s="97"/>
      <c r="U6" s="97"/>
      <c r="V6" s="97"/>
      <c r="W6" s="97"/>
      <c r="X6" s="97"/>
    </row>
    <row r="7" spans="1:24">
      <c r="A7" s="296"/>
      <c r="B7" s="289">
        <v>2019</v>
      </c>
      <c r="C7" s="289"/>
      <c r="D7" s="289"/>
      <c r="E7" s="289"/>
      <c r="F7" s="290"/>
      <c r="G7" s="290"/>
      <c r="H7" s="290"/>
      <c r="I7" s="290"/>
      <c r="J7" s="290"/>
      <c r="K7" s="290"/>
      <c r="L7" s="290"/>
      <c r="M7" s="290"/>
      <c r="N7" s="290"/>
      <c r="O7" s="290"/>
      <c r="P7" s="290"/>
      <c r="Q7" s="290"/>
      <c r="R7" s="184"/>
      <c r="S7" s="184"/>
      <c r="T7" s="184"/>
      <c r="U7" s="184"/>
      <c r="V7" s="184"/>
      <c r="W7" s="184"/>
      <c r="X7" s="184"/>
    </row>
    <row r="8" spans="1:24" ht="15.75" customHeight="1">
      <c r="A8" s="297"/>
      <c r="B8" s="297"/>
      <c r="C8" s="297"/>
      <c r="D8" s="297"/>
      <c r="E8" s="297"/>
      <c r="F8" s="297"/>
      <c r="G8" s="297"/>
      <c r="H8" s="297"/>
      <c r="I8" s="297"/>
      <c r="J8" s="297"/>
      <c r="K8" s="297"/>
      <c r="L8" s="297"/>
      <c r="M8" s="297"/>
      <c r="N8" s="297"/>
      <c r="O8" s="297"/>
      <c r="P8" s="297"/>
      <c r="Q8" s="297"/>
      <c r="R8" s="298"/>
      <c r="S8" s="298"/>
      <c r="T8" s="298"/>
      <c r="U8" s="298"/>
      <c r="V8" s="298"/>
      <c r="W8" s="298"/>
      <c r="X8" s="298"/>
    </row>
    <row r="9" spans="1:24" ht="15.75" customHeight="1">
      <c r="A9" s="713" t="s">
        <v>750</v>
      </c>
      <c r="B9" s="709"/>
      <c r="C9" s="709"/>
      <c r="D9" s="709"/>
      <c r="E9" s="709"/>
      <c r="F9" s="709"/>
      <c r="G9" s="709"/>
      <c r="H9" s="709"/>
      <c r="I9" s="709"/>
      <c r="J9" s="709"/>
      <c r="K9" s="709"/>
      <c r="L9" s="709"/>
      <c r="M9" s="709"/>
      <c r="N9" s="709"/>
      <c r="O9" s="709"/>
      <c r="P9" s="709"/>
      <c r="Q9" s="709"/>
      <c r="R9" s="299"/>
      <c r="S9" s="299"/>
      <c r="T9" s="299"/>
      <c r="U9" s="299"/>
      <c r="V9" s="299"/>
      <c r="W9" s="299"/>
      <c r="X9" s="299"/>
    </row>
    <row r="10" spans="1:24">
      <c r="A10" s="300" t="s">
        <v>33</v>
      </c>
      <c r="B10" s="301" t="s">
        <v>26</v>
      </c>
      <c r="C10" s="301" t="s">
        <v>751</v>
      </c>
      <c r="D10" s="301" t="s">
        <v>752</v>
      </c>
      <c r="E10" s="300" t="s">
        <v>753</v>
      </c>
      <c r="F10" s="302" t="s">
        <v>754</v>
      </c>
      <c r="G10" s="302" t="s">
        <v>755</v>
      </c>
      <c r="H10" s="302" t="s">
        <v>756</v>
      </c>
      <c r="I10" s="302" t="s">
        <v>757</v>
      </c>
      <c r="J10" s="302" t="s">
        <v>758</v>
      </c>
      <c r="K10" s="302" t="s">
        <v>759</v>
      </c>
      <c r="L10" s="302" t="s">
        <v>760</v>
      </c>
      <c r="M10" s="302" t="s">
        <v>761</v>
      </c>
      <c r="N10" s="302" t="s">
        <v>762</v>
      </c>
      <c r="O10" s="302" t="s">
        <v>763</v>
      </c>
      <c r="P10" s="302" t="s">
        <v>764</v>
      </c>
      <c r="Q10" s="302" t="s">
        <v>765</v>
      </c>
      <c r="R10" s="302" t="s">
        <v>766</v>
      </c>
      <c r="S10" s="303" t="s">
        <v>767</v>
      </c>
      <c r="T10" s="304" t="s">
        <v>768</v>
      </c>
      <c r="U10" s="305" t="s">
        <v>769</v>
      </c>
      <c r="V10" s="305" t="s">
        <v>770</v>
      </c>
      <c r="W10" s="306" t="s">
        <v>771</v>
      </c>
      <c r="X10" s="306" t="s">
        <v>772</v>
      </c>
    </row>
    <row r="11" spans="1:24">
      <c r="A11" s="307" t="s">
        <v>773</v>
      </c>
      <c r="B11" s="308" t="s">
        <v>125</v>
      </c>
      <c r="C11" s="308" t="s">
        <v>774</v>
      </c>
      <c r="D11" s="308">
        <v>2014</v>
      </c>
      <c r="E11" s="308" t="s">
        <v>775</v>
      </c>
      <c r="F11" s="309">
        <v>430</v>
      </c>
      <c r="G11" s="309">
        <v>0</v>
      </c>
      <c r="H11" s="310">
        <v>0</v>
      </c>
      <c r="I11" s="309">
        <v>0</v>
      </c>
      <c r="J11" s="309">
        <v>227</v>
      </c>
      <c r="K11" s="309">
        <v>3</v>
      </c>
      <c r="L11" s="309">
        <v>0</v>
      </c>
      <c r="M11" s="309">
        <v>3</v>
      </c>
      <c r="N11" s="309">
        <v>295</v>
      </c>
      <c r="O11" s="309">
        <v>14</v>
      </c>
      <c r="P11" s="309">
        <v>817</v>
      </c>
      <c r="Q11" s="310">
        <v>12</v>
      </c>
      <c r="R11" s="311">
        <f t="shared" ref="R11:S11" si="0">F11+J11+N11+P11</f>
        <v>1769</v>
      </c>
      <c r="S11" s="311">
        <f t="shared" si="0"/>
        <v>29</v>
      </c>
      <c r="T11" s="311"/>
      <c r="U11" s="311"/>
      <c r="V11" s="311"/>
      <c r="W11" s="311"/>
      <c r="X11" s="311"/>
    </row>
    <row r="12" spans="1:24">
      <c r="A12" s="307" t="s">
        <v>776</v>
      </c>
      <c r="B12" s="308" t="s">
        <v>125</v>
      </c>
      <c r="C12" s="308" t="s">
        <v>774</v>
      </c>
      <c r="D12" s="308">
        <v>2014</v>
      </c>
      <c r="E12" s="308" t="s">
        <v>775</v>
      </c>
      <c r="F12" s="309">
        <v>1714</v>
      </c>
      <c r="G12" s="309">
        <v>0</v>
      </c>
      <c r="H12" s="310">
        <v>0</v>
      </c>
      <c r="I12" s="309">
        <v>0</v>
      </c>
      <c r="J12" s="309">
        <v>926</v>
      </c>
      <c r="K12" s="309">
        <v>0</v>
      </c>
      <c r="L12" s="309">
        <v>0</v>
      </c>
      <c r="M12" s="309">
        <v>0</v>
      </c>
      <c r="N12" s="309">
        <v>978</v>
      </c>
      <c r="O12" s="309">
        <v>0</v>
      </c>
      <c r="P12" s="309">
        <v>1837</v>
      </c>
      <c r="Q12" s="310">
        <v>137</v>
      </c>
      <c r="R12" s="311">
        <f t="shared" ref="R12:S12" si="1">F12+J12+N12+P12</f>
        <v>5455</v>
      </c>
      <c r="S12" s="311">
        <f t="shared" si="1"/>
        <v>137</v>
      </c>
      <c r="T12" s="311"/>
      <c r="U12" s="311"/>
      <c r="V12" s="311"/>
      <c r="W12" s="311"/>
      <c r="X12" s="311"/>
    </row>
    <row r="13" spans="1:24">
      <c r="A13" s="307" t="s">
        <v>777</v>
      </c>
      <c r="B13" s="308" t="s">
        <v>125</v>
      </c>
      <c r="C13" s="308" t="s">
        <v>774</v>
      </c>
      <c r="D13" s="308">
        <v>2014</v>
      </c>
      <c r="E13" s="308" t="s">
        <v>775</v>
      </c>
      <c r="F13" s="309">
        <v>839</v>
      </c>
      <c r="G13" s="309">
        <v>0</v>
      </c>
      <c r="H13" s="310">
        <v>0</v>
      </c>
      <c r="I13" s="309">
        <v>0</v>
      </c>
      <c r="J13" s="309">
        <v>474</v>
      </c>
      <c r="K13" s="309">
        <v>1</v>
      </c>
      <c r="L13" s="309">
        <v>1</v>
      </c>
      <c r="M13" s="309">
        <v>0</v>
      </c>
      <c r="N13" s="309">
        <v>496</v>
      </c>
      <c r="O13" s="309">
        <v>15</v>
      </c>
      <c r="P13" s="309">
        <v>920</v>
      </c>
      <c r="Q13" s="310">
        <v>80</v>
      </c>
      <c r="R13" s="311">
        <f t="shared" ref="R13:S13" si="2">F13+J13+N13+P13</f>
        <v>2729</v>
      </c>
      <c r="S13" s="311">
        <f t="shared" si="2"/>
        <v>96</v>
      </c>
      <c r="T13" s="311"/>
      <c r="U13" s="311"/>
      <c r="V13" s="311"/>
      <c r="W13" s="311"/>
      <c r="X13" s="311"/>
    </row>
    <row r="14" spans="1:24">
      <c r="A14" s="307" t="s">
        <v>778</v>
      </c>
      <c r="B14" s="308" t="s">
        <v>125</v>
      </c>
      <c r="C14" s="308" t="s">
        <v>774</v>
      </c>
      <c r="D14" s="308">
        <v>2014</v>
      </c>
      <c r="E14" s="308" t="s">
        <v>775</v>
      </c>
      <c r="F14" s="309">
        <v>330</v>
      </c>
      <c r="G14" s="309">
        <v>0</v>
      </c>
      <c r="H14" s="310">
        <v>0</v>
      </c>
      <c r="I14" s="309">
        <v>0</v>
      </c>
      <c r="J14" s="309">
        <v>167</v>
      </c>
      <c r="K14" s="309">
        <v>0</v>
      </c>
      <c r="L14" s="309">
        <v>0</v>
      </c>
      <c r="M14" s="309">
        <v>0</v>
      </c>
      <c r="N14" s="309">
        <v>158</v>
      </c>
      <c r="O14" s="309">
        <v>0</v>
      </c>
      <c r="P14" s="309">
        <v>423</v>
      </c>
      <c r="Q14" s="310">
        <v>14</v>
      </c>
      <c r="R14" s="311">
        <f t="shared" ref="R14:S14" si="3">F14+J14+N14+P14</f>
        <v>1078</v>
      </c>
      <c r="S14" s="311">
        <f t="shared" si="3"/>
        <v>14</v>
      </c>
      <c r="T14" s="311"/>
      <c r="U14" s="311"/>
      <c r="V14" s="311"/>
      <c r="W14" s="311"/>
      <c r="X14" s="311"/>
    </row>
    <row r="15" spans="1:24">
      <c r="A15" s="307" t="s">
        <v>779</v>
      </c>
      <c r="B15" s="308" t="s">
        <v>125</v>
      </c>
      <c r="C15" s="308" t="s">
        <v>774</v>
      </c>
      <c r="D15" s="308">
        <v>2014</v>
      </c>
      <c r="E15" s="308" t="s">
        <v>775</v>
      </c>
      <c r="F15" s="309">
        <v>716</v>
      </c>
      <c r="G15" s="309">
        <v>38</v>
      </c>
      <c r="H15" s="310">
        <v>38</v>
      </c>
      <c r="I15" s="309">
        <v>0</v>
      </c>
      <c r="J15" s="309">
        <v>391</v>
      </c>
      <c r="K15" s="309">
        <v>0</v>
      </c>
      <c r="L15" s="309">
        <v>0</v>
      </c>
      <c r="M15" s="309">
        <v>0</v>
      </c>
      <c r="N15" s="309">
        <v>407</v>
      </c>
      <c r="O15" s="309">
        <v>2</v>
      </c>
      <c r="P15" s="309">
        <v>553</v>
      </c>
      <c r="Q15" s="310">
        <v>283</v>
      </c>
      <c r="R15" s="311">
        <f t="shared" ref="R15:S15" si="4">F15+J15+N15+P15</f>
        <v>2067</v>
      </c>
      <c r="S15" s="311">
        <f t="shared" si="4"/>
        <v>323</v>
      </c>
      <c r="T15" s="311"/>
      <c r="U15" s="311"/>
      <c r="V15" s="311"/>
      <c r="W15" s="311"/>
      <c r="X15" s="311"/>
    </row>
    <row r="16" spans="1:24">
      <c r="A16" s="307" t="s">
        <v>780</v>
      </c>
      <c r="B16" s="308" t="s">
        <v>125</v>
      </c>
      <c r="C16" s="308" t="s">
        <v>774</v>
      </c>
      <c r="D16" s="308">
        <v>2014</v>
      </c>
      <c r="E16" s="308" t="s">
        <v>775</v>
      </c>
      <c r="F16" s="309">
        <v>504</v>
      </c>
      <c r="G16" s="309">
        <v>0</v>
      </c>
      <c r="H16" s="310">
        <v>0</v>
      </c>
      <c r="I16" s="309">
        <v>0</v>
      </c>
      <c r="J16" s="309">
        <v>270</v>
      </c>
      <c r="K16" s="309">
        <v>0</v>
      </c>
      <c r="L16" s="309">
        <v>0</v>
      </c>
      <c r="M16" s="309">
        <v>0</v>
      </c>
      <c r="N16" s="309">
        <v>352</v>
      </c>
      <c r="O16" s="309">
        <v>0</v>
      </c>
      <c r="P16" s="309">
        <v>1161</v>
      </c>
      <c r="Q16" s="310">
        <v>0</v>
      </c>
      <c r="R16" s="311">
        <f t="shared" ref="R16:S16" si="5">F16+J16+N16+P16</f>
        <v>2287</v>
      </c>
      <c r="S16" s="311">
        <f t="shared" si="5"/>
        <v>0</v>
      </c>
      <c r="T16" s="311"/>
      <c r="U16" s="311"/>
      <c r="V16" s="311"/>
      <c r="W16" s="311"/>
      <c r="X16" s="311"/>
    </row>
    <row r="17" spans="1:24">
      <c r="A17" s="312" t="s">
        <v>781</v>
      </c>
      <c r="B17" s="313" t="s">
        <v>125</v>
      </c>
      <c r="C17" s="313" t="s">
        <v>774</v>
      </c>
      <c r="D17" s="313">
        <v>2014</v>
      </c>
      <c r="E17" s="313" t="s">
        <v>775</v>
      </c>
      <c r="F17" s="310">
        <v>317</v>
      </c>
      <c r="G17" s="309">
        <v>0</v>
      </c>
      <c r="H17" s="310">
        <v>0</v>
      </c>
      <c r="I17" s="310">
        <v>0</v>
      </c>
      <c r="J17" s="309">
        <v>180</v>
      </c>
      <c r="K17" s="309">
        <v>0</v>
      </c>
      <c r="L17" s="310">
        <v>0</v>
      </c>
      <c r="M17" s="310">
        <v>0</v>
      </c>
      <c r="N17" s="310">
        <v>192</v>
      </c>
      <c r="O17" s="310">
        <v>4</v>
      </c>
      <c r="P17" s="310">
        <v>417</v>
      </c>
      <c r="Q17" s="310">
        <v>2</v>
      </c>
      <c r="R17" s="311">
        <f t="shared" ref="R17:S17" si="6">F17+J17+N17+P17</f>
        <v>1106</v>
      </c>
      <c r="S17" s="311">
        <f t="shared" si="6"/>
        <v>6</v>
      </c>
      <c r="T17" s="314">
        <f>SUM(G11:G17)</f>
        <v>38</v>
      </c>
      <c r="U17" s="314">
        <f>SUM(K11:K17)</f>
        <v>4</v>
      </c>
      <c r="V17" s="314">
        <f>SUM(O11:O17)</f>
        <v>35</v>
      </c>
      <c r="W17" s="314">
        <f>SUM(Q11:Q17)</f>
        <v>528</v>
      </c>
      <c r="X17" s="314">
        <f>T17+U17+V17+W17</f>
        <v>605</v>
      </c>
    </row>
    <row r="18" spans="1:24">
      <c r="A18" s="315" t="s">
        <v>125</v>
      </c>
      <c r="B18" s="316" t="s">
        <v>125</v>
      </c>
      <c r="C18" s="316" t="s">
        <v>774</v>
      </c>
      <c r="D18" s="316">
        <v>2015</v>
      </c>
      <c r="E18" s="316" t="s">
        <v>775</v>
      </c>
      <c r="F18" s="317">
        <v>444</v>
      </c>
      <c r="G18" s="317">
        <v>19</v>
      </c>
      <c r="H18" s="317">
        <v>19</v>
      </c>
      <c r="I18" s="317">
        <v>0</v>
      </c>
      <c r="J18" s="317">
        <v>248</v>
      </c>
      <c r="K18" s="317">
        <v>22</v>
      </c>
      <c r="L18" s="317">
        <v>22</v>
      </c>
      <c r="M18" s="317">
        <v>0</v>
      </c>
      <c r="N18" s="317">
        <v>283</v>
      </c>
      <c r="O18" s="317">
        <v>14</v>
      </c>
      <c r="P18" s="317">
        <v>748</v>
      </c>
      <c r="Q18" s="318">
        <v>192</v>
      </c>
      <c r="R18" s="319">
        <f t="shared" ref="R18:S18" si="7">F18+J18+N18+P18</f>
        <v>1723</v>
      </c>
      <c r="S18" s="319">
        <f t="shared" si="7"/>
        <v>247</v>
      </c>
      <c r="T18" s="319"/>
      <c r="U18" s="319"/>
      <c r="V18" s="319"/>
      <c r="W18" s="319"/>
      <c r="X18" s="319"/>
    </row>
    <row r="19" spans="1:24">
      <c r="A19" s="315" t="s">
        <v>233</v>
      </c>
      <c r="B19" s="316" t="s">
        <v>125</v>
      </c>
      <c r="C19" s="316" t="s">
        <v>774</v>
      </c>
      <c r="D19" s="316">
        <v>2015</v>
      </c>
      <c r="E19" s="316" t="s">
        <v>775</v>
      </c>
      <c r="F19" s="317">
        <v>430</v>
      </c>
      <c r="G19" s="317">
        <v>35</v>
      </c>
      <c r="H19" s="318">
        <v>35</v>
      </c>
      <c r="I19" s="317">
        <v>0</v>
      </c>
      <c r="J19" s="317">
        <v>227</v>
      </c>
      <c r="K19" s="317">
        <v>65</v>
      </c>
      <c r="L19" s="317">
        <v>65</v>
      </c>
      <c r="M19" s="317">
        <v>0</v>
      </c>
      <c r="N19" s="317">
        <v>295</v>
      </c>
      <c r="O19" s="317">
        <v>21</v>
      </c>
      <c r="P19" s="317">
        <v>817</v>
      </c>
      <c r="Q19" s="318">
        <v>17</v>
      </c>
      <c r="R19" s="319">
        <f t="shared" ref="R19:S19" si="8">F19+J19+N19+P19</f>
        <v>1769</v>
      </c>
      <c r="S19" s="319">
        <f t="shared" si="8"/>
        <v>138</v>
      </c>
      <c r="T19" s="319"/>
      <c r="U19" s="319"/>
      <c r="V19" s="319"/>
      <c r="W19" s="319"/>
      <c r="X19" s="319"/>
    </row>
    <row r="20" spans="1:24">
      <c r="A20" s="315" t="s">
        <v>235</v>
      </c>
      <c r="B20" s="316" t="s">
        <v>125</v>
      </c>
      <c r="C20" s="316" t="s">
        <v>774</v>
      </c>
      <c r="D20" s="316">
        <v>2015</v>
      </c>
      <c r="E20" s="316" t="s">
        <v>775</v>
      </c>
      <c r="F20" s="317">
        <v>532</v>
      </c>
      <c r="G20" s="317">
        <v>59</v>
      </c>
      <c r="H20" s="318">
        <v>59</v>
      </c>
      <c r="I20" s="317">
        <v>0</v>
      </c>
      <c r="J20" s="317">
        <v>442</v>
      </c>
      <c r="K20" s="317">
        <v>17</v>
      </c>
      <c r="L20" s="317">
        <v>17</v>
      </c>
      <c r="M20" s="317">
        <v>0</v>
      </c>
      <c r="N20" s="317">
        <v>584</v>
      </c>
      <c r="O20" s="317">
        <v>132</v>
      </c>
      <c r="P20" s="317">
        <v>1401</v>
      </c>
      <c r="Q20" s="318">
        <v>326</v>
      </c>
      <c r="R20" s="319">
        <f t="shared" ref="R20:S20" si="9">F20+J20+N20+P20</f>
        <v>2959</v>
      </c>
      <c r="S20" s="319">
        <f t="shared" si="9"/>
        <v>534</v>
      </c>
      <c r="T20" s="319"/>
      <c r="U20" s="319"/>
      <c r="V20" s="319"/>
      <c r="W20" s="319"/>
      <c r="X20" s="319"/>
    </row>
    <row r="21" spans="1:24">
      <c r="A21" s="315" t="s">
        <v>236</v>
      </c>
      <c r="B21" s="316" t="s">
        <v>125</v>
      </c>
      <c r="C21" s="316" t="s">
        <v>774</v>
      </c>
      <c r="D21" s="316">
        <v>2015</v>
      </c>
      <c r="E21" s="316" t="s">
        <v>775</v>
      </c>
      <c r="F21" s="317">
        <v>796</v>
      </c>
      <c r="G21" s="317">
        <v>26</v>
      </c>
      <c r="H21" s="318">
        <v>26</v>
      </c>
      <c r="I21" s="317">
        <v>0</v>
      </c>
      <c r="J21" s="317">
        <v>446</v>
      </c>
      <c r="K21" s="317">
        <v>39</v>
      </c>
      <c r="L21" s="317">
        <v>39</v>
      </c>
      <c r="M21" s="317">
        <v>0</v>
      </c>
      <c r="N21" s="317">
        <v>425</v>
      </c>
      <c r="O21" s="317">
        <v>4</v>
      </c>
      <c r="P21" s="317">
        <v>618</v>
      </c>
      <c r="Q21" s="318">
        <v>839</v>
      </c>
      <c r="R21" s="319">
        <f t="shared" ref="R21:S21" si="10">F21+J21+N21+P21</f>
        <v>2285</v>
      </c>
      <c r="S21" s="319">
        <f t="shared" si="10"/>
        <v>908</v>
      </c>
      <c r="T21" s="319"/>
      <c r="U21" s="319"/>
      <c r="V21" s="319"/>
      <c r="W21" s="319"/>
      <c r="X21" s="319"/>
    </row>
    <row r="22" spans="1:24">
      <c r="A22" s="315" t="s">
        <v>237</v>
      </c>
      <c r="B22" s="316" t="s">
        <v>125</v>
      </c>
      <c r="C22" s="316" t="s">
        <v>774</v>
      </c>
      <c r="D22" s="316">
        <v>2015</v>
      </c>
      <c r="E22" s="316" t="s">
        <v>775</v>
      </c>
      <c r="F22" s="317">
        <v>276</v>
      </c>
      <c r="G22" s="317">
        <v>5</v>
      </c>
      <c r="H22" s="318">
        <v>5</v>
      </c>
      <c r="I22" s="317">
        <v>0</v>
      </c>
      <c r="J22" s="317">
        <v>211</v>
      </c>
      <c r="K22" s="317">
        <v>0</v>
      </c>
      <c r="L22" s="317">
        <v>0</v>
      </c>
      <c r="M22" s="317">
        <v>0</v>
      </c>
      <c r="N22" s="317">
        <v>259</v>
      </c>
      <c r="O22" s="317">
        <v>7</v>
      </c>
      <c r="P22" s="317">
        <v>752</v>
      </c>
      <c r="Q22" s="318">
        <v>178</v>
      </c>
      <c r="R22" s="319">
        <f t="shared" ref="R22:S22" si="11">F22+J22+N22+P22</f>
        <v>1498</v>
      </c>
      <c r="S22" s="319">
        <f t="shared" si="11"/>
        <v>190</v>
      </c>
      <c r="T22" s="319"/>
      <c r="U22" s="319"/>
      <c r="V22" s="319"/>
      <c r="W22" s="319"/>
      <c r="X22" s="319"/>
    </row>
    <row r="23" spans="1:24">
      <c r="A23" s="315" t="s">
        <v>238</v>
      </c>
      <c r="B23" s="316" t="s">
        <v>125</v>
      </c>
      <c r="C23" s="316" t="s">
        <v>774</v>
      </c>
      <c r="D23" s="316">
        <v>2015</v>
      </c>
      <c r="E23" s="316" t="s">
        <v>775</v>
      </c>
      <c r="F23" s="317">
        <v>1714</v>
      </c>
      <c r="G23" s="317">
        <v>64</v>
      </c>
      <c r="H23" s="318">
        <v>64</v>
      </c>
      <c r="I23" s="317">
        <v>0</v>
      </c>
      <c r="J23" s="317">
        <v>926</v>
      </c>
      <c r="K23" s="317">
        <v>0</v>
      </c>
      <c r="L23" s="317">
        <v>0</v>
      </c>
      <c r="M23" s="317">
        <v>0</v>
      </c>
      <c r="N23" s="317">
        <v>978</v>
      </c>
      <c r="O23" s="317">
        <v>0</v>
      </c>
      <c r="P23" s="317">
        <v>1837</v>
      </c>
      <c r="Q23" s="318">
        <v>383</v>
      </c>
      <c r="R23" s="319">
        <f t="shared" ref="R23:S23" si="12">F23+J23+N23+P23</f>
        <v>5455</v>
      </c>
      <c r="S23" s="319">
        <f t="shared" si="12"/>
        <v>447</v>
      </c>
      <c r="T23" s="319"/>
      <c r="U23" s="319"/>
      <c r="V23" s="319"/>
      <c r="W23" s="319"/>
      <c r="X23" s="319"/>
    </row>
    <row r="24" spans="1:24">
      <c r="A24" s="315" t="s">
        <v>239</v>
      </c>
      <c r="B24" s="316" t="s">
        <v>125</v>
      </c>
      <c r="C24" s="316" t="s">
        <v>774</v>
      </c>
      <c r="D24" s="316">
        <v>2015</v>
      </c>
      <c r="E24" s="316" t="s">
        <v>775</v>
      </c>
      <c r="F24" s="317">
        <v>851</v>
      </c>
      <c r="G24" s="317">
        <v>0</v>
      </c>
      <c r="H24" s="318">
        <v>0</v>
      </c>
      <c r="I24" s="317">
        <v>0</v>
      </c>
      <c r="J24" s="317">
        <v>480</v>
      </c>
      <c r="K24" s="317">
        <v>0</v>
      </c>
      <c r="L24" s="317">
        <v>0</v>
      </c>
      <c r="M24" s="317">
        <v>0</v>
      </c>
      <c r="N24" s="317">
        <v>608</v>
      </c>
      <c r="O24" s="317">
        <v>0</v>
      </c>
      <c r="P24" s="317">
        <v>1981</v>
      </c>
      <c r="Q24" s="318">
        <v>108</v>
      </c>
      <c r="R24" s="319">
        <f t="shared" ref="R24:S24" si="13">F24+J24+N24+P24</f>
        <v>3920</v>
      </c>
      <c r="S24" s="319">
        <f t="shared" si="13"/>
        <v>108</v>
      </c>
      <c r="T24" s="319"/>
      <c r="U24" s="319"/>
      <c r="V24" s="319"/>
      <c r="W24" s="319"/>
      <c r="X24" s="319"/>
    </row>
    <row r="25" spans="1:24">
      <c r="A25" s="315" t="s">
        <v>240</v>
      </c>
      <c r="B25" s="320" t="s">
        <v>125</v>
      </c>
      <c r="C25" s="316" t="s">
        <v>774</v>
      </c>
      <c r="D25" s="316">
        <v>2015</v>
      </c>
      <c r="E25" s="316" t="s">
        <v>775</v>
      </c>
      <c r="F25" s="317">
        <v>839</v>
      </c>
      <c r="G25" s="317">
        <v>0</v>
      </c>
      <c r="H25" s="318">
        <v>0</v>
      </c>
      <c r="I25" s="317">
        <v>0</v>
      </c>
      <c r="J25" s="317">
        <v>474</v>
      </c>
      <c r="K25" s="317">
        <v>2</v>
      </c>
      <c r="L25" s="317">
        <v>2</v>
      </c>
      <c r="M25" s="317">
        <v>0</v>
      </c>
      <c r="N25" s="317">
        <v>496</v>
      </c>
      <c r="O25" s="317">
        <v>14</v>
      </c>
      <c r="P25" s="317">
        <v>920</v>
      </c>
      <c r="Q25" s="318">
        <v>420</v>
      </c>
      <c r="R25" s="319">
        <f t="shared" ref="R25:S25" si="14">F25+J25+N25+P25</f>
        <v>2729</v>
      </c>
      <c r="S25" s="319">
        <f t="shared" si="14"/>
        <v>436</v>
      </c>
      <c r="T25" s="319"/>
      <c r="U25" s="319"/>
      <c r="V25" s="319"/>
      <c r="W25" s="319"/>
      <c r="X25" s="319"/>
    </row>
    <row r="26" spans="1:24">
      <c r="A26" s="315" t="s">
        <v>241</v>
      </c>
      <c r="B26" s="316" t="s">
        <v>125</v>
      </c>
      <c r="C26" s="316" t="s">
        <v>774</v>
      </c>
      <c r="D26" s="316">
        <v>2015</v>
      </c>
      <c r="E26" s="316" t="s">
        <v>775</v>
      </c>
      <c r="F26" s="317">
        <v>330</v>
      </c>
      <c r="G26" s="317">
        <v>0</v>
      </c>
      <c r="H26" s="318">
        <v>0</v>
      </c>
      <c r="I26" s="317">
        <v>0</v>
      </c>
      <c r="J26" s="317">
        <v>167</v>
      </c>
      <c r="K26" s="317">
        <v>0</v>
      </c>
      <c r="L26" s="317">
        <v>0</v>
      </c>
      <c r="M26" s="317">
        <v>0</v>
      </c>
      <c r="N26" s="317">
        <v>158</v>
      </c>
      <c r="O26" s="317">
        <v>36</v>
      </c>
      <c r="P26" s="317">
        <v>423</v>
      </c>
      <c r="Q26" s="318">
        <v>40</v>
      </c>
      <c r="R26" s="319">
        <f t="shared" ref="R26:S26" si="15">F26+J26+N26+P26</f>
        <v>1078</v>
      </c>
      <c r="S26" s="319">
        <f t="shared" si="15"/>
        <v>76</v>
      </c>
      <c r="T26" s="319"/>
      <c r="U26" s="319"/>
      <c r="V26" s="319"/>
      <c r="W26" s="319"/>
      <c r="X26" s="319"/>
    </row>
    <row r="27" spans="1:24">
      <c r="A27" s="315" t="s">
        <v>242</v>
      </c>
      <c r="B27" s="316" t="s">
        <v>125</v>
      </c>
      <c r="C27" s="316" t="s">
        <v>774</v>
      </c>
      <c r="D27" s="316">
        <v>2015</v>
      </c>
      <c r="E27" s="316" t="s">
        <v>775</v>
      </c>
      <c r="F27" s="317">
        <v>2059</v>
      </c>
      <c r="G27" s="317">
        <v>98</v>
      </c>
      <c r="H27" s="318">
        <v>98</v>
      </c>
      <c r="I27" s="317">
        <v>0</v>
      </c>
      <c r="J27" s="317">
        <v>2075</v>
      </c>
      <c r="K27" s="317">
        <v>30</v>
      </c>
      <c r="L27" s="317">
        <v>30</v>
      </c>
      <c r="M27" s="317">
        <v>0</v>
      </c>
      <c r="N27" s="317">
        <v>2815</v>
      </c>
      <c r="O27" s="317">
        <v>0</v>
      </c>
      <c r="P27" s="317">
        <v>7816</v>
      </c>
      <c r="Q27" s="318">
        <v>643</v>
      </c>
      <c r="R27" s="319">
        <f t="shared" ref="R27:S27" si="16">F27+J27+N27+P27</f>
        <v>14765</v>
      </c>
      <c r="S27" s="319">
        <f t="shared" si="16"/>
        <v>771</v>
      </c>
      <c r="T27" s="319"/>
      <c r="U27" s="319"/>
      <c r="V27" s="319"/>
      <c r="W27" s="319"/>
      <c r="X27" s="319"/>
    </row>
    <row r="28" spans="1:24">
      <c r="A28" s="315" t="s">
        <v>244</v>
      </c>
      <c r="B28" s="316" t="s">
        <v>125</v>
      </c>
      <c r="C28" s="316" t="s">
        <v>774</v>
      </c>
      <c r="D28" s="316">
        <v>2015</v>
      </c>
      <c r="E28" s="316" t="s">
        <v>775</v>
      </c>
      <c r="F28" s="317">
        <v>716</v>
      </c>
      <c r="G28" s="317">
        <v>54</v>
      </c>
      <c r="H28" s="318">
        <v>54</v>
      </c>
      <c r="I28" s="317">
        <v>0</v>
      </c>
      <c r="J28" s="317">
        <v>391</v>
      </c>
      <c r="K28" s="317">
        <v>16</v>
      </c>
      <c r="L28" s="317">
        <v>16</v>
      </c>
      <c r="M28" s="317">
        <v>0</v>
      </c>
      <c r="N28" s="317">
        <v>407</v>
      </c>
      <c r="O28" s="317">
        <v>2</v>
      </c>
      <c r="P28" s="317">
        <v>553</v>
      </c>
      <c r="Q28" s="318">
        <v>819</v>
      </c>
      <c r="R28" s="319">
        <f t="shared" ref="R28:S28" si="17">F28+J28+N28+P28</f>
        <v>2067</v>
      </c>
      <c r="S28" s="319">
        <f t="shared" si="17"/>
        <v>891</v>
      </c>
      <c r="T28" s="319"/>
      <c r="U28" s="319"/>
      <c r="V28" s="319"/>
      <c r="W28" s="319"/>
      <c r="X28" s="319"/>
    </row>
    <row r="29" spans="1:24">
      <c r="A29" s="315" t="s">
        <v>245</v>
      </c>
      <c r="B29" s="316" t="s">
        <v>125</v>
      </c>
      <c r="C29" s="316" t="s">
        <v>774</v>
      </c>
      <c r="D29" s="316">
        <v>2015</v>
      </c>
      <c r="E29" s="316" t="s">
        <v>775</v>
      </c>
      <c r="F29" s="317">
        <v>504</v>
      </c>
      <c r="G29" s="317">
        <v>82</v>
      </c>
      <c r="H29" s="318">
        <v>82</v>
      </c>
      <c r="I29" s="317">
        <v>0</v>
      </c>
      <c r="J29" s="317">
        <v>270</v>
      </c>
      <c r="K29" s="317">
        <v>31</v>
      </c>
      <c r="L29" s="317">
        <v>31</v>
      </c>
      <c r="M29" s="317">
        <v>0</v>
      </c>
      <c r="N29" s="317">
        <v>352</v>
      </c>
      <c r="O29" s="317">
        <v>0</v>
      </c>
      <c r="P29" s="317">
        <v>1161</v>
      </c>
      <c r="Q29" s="318">
        <v>5</v>
      </c>
      <c r="R29" s="319">
        <f t="shared" ref="R29:S29" si="18">F29+J29+N29+P29</f>
        <v>2287</v>
      </c>
      <c r="S29" s="319">
        <f t="shared" si="18"/>
        <v>118</v>
      </c>
      <c r="T29" s="319"/>
      <c r="U29" s="319"/>
      <c r="V29" s="319"/>
      <c r="W29" s="319"/>
      <c r="X29" s="319"/>
    </row>
    <row r="30" spans="1:24">
      <c r="A30" s="321" t="s">
        <v>246</v>
      </c>
      <c r="B30" s="322" t="s">
        <v>125</v>
      </c>
      <c r="C30" s="322" t="s">
        <v>774</v>
      </c>
      <c r="D30" s="322">
        <v>2015</v>
      </c>
      <c r="E30" s="322" t="s">
        <v>775</v>
      </c>
      <c r="F30" s="318">
        <v>317</v>
      </c>
      <c r="G30" s="317">
        <v>0</v>
      </c>
      <c r="H30" s="318">
        <v>0</v>
      </c>
      <c r="I30" s="318">
        <v>0</v>
      </c>
      <c r="J30" s="317">
        <v>180</v>
      </c>
      <c r="K30" s="317">
        <v>0</v>
      </c>
      <c r="L30" s="318">
        <v>0</v>
      </c>
      <c r="M30" s="318">
        <v>0</v>
      </c>
      <c r="N30" s="318">
        <v>192</v>
      </c>
      <c r="O30" s="318">
        <v>2</v>
      </c>
      <c r="P30" s="318">
        <v>417</v>
      </c>
      <c r="Q30" s="318">
        <v>288</v>
      </c>
      <c r="R30" s="319">
        <f t="shared" ref="R30:S30" si="19">F30+J30+N30+P30</f>
        <v>1106</v>
      </c>
      <c r="S30" s="319">
        <f t="shared" si="19"/>
        <v>290</v>
      </c>
      <c r="T30" s="323">
        <f>SUM(G18:G30)</f>
        <v>442</v>
      </c>
      <c r="U30" s="323">
        <f>SUM(K18:K30)</f>
        <v>222</v>
      </c>
      <c r="V30" s="323">
        <f>SUM(O18:O30)</f>
        <v>232</v>
      </c>
      <c r="W30" s="323">
        <f>SUM(Q18:Q30)</f>
        <v>4258</v>
      </c>
      <c r="X30" s="323">
        <f>T30+U30+V30+W30</f>
        <v>5154</v>
      </c>
    </row>
    <row r="31" spans="1:24">
      <c r="A31" s="324" t="s">
        <v>125</v>
      </c>
      <c r="B31" s="325" t="s">
        <v>125</v>
      </c>
      <c r="C31" s="325" t="s">
        <v>774</v>
      </c>
      <c r="D31" s="325">
        <v>2016</v>
      </c>
      <c r="E31" s="325" t="s">
        <v>775</v>
      </c>
      <c r="F31" s="326">
        <v>444</v>
      </c>
      <c r="G31" s="326">
        <v>17</v>
      </c>
      <c r="H31" s="326">
        <v>17</v>
      </c>
      <c r="I31" s="326">
        <v>0</v>
      </c>
      <c r="J31" s="326">
        <v>248</v>
      </c>
      <c r="K31" s="326">
        <v>14</v>
      </c>
      <c r="L31" s="326">
        <v>14</v>
      </c>
      <c r="M31" s="326">
        <v>0</v>
      </c>
      <c r="N31" s="326">
        <v>283</v>
      </c>
      <c r="O31" s="326">
        <v>7</v>
      </c>
      <c r="P31" s="326">
        <v>748</v>
      </c>
      <c r="Q31" s="327">
        <v>61</v>
      </c>
      <c r="R31" s="328">
        <f t="shared" ref="R31:S31" si="20">F31+J31+N31+P31</f>
        <v>1723</v>
      </c>
      <c r="S31" s="328">
        <f t="shared" si="20"/>
        <v>99</v>
      </c>
      <c r="T31" s="328"/>
      <c r="U31" s="328"/>
      <c r="V31" s="328"/>
      <c r="W31" s="328"/>
      <c r="X31" s="328"/>
    </row>
    <row r="32" spans="1:24">
      <c r="A32" s="324" t="s">
        <v>233</v>
      </c>
      <c r="B32" s="325" t="s">
        <v>125</v>
      </c>
      <c r="C32" s="325" t="s">
        <v>774</v>
      </c>
      <c r="D32" s="325">
        <v>2016</v>
      </c>
      <c r="E32" s="325" t="s">
        <v>775</v>
      </c>
      <c r="F32" s="326">
        <v>430</v>
      </c>
      <c r="G32" s="326">
        <v>85</v>
      </c>
      <c r="H32" s="327">
        <v>85</v>
      </c>
      <c r="I32" s="326">
        <v>0</v>
      </c>
      <c r="J32" s="326">
        <v>227</v>
      </c>
      <c r="K32" s="326">
        <v>8</v>
      </c>
      <c r="L32" s="326">
        <v>8</v>
      </c>
      <c r="M32" s="326">
        <v>0</v>
      </c>
      <c r="N32" s="326">
        <v>295</v>
      </c>
      <c r="O32" s="326">
        <v>0</v>
      </c>
      <c r="P32" s="326">
        <v>817</v>
      </c>
      <c r="Q32" s="327">
        <v>9</v>
      </c>
      <c r="R32" s="328">
        <f t="shared" ref="R32:S32" si="21">F32+J32+N32+P32</f>
        <v>1769</v>
      </c>
      <c r="S32" s="328">
        <f t="shared" si="21"/>
        <v>102</v>
      </c>
      <c r="T32" s="328"/>
      <c r="U32" s="328"/>
      <c r="V32" s="328"/>
      <c r="W32" s="328"/>
      <c r="X32" s="328"/>
    </row>
    <row r="33" spans="1:24">
      <c r="A33" s="324" t="s">
        <v>234</v>
      </c>
      <c r="B33" s="325" t="s">
        <v>125</v>
      </c>
      <c r="C33" s="325" t="s">
        <v>774</v>
      </c>
      <c r="D33" s="325">
        <v>2016</v>
      </c>
      <c r="E33" s="325" t="s">
        <v>775</v>
      </c>
      <c r="F33" s="326">
        <v>80</v>
      </c>
      <c r="G33" s="326">
        <v>0</v>
      </c>
      <c r="H33" s="327">
        <v>0</v>
      </c>
      <c r="I33" s="326">
        <v>0</v>
      </c>
      <c r="J33" s="326">
        <v>53</v>
      </c>
      <c r="K33" s="326">
        <v>0</v>
      </c>
      <c r="L33" s="326">
        <v>0</v>
      </c>
      <c r="M33" s="326">
        <v>0</v>
      </c>
      <c r="N33" s="326">
        <v>57</v>
      </c>
      <c r="O33" s="326">
        <v>0</v>
      </c>
      <c r="P33" s="326">
        <v>145</v>
      </c>
      <c r="Q33" s="327">
        <v>186</v>
      </c>
      <c r="R33" s="328">
        <f t="shared" ref="R33:S33" si="22">F33+J33+N33+P33</f>
        <v>335</v>
      </c>
      <c r="S33" s="328">
        <f t="shared" si="22"/>
        <v>186</v>
      </c>
      <c r="T33" s="328"/>
      <c r="U33" s="328"/>
      <c r="V33" s="328"/>
      <c r="W33" s="328"/>
      <c r="X33" s="328"/>
    </row>
    <row r="34" spans="1:24">
      <c r="A34" s="324" t="s">
        <v>235</v>
      </c>
      <c r="B34" s="325" t="s">
        <v>125</v>
      </c>
      <c r="C34" s="325" t="s">
        <v>774</v>
      </c>
      <c r="D34" s="325">
        <v>2016</v>
      </c>
      <c r="E34" s="325" t="s">
        <v>775</v>
      </c>
      <c r="F34" s="326">
        <v>532</v>
      </c>
      <c r="G34" s="326">
        <v>16</v>
      </c>
      <c r="H34" s="327">
        <v>16</v>
      </c>
      <c r="I34" s="326">
        <v>0</v>
      </c>
      <c r="J34" s="326">
        <v>442</v>
      </c>
      <c r="K34" s="326">
        <v>0</v>
      </c>
      <c r="L34" s="326">
        <v>0</v>
      </c>
      <c r="M34" s="326">
        <v>0</v>
      </c>
      <c r="N34" s="326">
        <v>584</v>
      </c>
      <c r="O34" s="326">
        <v>0</v>
      </c>
      <c r="P34" s="326">
        <v>1401</v>
      </c>
      <c r="Q34" s="327">
        <v>212</v>
      </c>
      <c r="R34" s="328">
        <f t="shared" ref="R34:S34" si="23">F34+J34+N34+P34</f>
        <v>2959</v>
      </c>
      <c r="S34" s="328">
        <f t="shared" si="23"/>
        <v>228</v>
      </c>
      <c r="T34" s="328"/>
      <c r="U34" s="328"/>
      <c r="V34" s="328"/>
      <c r="W34" s="328"/>
      <c r="X34" s="328"/>
    </row>
    <row r="35" spans="1:24">
      <c r="A35" s="324" t="s">
        <v>236</v>
      </c>
      <c r="B35" s="325" t="s">
        <v>125</v>
      </c>
      <c r="C35" s="325" t="s">
        <v>774</v>
      </c>
      <c r="D35" s="325">
        <v>2016</v>
      </c>
      <c r="E35" s="325" t="s">
        <v>775</v>
      </c>
      <c r="F35" s="326">
        <v>796</v>
      </c>
      <c r="G35" s="326">
        <v>0</v>
      </c>
      <c r="H35" s="327">
        <v>0</v>
      </c>
      <c r="I35" s="326">
        <v>0</v>
      </c>
      <c r="J35" s="326">
        <v>446</v>
      </c>
      <c r="K35" s="326">
        <v>0</v>
      </c>
      <c r="L35" s="326">
        <v>0</v>
      </c>
      <c r="M35" s="326">
        <v>0</v>
      </c>
      <c r="N35" s="326">
        <v>425</v>
      </c>
      <c r="O35" s="326">
        <v>2</v>
      </c>
      <c r="P35" s="326">
        <v>618</v>
      </c>
      <c r="Q35" s="327">
        <v>612</v>
      </c>
      <c r="R35" s="328">
        <f t="shared" ref="R35:S35" si="24">F35+J35+N35+P35</f>
        <v>2285</v>
      </c>
      <c r="S35" s="328">
        <f t="shared" si="24"/>
        <v>614</v>
      </c>
      <c r="T35" s="328"/>
      <c r="U35" s="328"/>
      <c r="V35" s="328"/>
      <c r="W35" s="328"/>
      <c r="X35" s="328"/>
    </row>
    <row r="36" spans="1:24">
      <c r="A36" s="324" t="s">
        <v>237</v>
      </c>
      <c r="B36" s="325" t="s">
        <v>125</v>
      </c>
      <c r="C36" s="325" t="s">
        <v>774</v>
      </c>
      <c r="D36" s="325">
        <v>2016</v>
      </c>
      <c r="E36" s="325" t="s">
        <v>775</v>
      </c>
      <c r="F36" s="326">
        <v>276</v>
      </c>
      <c r="G36" s="326">
        <v>0</v>
      </c>
      <c r="H36" s="327">
        <v>0</v>
      </c>
      <c r="I36" s="326">
        <v>0</v>
      </c>
      <c r="J36" s="326">
        <v>211</v>
      </c>
      <c r="K36" s="326">
        <v>0</v>
      </c>
      <c r="L36" s="326">
        <v>0</v>
      </c>
      <c r="M36" s="326">
        <v>0</v>
      </c>
      <c r="N36" s="326">
        <v>259</v>
      </c>
      <c r="O36" s="326">
        <v>0</v>
      </c>
      <c r="P36" s="326">
        <v>752</v>
      </c>
      <c r="Q36" s="327">
        <v>1</v>
      </c>
      <c r="R36" s="328">
        <f t="shared" ref="R36:S36" si="25">F36+J36+N36+P36</f>
        <v>1498</v>
      </c>
      <c r="S36" s="328">
        <f t="shared" si="25"/>
        <v>1</v>
      </c>
      <c r="T36" s="328"/>
      <c r="U36" s="328"/>
      <c r="V36" s="328"/>
      <c r="W36" s="328"/>
      <c r="X36" s="328"/>
    </row>
    <row r="37" spans="1:24">
      <c r="A37" s="324" t="s">
        <v>238</v>
      </c>
      <c r="B37" s="325" t="s">
        <v>125</v>
      </c>
      <c r="C37" s="325" t="s">
        <v>774</v>
      </c>
      <c r="D37" s="325">
        <v>2016</v>
      </c>
      <c r="E37" s="325" t="s">
        <v>775</v>
      </c>
      <c r="F37" s="326">
        <v>1714</v>
      </c>
      <c r="G37" s="326">
        <v>2</v>
      </c>
      <c r="H37" s="327">
        <v>2</v>
      </c>
      <c r="I37" s="326">
        <v>0</v>
      </c>
      <c r="J37" s="326">
        <v>926</v>
      </c>
      <c r="K37" s="326">
        <v>0</v>
      </c>
      <c r="L37" s="326">
        <v>0</v>
      </c>
      <c r="M37" s="326">
        <v>0</v>
      </c>
      <c r="N37" s="326">
        <v>978</v>
      </c>
      <c r="O37" s="326">
        <v>0</v>
      </c>
      <c r="P37" s="326">
        <v>1837</v>
      </c>
      <c r="Q37" s="327">
        <v>452</v>
      </c>
      <c r="R37" s="328">
        <f t="shared" ref="R37:S37" si="26">F37+J37+N37+P37</f>
        <v>5455</v>
      </c>
      <c r="S37" s="328">
        <f t="shared" si="26"/>
        <v>454</v>
      </c>
      <c r="T37" s="328"/>
      <c r="U37" s="328"/>
      <c r="V37" s="328"/>
      <c r="W37" s="328"/>
      <c r="X37" s="328"/>
    </row>
    <row r="38" spans="1:24">
      <c r="A38" s="324" t="s">
        <v>239</v>
      </c>
      <c r="B38" s="325" t="s">
        <v>125</v>
      </c>
      <c r="C38" s="325" t="s">
        <v>774</v>
      </c>
      <c r="D38" s="325">
        <v>2016</v>
      </c>
      <c r="E38" s="325" t="s">
        <v>775</v>
      </c>
      <c r="F38" s="326">
        <v>851</v>
      </c>
      <c r="G38" s="326">
        <v>0</v>
      </c>
      <c r="H38" s="327">
        <v>0</v>
      </c>
      <c r="I38" s="326">
        <v>0</v>
      </c>
      <c r="J38" s="326">
        <v>480</v>
      </c>
      <c r="K38" s="326">
        <v>0</v>
      </c>
      <c r="L38" s="326">
        <v>0</v>
      </c>
      <c r="M38" s="326">
        <v>0</v>
      </c>
      <c r="N38" s="326">
        <v>608</v>
      </c>
      <c r="O38" s="326">
        <v>0</v>
      </c>
      <c r="P38" s="326">
        <v>1981</v>
      </c>
      <c r="Q38" s="327">
        <v>225</v>
      </c>
      <c r="R38" s="328">
        <f t="shared" ref="R38:S38" si="27">F38+J38+N38+P38</f>
        <v>3920</v>
      </c>
      <c r="S38" s="328">
        <f t="shared" si="27"/>
        <v>225</v>
      </c>
      <c r="T38" s="328"/>
      <c r="U38" s="328"/>
      <c r="V38" s="328"/>
      <c r="W38" s="328"/>
      <c r="X38" s="328"/>
    </row>
    <row r="39" spans="1:24">
      <c r="A39" s="324" t="s">
        <v>240</v>
      </c>
      <c r="B39" s="325" t="s">
        <v>125</v>
      </c>
      <c r="C39" s="325" t="s">
        <v>774</v>
      </c>
      <c r="D39" s="325">
        <v>2016</v>
      </c>
      <c r="E39" s="325" t="s">
        <v>775</v>
      </c>
      <c r="F39" s="326">
        <v>839</v>
      </c>
      <c r="G39" s="326">
        <v>0</v>
      </c>
      <c r="H39" s="327">
        <v>0</v>
      </c>
      <c r="I39" s="326">
        <v>0</v>
      </c>
      <c r="J39" s="326">
        <v>474</v>
      </c>
      <c r="K39" s="326">
        <v>16</v>
      </c>
      <c r="L39" s="326">
        <v>4</v>
      </c>
      <c r="M39" s="326">
        <v>12</v>
      </c>
      <c r="N39" s="326">
        <v>496</v>
      </c>
      <c r="O39" s="326">
        <v>395</v>
      </c>
      <c r="P39" s="326">
        <v>920</v>
      </c>
      <c r="Q39" s="327">
        <v>15</v>
      </c>
      <c r="R39" s="328">
        <f t="shared" ref="R39:S39" si="28">F39+J39+N39+P39</f>
        <v>2729</v>
      </c>
      <c r="S39" s="328">
        <f t="shared" si="28"/>
        <v>426</v>
      </c>
      <c r="T39" s="328"/>
      <c r="U39" s="328"/>
      <c r="V39" s="328"/>
      <c r="W39" s="328"/>
      <c r="X39" s="328"/>
    </row>
    <row r="40" spans="1:24">
      <c r="A40" s="324" t="s">
        <v>241</v>
      </c>
      <c r="B40" s="325" t="s">
        <v>125</v>
      </c>
      <c r="C40" s="325" t="s">
        <v>774</v>
      </c>
      <c r="D40" s="325">
        <v>2016</v>
      </c>
      <c r="E40" s="325" t="s">
        <v>775</v>
      </c>
      <c r="F40" s="326">
        <v>330</v>
      </c>
      <c r="G40" s="326">
        <v>0</v>
      </c>
      <c r="H40" s="327">
        <v>0</v>
      </c>
      <c r="I40" s="326">
        <v>0</v>
      </c>
      <c r="J40" s="326">
        <v>167</v>
      </c>
      <c r="K40" s="326">
        <v>0</v>
      </c>
      <c r="L40" s="326">
        <v>0</v>
      </c>
      <c r="M40" s="326">
        <v>0</v>
      </c>
      <c r="N40" s="326">
        <v>158</v>
      </c>
      <c r="O40" s="326">
        <v>0</v>
      </c>
      <c r="P40" s="326">
        <v>423</v>
      </c>
      <c r="Q40" s="327">
        <v>0</v>
      </c>
      <c r="R40" s="328">
        <f t="shared" ref="R40:S40" si="29">F40+J40+N40+P40</f>
        <v>1078</v>
      </c>
      <c r="S40" s="328">
        <f t="shared" si="29"/>
        <v>0</v>
      </c>
      <c r="T40" s="328"/>
      <c r="U40" s="328"/>
      <c r="V40" s="328"/>
      <c r="W40" s="328"/>
      <c r="X40" s="328"/>
    </row>
    <row r="41" spans="1:24">
      <c r="A41" s="324" t="s">
        <v>242</v>
      </c>
      <c r="B41" s="325" t="s">
        <v>125</v>
      </c>
      <c r="C41" s="325" t="s">
        <v>774</v>
      </c>
      <c r="D41" s="325">
        <v>2016</v>
      </c>
      <c r="E41" s="325" t="s">
        <v>775</v>
      </c>
      <c r="F41" s="326">
        <v>2059</v>
      </c>
      <c r="G41" s="326">
        <v>26</v>
      </c>
      <c r="H41" s="327">
        <v>26</v>
      </c>
      <c r="I41" s="326">
        <v>0</v>
      </c>
      <c r="J41" s="326">
        <v>2075</v>
      </c>
      <c r="K41" s="326">
        <v>13</v>
      </c>
      <c r="L41" s="326">
        <v>13</v>
      </c>
      <c r="M41" s="326">
        <v>0</v>
      </c>
      <c r="N41" s="326">
        <v>2815</v>
      </c>
      <c r="O41" s="326">
        <v>0</v>
      </c>
      <c r="P41" s="326">
        <v>7816</v>
      </c>
      <c r="Q41" s="327">
        <v>2082</v>
      </c>
      <c r="R41" s="328">
        <f t="shared" ref="R41:S41" si="30">F41+J41+N41+P41</f>
        <v>14765</v>
      </c>
      <c r="S41" s="328">
        <f t="shared" si="30"/>
        <v>2121</v>
      </c>
      <c r="T41" s="328"/>
      <c r="U41" s="328"/>
      <c r="V41" s="328"/>
      <c r="W41" s="328"/>
      <c r="X41" s="328"/>
    </row>
    <row r="42" spans="1:24">
      <c r="A42" s="324" t="s">
        <v>243</v>
      </c>
      <c r="B42" s="325" t="s">
        <v>125</v>
      </c>
      <c r="C42" s="325" t="s">
        <v>774</v>
      </c>
      <c r="D42" s="325">
        <v>2016</v>
      </c>
      <c r="E42" s="325" t="s">
        <v>775</v>
      </c>
      <c r="F42" s="326">
        <v>24</v>
      </c>
      <c r="G42" s="326">
        <v>2</v>
      </c>
      <c r="H42" s="327">
        <v>2</v>
      </c>
      <c r="I42" s="326">
        <v>0</v>
      </c>
      <c r="J42" s="326">
        <v>14</v>
      </c>
      <c r="K42" s="326">
        <v>0</v>
      </c>
      <c r="L42" s="326">
        <v>0</v>
      </c>
      <c r="M42" s="326">
        <v>0</v>
      </c>
      <c r="N42" s="326">
        <v>15</v>
      </c>
      <c r="O42" s="326">
        <v>0</v>
      </c>
      <c r="P42" s="326">
        <v>7</v>
      </c>
      <c r="Q42" s="327">
        <v>3</v>
      </c>
      <c r="R42" s="328">
        <f t="shared" ref="R42:S42" si="31">F42+J42+N42+P42</f>
        <v>60</v>
      </c>
      <c r="S42" s="328">
        <f t="shared" si="31"/>
        <v>5</v>
      </c>
      <c r="T42" s="328"/>
      <c r="U42" s="328"/>
      <c r="V42" s="328"/>
      <c r="W42" s="328"/>
      <c r="X42" s="328"/>
    </row>
    <row r="43" spans="1:24">
      <c r="A43" s="324" t="s">
        <v>244</v>
      </c>
      <c r="B43" s="325" t="s">
        <v>125</v>
      </c>
      <c r="C43" s="325" t="s">
        <v>774</v>
      </c>
      <c r="D43" s="325">
        <v>2016</v>
      </c>
      <c r="E43" s="325" t="s">
        <v>775</v>
      </c>
      <c r="F43" s="326">
        <v>716</v>
      </c>
      <c r="G43" s="326">
        <v>128</v>
      </c>
      <c r="H43" s="327">
        <v>128</v>
      </c>
      <c r="I43" s="326">
        <v>0</v>
      </c>
      <c r="J43" s="326">
        <v>391</v>
      </c>
      <c r="K43" s="326">
        <v>21</v>
      </c>
      <c r="L43" s="326">
        <v>21</v>
      </c>
      <c r="M43" s="326">
        <v>0</v>
      </c>
      <c r="N43" s="326">
        <v>407</v>
      </c>
      <c r="O43" s="326">
        <v>10</v>
      </c>
      <c r="P43" s="326">
        <v>553</v>
      </c>
      <c r="Q43" s="327">
        <v>228</v>
      </c>
      <c r="R43" s="328">
        <f t="shared" ref="R43:S43" si="32">F43+J43+N43+P43</f>
        <v>2067</v>
      </c>
      <c r="S43" s="328">
        <f t="shared" si="32"/>
        <v>387</v>
      </c>
      <c r="T43" s="328"/>
      <c r="U43" s="328"/>
      <c r="V43" s="328"/>
      <c r="W43" s="328"/>
      <c r="X43" s="328"/>
    </row>
    <row r="44" spans="1:24">
      <c r="A44" s="324" t="s">
        <v>245</v>
      </c>
      <c r="B44" s="325" t="s">
        <v>125</v>
      </c>
      <c r="C44" s="325" t="s">
        <v>774</v>
      </c>
      <c r="D44" s="325">
        <v>2016</v>
      </c>
      <c r="E44" s="325" t="s">
        <v>775</v>
      </c>
      <c r="F44" s="326">
        <v>504</v>
      </c>
      <c r="G44" s="326">
        <v>0</v>
      </c>
      <c r="H44" s="327">
        <v>0</v>
      </c>
      <c r="I44" s="326">
        <v>0</v>
      </c>
      <c r="J44" s="326">
        <v>270</v>
      </c>
      <c r="K44" s="326">
        <v>0</v>
      </c>
      <c r="L44" s="326">
        <v>0</v>
      </c>
      <c r="M44" s="326">
        <v>0</v>
      </c>
      <c r="N44" s="326">
        <v>352</v>
      </c>
      <c r="O44" s="326">
        <v>0</v>
      </c>
      <c r="P44" s="326">
        <v>1161</v>
      </c>
      <c r="Q44" s="327">
        <v>3</v>
      </c>
      <c r="R44" s="328">
        <f t="shared" ref="R44:S44" si="33">F44+J44+N44+P44</f>
        <v>2287</v>
      </c>
      <c r="S44" s="328">
        <f t="shared" si="33"/>
        <v>3</v>
      </c>
      <c r="T44" s="328"/>
      <c r="U44" s="328"/>
      <c r="V44" s="328"/>
      <c r="W44" s="328"/>
      <c r="X44" s="328"/>
    </row>
    <row r="45" spans="1:24">
      <c r="A45" s="329" t="s">
        <v>246</v>
      </c>
      <c r="B45" s="330" t="s">
        <v>125</v>
      </c>
      <c r="C45" s="330" t="s">
        <v>774</v>
      </c>
      <c r="D45" s="330">
        <v>2016</v>
      </c>
      <c r="E45" s="330" t="s">
        <v>775</v>
      </c>
      <c r="F45" s="327">
        <v>317</v>
      </c>
      <c r="G45" s="326">
        <v>0</v>
      </c>
      <c r="H45" s="327">
        <v>0</v>
      </c>
      <c r="I45" s="327">
        <v>0</v>
      </c>
      <c r="J45" s="326">
        <v>180</v>
      </c>
      <c r="K45" s="326">
        <v>0</v>
      </c>
      <c r="L45" s="327">
        <v>0</v>
      </c>
      <c r="M45" s="327">
        <v>0</v>
      </c>
      <c r="N45" s="327">
        <v>192</v>
      </c>
      <c r="O45" s="327">
        <v>1</v>
      </c>
      <c r="P45" s="327">
        <v>417</v>
      </c>
      <c r="Q45" s="327">
        <v>1</v>
      </c>
      <c r="R45" s="328">
        <f t="shared" ref="R45:S45" si="34">F45+J45+N45+P45</f>
        <v>1106</v>
      </c>
      <c r="S45" s="328">
        <f t="shared" si="34"/>
        <v>2</v>
      </c>
      <c r="T45" s="331">
        <f>SUM(G31:G45)</f>
        <v>276</v>
      </c>
      <c r="U45" s="331">
        <f>SUM(K31:K45)</f>
        <v>72</v>
      </c>
      <c r="V45" s="331">
        <f>SUM(O31:O45)</f>
        <v>415</v>
      </c>
      <c r="W45" s="331">
        <f>SUM(Q31:Q45)</f>
        <v>4090</v>
      </c>
      <c r="X45" s="331">
        <f>T45+U45+V45+W45</f>
        <v>4853</v>
      </c>
    </row>
    <row r="46" spans="1:24">
      <c r="A46" s="332" t="s">
        <v>125</v>
      </c>
      <c r="B46" s="333" t="s">
        <v>125</v>
      </c>
      <c r="C46" s="333" t="s">
        <v>774</v>
      </c>
      <c r="D46" s="333">
        <v>2017</v>
      </c>
      <c r="E46" s="333" t="s">
        <v>775</v>
      </c>
      <c r="F46" s="334">
        <v>444</v>
      </c>
      <c r="G46" s="334">
        <v>18</v>
      </c>
      <c r="H46" s="335">
        <v>18</v>
      </c>
      <c r="I46" s="334">
        <v>0</v>
      </c>
      <c r="J46" s="334">
        <v>248</v>
      </c>
      <c r="K46" s="334">
        <v>4</v>
      </c>
      <c r="L46" s="334">
        <v>4</v>
      </c>
      <c r="M46" s="334">
        <v>0</v>
      </c>
      <c r="N46" s="334">
        <v>283</v>
      </c>
      <c r="O46" s="334">
        <v>5</v>
      </c>
      <c r="P46" s="334">
        <v>748</v>
      </c>
      <c r="Q46" s="335">
        <v>66</v>
      </c>
      <c r="R46" s="336">
        <f t="shared" ref="R46:S46" si="35">F46+J46+N46+P46</f>
        <v>1723</v>
      </c>
      <c r="S46" s="336">
        <f t="shared" si="35"/>
        <v>93</v>
      </c>
      <c r="T46" s="336"/>
      <c r="U46" s="336"/>
      <c r="V46" s="336"/>
      <c r="W46" s="336"/>
      <c r="X46" s="336"/>
    </row>
    <row r="47" spans="1:24">
      <c r="A47" s="332" t="s">
        <v>233</v>
      </c>
      <c r="B47" s="333" t="s">
        <v>125</v>
      </c>
      <c r="C47" s="333" t="s">
        <v>774</v>
      </c>
      <c r="D47" s="333">
        <v>2017</v>
      </c>
      <c r="E47" s="333" t="s">
        <v>775</v>
      </c>
      <c r="F47" s="334">
        <v>430</v>
      </c>
      <c r="G47" s="334">
        <v>0</v>
      </c>
      <c r="H47" s="335">
        <v>0</v>
      </c>
      <c r="I47" s="334">
        <v>0</v>
      </c>
      <c r="J47" s="334">
        <v>227</v>
      </c>
      <c r="K47" s="334">
        <v>3</v>
      </c>
      <c r="L47" s="334">
        <v>0</v>
      </c>
      <c r="M47" s="334">
        <v>3</v>
      </c>
      <c r="N47" s="334">
        <v>295</v>
      </c>
      <c r="O47" s="334">
        <v>0</v>
      </c>
      <c r="P47" s="334">
        <v>817</v>
      </c>
      <c r="Q47" s="335">
        <v>32</v>
      </c>
      <c r="R47" s="336">
        <f t="shared" ref="R47:S47" si="36">F47+J47+N47+P47</f>
        <v>1769</v>
      </c>
      <c r="S47" s="336">
        <f t="shared" si="36"/>
        <v>35</v>
      </c>
      <c r="T47" s="336"/>
      <c r="U47" s="336"/>
      <c r="V47" s="336"/>
      <c r="W47" s="336"/>
      <c r="X47" s="336"/>
    </row>
    <row r="48" spans="1:24">
      <c r="A48" s="332" t="s">
        <v>234</v>
      </c>
      <c r="B48" s="333" t="s">
        <v>125</v>
      </c>
      <c r="C48" s="333" t="s">
        <v>774</v>
      </c>
      <c r="D48" s="333">
        <v>2017</v>
      </c>
      <c r="E48" s="333" t="s">
        <v>775</v>
      </c>
      <c r="F48" s="334">
        <v>80</v>
      </c>
      <c r="G48" s="334">
        <v>0</v>
      </c>
      <c r="H48" s="335">
        <v>0</v>
      </c>
      <c r="I48" s="334">
        <v>0</v>
      </c>
      <c r="J48" s="334">
        <v>53</v>
      </c>
      <c r="K48" s="334">
        <v>0</v>
      </c>
      <c r="L48" s="334">
        <v>0</v>
      </c>
      <c r="M48" s="334">
        <v>0</v>
      </c>
      <c r="N48" s="334">
        <v>57</v>
      </c>
      <c r="O48" s="334">
        <v>4</v>
      </c>
      <c r="P48" s="334">
        <v>145</v>
      </c>
      <c r="Q48" s="335">
        <v>8</v>
      </c>
      <c r="R48" s="336">
        <f t="shared" ref="R48:S48" si="37">F48+J48+N48+P48</f>
        <v>335</v>
      </c>
      <c r="S48" s="336">
        <f t="shared" si="37"/>
        <v>12</v>
      </c>
      <c r="T48" s="336"/>
      <c r="U48" s="336"/>
      <c r="V48" s="336"/>
      <c r="W48" s="336"/>
      <c r="X48" s="336"/>
    </row>
    <row r="49" spans="1:24" ht="12.75">
      <c r="A49" s="332" t="s">
        <v>235</v>
      </c>
      <c r="B49" s="333" t="s">
        <v>125</v>
      </c>
      <c r="C49" s="333" t="s">
        <v>774</v>
      </c>
      <c r="D49" s="333">
        <v>2017</v>
      </c>
      <c r="E49" s="333" t="s">
        <v>775</v>
      </c>
      <c r="F49" s="334">
        <v>532</v>
      </c>
      <c r="G49" s="334">
        <v>10</v>
      </c>
      <c r="H49" s="335">
        <v>10</v>
      </c>
      <c r="I49" s="334">
        <v>0</v>
      </c>
      <c r="J49" s="334">
        <v>442</v>
      </c>
      <c r="K49" s="334">
        <v>0</v>
      </c>
      <c r="L49" s="334">
        <v>0</v>
      </c>
      <c r="M49" s="334">
        <v>0</v>
      </c>
      <c r="N49" s="334">
        <v>584</v>
      </c>
      <c r="O49" s="334">
        <v>0</v>
      </c>
      <c r="P49" s="334">
        <v>1401</v>
      </c>
      <c r="Q49" s="335">
        <v>262</v>
      </c>
      <c r="R49" s="336">
        <f t="shared" ref="R49:S49" si="38">F49+J49+N49+P49</f>
        <v>2959</v>
      </c>
      <c r="S49" s="336">
        <f t="shared" si="38"/>
        <v>272</v>
      </c>
      <c r="T49" s="336"/>
      <c r="U49" s="336"/>
      <c r="V49" s="336"/>
      <c r="W49" s="336"/>
      <c r="X49" s="336"/>
    </row>
    <row r="50" spans="1:24" ht="12.75">
      <c r="A50" s="332" t="s">
        <v>236</v>
      </c>
      <c r="B50" s="333" t="s">
        <v>125</v>
      </c>
      <c r="C50" s="333" t="s">
        <v>774</v>
      </c>
      <c r="D50" s="333">
        <v>2017</v>
      </c>
      <c r="E50" s="333" t="s">
        <v>775</v>
      </c>
      <c r="F50" s="334">
        <v>796</v>
      </c>
      <c r="G50" s="334">
        <v>0</v>
      </c>
      <c r="H50" s="335">
        <v>0</v>
      </c>
      <c r="I50" s="334">
        <v>0</v>
      </c>
      <c r="J50" s="334">
        <v>446</v>
      </c>
      <c r="K50" s="334">
        <v>0</v>
      </c>
      <c r="L50" s="334">
        <v>0</v>
      </c>
      <c r="M50" s="334">
        <v>0</v>
      </c>
      <c r="N50" s="334">
        <v>425</v>
      </c>
      <c r="O50" s="334">
        <v>8</v>
      </c>
      <c r="P50" s="334">
        <v>618</v>
      </c>
      <c r="Q50" s="335">
        <v>1187</v>
      </c>
      <c r="R50" s="336">
        <f t="shared" ref="R50:S50" si="39">F50+J50+N50+P50</f>
        <v>2285</v>
      </c>
      <c r="S50" s="336">
        <f t="shared" si="39"/>
        <v>1195</v>
      </c>
      <c r="T50" s="336"/>
      <c r="U50" s="336"/>
      <c r="V50" s="336"/>
      <c r="W50" s="336"/>
      <c r="X50" s="336"/>
    </row>
    <row r="51" spans="1:24" ht="12.75">
      <c r="A51" s="332" t="s">
        <v>237</v>
      </c>
      <c r="B51" s="333" t="s">
        <v>125</v>
      </c>
      <c r="C51" s="333" t="s">
        <v>774</v>
      </c>
      <c r="D51" s="333">
        <v>2017</v>
      </c>
      <c r="E51" s="333" t="s">
        <v>775</v>
      </c>
      <c r="F51" s="334">
        <v>276</v>
      </c>
      <c r="G51" s="334">
        <v>81</v>
      </c>
      <c r="H51" s="335">
        <v>81</v>
      </c>
      <c r="I51" s="334">
        <v>0</v>
      </c>
      <c r="J51" s="334">
        <v>211</v>
      </c>
      <c r="K51" s="334">
        <v>16</v>
      </c>
      <c r="L51" s="334">
        <v>16</v>
      </c>
      <c r="M51" s="334">
        <v>0</v>
      </c>
      <c r="N51" s="334">
        <v>259</v>
      </c>
      <c r="O51" s="334">
        <v>14</v>
      </c>
      <c r="P51" s="334">
        <v>752</v>
      </c>
      <c r="Q51" s="335">
        <v>201</v>
      </c>
      <c r="R51" s="336">
        <f t="shared" ref="R51:S51" si="40">F51+J51+N51+P51</f>
        <v>1498</v>
      </c>
      <c r="S51" s="336">
        <f t="shared" si="40"/>
        <v>312</v>
      </c>
      <c r="T51" s="336"/>
      <c r="U51" s="336"/>
      <c r="V51" s="336"/>
      <c r="W51" s="336"/>
      <c r="X51" s="336"/>
    </row>
    <row r="52" spans="1:24" ht="12.75">
      <c r="A52" s="332" t="s">
        <v>238</v>
      </c>
      <c r="B52" s="333" t="s">
        <v>125</v>
      </c>
      <c r="C52" s="333" t="s">
        <v>774</v>
      </c>
      <c r="D52" s="333">
        <v>2017</v>
      </c>
      <c r="E52" s="333" t="s">
        <v>775</v>
      </c>
      <c r="F52" s="334">
        <v>1714</v>
      </c>
      <c r="G52" s="334">
        <v>217</v>
      </c>
      <c r="H52" s="335">
        <v>217</v>
      </c>
      <c r="I52" s="334">
        <v>0</v>
      </c>
      <c r="J52" s="334">
        <v>926</v>
      </c>
      <c r="K52" s="334">
        <v>249</v>
      </c>
      <c r="L52" s="334">
        <v>249</v>
      </c>
      <c r="M52" s="334">
        <v>0</v>
      </c>
      <c r="N52" s="334">
        <v>978</v>
      </c>
      <c r="O52" s="334">
        <v>0</v>
      </c>
      <c r="P52" s="334">
        <v>1837</v>
      </c>
      <c r="Q52" s="335">
        <v>1601</v>
      </c>
      <c r="R52" s="336">
        <f t="shared" ref="R52:S52" si="41">F52+J52+N52+P52</f>
        <v>5455</v>
      </c>
      <c r="S52" s="336">
        <f t="shared" si="41"/>
        <v>2067</v>
      </c>
      <c r="T52" s="336"/>
      <c r="U52" s="336"/>
      <c r="V52" s="336"/>
      <c r="W52" s="336"/>
      <c r="X52" s="336"/>
    </row>
    <row r="53" spans="1:24" ht="12.75">
      <c r="A53" s="332" t="s">
        <v>239</v>
      </c>
      <c r="B53" s="333" t="s">
        <v>125</v>
      </c>
      <c r="C53" s="333" t="s">
        <v>774</v>
      </c>
      <c r="D53" s="333">
        <v>2017</v>
      </c>
      <c r="E53" s="333" t="s">
        <v>775</v>
      </c>
      <c r="F53" s="334">
        <v>851</v>
      </c>
      <c r="G53" s="334">
        <v>40</v>
      </c>
      <c r="H53" s="335">
        <v>40</v>
      </c>
      <c r="I53" s="334">
        <v>0</v>
      </c>
      <c r="J53" s="334">
        <v>480</v>
      </c>
      <c r="K53" s="334">
        <v>19</v>
      </c>
      <c r="L53" s="334">
        <v>19</v>
      </c>
      <c r="M53" s="334">
        <v>0</v>
      </c>
      <c r="N53" s="334">
        <v>608</v>
      </c>
      <c r="O53" s="334">
        <v>0</v>
      </c>
      <c r="P53" s="334">
        <v>1981</v>
      </c>
      <c r="Q53" s="335">
        <v>395</v>
      </c>
      <c r="R53" s="336">
        <f t="shared" ref="R53:S53" si="42">F53+J53+N53+P53</f>
        <v>3920</v>
      </c>
      <c r="S53" s="336">
        <f t="shared" si="42"/>
        <v>454</v>
      </c>
      <c r="T53" s="336"/>
      <c r="U53" s="336"/>
      <c r="V53" s="336"/>
      <c r="W53" s="336"/>
      <c r="X53" s="336"/>
    </row>
    <row r="54" spans="1:24" ht="12.75">
      <c r="A54" s="332" t="s">
        <v>240</v>
      </c>
      <c r="B54" s="333" t="s">
        <v>125</v>
      </c>
      <c r="C54" s="333" t="s">
        <v>774</v>
      </c>
      <c r="D54" s="333">
        <v>2017</v>
      </c>
      <c r="E54" s="333" t="s">
        <v>775</v>
      </c>
      <c r="F54" s="334">
        <v>839</v>
      </c>
      <c r="G54" s="334">
        <v>52</v>
      </c>
      <c r="H54" s="335">
        <v>52</v>
      </c>
      <c r="I54" s="334">
        <v>0</v>
      </c>
      <c r="J54" s="334">
        <v>474</v>
      </c>
      <c r="K54" s="334">
        <v>24</v>
      </c>
      <c r="L54" s="334">
        <v>24</v>
      </c>
      <c r="M54" s="334">
        <v>0</v>
      </c>
      <c r="N54" s="334">
        <v>496</v>
      </c>
      <c r="O54" s="334">
        <v>15</v>
      </c>
      <c r="P54" s="334">
        <v>920</v>
      </c>
      <c r="Q54" s="335">
        <v>311</v>
      </c>
      <c r="R54" s="336">
        <f t="shared" ref="R54:S54" si="43">F54+J54+N54+P54</f>
        <v>2729</v>
      </c>
      <c r="S54" s="336">
        <f t="shared" si="43"/>
        <v>402</v>
      </c>
      <c r="T54" s="336"/>
      <c r="U54" s="336"/>
      <c r="V54" s="336"/>
      <c r="W54" s="336"/>
      <c r="X54" s="336"/>
    </row>
    <row r="55" spans="1:24" ht="12.75">
      <c r="A55" s="332" t="s">
        <v>241</v>
      </c>
      <c r="B55" s="333" t="s">
        <v>125</v>
      </c>
      <c r="C55" s="333" t="s">
        <v>774</v>
      </c>
      <c r="D55" s="333">
        <v>2017</v>
      </c>
      <c r="E55" s="333" t="s">
        <v>775</v>
      </c>
      <c r="F55" s="334">
        <v>330</v>
      </c>
      <c r="G55" s="334">
        <v>0</v>
      </c>
      <c r="H55" s="335">
        <v>0</v>
      </c>
      <c r="I55" s="334">
        <v>0</v>
      </c>
      <c r="J55" s="334">
        <v>167</v>
      </c>
      <c r="K55" s="334">
        <v>0</v>
      </c>
      <c r="L55" s="334">
        <v>0</v>
      </c>
      <c r="M55" s="334">
        <v>0</v>
      </c>
      <c r="N55" s="334">
        <v>158</v>
      </c>
      <c r="O55" s="334">
        <v>0</v>
      </c>
      <c r="P55" s="334">
        <v>423</v>
      </c>
      <c r="Q55" s="335">
        <v>0</v>
      </c>
      <c r="R55" s="336">
        <f t="shared" ref="R55:S55" si="44">F55+J55+N55+P55</f>
        <v>1078</v>
      </c>
      <c r="S55" s="336">
        <f t="shared" si="44"/>
        <v>0</v>
      </c>
      <c r="T55" s="336"/>
      <c r="U55" s="336"/>
      <c r="V55" s="336"/>
      <c r="W55" s="336"/>
      <c r="X55" s="336"/>
    </row>
    <row r="56" spans="1:24" ht="12.75">
      <c r="A56" s="332" t="s">
        <v>242</v>
      </c>
      <c r="B56" s="333" t="s">
        <v>125</v>
      </c>
      <c r="C56" s="333" t="s">
        <v>774</v>
      </c>
      <c r="D56" s="333">
        <v>2017</v>
      </c>
      <c r="E56" s="333" t="s">
        <v>775</v>
      </c>
      <c r="F56" s="334">
        <v>2059</v>
      </c>
      <c r="G56" s="334">
        <v>247</v>
      </c>
      <c r="H56" s="335">
        <v>247</v>
      </c>
      <c r="I56" s="334">
        <v>0</v>
      </c>
      <c r="J56" s="334">
        <v>2075</v>
      </c>
      <c r="K56" s="334">
        <v>66</v>
      </c>
      <c r="L56" s="334">
        <v>66</v>
      </c>
      <c r="M56" s="334">
        <v>0</v>
      </c>
      <c r="N56" s="334">
        <v>2815</v>
      </c>
      <c r="O56" s="334">
        <v>11</v>
      </c>
      <c r="P56" s="334">
        <v>7816</v>
      </c>
      <c r="Q56" s="335">
        <v>4019</v>
      </c>
      <c r="R56" s="336">
        <f t="shared" ref="R56:S56" si="45">F56+J56+N56+P56</f>
        <v>14765</v>
      </c>
      <c r="S56" s="336">
        <f t="shared" si="45"/>
        <v>4343</v>
      </c>
      <c r="T56" s="336"/>
      <c r="U56" s="336"/>
      <c r="V56" s="336"/>
      <c r="W56" s="336"/>
      <c r="X56" s="336"/>
    </row>
    <row r="57" spans="1:24" ht="12.75">
      <c r="A57" s="332" t="s">
        <v>243</v>
      </c>
      <c r="B57" s="333" t="s">
        <v>125</v>
      </c>
      <c r="C57" s="333" t="s">
        <v>774</v>
      </c>
      <c r="D57" s="333">
        <v>2017</v>
      </c>
      <c r="E57" s="333" t="s">
        <v>775</v>
      </c>
      <c r="F57" s="334">
        <v>24</v>
      </c>
      <c r="G57" s="334">
        <v>1</v>
      </c>
      <c r="H57" s="335">
        <v>1</v>
      </c>
      <c r="I57" s="334">
        <v>0</v>
      </c>
      <c r="J57" s="334">
        <v>14</v>
      </c>
      <c r="K57" s="334">
        <v>2</v>
      </c>
      <c r="L57" s="334">
        <v>0</v>
      </c>
      <c r="M57" s="334">
        <v>2</v>
      </c>
      <c r="N57" s="334">
        <v>15</v>
      </c>
      <c r="O57" s="334">
        <v>3</v>
      </c>
      <c r="P57" s="334">
        <v>7</v>
      </c>
      <c r="Q57" s="335">
        <v>1</v>
      </c>
      <c r="R57" s="336">
        <f t="shared" ref="R57:S57" si="46">F57+J57+N57+P57</f>
        <v>60</v>
      </c>
      <c r="S57" s="336">
        <f t="shared" si="46"/>
        <v>7</v>
      </c>
      <c r="T57" s="336"/>
      <c r="U57" s="336"/>
      <c r="V57" s="336"/>
      <c r="W57" s="336"/>
      <c r="X57" s="336"/>
    </row>
    <row r="58" spans="1:24" ht="12.75">
      <c r="A58" s="332" t="s">
        <v>244</v>
      </c>
      <c r="B58" s="333" t="s">
        <v>125</v>
      </c>
      <c r="C58" s="333" t="s">
        <v>774</v>
      </c>
      <c r="D58" s="333">
        <v>2017</v>
      </c>
      <c r="E58" s="333" t="s">
        <v>775</v>
      </c>
      <c r="F58" s="334">
        <v>716</v>
      </c>
      <c r="G58" s="334">
        <v>0</v>
      </c>
      <c r="H58" s="335">
        <v>0</v>
      </c>
      <c r="I58" s="334">
        <v>0</v>
      </c>
      <c r="J58" s="334">
        <v>391</v>
      </c>
      <c r="K58" s="334">
        <v>7</v>
      </c>
      <c r="L58" s="334">
        <v>6</v>
      </c>
      <c r="M58" s="334">
        <v>1</v>
      </c>
      <c r="N58" s="334">
        <v>407</v>
      </c>
      <c r="O58" s="334">
        <v>6</v>
      </c>
      <c r="P58" s="334">
        <v>553</v>
      </c>
      <c r="Q58" s="335">
        <v>102</v>
      </c>
      <c r="R58" s="336">
        <f t="shared" ref="R58:S58" si="47">F58+J58+N58+P58</f>
        <v>2067</v>
      </c>
      <c r="S58" s="336">
        <f t="shared" si="47"/>
        <v>115</v>
      </c>
      <c r="T58" s="336"/>
      <c r="U58" s="336"/>
      <c r="V58" s="336"/>
      <c r="W58" s="336"/>
      <c r="X58" s="336"/>
    </row>
    <row r="59" spans="1:24" ht="12.75">
      <c r="A59" s="332" t="s">
        <v>245</v>
      </c>
      <c r="B59" s="333" t="s">
        <v>125</v>
      </c>
      <c r="C59" s="333" t="s">
        <v>774</v>
      </c>
      <c r="D59" s="333">
        <v>2017</v>
      </c>
      <c r="E59" s="333" t="s">
        <v>775</v>
      </c>
      <c r="F59" s="334">
        <v>504</v>
      </c>
      <c r="G59" s="334">
        <v>27</v>
      </c>
      <c r="H59" s="335">
        <v>27</v>
      </c>
      <c r="I59" s="334">
        <v>0</v>
      </c>
      <c r="J59" s="334">
        <v>270</v>
      </c>
      <c r="K59" s="334">
        <v>57</v>
      </c>
      <c r="L59" s="334">
        <v>57</v>
      </c>
      <c r="M59" s="334">
        <v>0</v>
      </c>
      <c r="N59" s="334">
        <v>352</v>
      </c>
      <c r="O59" s="334">
        <v>0</v>
      </c>
      <c r="P59" s="334">
        <v>1161</v>
      </c>
      <c r="Q59" s="335">
        <v>8</v>
      </c>
      <c r="R59" s="336">
        <f t="shared" ref="R59:S59" si="48">F59+J59+N59+P59</f>
        <v>2287</v>
      </c>
      <c r="S59" s="336">
        <f t="shared" si="48"/>
        <v>92</v>
      </c>
      <c r="T59" s="336"/>
      <c r="U59" s="336"/>
      <c r="V59" s="336"/>
      <c r="W59" s="336"/>
      <c r="X59" s="336"/>
    </row>
    <row r="60" spans="1:24" ht="12.75">
      <c r="A60" s="337" t="s">
        <v>246</v>
      </c>
      <c r="B60" s="338" t="s">
        <v>125</v>
      </c>
      <c r="C60" s="338" t="s">
        <v>774</v>
      </c>
      <c r="D60" s="338">
        <v>2017</v>
      </c>
      <c r="E60" s="338" t="s">
        <v>775</v>
      </c>
      <c r="F60" s="335">
        <v>317</v>
      </c>
      <c r="G60" s="334">
        <v>0</v>
      </c>
      <c r="H60" s="335">
        <v>0</v>
      </c>
      <c r="I60" s="335">
        <v>0</v>
      </c>
      <c r="J60" s="334">
        <v>180</v>
      </c>
      <c r="K60" s="334">
        <v>0</v>
      </c>
      <c r="L60" s="335">
        <v>0</v>
      </c>
      <c r="M60" s="335">
        <v>0</v>
      </c>
      <c r="N60" s="335">
        <v>192</v>
      </c>
      <c r="O60" s="335">
        <v>3</v>
      </c>
      <c r="P60" s="335">
        <v>417</v>
      </c>
      <c r="Q60" s="335">
        <v>27</v>
      </c>
      <c r="R60" s="336">
        <f t="shared" ref="R60:S60" si="49">F60+J60+N60+P60</f>
        <v>1106</v>
      </c>
      <c r="S60" s="336">
        <f t="shared" si="49"/>
        <v>30</v>
      </c>
      <c r="T60" s="339">
        <f>SUM(G46:G60)</f>
        <v>693</v>
      </c>
      <c r="U60" s="339">
        <f>SUM(K46:K60)</f>
        <v>447</v>
      </c>
      <c r="V60" s="339">
        <f>SUM(O46:O60)</f>
        <v>69</v>
      </c>
      <c r="W60" s="339">
        <f>SUM(Q46:Q60)</f>
        <v>8220</v>
      </c>
      <c r="X60" s="339">
        <f>T60+U60+V60+W60</f>
        <v>9429</v>
      </c>
    </row>
    <row r="61" spans="1:24" ht="12.75">
      <c r="A61" s="340" t="s">
        <v>125</v>
      </c>
      <c r="B61" s="341" t="s">
        <v>125</v>
      </c>
      <c r="C61" s="341" t="s">
        <v>774</v>
      </c>
      <c r="D61" s="341">
        <v>2018</v>
      </c>
      <c r="E61" s="341" t="s">
        <v>775</v>
      </c>
      <c r="F61" s="342">
        <v>444</v>
      </c>
      <c r="G61" s="343">
        <v>1</v>
      </c>
      <c r="H61" s="342">
        <v>1</v>
      </c>
      <c r="I61" s="342">
        <v>0</v>
      </c>
      <c r="J61" s="342">
        <v>248</v>
      </c>
      <c r="K61" s="343">
        <v>0</v>
      </c>
      <c r="L61" s="342">
        <v>0</v>
      </c>
      <c r="M61" s="342">
        <v>0</v>
      </c>
      <c r="N61" s="342">
        <v>283</v>
      </c>
      <c r="O61" s="342">
        <v>0</v>
      </c>
      <c r="P61" s="342">
        <v>748</v>
      </c>
      <c r="Q61" s="342">
        <v>180</v>
      </c>
      <c r="R61" s="344">
        <f t="shared" ref="R61:S61" si="50">F61+J61+N61+P61</f>
        <v>1723</v>
      </c>
      <c r="S61" s="344">
        <f t="shared" si="50"/>
        <v>181</v>
      </c>
      <c r="T61" s="344"/>
      <c r="U61" s="344"/>
      <c r="V61" s="344"/>
      <c r="W61" s="344"/>
      <c r="X61" s="344"/>
    </row>
    <row r="62" spans="1:24" ht="12.75">
      <c r="A62" s="340" t="s">
        <v>233</v>
      </c>
      <c r="B62" s="341" t="s">
        <v>125</v>
      </c>
      <c r="C62" s="341" t="s">
        <v>774</v>
      </c>
      <c r="D62" s="341">
        <v>2018</v>
      </c>
      <c r="E62" s="341" t="s">
        <v>775</v>
      </c>
      <c r="F62" s="342">
        <v>430</v>
      </c>
      <c r="G62" s="343">
        <v>0</v>
      </c>
      <c r="H62" s="342">
        <v>0</v>
      </c>
      <c r="I62" s="342">
        <v>0</v>
      </c>
      <c r="J62" s="342">
        <v>227</v>
      </c>
      <c r="K62" s="343">
        <v>11</v>
      </c>
      <c r="L62" s="342">
        <v>0</v>
      </c>
      <c r="M62" s="342">
        <v>11</v>
      </c>
      <c r="N62" s="342">
        <v>295</v>
      </c>
      <c r="O62" s="342">
        <v>0</v>
      </c>
      <c r="P62" s="342">
        <v>817</v>
      </c>
      <c r="Q62" s="342">
        <v>108</v>
      </c>
      <c r="R62" s="344">
        <f t="shared" ref="R62:S62" si="51">F62+J62+N62+P62</f>
        <v>1769</v>
      </c>
      <c r="S62" s="344">
        <f t="shared" si="51"/>
        <v>119</v>
      </c>
      <c r="T62" s="344"/>
      <c r="U62" s="344"/>
      <c r="V62" s="344"/>
      <c r="W62" s="344"/>
      <c r="X62" s="344"/>
    </row>
    <row r="63" spans="1:24" ht="12.75">
      <c r="A63" s="340" t="s">
        <v>234</v>
      </c>
      <c r="B63" s="341" t="s">
        <v>125</v>
      </c>
      <c r="C63" s="341" t="s">
        <v>774</v>
      </c>
      <c r="D63" s="341">
        <v>2018</v>
      </c>
      <c r="E63" s="341" t="s">
        <v>775</v>
      </c>
      <c r="F63" s="342">
        <v>80</v>
      </c>
      <c r="G63" s="343">
        <v>0</v>
      </c>
      <c r="H63" s="342">
        <v>0</v>
      </c>
      <c r="I63" s="342">
        <v>0</v>
      </c>
      <c r="J63" s="342">
        <v>53</v>
      </c>
      <c r="K63" s="343">
        <v>0</v>
      </c>
      <c r="L63" s="342">
        <v>0</v>
      </c>
      <c r="M63" s="342">
        <v>0</v>
      </c>
      <c r="N63" s="342">
        <v>57</v>
      </c>
      <c r="O63" s="342">
        <v>17</v>
      </c>
      <c r="P63" s="342">
        <v>145</v>
      </c>
      <c r="Q63" s="342">
        <v>0</v>
      </c>
      <c r="R63" s="344">
        <f t="shared" ref="R63:S63" si="52">F63+J63+N63+P63</f>
        <v>335</v>
      </c>
      <c r="S63" s="344">
        <f t="shared" si="52"/>
        <v>17</v>
      </c>
      <c r="T63" s="344"/>
      <c r="U63" s="344"/>
      <c r="V63" s="344"/>
      <c r="W63" s="344"/>
      <c r="X63" s="344"/>
    </row>
    <row r="64" spans="1:24" ht="12.75">
      <c r="A64" s="340" t="s">
        <v>235</v>
      </c>
      <c r="B64" s="341" t="s">
        <v>125</v>
      </c>
      <c r="C64" s="341" t="s">
        <v>774</v>
      </c>
      <c r="D64" s="341">
        <v>2018</v>
      </c>
      <c r="E64" s="341" t="s">
        <v>775</v>
      </c>
      <c r="F64" s="342">
        <v>532</v>
      </c>
      <c r="G64" s="343">
        <v>1</v>
      </c>
      <c r="H64" s="342">
        <v>1</v>
      </c>
      <c r="I64" s="342">
        <v>0</v>
      </c>
      <c r="J64" s="342">
        <v>442</v>
      </c>
      <c r="K64" s="343">
        <v>0</v>
      </c>
      <c r="L64" s="342">
        <v>0</v>
      </c>
      <c r="M64" s="342">
        <v>0</v>
      </c>
      <c r="N64" s="342">
        <v>584</v>
      </c>
      <c r="O64" s="342">
        <v>0</v>
      </c>
      <c r="P64" s="342">
        <v>1401</v>
      </c>
      <c r="Q64" s="342">
        <v>332</v>
      </c>
      <c r="R64" s="344">
        <f t="shared" ref="R64:S64" si="53">F64+J64+N64+P64</f>
        <v>2959</v>
      </c>
      <c r="S64" s="344">
        <f t="shared" si="53"/>
        <v>333</v>
      </c>
      <c r="T64" s="344"/>
      <c r="U64" s="344"/>
      <c r="V64" s="344"/>
      <c r="W64" s="344"/>
      <c r="X64" s="344"/>
    </row>
    <row r="65" spans="1:24" ht="12.75">
      <c r="A65" s="340" t="s">
        <v>236</v>
      </c>
      <c r="B65" s="341" t="s">
        <v>125</v>
      </c>
      <c r="C65" s="341" t="s">
        <v>774</v>
      </c>
      <c r="D65" s="341">
        <v>2018</v>
      </c>
      <c r="E65" s="341" t="s">
        <v>775</v>
      </c>
      <c r="F65" s="342">
        <v>796</v>
      </c>
      <c r="G65" s="343">
        <v>0</v>
      </c>
      <c r="H65" s="342">
        <v>0</v>
      </c>
      <c r="I65" s="342">
        <v>0</v>
      </c>
      <c r="J65" s="342">
        <v>446</v>
      </c>
      <c r="K65" s="343">
        <v>0</v>
      </c>
      <c r="L65" s="342">
        <v>0</v>
      </c>
      <c r="M65" s="342">
        <v>0</v>
      </c>
      <c r="N65" s="342">
        <v>425</v>
      </c>
      <c r="O65" s="342">
        <v>17</v>
      </c>
      <c r="P65" s="342">
        <v>618</v>
      </c>
      <c r="Q65" s="342">
        <v>770</v>
      </c>
      <c r="R65" s="344">
        <f t="shared" ref="R65:S65" si="54">F65+J65+N65+P65</f>
        <v>2285</v>
      </c>
      <c r="S65" s="344">
        <f t="shared" si="54"/>
        <v>787</v>
      </c>
      <c r="T65" s="344"/>
      <c r="U65" s="344"/>
      <c r="V65" s="344"/>
      <c r="W65" s="344"/>
      <c r="X65" s="344"/>
    </row>
    <row r="66" spans="1:24" ht="12.75">
      <c r="A66" s="340" t="s">
        <v>237</v>
      </c>
      <c r="B66" s="341" t="s">
        <v>125</v>
      </c>
      <c r="C66" s="341" t="s">
        <v>774</v>
      </c>
      <c r="D66" s="341">
        <v>2018</v>
      </c>
      <c r="E66" s="341" t="s">
        <v>775</v>
      </c>
      <c r="F66" s="342">
        <v>276</v>
      </c>
      <c r="G66" s="343">
        <v>1</v>
      </c>
      <c r="H66" s="342">
        <v>1</v>
      </c>
      <c r="I66" s="342">
        <v>0</v>
      </c>
      <c r="J66" s="342">
        <v>211</v>
      </c>
      <c r="K66" s="343">
        <v>3</v>
      </c>
      <c r="L66" s="342">
        <v>3</v>
      </c>
      <c r="M66" s="342">
        <v>0</v>
      </c>
      <c r="N66" s="342">
        <v>259</v>
      </c>
      <c r="O66" s="342">
        <v>4</v>
      </c>
      <c r="P66" s="342">
        <v>752</v>
      </c>
      <c r="Q66" s="342">
        <v>70</v>
      </c>
      <c r="R66" s="344">
        <f t="shared" ref="R66:S66" si="55">F66+J66+N66+P66</f>
        <v>1498</v>
      </c>
      <c r="S66" s="344">
        <f t="shared" si="55"/>
        <v>78</v>
      </c>
      <c r="T66" s="344"/>
      <c r="U66" s="344"/>
      <c r="V66" s="344"/>
      <c r="W66" s="344"/>
      <c r="X66" s="344"/>
    </row>
    <row r="67" spans="1:24" ht="12.75">
      <c r="A67" s="340" t="s">
        <v>238</v>
      </c>
      <c r="B67" s="341" t="s">
        <v>125</v>
      </c>
      <c r="C67" s="341" t="s">
        <v>774</v>
      </c>
      <c r="D67" s="341">
        <v>2018</v>
      </c>
      <c r="E67" s="341" t="s">
        <v>775</v>
      </c>
      <c r="F67" s="342">
        <v>1714</v>
      </c>
      <c r="G67" s="343">
        <v>34</v>
      </c>
      <c r="H67" s="342">
        <v>34</v>
      </c>
      <c r="I67" s="342">
        <v>0</v>
      </c>
      <c r="J67" s="342">
        <v>926</v>
      </c>
      <c r="K67" s="343">
        <v>68</v>
      </c>
      <c r="L67" s="342">
        <v>68</v>
      </c>
      <c r="M67" s="342">
        <v>0</v>
      </c>
      <c r="N67" s="342">
        <v>978</v>
      </c>
      <c r="O67" s="342">
        <v>19</v>
      </c>
      <c r="P67" s="342">
        <v>1837</v>
      </c>
      <c r="Q67" s="342">
        <v>1742</v>
      </c>
      <c r="R67" s="344">
        <f t="shared" ref="R67:S67" si="56">F67+J67+N67+P67</f>
        <v>5455</v>
      </c>
      <c r="S67" s="344">
        <f t="shared" si="56"/>
        <v>1863</v>
      </c>
      <c r="T67" s="344"/>
      <c r="U67" s="344"/>
      <c r="V67" s="344"/>
      <c r="W67" s="344"/>
      <c r="X67" s="344"/>
    </row>
    <row r="68" spans="1:24" ht="12.75">
      <c r="A68" s="340" t="s">
        <v>239</v>
      </c>
      <c r="B68" s="341" t="s">
        <v>125</v>
      </c>
      <c r="C68" s="341" t="s">
        <v>774</v>
      </c>
      <c r="D68" s="341">
        <v>2018</v>
      </c>
      <c r="E68" s="341" t="s">
        <v>775</v>
      </c>
      <c r="F68" s="342">
        <v>851</v>
      </c>
      <c r="G68" s="343">
        <v>0</v>
      </c>
      <c r="H68" s="342">
        <v>0</v>
      </c>
      <c r="I68" s="342">
        <v>0</v>
      </c>
      <c r="J68" s="342">
        <v>480</v>
      </c>
      <c r="K68" s="343">
        <v>0</v>
      </c>
      <c r="L68" s="342">
        <v>0</v>
      </c>
      <c r="M68" s="342">
        <v>0</v>
      </c>
      <c r="N68" s="342">
        <v>608</v>
      </c>
      <c r="O68" s="342">
        <v>0</v>
      </c>
      <c r="P68" s="342">
        <v>1981</v>
      </c>
      <c r="Q68" s="342">
        <v>145</v>
      </c>
      <c r="R68" s="344">
        <f t="shared" ref="R68:S68" si="57">F68+J68+N68+P68</f>
        <v>3920</v>
      </c>
      <c r="S68" s="344">
        <f t="shared" si="57"/>
        <v>145</v>
      </c>
      <c r="T68" s="344"/>
      <c r="U68" s="344"/>
      <c r="V68" s="344"/>
      <c r="W68" s="344"/>
      <c r="X68" s="344"/>
    </row>
    <row r="69" spans="1:24" ht="12.75">
      <c r="A69" s="340" t="s">
        <v>240</v>
      </c>
      <c r="B69" s="341" t="s">
        <v>125</v>
      </c>
      <c r="C69" s="341" t="s">
        <v>774</v>
      </c>
      <c r="D69" s="341">
        <v>2018</v>
      </c>
      <c r="E69" s="341" t="s">
        <v>775</v>
      </c>
      <c r="F69" s="342">
        <v>839</v>
      </c>
      <c r="G69" s="343">
        <v>34</v>
      </c>
      <c r="H69" s="342">
        <v>34</v>
      </c>
      <c r="I69" s="342">
        <v>0</v>
      </c>
      <c r="J69" s="342">
        <v>474</v>
      </c>
      <c r="K69" s="343">
        <v>10</v>
      </c>
      <c r="L69" s="342">
        <v>10</v>
      </c>
      <c r="M69" s="342">
        <v>0</v>
      </c>
      <c r="N69" s="342">
        <v>496</v>
      </c>
      <c r="O69" s="342">
        <v>26</v>
      </c>
      <c r="P69" s="342">
        <v>920</v>
      </c>
      <c r="Q69" s="342">
        <v>235</v>
      </c>
      <c r="R69" s="344">
        <f t="shared" ref="R69:S69" si="58">F69+J69+N69+P69</f>
        <v>2729</v>
      </c>
      <c r="S69" s="344">
        <f t="shared" si="58"/>
        <v>305</v>
      </c>
      <c r="T69" s="344"/>
      <c r="U69" s="344"/>
      <c r="V69" s="344"/>
      <c r="W69" s="344"/>
      <c r="X69" s="344"/>
    </row>
    <row r="70" spans="1:24" ht="12.75">
      <c r="A70" s="340" t="s">
        <v>241</v>
      </c>
      <c r="B70" s="341" t="s">
        <v>125</v>
      </c>
      <c r="C70" s="341" t="s">
        <v>774</v>
      </c>
      <c r="D70" s="341">
        <v>2018</v>
      </c>
      <c r="E70" s="341" t="s">
        <v>775</v>
      </c>
      <c r="F70" s="342">
        <v>330</v>
      </c>
      <c r="G70" s="343">
        <v>0</v>
      </c>
      <c r="H70" s="342">
        <v>0</v>
      </c>
      <c r="I70" s="342">
        <v>0</v>
      </c>
      <c r="J70" s="342">
        <v>167</v>
      </c>
      <c r="K70" s="343">
        <v>0</v>
      </c>
      <c r="L70" s="342">
        <v>0</v>
      </c>
      <c r="M70" s="342">
        <v>0</v>
      </c>
      <c r="N70" s="342">
        <v>158</v>
      </c>
      <c r="O70" s="342">
        <v>0</v>
      </c>
      <c r="P70" s="342">
        <v>423</v>
      </c>
      <c r="Q70" s="342">
        <v>460</v>
      </c>
      <c r="R70" s="344">
        <f t="shared" ref="R70:S70" si="59">F70+J70+N70+P70</f>
        <v>1078</v>
      </c>
      <c r="S70" s="344">
        <f t="shared" si="59"/>
        <v>460</v>
      </c>
      <c r="T70" s="344"/>
      <c r="U70" s="344"/>
      <c r="V70" s="344"/>
      <c r="W70" s="344"/>
      <c r="X70" s="344"/>
    </row>
    <row r="71" spans="1:24" ht="12.75">
      <c r="A71" s="340" t="s">
        <v>242</v>
      </c>
      <c r="B71" s="341" t="s">
        <v>125</v>
      </c>
      <c r="C71" s="341" t="s">
        <v>774</v>
      </c>
      <c r="D71" s="341">
        <v>2018</v>
      </c>
      <c r="E71" s="341" t="s">
        <v>775</v>
      </c>
      <c r="F71" s="342">
        <v>2059</v>
      </c>
      <c r="G71" s="343">
        <v>370</v>
      </c>
      <c r="H71" s="342">
        <v>370</v>
      </c>
      <c r="I71" s="342">
        <v>0</v>
      </c>
      <c r="J71" s="342">
        <v>2075</v>
      </c>
      <c r="K71" s="343">
        <v>403</v>
      </c>
      <c r="L71" s="342">
        <v>403</v>
      </c>
      <c r="M71" s="342">
        <v>0</v>
      </c>
      <c r="N71" s="342">
        <v>2815</v>
      </c>
      <c r="O71" s="342">
        <v>55</v>
      </c>
      <c r="P71" s="342">
        <v>7816</v>
      </c>
      <c r="Q71" s="342">
        <v>8878</v>
      </c>
      <c r="R71" s="344">
        <f t="shared" ref="R71:S71" si="60">F71+J71+N71+P71</f>
        <v>14765</v>
      </c>
      <c r="S71" s="344">
        <f t="shared" si="60"/>
        <v>9706</v>
      </c>
      <c r="T71" s="344"/>
      <c r="U71" s="344"/>
      <c r="V71" s="344"/>
      <c r="W71" s="344"/>
      <c r="X71" s="344"/>
    </row>
    <row r="72" spans="1:24" ht="12.75">
      <c r="A72" s="340" t="s">
        <v>243</v>
      </c>
      <c r="B72" s="341" t="s">
        <v>125</v>
      </c>
      <c r="C72" s="341" t="s">
        <v>774</v>
      </c>
      <c r="D72" s="341">
        <v>2018</v>
      </c>
      <c r="E72" s="341" t="s">
        <v>775</v>
      </c>
      <c r="F72" s="342">
        <v>24</v>
      </c>
      <c r="G72" s="343">
        <v>0</v>
      </c>
      <c r="H72" s="342">
        <v>0</v>
      </c>
      <c r="I72" s="342">
        <v>0</v>
      </c>
      <c r="J72" s="342">
        <v>14</v>
      </c>
      <c r="K72" s="343">
        <v>4</v>
      </c>
      <c r="L72" s="342">
        <v>0</v>
      </c>
      <c r="M72" s="342">
        <v>4</v>
      </c>
      <c r="N72" s="342">
        <v>15</v>
      </c>
      <c r="O72" s="342">
        <v>2</v>
      </c>
      <c r="P72" s="342">
        <v>7</v>
      </c>
      <c r="Q72" s="342">
        <v>8</v>
      </c>
      <c r="R72" s="344">
        <f t="shared" ref="R72:S72" si="61">F72+J72+N72+P72</f>
        <v>60</v>
      </c>
      <c r="S72" s="344">
        <f t="shared" si="61"/>
        <v>14</v>
      </c>
      <c r="T72" s="344"/>
      <c r="U72" s="344"/>
      <c r="V72" s="344"/>
      <c r="W72" s="344"/>
      <c r="X72" s="344"/>
    </row>
    <row r="73" spans="1:24" ht="12.75">
      <c r="A73" s="340" t="s">
        <v>244</v>
      </c>
      <c r="B73" s="341" t="s">
        <v>125</v>
      </c>
      <c r="C73" s="341" t="s">
        <v>774</v>
      </c>
      <c r="D73" s="341">
        <v>2018</v>
      </c>
      <c r="E73" s="341" t="s">
        <v>775</v>
      </c>
      <c r="F73" s="342">
        <v>716</v>
      </c>
      <c r="G73" s="343">
        <v>25</v>
      </c>
      <c r="H73" s="342">
        <v>25</v>
      </c>
      <c r="I73" s="342">
        <v>0</v>
      </c>
      <c r="J73" s="342">
        <v>391</v>
      </c>
      <c r="K73" s="343">
        <v>28</v>
      </c>
      <c r="L73" s="342">
        <v>28</v>
      </c>
      <c r="M73" s="342">
        <v>0</v>
      </c>
      <c r="N73" s="342">
        <v>407</v>
      </c>
      <c r="O73" s="342">
        <v>7</v>
      </c>
      <c r="P73" s="342">
        <v>553</v>
      </c>
      <c r="Q73" s="342">
        <v>38</v>
      </c>
      <c r="R73" s="344">
        <f t="shared" ref="R73:S73" si="62">F73+J73+N73+P73</f>
        <v>2067</v>
      </c>
      <c r="S73" s="344">
        <f t="shared" si="62"/>
        <v>98</v>
      </c>
      <c r="T73" s="344"/>
      <c r="U73" s="344"/>
      <c r="V73" s="344"/>
      <c r="W73" s="344"/>
      <c r="X73" s="344"/>
    </row>
    <row r="74" spans="1:24" ht="12.75">
      <c r="A74" s="340" t="s">
        <v>245</v>
      </c>
      <c r="B74" s="341" t="s">
        <v>125</v>
      </c>
      <c r="C74" s="341" t="s">
        <v>774</v>
      </c>
      <c r="D74" s="341">
        <v>2018</v>
      </c>
      <c r="E74" s="341" t="s">
        <v>775</v>
      </c>
      <c r="F74" s="342">
        <v>504</v>
      </c>
      <c r="G74" s="343">
        <v>0</v>
      </c>
      <c r="H74" s="342">
        <v>0</v>
      </c>
      <c r="I74" s="342">
        <v>0</v>
      </c>
      <c r="J74" s="342">
        <v>270</v>
      </c>
      <c r="K74" s="343">
        <v>0</v>
      </c>
      <c r="L74" s="342">
        <v>0</v>
      </c>
      <c r="M74" s="342">
        <v>0</v>
      </c>
      <c r="N74" s="342">
        <v>352</v>
      </c>
      <c r="O74" s="342">
        <v>0</v>
      </c>
      <c r="P74" s="342">
        <v>1161</v>
      </c>
      <c r="Q74" s="342">
        <v>7</v>
      </c>
      <c r="R74" s="344">
        <f t="shared" ref="R74:S74" si="63">F74+J74+N74+P74</f>
        <v>2287</v>
      </c>
      <c r="S74" s="344">
        <f t="shared" si="63"/>
        <v>7</v>
      </c>
      <c r="T74" s="344"/>
      <c r="U74" s="344"/>
      <c r="V74" s="344"/>
      <c r="W74" s="344"/>
      <c r="X74" s="344"/>
    </row>
    <row r="75" spans="1:24" ht="12.75">
      <c r="A75" s="340" t="s">
        <v>246</v>
      </c>
      <c r="B75" s="341" t="s">
        <v>125</v>
      </c>
      <c r="C75" s="341" t="s">
        <v>774</v>
      </c>
      <c r="D75" s="341">
        <v>2018</v>
      </c>
      <c r="E75" s="341" t="s">
        <v>775</v>
      </c>
      <c r="F75" s="342">
        <v>317</v>
      </c>
      <c r="G75" s="343">
        <v>0</v>
      </c>
      <c r="H75" s="342">
        <v>0</v>
      </c>
      <c r="I75" s="342">
        <v>0</v>
      </c>
      <c r="J75" s="342">
        <v>180</v>
      </c>
      <c r="K75" s="343">
        <v>0</v>
      </c>
      <c r="L75" s="342">
        <v>0</v>
      </c>
      <c r="M75" s="342">
        <v>0</v>
      </c>
      <c r="N75" s="342">
        <v>192</v>
      </c>
      <c r="O75" s="342">
        <v>8</v>
      </c>
      <c r="P75" s="342">
        <v>417</v>
      </c>
      <c r="Q75" s="342">
        <v>77</v>
      </c>
      <c r="R75" s="344">
        <f t="shared" ref="R75:S75" si="64">F75+J75+N75+P75</f>
        <v>1106</v>
      </c>
      <c r="S75" s="344">
        <f t="shared" si="64"/>
        <v>85</v>
      </c>
      <c r="T75" s="345">
        <f>SUM(G61:G75)</f>
        <v>466</v>
      </c>
      <c r="U75" s="345">
        <f>SUM(K61:K75)</f>
        <v>527</v>
      </c>
      <c r="V75" s="345">
        <f>SUM(O61:O75)</f>
        <v>155</v>
      </c>
      <c r="W75" s="345">
        <f>SUM(Q61:Q75)</f>
        <v>13050</v>
      </c>
      <c r="X75" s="345">
        <f>T75+U75+V75+W75</f>
        <v>14198</v>
      </c>
    </row>
    <row r="76" spans="1:24" ht="12.75">
      <c r="A76" s="346" t="s">
        <v>125</v>
      </c>
      <c r="B76" s="347" t="s">
        <v>125</v>
      </c>
      <c r="C76" s="347" t="s">
        <v>782</v>
      </c>
      <c r="D76" s="347">
        <v>2019</v>
      </c>
      <c r="E76" s="347" t="s">
        <v>775</v>
      </c>
      <c r="F76" s="348">
        <v>444</v>
      </c>
      <c r="G76" s="348">
        <v>31</v>
      </c>
      <c r="H76" s="348">
        <v>31</v>
      </c>
      <c r="I76" s="348">
        <v>0</v>
      </c>
      <c r="J76" s="348">
        <v>248</v>
      </c>
      <c r="K76" s="348">
        <v>28</v>
      </c>
      <c r="L76" s="348">
        <v>28</v>
      </c>
      <c r="M76" s="348">
        <v>0</v>
      </c>
      <c r="N76" s="348">
        <v>283</v>
      </c>
      <c r="O76" s="348">
        <v>24</v>
      </c>
      <c r="P76" s="348">
        <v>748</v>
      </c>
      <c r="Q76" s="348">
        <v>598</v>
      </c>
      <c r="R76" s="349">
        <f t="shared" ref="R76:S76" si="65">F76+J76+N76+P76</f>
        <v>1723</v>
      </c>
      <c r="S76" s="349">
        <f t="shared" si="65"/>
        <v>681</v>
      </c>
      <c r="T76" s="350"/>
      <c r="U76" s="350"/>
      <c r="V76" s="350"/>
      <c r="W76" s="350"/>
      <c r="X76" s="350"/>
    </row>
    <row r="77" spans="1:24" ht="12.75">
      <c r="A77" s="346" t="s">
        <v>233</v>
      </c>
      <c r="B77" s="347" t="s">
        <v>125</v>
      </c>
      <c r="C77" s="347" t="s">
        <v>782</v>
      </c>
      <c r="D77" s="347">
        <v>2019</v>
      </c>
      <c r="E77" s="347" t="s">
        <v>775</v>
      </c>
      <c r="F77" s="348">
        <v>430</v>
      </c>
      <c r="G77" s="348">
        <v>0</v>
      </c>
      <c r="H77" s="348">
        <v>0</v>
      </c>
      <c r="I77" s="348">
        <v>0</v>
      </c>
      <c r="J77" s="348">
        <v>227</v>
      </c>
      <c r="K77" s="348">
        <v>26</v>
      </c>
      <c r="L77" s="348">
        <v>0</v>
      </c>
      <c r="M77" s="348">
        <v>26</v>
      </c>
      <c r="N77" s="348">
        <v>295</v>
      </c>
      <c r="O77" s="348">
        <v>0</v>
      </c>
      <c r="P77" s="348">
        <v>817</v>
      </c>
      <c r="Q77" s="348">
        <v>63</v>
      </c>
      <c r="R77" s="349">
        <f t="shared" ref="R77:S77" si="66">F77+J77+N77+P77</f>
        <v>1769</v>
      </c>
      <c r="S77" s="349">
        <f t="shared" si="66"/>
        <v>89</v>
      </c>
      <c r="T77" s="350"/>
      <c r="U77" s="350"/>
      <c r="V77" s="350"/>
      <c r="W77" s="350"/>
      <c r="X77" s="350"/>
    </row>
    <row r="78" spans="1:24" ht="12.75">
      <c r="A78" s="346" t="s">
        <v>234</v>
      </c>
      <c r="B78" s="347" t="s">
        <v>125</v>
      </c>
      <c r="C78" s="347" t="s">
        <v>782</v>
      </c>
      <c r="D78" s="347">
        <v>2019</v>
      </c>
      <c r="E78" s="347" t="s">
        <v>775</v>
      </c>
      <c r="F78" s="348">
        <v>80</v>
      </c>
      <c r="G78" s="348">
        <v>0</v>
      </c>
      <c r="H78" s="348">
        <v>0</v>
      </c>
      <c r="I78" s="348">
        <v>0</v>
      </c>
      <c r="J78" s="348">
        <v>53</v>
      </c>
      <c r="K78" s="348">
        <v>0</v>
      </c>
      <c r="L78" s="348">
        <v>0</v>
      </c>
      <c r="M78" s="348">
        <v>0</v>
      </c>
      <c r="N78" s="348">
        <v>57</v>
      </c>
      <c r="O78" s="348">
        <v>12</v>
      </c>
      <c r="P78" s="348">
        <v>145</v>
      </c>
      <c r="Q78" s="348">
        <v>7</v>
      </c>
      <c r="R78" s="349">
        <f t="shared" ref="R78:S78" si="67">F78+J78+N78+P78</f>
        <v>335</v>
      </c>
      <c r="S78" s="349">
        <f t="shared" si="67"/>
        <v>19</v>
      </c>
      <c r="T78" s="350"/>
      <c r="U78" s="350"/>
      <c r="V78" s="350"/>
      <c r="W78" s="350"/>
      <c r="X78" s="350"/>
    </row>
    <row r="79" spans="1:24" ht="12.75">
      <c r="A79" s="346" t="s">
        <v>235</v>
      </c>
      <c r="B79" s="347" t="s">
        <v>125</v>
      </c>
      <c r="C79" s="347" t="s">
        <v>782</v>
      </c>
      <c r="D79" s="347">
        <v>2019</v>
      </c>
      <c r="E79" s="347" t="s">
        <v>775</v>
      </c>
      <c r="F79" s="348">
        <v>532</v>
      </c>
      <c r="G79" s="348">
        <v>11</v>
      </c>
      <c r="H79" s="348">
        <v>11</v>
      </c>
      <c r="I79" s="348">
        <v>0</v>
      </c>
      <c r="J79" s="348">
        <v>442</v>
      </c>
      <c r="K79" s="348">
        <v>0</v>
      </c>
      <c r="L79" s="348">
        <v>0</v>
      </c>
      <c r="M79" s="348">
        <v>0</v>
      </c>
      <c r="N79" s="348">
        <v>584</v>
      </c>
      <c r="O79" s="348">
        <v>0</v>
      </c>
      <c r="P79" s="348">
        <v>1401</v>
      </c>
      <c r="Q79" s="348">
        <v>233</v>
      </c>
      <c r="R79" s="349">
        <f t="shared" ref="R79:S79" si="68">F79+J79+N79+P79</f>
        <v>2959</v>
      </c>
      <c r="S79" s="349">
        <f t="shared" si="68"/>
        <v>244</v>
      </c>
      <c r="T79" s="350"/>
      <c r="U79" s="350"/>
      <c r="V79" s="350"/>
      <c r="W79" s="350"/>
      <c r="X79" s="350"/>
    </row>
    <row r="80" spans="1:24" ht="12.75">
      <c r="A80" s="346" t="s">
        <v>236</v>
      </c>
      <c r="B80" s="347" t="s">
        <v>125</v>
      </c>
      <c r="C80" s="347" t="s">
        <v>782</v>
      </c>
      <c r="D80" s="347">
        <v>2019</v>
      </c>
      <c r="E80" s="347" t="s">
        <v>775</v>
      </c>
      <c r="F80" s="348">
        <v>796</v>
      </c>
      <c r="G80" s="348">
        <v>0</v>
      </c>
      <c r="H80" s="348">
        <v>0</v>
      </c>
      <c r="I80" s="348">
        <v>0</v>
      </c>
      <c r="J80" s="348">
        <v>446</v>
      </c>
      <c r="K80" s="348">
        <v>0</v>
      </c>
      <c r="L80" s="348">
        <v>0</v>
      </c>
      <c r="M80" s="348">
        <v>0</v>
      </c>
      <c r="N80" s="348">
        <v>425</v>
      </c>
      <c r="O80" s="348">
        <v>8</v>
      </c>
      <c r="P80" s="348">
        <v>618</v>
      </c>
      <c r="Q80" s="348">
        <v>233</v>
      </c>
      <c r="R80" s="349">
        <f t="shared" ref="R80:S80" si="69">F80+J80+N80+P80</f>
        <v>2285</v>
      </c>
      <c r="S80" s="349">
        <f t="shared" si="69"/>
        <v>241</v>
      </c>
      <c r="T80" s="350"/>
      <c r="U80" s="350"/>
      <c r="V80" s="350"/>
      <c r="W80" s="350"/>
      <c r="X80" s="350"/>
    </row>
    <row r="81" spans="1:24" ht="12.75">
      <c r="A81" s="346" t="s">
        <v>237</v>
      </c>
      <c r="B81" s="347" t="s">
        <v>125</v>
      </c>
      <c r="C81" s="347" t="s">
        <v>782</v>
      </c>
      <c r="D81" s="347">
        <v>2019</v>
      </c>
      <c r="E81" s="347" t="s">
        <v>775</v>
      </c>
      <c r="F81" s="348">
        <v>276</v>
      </c>
      <c r="G81" s="348">
        <v>0</v>
      </c>
      <c r="H81" s="348">
        <v>0</v>
      </c>
      <c r="I81" s="348">
        <v>0</v>
      </c>
      <c r="J81" s="348">
        <v>211</v>
      </c>
      <c r="K81" s="348">
        <v>0</v>
      </c>
      <c r="L81" s="348">
        <v>0</v>
      </c>
      <c r="M81" s="348">
        <v>0</v>
      </c>
      <c r="N81" s="348">
        <v>259</v>
      </c>
      <c r="O81" s="348">
        <v>0</v>
      </c>
      <c r="P81" s="348">
        <v>752</v>
      </c>
      <c r="Q81" s="348">
        <v>0</v>
      </c>
      <c r="R81" s="349">
        <f t="shared" ref="R81:S81" si="70">F81+J81+N81+P81</f>
        <v>1498</v>
      </c>
      <c r="S81" s="349">
        <f t="shared" si="70"/>
        <v>0</v>
      </c>
      <c r="T81" s="350"/>
      <c r="U81" s="350"/>
      <c r="V81" s="350"/>
      <c r="W81" s="350"/>
      <c r="X81" s="350"/>
    </row>
    <row r="82" spans="1:24" ht="12.75">
      <c r="A82" s="346" t="s">
        <v>238</v>
      </c>
      <c r="B82" s="347" t="s">
        <v>125</v>
      </c>
      <c r="C82" s="347" t="s">
        <v>782</v>
      </c>
      <c r="D82" s="347">
        <v>2019</v>
      </c>
      <c r="E82" s="347" t="s">
        <v>775</v>
      </c>
      <c r="F82" s="348">
        <v>1714</v>
      </c>
      <c r="G82" s="348">
        <v>78</v>
      </c>
      <c r="H82" s="348">
        <v>78</v>
      </c>
      <c r="I82" s="348">
        <v>0</v>
      </c>
      <c r="J82" s="348">
        <v>926</v>
      </c>
      <c r="K82" s="348">
        <v>52</v>
      </c>
      <c r="L82" s="348">
        <v>52</v>
      </c>
      <c r="M82" s="348">
        <v>0</v>
      </c>
      <c r="N82" s="348">
        <v>978</v>
      </c>
      <c r="O82" s="348">
        <v>2</v>
      </c>
      <c r="P82" s="348">
        <v>1837</v>
      </c>
      <c r="Q82" s="348">
        <v>955</v>
      </c>
      <c r="R82" s="349">
        <f t="shared" ref="R82:S82" si="71">F82+J82+N82+P82</f>
        <v>5455</v>
      </c>
      <c r="S82" s="349">
        <f t="shared" si="71"/>
        <v>1087</v>
      </c>
      <c r="T82" s="350"/>
      <c r="U82" s="350"/>
      <c r="V82" s="350"/>
      <c r="W82" s="350"/>
      <c r="X82" s="350"/>
    </row>
    <row r="83" spans="1:24" ht="12.75">
      <c r="A83" s="346" t="s">
        <v>239</v>
      </c>
      <c r="B83" s="347" t="s">
        <v>125</v>
      </c>
      <c r="C83" s="347" t="s">
        <v>782</v>
      </c>
      <c r="D83" s="347">
        <v>2019</v>
      </c>
      <c r="E83" s="347" t="s">
        <v>775</v>
      </c>
      <c r="F83" s="348">
        <v>851</v>
      </c>
      <c r="G83" s="348">
        <v>0</v>
      </c>
      <c r="H83" s="348">
        <v>0</v>
      </c>
      <c r="I83" s="348">
        <v>0</v>
      </c>
      <c r="J83" s="348">
        <v>480</v>
      </c>
      <c r="K83" s="348">
        <v>20</v>
      </c>
      <c r="L83" s="348">
        <v>20</v>
      </c>
      <c r="M83" s="348">
        <v>0</v>
      </c>
      <c r="N83" s="348">
        <v>608</v>
      </c>
      <c r="O83" s="348">
        <v>27</v>
      </c>
      <c r="P83" s="348">
        <v>1981</v>
      </c>
      <c r="Q83" s="348">
        <v>1029</v>
      </c>
      <c r="R83" s="349">
        <f t="shared" ref="R83:S83" si="72">F83+J83+N83+P83</f>
        <v>3920</v>
      </c>
      <c r="S83" s="349">
        <f t="shared" si="72"/>
        <v>1076</v>
      </c>
      <c r="T83" s="350"/>
      <c r="U83" s="350"/>
      <c r="V83" s="350"/>
      <c r="W83" s="350"/>
      <c r="X83" s="350"/>
    </row>
    <row r="84" spans="1:24" ht="12.75">
      <c r="A84" s="346" t="s">
        <v>240</v>
      </c>
      <c r="B84" s="347" t="s">
        <v>125</v>
      </c>
      <c r="C84" s="347" t="s">
        <v>782</v>
      </c>
      <c r="D84" s="347">
        <v>2019</v>
      </c>
      <c r="E84" s="347" t="s">
        <v>775</v>
      </c>
      <c r="F84" s="348">
        <v>839</v>
      </c>
      <c r="G84" s="348">
        <v>42</v>
      </c>
      <c r="H84" s="348">
        <v>42</v>
      </c>
      <c r="I84" s="348">
        <v>0</v>
      </c>
      <c r="J84" s="348">
        <v>474</v>
      </c>
      <c r="K84" s="348">
        <v>1</v>
      </c>
      <c r="L84" s="348">
        <v>1</v>
      </c>
      <c r="M84" s="348">
        <v>0</v>
      </c>
      <c r="N84" s="348">
        <v>496</v>
      </c>
      <c r="O84" s="348">
        <v>38</v>
      </c>
      <c r="P84" s="348">
        <v>920</v>
      </c>
      <c r="Q84" s="348">
        <v>260</v>
      </c>
      <c r="R84" s="349">
        <f t="shared" ref="R84:S84" si="73">F84+J84+N84+P84</f>
        <v>2729</v>
      </c>
      <c r="S84" s="349">
        <f t="shared" si="73"/>
        <v>341</v>
      </c>
      <c r="T84" s="350"/>
      <c r="U84" s="350"/>
      <c r="V84" s="350"/>
      <c r="W84" s="350"/>
      <c r="X84" s="350"/>
    </row>
    <row r="85" spans="1:24" ht="12.75">
      <c r="A85" s="346" t="s">
        <v>241</v>
      </c>
      <c r="B85" s="347" t="s">
        <v>125</v>
      </c>
      <c r="C85" s="347" t="s">
        <v>782</v>
      </c>
      <c r="D85" s="347">
        <v>2019</v>
      </c>
      <c r="E85" s="347" t="s">
        <v>775</v>
      </c>
      <c r="F85" s="348">
        <v>330</v>
      </c>
      <c r="G85" s="348">
        <v>0</v>
      </c>
      <c r="H85" s="348">
        <v>0</v>
      </c>
      <c r="I85" s="348">
        <v>0</v>
      </c>
      <c r="J85" s="348">
        <v>167</v>
      </c>
      <c r="K85" s="348">
        <v>0</v>
      </c>
      <c r="L85" s="348">
        <v>0</v>
      </c>
      <c r="M85" s="348">
        <v>0</v>
      </c>
      <c r="N85" s="348">
        <v>158</v>
      </c>
      <c r="O85" s="348">
        <v>0</v>
      </c>
      <c r="P85" s="348">
        <v>423</v>
      </c>
      <c r="Q85" s="348">
        <v>279</v>
      </c>
      <c r="R85" s="349">
        <f t="shared" ref="R85:S85" si="74">F85+J85+N85+P85</f>
        <v>1078</v>
      </c>
      <c r="S85" s="349">
        <f t="shared" si="74"/>
        <v>279</v>
      </c>
      <c r="T85" s="350"/>
      <c r="U85" s="350"/>
      <c r="V85" s="350"/>
      <c r="W85" s="350"/>
      <c r="X85" s="350"/>
    </row>
    <row r="86" spans="1:24" ht="12.75">
      <c r="A86" s="346" t="s">
        <v>242</v>
      </c>
      <c r="B86" s="347" t="s">
        <v>125</v>
      </c>
      <c r="C86" s="347" t="s">
        <v>782</v>
      </c>
      <c r="D86" s="347">
        <v>2019</v>
      </c>
      <c r="E86" s="347" t="s">
        <v>775</v>
      </c>
      <c r="F86" s="348">
        <v>2059</v>
      </c>
      <c r="G86" s="348">
        <v>87</v>
      </c>
      <c r="H86" s="348">
        <v>87</v>
      </c>
      <c r="I86" s="348">
        <v>0</v>
      </c>
      <c r="J86" s="348">
        <v>2075</v>
      </c>
      <c r="K86" s="348">
        <v>19</v>
      </c>
      <c r="L86" s="348">
        <v>19</v>
      </c>
      <c r="M86" s="348">
        <v>0</v>
      </c>
      <c r="N86" s="348">
        <v>2815</v>
      </c>
      <c r="O86" s="348">
        <v>11</v>
      </c>
      <c r="P86" s="348">
        <v>7816</v>
      </c>
      <c r="Q86" s="348">
        <v>2111</v>
      </c>
      <c r="R86" s="349">
        <f t="shared" ref="R86:S86" si="75">F86+J86+N86+P86</f>
        <v>14765</v>
      </c>
      <c r="S86" s="349">
        <f t="shared" si="75"/>
        <v>2228</v>
      </c>
      <c r="T86" s="350"/>
      <c r="U86" s="350"/>
      <c r="V86" s="350"/>
      <c r="W86" s="350"/>
      <c r="X86" s="350"/>
    </row>
    <row r="87" spans="1:24" ht="12.75">
      <c r="A87" s="346" t="s">
        <v>243</v>
      </c>
      <c r="B87" s="347" t="s">
        <v>125</v>
      </c>
      <c r="C87" s="347" t="s">
        <v>782</v>
      </c>
      <c r="D87" s="347">
        <v>2019</v>
      </c>
      <c r="E87" s="347" t="s">
        <v>775</v>
      </c>
      <c r="F87" s="348">
        <v>24</v>
      </c>
      <c r="G87" s="348">
        <v>2</v>
      </c>
      <c r="H87" s="348">
        <v>0</v>
      </c>
      <c r="I87" s="348">
        <v>2</v>
      </c>
      <c r="J87" s="348">
        <v>14</v>
      </c>
      <c r="K87" s="348">
        <v>2</v>
      </c>
      <c r="L87" s="348">
        <v>0</v>
      </c>
      <c r="M87" s="348">
        <v>2</v>
      </c>
      <c r="N87" s="348">
        <v>15</v>
      </c>
      <c r="O87" s="348">
        <v>4</v>
      </c>
      <c r="P87" s="348">
        <v>7</v>
      </c>
      <c r="Q87" s="348">
        <v>3</v>
      </c>
      <c r="R87" s="349">
        <f t="shared" ref="R87:S87" si="76">F87+J87+N87+P87</f>
        <v>60</v>
      </c>
      <c r="S87" s="349">
        <f t="shared" si="76"/>
        <v>11</v>
      </c>
      <c r="T87" s="350"/>
      <c r="U87" s="350"/>
      <c r="V87" s="350"/>
      <c r="W87" s="350"/>
      <c r="X87" s="350"/>
    </row>
    <row r="88" spans="1:24" ht="12.75">
      <c r="A88" s="346" t="s">
        <v>244</v>
      </c>
      <c r="B88" s="347" t="s">
        <v>125</v>
      </c>
      <c r="C88" s="347" t="s">
        <v>782</v>
      </c>
      <c r="D88" s="347">
        <v>2019</v>
      </c>
      <c r="E88" s="347" t="s">
        <v>775</v>
      </c>
      <c r="F88" s="348">
        <v>716</v>
      </c>
      <c r="G88" s="348">
        <v>23</v>
      </c>
      <c r="H88" s="348">
        <v>23</v>
      </c>
      <c r="I88" s="348">
        <v>0</v>
      </c>
      <c r="J88" s="348">
        <v>391</v>
      </c>
      <c r="K88" s="348">
        <v>6</v>
      </c>
      <c r="L88" s="348">
        <v>6</v>
      </c>
      <c r="M88" s="348">
        <v>0</v>
      </c>
      <c r="N88" s="348">
        <v>407</v>
      </c>
      <c r="O88" s="348">
        <v>11</v>
      </c>
      <c r="P88" s="348">
        <v>553</v>
      </c>
      <c r="Q88" s="348">
        <v>87</v>
      </c>
      <c r="R88" s="349">
        <f t="shared" ref="R88:S88" si="77">F88+J88+N88+P88</f>
        <v>2067</v>
      </c>
      <c r="S88" s="349">
        <f t="shared" si="77"/>
        <v>127</v>
      </c>
      <c r="T88" s="350"/>
      <c r="U88" s="350"/>
      <c r="V88" s="350"/>
      <c r="W88" s="350"/>
      <c r="X88" s="350"/>
    </row>
    <row r="89" spans="1:24" ht="12.75">
      <c r="A89" s="346" t="s">
        <v>245</v>
      </c>
      <c r="B89" s="347" t="s">
        <v>125</v>
      </c>
      <c r="C89" s="347" t="s">
        <v>782</v>
      </c>
      <c r="D89" s="347">
        <v>2019</v>
      </c>
      <c r="E89" s="347" t="s">
        <v>775</v>
      </c>
      <c r="F89" s="348">
        <v>504</v>
      </c>
      <c r="G89" s="348">
        <v>0</v>
      </c>
      <c r="H89" s="348">
        <v>0</v>
      </c>
      <c r="I89" s="348">
        <v>0</v>
      </c>
      <c r="J89" s="348">
        <v>270</v>
      </c>
      <c r="K89" s="348">
        <v>0</v>
      </c>
      <c r="L89" s="348">
        <v>0</v>
      </c>
      <c r="M89" s="348">
        <v>0</v>
      </c>
      <c r="N89" s="348">
        <v>352</v>
      </c>
      <c r="O89" s="348">
        <v>0</v>
      </c>
      <c r="P89" s="348">
        <v>1161</v>
      </c>
      <c r="Q89" s="348">
        <v>33</v>
      </c>
      <c r="R89" s="349">
        <f t="shared" ref="R89:S89" si="78">F89+J89+N89+P89</f>
        <v>2287</v>
      </c>
      <c r="S89" s="349">
        <f t="shared" si="78"/>
        <v>33</v>
      </c>
      <c r="T89" s="351"/>
      <c r="U89" s="351"/>
      <c r="V89" s="351"/>
      <c r="W89" s="351"/>
      <c r="X89" s="350"/>
    </row>
    <row r="90" spans="1:24" ht="12.75">
      <c r="A90" s="346" t="s">
        <v>246</v>
      </c>
      <c r="B90" s="347" t="s">
        <v>125</v>
      </c>
      <c r="C90" s="347" t="s">
        <v>782</v>
      </c>
      <c r="D90" s="347">
        <v>2019</v>
      </c>
      <c r="E90" s="347" t="s">
        <v>775</v>
      </c>
      <c r="F90" s="348">
        <v>317</v>
      </c>
      <c r="G90" s="348">
        <v>0</v>
      </c>
      <c r="H90" s="348">
        <v>0</v>
      </c>
      <c r="I90" s="348">
        <v>0</v>
      </c>
      <c r="J90" s="348">
        <v>180</v>
      </c>
      <c r="K90" s="348">
        <v>0</v>
      </c>
      <c r="L90" s="348">
        <v>0</v>
      </c>
      <c r="M90" s="348">
        <v>0</v>
      </c>
      <c r="N90" s="348">
        <v>192</v>
      </c>
      <c r="O90" s="348">
        <v>12</v>
      </c>
      <c r="P90" s="348">
        <v>417</v>
      </c>
      <c r="Q90" s="348">
        <v>8</v>
      </c>
      <c r="R90" s="349">
        <f t="shared" ref="R90:S90" si="79">F90+J90+N90+P90</f>
        <v>1106</v>
      </c>
      <c r="S90" s="349">
        <f t="shared" si="79"/>
        <v>20</v>
      </c>
      <c r="T90" s="352">
        <f>SUM(G76:G90)</f>
        <v>274</v>
      </c>
      <c r="U90" s="352">
        <f>SUM(K76:K90)</f>
        <v>154</v>
      </c>
      <c r="V90" s="352">
        <f>SUM(O76:O90)</f>
        <v>149</v>
      </c>
      <c r="W90" s="352">
        <f>SUM(Q76:Q90)</f>
        <v>5899</v>
      </c>
      <c r="X90" s="352">
        <f>T90+U90+V90+W90</f>
        <v>6476</v>
      </c>
    </row>
    <row r="91" spans="1:24" ht="12.75">
      <c r="A91" s="220"/>
      <c r="B91" s="221"/>
      <c r="C91" s="221"/>
      <c r="D91" s="221"/>
      <c r="E91" s="221"/>
      <c r="F91" s="353"/>
      <c r="G91" s="353"/>
      <c r="H91" s="354"/>
      <c r="I91" s="353"/>
      <c r="J91" s="353"/>
      <c r="K91" s="353"/>
      <c r="L91" s="353"/>
      <c r="M91" s="353"/>
      <c r="N91" s="353"/>
      <c r="O91" s="353"/>
      <c r="P91" s="353"/>
      <c r="Q91" s="354"/>
      <c r="R91" s="92"/>
      <c r="S91" s="355" t="s">
        <v>783</v>
      </c>
      <c r="T91" s="356">
        <f t="shared" ref="T91:X91" si="80">SUM(T11:T90)</f>
        <v>2189</v>
      </c>
      <c r="U91" s="356">
        <f t="shared" si="80"/>
        <v>1426</v>
      </c>
      <c r="V91" s="356">
        <f t="shared" si="80"/>
        <v>1055</v>
      </c>
      <c r="W91" s="356">
        <f t="shared" si="80"/>
        <v>36045</v>
      </c>
      <c r="X91" s="356">
        <f t="shared" si="80"/>
        <v>40715</v>
      </c>
    </row>
    <row r="92" spans="1:24" ht="12.75">
      <c r="A92" s="239"/>
      <c r="B92" s="243"/>
      <c r="C92" s="243"/>
      <c r="D92" s="243"/>
      <c r="E92" s="243"/>
      <c r="F92" s="357"/>
      <c r="G92" s="357"/>
      <c r="H92" s="358"/>
      <c r="I92" s="357"/>
      <c r="J92" s="357"/>
      <c r="K92" s="357"/>
      <c r="L92" s="357"/>
      <c r="M92" s="357"/>
      <c r="N92" s="357"/>
      <c r="O92" s="357"/>
      <c r="P92" s="357"/>
      <c r="Q92" s="358"/>
      <c r="R92" s="182"/>
      <c r="S92" s="182"/>
      <c r="T92" s="359"/>
      <c r="U92" s="359"/>
      <c r="V92" s="359"/>
      <c r="W92" s="359"/>
      <c r="X92" s="359"/>
    </row>
    <row r="93" spans="1:24" ht="12.75">
      <c r="A93" s="307" t="s">
        <v>247</v>
      </c>
      <c r="B93" s="308" t="s">
        <v>127</v>
      </c>
      <c r="C93" s="308" t="s">
        <v>784</v>
      </c>
      <c r="D93" s="308">
        <v>2014</v>
      </c>
      <c r="E93" s="308" t="s">
        <v>775</v>
      </c>
      <c r="F93" s="309">
        <v>7</v>
      </c>
      <c r="G93" s="309">
        <v>0</v>
      </c>
      <c r="H93" s="310">
        <v>0</v>
      </c>
      <c r="I93" s="309">
        <v>0</v>
      </c>
      <c r="J93" s="309">
        <v>6</v>
      </c>
      <c r="K93" s="309">
        <v>0</v>
      </c>
      <c r="L93" s="309">
        <v>0</v>
      </c>
      <c r="M93" s="309">
        <v>0</v>
      </c>
      <c r="N93" s="309">
        <v>6</v>
      </c>
      <c r="O93" s="309">
        <v>1</v>
      </c>
      <c r="P93" s="309">
        <v>11</v>
      </c>
      <c r="Q93" s="310">
        <v>1</v>
      </c>
      <c r="R93" s="311">
        <f t="shared" ref="R93:S93" si="81">F93+J93+N93+P93</f>
        <v>30</v>
      </c>
      <c r="S93" s="311">
        <f t="shared" si="81"/>
        <v>2</v>
      </c>
      <c r="T93" s="314">
        <f t="shared" ref="T93:T98" si="82">G93</f>
        <v>0</v>
      </c>
      <c r="U93" s="314">
        <f t="shared" ref="U93:U98" si="83">K93</f>
        <v>0</v>
      </c>
      <c r="V93" s="314">
        <f t="shared" ref="V93:V98" si="84">O93</f>
        <v>1</v>
      </c>
      <c r="W93" s="314">
        <f t="shared" ref="W93:W98" si="85">Q93</f>
        <v>1</v>
      </c>
      <c r="X93" s="314">
        <f t="shared" ref="X93:X98" si="86">T93+U93+V93+W93</f>
        <v>2</v>
      </c>
    </row>
    <row r="94" spans="1:24" ht="12.75">
      <c r="A94" s="315" t="s">
        <v>247</v>
      </c>
      <c r="B94" s="316" t="s">
        <v>127</v>
      </c>
      <c r="C94" s="316" t="s">
        <v>784</v>
      </c>
      <c r="D94" s="316">
        <v>2015</v>
      </c>
      <c r="E94" s="316" t="s">
        <v>775</v>
      </c>
      <c r="F94" s="317">
        <v>7</v>
      </c>
      <c r="G94" s="317">
        <v>0</v>
      </c>
      <c r="H94" s="318">
        <v>0</v>
      </c>
      <c r="I94" s="317">
        <v>0</v>
      </c>
      <c r="J94" s="317">
        <v>6</v>
      </c>
      <c r="K94" s="317">
        <v>0</v>
      </c>
      <c r="L94" s="317">
        <v>0</v>
      </c>
      <c r="M94" s="317">
        <v>0</v>
      </c>
      <c r="N94" s="317">
        <v>6</v>
      </c>
      <c r="O94" s="317">
        <v>0</v>
      </c>
      <c r="P94" s="317">
        <v>11</v>
      </c>
      <c r="Q94" s="318">
        <v>4</v>
      </c>
      <c r="R94" s="319">
        <f t="shared" ref="R94:S94" si="87">F94+J94+N94+P94</f>
        <v>30</v>
      </c>
      <c r="S94" s="319">
        <f t="shared" si="87"/>
        <v>4</v>
      </c>
      <c r="T94" s="314">
        <f t="shared" si="82"/>
        <v>0</v>
      </c>
      <c r="U94" s="314">
        <f t="shared" si="83"/>
        <v>0</v>
      </c>
      <c r="V94" s="314">
        <f t="shared" si="84"/>
        <v>0</v>
      </c>
      <c r="W94" s="314">
        <f t="shared" si="85"/>
        <v>4</v>
      </c>
      <c r="X94" s="314">
        <f t="shared" si="86"/>
        <v>4</v>
      </c>
    </row>
    <row r="95" spans="1:24" ht="12.75">
      <c r="A95" s="324" t="s">
        <v>247</v>
      </c>
      <c r="B95" s="325" t="s">
        <v>127</v>
      </c>
      <c r="C95" s="325" t="s">
        <v>784</v>
      </c>
      <c r="D95" s="325">
        <v>2016</v>
      </c>
      <c r="E95" s="325" t="s">
        <v>775</v>
      </c>
      <c r="F95" s="326">
        <v>7</v>
      </c>
      <c r="G95" s="326">
        <v>0</v>
      </c>
      <c r="H95" s="327">
        <v>0</v>
      </c>
      <c r="I95" s="326">
        <v>0</v>
      </c>
      <c r="J95" s="326">
        <v>6</v>
      </c>
      <c r="K95" s="326">
        <v>0</v>
      </c>
      <c r="L95" s="326">
        <v>0</v>
      </c>
      <c r="M95" s="326">
        <v>0</v>
      </c>
      <c r="N95" s="326">
        <v>6</v>
      </c>
      <c r="O95" s="326">
        <v>0</v>
      </c>
      <c r="P95" s="326">
        <v>11</v>
      </c>
      <c r="Q95" s="327">
        <v>2</v>
      </c>
      <c r="R95" s="328">
        <f t="shared" ref="R95:S95" si="88">F95+J95+N95+P95</f>
        <v>30</v>
      </c>
      <c r="S95" s="328">
        <f t="shared" si="88"/>
        <v>2</v>
      </c>
      <c r="T95" s="314">
        <f t="shared" si="82"/>
        <v>0</v>
      </c>
      <c r="U95" s="314">
        <f t="shared" si="83"/>
        <v>0</v>
      </c>
      <c r="V95" s="314">
        <f t="shared" si="84"/>
        <v>0</v>
      </c>
      <c r="W95" s="314">
        <f t="shared" si="85"/>
        <v>2</v>
      </c>
      <c r="X95" s="314">
        <f t="shared" si="86"/>
        <v>2</v>
      </c>
    </row>
    <row r="96" spans="1:24" ht="12.75">
      <c r="A96" s="332" t="s">
        <v>247</v>
      </c>
      <c r="B96" s="333" t="s">
        <v>127</v>
      </c>
      <c r="C96" s="333" t="s">
        <v>784</v>
      </c>
      <c r="D96" s="333">
        <v>2017</v>
      </c>
      <c r="E96" s="333" t="s">
        <v>775</v>
      </c>
      <c r="F96" s="334">
        <v>7</v>
      </c>
      <c r="G96" s="334">
        <v>0</v>
      </c>
      <c r="H96" s="335">
        <v>0</v>
      </c>
      <c r="I96" s="334">
        <v>0</v>
      </c>
      <c r="J96" s="334">
        <v>6</v>
      </c>
      <c r="K96" s="334">
        <v>2</v>
      </c>
      <c r="L96" s="334">
        <v>0</v>
      </c>
      <c r="M96" s="334">
        <v>2</v>
      </c>
      <c r="N96" s="334">
        <v>6</v>
      </c>
      <c r="O96" s="334">
        <v>3</v>
      </c>
      <c r="P96" s="334">
        <v>11</v>
      </c>
      <c r="Q96" s="335">
        <v>3</v>
      </c>
      <c r="R96" s="336">
        <f t="shared" ref="R96:S96" si="89">F96+J96+N96+P96</f>
        <v>30</v>
      </c>
      <c r="S96" s="336">
        <f t="shared" si="89"/>
        <v>8</v>
      </c>
      <c r="T96" s="314">
        <f t="shared" si="82"/>
        <v>0</v>
      </c>
      <c r="U96" s="314">
        <f t="shared" si="83"/>
        <v>2</v>
      </c>
      <c r="V96" s="314">
        <f t="shared" si="84"/>
        <v>3</v>
      </c>
      <c r="W96" s="314">
        <f t="shared" si="85"/>
        <v>3</v>
      </c>
      <c r="X96" s="314">
        <f t="shared" si="86"/>
        <v>8</v>
      </c>
    </row>
    <row r="97" spans="1:24" ht="12.75">
      <c r="A97" s="340" t="s">
        <v>247</v>
      </c>
      <c r="B97" s="341" t="s">
        <v>127</v>
      </c>
      <c r="C97" s="341" t="s">
        <v>784</v>
      </c>
      <c r="D97" s="341">
        <v>2018</v>
      </c>
      <c r="E97" s="341" t="s">
        <v>775</v>
      </c>
      <c r="F97" s="342">
        <v>7</v>
      </c>
      <c r="G97" s="343">
        <v>0</v>
      </c>
      <c r="H97" s="342">
        <v>0</v>
      </c>
      <c r="I97" s="342">
        <v>0</v>
      </c>
      <c r="J97" s="342">
        <v>6</v>
      </c>
      <c r="K97" s="343">
        <v>1</v>
      </c>
      <c r="L97" s="342">
        <v>0</v>
      </c>
      <c r="M97" s="342">
        <v>1</v>
      </c>
      <c r="N97" s="342">
        <v>6</v>
      </c>
      <c r="O97" s="342">
        <v>0</v>
      </c>
      <c r="P97" s="342">
        <v>11</v>
      </c>
      <c r="Q97" s="342">
        <v>0</v>
      </c>
      <c r="R97" s="344">
        <f t="shared" ref="R97:S97" si="90">F97+J97+N97+P97</f>
        <v>30</v>
      </c>
      <c r="S97" s="344">
        <f t="shared" si="90"/>
        <v>1</v>
      </c>
      <c r="T97" s="314">
        <f t="shared" si="82"/>
        <v>0</v>
      </c>
      <c r="U97" s="314">
        <f t="shared" si="83"/>
        <v>1</v>
      </c>
      <c r="V97" s="314">
        <f t="shared" si="84"/>
        <v>0</v>
      </c>
      <c r="W97" s="314">
        <f t="shared" si="85"/>
        <v>0</v>
      </c>
      <c r="X97" s="314">
        <f t="shared" si="86"/>
        <v>1</v>
      </c>
    </row>
    <row r="98" spans="1:24" ht="12.75">
      <c r="A98" s="346" t="s">
        <v>247</v>
      </c>
      <c r="B98" s="347" t="s">
        <v>127</v>
      </c>
      <c r="C98" s="347" t="s">
        <v>785</v>
      </c>
      <c r="D98" s="347">
        <v>2019</v>
      </c>
      <c r="E98" s="347" t="s">
        <v>775</v>
      </c>
      <c r="F98" s="348">
        <v>7</v>
      </c>
      <c r="G98" s="348">
        <v>0</v>
      </c>
      <c r="H98" s="348">
        <v>0</v>
      </c>
      <c r="I98" s="348">
        <v>0</v>
      </c>
      <c r="J98" s="348">
        <v>6</v>
      </c>
      <c r="K98" s="348">
        <v>2</v>
      </c>
      <c r="L98" s="348">
        <v>0</v>
      </c>
      <c r="M98" s="348">
        <v>2</v>
      </c>
      <c r="N98" s="348">
        <v>6</v>
      </c>
      <c r="O98" s="348">
        <v>0</v>
      </c>
      <c r="P98" s="348">
        <v>11</v>
      </c>
      <c r="Q98" s="348">
        <v>0</v>
      </c>
      <c r="R98" s="350">
        <f>F98+J98+N98+P98</f>
        <v>30</v>
      </c>
      <c r="S98" s="348">
        <f>K98+O98+G98+Q98</f>
        <v>2</v>
      </c>
      <c r="T98" s="360">
        <f t="shared" si="82"/>
        <v>0</v>
      </c>
      <c r="U98" s="360">
        <f t="shared" si="83"/>
        <v>2</v>
      </c>
      <c r="V98" s="360">
        <f t="shared" si="84"/>
        <v>0</v>
      </c>
      <c r="W98" s="360">
        <f t="shared" si="85"/>
        <v>0</v>
      </c>
      <c r="X98" s="360">
        <f t="shared" si="86"/>
        <v>2</v>
      </c>
    </row>
    <row r="99" spans="1:24" ht="12.75">
      <c r="A99" s="220"/>
      <c r="B99" s="221"/>
      <c r="C99" s="221"/>
      <c r="D99" s="221"/>
      <c r="E99" s="221"/>
      <c r="F99" s="353"/>
      <c r="G99" s="353"/>
      <c r="H99" s="354"/>
      <c r="I99" s="353"/>
      <c r="J99" s="353"/>
      <c r="K99" s="353"/>
      <c r="L99" s="353"/>
      <c r="M99" s="353"/>
      <c r="N99" s="353"/>
      <c r="O99" s="353"/>
      <c r="P99" s="353"/>
      <c r="Q99" s="354"/>
      <c r="R99" s="182"/>
      <c r="S99" s="355" t="s">
        <v>783</v>
      </c>
      <c r="T99" s="361">
        <f t="shared" ref="T99:X99" si="91">SUM(T93:T98)</f>
        <v>0</v>
      </c>
      <c r="U99" s="361">
        <f t="shared" si="91"/>
        <v>5</v>
      </c>
      <c r="V99" s="361">
        <f t="shared" si="91"/>
        <v>4</v>
      </c>
      <c r="W99" s="361">
        <f t="shared" si="91"/>
        <v>10</v>
      </c>
      <c r="X99" s="361">
        <f t="shared" si="91"/>
        <v>19</v>
      </c>
    </row>
    <row r="100" spans="1:24" ht="12.75">
      <c r="A100" s="239"/>
      <c r="B100" s="243"/>
      <c r="C100" s="243"/>
      <c r="D100" s="243"/>
      <c r="E100" s="243"/>
      <c r="F100" s="357"/>
      <c r="G100" s="357"/>
      <c r="H100" s="358"/>
      <c r="I100" s="357"/>
      <c r="J100" s="357"/>
      <c r="K100" s="357"/>
      <c r="L100" s="357"/>
      <c r="M100" s="357"/>
      <c r="N100" s="357"/>
      <c r="O100" s="357"/>
      <c r="P100" s="357"/>
      <c r="Q100" s="358"/>
      <c r="R100" s="182"/>
      <c r="S100" s="362"/>
      <c r="T100" s="182"/>
      <c r="U100" s="182"/>
      <c r="V100" s="182"/>
      <c r="W100" s="182"/>
      <c r="X100" s="182"/>
    </row>
    <row r="101" spans="1:24" ht="12.75">
      <c r="A101" s="307" t="s">
        <v>252</v>
      </c>
      <c r="B101" s="308" t="s">
        <v>130</v>
      </c>
      <c r="C101" s="308" t="s">
        <v>784</v>
      </c>
      <c r="D101" s="308">
        <v>2014</v>
      </c>
      <c r="E101" s="308" t="s">
        <v>775</v>
      </c>
      <c r="F101" s="309">
        <v>4</v>
      </c>
      <c r="G101" s="309">
        <v>0</v>
      </c>
      <c r="H101" s="310">
        <v>0</v>
      </c>
      <c r="I101" s="309">
        <v>0</v>
      </c>
      <c r="J101" s="309">
        <v>3</v>
      </c>
      <c r="K101" s="309">
        <v>0</v>
      </c>
      <c r="L101" s="309">
        <v>0</v>
      </c>
      <c r="M101" s="309">
        <v>0</v>
      </c>
      <c r="N101" s="309">
        <v>4</v>
      </c>
      <c r="O101" s="309">
        <v>1</v>
      </c>
      <c r="P101" s="309">
        <v>8</v>
      </c>
      <c r="Q101" s="310">
        <v>0</v>
      </c>
      <c r="R101" s="311">
        <f t="shared" ref="R101:R122" si="92">F101+J101+N101+P101</f>
        <v>19</v>
      </c>
      <c r="S101" s="363">
        <f t="shared" ref="S101:S122" si="93">K101+O101+G101+Q101</f>
        <v>1</v>
      </c>
      <c r="T101" s="311"/>
      <c r="U101" s="311"/>
      <c r="V101" s="311"/>
      <c r="W101" s="311"/>
      <c r="X101" s="311"/>
    </row>
    <row r="102" spans="1:24" ht="12.75">
      <c r="A102" s="312" t="s">
        <v>254</v>
      </c>
      <c r="B102" s="313" t="s">
        <v>130</v>
      </c>
      <c r="C102" s="313" t="s">
        <v>784</v>
      </c>
      <c r="D102" s="313">
        <v>2014</v>
      </c>
      <c r="E102" s="313" t="s">
        <v>775</v>
      </c>
      <c r="F102" s="310">
        <v>2</v>
      </c>
      <c r="G102" s="309">
        <v>0</v>
      </c>
      <c r="H102" s="310">
        <v>0</v>
      </c>
      <c r="I102" s="310">
        <v>0</v>
      </c>
      <c r="J102" s="309">
        <v>2</v>
      </c>
      <c r="K102" s="309">
        <v>0</v>
      </c>
      <c r="L102" s="310">
        <v>0</v>
      </c>
      <c r="M102" s="310">
        <v>0</v>
      </c>
      <c r="N102" s="310">
        <v>2</v>
      </c>
      <c r="O102" s="310">
        <v>1</v>
      </c>
      <c r="P102" s="310">
        <v>4</v>
      </c>
      <c r="Q102" s="310">
        <v>0</v>
      </c>
      <c r="R102" s="311">
        <f t="shared" si="92"/>
        <v>10</v>
      </c>
      <c r="S102" s="363">
        <f t="shared" si="93"/>
        <v>1</v>
      </c>
      <c r="T102" s="314">
        <f>SUM(G101:G102)</f>
        <v>0</v>
      </c>
      <c r="U102" s="314">
        <f>SUM(K101:K102)</f>
        <v>0</v>
      </c>
      <c r="V102" s="314">
        <f>SUM(O101:O102)</f>
        <v>2</v>
      </c>
      <c r="W102" s="314">
        <f>SUM(Q101:Q102)</f>
        <v>0</v>
      </c>
      <c r="X102" s="314">
        <f>T102+U102+V102+W102</f>
        <v>2</v>
      </c>
    </row>
    <row r="103" spans="1:24" ht="12.75">
      <c r="A103" s="315" t="s">
        <v>252</v>
      </c>
      <c r="B103" s="316" t="s">
        <v>130</v>
      </c>
      <c r="C103" s="316" t="s">
        <v>784</v>
      </c>
      <c r="D103" s="316">
        <v>2015</v>
      </c>
      <c r="E103" s="316" t="s">
        <v>775</v>
      </c>
      <c r="F103" s="317">
        <v>4</v>
      </c>
      <c r="G103" s="317">
        <v>0</v>
      </c>
      <c r="H103" s="318">
        <v>0</v>
      </c>
      <c r="I103" s="317">
        <v>0</v>
      </c>
      <c r="J103" s="317">
        <v>3</v>
      </c>
      <c r="K103" s="317">
        <v>0</v>
      </c>
      <c r="L103" s="317">
        <v>0</v>
      </c>
      <c r="M103" s="317">
        <v>0</v>
      </c>
      <c r="N103" s="317">
        <v>4</v>
      </c>
      <c r="O103" s="317">
        <v>11</v>
      </c>
      <c r="P103" s="317">
        <v>8</v>
      </c>
      <c r="Q103" s="318">
        <v>0</v>
      </c>
      <c r="R103" s="319">
        <f t="shared" si="92"/>
        <v>19</v>
      </c>
      <c r="S103" s="364">
        <f t="shared" si="93"/>
        <v>11</v>
      </c>
      <c r="T103" s="319"/>
      <c r="U103" s="319"/>
      <c r="V103" s="319"/>
      <c r="W103" s="319"/>
      <c r="X103" s="319"/>
    </row>
    <row r="104" spans="1:24" ht="12.75">
      <c r="A104" s="321" t="s">
        <v>254</v>
      </c>
      <c r="B104" s="322" t="s">
        <v>130</v>
      </c>
      <c r="C104" s="322" t="s">
        <v>784</v>
      </c>
      <c r="D104" s="322">
        <v>2015</v>
      </c>
      <c r="E104" s="322" t="s">
        <v>775</v>
      </c>
      <c r="F104" s="318">
        <v>2</v>
      </c>
      <c r="G104" s="317">
        <v>0</v>
      </c>
      <c r="H104" s="318">
        <v>0</v>
      </c>
      <c r="I104" s="318">
        <v>0</v>
      </c>
      <c r="J104" s="317">
        <v>2</v>
      </c>
      <c r="K104" s="317">
        <v>0</v>
      </c>
      <c r="L104" s="318">
        <v>0</v>
      </c>
      <c r="M104" s="318">
        <v>0</v>
      </c>
      <c r="N104" s="318">
        <v>2</v>
      </c>
      <c r="O104" s="318">
        <v>1</v>
      </c>
      <c r="P104" s="318">
        <v>4</v>
      </c>
      <c r="Q104" s="318">
        <v>0</v>
      </c>
      <c r="R104" s="319">
        <f t="shared" si="92"/>
        <v>10</v>
      </c>
      <c r="S104" s="364">
        <f t="shared" si="93"/>
        <v>1</v>
      </c>
      <c r="T104" s="323">
        <f>SUM(G103:G104)</f>
        <v>0</v>
      </c>
      <c r="U104" s="323">
        <f>SUM(K103:K104)</f>
        <v>0</v>
      </c>
      <c r="V104" s="323">
        <f>SUM(O103:O104)</f>
        <v>12</v>
      </c>
      <c r="W104" s="323">
        <f>SUM(Q103:Q104)</f>
        <v>0</v>
      </c>
      <c r="X104" s="323">
        <f>T104+U104+V104+W104</f>
        <v>12</v>
      </c>
    </row>
    <row r="105" spans="1:24" ht="12.75">
      <c r="A105" s="324" t="s">
        <v>251</v>
      </c>
      <c r="B105" s="325" t="s">
        <v>130</v>
      </c>
      <c r="C105" s="325" t="s">
        <v>784</v>
      </c>
      <c r="D105" s="325">
        <v>2016</v>
      </c>
      <c r="E105" s="325" t="s">
        <v>775</v>
      </c>
      <c r="F105" s="326">
        <v>3</v>
      </c>
      <c r="G105" s="326">
        <v>0</v>
      </c>
      <c r="H105" s="327">
        <v>0</v>
      </c>
      <c r="I105" s="326">
        <v>0</v>
      </c>
      <c r="J105" s="326">
        <v>3</v>
      </c>
      <c r="K105" s="326">
        <v>0</v>
      </c>
      <c r="L105" s="326">
        <v>0</v>
      </c>
      <c r="M105" s="326">
        <v>0</v>
      </c>
      <c r="N105" s="326">
        <v>3</v>
      </c>
      <c r="O105" s="326">
        <v>0</v>
      </c>
      <c r="P105" s="326">
        <v>7</v>
      </c>
      <c r="Q105" s="327">
        <v>3</v>
      </c>
      <c r="R105" s="328">
        <f t="shared" si="92"/>
        <v>16</v>
      </c>
      <c r="S105" s="365">
        <f t="shared" si="93"/>
        <v>3</v>
      </c>
      <c r="T105" s="328"/>
      <c r="U105" s="328"/>
      <c r="V105" s="328"/>
      <c r="W105" s="328"/>
      <c r="X105" s="328"/>
    </row>
    <row r="106" spans="1:24" ht="12.75">
      <c r="A106" s="324" t="s">
        <v>252</v>
      </c>
      <c r="B106" s="325" t="s">
        <v>130</v>
      </c>
      <c r="C106" s="325" t="s">
        <v>784</v>
      </c>
      <c r="D106" s="325">
        <v>2016</v>
      </c>
      <c r="E106" s="325" t="s">
        <v>775</v>
      </c>
      <c r="F106" s="326">
        <v>4</v>
      </c>
      <c r="G106" s="326">
        <v>0</v>
      </c>
      <c r="H106" s="327">
        <v>0</v>
      </c>
      <c r="I106" s="326">
        <v>0</v>
      </c>
      <c r="J106" s="326">
        <v>3</v>
      </c>
      <c r="K106" s="326">
        <v>0</v>
      </c>
      <c r="L106" s="326">
        <v>0</v>
      </c>
      <c r="M106" s="326">
        <v>0</v>
      </c>
      <c r="N106" s="326">
        <v>4</v>
      </c>
      <c r="O106" s="326">
        <v>4</v>
      </c>
      <c r="P106" s="326">
        <v>8</v>
      </c>
      <c r="Q106" s="327">
        <v>0</v>
      </c>
      <c r="R106" s="328">
        <f t="shared" si="92"/>
        <v>19</v>
      </c>
      <c r="S106" s="365">
        <f t="shared" si="93"/>
        <v>4</v>
      </c>
      <c r="T106" s="328"/>
      <c r="U106" s="328"/>
      <c r="V106" s="328"/>
      <c r="W106" s="328"/>
      <c r="X106" s="328"/>
    </row>
    <row r="107" spans="1:24" ht="12.75">
      <c r="A107" s="329" t="s">
        <v>254</v>
      </c>
      <c r="B107" s="330" t="s">
        <v>130</v>
      </c>
      <c r="C107" s="330" t="s">
        <v>784</v>
      </c>
      <c r="D107" s="330">
        <v>2016</v>
      </c>
      <c r="E107" s="330" t="s">
        <v>775</v>
      </c>
      <c r="F107" s="327">
        <v>2</v>
      </c>
      <c r="G107" s="326">
        <v>0</v>
      </c>
      <c r="H107" s="327">
        <v>0</v>
      </c>
      <c r="I107" s="327">
        <v>0</v>
      </c>
      <c r="J107" s="326">
        <v>2</v>
      </c>
      <c r="K107" s="326">
        <v>0</v>
      </c>
      <c r="L107" s="327">
        <v>0</v>
      </c>
      <c r="M107" s="327">
        <v>0</v>
      </c>
      <c r="N107" s="327">
        <v>2</v>
      </c>
      <c r="O107" s="327">
        <v>1</v>
      </c>
      <c r="P107" s="327">
        <v>4</v>
      </c>
      <c r="Q107" s="327">
        <v>10</v>
      </c>
      <c r="R107" s="328">
        <f t="shared" si="92"/>
        <v>10</v>
      </c>
      <c r="S107" s="365">
        <f t="shared" si="93"/>
        <v>11</v>
      </c>
      <c r="T107" s="331">
        <f>SUM(G105:G107)</f>
        <v>0</v>
      </c>
      <c r="U107" s="331">
        <f>SUM(K105:K107)</f>
        <v>0</v>
      </c>
      <c r="V107" s="331">
        <f>SUM(O105:O107)</f>
        <v>5</v>
      </c>
      <c r="W107" s="331">
        <f>SUM(Q105:Q107)</f>
        <v>13</v>
      </c>
      <c r="X107" s="331">
        <f>T107+U107+V107+W107</f>
        <v>18</v>
      </c>
    </row>
    <row r="108" spans="1:24" ht="12.75">
      <c r="A108" s="332" t="s">
        <v>250</v>
      </c>
      <c r="B108" s="333" t="s">
        <v>130</v>
      </c>
      <c r="C108" s="333" t="s">
        <v>784</v>
      </c>
      <c r="D108" s="333">
        <v>2017</v>
      </c>
      <c r="E108" s="333" t="s">
        <v>775</v>
      </c>
      <c r="F108" s="334">
        <v>10</v>
      </c>
      <c r="G108" s="334">
        <v>0</v>
      </c>
      <c r="H108" s="335">
        <v>0</v>
      </c>
      <c r="I108" s="334">
        <v>0</v>
      </c>
      <c r="J108" s="334">
        <v>7</v>
      </c>
      <c r="K108" s="334">
        <v>2</v>
      </c>
      <c r="L108" s="334">
        <v>1</v>
      </c>
      <c r="M108" s="334">
        <v>1</v>
      </c>
      <c r="N108" s="334">
        <v>9</v>
      </c>
      <c r="O108" s="334">
        <v>13</v>
      </c>
      <c r="P108" s="334">
        <v>23</v>
      </c>
      <c r="Q108" s="335">
        <v>17</v>
      </c>
      <c r="R108" s="336">
        <f t="shared" si="92"/>
        <v>49</v>
      </c>
      <c r="S108" s="366">
        <f t="shared" si="93"/>
        <v>32</v>
      </c>
      <c r="T108" s="336"/>
      <c r="U108" s="336"/>
      <c r="V108" s="336"/>
      <c r="W108" s="336"/>
      <c r="X108" s="336"/>
    </row>
    <row r="109" spans="1:24" ht="12.75">
      <c r="A109" s="332" t="s">
        <v>251</v>
      </c>
      <c r="B109" s="333" t="s">
        <v>130</v>
      </c>
      <c r="C109" s="333" t="s">
        <v>784</v>
      </c>
      <c r="D109" s="333">
        <v>2017</v>
      </c>
      <c r="E109" s="333" t="s">
        <v>775</v>
      </c>
      <c r="F109" s="334">
        <v>3</v>
      </c>
      <c r="G109" s="334">
        <v>0</v>
      </c>
      <c r="H109" s="335">
        <v>0</v>
      </c>
      <c r="I109" s="334">
        <v>0</v>
      </c>
      <c r="J109" s="334">
        <v>3</v>
      </c>
      <c r="K109" s="334">
        <v>0</v>
      </c>
      <c r="L109" s="334">
        <v>0</v>
      </c>
      <c r="M109" s="334">
        <v>0</v>
      </c>
      <c r="N109" s="334">
        <v>3</v>
      </c>
      <c r="O109" s="334">
        <v>1</v>
      </c>
      <c r="P109" s="334">
        <v>7</v>
      </c>
      <c r="Q109" s="335">
        <v>31</v>
      </c>
      <c r="R109" s="336">
        <f t="shared" si="92"/>
        <v>16</v>
      </c>
      <c r="S109" s="366">
        <f t="shared" si="93"/>
        <v>32</v>
      </c>
      <c r="T109" s="336"/>
      <c r="U109" s="336"/>
      <c r="V109" s="336"/>
      <c r="W109" s="336"/>
      <c r="X109" s="336"/>
    </row>
    <row r="110" spans="1:24" ht="12.75">
      <c r="A110" s="332" t="s">
        <v>252</v>
      </c>
      <c r="B110" s="333" t="s">
        <v>130</v>
      </c>
      <c r="C110" s="333" t="s">
        <v>784</v>
      </c>
      <c r="D110" s="333">
        <v>2017</v>
      </c>
      <c r="E110" s="333" t="s">
        <v>775</v>
      </c>
      <c r="F110" s="334">
        <v>4</v>
      </c>
      <c r="G110" s="334">
        <v>0</v>
      </c>
      <c r="H110" s="335">
        <v>0</v>
      </c>
      <c r="I110" s="334">
        <v>0</v>
      </c>
      <c r="J110" s="334">
        <v>3</v>
      </c>
      <c r="K110" s="334">
        <v>0</v>
      </c>
      <c r="L110" s="334">
        <v>0</v>
      </c>
      <c r="M110" s="334">
        <v>0</v>
      </c>
      <c r="N110" s="334">
        <v>4</v>
      </c>
      <c r="O110" s="334">
        <v>13</v>
      </c>
      <c r="P110" s="334">
        <v>8</v>
      </c>
      <c r="Q110" s="335">
        <v>0</v>
      </c>
      <c r="R110" s="336">
        <f t="shared" si="92"/>
        <v>19</v>
      </c>
      <c r="S110" s="366">
        <f t="shared" si="93"/>
        <v>13</v>
      </c>
      <c r="T110" s="336"/>
      <c r="U110" s="336"/>
      <c r="V110" s="336"/>
      <c r="W110" s="336"/>
      <c r="X110" s="336"/>
    </row>
    <row r="111" spans="1:24" ht="12.75">
      <c r="A111" s="332" t="s">
        <v>253</v>
      </c>
      <c r="B111" s="333" t="s">
        <v>130</v>
      </c>
      <c r="C111" s="333" t="s">
        <v>784</v>
      </c>
      <c r="D111" s="333">
        <v>2017</v>
      </c>
      <c r="E111" s="333" t="s">
        <v>775</v>
      </c>
      <c r="F111" s="334">
        <v>1</v>
      </c>
      <c r="G111" s="334">
        <v>0</v>
      </c>
      <c r="H111" s="335">
        <v>0</v>
      </c>
      <c r="I111" s="334">
        <v>0</v>
      </c>
      <c r="J111" s="334">
        <v>1</v>
      </c>
      <c r="K111" s="334">
        <v>0</v>
      </c>
      <c r="L111" s="334">
        <v>0</v>
      </c>
      <c r="M111" s="334">
        <v>0</v>
      </c>
      <c r="N111" s="334">
        <v>1</v>
      </c>
      <c r="O111" s="334">
        <v>0</v>
      </c>
      <c r="P111" s="334">
        <v>1</v>
      </c>
      <c r="Q111" s="335">
        <v>18</v>
      </c>
      <c r="R111" s="336">
        <f t="shared" si="92"/>
        <v>4</v>
      </c>
      <c r="S111" s="366">
        <f t="shared" si="93"/>
        <v>18</v>
      </c>
      <c r="T111" s="336"/>
      <c r="U111" s="336"/>
      <c r="V111" s="336"/>
      <c r="W111" s="336"/>
      <c r="X111" s="336"/>
    </row>
    <row r="112" spans="1:24" ht="12.75">
      <c r="A112" s="337" t="s">
        <v>254</v>
      </c>
      <c r="B112" s="338" t="s">
        <v>130</v>
      </c>
      <c r="C112" s="338" t="s">
        <v>784</v>
      </c>
      <c r="D112" s="338">
        <v>2017</v>
      </c>
      <c r="E112" s="338" t="s">
        <v>775</v>
      </c>
      <c r="F112" s="335">
        <v>2</v>
      </c>
      <c r="G112" s="334">
        <v>0</v>
      </c>
      <c r="H112" s="335">
        <v>0</v>
      </c>
      <c r="I112" s="335">
        <v>0</v>
      </c>
      <c r="J112" s="334">
        <v>2</v>
      </c>
      <c r="K112" s="334">
        <v>0</v>
      </c>
      <c r="L112" s="335">
        <v>0</v>
      </c>
      <c r="M112" s="335">
        <v>0</v>
      </c>
      <c r="N112" s="335">
        <v>2</v>
      </c>
      <c r="O112" s="335">
        <v>17</v>
      </c>
      <c r="P112" s="335">
        <v>4</v>
      </c>
      <c r="Q112" s="335">
        <v>2</v>
      </c>
      <c r="R112" s="336">
        <f t="shared" si="92"/>
        <v>10</v>
      </c>
      <c r="S112" s="366">
        <f t="shared" si="93"/>
        <v>19</v>
      </c>
      <c r="T112" s="339">
        <f>SUM(G108:G112)</f>
        <v>0</v>
      </c>
      <c r="U112" s="339">
        <f>SUM(K108:K112)</f>
        <v>2</v>
      </c>
      <c r="V112" s="339">
        <f>SUM(O108:O112)</f>
        <v>44</v>
      </c>
      <c r="W112" s="339">
        <f>SUM(Q108:Q112)</f>
        <v>68</v>
      </c>
      <c r="X112" s="339">
        <f>T112+U112+V112+W112</f>
        <v>114</v>
      </c>
    </row>
    <row r="113" spans="1:24" ht="12.75">
      <c r="A113" s="340" t="s">
        <v>250</v>
      </c>
      <c r="B113" s="341" t="s">
        <v>130</v>
      </c>
      <c r="C113" s="341" t="s">
        <v>784</v>
      </c>
      <c r="D113" s="341">
        <v>2018</v>
      </c>
      <c r="E113" s="341" t="s">
        <v>775</v>
      </c>
      <c r="F113" s="342">
        <v>10</v>
      </c>
      <c r="G113" s="343">
        <v>1</v>
      </c>
      <c r="H113" s="342">
        <v>0</v>
      </c>
      <c r="I113" s="342">
        <v>1</v>
      </c>
      <c r="J113" s="342">
        <v>7</v>
      </c>
      <c r="K113" s="343">
        <v>4</v>
      </c>
      <c r="L113" s="342">
        <v>0</v>
      </c>
      <c r="M113" s="342">
        <v>4</v>
      </c>
      <c r="N113" s="342">
        <v>9</v>
      </c>
      <c r="O113" s="342">
        <v>21</v>
      </c>
      <c r="P113" s="342">
        <v>23</v>
      </c>
      <c r="Q113" s="342">
        <v>7</v>
      </c>
      <c r="R113" s="344">
        <f t="shared" si="92"/>
        <v>49</v>
      </c>
      <c r="S113" s="367">
        <f t="shared" si="93"/>
        <v>33</v>
      </c>
      <c r="T113" s="344"/>
      <c r="U113" s="344"/>
      <c r="V113" s="344"/>
      <c r="W113" s="344"/>
      <c r="X113" s="344"/>
    </row>
    <row r="114" spans="1:24" ht="12.75">
      <c r="A114" s="340" t="s">
        <v>251</v>
      </c>
      <c r="B114" s="341" t="s">
        <v>130</v>
      </c>
      <c r="C114" s="341" t="s">
        <v>784</v>
      </c>
      <c r="D114" s="341">
        <v>2018</v>
      </c>
      <c r="E114" s="341" t="s">
        <v>775</v>
      </c>
      <c r="F114" s="342">
        <v>3</v>
      </c>
      <c r="G114" s="343">
        <v>0</v>
      </c>
      <c r="H114" s="342">
        <v>0</v>
      </c>
      <c r="I114" s="342">
        <v>0</v>
      </c>
      <c r="J114" s="342">
        <v>3</v>
      </c>
      <c r="K114" s="343">
        <v>0</v>
      </c>
      <c r="L114" s="342">
        <v>0</v>
      </c>
      <c r="M114" s="342">
        <v>0</v>
      </c>
      <c r="N114" s="342">
        <v>3</v>
      </c>
      <c r="O114" s="342">
        <v>65</v>
      </c>
      <c r="P114" s="342">
        <v>7</v>
      </c>
      <c r="Q114" s="342">
        <v>41</v>
      </c>
      <c r="R114" s="344">
        <f t="shared" si="92"/>
        <v>16</v>
      </c>
      <c r="S114" s="367">
        <f t="shared" si="93"/>
        <v>106</v>
      </c>
      <c r="T114" s="345"/>
      <c r="U114" s="345"/>
      <c r="V114" s="345"/>
      <c r="W114" s="345"/>
      <c r="X114" s="344"/>
    </row>
    <row r="115" spans="1:24" ht="12.75">
      <c r="A115" s="340" t="s">
        <v>252</v>
      </c>
      <c r="B115" s="341" t="s">
        <v>130</v>
      </c>
      <c r="C115" s="341" t="s">
        <v>784</v>
      </c>
      <c r="D115" s="341">
        <v>2018</v>
      </c>
      <c r="E115" s="341" t="s">
        <v>775</v>
      </c>
      <c r="F115" s="342">
        <v>4</v>
      </c>
      <c r="G115" s="343">
        <v>0</v>
      </c>
      <c r="H115" s="342">
        <v>0</v>
      </c>
      <c r="I115" s="342">
        <v>0</v>
      </c>
      <c r="J115" s="342">
        <v>3</v>
      </c>
      <c r="K115" s="343">
        <v>0</v>
      </c>
      <c r="L115" s="342">
        <v>0</v>
      </c>
      <c r="M115" s="342">
        <v>0</v>
      </c>
      <c r="N115" s="342">
        <v>4</v>
      </c>
      <c r="O115" s="342">
        <v>0</v>
      </c>
      <c r="P115" s="342">
        <v>8</v>
      </c>
      <c r="Q115" s="342">
        <v>18</v>
      </c>
      <c r="R115" s="344">
        <f t="shared" si="92"/>
        <v>19</v>
      </c>
      <c r="S115" s="367">
        <f t="shared" si="93"/>
        <v>18</v>
      </c>
      <c r="T115" s="368"/>
      <c r="U115" s="368"/>
      <c r="V115" s="368"/>
      <c r="W115" s="368"/>
      <c r="X115" s="368"/>
    </row>
    <row r="116" spans="1:24" ht="12.75">
      <c r="A116" s="340" t="s">
        <v>253</v>
      </c>
      <c r="B116" s="341" t="s">
        <v>130</v>
      </c>
      <c r="C116" s="341" t="s">
        <v>784</v>
      </c>
      <c r="D116" s="341">
        <v>2018</v>
      </c>
      <c r="E116" s="341" t="s">
        <v>775</v>
      </c>
      <c r="F116" s="342">
        <v>1</v>
      </c>
      <c r="G116" s="343">
        <v>0</v>
      </c>
      <c r="H116" s="342">
        <v>0</v>
      </c>
      <c r="I116" s="342">
        <v>0</v>
      </c>
      <c r="J116" s="342">
        <v>1</v>
      </c>
      <c r="K116" s="343">
        <v>0</v>
      </c>
      <c r="L116" s="342">
        <v>0</v>
      </c>
      <c r="M116" s="342">
        <v>0</v>
      </c>
      <c r="N116" s="342">
        <v>1</v>
      </c>
      <c r="O116" s="342">
        <v>0</v>
      </c>
      <c r="P116" s="342">
        <v>1</v>
      </c>
      <c r="Q116" s="342">
        <v>19</v>
      </c>
      <c r="R116" s="344">
        <f t="shared" si="92"/>
        <v>4</v>
      </c>
      <c r="S116" s="367">
        <f t="shared" si="93"/>
        <v>19</v>
      </c>
      <c r="T116" s="368"/>
      <c r="U116" s="368"/>
      <c r="V116" s="368"/>
      <c r="W116" s="368"/>
      <c r="X116" s="368"/>
    </row>
    <row r="117" spans="1:24" ht="12.75">
      <c r="A117" s="340" t="s">
        <v>254</v>
      </c>
      <c r="B117" s="341" t="s">
        <v>130</v>
      </c>
      <c r="C117" s="341" t="s">
        <v>784</v>
      </c>
      <c r="D117" s="341">
        <v>2018</v>
      </c>
      <c r="E117" s="341" t="s">
        <v>775</v>
      </c>
      <c r="F117" s="342">
        <v>2</v>
      </c>
      <c r="G117" s="343">
        <v>0</v>
      </c>
      <c r="H117" s="342">
        <v>0</v>
      </c>
      <c r="I117" s="342">
        <v>0</v>
      </c>
      <c r="J117" s="342">
        <v>2</v>
      </c>
      <c r="K117" s="343">
        <v>0</v>
      </c>
      <c r="L117" s="342">
        <v>0</v>
      </c>
      <c r="M117" s="342">
        <v>0</v>
      </c>
      <c r="N117" s="342">
        <v>2</v>
      </c>
      <c r="O117" s="342">
        <v>0</v>
      </c>
      <c r="P117" s="342">
        <v>4</v>
      </c>
      <c r="Q117" s="342">
        <v>1</v>
      </c>
      <c r="R117" s="344">
        <f t="shared" si="92"/>
        <v>10</v>
      </c>
      <c r="S117" s="367">
        <f t="shared" si="93"/>
        <v>1</v>
      </c>
      <c r="T117" s="345">
        <f>SUM(G113:G117)</f>
        <v>1</v>
      </c>
      <c r="U117" s="345">
        <f>SUM(K113:K117)</f>
        <v>4</v>
      </c>
      <c r="V117" s="345">
        <f>SUM(O113:O117)</f>
        <v>86</v>
      </c>
      <c r="W117" s="345">
        <f>SUM(Q113:Q117)</f>
        <v>86</v>
      </c>
      <c r="X117" s="345">
        <f>T117+U117+V117+W117</f>
        <v>177</v>
      </c>
    </row>
    <row r="118" spans="1:24" ht="12.75">
      <c r="A118" s="369" t="s">
        <v>250</v>
      </c>
      <c r="B118" s="370" t="s">
        <v>130</v>
      </c>
      <c r="C118" s="370" t="s">
        <v>784</v>
      </c>
      <c r="D118" s="370">
        <v>2019</v>
      </c>
      <c r="E118" s="370" t="s">
        <v>775</v>
      </c>
      <c r="F118" s="371">
        <v>10</v>
      </c>
      <c r="G118" s="371">
        <v>0</v>
      </c>
      <c r="H118" s="372">
        <v>0</v>
      </c>
      <c r="I118" s="371">
        <v>0</v>
      </c>
      <c r="J118" s="371">
        <v>7</v>
      </c>
      <c r="K118" s="371">
        <v>1</v>
      </c>
      <c r="L118" s="371">
        <v>0</v>
      </c>
      <c r="M118" s="371">
        <v>0</v>
      </c>
      <c r="N118" s="371">
        <v>9</v>
      </c>
      <c r="O118" s="371">
        <v>13</v>
      </c>
      <c r="P118" s="371">
        <v>23</v>
      </c>
      <c r="Q118" s="372">
        <v>14</v>
      </c>
      <c r="R118" s="350">
        <f t="shared" si="92"/>
        <v>49</v>
      </c>
      <c r="S118" s="348">
        <f t="shared" si="93"/>
        <v>28</v>
      </c>
      <c r="T118" s="373"/>
      <c r="U118" s="373"/>
      <c r="V118" s="373"/>
      <c r="W118" s="373"/>
      <c r="X118" s="373"/>
    </row>
    <row r="119" spans="1:24" ht="12.75">
      <c r="A119" s="369" t="s">
        <v>251</v>
      </c>
      <c r="B119" s="370" t="s">
        <v>130</v>
      </c>
      <c r="C119" s="370" t="s">
        <v>784</v>
      </c>
      <c r="D119" s="370">
        <v>2019</v>
      </c>
      <c r="E119" s="370" t="s">
        <v>775</v>
      </c>
      <c r="F119" s="371">
        <v>3</v>
      </c>
      <c r="G119" s="371">
        <v>0</v>
      </c>
      <c r="H119" s="372">
        <v>0</v>
      </c>
      <c r="I119" s="371">
        <v>0</v>
      </c>
      <c r="J119" s="371">
        <v>3</v>
      </c>
      <c r="K119" s="371">
        <v>0</v>
      </c>
      <c r="L119" s="371">
        <v>0</v>
      </c>
      <c r="M119" s="371">
        <v>0</v>
      </c>
      <c r="N119" s="371">
        <v>3</v>
      </c>
      <c r="O119" s="371">
        <v>38</v>
      </c>
      <c r="P119" s="371">
        <v>7</v>
      </c>
      <c r="Q119" s="372">
        <v>0</v>
      </c>
      <c r="R119" s="350">
        <f t="shared" si="92"/>
        <v>16</v>
      </c>
      <c r="S119" s="348">
        <f t="shared" si="93"/>
        <v>38</v>
      </c>
      <c r="T119" s="373"/>
      <c r="U119" s="373"/>
      <c r="V119" s="373"/>
      <c r="W119" s="373"/>
      <c r="X119" s="373"/>
    </row>
    <row r="120" spans="1:24" ht="12.75">
      <c r="A120" s="369" t="s">
        <v>252</v>
      </c>
      <c r="B120" s="370" t="s">
        <v>130</v>
      </c>
      <c r="C120" s="370" t="s">
        <v>784</v>
      </c>
      <c r="D120" s="370">
        <v>2019</v>
      </c>
      <c r="E120" s="370" t="s">
        <v>775</v>
      </c>
      <c r="F120" s="371">
        <v>4</v>
      </c>
      <c r="G120" s="371">
        <v>0</v>
      </c>
      <c r="H120" s="372">
        <v>0</v>
      </c>
      <c r="I120" s="371">
        <v>0</v>
      </c>
      <c r="J120" s="371">
        <v>3</v>
      </c>
      <c r="K120" s="371">
        <v>0</v>
      </c>
      <c r="L120" s="371">
        <v>0</v>
      </c>
      <c r="M120" s="371">
        <v>0</v>
      </c>
      <c r="N120" s="371">
        <v>4</v>
      </c>
      <c r="O120" s="371">
        <v>0</v>
      </c>
      <c r="P120" s="371">
        <v>8</v>
      </c>
      <c r="Q120" s="372">
        <v>23</v>
      </c>
      <c r="R120" s="350">
        <f t="shared" si="92"/>
        <v>19</v>
      </c>
      <c r="S120" s="348">
        <f t="shared" si="93"/>
        <v>23</v>
      </c>
      <c r="T120" s="373"/>
      <c r="U120" s="373"/>
      <c r="V120" s="373"/>
      <c r="W120" s="373"/>
      <c r="X120" s="373"/>
    </row>
    <row r="121" spans="1:24" ht="12.75">
      <c r="A121" s="369" t="s">
        <v>253</v>
      </c>
      <c r="B121" s="370" t="s">
        <v>130</v>
      </c>
      <c r="C121" s="370" t="s">
        <v>784</v>
      </c>
      <c r="D121" s="370">
        <v>2019</v>
      </c>
      <c r="E121" s="370" t="s">
        <v>775</v>
      </c>
      <c r="F121" s="371">
        <v>1</v>
      </c>
      <c r="G121" s="371">
        <v>0</v>
      </c>
      <c r="H121" s="372">
        <v>0</v>
      </c>
      <c r="I121" s="371">
        <v>0</v>
      </c>
      <c r="J121" s="371">
        <v>1</v>
      </c>
      <c r="K121" s="371">
        <v>0</v>
      </c>
      <c r="L121" s="371">
        <v>0</v>
      </c>
      <c r="M121" s="371">
        <v>0</v>
      </c>
      <c r="N121" s="371">
        <v>1</v>
      </c>
      <c r="O121" s="371">
        <v>0</v>
      </c>
      <c r="P121" s="371">
        <v>1</v>
      </c>
      <c r="Q121" s="372">
        <v>9</v>
      </c>
      <c r="R121" s="350">
        <f t="shared" si="92"/>
        <v>4</v>
      </c>
      <c r="S121" s="348">
        <f t="shared" si="93"/>
        <v>9</v>
      </c>
      <c r="T121" s="373"/>
      <c r="U121" s="373"/>
      <c r="V121" s="373"/>
      <c r="W121" s="373"/>
      <c r="X121" s="373"/>
    </row>
    <row r="122" spans="1:24" ht="12.75">
      <c r="A122" s="369" t="s">
        <v>254</v>
      </c>
      <c r="B122" s="370" t="s">
        <v>130</v>
      </c>
      <c r="C122" s="370" t="s">
        <v>784</v>
      </c>
      <c r="D122" s="370">
        <v>2019</v>
      </c>
      <c r="E122" s="370" t="s">
        <v>775</v>
      </c>
      <c r="F122" s="371">
        <v>2</v>
      </c>
      <c r="G122" s="371">
        <v>0</v>
      </c>
      <c r="H122" s="372">
        <v>0</v>
      </c>
      <c r="I122" s="371">
        <v>0</v>
      </c>
      <c r="J122" s="371">
        <v>2</v>
      </c>
      <c r="K122" s="371">
        <v>0</v>
      </c>
      <c r="L122" s="371">
        <v>0</v>
      </c>
      <c r="M122" s="371">
        <v>0</v>
      </c>
      <c r="N122" s="371">
        <v>2</v>
      </c>
      <c r="O122" s="371">
        <v>0</v>
      </c>
      <c r="P122" s="371">
        <v>4</v>
      </c>
      <c r="Q122" s="372">
        <v>3</v>
      </c>
      <c r="R122" s="350">
        <f t="shared" si="92"/>
        <v>10</v>
      </c>
      <c r="S122" s="348">
        <f t="shared" si="93"/>
        <v>3</v>
      </c>
      <c r="T122" s="352">
        <f>SUM(G118:G122)</f>
        <v>0</v>
      </c>
      <c r="U122" s="352">
        <f>SUM(K118:K122)</f>
        <v>1</v>
      </c>
      <c r="V122" s="352">
        <f>SUM(O118:O122)</f>
        <v>51</v>
      </c>
      <c r="W122" s="352">
        <f>SUM(Q118:Q122)</f>
        <v>49</v>
      </c>
      <c r="X122" s="352">
        <f>T122+U122+V122+W122</f>
        <v>101</v>
      </c>
    </row>
    <row r="123" spans="1:24" ht="12.75">
      <c r="A123" s="220"/>
      <c r="B123" s="221"/>
      <c r="C123" s="221"/>
      <c r="D123" s="221"/>
      <c r="E123" s="221"/>
      <c r="F123" s="353"/>
      <c r="G123" s="353"/>
      <c r="H123" s="354"/>
      <c r="I123" s="353"/>
      <c r="J123" s="353"/>
      <c r="K123" s="353"/>
      <c r="L123" s="353"/>
      <c r="M123" s="353"/>
      <c r="N123" s="353"/>
      <c r="O123" s="353"/>
      <c r="P123" s="353"/>
      <c r="Q123" s="354"/>
      <c r="R123" s="182"/>
      <c r="S123" s="361" t="s">
        <v>783</v>
      </c>
      <c r="T123" s="361">
        <f t="shared" ref="T123:X123" si="94">SUM(T101:T122)</f>
        <v>1</v>
      </c>
      <c r="U123" s="361">
        <f t="shared" si="94"/>
        <v>7</v>
      </c>
      <c r="V123" s="361">
        <f t="shared" si="94"/>
        <v>200</v>
      </c>
      <c r="W123" s="361">
        <f t="shared" si="94"/>
        <v>216</v>
      </c>
      <c r="X123" s="361">
        <f t="shared" si="94"/>
        <v>424</v>
      </c>
    </row>
    <row r="124" spans="1:24" ht="12.75">
      <c r="A124" s="220"/>
      <c r="B124" s="221"/>
      <c r="C124" s="221"/>
      <c r="D124" s="221"/>
      <c r="E124" s="221"/>
      <c r="F124" s="353"/>
      <c r="G124" s="353"/>
      <c r="H124" s="354"/>
      <c r="I124" s="353"/>
      <c r="J124" s="353"/>
      <c r="K124" s="353"/>
      <c r="L124" s="353"/>
      <c r="M124" s="353"/>
      <c r="N124" s="353"/>
      <c r="O124" s="353"/>
      <c r="P124" s="353"/>
      <c r="Q124" s="354"/>
      <c r="R124" s="182"/>
      <c r="S124" s="362"/>
      <c r="T124" s="92"/>
      <c r="U124" s="92"/>
      <c r="V124" s="92"/>
      <c r="W124" s="92"/>
      <c r="X124" s="92"/>
    </row>
    <row r="125" spans="1:24" ht="12.75">
      <c r="A125" s="307" t="s">
        <v>255</v>
      </c>
      <c r="B125" s="308" t="s">
        <v>131</v>
      </c>
      <c r="C125" s="308" t="s">
        <v>786</v>
      </c>
      <c r="D125" s="308">
        <v>2014</v>
      </c>
      <c r="E125" s="308" t="s">
        <v>775</v>
      </c>
      <c r="F125" s="309">
        <v>48</v>
      </c>
      <c r="G125" s="309">
        <v>0</v>
      </c>
      <c r="H125" s="310">
        <v>0</v>
      </c>
      <c r="I125" s="309">
        <v>0</v>
      </c>
      <c r="J125" s="309">
        <v>30</v>
      </c>
      <c r="K125" s="309">
        <v>0</v>
      </c>
      <c r="L125" s="309">
        <v>0</v>
      </c>
      <c r="M125" s="309">
        <v>0</v>
      </c>
      <c r="N125" s="309">
        <v>24</v>
      </c>
      <c r="O125" s="309">
        <v>0</v>
      </c>
      <c r="P125" s="309">
        <v>82</v>
      </c>
      <c r="Q125" s="310">
        <v>0</v>
      </c>
      <c r="R125" s="311">
        <f t="shared" ref="R125:R153" si="95">F125+J125+N125+P125</f>
        <v>184</v>
      </c>
      <c r="S125" s="363">
        <f t="shared" ref="S125:S153" si="96">K125+O125+G125+Q125</f>
        <v>0</v>
      </c>
      <c r="T125" s="311"/>
      <c r="U125" s="311"/>
      <c r="V125" s="311"/>
      <c r="W125" s="311"/>
      <c r="X125" s="311"/>
    </row>
    <row r="126" spans="1:24" ht="12.75">
      <c r="A126" s="307" t="s">
        <v>258</v>
      </c>
      <c r="B126" s="308" t="s">
        <v>131</v>
      </c>
      <c r="C126" s="308" t="s">
        <v>786</v>
      </c>
      <c r="D126" s="308">
        <v>2014</v>
      </c>
      <c r="E126" s="308" t="s">
        <v>775</v>
      </c>
      <c r="F126" s="309">
        <v>231</v>
      </c>
      <c r="G126" s="309">
        <v>0</v>
      </c>
      <c r="H126" s="310">
        <v>0</v>
      </c>
      <c r="I126" s="309">
        <v>0</v>
      </c>
      <c r="J126" s="309">
        <v>118</v>
      </c>
      <c r="K126" s="309">
        <v>0</v>
      </c>
      <c r="L126" s="309">
        <v>0</v>
      </c>
      <c r="M126" s="309">
        <v>0</v>
      </c>
      <c r="N126" s="309">
        <v>99</v>
      </c>
      <c r="O126" s="309">
        <v>0</v>
      </c>
      <c r="P126" s="309">
        <v>321</v>
      </c>
      <c r="Q126" s="310">
        <v>8</v>
      </c>
      <c r="R126" s="311">
        <f t="shared" si="95"/>
        <v>769</v>
      </c>
      <c r="S126" s="363">
        <f t="shared" si="96"/>
        <v>8</v>
      </c>
      <c r="T126" s="311"/>
      <c r="U126" s="311"/>
      <c r="V126" s="311"/>
      <c r="W126" s="311"/>
      <c r="X126" s="311"/>
    </row>
    <row r="127" spans="1:24" ht="12.75">
      <c r="A127" s="307" t="s">
        <v>259</v>
      </c>
      <c r="B127" s="308" t="s">
        <v>131</v>
      </c>
      <c r="C127" s="308" t="s">
        <v>786</v>
      </c>
      <c r="D127" s="308">
        <v>2014</v>
      </c>
      <c r="E127" s="308" t="s">
        <v>775</v>
      </c>
      <c r="F127" s="309">
        <v>419</v>
      </c>
      <c r="G127" s="309">
        <v>0</v>
      </c>
      <c r="H127" s="310">
        <v>0</v>
      </c>
      <c r="I127" s="309">
        <v>0</v>
      </c>
      <c r="J127" s="309">
        <v>284</v>
      </c>
      <c r="K127" s="309">
        <v>57</v>
      </c>
      <c r="L127" s="309">
        <v>50</v>
      </c>
      <c r="M127" s="309">
        <v>7</v>
      </c>
      <c r="N127" s="309">
        <v>306</v>
      </c>
      <c r="O127" s="309">
        <v>0</v>
      </c>
      <c r="P127" s="309">
        <v>784</v>
      </c>
      <c r="Q127" s="310">
        <v>14</v>
      </c>
      <c r="R127" s="311">
        <f t="shared" si="95"/>
        <v>1793</v>
      </c>
      <c r="S127" s="363">
        <f t="shared" si="96"/>
        <v>71</v>
      </c>
      <c r="T127" s="311"/>
      <c r="U127" s="311"/>
      <c r="V127" s="311"/>
      <c r="W127" s="311"/>
      <c r="X127" s="311"/>
    </row>
    <row r="128" spans="1:24" ht="12.75">
      <c r="A128" s="307" t="s">
        <v>260</v>
      </c>
      <c r="B128" s="374" t="s">
        <v>131</v>
      </c>
      <c r="C128" s="308" t="s">
        <v>786</v>
      </c>
      <c r="D128" s="308">
        <v>2014</v>
      </c>
      <c r="E128" s="308" t="s">
        <v>775</v>
      </c>
      <c r="F128" s="309">
        <v>141</v>
      </c>
      <c r="G128" s="309">
        <v>0</v>
      </c>
      <c r="H128" s="310">
        <v>0</v>
      </c>
      <c r="I128" s="309">
        <v>0</v>
      </c>
      <c r="J128" s="309">
        <v>100</v>
      </c>
      <c r="K128" s="309">
        <v>1</v>
      </c>
      <c r="L128" s="309">
        <v>1</v>
      </c>
      <c r="M128" s="309">
        <v>0</v>
      </c>
      <c r="N128" s="309">
        <v>93</v>
      </c>
      <c r="O128" s="309">
        <v>4</v>
      </c>
      <c r="P128" s="309">
        <v>303</v>
      </c>
      <c r="Q128" s="310">
        <v>9</v>
      </c>
      <c r="R128" s="311">
        <f t="shared" si="95"/>
        <v>637</v>
      </c>
      <c r="S128" s="363">
        <f t="shared" si="96"/>
        <v>14</v>
      </c>
      <c r="T128" s="314">
        <f>SUM(G125:G128)</f>
        <v>0</v>
      </c>
      <c r="U128" s="314">
        <f>SUM(K125:K128)</f>
        <v>58</v>
      </c>
      <c r="V128" s="314">
        <f>SUM(O125:O128)</f>
        <v>4</v>
      </c>
      <c r="W128" s="314">
        <f>SUM(Q125:Q128)</f>
        <v>31</v>
      </c>
      <c r="X128" s="314">
        <f>T128+U128+V128+W128</f>
        <v>93</v>
      </c>
    </row>
    <row r="129" spans="1:24" ht="12.75">
      <c r="A129" s="315" t="s">
        <v>255</v>
      </c>
      <c r="B129" s="316" t="s">
        <v>131</v>
      </c>
      <c r="C129" s="316" t="s">
        <v>786</v>
      </c>
      <c r="D129" s="316">
        <v>2015</v>
      </c>
      <c r="E129" s="316" t="s">
        <v>775</v>
      </c>
      <c r="F129" s="317">
        <v>48</v>
      </c>
      <c r="G129" s="317">
        <v>26</v>
      </c>
      <c r="H129" s="318">
        <v>26</v>
      </c>
      <c r="I129" s="317">
        <v>0</v>
      </c>
      <c r="J129" s="317">
        <v>30</v>
      </c>
      <c r="K129" s="317">
        <v>30</v>
      </c>
      <c r="L129" s="317">
        <v>30</v>
      </c>
      <c r="M129" s="317">
        <v>0</v>
      </c>
      <c r="N129" s="317">
        <v>24</v>
      </c>
      <c r="O129" s="317">
        <v>0</v>
      </c>
      <c r="P129" s="317">
        <v>82</v>
      </c>
      <c r="Q129" s="318">
        <v>0</v>
      </c>
      <c r="R129" s="319">
        <f t="shared" si="95"/>
        <v>184</v>
      </c>
      <c r="S129" s="364">
        <f t="shared" si="96"/>
        <v>56</v>
      </c>
      <c r="T129" s="319"/>
      <c r="U129" s="319"/>
      <c r="V129" s="319"/>
      <c r="W129" s="319"/>
      <c r="X129" s="319"/>
    </row>
    <row r="130" spans="1:24" ht="12.75">
      <c r="A130" s="315" t="s">
        <v>257</v>
      </c>
      <c r="B130" s="316" t="s">
        <v>131</v>
      </c>
      <c r="C130" s="316" t="s">
        <v>786</v>
      </c>
      <c r="D130" s="316">
        <v>2015</v>
      </c>
      <c r="E130" s="316" t="s">
        <v>775</v>
      </c>
      <c r="F130" s="317">
        <v>974</v>
      </c>
      <c r="G130" s="317">
        <v>0</v>
      </c>
      <c r="H130" s="318">
        <v>0</v>
      </c>
      <c r="I130" s="317">
        <v>0</v>
      </c>
      <c r="J130" s="317">
        <v>643</v>
      </c>
      <c r="K130" s="317">
        <v>2</v>
      </c>
      <c r="L130" s="317">
        <v>2</v>
      </c>
      <c r="M130" s="317">
        <v>0</v>
      </c>
      <c r="N130" s="317">
        <v>708</v>
      </c>
      <c r="O130" s="317">
        <v>0</v>
      </c>
      <c r="P130" s="317">
        <v>1638</v>
      </c>
      <c r="Q130" s="318">
        <v>522</v>
      </c>
      <c r="R130" s="319">
        <f t="shared" si="95"/>
        <v>3963</v>
      </c>
      <c r="S130" s="364">
        <f t="shared" si="96"/>
        <v>524</v>
      </c>
      <c r="T130" s="319"/>
      <c r="U130" s="319"/>
      <c r="V130" s="319"/>
      <c r="W130" s="319"/>
      <c r="X130" s="319"/>
    </row>
    <row r="131" spans="1:24" ht="12.75">
      <c r="A131" s="315" t="s">
        <v>258</v>
      </c>
      <c r="B131" s="316" t="s">
        <v>131</v>
      </c>
      <c r="C131" s="316" t="s">
        <v>786</v>
      </c>
      <c r="D131" s="316">
        <v>2015</v>
      </c>
      <c r="E131" s="316" t="s">
        <v>775</v>
      </c>
      <c r="F131" s="317">
        <v>231</v>
      </c>
      <c r="G131" s="317">
        <v>0</v>
      </c>
      <c r="H131" s="318">
        <v>0</v>
      </c>
      <c r="I131" s="317">
        <v>0</v>
      </c>
      <c r="J131" s="317">
        <v>118</v>
      </c>
      <c r="K131" s="317">
        <v>0</v>
      </c>
      <c r="L131" s="317">
        <v>0</v>
      </c>
      <c r="M131" s="317">
        <v>0</v>
      </c>
      <c r="N131" s="317">
        <v>99</v>
      </c>
      <c r="O131" s="317">
        <v>0</v>
      </c>
      <c r="P131" s="317">
        <v>321</v>
      </c>
      <c r="Q131" s="318">
        <v>3</v>
      </c>
      <c r="R131" s="319">
        <f t="shared" si="95"/>
        <v>769</v>
      </c>
      <c r="S131" s="364">
        <f t="shared" si="96"/>
        <v>3</v>
      </c>
      <c r="T131" s="319"/>
      <c r="U131" s="319"/>
      <c r="V131" s="319"/>
      <c r="W131" s="319"/>
      <c r="X131" s="319"/>
    </row>
    <row r="132" spans="1:24" ht="12.75">
      <c r="A132" s="315" t="s">
        <v>259</v>
      </c>
      <c r="B132" s="316" t="s">
        <v>131</v>
      </c>
      <c r="C132" s="316" t="s">
        <v>786</v>
      </c>
      <c r="D132" s="316">
        <v>2015</v>
      </c>
      <c r="E132" s="316" t="s">
        <v>775</v>
      </c>
      <c r="F132" s="317">
        <v>419</v>
      </c>
      <c r="G132" s="317">
        <v>2</v>
      </c>
      <c r="H132" s="318">
        <v>0</v>
      </c>
      <c r="I132" s="317">
        <v>2</v>
      </c>
      <c r="J132" s="317">
        <v>284</v>
      </c>
      <c r="K132" s="317">
        <v>4</v>
      </c>
      <c r="L132" s="317">
        <v>0</v>
      </c>
      <c r="M132" s="317">
        <v>4</v>
      </c>
      <c r="N132" s="317">
        <v>306</v>
      </c>
      <c r="O132" s="317">
        <v>0</v>
      </c>
      <c r="P132" s="317">
        <v>784</v>
      </c>
      <c r="Q132" s="318">
        <v>11</v>
      </c>
      <c r="R132" s="319">
        <f t="shared" si="95"/>
        <v>1793</v>
      </c>
      <c r="S132" s="364">
        <f t="shared" si="96"/>
        <v>17</v>
      </c>
      <c r="T132" s="323">
        <f>SUM(G129:G132)</f>
        <v>28</v>
      </c>
      <c r="U132" s="323">
        <f>SUM(K129:K132)</f>
        <v>36</v>
      </c>
      <c r="V132" s="323">
        <f>SUM(O129:O132)</f>
        <v>0</v>
      </c>
      <c r="W132" s="323">
        <f>SUM(Q129:Q132)</f>
        <v>536</v>
      </c>
      <c r="X132" s="323">
        <f>T132+U132+V132+W132</f>
        <v>600</v>
      </c>
    </row>
    <row r="133" spans="1:24" ht="12.75">
      <c r="A133" s="324" t="s">
        <v>256</v>
      </c>
      <c r="B133" s="325" t="s">
        <v>131</v>
      </c>
      <c r="C133" s="325" t="s">
        <v>786</v>
      </c>
      <c r="D133" s="325">
        <v>2016</v>
      </c>
      <c r="E133" s="325" t="s">
        <v>775</v>
      </c>
      <c r="F133" s="326">
        <v>682</v>
      </c>
      <c r="G133" s="326">
        <v>0</v>
      </c>
      <c r="H133" s="327">
        <v>0</v>
      </c>
      <c r="I133" s="326">
        <v>0</v>
      </c>
      <c r="J133" s="326">
        <v>545</v>
      </c>
      <c r="K133" s="326">
        <v>0</v>
      </c>
      <c r="L133" s="326">
        <v>0</v>
      </c>
      <c r="M133" s="326">
        <v>0</v>
      </c>
      <c r="N133" s="326">
        <v>480</v>
      </c>
      <c r="O133" s="326">
        <v>8</v>
      </c>
      <c r="P133" s="326">
        <v>1267</v>
      </c>
      <c r="Q133" s="327">
        <v>90</v>
      </c>
      <c r="R133" s="328">
        <f t="shared" si="95"/>
        <v>2974</v>
      </c>
      <c r="S133" s="365">
        <f t="shared" si="96"/>
        <v>98</v>
      </c>
      <c r="T133" s="328"/>
      <c r="U133" s="328"/>
      <c r="V133" s="328"/>
      <c r="W133" s="328"/>
      <c r="X133" s="328"/>
    </row>
    <row r="134" spans="1:24" ht="12.75">
      <c r="A134" s="324" t="s">
        <v>257</v>
      </c>
      <c r="B134" s="325" t="s">
        <v>131</v>
      </c>
      <c r="C134" s="325" t="s">
        <v>786</v>
      </c>
      <c r="D134" s="325">
        <v>2016</v>
      </c>
      <c r="E134" s="325" t="s">
        <v>775</v>
      </c>
      <c r="F134" s="326">
        <v>974</v>
      </c>
      <c r="G134" s="326">
        <v>15</v>
      </c>
      <c r="H134" s="327">
        <v>15</v>
      </c>
      <c r="I134" s="326">
        <v>0</v>
      </c>
      <c r="J134" s="326">
        <v>643</v>
      </c>
      <c r="K134" s="326">
        <v>1</v>
      </c>
      <c r="L134" s="326">
        <v>1</v>
      </c>
      <c r="M134" s="326">
        <v>0</v>
      </c>
      <c r="N134" s="326">
        <v>708</v>
      </c>
      <c r="O134" s="326">
        <v>64</v>
      </c>
      <c r="P134" s="326">
        <v>1638</v>
      </c>
      <c r="Q134" s="327">
        <v>435</v>
      </c>
      <c r="R134" s="328">
        <f t="shared" si="95"/>
        <v>3963</v>
      </c>
      <c r="S134" s="365">
        <f t="shared" si="96"/>
        <v>515</v>
      </c>
      <c r="T134" s="328"/>
      <c r="U134" s="328"/>
      <c r="V134" s="328"/>
      <c r="W134" s="328"/>
      <c r="X134" s="328"/>
    </row>
    <row r="135" spans="1:24" ht="12.75">
      <c r="A135" s="324" t="s">
        <v>258</v>
      </c>
      <c r="B135" s="325" t="s">
        <v>131</v>
      </c>
      <c r="C135" s="325" t="s">
        <v>786</v>
      </c>
      <c r="D135" s="325">
        <v>2016</v>
      </c>
      <c r="E135" s="325" t="s">
        <v>775</v>
      </c>
      <c r="F135" s="326">
        <v>231</v>
      </c>
      <c r="G135" s="326">
        <v>0</v>
      </c>
      <c r="H135" s="327">
        <v>0</v>
      </c>
      <c r="I135" s="326">
        <v>0</v>
      </c>
      <c r="J135" s="326">
        <v>118</v>
      </c>
      <c r="K135" s="326">
        <v>0</v>
      </c>
      <c r="L135" s="326">
        <v>0</v>
      </c>
      <c r="M135" s="326">
        <v>0</v>
      </c>
      <c r="N135" s="326">
        <v>99</v>
      </c>
      <c r="O135" s="326">
        <v>0</v>
      </c>
      <c r="P135" s="326">
        <v>321</v>
      </c>
      <c r="Q135" s="327">
        <v>16</v>
      </c>
      <c r="R135" s="328">
        <f t="shared" si="95"/>
        <v>769</v>
      </c>
      <c r="S135" s="365">
        <f t="shared" si="96"/>
        <v>16</v>
      </c>
      <c r="T135" s="328"/>
      <c r="U135" s="328"/>
      <c r="V135" s="328"/>
      <c r="W135" s="328"/>
      <c r="X135" s="328"/>
    </row>
    <row r="136" spans="1:24" ht="12.75">
      <c r="A136" s="324" t="s">
        <v>259</v>
      </c>
      <c r="B136" s="325" t="s">
        <v>131</v>
      </c>
      <c r="C136" s="325" t="s">
        <v>786</v>
      </c>
      <c r="D136" s="325">
        <v>2016</v>
      </c>
      <c r="E136" s="325" t="s">
        <v>775</v>
      </c>
      <c r="F136" s="326">
        <v>419</v>
      </c>
      <c r="G136" s="326">
        <v>8</v>
      </c>
      <c r="H136" s="327">
        <v>0</v>
      </c>
      <c r="I136" s="326">
        <v>8</v>
      </c>
      <c r="J136" s="326">
        <v>284</v>
      </c>
      <c r="K136" s="326">
        <v>6</v>
      </c>
      <c r="L136" s="326">
        <v>0</v>
      </c>
      <c r="M136" s="326">
        <v>6</v>
      </c>
      <c r="N136" s="326">
        <v>306</v>
      </c>
      <c r="O136" s="326">
        <v>0</v>
      </c>
      <c r="P136" s="326">
        <v>784</v>
      </c>
      <c r="Q136" s="327">
        <v>1</v>
      </c>
      <c r="R136" s="328">
        <f t="shared" si="95"/>
        <v>1793</v>
      </c>
      <c r="S136" s="365">
        <f t="shared" si="96"/>
        <v>15</v>
      </c>
      <c r="T136" s="328"/>
      <c r="U136" s="328"/>
      <c r="V136" s="328"/>
      <c r="W136" s="328"/>
      <c r="X136" s="328"/>
    </row>
    <row r="137" spans="1:24" ht="12.75">
      <c r="A137" s="324" t="s">
        <v>260</v>
      </c>
      <c r="B137" s="325" t="s">
        <v>131</v>
      </c>
      <c r="C137" s="325" t="s">
        <v>786</v>
      </c>
      <c r="D137" s="325">
        <v>2016</v>
      </c>
      <c r="E137" s="325" t="s">
        <v>775</v>
      </c>
      <c r="F137" s="326">
        <v>141</v>
      </c>
      <c r="G137" s="326">
        <v>0</v>
      </c>
      <c r="H137" s="327">
        <v>0</v>
      </c>
      <c r="I137" s="326">
        <v>0</v>
      </c>
      <c r="J137" s="326">
        <v>100</v>
      </c>
      <c r="K137" s="326">
        <v>7</v>
      </c>
      <c r="L137" s="326">
        <v>7</v>
      </c>
      <c r="M137" s="326">
        <v>0</v>
      </c>
      <c r="N137" s="326">
        <v>93</v>
      </c>
      <c r="O137" s="326">
        <v>3</v>
      </c>
      <c r="P137" s="326">
        <v>303</v>
      </c>
      <c r="Q137" s="327">
        <v>17</v>
      </c>
      <c r="R137" s="328">
        <f t="shared" si="95"/>
        <v>637</v>
      </c>
      <c r="S137" s="365">
        <f t="shared" si="96"/>
        <v>27</v>
      </c>
      <c r="T137" s="331">
        <f>SUM(G133:G137)</f>
        <v>23</v>
      </c>
      <c r="U137" s="331">
        <f>SUM(K133:K137)</f>
        <v>14</v>
      </c>
      <c r="V137" s="331">
        <f>SUM(O133:O137)</f>
        <v>75</v>
      </c>
      <c r="W137" s="331">
        <f>SUM(Q133:Q137)</f>
        <v>559</v>
      </c>
      <c r="X137" s="331">
        <f>T137+U137+V137+W137</f>
        <v>671</v>
      </c>
    </row>
    <row r="138" spans="1:24" ht="12.75">
      <c r="A138" s="332" t="s">
        <v>255</v>
      </c>
      <c r="B138" s="333" t="s">
        <v>131</v>
      </c>
      <c r="C138" s="333" t="s">
        <v>786</v>
      </c>
      <c r="D138" s="333">
        <v>2017</v>
      </c>
      <c r="E138" s="333" t="s">
        <v>775</v>
      </c>
      <c r="F138" s="334">
        <v>48</v>
      </c>
      <c r="G138" s="334">
        <v>0</v>
      </c>
      <c r="H138" s="335">
        <v>0</v>
      </c>
      <c r="I138" s="334">
        <v>0</v>
      </c>
      <c r="J138" s="334">
        <v>30</v>
      </c>
      <c r="K138" s="334">
        <v>0</v>
      </c>
      <c r="L138" s="334">
        <v>0</v>
      </c>
      <c r="M138" s="334">
        <v>0</v>
      </c>
      <c r="N138" s="334">
        <v>24</v>
      </c>
      <c r="O138" s="334">
        <v>1</v>
      </c>
      <c r="P138" s="334">
        <v>82</v>
      </c>
      <c r="Q138" s="335">
        <v>0</v>
      </c>
      <c r="R138" s="336">
        <f t="shared" si="95"/>
        <v>184</v>
      </c>
      <c r="S138" s="366">
        <f t="shared" si="96"/>
        <v>1</v>
      </c>
      <c r="T138" s="336"/>
      <c r="U138" s="336"/>
      <c r="V138" s="336"/>
      <c r="W138" s="336"/>
      <c r="X138" s="336"/>
    </row>
    <row r="139" spans="1:24" ht="12.75">
      <c r="A139" s="332" t="s">
        <v>256</v>
      </c>
      <c r="B139" s="333" t="s">
        <v>131</v>
      </c>
      <c r="C139" s="333" t="s">
        <v>786</v>
      </c>
      <c r="D139" s="333">
        <v>2017</v>
      </c>
      <c r="E139" s="333" t="s">
        <v>775</v>
      </c>
      <c r="F139" s="334">
        <v>682</v>
      </c>
      <c r="G139" s="334">
        <v>0</v>
      </c>
      <c r="H139" s="335">
        <v>0</v>
      </c>
      <c r="I139" s="334">
        <v>0</v>
      </c>
      <c r="J139" s="334">
        <v>545</v>
      </c>
      <c r="K139" s="334">
        <v>8</v>
      </c>
      <c r="L139" s="334">
        <v>8</v>
      </c>
      <c r="M139" s="334">
        <v>0</v>
      </c>
      <c r="N139" s="334">
        <v>480</v>
      </c>
      <c r="O139" s="334">
        <v>25</v>
      </c>
      <c r="P139" s="334">
        <v>1267</v>
      </c>
      <c r="Q139" s="335">
        <v>117</v>
      </c>
      <c r="R139" s="336">
        <f t="shared" si="95"/>
        <v>2974</v>
      </c>
      <c r="S139" s="366">
        <f t="shared" si="96"/>
        <v>150</v>
      </c>
      <c r="T139" s="336"/>
      <c r="U139" s="336"/>
      <c r="V139" s="336"/>
      <c r="W139" s="336"/>
      <c r="X139" s="336"/>
    </row>
    <row r="140" spans="1:24" ht="12.75">
      <c r="A140" s="332" t="s">
        <v>257</v>
      </c>
      <c r="B140" s="333" t="s">
        <v>131</v>
      </c>
      <c r="C140" s="333" t="s">
        <v>786</v>
      </c>
      <c r="D140" s="333">
        <v>2017</v>
      </c>
      <c r="E140" s="333" t="s">
        <v>775</v>
      </c>
      <c r="F140" s="334">
        <v>974</v>
      </c>
      <c r="G140" s="334">
        <v>0</v>
      </c>
      <c r="H140" s="335">
        <v>0</v>
      </c>
      <c r="I140" s="334">
        <v>0</v>
      </c>
      <c r="J140" s="334">
        <v>643</v>
      </c>
      <c r="K140" s="334">
        <v>2</v>
      </c>
      <c r="L140" s="334">
        <v>2</v>
      </c>
      <c r="M140" s="334">
        <v>0</v>
      </c>
      <c r="N140" s="334">
        <v>708</v>
      </c>
      <c r="O140" s="334">
        <v>260</v>
      </c>
      <c r="P140" s="334">
        <v>1638</v>
      </c>
      <c r="Q140" s="335">
        <v>376</v>
      </c>
      <c r="R140" s="336">
        <f t="shared" si="95"/>
        <v>3963</v>
      </c>
      <c r="S140" s="366">
        <f t="shared" si="96"/>
        <v>638</v>
      </c>
      <c r="T140" s="336"/>
      <c r="U140" s="336"/>
      <c r="V140" s="336"/>
      <c r="W140" s="336"/>
      <c r="X140" s="336"/>
    </row>
    <row r="141" spans="1:24" ht="12.75">
      <c r="A141" s="332" t="s">
        <v>258</v>
      </c>
      <c r="B141" s="333" t="s">
        <v>131</v>
      </c>
      <c r="C141" s="333" t="s">
        <v>786</v>
      </c>
      <c r="D141" s="333">
        <v>2017</v>
      </c>
      <c r="E141" s="333" t="s">
        <v>775</v>
      </c>
      <c r="F141" s="334">
        <v>231</v>
      </c>
      <c r="G141" s="334">
        <v>0</v>
      </c>
      <c r="H141" s="335">
        <v>0</v>
      </c>
      <c r="I141" s="334">
        <v>0</v>
      </c>
      <c r="J141" s="334">
        <v>118</v>
      </c>
      <c r="K141" s="334">
        <v>0</v>
      </c>
      <c r="L141" s="334">
        <v>0</v>
      </c>
      <c r="M141" s="334">
        <v>0</v>
      </c>
      <c r="N141" s="334">
        <v>99</v>
      </c>
      <c r="O141" s="334">
        <v>0</v>
      </c>
      <c r="P141" s="334">
        <v>321</v>
      </c>
      <c r="Q141" s="335">
        <v>19</v>
      </c>
      <c r="R141" s="336">
        <f t="shared" si="95"/>
        <v>769</v>
      </c>
      <c r="S141" s="366">
        <f t="shared" si="96"/>
        <v>19</v>
      </c>
      <c r="T141" s="336"/>
      <c r="U141" s="336"/>
      <c r="V141" s="336"/>
      <c r="W141" s="336"/>
      <c r="X141" s="336"/>
    </row>
    <row r="142" spans="1:24" ht="12.75">
      <c r="A142" s="332" t="s">
        <v>259</v>
      </c>
      <c r="B142" s="333" t="s">
        <v>131</v>
      </c>
      <c r="C142" s="333" t="s">
        <v>786</v>
      </c>
      <c r="D142" s="333">
        <v>2017</v>
      </c>
      <c r="E142" s="333" t="s">
        <v>775</v>
      </c>
      <c r="F142" s="334">
        <v>419</v>
      </c>
      <c r="G142" s="334">
        <v>0</v>
      </c>
      <c r="H142" s="335">
        <v>0</v>
      </c>
      <c r="I142" s="334">
        <v>0</v>
      </c>
      <c r="J142" s="334">
        <v>284</v>
      </c>
      <c r="K142" s="334">
        <v>0</v>
      </c>
      <c r="L142" s="334">
        <v>0</v>
      </c>
      <c r="M142" s="334">
        <v>0</v>
      </c>
      <c r="N142" s="334">
        <v>306</v>
      </c>
      <c r="O142" s="334">
        <v>0</v>
      </c>
      <c r="P142" s="334">
        <v>784</v>
      </c>
      <c r="Q142" s="335">
        <v>3</v>
      </c>
      <c r="R142" s="336">
        <f t="shared" si="95"/>
        <v>1793</v>
      </c>
      <c r="S142" s="366">
        <f t="shared" si="96"/>
        <v>3</v>
      </c>
      <c r="T142" s="336"/>
      <c r="U142" s="336"/>
      <c r="V142" s="336"/>
      <c r="W142" s="336"/>
      <c r="X142" s="336"/>
    </row>
    <row r="143" spans="1:24" ht="12.75">
      <c r="A143" s="332" t="s">
        <v>260</v>
      </c>
      <c r="B143" s="333" t="s">
        <v>131</v>
      </c>
      <c r="C143" s="333" t="s">
        <v>786</v>
      </c>
      <c r="D143" s="333">
        <v>2017</v>
      </c>
      <c r="E143" s="333" t="s">
        <v>775</v>
      </c>
      <c r="F143" s="334">
        <v>141</v>
      </c>
      <c r="G143" s="334">
        <v>0</v>
      </c>
      <c r="H143" s="335">
        <v>0</v>
      </c>
      <c r="I143" s="334">
        <v>0</v>
      </c>
      <c r="J143" s="334">
        <v>100</v>
      </c>
      <c r="K143" s="334">
        <v>2</v>
      </c>
      <c r="L143" s="334">
        <v>2</v>
      </c>
      <c r="M143" s="334">
        <v>0</v>
      </c>
      <c r="N143" s="334">
        <v>93</v>
      </c>
      <c r="O143" s="334">
        <v>1</v>
      </c>
      <c r="P143" s="334">
        <v>303</v>
      </c>
      <c r="Q143" s="335">
        <v>16</v>
      </c>
      <c r="R143" s="336">
        <f t="shared" si="95"/>
        <v>637</v>
      </c>
      <c r="S143" s="366">
        <f t="shared" si="96"/>
        <v>19</v>
      </c>
      <c r="T143" s="339">
        <f>SUM(G138:G143)</f>
        <v>0</v>
      </c>
      <c r="U143" s="339">
        <f>SUM(K138:K143)</f>
        <v>12</v>
      </c>
      <c r="V143" s="339">
        <f>SUM(O138:O143)</f>
        <v>287</v>
      </c>
      <c r="W143" s="339">
        <f>SUM(Q138:Q143)</f>
        <v>531</v>
      </c>
      <c r="X143" s="339">
        <f>T143+U143+V143+W143</f>
        <v>830</v>
      </c>
    </row>
    <row r="144" spans="1:24" ht="12.75">
      <c r="A144" s="340" t="s">
        <v>255</v>
      </c>
      <c r="B144" s="341" t="s">
        <v>131</v>
      </c>
      <c r="C144" s="341" t="s">
        <v>786</v>
      </c>
      <c r="D144" s="341">
        <v>2018</v>
      </c>
      <c r="E144" s="341" t="s">
        <v>775</v>
      </c>
      <c r="F144" s="342">
        <v>48</v>
      </c>
      <c r="G144" s="375"/>
      <c r="H144" s="376"/>
      <c r="I144" s="376"/>
      <c r="J144" s="342">
        <v>30</v>
      </c>
      <c r="K144" s="375"/>
      <c r="L144" s="376"/>
      <c r="M144" s="376"/>
      <c r="N144" s="342">
        <v>24</v>
      </c>
      <c r="O144" s="376"/>
      <c r="P144" s="342">
        <v>82</v>
      </c>
      <c r="Q144" s="376"/>
      <c r="R144" s="344">
        <f t="shared" si="95"/>
        <v>184</v>
      </c>
      <c r="S144" s="367">
        <f t="shared" si="96"/>
        <v>0</v>
      </c>
      <c r="T144" s="344"/>
      <c r="U144" s="344"/>
      <c r="V144" s="344"/>
      <c r="W144" s="344"/>
      <c r="X144" s="344"/>
    </row>
    <row r="145" spans="1:24" ht="12.75">
      <c r="A145" s="340" t="s">
        <v>256</v>
      </c>
      <c r="B145" s="341" t="s">
        <v>131</v>
      </c>
      <c r="C145" s="341" t="s">
        <v>786</v>
      </c>
      <c r="D145" s="341">
        <v>2018</v>
      </c>
      <c r="E145" s="341" t="s">
        <v>775</v>
      </c>
      <c r="F145" s="342">
        <v>682</v>
      </c>
      <c r="G145" s="343">
        <v>0</v>
      </c>
      <c r="H145" s="342">
        <v>0</v>
      </c>
      <c r="I145" s="342">
        <v>0</v>
      </c>
      <c r="J145" s="342">
        <v>545</v>
      </c>
      <c r="K145" s="343">
        <v>9</v>
      </c>
      <c r="L145" s="342">
        <v>0</v>
      </c>
      <c r="M145" s="342">
        <v>9</v>
      </c>
      <c r="N145" s="342">
        <v>480</v>
      </c>
      <c r="O145" s="342">
        <v>72</v>
      </c>
      <c r="P145" s="342">
        <v>1267</v>
      </c>
      <c r="Q145" s="342">
        <v>73</v>
      </c>
      <c r="R145" s="344">
        <f t="shared" si="95"/>
        <v>2974</v>
      </c>
      <c r="S145" s="367">
        <f t="shared" si="96"/>
        <v>154</v>
      </c>
      <c r="T145" s="344"/>
      <c r="U145" s="344"/>
      <c r="V145" s="344"/>
      <c r="W145" s="344"/>
      <c r="X145" s="344"/>
    </row>
    <row r="146" spans="1:24" ht="12.75">
      <c r="A146" s="340" t="s">
        <v>257</v>
      </c>
      <c r="B146" s="341" t="s">
        <v>131</v>
      </c>
      <c r="C146" s="341" t="s">
        <v>786</v>
      </c>
      <c r="D146" s="341">
        <v>2018</v>
      </c>
      <c r="E146" s="341" t="s">
        <v>775</v>
      </c>
      <c r="F146" s="342">
        <v>974</v>
      </c>
      <c r="G146" s="343">
        <v>0</v>
      </c>
      <c r="H146" s="342">
        <v>0</v>
      </c>
      <c r="I146" s="342">
        <v>0</v>
      </c>
      <c r="J146" s="342">
        <v>643</v>
      </c>
      <c r="K146" s="343">
        <v>2</v>
      </c>
      <c r="L146" s="342">
        <v>2</v>
      </c>
      <c r="M146" s="342">
        <v>0</v>
      </c>
      <c r="N146" s="342">
        <v>708</v>
      </c>
      <c r="O146" s="342">
        <v>0</v>
      </c>
      <c r="P146" s="342">
        <v>1638</v>
      </c>
      <c r="Q146" s="342">
        <v>115</v>
      </c>
      <c r="R146" s="344">
        <f t="shared" si="95"/>
        <v>3963</v>
      </c>
      <c r="S146" s="367">
        <f t="shared" si="96"/>
        <v>117</v>
      </c>
      <c r="T146" s="344"/>
      <c r="U146" s="344"/>
      <c r="V146" s="344"/>
      <c r="W146" s="344"/>
      <c r="X146" s="344"/>
    </row>
    <row r="147" spans="1:24" ht="12.75">
      <c r="A147" s="340" t="s">
        <v>258</v>
      </c>
      <c r="B147" s="341" t="s">
        <v>131</v>
      </c>
      <c r="C147" s="341" t="s">
        <v>786</v>
      </c>
      <c r="D147" s="341">
        <v>2018</v>
      </c>
      <c r="E147" s="341" t="s">
        <v>775</v>
      </c>
      <c r="F147" s="342">
        <v>231</v>
      </c>
      <c r="G147" s="375"/>
      <c r="H147" s="376"/>
      <c r="I147" s="376"/>
      <c r="J147" s="342">
        <v>118</v>
      </c>
      <c r="K147" s="375"/>
      <c r="L147" s="376"/>
      <c r="M147" s="376"/>
      <c r="N147" s="342">
        <v>99</v>
      </c>
      <c r="O147" s="376"/>
      <c r="P147" s="342">
        <v>321</v>
      </c>
      <c r="Q147" s="376"/>
      <c r="R147" s="344">
        <f t="shared" si="95"/>
        <v>769</v>
      </c>
      <c r="S147" s="367">
        <f t="shared" si="96"/>
        <v>0</v>
      </c>
      <c r="T147" s="344"/>
      <c r="U147" s="344"/>
      <c r="V147" s="344"/>
      <c r="W147" s="344"/>
      <c r="X147" s="344"/>
    </row>
    <row r="148" spans="1:24" ht="12.75">
      <c r="A148" s="340" t="s">
        <v>259</v>
      </c>
      <c r="B148" s="341" t="s">
        <v>131</v>
      </c>
      <c r="C148" s="341" t="s">
        <v>786</v>
      </c>
      <c r="D148" s="341">
        <v>2018</v>
      </c>
      <c r="E148" s="341" t="s">
        <v>775</v>
      </c>
      <c r="F148" s="342">
        <v>419</v>
      </c>
      <c r="G148" s="343">
        <v>0</v>
      </c>
      <c r="H148" s="342">
        <v>0</v>
      </c>
      <c r="I148" s="342">
        <v>0</v>
      </c>
      <c r="J148" s="342">
        <v>284</v>
      </c>
      <c r="K148" s="343">
        <v>0</v>
      </c>
      <c r="L148" s="342">
        <v>0</v>
      </c>
      <c r="M148" s="342">
        <v>0</v>
      </c>
      <c r="N148" s="342">
        <v>306</v>
      </c>
      <c r="O148" s="342">
        <v>0</v>
      </c>
      <c r="P148" s="342">
        <v>784</v>
      </c>
      <c r="Q148" s="342">
        <v>9</v>
      </c>
      <c r="R148" s="344">
        <f t="shared" si="95"/>
        <v>1793</v>
      </c>
      <c r="S148" s="367">
        <f t="shared" si="96"/>
        <v>9</v>
      </c>
      <c r="T148" s="345">
        <f>SUM(G144:G148)</f>
        <v>0</v>
      </c>
      <c r="U148" s="345">
        <f>SUM(K144:K148)</f>
        <v>11</v>
      </c>
      <c r="V148" s="345">
        <f>SUM(O144:O148)</f>
        <v>72</v>
      </c>
      <c r="W148" s="345">
        <f>SUM(Q144:Q148)</f>
        <v>197</v>
      </c>
      <c r="X148" s="345">
        <f>T148+U148+V148+W148</f>
        <v>280</v>
      </c>
    </row>
    <row r="149" spans="1:24" ht="12.75">
      <c r="A149" s="346" t="s">
        <v>255</v>
      </c>
      <c r="B149" s="347" t="s">
        <v>131</v>
      </c>
      <c r="C149" s="347" t="s">
        <v>787</v>
      </c>
      <c r="D149" s="347">
        <v>2019</v>
      </c>
      <c r="E149" s="347" t="s">
        <v>775</v>
      </c>
      <c r="F149" s="348">
        <v>48</v>
      </c>
      <c r="G149" s="348">
        <v>0</v>
      </c>
      <c r="H149" s="348">
        <v>0</v>
      </c>
      <c r="I149" s="348">
        <v>0</v>
      </c>
      <c r="J149" s="348">
        <v>30</v>
      </c>
      <c r="K149" s="348">
        <v>0</v>
      </c>
      <c r="L149" s="348">
        <v>0</v>
      </c>
      <c r="M149" s="348">
        <v>0</v>
      </c>
      <c r="N149" s="348">
        <v>24</v>
      </c>
      <c r="O149" s="348">
        <v>0</v>
      </c>
      <c r="P149" s="348">
        <v>82</v>
      </c>
      <c r="Q149" s="348">
        <v>0</v>
      </c>
      <c r="R149" s="350">
        <f t="shared" si="95"/>
        <v>184</v>
      </c>
      <c r="S149" s="348">
        <f t="shared" si="96"/>
        <v>0</v>
      </c>
      <c r="T149" s="348"/>
      <c r="U149" s="348"/>
      <c r="V149" s="348"/>
      <c r="W149" s="349"/>
      <c r="X149" s="349"/>
    </row>
    <row r="150" spans="1:24" ht="12.75">
      <c r="A150" s="346" t="s">
        <v>256</v>
      </c>
      <c r="B150" s="347" t="s">
        <v>131</v>
      </c>
      <c r="C150" s="347" t="s">
        <v>787</v>
      </c>
      <c r="D150" s="347">
        <v>2019</v>
      </c>
      <c r="E150" s="347" t="s">
        <v>775</v>
      </c>
      <c r="F150" s="348">
        <v>682</v>
      </c>
      <c r="G150" s="348">
        <v>0</v>
      </c>
      <c r="H150" s="348">
        <v>0</v>
      </c>
      <c r="I150" s="348">
        <v>0</v>
      </c>
      <c r="J150" s="348">
        <v>545</v>
      </c>
      <c r="K150" s="348">
        <v>0</v>
      </c>
      <c r="L150" s="348">
        <v>0</v>
      </c>
      <c r="M150" s="348">
        <v>0</v>
      </c>
      <c r="N150" s="348">
        <v>480</v>
      </c>
      <c r="O150" s="348">
        <v>56</v>
      </c>
      <c r="P150" s="348">
        <v>1267</v>
      </c>
      <c r="Q150" s="348">
        <v>95</v>
      </c>
      <c r="R150" s="350">
        <f t="shared" si="95"/>
        <v>2974</v>
      </c>
      <c r="S150" s="348">
        <f t="shared" si="96"/>
        <v>151</v>
      </c>
      <c r="T150" s="348"/>
      <c r="U150" s="348"/>
      <c r="V150" s="348"/>
      <c r="W150" s="349"/>
      <c r="X150" s="349"/>
    </row>
    <row r="151" spans="1:24" ht="12.75">
      <c r="A151" s="346" t="s">
        <v>257</v>
      </c>
      <c r="B151" s="347" t="s">
        <v>131</v>
      </c>
      <c r="C151" s="347" t="s">
        <v>787</v>
      </c>
      <c r="D151" s="347">
        <v>2019</v>
      </c>
      <c r="E151" s="347" t="s">
        <v>775</v>
      </c>
      <c r="F151" s="348">
        <v>974</v>
      </c>
      <c r="G151" s="348">
        <v>0</v>
      </c>
      <c r="H151" s="348">
        <v>0</v>
      </c>
      <c r="I151" s="348">
        <v>0</v>
      </c>
      <c r="J151" s="348">
        <v>643</v>
      </c>
      <c r="K151" s="348">
        <v>0</v>
      </c>
      <c r="L151" s="348">
        <v>0</v>
      </c>
      <c r="M151" s="348">
        <v>0</v>
      </c>
      <c r="N151" s="348">
        <v>708</v>
      </c>
      <c r="O151" s="348">
        <v>0</v>
      </c>
      <c r="P151" s="348">
        <v>1638</v>
      </c>
      <c r="Q151" s="348">
        <v>714</v>
      </c>
      <c r="R151" s="350">
        <f t="shared" si="95"/>
        <v>3963</v>
      </c>
      <c r="S151" s="348">
        <f t="shared" si="96"/>
        <v>714</v>
      </c>
      <c r="T151" s="348"/>
      <c r="U151" s="348"/>
      <c r="V151" s="348"/>
      <c r="W151" s="349"/>
      <c r="X151" s="349"/>
    </row>
    <row r="152" spans="1:24" ht="12.75">
      <c r="A152" s="346" t="s">
        <v>258</v>
      </c>
      <c r="B152" s="347" t="s">
        <v>131</v>
      </c>
      <c r="C152" s="347" t="s">
        <v>787</v>
      </c>
      <c r="D152" s="347">
        <v>2019</v>
      </c>
      <c r="E152" s="347" t="s">
        <v>775</v>
      </c>
      <c r="F152" s="348">
        <v>231</v>
      </c>
      <c r="G152" s="348">
        <v>0</v>
      </c>
      <c r="H152" s="348">
        <v>0</v>
      </c>
      <c r="I152" s="348">
        <v>0</v>
      </c>
      <c r="J152" s="348">
        <v>118</v>
      </c>
      <c r="K152" s="348">
        <v>0</v>
      </c>
      <c r="L152" s="348">
        <v>0</v>
      </c>
      <c r="M152" s="348">
        <v>0</v>
      </c>
      <c r="N152" s="348">
        <v>99</v>
      </c>
      <c r="O152" s="348">
        <v>0</v>
      </c>
      <c r="P152" s="348">
        <v>321</v>
      </c>
      <c r="Q152" s="348">
        <v>32</v>
      </c>
      <c r="R152" s="350">
        <f t="shared" si="95"/>
        <v>769</v>
      </c>
      <c r="S152" s="348">
        <f t="shared" si="96"/>
        <v>32</v>
      </c>
      <c r="T152" s="348"/>
      <c r="U152" s="348"/>
      <c r="V152" s="348"/>
      <c r="W152" s="349"/>
      <c r="X152" s="349"/>
    </row>
    <row r="153" spans="1:24" ht="12.75">
      <c r="A153" s="346" t="s">
        <v>259</v>
      </c>
      <c r="B153" s="347" t="s">
        <v>131</v>
      </c>
      <c r="C153" s="347" t="s">
        <v>787</v>
      </c>
      <c r="D153" s="347">
        <v>2019</v>
      </c>
      <c r="E153" s="347" t="s">
        <v>775</v>
      </c>
      <c r="F153" s="348">
        <v>419</v>
      </c>
      <c r="G153" s="348">
        <v>0</v>
      </c>
      <c r="H153" s="348">
        <v>0</v>
      </c>
      <c r="I153" s="348">
        <v>0</v>
      </c>
      <c r="J153" s="348">
        <v>284</v>
      </c>
      <c r="K153" s="348">
        <v>1</v>
      </c>
      <c r="L153" s="348">
        <v>1</v>
      </c>
      <c r="M153" s="348">
        <v>0</v>
      </c>
      <c r="N153" s="348">
        <v>306</v>
      </c>
      <c r="O153" s="348">
        <v>0</v>
      </c>
      <c r="P153" s="348">
        <v>784</v>
      </c>
      <c r="Q153" s="348">
        <v>56</v>
      </c>
      <c r="R153" s="350">
        <f t="shared" si="95"/>
        <v>1793</v>
      </c>
      <c r="S153" s="348">
        <f t="shared" si="96"/>
        <v>57</v>
      </c>
      <c r="T153" s="352">
        <f>SUM(G149:G153)</f>
        <v>0</v>
      </c>
      <c r="U153" s="352">
        <f>SUM(K149:K153)</f>
        <v>1</v>
      </c>
      <c r="V153" s="352">
        <f>SUM(O149:O153)</f>
        <v>56</v>
      </c>
      <c r="W153" s="352">
        <f>SUM(Q149:Q153)</f>
        <v>897</v>
      </c>
      <c r="X153" s="352">
        <f>T153+U153+V153+W153</f>
        <v>954</v>
      </c>
    </row>
    <row r="154" spans="1:24" ht="12.75">
      <c r="A154" s="220"/>
      <c r="B154" s="221"/>
      <c r="C154" s="221"/>
      <c r="D154" s="221"/>
      <c r="E154" s="221"/>
      <c r="F154" s="353"/>
      <c r="G154" s="353"/>
      <c r="H154" s="354"/>
      <c r="I154" s="353"/>
      <c r="J154" s="353"/>
      <c r="K154" s="353"/>
      <c r="L154" s="353"/>
      <c r="M154" s="353"/>
      <c r="N154" s="353"/>
      <c r="O154" s="353"/>
      <c r="P154" s="353"/>
      <c r="Q154" s="354"/>
      <c r="R154" s="182"/>
      <c r="S154" s="361" t="s">
        <v>783</v>
      </c>
      <c r="T154" s="356">
        <f t="shared" ref="T154:X154" si="97">SUM(T125:T153)</f>
        <v>51</v>
      </c>
      <c r="U154" s="356">
        <f t="shared" si="97"/>
        <v>132</v>
      </c>
      <c r="V154" s="356">
        <f t="shared" si="97"/>
        <v>494</v>
      </c>
      <c r="W154" s="356">
        <f t="shared" si="97"/>
        <v>2751</v>
      </c>
      <c r="X154" s="356">
        <f t="shared" si="97"/>
        <v>3428</v>
      </c>
    </row>
    <row r="155" spans="1:24" ht="12.75">
      <c r="A155" s="220"/>
      <c r="B155" s="221"/>
      <c r="C155" s="221"/>
      <c r="D155" s="221"/>
      <c r="E155" s="221"/>
      <c r="F155" s="353"/>
      <c r="G155" s="353"/>
      <c r="H155" s="354"/>
      <c r="I155" s="353"/>
      <c r="J155" s="353"/>
      <c r="K155" s="353"/>
      <c r="L155" s="353"/>
      <c r="M155" s="353"/>
      <c r="N155" s="353"/>
      <c r="O155" s="353"/>
      <c r="P155" s="353"/>
      <c r="Q155" s="354"/>
      <c r="R155" s="182"/>
      <c r="S155" s="362"/>
      <c r="T155" s="92"/>
      <c r="U155" s="92"/>
      <c r="V155" s="92"/>
      <c r="W155" s="92"/>
      <c r="X155" s="92"/>
    </row>
    <row r="156" spans="1:24" ht="12.75">
      <c r="A156" s="307" t="s">
        <v>262</v>
      </c>
      <c r="B156" s="308" t="s">
        <v>134</v>
      </c>
      <c r="C156" s="308" t="s">
        <v>784</v>
      </c>
      <c r="D156" s="308">
        <v>2014</v>
      </c>
      <c r="E156" s="308" t="s">
        <v>775</v>
      </c>
      <c r="F156" s="309">
        <v>241</v>
      </c>
      <c r="G156" s="309">
        <v>6</v>
      </c>
      <c r="H156" s="310">
        <v>0</v>
      </c>
      <c r="I156" s="309">
        <v>6</v>
      </c>
      <c r="J156" s="309">
        <v>175</v>
      </c>
      <c r="K156" s="309">
        <v>13</v>
      </c>
      <c r="L156" s="309">
        <v>0</v>
      </c>
      <c r="M156" s="309">
        <v>13</v>
      </c>
      <c r="N156" s="309">
        <v>192</v>
      </c>
      <c r="O156" s="309">
        <v>17</v>
      </c>
      <c r="P156" s="309">
        <v>471</v>
      </c>
      <c r="Q156" s="310">
        <v>38</v>
      </c>
      <c r="R156" s="311">
        <f t="shared" ref="R156:R163" si="98">F156+J156+N156+P156</f>
        <v>1079</v>
      </c>
      <c r="S156" s="363">
        <f t="shared" ref="S156:S163" si="99">K156+O156+G156+Q156</f>
        <v>74</v>
      </c>
      <c r="T156" s="314">
        <f t="shared" ref="T156:T159" si="100">G156</f>
        <v>6</v>
      </c>
      <c r="U156" s="314">
        <f t="shared" ref="U156:U159" si="101">K156</f>
        <v>13</v>
      </c>
      <c r="V156" s="314">
        <f t="shared" ref="V156:V159" si="102">O156</f>
        <v>17</v>
      </c>
      <c r="W156" s="314">
        <f t="shared" ref="W156:W159" si="103">Q156</f>
        <v>38</v>
      </c>
      <c r="X156" s="314">
        <f t="shared" ref="X156:X159" si="104">T156+U156+V156+W156</f>
        <v>74</v>
      </c>
    </row>
    <row r="157" spans="1:24" ht="12.75">
      <c r="A157" s="315" t="s">
        <v>262</v>
      </c>
      <c r="B157" s="316" t="s">
        <v>134</v>
      </c>
      <c r="C157" s="316" t="s">
        <v>784</v>
      </c>
      <c r="D157" s="316">
        <v>2015</v>
      </c>
      <c r="E157" s="316" t="s">
        <v>775</v>
      </c>
      <c r="F157" s="317">
        <v>241</v>
      </c>
      <c r="G157" s="317">
        <v>8</v>
      </c>
      <c r="H157" s="318">
        <v>0</v>
      </c>
      <c r="I157" s="317">
        <v>8</v>
      </c>
      <c r="J157" s="317">
        <v>175</v>
      </c>
      <c r="K157" s="317">
        <v>15</v>
      </c>
      <c r="L157" s="317">
        <v>0</v>
      </c>
      <c r="M157" s="317">
        <v>15</v>
      </c>
      <c r="N157" s="317">
        <v>192</v>
      </c>
      <c r="O157" s="317">
        <v>45</v>
      </c>
      <c r="P157" s="317">
        <v>471</v>
      </c>
      <c r="Q157" s="318">
        <v>49</v>
      </c>
      <c r="R157" s="319">
        <f t="shared" si="98"/>
        <v>1079</v>
      </c>
      <c r="S157" s="364">
        <f t="shared" si="99"/>
        <v>117</v>
      </c>
      <c r="T157" s="323">
        <f t="shared" si="100"/>
        <v>8</v>
      </c>
      <c r="U157" s="323">
        <f t="shared" si="101"/>
        <v>15</v>
      </c>
      <c r="V157" s="323">
        <f t="shared" si="102"/>
        <v>45</v>
      </c>
      <c r="W157" s="323">
        <f t="shared" si="103"/>
        <v>49</v>
      </c>
      <c r="X157" s="323">
        <f t="shared" si="104"/>
        <v>117</v>
      </c>
    </row>
    <row r="158" spans="1:24" ht="12.75">
      <c r="A158" s="324" t="s">
        <v>262</v>
      </c>
      <c r="B158" s="325" t="s">
        <v>134</v>
      </c>
      <c r="C158" s="325" t="s">
        <v>784</v>
      </c>
      <c r="D158" s="325">
        <v>2016</v>
      </c>
      <c r="E158" s="325" t="s">
        <v>775</v>
      </c>
      <c r="F158" s="326">
        <v>241</v>
      </c>
      <c r="G158" s="326">
        <v>60</v>
      </c>
      <c r="H158" s="327">
        <v>0</v>
      </c>
      <c r="I158" s="326">
        <v>60</v>
      </c>
      <c r="J158" s="326">
        <v>175</v>
      </c>
      <c r="K158" s="326">
        <v>36</v>
      </c>
      <c r="L158" s="326">
        <v>0</v>
      </c>
      <c r="M158" s="326">
        <v>36</v>
      </c>
      <c r="N158" s="326">
        <v>192</v>
      </c>
      <c r="O158" s="326">
        <v>104</v>
      </c>
      <c r="P158" s="326">
        <v>471</v>
      </c>
      <c r="Q158" s="327">
        <v>48</v>
      </c>
      <c r="R158" s="328">
        <f t="shared" si="98"/>
        <v>1079</v>
      </c>
      <c r="S158" s="365">
        <f t="shared" si="99"/>
        <v>248</v>
      </c>
      <c r="T158" s="331">
        <f t="shared" si="100"/>
        <v>60</v>
      </c>
      <c r="U158" s="331">
        <f t="shared" si="101"/>
        <v>36</v>
      </c>
      <c r="V158" s="331">
        <f t="shared" si="102"/>
        <v>104</v>
      </c>
      <c r="W158" s="331">
        <f t="shared" si="103"/>
        <v>48</v>
      </c>
      <c r="X158" s="331">
        <f t="shared" si="104"/>
        <v>248</v>
      </c>
    </row>
    <row r="159" spans="1:24" ht="12.75">
      <c r="A159" s="332" t="s">
        <v>262</v>
      </c>
      <c r="B159" s="333" t="s">
        <v>134</v>
      </c>
      <c r="C159" s="333" t="s">
        <v>784</v>
      </c>
      <c r="D159" s="333">
        <v>2017</v>
      </c>
      <c r="E159" s="333" t="s">
        <v>775</v>
      </c>
      <c r="F159" s="334">
        <v>241</v>
      </c>
      <c r="G159" s="334">
        <v>25</v>
      </c>
      <c r="H159" s="335">
        <v>0</v>
      </c>
      <c r="I159" s="334">
        <v>25</v>
      </c>
      <c r="J159" s="334">
        <v>175</v>
      </c>
      <c r="K159" s="334">
        <v>27</v>
      </c>
      <c r="L159" s="334">
        <v>0</v>
      </c>
      <c r="M159" s="334">
        <v>27</v>
      </c>
      <c r="N159" s="334">
        <v>192</v>
      </c>
      <c r="O159" s="334">
        <v>29</v>
      </c>
      <c r="P159" s="334">
        <v>471</v>
      </c>
      <c r="Q159" s="335">
        <v>77</v>
      </c>
      <c r="R159" s="336">
        <f t="shared" si="98"/>
        <v>1079</v>
      </c>
      <c r="S159" s="366">
        <f t="shared" si="99"/>
        <v>158</v>
      </c>
      <c r="T159" s="339">
        <f t="shared" si="100"/>
        <v>25</v>
      </c>
      <c r="U159" s="339">
        <f t="shared" si="101"/>
        <v>27</v>
      </c>
      <c r="V159" s="339">
        <f t="shared" si="102"/>
        <v>29</v>
      </c>
      <c r="W159" s="339">
        <f t="shared" si="103"/>
        <v>77</v>
      </c>
      <c r="X159" s="339">
        <f t="shared" si="104"/>
        <v>158</v>
      </c>
    </row>
    <row r="160" spans="1:24" ht="12.75">
      <c r="A160" s="340" t="s">
        <v>261</v>
      </c>
      <c r="B160" s="341" t="s">
        <v>134</v>
      </c>
      <c r="C160" s="341" t="s">
        <v>784</v>
      </c>
      <c r="D160" s="341">
        <v>2018</v>
      </c>
      <c r="E160" s="341" t="s">
        <v>775</v>
      </c>
      <c r="F160" s="342">
        <v>39</v>
      </c>
      <c r="G160" s="343">
        <v>1</v>
      </c>
      <c r="H160" s="342">
        <v>0</v>
      </c>
      <c r="I160" s="342">
        <v>1</v>
      </c>
      <c r="J160" s="342">
        <v>25</v>
      </c>
      <c r="K160" s="343">
        <v>0</v>
      </c>
      <c r="L160" s="342">
        <v>0</v>
      </c>
      <c r="M160" s="342">
        <v>0</v>
      </c>
      <c r="N160" s="342">
        <v>28</v>
      </c>
      <c r="O160" s="342">
        <v>1</v>
      </c>
      <c r="P160" s="342">
        <v>69</v>
      </c>
      <c r="Q160" s="342">
        <v>19</v>
      </c>
      <c r="R160" s="344">
        <f t="shared" si="98"/>
        <v>161</v>
      </c>
      <c r="S160" s="367">
        <f t="shared" si="99"/>
        <v>21</v>
      </c>
      <c r="T160" s="344"/>
      <c r="U160" s="344"/>
      <c r="V160" s="344"/>
      <c r="W160" s="344"/>
      <c r="X160" s="344"/>
    </row>
    <row r="161" spans="1:24" ht="12.75">
      <c r="A161" s="340" t="s">
        <v>262</v>
      </c>
      <c r="B161" s="341" t="s">
        <v>134</v>
      </c>
      <c r="C161" s="341" t="s">
        <v>784</v>
      </c>
      <c r="D161" s="341">
        <v>2018</v>
      </c>
      <c r="E161" s="341" t="s">
        <v>775</v>
      </c>
      <c r="F161" s="342">
        <v>241</v>
      </c>
      <c r="G161" s="343">
        <v>1</v>
      </c>
      <c r="H161" s="342">
        <v>0</v>
      </c>
      <c r="I161" s="342">
        <v>1</v>
      </c>
      <c r="J161" s="342">
        <v>175</v>
      </c>
      <c r="K161" s="343">
        <v>0</v>
      </c>
      <c r="L161" s="342">
        <v>0</v>
      </c>
      <c r="M161" s="342">
        <v>0</v>
      </c>
      <c r="N161" s="342">
        <v>192</v>
      </c>
      <c r="O161" s="342">
        <v>23</v>
      </c>
      <c r="P161" s="342">
        <v>471</v>
      </c>
      <c r="Q161" s="342">
        <v>20</v>
      </c>
      <c r="R161" s="344">
        <f t="shared" si="98"/>
        <v>1079</v>
      </c>
      <c r="S161" s="367">
        <f t="shared" si="99"/>
        <v>44</v>
      </c>
      <c r="T161" s="345">
        <f>SUM(G160:G161)</f>
        <v>2</v>
      </c>
      <c r="U161" s="345">
        <f>SUM(K160:K161)</f>
        <v>0</v>
      </c>
      <c r="V161" s="345">
        <f>SUM(O160:O161)</f>
        <v>24</v>
      </c>
      <c r="W161" s="345">
        <f>SUM(Q160:Q161)</f>
        <v>39</v>
      </c>
      <c r="X161" s="345">
        <f>T161+U161+V161+W161</f>
        <v>65</v>
      </c>
    </row>
    <row r="162" spans="1:24" ht="12.75">
      <c r="A162" s="346" t="s">
        <v>261</v>
      </c>
      <c r="B162" s="347" t="s">
        <v>134</v>
      </c>
      <c r="C162" s="347" t="s">
        <v>785</v>
      </c>
      <c r="D162" s="347">
        <v>2019</v>
      </c>
      <c r="E162" s="347" t="s">
        <v>775</v>
      </c>
      <c r="F162" s="348">
        <v>39</v>
      </c>
      <c r="G162" s="348">
        <v>0</v>
      </c>
      <c r="H162" s="348">
        <v>0</v>
      </c>
      <c r="I162" s="348">
        <v>0</v>
      </c>
      <c r="J162" s="348">
        <v>25</v>
      </c>
      <c r="K162" s="348">
        <v>1</v>
      </c>
      <c r="L162" s="348">
        <v>0</v>
      </c>
      <c r="M162" s="348">
        <v>1</v>
      </c>
      <c r="N162" s="348">
        <v>28</v>
      </c>
      <c r="O162" s="348">
        <v>4</v>
      </c>
      <c r="P162" s="348">
        <v>69</v>
      </c>
      <c r="Q162" s="348">
        <v>2</v>
      </c>
      <c r="R162" s="350">
        <f t="shared" si="98"/>
        <v>161</v>
      </c>
      <c r="S162" s="348">
        <f t="shared" si="99"/>
        <v>7</v>
      </c>
      <c r="T162" s="348"/>
      <c r="U162" s="348"/>
      <c r="V162" s="348"/>
      <c r="W162" s="349"/>
      <c r="X162" s="349"/>
    </row>
    <row r="163" spans="1:24" ht="12.75">
      <c r="A163" s="346" t="s">
        <v>262</v>
      </c>
      <c r="B163" s="347" t="s">
        <v>134</v>
      </c>
      <c r="C163" s="347" t="s">
        <v>785</v>
      </c>
      <c r="D163" s="347">
        <v>2019</v>
      </c>
      <c r="E163" s="347" t="s">
        <v>775</v>
      </c>
      <c r="F163" s="348">
        <v>241</v>
      </c>
      <c r="G163" s="348">
        <v>0</v>
      </c>
      <c r="H163" s="348">
        <v>0</v>
      </c>
      <c r="I163" s="348">
        <v>0</v>
      </c>
      <c r="J163" s="348">
        <v>175</v>
      </c>
      <c r="K163" s="348">
        <v>0</v>
      </c>
      <c r="L163" s="348">
        <v>0</v>
      </c>
      <c r="M163" s="348">
        <v>0</v>
      </c>
      <c r="N163" s="348">
        <v>192</v>
      </c>
      <c r="O163" s="348">
        <v>0</v>
      </c>
      <c r="P163" s="348">
        <v>471</v>
      </c>
      <c r="Q163" s="348">
        <v>63</v>
      </c>
      <c r="R163" s="350">
        <f t="shared" si="98"/>
        <v>1079</v>
      </c>
      <c r="S163" s="348">
        <f t="shared" si="99"/>
        <v>63</v>
      </c>
      <c r="T163" s="352">
        <f>SUM(G162:G163)</f>
        <v>0</v>
      </c>
      <c r="U163" s="352">
        <f>SUM(K162:K163)</f>
        <v>1</v>
      </c>
      <c r="V163" s="352">
        <f>SUM(O162:O163)</f>
        <v>4</v>
      </c>
      <c r="W163" s="352">
        <f>SUM(Q162:Q163)</f>
        <v>65</v>
      </c>
      <c r="X163" s="352">
        <f>T163+U163+V163+W163</f>
        <v>70</v>
      </c>
    </row>
    <row r="164" spans="1:24" ht="12.75">
      <c r="A164" s="220"/>
      <c r="B164" s="221"/>
      <c r="C164" s="221"/>
      <c r="D164" s="221"/>
      <c r="E164" s="221"/>
      <c r="F164" s="353"/>
      <c r="G164" s="353"/>
      <c r="H164" s="354"/>
      <c r="I164" s="353"/>
      <c r="J164" s="353"/>
      <c r="K164" s="353"/>
      <c r="L164" s="353"/>
      <c r="M164" s="353"/>
      <c r="N164" s="353"/>
      <c r="O164" s="353"/>
      <c r="P164" s="353"/>
      <c r="Q164" s="354"/>
      <c r="R164" s="182"/>
      <c r="S164" s="361" t="s">
        <v>783</v>
      </c>
      <c r="T164" s="356">
        <f t="shared" ref="T164:X164" si="105">SUM(T156:T163)</f>
        <v>101</v>
      </c>
      <c r="U164" s="356">
        <f t="shared" si="105"/>
        <v>92</v>
      </c>
      <c r="V164" s="356">
        <f t="shared" si="105"/>
        <v>223</v>
      </c>
      <c r="W164" s="356">
        <f t="shared" si="105"/>
        <v>316</v>
      </c>
      <c r="X164" s="356">
        <f t="shared" si="105"/>
        <v>732</v>
      </c>
    </row>
    <row r="165" spans="1:24" ht="12.75">
      <c r="A165" s="239"/>
      <c r="B165" s="243"/>
      <c r="C165" s="243"/>
      <c r="D165" s="243"/>
      <c r="E165" s="243"/>
      <c r="F165" s="357"/>
      <c r="G165" s="357"/>
      <c r="H165" s="358"/>
      <c r="I165" s="357"/>
      <c r="J165" s="357"/>
      <c r="K165" s="357"/>
      <c r="L165" s="357"/>
      <c r="M165" s="357"/>
      <c r="N165" s="357"/>
      <c r="O165" s="357"/>
      <c r="P165" s="357"/>
      <c r="Q165" s="358"/>
      <c r="R165" s="182"/>
      <c r="S165" s="362"/>
      <c r="T165" s="359"/>
      <c r="U165" s="359"/>
      <c r="V165" s="359"/>
      <c r="W165" s="359"/>
      <c r="X165" s="359"/>
    </row>
    <row r="166" spans="1:24" ht="12.75">
      <c r="A166" s="307" t="s">
        <v>263</v>
      </c>
      <c r="B166" s="308" t="s">
        <v>135</v>
      </c>
      <c r="C166" s="308" t="s">
        <v>784</v>
      </c>
      <c r="D166" s="308">
        <v>2014</v>
      </c>
      <c r="E166" s="308" t="s">
        <v>775</v>
      </c>
      <c r="F166" s="309">
        <v>107</v>
      </c>
      <c r="G166" s="309">
        <v>2</v>
      </c>
      <c r="H166" s="310">
        <v>0</v>
      </c>
      <c r="I166" s="309">
        <v>2</v>
      </c>
      <c r="J166" s="309">
        <v>91</v>
      </c>
      <c r="K166" s="309">
        <v>1</v>
      </c>
      <c r="L166" s="309">
        <v>0</v>
      </c>
      <c r="M166" s="309">
        <v>1</v>
      </c>
      <c r="N166" s="309">
        <v>91</v>
      </c>
      <c r="O166" s="309">
        <v>32</v>
      </c>
      <c r="P166" s="309">
        <v>210</v>
      </c>
      <c r="Q166" s="310">
        <v>25</v>
      </c>
      <c r="R166" s="311">
        <f t="shared" ref="R166:R172" si="106">F166+J166+N166+P166</f>
        <v>499</v>
      </c>
      <c r="S166" s="363">
        <f t="shared" ref="S166:S172" si="107">K166+O166+G166+Q166</f>
        <v>60</v>
      </c>
      <c r="T166" s="314">
        <f t="shared" ref="T166:T170" si="108">G166</f>
        <v>2</v>
      </c>
      <c r="U166" s="314">
        <f t="shared" ref="U166:U170" si="109">K166</f>
        <v>1</v>
      </c>
      <c r="V166" s="314">
        <f t="shared" ref="V166:V170" si="110">O166</f>
        <v>32</v>
      </c>
      <c r="W166" s="314">
        <f t="shared" ref="W166:W170" si="111">Q166</f>
        <v>25</v>
      </c>
      <c r="X166" s="314">
        <f t="shared" ref="X166:X170" si="112">T166+U166+V166+W166</f>
        <v>60</v>
      </c>
    </row>
    <row r="167" spans="1:24" ht="12.75">
      <c r="A167" s="315" t="s">
        <v>263</v>
      </c>
      <c r="B167" s="316" t="s">
        <v>135</v>
      </c>
      <c r="C167" s="316" t="s">
        <v>784</v>
      </c>
      <c r="D167" s="316">
        <v>2015</v>
      </c>
      <c r="E167" s="316" t="s">
        <v>775</v>
      </c>
      <c r="F167" s="317">
        <v>107</v>
      </c>
      <c r="G167" s="317">
        <v>1</v>
      </c>
      <c r="H167" s="318">
        <v>1</v>
      </c>
      <c r="I167" s="317">
        <v>0</v>
      </c>
      <c r="J167" s="317">
        <v>91</v>
      </c>
      <c r="K167" s="317">
        <v>1</v>
      </c>
      <c r="L167" s="317">
        <v>0</v>
      </c>
      <c r="M167" s="317">
        <v>1</v>
      </c>
      <c r="N167" s="317">
        <v>91</v>
      </c>
      <c r="O167" s="317">
        <v>30</v>
      </c>
      <c r="P167" s="317">
        <v>210</v>
      </c>
      <c r="Q167" s="318">
        <v>13</v>
      </c>
      <c r="R167" s="319">
        <f t="shared" si="106"/>
        <v>499</v>
      </c>
      <c r="S167" s="364">
        <f t="shared" si="107"/>
        <v>45</v>
      </c>
      <c r="T167" s="323">
        <f t="shared" si="108"/>
        <v>1</v>
      </c>
      <c r="U167" s="323">
        <f t="shared" si="109"/>
        <v>1</v>
      </c>
      <c r="V167" s="323">
        <f t="shared" si="110"/>
        <v>30</v>
      </c>
      <c r="W167" s="323">
        <f t="shared" si="111"/>
        <v>13</v>
      </c>
      <c r="X167" s="323">
        <f t="shared" si="112"/>
        <v>45</v>
      </c>
    </row>
    <row r="168" spans="1:24" ht="12.75">
      <c r="A168" s="324" t="s">
        <v>263</v>
      </c>
      <c r="B168" s="325" t="s">
        <v>135</v>
      </c>
      <c r="C168" s="325" t="s">
        <v>784</v>
      </c>
      <c r="D168" s="325">
        <v>2016</v>
      </c>
      <c r="E168" s="325" t="s">
        <v>775</v>
      </c>
      <c r="F168" s="326">
        <v>107</v>
      </c>
      <c r="G168" s="326">
        <v>0</v>
      </c>
      <c r="H168" s="327">
        <v>0</v>
      </c>
      <c r="I168" s="326">
        <v>0</v>
      </c>
      <c r="J168" s="326">
        <v>91</v>
      </c>
      <c r="K168" s="326">
        <v>2</v>
      </c>
      <c r="L168" s="326">
        <v>0</v>
      </c>
      <c r="M168" s="326">
        <v>2</v>
      </c>
      <c r="N168" s="326">
        <v>91</v>
      </c>
      <c r="O168" s="326">
        <v>7</v>
      </c>
      <c r="P168" s="326">
        <v>210</v>
      </c>
      <c r="Q168" s="327">
        <v>2</v>
      </c>
      <c r="R168" s="328">
        <f t="shared" si="106"/>
        <v>499</v>
      </c>
      <c r="S168" s="365">
        <f t="shared" si="107"/>
        <v>11</v>
      </c>
      <c r="T168" s="331">
        <f t="shared" si="108"/>
        <v>0</v>
      </c>
      <c r="U168" s="331">
        <f t="shared" si="109"/>
        <v>2</v>
      </c>
      <c r="V168" s="331">
        <f t="shared" si="110"/>
        <v>7</v>
      </c>
      <c r="W168" s="331">
        <f t="shared" si="111"/>
        <v>2</v>
      </c>
      <c r="X168" s="331">
        <f t="shared" si="112"/>
        <v>11</v>
      </c>
    </row>
    <row r="169" spans="1:24" ht="12.75">
      <c r="A169" s="332" t="s">
        <v>263</v>
      </c>
      <c r="B169" s="333" t="s">
        <v>135</v>
      </c>
      <c r="C169" s="333" t="s">
        <v>784</v>
      </c>
      <c r="D169" s="333">
        <v>2017</v>
      </c>
      <c r="E169" s="333" t="s">
        <v>775</v>
      </c>
      <c r="F169" s="334">
        <v>107</v>
      </c>
      <c r="G169" s="334">
        <v>2</v>
      </c>
      <c r="H169" s="335">
        <v>0</v>
      </c>
      <c r="I169" s="334">
        <v>2</v>
      </c>
      <c r="J169" s="334">
        <v>91</v>
      </c>
      <c r="K169" s="334">
        <v>1</v>
      </c>
      <c r="L169" s="334">
        <v>0</v>
      </c>
      <c r="M169" s="334">
        <v>1</v>
      </c>
      <c r="N169" s="334">
        <v>91</v>
      </c>
      <c r="O169" s="334">
        <v>0</v>
      </c>
      <c r="P169" s="334">
        <v>210</v>
      </c>
      <c r="Q169" s="335">
        <v>6</v>
      </c>
      <c r="R169" s="336">
        <f t="shared" si="106"/>
        <v>499</v>
      </c>
      <c r="S169" s="366">
        <f t="shared" si="107"/>
        <v>9</v>
      </c>
      <c r="T169" s="339">
        <f t="shared" si="108"/>
        <v>2</v>
      </c>
      <c r="U169" s="339">
        <f t="shared" si="109"/>
        <v>1</v>
      </c>
      <c r="V169" s="339">
        <f t="shared" si="110"/>
        <v>0</v>
      </c>
      <c r="W169" s="339">
        <f t="shared" si="111"/>
        <v>6</v>
      </c>
      <c r="X169" s="339">
        <f t="shared" si="112"/>
        <v>9</v>
      </c>
    </row>
    <row r="170" spans="1:24" ht="12.75">
      <c r="A170" s="340" t="s">
        <v>263</v>
      </c>
      <c r="B170" s="341" t="s">
        <v>135</v>
      </c>
      <c r="C170" s="341" t="s">
        <v>784</v>
      </c>
      <c r="D170" s="341">
        <v>2018</v>
      </c>
      <c r="E170" s="341" t="s">
        <v>775</v>
      </c>
      <c r="F170" s="342">
        <v>107</v>
      </c>
      <c r="G170" s="343">
        <v>3</v>
      </c>
      <c r="H170" s="342">
        <v>0</v>
      </c>
      <c r="I170" s="342">
        <v>3</v>
      </c>
      <c r="J170" s="342">
        <v>91</v>
      </c>
      <c r="K170" s="343">
        <v>0</v>
      </c>
      <c r="L170" s="342">
        <v>0</v>
      </c>
      <c r="M170" s="342">
        <v>0</v>
      </c>
      <c r="N170" s="342">
        <v>91</v>
      </c>
      <c r="O170" s="342">
        <v>2</v>
      </c>
      <c r="P170" s="342">
        <v>210</v>
      </c>
      <c r="Q170" s="342">
        <v>6</v>
      </c>
      <c r="R170" s="344">
        <f t="shared" si="106"/>
        <v>499</v>
      </c>
      <c r="S170" s="367">
        <f t="shared" si="107"/>
        <v>11</v>
      </c>
      <c r="T170" s="345">
        <f t="shared" si="108"/>
        <v>3</v>
      </c>
      <c r="U170" s="345">
        <f t="shared" si="109"/>
        <v>0</v>
      </c>
      <c r="V170" s="345">
        <f t="shared" si="110"/>
        <v>2</v>
      </c>
      <c r="W170" s="345">
        <f t="shared" si="111"/>
        <v>6</v>
      </c>
      <c r="X170" s="345">
        <f t="shared" si="112"/>
        <v>11</v>
      </c>
    </row>
    <row r="171" spans="1:24" ht="12.75">
      <c r="A171" s="346" t="s">
        <v>263</v>
      </c>
      <c r="B171" s="347" t="s">
        <v>135</v>
      </c>
      <c r="C171" s="347" t="s">
        <v>785</v>
      </c>
      <c r="D171" s="347">
        <v>2019</v>
      </c>
      <c r="E171" s="347" t="s">
        <v>775</v>
      </c>
      <c r="F171" s="348">
        <v>107</v>
      </c>
      <c r="G171" s="348">
        <v>2</v>
      </c>
      <c r="H171" s="348">
        <v>0</v>
      </c>
      <c r="I171" s="348">
        <v>2</v>
      </c>
      <c r="J171" s="348">
        <v>91</v>
      </c>
      <c r="K171" s="348">
        <v>1</v>
      </c>
      <c r="L171" s="348">
        <v>0</v>
      </c>
      <c r="M171" s="348">
        <v>1</v>
      </c>
      <c r="N171" s="348">
        <v>91</v>
      </c>
      <c r="O171" s="348">
        <v>1</v>
      </c>
      <c r="P171" s="348">
        <v>210</v>
      </c>
      <c r="Q171" s="348">
        <v>0</v>
      </c>
      <c r="R171" s="350">
        <f t="shared" si="106"/>
        <v>499</v>
      </c>
      <c r="S171" s="348">
        <f t="shared" si="107"/>
        <v>4</v>
      </c>
      <c r="T171" s="348"/>
      <c r="U171" s="348"/>
      <c r="V171" s="348"/>
      <c r="W171" s="349"/>
      <c r="X171" s="349"/>
    </row>
    <row r="172" spans="1:24" ht="12.75">
      <c r="A172" s="346" t="s">
        <v>264</v>
      </c>
      <c r="B172" s="347" t="s">
        <v>135</v>
      </c>
      <c r="C172" s="347" t="s">
        <v>785</v>
      </c>
      <c r="D172" s="347">
        <v>2019</v>
      </c>
      <c r="E172" s="347" t="s">
        <v>775</v>
      </c>
      <c r="F172" s="348">
        <v>69</v>
      </c>
      <c r="G172" s="348">
        <v>0</v>
      </c>
      <c r="H172" s="348">
        <v>0</v>
      </c>
      <c r="I172" s="348">
        <v>0</v>
      </c>
      <c r="J172" s="348">
        <v>50</v>
      </c>
      <c r="K172" s="348">
        <v>0</v>
      </c>
      <c r="L172" s="348">
        <v>0</v>
      </c>
      <c r="M172" s="348">
        <v>0</v>
      </c>
      <c r="N172" s="348">
        <v>58</v>
      </c>
      <c r="O172" s="348">
        <v>0</v>
      </c>
      <c r="P172" s="348">
        <v>130</v>
      </c>
      <c r="Q172" s="348">
        <v>0</v>
      </c>
      <c r="R172" s="350">
        <f t="shared" si="106"/>
        <v>307</v>
      </c>
      <c r="S172" s="348">
        <f t="shared" si="107"/>
        <v>0</v>
      </c>
      <c r="T172" s="352">
        <f>SUM(G171:G172)</f>
        <v>2</v>
      </c>
      <c r="U172" s="352">
        <f>SUM(K171:K172)</f>
        <v>1</v>
      </c>
      <c r="V172" s="352">
        <f>SUM(O171:O172)</f>
        <v>1</v>
      </c>
      <c r="W172" s="352">
        <f>SUM(Q171:Q172)</f>
        <v>0</v>
      </c>
      <c r="X172" s="352">
        <f>T172+U172+V172+W172</f>
        <v>4</v>
      </c>
    </row>
    <row r="173" spans="1:24" ht="12.75">
      <c r="A173" s="220"/>
      <c r="B173" s="221"/>
      <c r="C173" s="221"/>
      <c r="D173" s="221"/>
      <c r="E173" s="221"/>
      <c r="F173" s="353"/>
      <c r="G173" s="353"/>
      <c r="H173" s="354"/>
      <c r="I173" s="353"/>
      <c r="J173" s="353"/>
      <c r="K173" s="353"/>
      <c r="L173" s="353"/>
      <c r="M173" s="353"/>
      <c r="N173" s="353"/>
      <c r="O173" s="353"/>
      <c r="P173" s="353"/>
      <c r="Q173" s="354"/>
      <c r="R173" s="182"/>
      <c r="S173" s="361" t="s">
        <v>783</v>
      </c>
      <c r="T173" s="356">
        <f t="shared" ref="T173:X173" si="113">SUM(T166:T172)</f>
        <v>10</v>
      </c>
      <c r="U173" s="356">
        <f t="shared" si="113"/>
        <v>6</v>
      </c>
      <c r="V173" s="356">
        <f t="shared" si="113"/>
        <v>72</v>
      </c>
      <c r="W173" s="356">
        <f t="shared" si="113"/>
        <v>52</v>
      </c>
      <c r="X173" s="356">
        <f t="shared" si="113"/>
        <v>140</v>
      </c>
    </row>
    <row r="174" spans="1:24" ht="12.75">
      <c r="A174" s="239"/>
      <c r="B174" s="243"/>
      <c r="C174" s="243"/>
      <c r="D174" s="243"/>
      <c r="E174" s="243"/>
      <c r="F174" s="357"/>
      <c r="G174" s="357"/>
      <c r="H174" s="358"/>
      <c r="I174" s="357"/>
      <c r="J174" s="357"/>
      <c r="K174" s="357"/>
      <c r="L174" s="357"/>
      <c r="M174" s="357"/>
      <c r="N174" s="357"/>
      <c r="O174" s="357"/>
      <c r="P174" s="357"/>
      <c r="Q174" s="358"/>
      <c r="R174" s="182"/>
      <c r="S174" s="362"/>
      <c r="T174" s="182"/>
      <c r="U174" s="182"/>
      <c r="V174" s="182"/>
      <c r="W174" s="182"/>
      <c r="X174" s="182"/>
    </row>
    <row r="175" spans="1:24" ht="12.75">
      <c r="A175" s="307" t="s">
        <v>788</v>
      </c>
      <c r="B175" s="308" t="s">
        <v>136</v>
      </c>
      <c r="C175" s="308" t="s">
        <v>774</v>
      </c>
      <c r="D175" s="308">
        <v>2014</v>
      </c>
      <c r="E175" s="308" t="s">
        <v>775</v>
      </c>
      <c r="F175" s="309">
        <v>349</v>
      </c>
      <c r="G175" s="309">
        <v>0</v>
      </c>
      <c r="H175" s="310">
        <v>0</v>
      </c>
      <c r="I175" s="309">
        <v>0</v>
      </c>
      <c r="J175" s="309">
        <v>205</v>
      </c>
      <c r="K175" s="309">
        <v>0</v>
      </c>
      <c r="L175" s="309">
        <v>0</v>
      </c>
      <c r="M175" s="309">
        <v>0</v>
      </c>
      <c r="N175" s="309">
        <v>214</v>
      </c>
      <c r="O175" s="309">
        <v>57</v>
      </c>
      <c r="P175" s="309">
        <v>680</v>
      </c>
      <c r="Q175" s="310">
        <v>174</v>
      </c>
      <c r="R175" s="311">
        <f t="shared" ref="R175:R278" si="114">F175+J175+N175+P175</f>
        <v>1448</v>
      </c>
      <c r="S175" s="363">
        <f t="shared" ref="S175:S278" si="115">K175+O175+G175+Q175</f>
        <v>231</v>
      </c>
      <c r="T175" s="311"/>
      <c r="U175" s="311"/>
      <c r="V175" s="311"/>
      <c r="W175" s="311"/>
      <c r="X175" s="311"/>
    </row>
    <row r="176" spans="1:24" ht="12.75">
      <c r="A176" s="307" t="s">
        <v>789</v>
      </c>
      <c r="B176" s="308" t="s">
        <v>136</v>
      </c>
      <c r="C176" s="308" t="s">
        <v>774</v>
      </c>
      <c r="D176" s="308">
        <v>2014</v>
      </c>
      <c r="E176" s="308" t="s">
        <v>775</v>
      </c>
      <c r="F176" s="309">
        <v>234</v>
      </c>
      <c r="G176" s="309">
        <v>1</v>
      </c>
      <c r="H176" s="310">
        <v>1</v>
      </c>
      <c r="I176" s="309">
        <v>0</v>
      </c>
      <c r="J176" s="309">
        <v>124</v>
      </c>
      <c r="K176" s="309">
        <v>2</v>
      </c>
      <c r="L176" s="309">
        <v>2</v>
      </c>
      <c r="M176" s="309">
        <v>0</v>
      </c>
      <c r="N176" s="309">
        <v>123</v>
      </c>
      <c r="O176" s="309">
        <v>5</v>
      </c>
      <c r="P176" s="309">
        <v>279</v>
      </c>
      <c r="Q176" s="310">
        <v>415</v>
      </c>
      <c r="R176" s="311">
        <f t="shared" si="114"/>
        <v>760</v>
      </c>
      <c r="S176" s="363">
        <f t="shared" si="115"/>
        <v>423</v>
      </c>
      <c r="T176" s="311"/>
      <c r="U176" s="311"/>
      <c r="V176" s="311"/>
      <c r="W176" s="311"/>
      <c r="X176" s="311"/>
    </row>
    <row r="177" spans="1:24" ht="12.75">
      <c r="A177" s="307" t="s">
        <v>790</v>
      </c>
      <c r="B177" s="308" t="s">
        <v>136</v>
      </c>
      <c r="C177" s="308" t="s">
        <v>774</v>
      </c>
      <c r="D177" s="308">
        <v>2014</v>
      </c>
      <c r="E177" s="308" t="s">
        <v>775</v>
      </c>
      <c r="F177" s="309">
        <v>798</v>
      </c>
      <c r="G177" s="309">
        <v>0</v>
      </c>
      <c r="H177" s="310">
        <v>0</v>
      </c>
      <c r="I177" s="309">
        <v>0</v>
      </c>
      <c r="J177" s="309">
        <v>444</v>
      </c>
      <c r="K177" s="309">
        <v>0</v>
      </c>
      <c r="L177" s="309">
        <v>0</v>
      </c>
      <c r="M177" s="309">
        <v>0</v>
      </c>
      <c r="N177" s="309">
        <v>559</v>
      </c>
      <c r="O177" s="309">
        <v>0</v>
      </c>
      <c r="P177" s="309">
        <v>1677</v>
      </c>
      <c r="Q177" s="310">
        <v>15</v>
      </c>
      <c r="R177" s="311">
        <f t="shared" si="114"/>
        <v>3478</v>
      </c>
      <c r="S177" s="363">
        <f t="shared" si="115"/>
        <v>15</v>
      </c>
      <c r="T177" s="311"/>
      <c r="U177" s="311"/>
      <c r="V177" s="311"/>
      <c r="W177" s="311"/>
      <c r="X177" s="311"/>
    </row>
    <row r="178" spans="1:24" ht="12.75">
      <c r="A178" s="307" t="s">
        <v>791</v>
      </c>
      <c r="B178" s="308" t="s">
        <v>136</v>
      </c>
      <c r="C178" s="308" t="s">
        <v>774</v>
      </c>
      <c r="D178" s="308">
        <v>2014</v>
      </c>
      <c r="E178" s="308" t="s">
        <v>775</v>
      </c>
      <c r="F178" s="309">
        <v>100</v>
      </c>
      <c r="G178" s="309">
        <v>56</v>
      </c>
      <c r="H178" s="310">
        <v>56</v>
      </c>
      <c r="I178" s="309">
        <v>0</v>
      </c>
      <c r="J178" s="309">
        <v>63</v>
      </c>
      <c r="K178" s="309">
        <v>0</v>
      </c>
      <c r="L178" s="309">
        <v>0</v>
      </c>
      <c r="M178" s="309">
        <v>0</v>
      </c>
      <c r="N178" s="309">
        <v>69</v>
      </c>
      <c r="O178" s="309">
        <v>0</v>
      </c>
      <c r="P178" s="309">
        <v>166</v>
      </c>
      <c r="Q178" s="310">
        <v>6</v>
      </c>
      <c r="R178" s="311">
        <f t="shared" si="114"/>
        <v>398</v>
      </c>
      <c r="S178" s="363">
        <f t="shared" si="115"/>
        <v>62</v>
      </c>
      <c r="T178" s="311"/>
      <c r="U178" s="311"/>
      <c r="V178" s="311"/>
      <c r="W178" s="311"/>
      <c r="X178" s="311"/>
    </row>
    <row r="179" spans="1:24" ht="12.75">
      <c r="A179" s="307" t="s">
        <v>792</v>
      </c>
      <c r="B179" s="308" t="s">
        <v>136</v>
      </c>
      <c r="C179" s="308" t="s">
        <v>774</v>
      </c>
      <c r="D179" s="308">
        <v>2014</v>
      </c>
      <c r="E179" s="308" t="s">
        <v>775</v>
      </c>
      <c r="F179" s="309">
        <v>138</v>
      </c>
      <c r="G179" s="309">
        <v>0</v>
      </c>
      <c r="H179" s="310">
        <v>0</v>
      </c>
      <c r="I179" s="309">
        <v>0</v>
      </c>
      <c r="J179" s="309">
        <v>78</v>
      </c>
      <c r="K179" s="309">
        <v>0</v>
      </c>
      <c r="L179" s="309">
        <v>0</v>
      </c>
      <c r="M179" s="309">
        <v>0</v>
      </c>
      <c r="N179" s="309">
        <v>85</v>
      </c>
      <c r="O179" s="309">
        <v>21</v>
      </c>
      <c r="P179" s="309">
        <v>99</v>
      </c>
      <c r="Q179" s="310">
        <v>247</v>
      </c>
      <c r="R179" s="311">
        <f t="shared" si="114"/>
        <v>400</v>
      </c>
      <c r="S179" s="363">
        <f t="shared" si="115"/>
        <v>268</v>
      </c>
      <c r="T179" s="311"/>
      <c r="U179" s="311"/>
      <c r="V179" s="311"/>
      <c r="W179" s="311"/>
      <c r="X179" s="311"/>
    </row>
    <row r="180" spans="1:24" ht="12.75">
      <c r="A180" s="307" t="s">
        <v>793</v>
      </c>
      <c r="B180" s="308" t="s">
        <v>136</v>
      </c>
      <c r="C180" s="308" t="s">
        <v>774</v>
      </c>
      <c r="D180" s="308">
        <v>2014</v>
      </c>
      <c r="E180" s="308" t="s">
        <v>775</v>
      </c>
      <c r="F180" s="309">
        <v>75</v>
      </c>
      <c r="G180" s="309">
        <v>0</v>
      </c>
      <c r="H180" s="310">
        <v>0</v>
      </c>
      <c r="I180" s="309">
        <v>0</v>
      </c>
      <c r="J180" s="309">
        <v>44</v>
      </c>
      <c r="K180" s="309">
        <v>0</v>
      </c>
      <c r="L180" s="309">
        <v>0</v>
      </c>
      <c r="M180" s="309">
        <v>0</v>
      </c>
      <c r="N180" s="309">
        <v>50</v>
      </c>
      <c r="O180" s="309">
        <v>0</v>
      </c>
      <c r="P180" s="309">
        <v>60</v>
      </c>
      <c r="Q180" s="310">
        <v>0</v>
      </c>
      <c r="R180" s="311">
        <f t="shared" si="114"/>
        <v>229</v>
      </c>
      <c r="S180" s="363">
        <f t="shared" si="115"/>
        <v>0</v>
      </c>
      <c r="T180" s="311"/>
      <c r="U180" s="311"/>
      <c r="V180" s="311"/>
      <c r="W180" s="311"/>
      <c r="X180" s="311"/>
    </row>
    <row r="181" spans="1:24" ht="12.75">
      <c r="A181" s="307" t="s">
        <v>794</v>
      </c>
      <c r="B181" s="308" t="s">
        <v>136</v>
      </c>
      <c r="C181" s="308" t="s">
        <v>774</v>
      </c>
      <c r="D181" s="308">
        <v>2014</v>
      </c>
      <c r="E181" s="308" t="s">
        <v>775</v>
      </c>
      <c r="F181" s="309">
        <v>84</v>
      </c>
      <c r="G181" s="309">
        <v>0</v>
      </c>
      <c r="H181" s="310">
        <v>0</v>
      </c>
      <c r="I181" s="309">
        <v>0</v>
      </c>
      <c r="J181" s="309">
        <v>47</v>
      </c>
      <c r="K181" s="309">
        <v>0</v>
      </c>
      <c r="L181" s="309">
        <v>0</v>
      </c>
      <c r="M181" s="309">
        <v>0</v>
      </c>
      <c r="N181" s="309">
        <v>54</v>
      </c>
      <c r="O181" s="309">
        <v>14</v>
      </c>
      <c r="P181" s="309">
        <v>42</v>
      </c>
      <c r="Q181" s="310">
        <v>41</v>
      </c>
      <c r="R181" s="311">
        <f t="shared" si="114"/>
        <v>227</v>
      </c>
      <c r="S181" s="363">
        <f t="shared" si="115"/>
        <v>55</v>
      </c>
      <c r="T181" s="311"/>
      <c r="U181" s="311"/>
      <c r="V181" s="311"/>
      <c r="W181" s="311"/>
      <c r="X181" s="311"/>
    </row>
    <row r="182" spans="1:24" ht="12.75">
      <c r="A182" s="307" t="s">
        <v>795</v>
      </c>
      <c r="B182" s="308" t="s">
        <v>136</v>
      </c>
      <c r="C182" s="308" t="s">
        <v>774</v>
      </c>
      <c r="D182" s="308">
        <v>2014</v>
      </c>
      <c r="E182" s="308" t="s">
        <v>775</v>
      </c>
      <c r="F182" s="309">
        <v>392</v>
      </c>
      <c r="G182" s="309">
        <v>0</v>
      </c>
      <c r="H182" s="310">
        <v>0</v>
      </c>
      <c r="I182" s="309">
        <v>0</v>
      </c>
      <c r="J182" s="309">
        <v>254</v>
      </c>
      <c r="K182" s="309">
        <v>0</v>
      </c>
      <c r="L182" s="309">
        <v>0</v>
      </c>
      <c r="M182" s="309">
        <v>0</v>
      </c>
      <c r="N182" s="309">
        <v>316</v>
      </c>
      <c r="O182" s="309">
        <v>216</v>
      </c>
      <c r="P182" s="309">
        <v>1063</v>
      </c>
      <c r="Q182" s="310">
        <v>0</v>
      </c>
      <c r="R182" s="311">
        <f t="shared" si="114"/>
        <v>2025</v>
      </c>
      <c r="S182" s="363">
        <f t="shared" si="115"/>
        <v>216</v>
      </c>
      <c r="T182" s="311"/>
      <c r="U182" s="311"/>
      <c r="V182" s="311"/>
      <c r="W182" s="311"/>
      <c r="X182" s="311"/>
    </row>
    <row r="183" spans="1:24" ht="12.75">
      <c r="A183" s="307" t="s">
        <v>796</v>
      </c>
      <c r="B183" s="308" t="s">
        <v>136</v>
      </c>
      <c r="C183" s="308" t="s">
        <v>774</v>
      </c>
      <c r="D183" s="308">
        <v>2014</v>
      </c>
      <c r="E183" s="308" t="s">
        <v>775</v>
      </c>
      <c r="F183" s="309">
        <v>118</v>
      </c>
      <c r="G183" s="309">
        <v>0</v>
      </c>
      <c r="H183" s="310">
        <v>0</v>
      </c>
      <c r="I183" s="309">
        <v>0</v>
      </c>
      <c r="J183" s="309">
        <v>69</v>
      </c>
      <c r="K183" s="309">
        <v>0</v>
      </c>
      <c r="L183" s="309">
        <v>0</v>
      </c>
      <c r="M183" s="309">
        <v>0</v>
      </c>
      <c r="N183" s="309">
        <v>84</v>
      </c>
      <c r="O183" s="309">
        <v>0</v>
      </c>
      <c r="P183" s="309">
        <v>177</v>
      </c>
      <c r="Q183" s="310">
        <v>4</v>
      </c>
      <c r="R183" s="311">
        <f t="shared" si="114"/>
        <v>448</v>
      </c>
      <c r="S183" s="363">
        <f t="shared" si="115"/>
        <v>4</v>
      </c>
      <c r="T183" s="311"/>
      <c r="U183" s="311"/>
      <c r="V183" s="311"/>
      <c r="W183" s="311"/>
      <c r="X183" s="311"/>
    </row>
    <row r="184" spans="1:24" ht="12.75">
      <c r="A184" s="307" t="s">
        <v>797</v>
      </c>
      <c r="B184" s="308" t="s">
        <v>136</v>
      </c>
      <c r="C184" s="308" t="s">
        <v>774</v>
      </c>
      <c r="D184" s="308">
        <v>2014</v>
      </c>
      <c r="E184" s="308" t="s">
        <v>775</v>
      </c>
      <c r="F184" s="309">
        <v>516</v>
      </c>
      <c r="G184" s="309">
        <v>0</v>
      </c>
      <c r="H184" s="310">
        <v>0</v>
      </c>
      <c r="I184" s="309">
        <v>0</v>
      </c>
      <c r="J184" s="309">
        <v>279</v>
      </c>
      <c r="K184" s="309">
        <v>0</v>
      </c>
      <c r="L184" s="309">
        <v>0</v>
      </c>
      <c r="M184" s="309">
        <v>0</v>
      </c>
      <c r="N184" s="309">
        <v>282</v>
      </c>
      <c r="O184" s="309">
        <v>5</v>
      </c>
      <c r="P184" s="309">
        <v>340</v>
      </c>
      <c r="Q184" s="310">
        <v>216</v>
      </c>
      <c r="R184" s="311">
        <f t="shared" si="114"/>
        <v>1417</v>
      </c>
      <c r="S184" s="363">
        <f t="shared" si="115"/>
        <v>221</v>
      </c>
      <c r="T184" s="314">
        <f>SUM(G175:G184)</f>
        <v>57</v>
      </c>
      <c r="U184" s="314">
        <f>SUM(K175:K184)</f>
        <v>2</v>
      </c>
      <c r="V184" s="314">
        <f>SUM(O175:O184)</f>
        <v>318</v>
      </c>
      <c r="W184" s="314">
        <f>SUM(Q175:Q184)</f>
        <v>1118</v>
      </c>
      <c r="X184" s="314">
        <f>T184+U184+V184+W184</f>
        <v>1495</v>
      </c>
    </row>
    <row r="185" spans="1:24" ht="12.75">
      <c r="A185" s="315" t="s">
        <v>265</v>
      </c>
      <c r="B185" s="316" t="s">
        <v>136</v>
      </c>
      <c r="C185" s="316" t="s">
        <v>774</v>
      </c>
      <c r="D185" s="316">
        <v>2015</v>
      </c>
      <c r="E185" s="316" t="s">
        <v>775</v>
      </c>
      <c r="F185" s="317">
        <v>349</v>
      </c>
      <c r="G185" s="317">
        <v>1</v>
      </c>
      <c r="H185" s="318">
        <v>0</v>
      </c>
      <c r="I185" s="317">
        <v>1</v>
      </c>
      <c r="J185" s="317">
        <v>205</v>
      </c>
      <c r="K185" s="317">
        <v>0</v>
      </c>
      <c r="L185" s="317">
        <v>0</v>
      </c>
      <c r="M185" s="317">
        <v>0</v>
      </c>
      <c r="N185" s="317">
        <v>214</v>
      </c>
      <c r="O185" s="317">
        <v>19</v>
      </c>
      <c r="P185" s="317">
        <v>680</v>
      </c>
      <c r="Q185" s="318">
        <v>47</v>
      </c>
      <c r="R185" s="319">
        <f t="shared" si="114"/>
        <v>1448</v>
      </c>
      <c r="S185" s="364">
        <f t="shared" si="115"/>
        <v>67</v>
      </c>
      <c r="T185" s="319"/>
      <c r="U185" s="319"/>
      <c r="V185" s="319"/>
      <c r="W185" s="319"/>
      <c r="X185" s="319"/>
    </row>
    <row r="186" spans="1:24" ht="12.75">
      <c r="A186" s="315" t="s">
        <v>266</v>
      </c>
      <c r="B186" s="316" t="s">
        <v>136</v>
      </c>
      <c r="C186" s="316" t="s">
        <v>774</v>
      </c>
      <c r="D186" s="316">
        <v>2015</v>
      </c>
      <c r="E186" s="316" t="s">
        <v>775</v>
      </c>
      <c r="F186" s="317">
        <v>234</v>
      </c>
      <c r="G186" s="317">
        <v>0</v>
      </c>
      <c r="H186" s="318">
        <v>0</v>
      </c>
      <c r="I186" s="317">
        <v>0</v>
      </c>
      <c r="J186" s="317">
        <v>124</v>
      </c>
      <c r="K186" s="317">
        <v>5</v>
      </c>
      <c r="L186" s="317">
        <v>5</v>
      </c>
      <c r="M186" s="317">
        <v>0</v>
      </c>
      <c r="N186" s="317">
        <v>123</v>
      </c>
      <c r="O186" s="317">
        <v>0</v>
      </c>
      <c r="P186" s="317">
        <v>279</v>
      </c>
      <c r="Q186" s="318">
        <v>449</v>
      </c>
      <c r="R186" s="319">
        <f t="shared" si="114"/>
        <v>760</v>
      </c>
      <c r="S186" s="364">
        <f t="shared" si="115"/>
        <v>454</v>
      </c>
      <c r="T186" s="319"/>
      <c r="U186" s="319"/>
      <c r="V186" s="319"/>
      <c r="W186" s="319"/>
      <c r="X186" s="319"/>
    </row>
    <row r="187" spans="1:24" ht="12.75">
      <c r="A187" s="315" t="s">
        <v>267</v>
      </c>
      <c r="B187" s="316" t="s">
        <v>136</v>
      </c>
      <c r="C187" s="316" t="s">
        <v>774</v>
      </c>
      <c r="D187" s="316">
        <v>2015</v>
      </c>
      <c r="E187" s="316" t="s">
        <v>775</v>
      </c>
      <c r="F187" s="317">
        <v>51</v>
      </c>
      <c r="G187" s="317">
        <v>0</v>
      </c>
      <c r="H187" s="318">
        <v>0</v>
      </c>
      <c r="I187" s="317">
        <v>0</v>
      </c>
      <c r="J187" s="317">
        <v>25</v>
      </c>
      <c r="K187" s="317">
        <v>0</v>
      </c>
      <c r="L187" s="317">
        <v>0</v>
      </c>
      <c r="M187" s="317">
        <v>0</v>
      </c>
      <c r="N187" s="317">
        <v>31</v>
      </c>
      <c r="O187" s="317">
        <v>0</v>
      </c>
      <c r="P187" s="317">
        <v>34</v>
      </c>
      <c r="Q187" s="318">
        <v>0</v>
      </c>
      <c r="R187" s="319">
        <f t="shared" si="114"/>
        <v>141</v>
      </c>
      <c r="S187" s="364">
        <f t="shared" si="115"/>
        <v>0</v>
      </c>
      <c r="T187" s="319"/>
      <c r="U187" s="319"/>
      <c r="V187" s="319"/>
      <c r="W187" s="319"/>
      <c r="X187" s="319"/>
    </row>
    <row r="188" spans="1:24" ht="12.75">
      <c r="A188" s="315" t="s">
        <v>268</v>
      </c>
      <c r="B188" s="316" t="s">
        <v>136</v>
      </c>
      <c r="C188" s="316" t="s">
        <v>774</v>
      </c>
      <c r="D188" s="316">
        <v>2015</v>
      </c>
      <c r="E188" s="316" t="s">
        <v>775</v>
      </c>
      <c r="F188" s="317">
        <v>798</v>
      </c>
      <c r="G188" s="317">
        <v>0</v>
      </c>
      <c r="H188" s="318">
        <v>0</v>
      </c>
      <c r="I188" s="317">
        <v>0</v>
      </c>
      <c r="J188" s="317">
        <v>444</v>
      </c>
      <c r="K188" s="317">
        <v>0</v>
      </c>
      <c r="L188" s="317">
        <v>0</v>
      </c>
      <c r="M188" s="317">
        <v>0</v>
      </c>
      <c r="N188" s="317">
        <v>559</v>
      </c>
      <c r="O188" s="317">
        <v>4</v>
      </c>
      <c r="P188" s="317">
        <v>1677</v>
      </c>
      <c r="Q188" s="318">
        <v>33</v>
      </c>
      <c r="R188" s="319">
        <f t="shared" si="114"/>
        <v>3478</v>
      </c>
      <c r="S188" s="364">
        <f t="shared" si="115"/>
        <v>37</v>
      </c>
      <c r="T188" s="319"/>
      <c r="U188" s="319"/>
      <c r="V188" s="319"/>
      <c r="W188" s="319"/>
      <c r="X188" s="319"/>
    </row>
    <row r="189" spans="1:24" ht="12.75">
      <c r="A189" s="315" t="s">
        <v>269</v>
      </c>
      <c r="B189" s="320" t="s">
        <v>136</v>
      </c>
      <c r="C189" s="316" t="s">
        <v>774</v>
      </c>
      <c r="D189" s="316">
        <v>2015</v>
      </c>
      <c r="E189" s="316" t="s">
        <v>775</v>
      </c>
      <c r="F189" s="317">
        <v>374</v>
      </c>
      <c r="G189" s="317">
        <v>0</v>
      </c>
      <c r="H189" s="318">
        <v>0</v>
      </c>
      <c r="I189" s="317">
        <v>0</v>
      </c>
      <c r="J189" s="317">
        <v>218</v>
      </c>
      <c r="K189" s="317">
        <v>8</v>
      </c>
      <c r="L189" s="317">
        <v>0</v>
      </c>
      <c r="M189" s="317">
        <v>8</v>
      </c>
      <c r="N189" s="317">
        <v>243</v>
      </c>
      <c r="O189" s="317">
        <v>65</v>
      </c>
      <c r="P189" s="317">
        <v>532</v>
      </c>
      <c r="Q189" s="318">
        <v>276</v>
      </c>
      <c r="R189" s="319">
        <f t="shared" si="114"/>
        <v>1367</v>
      </c>
      <c r="S189" s="364">
        <f t="shared" si="115"/>
        <v>349</v>
      </c>
      <c r="T189" s="319"/>
      <c r="U189" s="319"/>
      <c r="V189" s="319"/>
      <c r="W189" s="319"/>
      <c r="X189" s="319"/>
    </row>
    <row r="190" spans="1:24" ht="12.75">
      <c r="A190" s="315" t="s">
        <v>270</v>
      </c>
      <c r="B190" s="320" t="s">
        <v>136</v>
      </c>
      <c r="C190" s="316" t="s">
        <v>774</v>
      </c>
      <c r="D190" s="316">
        <v>2015</v>
      </c>
      <c r="E190" s="316" t="s">
        <v>775</v>
      </c>
      <c r="F190" s="317">
        <v>196</v>
      </c>
      <c r="G190" s="317">
        <v>0</v>
      </c>
      <c r="H190" s="318">
        <v>0</v>
      </c>
      <c r="I190" s="317">
        <v>0</v>
      </c>
      <c r="J190" s="317">
        <v>111</v>
      </c>
      <c r="K190" s="317">
        <v>1</v>
      </c>
      <c r="L190" s="317">
        <v>0</v>
      </c>
      <c r="M190" s="317">
        <v>1</v>
      </c>
      <c r="N190" s="317">
        <v>124</v>
      </c>
      <c r="O190" s="317">
        <v>13</v>
      </c>
      <c r="P190" s="317">
        <v>126</v>
      </c>
      <c r="Q190" s="318">
        <v>87</v>
      </c>
      <c r="R190" s="319">
        <f t="shared" si="114"/>
        <v>557</v>
      </c>
      <c r="S190" s="364">
        <f t="shared" si="115"/>
        <v>101</v>
      </c>
      <c r="T190" s="319"/>
      <c r="U190" s="319"/>
      <c r="V190" s="319"/>
      <c r="W190" s="319"/>
      <c r="X190" s="319"/>
    </row>
    <row r="191" spans="1:24" ht="12.75">
      <c r="A191" s="315" t="s">
        <v>271</v>
      </c>
      <c r="B191" s="316" t="s">
        <v>136</v>
      </c>
      <c r="C191" s="316" t="s">
        <v>774</v>
      </c>
      <c r="D191" s="316">
        <v>2015</v>
      </c>
      <c r="E191" s="316" t="s">
        <v>775</v>
      </c>
      <c r="F191" s="317">
        <v>100</v>
      </c>
      <c r="G191" s="317">
        <v>0</v>
      </c>
      <c r="H191" s="318">
        <v>0</v>
      </c>
      <c r="I191" s="317">
        <v>0</v>
      </c>
      <c r="J191" s="317">
        <v>63</v>
      </c>
      <c r="K191" s="317">
        <v>6</v>
      </c>
      <c r="L191" s="317">
        <v>6</v>
      </c>
      <c r="M191" s="317">
        <v>0</v>
      </c>
      <c r="N191" s="317">
        <v>69</v>
      </c>
      <c r="O191" s="317">
        <v>26</v>
      </c>
      <c r="P191" s="317">
        <v>166</v>
      </c>
      <c r="Q191" s="318">
        <v>229</v>
      </c>
      <c r="R191" s="319">
        <f t="shared" si="114"/>
        <v>398</v>
      </c>
      <c r="S191" s="364">
        <f t="shared" si="115"/>
        <v>261</v>
      </c>
      <c r="T191" s="319"/>
      <c r="U191" s="319"/>
      <c r="V191" s="319"/>
      <c r="W191" s="319"/>
      <c r="X191" s="319"/>
    </row>
    <row r="192" spans="1:24" ht="12.75">
      <c r="A192" s="315" t="s">
        <v>272</v>
      </c>
      <c r="B192" s="316" t="s">
        <v>136</v>
      </c>
      <c r="C192" s="316" t="s">
        <v>774</v>
      </c>
      <c r="D192" s="316">
        <v>2015</v>
      </c>
      <c r="E192" s="316" t="s">
        <v>775</v>
      </c>
      <c r="F192" s="317">
        <v>220</v>
      </c>
      <c r="G192" s="317">
        <v>0</v>
      </c>
      <c r="H192" s="318">
        <v>0</v>
      </c>
      <c r="I192" s="317">
        <v>0</v>
      </c>
      <c r="J192" s="317">
        <v>118</v>
      </c>
      <c r="K192" s="317">
        <v>0</v>
      </c>
      <c r="L192" s="317">
        <v>0</v>
      </c>
      <c r="M192" s="317">
        <v>0</v>
      </c>
      <c r="N192" s="317">
        <v>100</v>
      </c>
      <c r="O192" s="317">
        <v>0</v>
      </c>
      <c r="P192" s="317">
        <v>244</v>
      </c>
      <c r="Q192" s="318">
        <v>190</v>
      </c>
      <c r="R192" s="319">
        <f t="shared" si="114"/>
        <v>682</v>
      </c>
      <c r="S192" s="364">
        <f t="shared" si="115"/>
        <v>190</v>
      </c>
      <c r="T192" s="319"/>
      <c r="U192" s="319"/>
      <c r="V192" s="319"/>
      <c r="W192" s="319"/>
      <c r="X192" s="319"/>
    </row>
    <row r="193" spans="1:24" ht="12.75">
      <c r="A193" s="315" t="s">
        <v>273</v>
      </c>
      <c r="B193" s="316" t="s">
        <v>136</v>
      </c>
      <c r="C193" s="316" t="s">
        <v>774</v>
      </c>
      <c r="D193" s="316">
        <v>2015</v>
      </c>
      <c r="E193" s="316" t="s">
        <v>775</v>
      </c>
      <c r="F193" s="317">
        <v>138</v>
      </c>
      <c r="G193" s="317">
        <v>0</v>
      </c>
      <c r="H193" s="318">
        <v>0</v>
      </c>
      <c r="I193" s="317">
        <v>0</v>
      </c>
      <c r="J193" s="317">
        <v>78</v>
      </c>
      <c r="K193" s="317">
        <v>0</v>
      </c>
      <c r="L193" s="317">
        <v>0</v>
      </c>
      <c r="M193" s="317">
        <v>0</v>
      </c>
      <c r="N193" s="317">
        <v>85</v>
      </c>
      <c r="O193" s="317">
        <v>3</v>
      </c>
      <c r="P193" s="317">
        <v>99</v>
      </c>
      <c r="Q193" s="318">
        <v>13</v>
      </c>
      <c r="R193" s="319">
        <f t="shared" si="114"/>
        <v>400</v>
      </c>
      <c r="S193" s="364">
        <f t="shared" si="115"/>
        <v>16</v>
      </c>
      <c r="T193" s="319"/>
      <c r="U193" s="319"/>
      <c r="V193" s="319"/>
      <c r="W193" s="319"/>
      <c r="X193" s="319"/>
    </row>
    <row r="194" spans="1:24" ht="12.75">
      <c r="A194" s="315" t="s">
        <v>275</v>
      </c>
      <c r="B194" s="316" t="s">
        <v>136</v>
      </c>
      <c r="C194" s="316" t="s">
        <v>774</v>
      </c>
      <c r="D194" s="316">
        <v>2015</v>
      </c>
      <c r="E194" s="316" t="s">
        <v>775</v>
      </c>
      <c r="F194" s="317">
        <v>75</v>
      </c>
      <c r="G194" s="317">
        <v>0</v>
      </c>
      <c r="H194" s="318">
        <v>0</v>
      </c>
      <c r="I194" s="317">
        <v>0</v>
      </c>
      <c r="J194" s="317">
        <v>44</v>
      </c>
      <c r="K194" s="317">
        <v>0</v>
      </c>
      <c r="L194" s="317">
        <v>0</v>
      </c>
      <c r="M194" s="317">
        <v>0</v>
      </c>
      <c r="N194" s="317">
        <v>50</v>
      </c>
      <c r="O194" s="317">
        <v>0</v>
      </c>
      <c r="P194" s="317">
        <v>60</v>
      </c>
      <c r="Q194" s="318">
        <v>8</v>
      </c>
      <c r="R194" s="319">
        <f t="shared" si="114"/>
        <v>229</v>
      </c>
      <c r="S194" s="364">
        <f t="shared" si="115"/>
        <v>8</v>
      </c>
      <c r="T194" s="319"/>
      <c r="U194" s="319"/>
      <c r="V194" s="319"/>
      <c r="W194" s="319"/>
      <c r="X194" s="319"/>
    </row>
    <row r="195" spans="1:24" ht="12.75">
      <c r="A195" s="315" t="s">
        <v>276</v>
      </c>
      <c r="B195" s="316" t="s">
        <v>136</v>
      </c>
      <c r="C195" s="316" t="s">
        <v>774</v>
      </c>
      <c r="D195" s="316">
        <v>2015</v>
      </c>
      <c r="E195" s="316" t="s">
        <v>775</v>
      </c>
      <c r="F195" s="317">
        <v>317</v>
      </c>
      <c r="G195" s="317">
        <v>0</v>
      </c>
      <c r="H195" s="318">
        <v>0</v>
      </c>
      <c r="I195" s="317">
        <v>0</v>
      </c>
      <c r="J195" s="317">
        <v>174</v>
      </c>
      <c r="K195" s="317">
        <v>0</v>
      </c>
      <c r="L195" s="317">
        <v>0</v>
      </c>
      <c r="M195" s="317">
        <v>0</v>
      </c>
      <c r="N195" s="317">
        <v>175</v>
      </c>
      <c r="O195" s="317">
        <v>70</v>
      </c>
      <c r="P195" s="317">
        <v>502</v>
      </c>
      <c r="Q195" s="318">
        <v>164</v>
      </c>
      <c r="R195" s="319">
        <f t="shared" si="114"/>
        <v>1168</v>
      </c>
      <c r="S195" s="364">
        <f t="shared" si="115"/>
        <v>234</v>
      </c>
      <c r="T195" s="319"/>
      <c r="U195" s="319"/>
      <c r="V195" s="319"/>
      <c r="W195" s="319"/>
      <c r="X195" s="319"/>
    </row>
    <row r="196" spans="1:24" ht="12.75">
      <c r="A196" s="315" t="s">
        <v>277</v>
      </c>
      <c r="B196" s="316" t="s">
        <v>136</v>
      </c>
      <c r="C196" s="316" t="s">
        <v>774</v>
      </c>
      <c r="D196" s="316">
        <v>2015</v>
      </c>
      <c r="E196" s="316" t="s">
        <v>775</v>
      </c>
      <c r="F196" s="317">
        <v>84</v>
      </c>
      <c r="G196" s="317">
        <v>0</v>
      </c>
      <c r="H196" s="318">
        <v>0</v>
      </c>
      <c r="I196" s="317">
        <v>0</v>
      </c>
      <c r="J196" s="317">
        <v>47</v>
      </c>
      <c r="K196" s="317">
        <v>0</v>
      </c>
      <c r="L196" s="317">
        <v>0</v>
      </c>
      <c r="M196" s="317">
        <v>0</v>
      </c>
      <c r="N196" s="317">
        <v>54</v>
      </c>
      <c r="O196" s="317">
        <v>0</v>
      </c>
      <c r="P196" s="317">
        <v>42</v>
      </c>
      <c r="Q196" s="318">
        <v>44</v>
      </c>
      <c r="R196" s="319">
        <f t="shared" si="114"/>
        <v>227</v>
      </c>
      <c r="S196" s="364">
        <f t="shared" si="115"/>
        <v>44</v>
      </c>
      <c r="T196" s="319"/>
      <c r="U196" s="319"/>
      <c r="V196" s="319"/>
      <c r="W196" s="319"/>
      <c r="X196" s="319"/>
    </row>
    <row r="197" spans="1:24" ht="12.75">
      <c r="A197" s="315" t="s">
        <v>278</v>
      </c>
      <c r="B197" s="316" t="s">
        <v>136</v>
      </c>
      <c r="C197" s="316" t="s">
        <v>774</v>
      </c>
      <c r="D197" s="316">
        <v>2015</v>
      </c>
      <c r="E197" s="316" t="s">
        <v>775</v>
      </c>
      <c r="F197" s="317">
        <v>80</v>
      </c>
      <c r="G197" s="317">
        <v>0</v>
      </c>
      <c r="H197" s="318">
        <v>0</v>
      </c>
      <c r="I197" s="317">
        <v>0</v>
      </c>
      <c r="J197" s="317">
        <v>48</v>
      </c>
      <c r="K197" s="317">
        <v>0</v>
      </c>
      <c r="L197" s="317">
        <v>0</v>
      </c>
      <c r="M197" s="317">
        <v>0</v>
      </c>
      <c r="N197" s="317">
        <v>43</v>
      </c>
      <c r="O197" s="317">
        <v>0</v>
      </c>
      <c r="P197" s="317">
        <v>126</v>
      </c>
      <c r="Q197" s="318">
        <v>0</v>
      </c>
      <c r="R197" s="319">
        <f t="shared" si="114"/>
        <v>297</v>
      </c>
      <c r="S197" s="364">
        <f t="shared" si="115"/>
        <v>0</v>
      </c>
      <c r="T197" s="319"/>
      <c r="U197" s="319"/>
      <c r="V197" s="319"/>
      <c r="W197" s="319"/>
      <c r="X197" s="319"/>
    </row>
    <row r="198" spans="1:24" ht="12.75">
      <c r="A198" s="315" t="s">
        <v>279</v>
      </c>
      <c r="B198" s="316" t="s">
        <v>136</v>
      </c>
      <c r="C198" s="316" t="s">
        <v>774</v>
      </c>
      <c r="D198" s="316">
        <v>2015</v>
      </c>
      <c r="E198" s="316" t="s">
        <v>775</v>
      </c>
      <c r="F198" s="317">
        <v>392</v>
      </c>
      <c r="G198" s="317">
        <v>0</v>
      </c>
      <c r="H198" s="318">
        <v>0</v>
      </c>
      <c r="I198" s="317">
        <v>0</v>
      </c>
      <c r="J198" s="317">
        <v>254</v>
      </c>
      <c r="K198" s="317">
        <v>2</v>
      </c>
      <c r="L198" s="317">
        <v>2</v>
      </c>
      <c r="M198" s="317">
        <v>0</v>
      </c>
      <c r="N198" s="317">
        <v>316</v>
      </c>
      <c r="O198" s="317">
        <v>150</v>
      </c>
      <c r="P198" s="317">
        <v>1063</v>
      </c>
      <c r="Q198" s="318">
        <v>252</v>
      </c>
      <c r="R198" s="319">
        <f t="shared" si="114"/>
        <v>2025</v>
      </c>
      <c r="S198" s="364">
        <f t="shared" si="115"/>
        <v>404</v>
      </c>
      <c r="T198" s="319"/>
      <c r="U198" s="319"/>
      <c r="V198" s="319"/>
      <c r="W198" s="319"/>
      <c r="X198" s="319"/>
    </row>
    <row r="199" spans="1:24" ht="12.75">
      <c r="A199" s="315" t="s">
        <v>280</v>
      </c>
      <c r="B199" s="316" t="s">
        <v>136</v>
      </c>
      <c r="C199" s="316" t="s">
        <v>774</v>
      </c>
      <c r="D199" s="316">
        <v>2015</v>
      </c>
      <c r="E199" s="316" t="s">
        <v>775</v>
      </c>
      <c r="F199" s="317">
        <v>118</v>
      </c>
      <c r="G199" s="317">
        <v>0</v>
      </c>
      <c r="H199" s="318">
        <v>0</v>
      </c>
      <c r="I199" s="317">
        <v>0</v>
      </c>
      <c r="J199" s="317">
        <v>69</v>
      </c>
      <c r="K199" s="317">
        <v>0</v>
      </c>
      <c r="L199" s="317">
        <v>0</v>
      </c>
      <c r="M199" s="317">
        <v>0</v>
      </c>
      <c r="N199" s="317">
        <v>84</v>
      </c>
      <c r="O199" s="317">
        <v>2</v>
      </c>
      <c r="P199" s="317">
        <v>177</v>
      </c>
      <c r="Q199" s="318">
        <v>6</v>
      </c>
      <c r="R199" s="319">
        <f t="shared" si="114"/>
        <v>448</v>
      </c>
      <c r="S199" s="364">
        <f t="shared" si="115"/>
        <v>8</v>
      </c>
      <c r="T199" s="319"/>
      <c r="U199" s="319"/>
      <c r="V199" s="319"/>
      <c r="W199" s="319"/>
      <c r="X199" s="319"/>
    </row>
    <row r="200" spans="1:24" ht="12.75">
      <c r="A200" s="315" t="s">
        <v>281</v>
      </c>
      <c r="B200" s="316" t="s">
        <v>136</v>
      </c>
      <c r="C200" s="316" t="s">
        <v>774</v>
      </c>
      <c r="D200" s="316">
        <v>2015</v>
      </c>
      <c r="E200" s="316" t="s">
        <v>775</v>
      </c>
      <c r="F200" s="317">
        <v>438</v>
      </c>
      <c r="G200" s="317">
        <v>0</v>
      </c>
      <c r="H200" s="318">
        <v>0</v>
      </c>
      <c r="I200" s="317">
        <v>0</v>
      </c>
      <c r="J200" s="317">
        <v>305</v>
      </c>
      <c r="K200" s="317">
        <v>79</v>
      </c>
      <c r="L200" s="317">
        <v>79</v>
      </c>
      <c r="M200" s="317">
        <v>0</v>
      </c>
      <c r="N200" s="317">
        <v>410</v>
      </c>
      <c r="O200" s="317">
        <v>0</v>
      </c>
      <c r="P200" s="317">
        <v>1282</v>
      </c>
      <c r="Q200" s="318">
        <v>112</v>
      </c>
      <c r="R200" s="319">
        <f t="shared" si="114"/>
        <v>2435</v>
      </c>
      <c r="S200" s="364">
        <f t="shared" si="115"/>
        <v>191</v>
      </c>
      <c r="T200" s="319"/>
      <c r="U200" s="319"/>
      <c r="V200" s="319"/>
      <c r="W200" s="319"/>
      <c r="X200" s="319"/>
    </row>
    <row r="201" spans="1:24" ht="12.75">
      <c r="A201" s="315" t="s">
        <v>282</v>
      </c>
      <c r="B201" s="316" t="s">
        <v>136</v>
      </c>
      <c r="C201" s="316" t="s">
        <v>774</v>
      </c>
      <c r="D201" s="316">
        <v>2015</v>
      </c>
      <c r="E201" s="316" t="s">
        <v>775</v>
      </c>
      <c r="F201" s="317">
        <v>56</v>
      </c>
      <c r="G201" s="317">
        <v>0</v>
      </c>
      <c r="H201" s="318">
        <v>0</v>
      </c>
      <c r="I201" s="317">
        <v>0</v>
      </c>
      <c r="J201" s="317">
        <v>53</v>
      </c>
      <c r="K201" s="317">
        <v>0</v>
      </c>
      <c r="L201" s="317">
        <v>0</v>
      </c>
      <c r="M201" s="317">
        <v>0</v>
      </c>
      <c r="N201" s="317">
        <v>75</v>
      </c>
      <c r="O201" s="317">
        <v>1</v>
      </c>
      <c r="P201" s="317">
        <v>265</v>
      </c>
      <c r="Q201" s="318">
        <v>29</v>
      </c>
      <c r="R201" s="319">
        <f t="shared" si="114"/>
        <v>449</v>
      </c>
      <c r="S201" s="364">
        <f t="shared" si="115"/>
        <v>30</v>
      </c>
      <c r="T201" s="319"/>
      <c r="U201" s="319"/>
      <c r="V201" s="319"/>
      <c r="W201" s="319"/>
      <c r="X201" s="319"/>
    </row>
    <row r="202" spans="1:24" ht="12.75">
      <c r="A202" s="315" t="s">
        <v>283</v>
      </c>
      <c r="B202" s="316" t="s">
        <v>136</v>
      </c>
      <c r="C202" s="316" t="s">
        <v>774</v>
      </c>
      <c r="D202" s="316">
        <v>2015</v>
      </c>
      <c r="E202" s="316" t="s">
        <v>775</v>
      </c>
      <c r="F202" s="317">
        <v>516</v>
      </c>
      <c r="G202" s="317">
        <v>0</v>
      </c>
      <c r="H202" s="318">
        <v>0</v>
      </c>
      <c r="I202" s="317">
        <v>0</v>
      </c>
      <c r="J202" s="317">
        <v>279</v>
      </c>
      <c r="K202" s="317">
        <v>0</v>
      </c>
      <c r="L202" s="317">
        <v>0</v>
      </c>
      <c r="M202" s="317">
        <v>0</v>
      </c>
      <c r="N202" s="317">
        <v>282</v>
      </c>
      <c r="O202" s="317">
        <v>2</v>
      </c>
      <c r="P202" s="317">
        <v>340</v>
      </c>
      <c r="Q202" s="318">
        <v>386</v>
      </c>
      <c r="R202" s="319">
        <f t="shared" si="114"/>
        <v>1417</v>
      </c>
      <c r="S202" s="364">
        <f t="shared" si="115"/>
        <v>388</v>
      </c>
      <c r="T202" s="323">
        <f>SUM(G185:G202)</f>
        <v>1</v>
      </c>
      <c r="U202" s="323">
        <f>SUM(K185:K202)</f>
        <v>101</v>
      </c>
      <c r="V202" s="323">
        <f>SUM(O185:O202)</f>
        <v>355</v>
      </c>
      <c r="W202" s="323">
        <f>SUM(Q185:Q202)</f>
        <v>2325</v>
      </c>
      <c r="X202" s="323">
        <f>T202+U202+V202+W202</f>
        <v>2782</v>
      </c>
    </row>
    <row r="203" spans="1:24" ht="12.75">
      <c r="A203" s="324" t="s">
        <v>265</v>
      </c>
      <c r="B203" s="325" t="s">
        <v>136</v>
      </c>
      <c r="C203" s="325" t="s">
        <v>774</v>
      </c>
      <c r="D203" s="325">
        <v>2016</v>
      </c>
      <c r="E203" s="325" t="s">
        <v>775</v>
      </c>
      <c r="F203" s="326">
        <v>349</v>
      </c>
      <c r="G203" s="326">
        <v>84</v>
      </c>
      <c r="H203" s="327">
        <v>84</v>
      </c>
      <c r="I203" s="326">
        <v>0</v>
      </c>
      <c r="J203" s="326">
        <v>205</v>
      </c>
      <c r="K203" s="326">
        <v>0</v>
      </c>
      <c r="L203" s="326">
        <v>0</v>
      </c>
      <c r="M203" s="326">
        <v>0</v>
      </c>
      <c r="N203" s="326">
        <v>214</v>
      </c>
      <c r="O203" s="326">
        <v>1</v>
      </c>
      <c r="P203" s="326">
        <v>680</v>
      </c>
      <c r="Q203" s="327">
        <v>42</v>
      </c>
      <c r="R203" s="328">
        <f t="shared" si="114"/>
        <v>1448</v>
      </c>
      <c r="S203" s="365">
        <f t="shared" si="115"/>
        <v>127</v>
      </c>
      <c r="T203" s="328"/>
      <c r="U203" s="328"/>
      <c r="V203" s="328"/>
      <c r="W203" s="328"/>
      <c r="X203" s="328"/>
    </row>
    <row r="204" spans="1:24" ht="12.75">
      <c r="A204" s="324" t="s">
        <v>266</v>
      </c>
      <c r="B204" s="325" t="s">
        <v>136</v>
      </c>
      <c r="C204" s="325" t="s">
        <v>774</v>
      </c>
      <c r="D204" s="325">
        <v>2016</v>
      </c>
      <c r="E204" s="325" t="s">
        <v>775</v>
      </c>
      <c r="F204" s="326">
        <v>234</v>
      </c>
      <c r="G204" s="326">
        <v>0</v>
      </c>
      <c r="H204" s="327">
        <v>0</v>
      </c>
      <c r="I204" s="326">
        <v>0</v>
      </c>
      <c r="J204" s="326">
        <v>124</v>
      </c>
      <c r="K204" s="326">
        <v>3</v>
      </c>
      <c r="L204" s="326">
        <v>3</v>
      </c>
      <c r="M204" s="326">
        <v>0</v>
      </c>
      <c r="N204" s="326">
        <v>123</v>
      </c>
      <c r="O204" s="326">
        <v>0</v>
      </c>
      <c r="P204" s="326">
        <v>279</v>
      </c>
      <c r="Q204" s="327">
        <v>540</v>
      </c>
      <c r="R204" s="328">
        <f t="shared" si="114"/>
        <v>760</v>
      </c>
      <c r="S204" s="365">
        <f t="shared" si="115"/>
        <v>543</v>
      </c>
      <c r="T204" s="328"/>
      <c r="U204" s="328"/>
      <c r="V204" s="328"/>
      <c r="W204" s="328"/>
      <c r="X204" s="328"/>
    </row>
    <row r="205" spans="1:24" ht="12.75">
      <c r="A205" s="324" t="s">
        <v>267</v>
      </c>
      <c r="B205" s="325" t="s">
        <v>136</v>
      </c>
      <c r="C205" s="325" t="s">
        <v>774</v>
      </c>
      <c r="D205" s="325">
        <v>2016</v>
      </c>
      <c r="E205" s="325" t="s">
        <v>775</v>
      </c>
      <c r="F205" s="326">
        <v>51</v>
      </c>
      <c r="G205" s="326">
        <v>0</v>
      </c>
      <c r="H205" s="327">
        <v>0</v>
      </c>
      <c r="I205" s="326">
        <v>0</v>
      </c>
      <c r="J205" s="326">
        <v>25</v>
      </c>
      <c r="K205" s="326">
        <v>1</v>
      </c>
      <c r="L205" s="326">
        <v>0</v>
      </c>
      <c r="M205" s="326">
        <v>1</v>
      </c>
      <c r="N205" s="326">
        <v>31</v>
      </c>
      <c r="O205" s="326">
        <v>0</v>
      </c>
      <c r="P205" s="326">
        <v>34</v>
      </c>
      <c r="Q205" s="327">
        <v>0</v>
      </c>
      <c r="R205" s="328">
        <f t="shared" si="114"/>
        <v>141</v>
      </c>
      <c r="S205" s="365">
        <f t="shared" si="115"/>
        <v>1</v>
      </c>
      <c r="T205" s="328"/>
      <c r="U205" s="328"/>
      <c r="V205" s="328"/>
      <c r="W205" s="328"/>
      <c r="X205" s="328"/>
    </row>
    <row r="206" spans="1:24" ht="12.75">
      <c r="A206" s="324" t="s">
        <v>268</v>
      </c>
      <c r="B206" s="325" t="s">
        <v>136</v>
      </c>
      <c r="C206" s="325" t="s">
        <v>774</v>
      </c>
      <c r="D206" s="325">
        <v>2016</v>
      </c>
      <c r="E206" s="325" t="s">
        <v>775</v>
      </c>
      <c r="F206" s="326">
        <v>798</v>
      </c>
      <c r="G206" s="326">
        <v>19</v>
      </c>
      <c r="H206" s="327">
        <v>19</v>
      </c>
      <c r="I206" s="326">
        <v>0</v>
      </c>
      <c r="J206" s="326">
        <v>444</v>
      </c>
      <c r="K206" s="326">
        <v>3</v>
      </c>
      <c r="L206" s="326">
        <v>3</v>
      </c>
      <c r="M206" s="326">
        <v>0</v>
      </c>
      <c r="N206" s="326">
        <v>559</v>
      </c>
      <c r="O206" s="326">
        <v>0</v>
      </c>
      <c r="P206" s="326">
        <v>1677</v>
      </c>
      <c r="Q206" s="327">
        <v>55</v>
      </c>
      <c r="R206" s="328">
        <f t="shared" si="114"/>
        <v>3478</v>
      </c>
      <c r="S206" s="365">
        <f t="shared" si="115"/>
        <v>77</v>
      </c>
      <c r="T206" s="328"/>
      <c r="U206" s="328"/>
      <c r="V206" s="328"/>
      <c r="W206" s="328"/>
      <c r="X206" s="328"/>
    </row>
    <row r="207" spans="1:24" ht="12.75">
      <c r="A207" s="324" t="s">
        <v>269</v>
      </c>
      <c r="B207" s="325" t="s">
        <v>136</v>
      </c>
      <c r="C207" s="325" t="s">
        <v>774</v>
      </c>
      <c r="D207" s="325">
        <v>2016</v>
      </c>
      <c r="E207" s="325" t="s">
        <v>775</v>
      </c>
      <c r="F207" s="326">
        <v>374</v>
      </c>
      <c r="G207" s="326">
        <v>0</v>
      </c>
      <c r="H207" s="327">
        <v>0</v>
      </c>
      <c r="I207" s="326">
        <v>0</v>
      </c>
      <c r="J207" s="326">
        <v>218</v>
      </c>
      <c r="K207" s="326">
        <v>0</v>
      </c>
      <c r="L207" s="326">
        <v>0</v>
      </c>
      <c r="M207" s="326">
        <v>0</v>
      </c>
      <c r="N207" s="326">
        <v>243</v>
      </c>
      <c r="O207" s="326">
        <v>28</v>
      </c>
      <c r="P207" s="326">
        <v>532</v>
      </c>
      <c r="Q207" s="327">
        <v>201</v>
      </c>
      <c r="R207" s="328">
        <f t="shared" si="114"/>
        <v>1367</v>
      </c>
      <c r="S207" s="365">
        <f t="shared" si="115"/>
        <v>229</v>
      </c>
      <c r="T207" s="328"/>
      <c r="U207" s="328"/>
      <c r="V207" s="328"/>
      <c r="W207" s="328"/>
      <c r="X207" s="328"/>
    </row>
    <row r="208" spans="1:24" ht="12.75">
      <c r="A208" s="324" t="s">
        <v>270</v>
      </c>
      <c r="B208" s="325" t="s">
        <v>136</v>
      </c>
      <c r="C208" s="325" t="s">
        <v>774</v>
      </c>
      <c r="D208" s="325">
        <v>2016</v>
      </c>
      <c r="E208" s="325" t="s">
        <v>775</v>
      </c>
      <c r="F208" s="326">
        <v>196</v>
      </c>
      <c r="G208" s="326">
        <v>0</v>
      </c>
      <c r="H208" s="327">
        <v>0</v>
      </c>
      <c r="I208" s="326">
        <v>0</v>
      </c>
      <c r="J208" s="326">
        <v>111</v>
      </c>
      <c r="K208" s="326">
        <v>2</v>
      </c>
      <c r="L208" s="326">
        <v>2</v>
      </c>
      <c r="M208" s="326">
        <v>0</v>
      </c>
      <c r="N208" s="326">
        <v>124</v>
      </c>
      <c r="O208" s="326">
        <v>4</v>
      </c>
      <c r="P208" s="326">
        <v>126</v>
      </c>
      <c r="Q208" s="327">
        <v>50</v>
      </c>
      <c r="R208" s="328">
        <f t="shared" si="114"/>
        <v>557</v>
      </c>
      <c r="S208" s="365">
        <f t="shared" si="115"/>
        <v>56</v>
      </c>
      <c r="T208" s="328"/>
      <c r="U208" s="328"/>
      <c r="V208" s="328"/>
      <c r="W208" s="328"/>
      <c r="X208" s="328"/>
    </row>
    <row r="209" spans="1:24" ht="12.75">
      <c r="A209" s="324" t="s">
        <v>271</v>
      </c>
      <c r="B209" s="325" t="s">
        <v>136</v>
      </c>
      <c r="C209" s="325" t="s">
        <v>774</v>
      </c>
      <c r="D209" s="325">
        <v>2016</v>
      </c>
      <c r="E209" s="325" t="s">
        <v>775</v>
      </c>
      <c r="F209" s="326">
        <v>100</v>
      </c>
      <c r="G209" s="326">
        <v>0</v>
      </c>
      <c r="H209" s="327">
        <v>0</v>
      </c>
      <c r="I209" s="326">
        <v>0</v>
      </c>
      <c r="J209" s="326">
        <v>63</v>
      </c>
      <c r="K209" s="326">
        <v>0</v>
      </c>
      <c r="L209" s="326">
        <v>0</v>
      </c>
      <c r="M209" s="326">
        <v>0</v>
      </c>
      <c r="N209" s="326">
        <v>69</v>
      </c>
      <c r="O209" s="326">
        <v>0</v>
      </c>
      <c r="P209" s="326">
        <v>166</v>
      </c>
      <c r="Q209" s="327">
        <v>7</v>
      </c>
      <c r="R209" s="328">
        <f t="shared" si="114"/>
        <v>398</v>
      </c>
      <c r="S209" s="365">
        <f t="shared" si="115"/>
        <v>7</v>
      </c>
      <c r="T209" s="328"/>
      <c r="U209" s="328"/>
      <c r="V209" s="328"/>
      <c r="W209" s="328"/>
      <c r="X209" s="328"/>
    </row>
    <row r="210" spans="1:24" ht="12.75">
      <c r="A210" s="324" t="s">
        <v>272</v>
      </c>
      <c r="B210" s="325" t="s">
        <v>136</v>
      </c>
      <c r="C210" s="325" t="s">
        <v>774</v>
      </c>
      <c r="D210" s="325">
        <v>2016</v>
      </c>
      <c r="E210" s="325" t="s">
        <v>775</v>
      </c>
      <c r="F210" s="326">
        <v>220</v>
      </c>
      <c r="G210" s="326">
        <v>0</v>
      </c>
      <c r="H210" s="327">
        <v>0</v>
      </c>
      <c r="I210" s="326">
        <v>0</v>
      </c>
      <c r="J210" s="326">
        <v>118</v>
      </c>
      <c r="K210" s="326">
        <v>1</v>
      </c>
      <c r="L210" s="326">
        <v>0</v>
      </c>
      <c r="M210" s="326">
        <v>1</v>
      </c>
      <c r="N210" s="326">
        <v>100</v>
      </c>
      <c r="O210" s="326">
        <v>0</v>
      </c>
      <c r="P210" s="326">
        <v>244</v>
      </c>
      <c r="Q210" s="327">
        <v>30</v>
      </c>
      <c r="R210" s="328">
        <f t="shared" si="114"/>
        <v>682</v>
      </c>
      <c r="S210" s="365">
        <f t="shared" si="115"/>
        <v>31</v>
      </c>
      <c r="T210" s="328"/>
      <c r="U210" s="328"/>
      <c r="V210" s="328"/>
      <c r="W210" s="328"/>
      <c r="X210" s="328"/>
    </row>
    <row r="211" spans="1:24" ht="12.75">
      <c r="A211" s="324" t="s">
        <v>273</v>
      </c>
      <c r="B211" s="325" t="s">
        <v>136</v>
      </c>
      <c r="C211" s="325" t="s">
        <v>774</v>
      </c>
      <c r="D211" s="325">
        <v>2016</v>
      </c>
      <c r="E211" s="325" t="s">
        <v>775</v>
      </c>
      <c r="F211" s="326">
        <v>138</v>
      </c>
      <c r="G211" s="326">
        <v>2</v>
      </c>
      <c r="H211" s="327">
        <v>2</v>
      </c>
      <c r="I211" s="326">
        <v>0</v>
      </c>
      <c r="J211" s="326">
        <v>78</v>
      </c>
      <c r="K211" s="326">
        <v>2</v>
      </c>
      <c r="L211" s="326">
        <v>2</v>
      </c>
      <c r="M211" s="326">
        <v>0</v>
      </c>
      <c r="N211" s="326">
        <v>85</v>
      </c>
      <c r="O211" s="326">
        <v>10</v>
      </c>
      <c r="P211" s="326">
        <v>99</v>
      </c>
      <c r="Q211" s="327">
        <v>62</v>
      </c>
      <c r="R211" s="328">
        <f t="shared" si="114"/>
        <v>400</v>
      </c>
      <c r="S211" s="365">
        <f t="shared" si="115"/>
        <v>76</v>
      </c>
      <c r="T211" s="328"/>
      <c r="U211" s="328"/>
      <c r="V211" s="328"/>
      <c r="W211" s="328"/>
      <c r="X211" s="328"/>
    </row>
    <row r="212" spans="1:24" ht="12.75">
      <c r="A212" s="324" t="s">
        <v>274</v>
      </c>
      <c r="B212" s="325" t="s">
        <v>136</v>
      </c>
      <c r="C212" s="325" t="s">
        <v>774</v>
      </c>
      <c r="D212" s="325">
        <v>2016</v>
      </c>
      <c r="E212" s="325" t="s">
        <v>775</v>
      </c>
      <c r="F212" s="326">
        <v>124</v>
      </c>
      <c r="G212" s="326">
        <v>0</v>
      </c>
      <c r="H212" s="327">
        <v>0</v>
      </c>
      <c r="I212" s="326">
        <v>0</v>
      </c>
      <c r="J212" s="326">
        <v>72</v>
      </c>
      <c r="K212" s="326">
        <v>0</v>
      </c>
      <c r="L212" s="326">
        <v>0</v>
      </c>
      <c r="M212" s="326">
        <v>0</v>
      </c>
      <c r="N212" s="326">
        <v>78</v>
      </c>
      <c r="O212" s="326">
        <v>1</v>
      </c>
      <c r="P212" s="326">
        <v>195</v>
      </c>
      <c r="Q212" s="327">
        <v>40</v>
      </c>
      <c r="R212" s="328">
        <f t="shared" si="114"/>
        <v>469</v>
      </c>
      <c r="S212" s="365">
        <f t="shared" si="115"/>
        <v>41</v>
      </c>
      <c r="T212" s="328"/>
      <c r="U212" s="328"/>
      <c r="V212" s="328"/>
      <c r="W212" s="328"/>
      <c r="X212" s="328"/>
    </row>
    <row r="213" spans="1:24" ht="12.75">
      <c r="A213" s="324" t="s">
        <v>275</v>
      </c>
      <c r="B213" s="325" t="s">
        <v>136</v>
      </c>
      <c r="C213" s="325" t="s">
        <v>774</v>
      </c>
      <c r="D213" s="325">
        <v>2016</v>
      </c>
      <c r="E213" s="325" t="s">
        <v>775</v>
      </c>
      <c r="F213" s="326">
        <v>75</v>
      </c>
      <c r="G213" s="326">
        <v>0</v>
      </c>
      <c r="H213" s="327">
        <v>0</v>
      </c>
      <c r="I213" s="326">
        <v>0</v>
      </c>
      <c r="J213" s="326">
        <v>44</v>
      </c>
      <c r="K213" s="326">
        <v>0</v>
      </c>
      <c r="L213" s="326">
        <v>0</v>
      </c>
      <c r="M213" s="326">
        <v>0</v>
      </c>
      <c r="N213" s="326">
        <v>50</v>
      </c>
      <c r="O213" s="326">
        <v>0</v>
      </c>
      <c r="P213" s="326">
        <v>60</v>
      </c>
      <c r="Q213" s="327">
        <v>35</v>
      </c>
      <c r="R213" s="328">
        <f t="shared" si="114"/>
        <v>229</v>
      </c>
      <c r="S213" s="365">
        <f t="shared" si="115"/>
        <v>35</v>
      </c>
      <c r="T213" s="328"/>
      <c r="U213" s="328"/>
      <c r="V213" s="328"/>
      <c r="W213" s="328"/>
      <c r="X213" s="328"/>
    </row>
    <row r="214" spans="1:24" ht="12.75">
      <c r="A214" s="324" t="s">
        <v>276</v>
      </c>
      <c r="B214" s="325" t="s">
        <v>136</v>
      </c>
      <c r="C214" s="325" t="s">
        <v>774</v>
      </c>
      <c r="D214" s="325">
        <v>2016</v>
      </c>
      <c r="E214" s="325" t="s">
        <v>775</v>
      </c>
      <c r="F214" s="326">
        <v>317</v>
      </c>
      <c r="G214" s="326">
        <v>0</v>
      </c>
      <c r="H214" s="327">
        <v>0</v>
      </c>
      <c r="I214" s="326">
        <v>0</v>
      </c>
      <c r="J214" s="326">
        <v>174</v>
      </c>
      <c r="K214" s="326">
        <v>0</v>
      </c>
      <c r="L214" s="326">
        <v>0</v>
      </c>
      <c r="M214" s="326">
        <v>0</v>
      </c>
      <c r="N214" s="326">
        <v>175</v>
      </c>
      <c r="O214" s="326">
        <v>88</v>
      </c>
      <c r="P214" s="326">
        <v>502</v>
      </c>
      <c r="Q214" s="327">
        <v>208</v>
      </c>
      <c r="R214" s="328">
        <f t="shared" si="114"/>
        <v>1168</v>
      </c>
      <c r="S214" s="365">
        <f t="shared" si="115"/>
        <v>296</v>
      </c>
      <c r="T214" s="328"/>
      <c r="U214" s="328"/>
      <c r="V214" s="328"/>
      <c r="W214" s="328"/>
      <c r="X214" s="328"/>
    </row>
    <row r="215" spans="1:24" ht="12.75">
      <c r="A215" s="324" t="s">
        <v>277</v>
      </c>
      <c r="B215" s="325" t="s">
        <v>136</v>
      </c>
      <c r="C215" s="325" t="s">
        <v>774</v>
      </c>
      <c r="D215" s="325">
        <v>2016</v>
      </c>
      <c r="E215" s="325" t="s">
        <v>775</v>
      </c>
      <c r="F215" s="326">
        <v>84</v>
      </c>
      <c r="G215" s="326">
        <v>0</v>
      </c>
      <c r="H215" s="327">
        <v>0</v>
      </c>
      <c r="I215" s="326">
        <v>0</v>
      </c>
      <c r="J215" s="326">
        <v>47</v>
      </c>
      <c r="K215" s="326">
        <v>0</v>
      </c>
      <c r="L215" s="326">
        <v>0</v>
      </c>
      <c r="M215" s="326">
        <v>0</v>
      </c>
      <c r="N215" s="326">
        <v>54</v>
      </c>
      <c r="O215" s="326">
        <v>2</v>
      </c>
      <c r="P215" s="326">
        <v>42</v>
      </c>
      <c r="Q215" s="327">
        <v>53</v>
      </c>
      <c r="R215" s="328">
        <f t="shared" si="114"/>
        <v>227</v>
      </c>
      <c r="S215" s="365">
        <f t="shared" si="115"/>
        <v>55</v>
      </c>
      <c r="T215" s="328"/>
      <c r="U215" s="328"/>
      <c r="V215" s="328"/>
      <c r="W215" s="328"/>
      <c r="X215" s="328"/>
    </row>
    <row r="216" spans="1:24" ht="12.75">
      <c r="A216" s="324" t="s">
        <v>278</v>
      </c>
      <c r="B216" s="325" t="s">
        <v>136</v>
      </c>
      <c r="C216" s="325" t="s">
        <v>774</v>
      </c>
      <c r="D216" s="325">
        <v>2016</v>
      </c>
      <c r="E216" s="325" t="s">
        <v>775</v>
      </c>
      <c r="F216" s="326">
        <v>80</v>
      </c>
      <c r="G216" s="326">
        <v>0</v>
      </c>
      <c r="H216" s="327">
        <v>0</v>
      </c>
      <c r="I216" s="326">
        <v>0</v>
      </c>
      <c r="J216" s="326">
        <v>48</v>
      </c>
      <c r="K216" s="326">
        <v>0</v>
      </c>
      <c r="L216" s="326">
        <v>0</v>
      </c>
      <c r="M216" s="326">
        <v>0</v>
      </c>
      <c r="N216" s="326">
        <v>43</v>
      </c>
      <c r="O216" s="326">
        <v>1</v>
      </c>
      <c r="P216" s="326">
        <v>126</v>
      </c>
      <c r="Q216" s="327">
        <v>2</v>
      </c>
      <c r="R216" s="328">
        <f t="shared" si="114"/>
        <v>297</v>
      </c>
      <c r="S216" s="365">
        <f t="shared" si="115"/>
        <v>3</v>
      </c>
      <c r="T216" s="328"/>
      <c r="U216" s="328"/>
      <c r="V216" s="328"/>
      <c r="W216" s="328"/>
      <c r="X216" s="328"/>
    </row>
    <row r="217" spans="1:24" ht="12.75">
      <c r="A217" s="324" t="s">
        <v>279</v>
      </c>
      <c r="B217" s="325" t="s">
        <v>136</v>
      </c>
      <c r="C217" s="325" t="s">
        <v>774</v>
      </c>
      <c r="D217" s="325">
        <v>2016</v>
      </c>
      <c r="E217" s="325" t="s">
        <v>775</v>
      </c>
      <c r="F217" s="326">
        <v>392</v>
      </c>
      <c r="G217" s="326">
        <v>23</v>
      </c>
      <c r="H217" s="327">
        <v>23</v>
      </c>
      <c r="I217" s="326">
        <v>0</v>
      </c>
      <c r="J217" s="326">
        <v>254</v>
      </c>
      <c r="K217" s="326">
        <v>209</v>
      </c>
      <c r="L217" s="326">
        <v>209</v>
      </c>
      <c r="M217" s="326">
        <v>0</v>
      </c>
      <c r="N217" s="326">
        <v>316</v>
      </c>
      <c r="O217" s="326">
        <v>0</v>
      </c>
      <c r="P217" s="326">
        <v>1063</v>
      </c>
      <c r="Q217" s="327">
        <v>171</v>
      </c>
      <c r="R217" s="328">
        <f t="shared" si="114"/>
        <v>2025</v>
      </c>
      <c r="S217" s="365">
        <f t="shared" si="115"/>
        <v>403</v>
      </c>
      <c r="T217" s="328"/>
      <c r="U217" s="328"/>
      <c r="V217" s="328"/>
      <c r="W217" s="328"/>
      <c r="X217" s="328"/>
    </row>
    <row r="218" spans="1:24" ht="12.75">
      <c r="A218" s="324" t="s">
        <v>280</v>
      </c>
      <c r="B218" s="325" t="s">
        <v>136</v>
      </c>
      <c r="C218" s="325" t="s">
        <v>774</v>
      </c>
      <c r="D218" s="325">
        <v>2016</v>
      </c>
      <c r="E218" s="325" t="s">
        <v>775</v>
      </c>
      <c r="F218" s="326">
        <v>118</v>
      </c>
      <c r="G218" s="326">
        <v>0</v>
      </c>
      <c r="H218" s="327">
        <v>0</v>
      </c>
      <c r="I218" s="326">
        <v>0</v>
      </c>
      <c r="J218" s="326">
        <v>69</v>
      </c>
      <c r="K218" s="326">
        <v>0</v>
      </c>
      <c r="L218" s="326">
        <v>0</v>
      </c>
      <c r="M218" s="326">
        <v>0</v>
      </c>
      <c r="N218" s="326">
        <v>84</v>
      </c>
      <c r="O218" s="326">
        <v>0</v>
      </c>
      <c r="P218" s="326">
        <v>177</v>
      </c>
      <c r="Q218" s="327">
        <v>6</v>
      </c>
      <c r="R218" s="328">
        <f t="shared" si="114"/>
        <v>448</v>
      </c>
      <c r="S218" s="365">
        <f t="shared" si="115"/>
        <v>6</v>
      </c>
      <c r="T218" s="328"/>
      <c r="U218" s="328"/>
      <c r="V218" s="328"/>
      <c r="W218" s="328"/>
      <c r="X218" s="328"/>
    </row>
    <row r="219" spans="1:24" ht="12.75">
      <c r="A219" s="324" t="s">
        <v>281</v>
      </c>
      <c r="B219" s="325" t="s">
        <v>136</v>
      </c>
      <c r="C219" s="325" t="s">
        <v>774</v>
      </c>
      <c r="D219" s="325">
        <v>2016</v>
      </c>
      <c r="E219" s="325" t="s">
        <v>775</v>
      </c>
      <c r="F219" s="326">
        <v>438</v>
      </c>
      <c r="G219" s="326">
        <v>0</v>
      </c>
      <c r="H219" s="327">
        <v>0</v>
      </c>
      <c r="I219" s="326">
        <v>0</v>
      </c>
      <c r="J219" s="326">
        <v>305</v>
      </c>
      <c r="K219" s="326">
        <v>0</v>
      </c>
      <c r="L219" s="326">
        <v>0</v>
      </c>
      <c r="M219" s="326">
        <v>0</v>
      </c>
      <c r="N219" s="326">
        <v>410</v>
      </c>
      <c r="O219" s="326">
        <v>0</v>
      </c>
      <c r="P219" s="326">
        <v>1282</v>
      </c>
      <c r="Q219" s="327">
        <v>56</v>
      </c>
      <c r="R219" s="328">
        <f t="shared" si="114"/>
        <v>2435</v>
      </c>
      <c r="S219" s="365">
        <f t="shared" si="115"/>
        <v>56</v>
      </c>
      <c r="T219" s="328"/>
      <c r="U219" s="328"/>
      <c r="V219" s="328"/>
      <c r="W219" s="328"/>
      <c r="X219" s="328"/>
    </row>
    <row r="220" spans="1:24" ht="12.75">
      <c r="A220" s="324" t="s">
        <v>282</v>
      </c>
      <c r="B220" s="325" t="s">
        <v>136</v>
      </c>
      <c r="C220" s="325" t="s">
        <v>774</v>
      </c>
      <c r="D220" s="325">
        <v>2016</v>
      </c>
      <c r="E220" s="325" t="s">
        <v>775</v>
      </c>
      <c r="F220" s="326">
        <v>56</v>
      </c>
      <c r="G220" s="326">
        <v>0</v>
      </c>
      <c r="H220" s="327">
        <v>0</v>
      </c>
      <c r="I220" s="326">
        <v>0</v>
      </c>
      <c r="J220" s="326">
        <v>53</v>
      </c>
      <c r="K220" s="326">
        <v>2</v>
      </c>
      <c r="L220" s="326">
        <v>2</v>
      </c>
      <c r="M220" s="326">
        <v>0</v>
      </c>
      <c r="N220" s="326">
        <v>75</v>
      </c>
      <c r="O220" s="326">
        <v>5</v>
      </c>
      <c r="P220" s="326">
        <v>265</v>
      </c>
      <c r="Q220" s="327">
        <v>0</v>
      </c>
      <c r="R220" s="328">
        <f t="shared" si="114"/>
        <v>449</v>
      </c>
      <c r="S220" s="365">
        <f t="shared" si="115"/>
        <v>7</v>
      </c>
      <c r="T220" s="328"/>
      <c r="U220" s="328"/>
      <c r="V220" s="328"/>
      <c r="W220" s="328"/>
      <c r="X220" s="328"/>
    </row>
    <row r="221" spans="1:24" ht="12.75">
      <c r="A221" s="324" t="s">
        <v>283</v>
      </c>
      <c r="B221" s="325" t="s">
        <v>136</v>
      </c>
      <c r="C221" s="325" t="s">
        <v>774</v>
      </c>
      <c r="D221" s="325">
        <v>2016</v>
      </c>
      <c r="E221" s="325" t="s">
        <v>775</v>
      </c>
      <c r="F221" s="326">
        <v>516</v>
      </c>
      <c r="G221" s="326">
        <v>20</v>
      </c>
      <c r="H221" s="327">
        <v>20</v>
      </c>
      <c r="I221" s="326">
        <v>0</v>
      </c>
      <c r="J221" s="326">
        <v>279</v>
      </c>
      <c r="K221" s="326">
        <v>82</v>
      </c>
      <c r="L221" s="326">
        <v>82</v>
      </c>
      <c r="M221" s="326">
        <v>0</v>
      </c>
      <c r="N221" s="326">
        <v>282</v>
      </c>
      <c r="O221" s="326">
        <v>162</v>
      </c>
      <c r="P221" s="326">
        <v>340</v>
      </c>
      <c r="Q221" s="327">
        <v>618</v>
      </c>
      <c r="R221" s="328">
        <f t="shared" si="114"/>
        <v>1417</v>
      </c>
      <c r="S221" s="365">
        <f t="shared" si="115"/>
        <v>882</v>
      </c>
      <c r="T221" s="328"/>
      <c r="U221" s="328"/>
      <c r="V221" s="328"/>
      <c r="W221" s="328"/>
      <c r="X221" s="328"/>
    </row>
    <row r="222" spans="1:24" ht="12.75">
      <c r="A222" s="329" t="s">
        <v>284</v>
      </c>
      <c r="B222" s="330" t="s">
        <v>136</v>
      </c>
      <c r="C222" s="330" t="s">
        <v>774</v>
      </c>
      <c r="D222" s="330">
        <v>2016</v>
      </c>
      <c r="E222" s="330" t="s">
        <v>775</v>
      </c>
      <c r="F222" s="327">
        <v>604</v>
      </c>
      <c r="G222" s="326">
        <v>42</v>
      </c>
      <c r="H222" s="327">
        <v>42</v>
      </c>
      <c r="I222" s="327">
        <v>0</v>
      </c>
      <c r="J222" s="326">
        <v>355</v>
      </c>
      <c r="K222" s="326">
        <v>16</v>
      </c>
      <c r="L222" s="327">
        <v>16</v>
      </c>
      <c r="M222" s="327">
        <v>0</v>
      </c>
      <c r="N222" s="327">
        <v>381</v>
      </c>
      <c r="O222" s="327">
        <v>12</v>
      </c>
      <c r="P222" s="327">
        <v>895</v>
      </c>
      <c r="Q222" s="327">
        <v>392</v>
      </c>
      <c r="R222" s="328">
        <f t="shared" si="114"/>
        <v>2235</v>
      </c>
      <c r="S222" s="365">
        <f t="shared" si="115"/>
        <v>462</v>
      </c>
      <c r="T222" s="331">
        <f>SUM(G203:G222)</f>
        <v>190</v>
      </c>
      <c r="U222" s="331">
        <f>SUM(K203:K222)</f>
        <v>321</v>
      </c>
      <c r="V222" s="331">
        <f>SUM(O203:O222)</f>
        <v>314</v>
      </c>
      <c r="W222" s="331">
        <f>SUM(Q203:Q222)</f>
        <v>2568</v>
      </c>
      <c r="X222" s="331">
        <f>T222+U222+V222+W222</f>
        <v>3393</v>
      </c>
    </row>
    <row r="223" spans="1:24" ht="12.75">
      <c r="A223" s="332" t="s">
        <v>265</v>
      </c>
      <c r="B223" s="333" t="s">
        <v>136</v>
      </c>
      <c r="C223" s="333" t="s">
        <v>774</v>
      </c>
      <c r="D223" s="333">
        <v>2017</v>
      </c>
      <c r="E223" s="333" t="s">
        <v>775</v>
      </c>
      <c r="F223" s="334">
        <v>349</v>
      </c>
      <c r="G223" s="334">
        <v>2</v>
      </c>
      <c r="H223" s="335">
        <v>2</v>
      </c>
      <c r="I223" s="334">
        <v>0</v>
      </c>
      <c r="J223" s="334">
        <v>205</v>
      </c>
      <c r="K223" s="334">
        <v>0</v>
      </c>
      <c r="L223" s="334">
        <v>0</v>
      </c>
      <c r="M223" s="334">
        <v>0</v>
      </c>
      <c r="N223" s="334">
        <v>214</v>
      </c>
      <c r="O223" s="334">
        <v>0</v>
      </c>
      <c r="P223" s="334">
        <v>680</v>
      </c>
      <c r="Q223" s="335">
        <v>41</v>
      </c>
      <c r="R223" s="336">
        <f t="shared" si="114"/>
        <v>1448</v>
      </c>
      <c r="S223" s="366">
        <f t="shared" si="115"/>
        <v>43</v>
      </c>
      <c r="T223" s="336"/>
      <c r="U223" s="336"/>
      <c r="V223" s="336"/>
      <c r="W223" s="336"/>
      <c r="X223" s="336"/>
    </row>
    <row r="224" spans="1:24" ht="12.75">
      <c r="A224" s="332" t="s">
        <v>266</v>
      </c>
      <c r="B224" s="333" t="s">
        <v>136</v>
      </c>
      <c r="C224" s="333" t="s">
        <v>774</v>
      </c>
      <c r="D224" s="333">
        <v>2017</v>
      </c>
      <c r="E224" s="333" t="s">
        <v>775</v>
      </c>
      <c r="F224" s="334">
        <v>234</v>
      </c>
      <c r="G224" s="334">
        <v>2</v>
      </c>
      <c r="H224" s="335">
        <v>2</v>
      </c>
      <c r="I224" s="334">
        <v>0</v>
      </c>
      <c r="J224" s="334">
        <v>124</v>
      </c>
      <c r="K224" s="334">
        <v>0</v>
      </c>
      <c r="L224" s="334">
        <v>0</v>
      </c>
      <c r="M224" s="334">
        <v>0</v>
      </c>
      <c r="N224" s="334">
        <v>123</v>
      </c>
      <c r="O224" s="334">
        <v>1</v>
      </c>
      <c r="P224" s="334">
        <v>279</v>
      </c>
      <c r="Q224" s="335">
        <v>503</v>
      </c>
      <c r="R224" s="336">
        <f t="shared" si="114"/>
        <v>760</v>
      </c>
      <c r="S224" s="366">
        <f t="shared" si="115"/>
        <v>506</v>
      </c>
      <c r="T224" s="336"/>
      <c r="U224" s="336"/>
      <c r="V224" s="336"/>
      <c r="W224" s="336"/>
      <c r="X224" s="336"/>
    </row>
    <row r="225" spans="1:24" ht="12.75">
      <c r="A225" s="332" t="s">
        <v>267</v>
      </c>
      <c r="B225" s="333" t="s">
        <v>136</v>
      </c>
      <c r="C225" s="333" t="s">
        <v>774</v>
      </c>
      <c r="D225" s="333">
        <v>2017</v>
      </c>
      <c r="E225" s="333" t="s">
        <v>775</v>
      </c>
      <c r="F225" s="334">
        <v>51</v>
      </c>
      <c r="G225" s="334">
        <v>0</v>
      </c>
      <c r="H225" s="335">
        <v>0</v>
      </c>
      <c r="I225" s="334">
        <v>0</v>
      </c>
      <c r="J225" s="334">
        <v>25</v>
      </c>
      <c r="K225" s="334">
        <v>1</v>
      </c>
      <c r="L225" s="334">
        <v>0</v>
      </c>
      <c r="M225" s="334">
        <v>1</v>
      </c>
      <c r="N225" s="334">
        <v>31</v>
      </c>
      <c r="O225" s="334">
        <v>0</v>
      </c>
      <c r="P225" s="334">
        <v>34</v>
      </c>
      <c r="Q225" s="335">
        <v>8</v>
      </c>
      <c r="R225" s="336">
        <f t="shared" si="114"/>
        <v>141</v>
      </c>
      <c r="S225" s="366">
        <f t="shared" si="115"/>
        <v>9</v>
      </c>
      <c r="T225" s="336"/>
      <c r="U225" s="336"/>
      <c r="V225" s="336"/>
      <c r="W225" s="336"/>
      <c r="X225" s="336"/>
    </row>
    <row r="226" spans="1:24" ht="12.75">
      <c r="A226" s="332" t="s">
        <v>268</v>
      </c>
      <c r="B226" s="333" t="s">
        <v>136</v>
      </c>
      <c r="C226" s="333" t="s">
        <v>774</v>
      </c>
      <c r="D226" s="333">
        <v>2017</v>
      </c>
      <c r="E226" s="333" t="s">
        <v>775</v>
      </c>
      <c r="F226" s="334">
        <v>798</v>
      </c>
      <c r="G226" s="334">
        <v>0</v>
      </c>
      <c r="H226" s="335">
        <v>0</v>
      </c>
      <c r="I226" s="334">
        <v>0</v>
      </c>
      <c r="J226" s="334">
        <v>444</v>
      </c>
      <c r="K226" s="334">
        <v>0</v>
      </c>
      <c r="L226" s="334">
        <v>0</v>
      </c>
      <c r="M226" s="334">
        <v>0</v>
      </c>
      <c r="N226" s="334">
        <v>559</v>
      </c>
      <c r="O226" s="334">
        <v>0</v>
      </c>
      <c r="P226" s="334">
        <v>1677</v>
      </c>
      <c r="Q226" s="335">
        <v>53</v>
      </c>
      <c r="R226" s="336">
        <f t="shared" si="114"/>
        <v>3478</v>
      </c>
      <c r="S226" s="366">
        <f t="shared" si="115"/>
        <v>53</v>
      </c>
      <c r="T226" s="336"/>
      <c r="U226" s="336"/>
      <c r="V226" s="336"/>
      <c r="W226" s="336"/>
      <c r="X226" s="336"/>
    </row>
    <row r="227" spans="1:24" ht="12.75">
      <c r="A227" s="332" t="s">
        <v>269</v>
      </c>
      <c r="B227" s="333" t="s">
        <v>136</v>
      </c>
      <c r="C227" s="333" t="s">
        <v>774</v>
      </c>
      <c r="D227" s="333">
        <v>2017</v>
      </c>
      <c r="E227" s="333" t="s">
        <v>775</v>
      </c>
      <c r="F227" s="334">
        <v>374</v>
      </c>
      <c r="G227" s="334">
        <v>0</v>
      </c>
      <c r="H227" s="335">
        <v>0</v>
      </c>
      <c r="I227" s="334">
        <v>0</v>
      </c>
      <c r="J227" s="334">
        <v>218</v>
      </c>
      <c r="K227" s="334">
        <v>3</v>
      </c>
      <c r="L227" s="334">
        <v>3</v>
      </c>
      <c r="M227" s="334">
        <v>0</v>
      </c>
      <c r="N227" s="334">
        <v>243</v>
      </c>
      <c r="O227" s="334">
        <v>31</v>
      </c>
      <c r="P227" s="334">
        <v>532</v>
      </c>
      <c r="Q227" s="335">
        <v>244</v>
      </c>
      <c r="R227" s="336">
        <f t="shared" si="114"/>
        <v>1367</v>
      </c>
      <c r="S227" s="366">
        <f t="shared" si="115"/>
        <v>278</v>
      </c>
      <c r="T227" s="336"/>
      <c r="U227" s="336"/>
      <c r="V227" s="336"/>
      <c r="W227" s="336"/>
      <c r="X227" s="336"/>
    </row>
    <row r="228" spans="1:24" ht="12.75">
      <c r="A228" s="332" t="s">
        <v>270</v>
      </c>
      <c r="B228" s="333" t="s">
        <v>136</v>
      </c>
      <c r="C228" s="333" t="s">
        <v>774</v>
      </c>
      <c r="D228" s="333">
        <v>2017</v>
      </c>
      <c r="E228" s="333" t="s">
        <v>775</v>
      </c>
      <c r="F228" s="334">
        <v>196</v>
      </c>
      <c r="G228" s="334">
        <v>0</v>
      </c>
      <c r="H228" s="335">
        <v>0</v>
      </c>
      <c r="I228" s="334">
        <v>0</v>
      </c>
      <c r="J228" s="334">
        <v>111</v>
      </c>
      <c r="K228" s="334">
        <v>5</v>
      </c>
      <c r="L228" s="334">
        <v>0</v>
      </c>
      <c r="M228" s="334">
        <v>5</v>
      </c>
      <c r="N228" s="334">
        <v>124</v>
      </c>
      <c r="O228" s="334">
        <v>7</v>
      </c>
      <c r="P228" s="334">
        <v>126</v>
      </c>
      <c r="Q228" s="335">
        <v>36</v>
      </c>
      <c r="R228" s="336">
        <f t="shared" si="114"/>
        <v>557</v>
      </c>
      <c r="S228" s="366">
        <f t="shared" si="115"/>
        <v>48</v>
      </c>
      <c r="T228" s="336"/>
      <c r="U228" s="336"/>
      <c r="V228" s="336"/>
      <c r="W228" s="336"/>
      <c r="X228" s="336"/>
    </row>
    <row r="229" spans="1:24" ht="12.75">
      <c r="A229" s="332" t="s">
        <v>271</v>
      </c>
      <c r="B229" s="333" t="s">
        <v>136</v>
      </c>
      <c r="C229" s="333" t="s">
        <v>774</v>
      </c>
      <c r="D229" s="333">
        <v>2017</v>
      </c>
      <c r="E229" s="333" t="s">
        <v>775</v>
      </c>
      <c r="F229" s="334">
        <v>100</v>
      </c>
      <c r="G229" s="334">
        <v>62</v>
      </c>
      <c r="H229" s="335">
        <v>62</v>
      </c>
      <c r="I229" s="334">
        <v>0</v>
      </c>
      <c r="J229" s="334">
        <v>63</v>
      </c>
      <c r="K229" s="334">
        <v>0</v>
      </c>
      <c r="L229" s="334">
        <v>0</v>
      </c>
      <c r="M229" s="334">
        <v>0</v>
      </c>
      <c r="N229" s="334">
        <v>69</v>
      </c>
      <c r="O229" s="334">
        <v>0</v>
      </c>
      <c r="P229" s="334">
        <v>166</v>
      </c>
      <c r="Q229" s="335">
        <v>7</v>
      </c>
      <c r="R229" s="336">
        <f t="shared" si="114"/>
        <v>398</v>
      </c>
      <c r="S229" s="366">
        <f t="shared" si="115"/>
        <v>69</v>
      </c>
      <c r="T229" s="336"/>
      <c r="U229" s="336"/>
      <c r="V229" s="336"/>
      <c r="W229" s="336"/>
      <c r="X229" s="336"/>
    </row>
    <row r="230" spans="1:24" ht="12.75">
      <c r="A230" s="332" t="s">
        <v>272</v>
      </c>
      <c r="B230" s="333" t="s">
        <v>136</v>
      </c>
      <c r="C230" s="333" t="s">
        <v>774</v>
      </c>
      <c r="D230" s="333">
        <v>2017</v>
      </c>
      <c r="E230" s="333" t="s">
        <v>775</v>
      </c>
      <c r="F230" s="334">
        <v>220</v>
      </c>
      <c r="G230" s="334">
        <v>0</v>
      </c>
      <c r="H230" s="335">
        <v>0</v>
      </c>
      <c r="I230" s="334">
        <v>0</v>
      </c>
      <c r="J230" s="334">
        <v>118</v>
      </c>
      <c r="K230" s="334">
        <v>0</v>
      </c>
      <c r="L230" s="334">
        <v>0</v>
      </c>
      <c r="M230" s="334">
        <v>0</v>
      </c>
      <c r="N230" s="334">
        <v>100</v>
      </c>
      <c r="O230" s="334">
        <v>0</v>
      </c>
      <c r="P230" s="334">
        <v>244</v>
      </c>
      <c r="Q230" s="335">
        <v>41</v>
      </c>
      <c r="R230" s="336">
        <f t="shared" si="114"/>
        <v>682</v>
      </c>
      <c r="S230" s="366">
        <f t="shared" si="115"/>
        <v>41</v>
      </c>
      <c r="T230" s="336"/>
      <c r="U230" s="336"/>
      <c r="V230" s="336"/>
      <c r="W230" s="336"/>
      <c r="X230" s="336"/>
    </row>
    <row r="231" spans="1:24" ht="12.75">
      <c r="A231" s="332" t="s">
        <v>273</v>
      </c>
      <c r="B231" s="333" t="s">
        <v>136</v>
      </c>
      <c r="C231" s="333" t="s">
        <v>774</v>
      </c>
      <c r="D231" s="333">
        <v>2017</v>
      </c>
      <c r="E231" s="333" t="s">
        <v>775</v>
      </c>
      <c r="F231" s="334">
        <v>138</v>
      </c>
      <c r="G231" s="334">
        <v>0</v>
      </c>
      <c r="H231" s="335">
        <v>0</v>
      </c>
      <c r="I231" s="334">
        <v>0</v>
      </c>
      <c r="J231" s="334">
        <v>78</v>
      </c>
      <c r="K231" s="334">
        <v>1</v>
      </c>
      <c r="L231" s="334">
        <v>1</v>
      </c>
      <c r="M231" s="334">
        <v>0</v>
      </c>
      <c r="N231" s="334">
        <v>85</v>
      </c>
      <c r="O231" s="334">
        <v>9</v>
      </c>
      <c r="P231" s="334">
        <v>99</v>
      </c>
      <c r="Q231" s="335">
        <v>25</v>
      </c>
      <c r="R231" s="336">
        <f t="shared" si="114"/>
        <v>400</v>
      </c>
      <c r="S231" s="366">
        <f t="shared" si="115"/>
        <v>35</v>
      </c>
      <c r="T231" s="336"/>
      <c r="U231" s="336"/>
      <c r="V231" s="336"/>
      <c r="W231" s="336"/>
      <c r="X231" s="336"/>
    </row>
    <row r="232" spans="1:24" ht="12.75">
      <c r="A232" s="332" t="s">
        <v>274</v>
      </c>
      <c r="B232" s="333" t="s">
        <v>136</v>
      </c>
      <c r="C232" s="333" t="s">
        <v>774</v>
      </c>
      <c r="D232" s="333">
        <v>2017</v>
      </c>
      <c r="E232" s="333" t="s">
        <v>775</v>
      </c>
      <c r="F232" s="334">
        <v>124</v>
      </c>
      <c r="G232" s="334">
        <v>0</v>
      </c>
      <c r="H232" s="335">
        <v>0</v>
      </c>
      <c r="I232" s="334">
        <v>0</v>
      </c>
      <c r="J232" s="334">
        <v>72</v>
      </c>
      <c r="K232" s="334">
        <v>0</v>
      </c>
      <c r="L232" s="334">
        <v>0</v>
      </c>
      <c r="M232" s="334">
        <v>0</v>
      </c>
      <c r="N232" s="334">
        <v>78</v>
      </c>
      <c r="O232" s="334">
        <v>0</v>
      </c>
      <c r="P232" s="334">
        <v>195</v>
      </c>
      <c r="Q232" s="335">
        <v>4</v>
      </c>
      <c r="R232" s="336">
        <f t="shared" si="114"/>
        <v>469</v>
      </c>
      <c r="S232" s="366">
        <f t="shared" si="115"/>
        <v>4</v>
      </c>
      <c r="T232" s="336"/>
      <c r="U232" s="336"/>
      <c r="V232" s="336"/>
      <c r="W232" s="336"/>
      <c r="X232" s="336"/>
    </row>
    <row r="233" spans="1:24" ht="12.75">
      <c r="A233" s="332" t="s">
        <v>275</v>
      </c>
      <c r="B233" s="333" t="s">
        <v>136</v>
      </c>
      <c r="C233" s="333" t="s">
        <v>774</v>
      </c>
      <c r="D233" s="333">
        <v>2017</v>
      </c>
      <c r="E233" s="333" t="s">
        <v>775</v>
      </c>
      <c r="F233" s="334">
        <v>75</v>
      </c>
      <c r="G233" s="334">
        <v>0</v>
      </c>
      <c r="H233" s="335">
        <v>0</v>
      </c>
      <c r="I233" s="334">
        <v>0</v>
      </c>
      <c r="J233" s="334">
        <v>44</v>
      </c>
      <c r="K233" s="334">
        <v>0</v>
      </c>
      <c r="L233" s="334">
        <v>0</v>
      </c>
      <c r="M233" s="334">
        <v>0</v>
      </c>
      <c r="N233" s="334">
        <v>50</v>
      </c>
      <c r="O233" s="334">
        <v>0</v>
      </c>
      <c r="P233" s="334">
        <v>60</v>
      </c>
      <c r="Q233" s="335">
        <v>31</v>
      </c>
      <c r="R233" s="336">
        <f t="shared" si="114"/>
        <v>229</v>
      </c>
      <c r="S233" s="366">
        <f t="shared" si="115"/>
        <v>31</v>
      </c>
      <c r="T233" s="336"/>
      <c r="U233" s="336"/>
      <c r="V233" s="336"/>
      <c r="W233" s="336"/>
      <c r="X233" s="336"/>
    </row>
    <row r="234" spans="1:24" ht="12.75">
      <c r="A234" s="332" t="s">
        <v>276</v>
      </c>
      <c r="B234" s="333" t="s">
        <v>136</v>
      </c>
      <c r="C234" s="333" t="s">
        <v>774</v>
      </c>
      <c r="D234" s="333">
        <v>2017</v>
      </c>
      <c r="E234" s="333" t="s">
        <v>775</v>
      </c>
      <c r="F234" s="334">
        <v>317</v>
      </c>
      <c r="G234" s="334">
        <v>8</v>
      </c>
      <c r="H234" s="335">
        <v>8</v>
      </c>
      <c r="I234" s="334">
        <v>0</v>
      </c>
      <c r="J234" s="334">
        <v>174</v>
      </c>
      <c r="K234" s="334">
        <v>66</v>
      </c>
      <c r="L234" s="334">
        <v>66</v>
      </c>
      <c r="M234" s="334">
        <v>0</v>
      </c>
      <c r="N234" s="334">
        <v>175</v>
      </c>
      <c r="O234" s="334">
        <v>51</v>
      </c>
      <c r="P234" s="334">
        <v>502</v>
      </c>
      <c r="Q234" s="335">
        <v>117</v>
      </c>
      <c r="R234" s="336">
        <f t="shared" si="114"/>
        <v>1168</v>
      </c>
      <c r="S234" s="366">
        <f t="shared" si="115"/>
        <v>242</v>
      </c>
      <c r="T234" s="336"/>
      <c r="U234" s="336"/>
      <c r="V234" s="336"/>
      <c r="W234" s="336"/>
      <c r="X234" s="336"/>
    </row>
    <row r="235" spans="1:24" ht="12.75">
      <c r="A235" s="332" t="s">
        <v>277</v>
      </c>
      <c r="B235" s="333" t="s">
        <v>136</v>
      </c>
      <c r="C235" s="333" t="s">
        <v>774</v>
      </c>
      <c r="D235" s="333">
        <v>2017</v>
      </c>
      <c r="E235" s="333" t="s">
        <v>775</v>
      </c>
      <c r="F235" s="334">
        <v>84</v>
      </c>
      <c r="G235" s="334">
        <v>0</v>
      </c>
      <c r="H235" s="335">
        <v>0</v>
      </c>
      <c r="I235" s="334">
        <v>0</v>
      </c>
      <c r="J235" s="334">
        <v>47</v>
      </c>
      <c r="K235" s="334">
        <v>0</v>
      </c>
      <c r="L235" s="334">
        <v>0</v>
      </c>
      <c r="M235" s="334">
        <v>0</v>
      </c>
      <c r="N235" s="334">
        <v>54</v>
      </c>
      <c r="O235" s="334">
        <v>7</v>
      </c>
      <c r="P235" s="334">
        <v>42</v>
      </c>
      <c r="Q235" s="335">
        <v>37</v>
      </c>
      <c r="R235" s="336">
        <f t="shared" si="114"/>
        <v>227</v>
      </c>
      <c r="S235" s="366">
        <f t="shared" si="115"/>
        <v>44</v>
      </c>
      <c r="T235" s="336"/>
      <c r="U235" s="336"/>
      <c r="V235" s="336"/>
      <c r="W235" s="336"/>
      <c r="X235" s="336"/>
    </row>
    <row r="236" spans="1:24" ht="12.75">
      <c r="A236" s="332" t="s">
        <v>278</v>
      </c>
      <c r="B236" s="333" t="s">
        <v>136</v>
      </c>
      <c r="C236" s="333" t="s">
        <v>774</v>
      </c>
      <c r="D236" s="333">
        <v>2017</v>
      </c>
      <c r="E236" s="333" t="s">
        <v>775</v>
      </c>
      <c r="F236" s="334">
        <v>80</v>
      </c>
      <c r="G236" s="334">
        <v>0</v>
      </c>
      <c r="H236" s="335">
        <v>0</v>
      </c>
      <c r="I236" s="334">
        <v>0</v>
      </c>
      <c r="J236" s="334">
        <v>48</v>
      </c>
      <c r="K236" s="334">
        <v>0</v>
      </c>
      <c r="L236" s="334">
        <v>0</v>
      </c>
      <c r="M236" s="334">
        <v>0</v>
      </c>
      <c r="N236" s="334">
        <v>43</v>
      </c>
      <c r="O236" s="334">
        <v>0</v>
      </c>
      <c r="P236" s="334">
        <v>126</v>
      </c>
      <c r="Q236" s="335">
        <v>2</v>
      </c>
      <c r="R236" s="336">
        <f t="shared" si="114"/>
        <v>297</v>
      </c>
      <c r="S236" s="366">
        <f t="shared" si="115"/>
        <v>2</v>
      </c>
      <c r="T236" s="336"/>
      <c r="U236" s="336"/>
      <c r="V236" s="336"/>
      <c r="W236" s="336"/>
      <c r="X236" s="336"/>
    </row>
    <row r="237" spans="1:24" ht="12.75">
      <c r="A237" s="332" t="s">
        <v>279</v>
      </c>
      <c r="B237" s="333" t="s">
        <v>136</v>
      </c>
      <c r="C237" s="333" t="s">
        <v>774</v>
      </c>
      <c r="D237" s="333">
        <v>2017</v>
      </c>
      <c r="E237" s="333" t="s">
        <v>775</v>
      </c>
      <c r="F237" s="334">
        <v>392</v>
      </c>
      <c r="G237" s="334">
        <v>0</v>
      </c>
      <c r="H237" s="335">
        <v>0</v>
      </c>
      <c r="I237" s="334">
        <v>0</v>
      </c>
      <c r="J237" s="334">
        <v>254</v>
      </c>
      <c r="K237" s="334">
        <v>6</v>
      </c>
      <c r="L237" s="334">
        <v>6</v>
      </c>
      <c r="M237" s="334">
        <v>0</v>
      </c>
      <c r="N237" s="334">
        <v>316</v>
      </c>
      <c r="O237" s="334">
        <v>0</v>
      </c>
      <c r="P237" s="334">
        <v>1063</v>
      </c>
      <c r="Q237" s="335">
        <v>147</v>
      </c>
      <c r="R237" s="336">
        <f t="shared" si="114"/>
        <v>2025</v>
      </c>
      <c r="S237" s="366">
        <f t="shared" si="115"/>
        <v>153</v>
      </c>
      <c r="T237" s="336"/>
      <c r="U237" s="336"/>
      <c r="V237" s="336"/>
      <c r="W237" s="336"/>
      <c r="X237" s="336"/>
    </row>
    <row r="238" spans="1:24" ht="12.75">
      <c r="A238" s="332" t="s">
        <v>280</v>
      </c>
      <c r="B238" s="333" t="s">
        <v>136</v>
      </c>
      <c r="C238" s="333" t="s">
        <v>774</v>
      </c>
      <c r="D238" s="333">
        <v>2017</v>
      </c>
      <c r="E238" s="333" t="s">
        <v>775</v>
      </c>
      <c r="F238" s="334">
        <v>118</v>
      </c>
      <c r="G238" s="334">
        <v>0</v>
      </c>
      <c r="H238" s="335">
        <v>0</v>
      </c>
      <c r="I238" s="334">
        <v>0</v>
      </c>
      <c r="J238" s="334">
        <v>69</v>
      </c>
      <c r="K238" s="334">
        <v>0</v>
      </c>
      <c r="L238" s="334">
        <v>0</v>
      </c>
      <c r="M238" s="334">
        <v>0</v>
      </c>
      <c r="N238" s="334">
        <v>84</v>
      </c>
      <c r="O238" s="334">
        <v>2</v>
      </c>
      <c r="P238" s="334">
        <v>177</v>
      </c>
      <c r="Q238" s="335">
        <v>5</v>
      </c>
      <c r="R238" s="336">
        <f t="shared" si="114"/>
        <v>448</v>
      </c>
      <c r="S238" s="366">
        <f t="shared" si="115"/>
        <v>7</v>
      </c>
      <c r="T238" s="336"/>
      <c r="U238" s="336"/>
      <c r="V238" s="336"/>
      <c r="W238" s="336"/>
      <c r="X238" s="336"/>
    </row>
    <row r="239" spans="1:24" ht="12.75">
      <c r="A239" s="332" t="s">
        <v>281</v>
      </c>
      <c r="B239" s="333" t="s">
        <v>136</v>
      </c>
      <c r="C239" s="333" t="s">
        <v>774</v>
      </c>
      <c r="D239" s="333">
        <v>2017</v>
      </c>
      <c r="E239" s="333" t="s">
        <v>775</v>
      </c>
      <c r="F239" s="334">
        <v>438</v>
      </c>
      <c r="G239" s="334">
        <v>79</v>
      </c>
      <c r="H239" s="335">
        <v>79</v>
      </c>
      <c r="I239" s="334">
        <v>0</v>
      </c>
      <c r="J239" s="334">
        <v>305</v>
      </c>
      <c r="K239" s="334">
        <v>0</v>
      </c>
      <c r="L239" s="334">
        <v>0</v>
      </c>
      <c r="M239" s="334">
        <v>0</v>
      </c>
      <c r="N239" s="334">
        <v>410</v>
      </c>
      <c r="O239" s="334">
        <v>0</v>
      </c>
      <c r="P239" s="334">
        <v>1282</v>
      </c>
      <c r="Q239" s="335">
        <v>59</v>
      </c>
      <c r="R239" s="336">
        <f t="shared" si="114"/>
        <v>2435</v>
      </c>
      <c r="S239" s="366">
        <f t="shared" si="115"/>
        <v>138</v>
      </c>
      <c r="T239" s="336"/>
      <c r="U239" s="336"/>
      <c r="V239" s="336"/>
      <c r="W239" s="336"/>
      <c r="X239" s="336"/>
    </row>
    <row r="240" spans="1:24" ht="12.75">
      <c r="A240" s="332" t="s">
        <v>282</v>
      </c>
      <c r="B240" s="333" t="s">
        <v>136</v>
      </c>
      <c r="C240" s="333" t="s">
        <v>774</v>
      </c>
      <c r="D240" s="333">
        <v>2017</v>
      </c>
      <c r="E240" s="333" t="s">
        <v>775</v>
      </c>
      <c r="F240" s="334">
        <v>56</v>
      </c>
      <c r="G240" s="334">
        <v>0</v>
      </c>
      <c r="H240" s="335">
        <v>0</v>
      </c>
      <c r="I240" s="334">
        <v>0</v>
      </c>
      <c r="J240" s="334">
        <v>53</v>
      </c>
      <c r="K240" s="334">
        <v>0</v>
      </c>
      <c r="L240" s="334">
        <v>0</v>
      </c>
      <c r="M240" s="334">
        <v>0</v>
      </c>
      <c r="N240" s="334">
        <v>75</v>
      </c>
      <c r="O240" s="334">
        <v>7</v>
      </c>
      <c r="P240" s="334">
        <v>265</v>
      </c>
      <c r="Q240" s="335">
        <v>0</v>
      </c>
      <c r="R240" s="336">
        <f t="shared" si="114"/>
        <v>449</v>
      </c>
      <c r="S240" s="366">
        <f t="shared" si="115"/>
        <v>7</v>
      </c>
      <c r="T240" s="336"/>
      <c r="U240" s="336"/>
      <c r="V240" s="336"/>
      <c r="W240" s="336"/>
      <c r="X240" s="336"/>
    </row>
    <row r="241" spans="1:24" ht="12.75">
      <c r="A241" s="332" t="s">
        <v>283</v>
      </c>
      <c r="B241" s="333" t="s">
        <v>136</v>
      </c>
      <c r="C241" s="333" t="s">
        <v>774</v>
      </c>
      <c r="D241" s="333">
        <v>2017</v>
      </c>
      <c r="E241" s="333" t="s">
        <v>775</v>
      </c>
      <c r="F241" s="334">
        <v>516</v>
      </c>
      <c r="G241" s="334">
        <v>0</v>
      </c>
      <c r="H241" s="335">
        <v>0</v>
      </c>
      <c r="I241" s="334">
        <v>0</v>
      </c>
      <c r="J241" s="334">
        <v>279</v>
      </c>
      <c r="K241" s="334">
        <v>0</v>
      </c>
      <c r="L241" s="334">
        <v>0</v>
      </c>
      <c r="M241" s="334">
        <v>0</v>
      </c>
      <c r="N241" s="334">
        <v>282</v>
      </c>
      <c r="O241" s="334">
        <v>0</v>
      </c>
      <c r="P241" s="334">
        <v>340</v>
      </c>
      <c r="Q241" s="335">
        <v>188</v>
      </c>
      <c r="R241" s="336">
        <f t="shared" si="114"/>
        <v>1417</v>
      </c>
      <c r="S241" s="366">
        <f t="shared" si="115"/>
        <v>188</v>
      </c>
      <c r="T241" s="336"/>
      <c r="U241" s="336"/>
      <c r="V241" s="336"/>
      <c r="W241" s="336"/>
      <c r="X241" s="336"/>
    </row>
    <row r="242" spans="1:24" ht="12.75">
      <c r="A242" s="337" t="s">
        <v>284</v>
      </c>
      <c r="B242" s="338" t="s">
        <v>136</v>
      </c>
      <c r="C242" s="338" t="s">
        <v>774</v>
      </c>
      <c r="D242" s="338">
        <v>2017</v>
      </c>
      <c r="E242" s="338" t="s">
        <v>775</v>
      </c>
      <c r="F242" s="335">
        <v>604</v>
      </c>
      <c r="G242" s="334">
        <v>0</v>
      </c>
      <c r="H242" s="335">
        <v>0</v>
      </c>
      <c r="I242" s="335">
        <v>0</v>
      </c>
      <c r="J242" s="334">
        <v>355</v>
      </c>
      <c r="K242" s="334">
        <v>0</v>
      </c>
      <c r="L242" s="335">
        <v>0</v>
      </c>
      <c r="M242" s="335">
        <v>0</v>
      </c>
      <c r="N242" s="335">
        <v>381</v>
      </c>
      <c r="O242" s="335">
        <v>6</v>
      </c>
      <c r="P242" s="335">
        <v>895</v>
      </c>
      <c r="Q242" s="335">
        <v>119</v>
      </c>
      <c r="R242" s="336">
        <f t="shared" si="114"/>
        <v>2235</v>
      </c>
      <c r="S242" s="366">
        <f t="shared" si="115"/>
        <v>125</v>
      </c>
      <c r="T242" s="339">
        <f>SUM(G223:G242)</f>
        <v>153</v>
      </c>
      <c r="U242" s="339">
        <f>SUM(K223:K242)</f>
        <v>82</v>
      </c>
      <c r="V242" s="339">
        <f>SUM(O223:O242)</f>
        <v>121</v>
      </c>
      <c r="W242" s="339">
        <f>SUM(Q223:Q242)</f>
        <v>1667</v>
      </c>
      <c r="X242" s="339">
        <f>T242+U242+V242+W242</f>
        <v>2023</v>
      </c>
    </row>
    <row r="243" spans="1:24" ht="12.75">
      <c r="A243" s="340" t="s">
        <v>265</v>
      </c>
      <c r="B243" s="341" t="s">
        <v>136</v>
      </c>
      <c r="C243" s="341" t="s">
        <v>774</v>
      </c>
      <c r="D243" s="341">
        <v>2018</v>
      </c>
      <c r="E243" s="341" t="s">
        <v>775</v>
      </c>
      <c r="F243" s="342">
        <v>349</v>
      </c>
      <c r="G243" s="343">
        <v>1</v>
      </c>
      <c r="H243" s="342">
        <v>0</v>
      </c>
      <c r="I243" s="342">
        <v>1</v>
      </c>
      <c r="J243" s="342">
        <v>205</v>
      </c>
      <c r="K243" s="343">
        <v>1</v>
      </c>
      <c r="L243" s="342">
        <v>0</v>
      </c>
      <c r="M243" s="342">
        <v>1</v>
      </c>
      <c r="N243" s="342">
        <v>214</v>
      </c>
      <c r="O243" s="342">
        <v>0</v>
      </c>
      <c r="P243" s="342">
        <v>680</v>
      </c>
      <c r="Q243" s="342">
        <v>119</v>
      </c>
      <c r="R243" s="344">
        <f t="shared" si="114"/>
        <v>1448</v>
      </c>
      <c r="S243" s="367">
        <f t="shared" si="115"/>
        <v>121</v>
      </c>
      <c r="T243" s="344"/>
      <c r="U243" s="344"/>
      <c r="V243" s="344"/>
      <c r="W243" s="344"/>
      <c r="X243" s="344"/>
    </row>
    <row r="244" spans="1:24" ht="12.75">
      <c r="A244" s="340" t="s">
        <v>267</v>
      </c>
      <c r="B244" s="341" t="s">
        <v>136</v>
      </c>
      <c r="C244" s="341" t="s">
        <v>774</v>
      </c>
      <c r="D244" s="341">
        <v>2018</v>
      </c>
      <c r="E244" s="341" t="s">
        <v>775</v>
      </c>
      <c r="F244" s="342">
        <v>51</v>
      </c>
      <c r="G244" s="375"/>
      <c r="H244" s="376"/>
      <c r="I244" s="376"/>
      <c r="J244" s="342">
        <v>25</v>
      </c>
      <c r="K244" s="375"/>
      <c r="L244" s="376"/>
      <c r="M244" s="376"/>
      <c r="N244" s="342">
        <v>31</v>
      </c>
      <c r="O244" s="376"/>
      <c r="P244" s="342">
        <v>34</v>
      </c>
      <c r="Q244" s="376"/>
      <c r="R244" s="344">
        <f t="shared" si="114"/>
        <v>141</v>
      </c>
      <c r="S244" s="367">
        <f t="shared" si="115"/>
        <v>0</v>
      </c>
      <c r="T244" s="344"/>
      <c r="U244" s="344"/>
      <c r="V244" s="344"/>
      <c r="W244" s="344"/>
      <c r="X244" s="344"/>
    </row>
    <row r="245" spans="1:24" ht="12.75">
      <c r="A245" s="340" t="s">
        <v>268</v>
      </c>
      <c r="B245" s="341" t="s">
        <v>136</v>
      </c>
      <c r="C245" s="341" t="s">
        <v>774</v>
      </c>
      <c r="D245" s="341">
        <v>2018</v>
      </c>
      <c r="E245" s="341" t="s">
        <v>775</v>
      </c>
      <c r="F245" s="342">
        <v>798</v>
      </c>
      <c r="G245" s="343">
        <v>0</v>
      </c>
      <c r="H245" s="342">
        <v>0</v>
      </c>
      <c r="I245" s="342">
        <v>0</v>
      </c>
      <c r="J245" s="342">
        <v>444</v>
      </c>
      <c r="K245" s="343">
        <v>0</v>
      </c>
      <c r="L245" s="342">
        <v>0</v>
      </c>
      <c r="M245" s="342">
        <v>0</v>
      </c>
      <c r="N245" s="342">
        <v>559</v>
      </c>
      <c r="O245" s="342">
        <v>0</v>
      </c>
      <c r="P245" s="342">
        <v>1677</v>
      </c>
      <c r="Q245" s="342">
        <v>24</v>
      </c>
      <c r="R245" s="344">
        <f t="shared" si="114"/>
        <v>3478</v>
      </c>
      <c r="S245" s="367">
        <f t="shared" si="115"/>
        <v>24</v>
      </c>
      <c r="T245" s="344"/>
      <c r="U245" s="344"/>
      <c r="V245" s="344"/>
      <c r="W245" s="344"/>
      <c r="X245" s="344"/>
    </row>
    <row r="246" spans="1:24" ht="12.75">
      <c r="A246" s="340" t="s">
        <v>269</v>
      </c>
      <c r="B246" s="341" t="s">
        <v>136</v>
      </c>
      <c r="C246" s="341" t="s">
        <v>774</v>
      </c>
      <c r="D246" s="341">
        <v>2018</v>
      </c>
      <c r="E246" s="341" t="s">
        <v>775</v>
      </c>
      <c r="F246" s="342">
        <v>374</v>
      </c>
      <c r="G246" s="343">
        <v>63</v>
      </c>
      <c r="H246" s="342">
        <v>62</v>
      </c>
      <c r="I246" s="342">
        <v>1</v>
      </c>
      <c r="J246" s="342">
        <v>218</v>
      </c>
      <c r="K246" s="343">
        <v>171</v>
      </c>
      <c r="L246" s="342">
        <v>171</v>
      </c>
      <c r="M246" s="342">
        <v>0</v>
      </c>
      <c r="N246" s="342">
        <v>243</v>
      </c>
      <c r="O246" s="342">
        <v>1</v>
      </c>
      <c r="P246" s="342">
        <v>532</v>
      </c>
      <c r="Q246" s="342">
        <v>434</v>
      </c>
      <c r="R246" s="344">
        <f t="shared" si="114"/>
        <v>1367</v>
      </c>
      <c r="S246" s="367">
        <f t="shared" si="115"/>
        <v>669</v>
      </c>
      <c r="T246" s="344"/>
      <c r="U246" s="344"/>
      <c r="V246" s="344"/>
      <c r="W246" s="344"/>
      <c r="X246" s="344"/>
    </row>
    <row r="247" spans="1:24" ht="12.75">
      <c r="A247" s="340" t="s">
        <v>270</v>
      </c>
      <c r="B247" s="341" t="s">
        <v>136</v>
      </c>
      <c r="C247" s="341" t="s">
        <v>774</v>
      </c>
      <c r="D247" s="341">
        <v>2018</v>
      </c>
      <c r="E247" s="341" t="s">
        <v>775</v>
      </c>
      <c r="F247" s="342">
        <v>196</v>
      </c>
      <c r="G247" s="343">
        <v>0</v>
      </c>
      <c r="H247" s="342">
        <v>0</v>
      </c>
      <c r="I247" s="342">
        <v>0</v>
      </c>
      <c r="J247" s="342">
        <v>111</v>
      </c>
      <c r="K247" s="343">
        <v>2</v>
      </c>
      <c r="L247" s="342">
        <v>0</v>
      </c>
      <c r="M247" s="342">
        <v>2</v>
      </c>
      <c r="N247" s="342">
        <v>124</v>
      </c>
      <c r="O247" s="342">
        <v>10</v>
      </c>
      <c r="P247" s="342">
        <v>126</v>
      </c>
      <c r="Q247" s="342">
        <v>34</v>
      </c>
      <c r="R247" s="344">
        <f t="shared" si="114"/>
        <v>557</v>
      </c>
      <c r="S247" s="367">
        <f t="shared" si="115"/>
        <v>46</v>
      </c>
      <c r="T247" s="344"/>
      <c r="U247" s="344"/>
      <c r="V247" s="344"/>
      <c r="W247" s="344"/>
      <c r="X247" s="344"/>
    </row>
    <row r="248" spans="1:24" ht="12.75">
      <c r="A248" s="340" t="s">
        <v>271</v>
      </c>
      <c r="B248" s="341" t="s">
        <v>136</v>
      </c>
      <c r="C248" s="341" t="s">
        <v>774</v>
      </c>
      <c r="D248" s="341">
        <v>2018</v>
      </c>
      <c r="E248" s="341" t="s">
        <v>775</v>
      </c>
      <c r="F248" s="342">
        <v>100</v>
      </c>
      <c r="G248" s="343">
        <v>0</v>
      </c>
      <c r="H248" s="342">
        <v>0</v>
      </c>
      <c r="I248" s="342">
        <v>0</v>
      </c>
      <c r="J248" s="342">
        <v>63</v>
      </c>
      <c r="K248" s="343">
        <v>0</v>
      </c>
      <c r="L248" s="342">
        <v>0</v>
      </c>
      <c r="M248" s="342">
        <v>0</v>
      </c>
      <c r="N248" s="342">
        <v>69</v>
      </c>
      <c r="O248" s="342">
        <v>0</v>
      </c>
      <c r="P248" s="342">
        <v>166</v>
      </c>
      <c r="Q248" s="342">
        <v>18</v>
      </c>
      <c r="R248" s="344">
        <f t="shared" si="114"/>
        <v>398</v>
      </c>
      <c r="S248" s="367">
        <f t="shared" si="115"/>
        <v>18</v>
      </c>
      <c r="T248" s="344"/>
      <c r="U248" s="344"/>
      <c r="V248" s="344"/>
      <c r="W248" s="344"/>
      <c r="X248" s="344"/>
    </row>
    <row r="249" spans="1:24" ht="12.75">
      <c r="A249" s="340" t="s">
        <v>272</v>
      </c>
      <c r="B249" s="341" t="s">
        <v>136</v>
      </c>
      <c r="C249" s="341" t="s">
        <v>774</v>
      </c>
      <c r="D249" s="341">
        <v>2018</v>
      </c>
      <c r="E249" s="341" t="s">
        <v>775</v>
      </c>
      <c r="F249" s="342">
        <v>220</v>
      </c>
      <c r="G249" s="343">
        <v>0</v>
      </c>
      <c r="H249" s="342">
        <v>0</v>
      </c>
      <c r="I249" s="342">
        <v>0</v>
      </c>
      <c r="J249" s="342">
        <v>118</v>
      </c>
      <c r="K249" s="343">
        <v>0</v>
      </c>
      <c r="L249" s="342">
        <v>0</v>
      </c>
      <c r="M249" s="342">
        <v>0</v>
      </c>
      <c r="N249" s="342">
        <v>100</v>
      </c>
      <c r="O249" s="342">
        <v>0</v>
      </c>
      <c r="P249" s="342">
        <v>244</v>
      </c>
      <c r="Q249" s="342">
        <v>227</v>
      </c>
      <c r="R249" s="344">
        <f t="shared" si="114"/>
        <v>682</v>
      </c>
      <c r="S249" s="367">
        <f t="shared" si="115"/>
        <v>227</v>
      </c>
      <c r="T249" s="344"/>
      <c r="U249" s="344"/>
      <c r="V249" s="344"/>
      <c r="W249" s="344"/>
      <c r="X249" s="344"/>
    </row>
    <row r="250" spans="1:24" ht="12.75">
      <c r="A250" s="340" t="s">
        <v>273</v>
      </c>
      <c r="B250" s="341" t="s">
        <v>136</v>
      </c>
      <c r="C250" s="341" t="s">
        <v>774</v>
      </c>
      <c r="D250" s="341">
        <v>2018</v>
      </c>
      <c r="E250" s="341" t="s">
        <v>775</v>
      </c>
      <c r="F250" s="342">
        <v>138</v>
      </c>
      <c r="G250" s="343">
        <v>0</v>
      </c>
      <c r="H250" s="342">
        <v>0</v>
      </c>
      <c r="I250" s="342">
        <v>0</v>
      </c>
      <c r="J250" s="342">
        <v>78</v>
      </c>
      <c r="K250" s="343">
        <v>0</v>
      </c>
      <c r="L250" s="342">
        <v>0</v>
      </c>
      <c r="M250" s="342">
        <v>0</v>
      </c>
      <c r="N250" s="342">
        <v>85</v>
      </c>
      <c r="O250" s="342">
        <v>2</v>
      </c>
      <c r="P250" s="342">
        <v>99</v>
      </c>
      <c r="Q250" s="342">
        <v>29</v>
      </c>
      <c r="R250" s="344">
        <f t="shared" si="114"/>
        <v>400</v>
      </c>
      <c r="S250" s="367">
        <f t="shared" si="115"/>
        <v>31</v>
      </c>
      <c r="T250" s="344"/>
      <c r="U250" s="344"/>
      <c r="V250" s="344"/>
      <c r="W250" s="344"/>
      <c r="X250" s="344"/>
    </row>
    <row r="251" spans="1:24" ht="12.75">
      <c r="A251" s="340" t="s">
        <v>274</v>
      </c>
      <c r="B251" s="341" t="s">
        <v>136</v>
      </c>
      <c r="C251" s="341" t="s">
        <v>774</v>
      </c>
      <c r="D251" s="341">
        <v>2018</v>
      </c>
      <c r="E251" s="341" t="s">
        <v>775</v>
      </c>
      <c r="F251" s="342">
        <v>124</v>
      </c>
      <c r="G251" s="343">
        <v>0</v>
      </c>
      <c r="H251" s="342">
        <v>0</v>
      </c>
      <c r="I251" s="342">
        <v>0</v>
      </c>
      <c r="J251" s="342">
        <v>72</v>
      </c>
      <c r="K251" s="343">
        <v>0</v>
      </c>
      <c r="L251" s="342">
        <v>0</v>
      </c>
      <c r="M251" s="342">
        <v>0</v>
      </c>
      <c r="N251" s="342">
        <v>78</v>
      </c>
      <c r="O251" s="342">
        <v>0</v>
      </c>
      <c r="P251" s="342">
        <v>195</v>
      </c>
      <c r="Q251" s="342">
        <v>5</v>
      </c>
      <c r="R251" s="344">
        <f t="shared" si="114"/>
        <v>469</v>
      </c>
      <c r="S251" s="367">
        <f t="shared" si="115"/>
        <v>5</v>
      </c>
      <c r="T251" s="344"/>
      <c r="U251" s="344"/>
      <c r="V251" s="344"/>
      <c r="W251" s="344"/>
      <c r="X251" s="344"/>
    </row>
    <row r="252" spans="1:24" ht="12.75">
      <c r="A252" s="340" t="s">
        <v>275</v>
      </c>
      <c r="B252" s="341" t="s">
        <v>136</v>
      </c>
      <c r="C252" s="341" t="s">
        <v>774</v>
      </c>
      <c r="D252" s="341">
        <v>2018</v>
      </c>
      <c r="E252" s="341" t="s">
        <v>775</v>
      </c>
      <c r="F252" s="342">
        <v>75</v>
      </c>
      <c r="G252" s="343">
        <v>0</v>
      </c>
      <c r="H252" s="342">
        <v>0</v>
      </c>
      <c r="I252" s="342">
        <v>0</v>
      </c>
      <c r="J252" s="342">
        <v>44</v>
      </c>
      <c r="K252" s="343">
        <v>0</v>
      </c>
      <c r="L252" s="342">
        <v>0</v>
      </c>
      <c r="M252" s="342">
        <v>0</v>
      </c>
      <c r="N252" s="342">
        <v>50</v>
      </c>
      <c r="O252" s="342">
        <v>1</v>
      </c>
      <c r="P252" s="342">
        <v>60</v>
      </c>
      <c r="Q252" s="342">
        <v>34</v>
      </c>
      <c r="R252" s="344">
        <f t="shared" si="114"/>
        <v>229</v>
      </c>
      <c r="S252" s="367">
        <f t="shared" si="115"/>
        <v>35</v>
      </c>
      <c r="T252" s="344"/>
      <c r="U252" s="344"/>
      <c r="V252" s="344"/>
      <c r="W252" s="344"/>
      <c r="X252" s="344"/>
    </row>
    <row r="253" spans="1:24" ht="12.75">
      <c r="A253" s="340" t="s">
        <v>276</v>
      </c>
      <c r="B253" s="341" t="s">
        <v>136</v>
      </c>
      <c r="C253" s="341" t="s">
        <v>774</v>
      </c>
      <c r="D253" s="341">
        <v>2018</v>
      </c>
      <c r="E253" s="341" t="s">
        <v>775</v>
      </c>
      <c r="F253" s="342">
        <v>317</v>
      </c>
      <c r="G253" s="343">
        <v>0</v>
      </c>
      <c r="H253" s="342">
        <v>0</v>
      </c>
      <c r="I253" s="342">
        <v>0</v>
      </c>
      <c r="J253" s="342">
        <v>174</v>
      </c>
      <c r="K253" s="343">
        <v>0</v>
      </c>
      <c r="L253" s="342">
        <v>0</v>
      </c>
      <c r="M253" s="342">
        <v>0</v>
      </c>
      <c r="N253" s="342">
        <v>175</v>
      </c>
      <c r="O253" s="342">
        <v>0</v>
      </c>
      <c r="P253" s="342">
        <v>502</v>
      </c>
      <c r="Q253" s="342">
        <v>192</v>
      </c>
      <c r="R253" s="344">
        <f t="shared" si="114"/>
        <v>1168</v>
      </c>
      <c r="S253" s="367">
        <f t="shared" si="115"/>
        <v>192</v>
      </c>
      <c r="T253" s="344"/>
      <c r="U253" s="344"/>
      <c r="V253" s="344"/>
      <c r="W253" s="344"/>
      <c r="X253" s="344"/>
    </row>
    <row r="254" spans="1:24" ht="12.75">
      <c r="A254" s="340" t="s">
        <v>277</v>
      </c>
      <c r="B254" s="341" t="s">
        <v>136</v>
      </c>
      <c r="C254" s="341" t="s">
        <v>774</v>
      </c>
      <c r="D254" s="341">
        <v>2018</v>
      </c>
      <c r="E254" s="341" t="s">
        <v>775</v>
      </c>
      <c r="F254" s="342">
        <v>84</v>
      </c>
      <c r="G254" s="343">
        <v>0</v>
      </c>
      <c r="H254" s="342">
        <v>0</v>
      </c>
      <c r="I254" s="342">
        <v>0</v>
      </c>
      <c r="J254" s="342">
        <v>47</v>
      </c>
      <c r="K254" s="343">
        <v>0</v>
      </c>
      <c r="L254" s="342">
        <v>0</v>
      </c>
      <c r="M254" s="342">
        <v>0</v>
      </c>
      <c r="N254" s="342">
        <v>54</v>
      </c>
      <c r="O254" s="342">
        <v>4</v>
      </c>
      <c r="P254" s="342">
        <v>42</v>
      </c>
      <c r="Q254" s="342">
        <v>51</v>
      </c>
      <c r="R254" s="344">
        <f t="shared" si="114"/>
        <v>227</v>
      </c>
      <c r="S254" s="367">
        <f t="shared" si="115"/>
        <v>55</v>
      </c>
      <c r="T254" s="344"/>
      <c r="U254" s="344"/>
      <c r="V254" s="344"/>
      <c r="W254" s="344"/>
      <c r="X254" s="344"/>
    </row>
    <row r="255" spans="1:24" ht="12.75">
      <c r="A255" s="340" t="s">
        <v>279</v>
      </c>
      <c r="B255" s="341" t="s">
        <v>136</v>
      </c>
      <c r="C255" s="341" t="s">
        <v>774</v>
      </c>
      <c r="D255" s="341">
        <v>2018</v>
      </c>
      <c r="E255" s="341" t="s">
        <v>775</v>
      </c>
      <c r="F255" s="342">
        <v>392</v>
      </c>
      <c r="G255" s="343">
        <v>23</v>
      </c>
      <c r="H255" s="342">
        <v>23</v>
      </c>
      <c r="I255" s="342">
        <v>0</v>
      </c>
      <c r="J255" s="342">
        <v>254</v>
      </c>
      <c r="K255" s="343">
        <v>208</v>
      </c>
      <c r="L255" s="342">
        <v>205</v>
      </c>
      <c r="M255" s="342">
        <v>3</v>
      </c>
      <c r="N255" s="342">
        <v>316</v>
      </c>
      <c r="O255" s="342">
        <v>48</v>
      </c>
      <c r="P255" s="342">
        <v>1063</v>
      </c>
      <c r="Q255" s="342">
        <v>68</v>
      </c>
      <c r="R255" s="344">
        <f t="shared" si="114"/>
        <v>2025</v>
      </c>
      <c r="S255" s="367">
        <f t="shared" si="115"/>
        <v>347</v>
      </c>
      <c r="T255" s="344"/>
      <c r="U255" s="344"/>
      <c r="V255" s="344"/>
      <c r="W255" s="344"/>
      <c r="X255" s="344"/>
    </row>
    <row r="256" spans="1:24" ht="12.75">
      <c r="A256" s="340" t="s">
        <v>280</v>
      </c>
      <c r="B256" s="341" t="s">
        <v>136</v>
      </c>
      <c r="C256" s="341" t="s">
        <v>774</v>
      </c>
      <c r="D256" s="341">
        <v>2018</v>
      </c>
      <c r="E256" s="341" t="s">
        <v>775</v>
      </c>
      <c r="F256" s="342">
        <v>118</v>
      </c>
      <c r="G256" s="343">
        <v>0</v>
      </c>
      <c r="H256" s="342">
        <v>0</v>
      </c>
      <c r="I256" s="342">
        <v>0</v>
      </c>
      <c r="J256" s="342">
        <v>69</v>
      </c>
      <c r="K256" s="343">
        <v>0</v>
      </c>
      <c r="L256" s="342">
        <v>0</v>
      </c>
      <c r="M256" s="342">
        <v>0</v>
      </c>
      <c r="N256" s="342">
        <v>84</v>
      </c>
      <c r="O256" s="342">
        <v>9</v>
      </c>
      <c r="P256" s="342">
        <v>177</v>
      </c>
      <c r="Q256" s="342">
        <v>39</v>
      </c>
      <c r="R256" s="344">
        <f t="shared" si="114"/>
        <v>448</v>
      </c>
      <c r="S256" s="367">
        <f t="shared" si="115"/>
        <v>48</v>
      </c>
      <c r="T256" s="344"/>
      <c r="U256" s="344"/>
      <c r="V256" s="344"/>
      <c r="W256" s="344"/>
      <c r="X256" s="344"/>
    </row>
    <row r="257" spans="1:24" ht="12.75">
      <c r="A257" s="340" t="s">
        <v>282</v>
      </c>
      <c r="B257" s="341" t="s">
        <v>136</v>
      </c>
      <c r="C257" s="341" t="s">
        <v>774</v>
      </c>
      <c r="D257" s="341">
        <v>2018</v>
      </c>
      <c r="E257" s="341" t="s">
        <v>775</v>
      </c>
      <c r="F257" s="342">
        <v>56</v>
      </c>
      <c r="G257" s="343">
        <v>0</v>
      </c>
      <c r="H257" s="342">
        <v>0</v>
      </c>
      <c r="I257" s="342">
        <v>0</v>
      </c>
      <c r="J257" s="342">
        <v>53</v>
      </c>
      <c r="K257" s="343">
        <v>2</v>
      </c>
      <c r="L257" s="342">
        <v>1</v>
      </c>
      <c r="M257" s="342">
        <v>1</v>
      </c>
      <c r="N257" s="342">
        <v>75</v>
      </c>
      <c r="O257" s="342">
        <v>0</v>
      </c>
      <c r="P257" s="342">
        <v>265</v>
      </c>
      <c r="Q257" s="342">
        <v>2</v>
      </c>
      <c r="R257" s="344">
        <f t="shared" si="114"/>
        <v>449</v>
      </c>
      <c r="S257" s="367">
        <f t="shared" si="115"/>
        <v>4</v>
      </c>
      <c r="T257" s="344"/>
      <c r="U257" s="344"/>
      <c r="V257" s="344"/>
      <c r="W257" s="344"/>
      <c r="X257" s="344"/>
    </row>
    <row r="258" spans="1:24" ht="12.75">
      <c r="A258" s="340" t="s">
        <v>283</v>
      </c>
      <c r="B258" s="341" t="s">
        <v>136</v>
      </c>
      <c r="C258" s="341" t="s">
        <v>774</v>
      </c>
      <c r="D258" s="341">
        <v>2018</v>
      </c>
      <c r="E258" s="341" t="s">
        <v>775</v>
      </c>
      <c r="F258" s="342">
        <v>516</v>
      </c>
      <c r="G258" s="343">
        <v>0</v>
      </c>
      <c r="H258" s="342">
        <v>0</v>
      </c>
      <c r="I258" s="342">
        <v>0</v>
      </c>
      <c r="J258" s="342">
        <v>279</v>
      </c>
      <c r="K258" s="343">
        <v>0</v>
      </c>
      <c r="L258" s="342">
        <v>0</v>
      </c>
      <c r="M258" s="342">
        <v>0</v>
      </c>
      <c r="N258" s="342">
        <v>282</v>
      </c>
      <c r="O258" s="342">
        <v>0</v>
      </c>
      <c r="P258" s="342">
        <v>340</v>
      </c>
      <c r="Q258" s="342">
        <v>275</v>
      </c>
      <c r="R258" s="344">
        <f t="shared" si="114"/>
        <v>1417</v>
      </c>
      <c r="S258" s="367">
        <f t="shared" si="115"/>
        <v>275</v>
      </c>
      <c r="T258" s="345">
        <f>SUM(G243:G258)</f>
        <v>87</v>
      </c>
      <c r="U258" s="345">
        <f>SUM(K243:K258)</f>
        <v>384</v>
      </c>
      <c r="V258" s="345">
        <f>SUM(O243:O258)</f>
        <v>75</v>
      </c>
      <c r="W258" s="345">
        <f>SUM(Q243:Q258)</f>
        <v>1551</v>
      </c>
      <c r="X258" s="345">
        <f>T258+U258+V258+W258</f>
        <v>2097</v>
      </c>
    </row>
    <row r="259" spans="1:24" ht="12.75">
      <c r="A259" s="346" t="s">
        <v>265</v>
      </c>
      <c r="B259" s="347" t="s">
        <v>136</v>
      </c>
      <c r="C259" s="347" t="s">
        <v>782</v>
      </c>
      <c r="D259" s="347">
        <v>2019</v>
      </c>
      <c r="E259" s="347" t="s">
        <v>775</v>
      </c>
      <c r="F259" s="348">
        <v>349</v>
      </c>
      <c r="G259" s="348">
        <v>2</v>
      </c>
      <c r="H259" s="348">
        <v>0</v>
      </c>
      <c r="I259" s="348">
        <v>2</v>
      </c>
      <c r="J259" s="348">
        <v>205</v>
      </c>
      <c r="K259" s="348">
        <v>0</v>
      </c>
      <c r="L259" s="348">
        <v>0</v>
      </c>
      <c r="M259" s="348">
        <v>0</v>
      </c>
      <c r="N259" s="348">
        <v>214</v>
      </c>
      <c r="O259" s="348">
        <v>12</v>
      </c>
      <c r="P259" s="348">
        <v>680</v>
      </c>
      <c r="Q259" s="348">
        <v>279</v>
      </c>
      <c r="R259" s="350">
        <f t="shared" si="114"/>
        <v>1448</v>
      </c>
      <c r="S259" s="348">
        <f t="shared" si="115"/>
        <v>293</v>
      </c>
      <c r="T259" s="348"/>
      <c r="U259" s="348"/>
      <c r="V259" s="348"/>
      <c r="W259" s="349"/>
      <c r="X259" s="349"/>
    </row>
    <row r="260" spans="1:24" ht="12.75">
      <c r="A260" s="346" t="s">
        <v>266</v>
      </c>
      <c r="B260" s="347" t="s">
        <v>136</v>
      </c>
      <c r="C260" s="347" t="s">
        <v>782</v>
      </c>
      <c r="D260" s="347">
        <v>2019</v>
      </c>
      <c r="E260" s="347" t="s">
        <v>775</v>
      </c>
      <c r="F260" s="348">
        <v>234</v>
      </c>
      <c r="G260" s="348">
        <v>0</v>
      </c>
      <c r="H260" s="348">
        <v>0</v>
      </c>
      <c r="I260" s="348">
        <v>0</v>
      </c>
      <c r="J260" s="348">
        <v>124</v>
      </c>
      <c r="K260" s="348">
        <v>3</v>
      </c>
      <c r="L260" s="348">
        <v>0</v>
      </c>
      <c r="M260" s="348">
        <v>3</v>
      </c>
      <c r="N260" s="348">
        <v>123</v>
      </c>
      <c r="O260" s="348">
        <v>0</v>
      </c>
      <c r="P260" s="348">
        <v>279</v>
      </c>
      <c r="Q260" s="348">
        <v>321</v>
      </c>
      <c r="R260" s="350">
        <f t="shared" si="114"/>
        <v>760</v>
      </c>
      <c r="S260" s="348">
        <f t="shared" si="115"/>
        <v>324</v>
      </c>
      <c r="T260" s="348"/>
      <c r="U260" s="348"/>
      <c r="V260" s="348"/>
      <c r="W260" s="349"/>
      <c r="X260" s="349"/>
    </row>
    <row r="261" spans="1:24" ht="12.75">
      <c r="A261" s="346" t="s">
        <v>267</v>
      </c>
      <c r="B261" s="347" t="s">
        <v>136</v>
      </c>
      <c r="C261" s="347" t="s">
        <v>782</v>
      </c>
      <c r="D261" s="347">
        <v>2019</v>
      </c>
      <c r="E261" s="347" t="s">
        <v>775</v>
      </c>
      <c r="F261" s="348">
        <v>51</v>
      </c>
      <c r="G261" s="348">
        <v>0</v>
      </c>
      <c r="H261" s="348">
        <v>0</v>
      </c>
      <c r="I261" s="348">
        <v>0</v>
      </c>
      <c r="J261" s="348">
        <v>25</v>
      </c>
      <c r="K261" s="348">
        <v>0</v>
      </c>
      <c r="L261" s="348">
        <v>0</v>
      </c>
      <c r="M261" s="348">
        <v>0</v>
      </c>
      <c r="N261" s="348">
        <v>31</v>
      </c>
      <c r="O261" s="348">
        <v>0</v>
      </c>
      <c r="P261" s="348">
        <v>34</v>
      </c>
      <c r="Q261" s="348">
        <v>0</v>
      </c>
      <c r="R261" s="350">
        <f t="shared" si="114"/>
        <v>141</v>
      </c>
      <c r="S261" s="348">
        <f t="shared" si="115"/>
        <v>0</v>
      </c>
      <c r="T261" s="348"/>
      <c r="U261" s="348"/>
      <c r="V261" s="348"/>
      <c r="W261" s="349"/>
      <c r="X261" s="349"/>
    </row>
    <row r="262" spans="1:24" ht="12.75">
      <c r="A262" s="346" t="s">
        <v>268</v>
      </c>
      <c r="B262" s="347" t="s">
        <v>136</v>
      </c>
      <c r="C262" s="347" t="s">
        <v>782</v>
      </c>
      <c r="D262" s="347">
        <v>2019</v>
      </c>
      <c r="E262" s="347" t="s">
        <v>775</v>
      </c>
      <c r="F262" s="348">
        <v>798</v>
      </c>
      <c r="G262" s="348">
        <v>0</v>
      </c>
      <c r="H262" s="348">
        <v>0</v>
      </c>
      <c r="I262" s="348">
        <v>0</v>
      </c>
      <c r="J262" s="348">
        <v>444</v>
      </c>
      <c r="K262" s="348">
        <v>0</v>
      </c>
      <c r="L262" s="348">
        <v>0</v>
      </c>
      <c r="M262" s="348">
        <v>0</v>
      </c>
      <c r="N262" s="348">
        <v>559</v>
      </c>
      <c r="O262" s="348">
        <v>1</v>
      </c>
      <c r="P262" s="348">
        <v>1677</v>
      </c>
      <c r="Q262" s="348">
        <v>34</v>
      </c>
      <c r="R262" s="350">
        <f t="shared" si="114"/>
        <v>3478</v>
      </c>
      <c r="S262" s="348">
        <f t="shared" si="115"/>
        <v>35</v>
      </c>
      <c r="T262" s="348"/>
      <c r="U262" s="348"/>
      <c r="V262" s="348"/>
      <c r="W262" s="349"/>
      <c r="X262" s="349"/>
    </row>
    <row r="263" spans="1:24" ht="12.75">
      <c r="A263" s="346" t="s">
        <v>269</v>
      </c>
      <c r="B263" s="347" t="s">
        <v>136</v>
      </c>
      <c r="C263" s="347" t="s">
        <v>782</v>
      </c>
      <c r="D263" s="347">
        <v>2019</v>
      </c>
      <c r="E263" s="347" t="s">
        <v>775</v>
      </c>
      <c r="F263" s="348">
        <v>374</v>
      </c>
      <c r="G263" s="348">
        <v>0</v>
      </c>
      <c r="H263" s="348">
        <v>0</v>
      </c>
      <c r="I263" s="348">
        <v>0</v>
      </c>
      <c r="J263" s="348">
        <v>218</v>
      </c>
      <c r="K263" s="348">
        <v>1</v>
      </c>
      <c r="L263" s="348">
        <v>0</v>
      </c>
      <c r="M263" s="348">
        <v>1</v>
      </c>
      <c r="N263" s="348">
        <v>243</v>
      </c>
      <c r="O263" s="348">
        <v>4</v>
      </c>
      <c r="P263" s="348">
        <v>532</v>
      </c>
      <c r="Q263" s="348">
        <v>214</v>
      </c>
      <c r="R263" s="350">
        <f t="shared" si="114"/>
        <v>1367</v>
      </c>
      <c r="S263" s="348">
        <f t="shared" si="115"/>
        <v>219</v>
      </c>
      <c r="T263" s="348"/>
      <c r="U263" s="348"/>
      <c r="V263" s="348"/>
      <c r="W263" s="349"/>
      <c r="X263" s="349"/>
    </row>
    <row r="264" spans="1:24" ht="12.75">
      <c r="A264" s="346" t="s">
        <v>270</v>
      </c>
      <c r="B264" s="347" t="s">
        <v>136</v>
      </c>
      <c r="C264" s="347" t="s">
        <v>782</v>
      </c>
      <c r="D264" s="347">
        <v>2019</v>
      </c>
      <c r="E264" s="347" t="s">
        <v>775</v>
      </c>
      <c r="F264" s="348">
        <v>196</v>
      </c>
      <c r="G264" s="348">
        <v>10</v>
      </c>
      <c r="H264" s="348">
        <v>10</v>
      </c>
      <c r="I264" s="348">
        <v>0</v>
      </c>
      <c r="J264" s="348">
        <v>111</v>
      </c>
      <c r="K264" s="348">
        <v>13</v>
      </c>
      <c r="L264" s="348">
        <v>2</v>
      </c>
      <c r="M264" s="348">
        <v>11</v>
      </c>
      <c r="N264" s="348">
        <v>124</v>
      </c>
      <c r="O264" s="348">
        <v>8</v>
      </c>
      <c r="P264" s="348">
        <v>126</v>
      </c>
      <c r="Q264" s="348">
        <v>176</v>
      </c>
      <c r="R264" s="350">
        <f t="shared" si="114"/>
        <v>557</v>
      </c>
      <c r="S264" s="348">
        <f t="shared" si="115"/>
        <v>207</v>
      </c>
      <c r="T264" s="348"/>
      <c r="U264" s="348"/>
      <c r="V264" s="348"/>
      <c r="W264" s="349"/>
      <c r="X264" s="349"/>
    </row>
    <row r="265" spans="1:24" ht="12.75">
      <c r="A265" s="346" t="s">
        <v>271</v>
      </c>
      <c r="B265" s="347" t="s">
        <v>136</v>
      </c>
      <c r="C265" s="347" t="s">
        <v>782</v>
      </c>
      <c r="D265" s="347">
        <v>2019</v>
      </c>
      <c r="E265" s="347" t="s">
        <v>775</v>
      </c>
      <c r="F265" s="348">
        <v>100</v>
      </c>
      <c r="G265" s="348">
        <v>0</v>
      </c>
      <c r="H265" s="348">
        <v>0</v>
      </c>
      <c r="I265" s="348">
        <v>0</v>
      </c>
      <c r="J265" s="348">
        <v>63</v>
      </c>
      <c r="K265" s="348">
        <v>0</v>
      </c>
      <c r="L265" s="348">
        <v>0</v>
      </c>
      <c r="M265" s="348">
        <v>0</v>
      </c>
      <c r="N265" s="348">
        <v>69</v>
      </c>
      <c r="O265" s="348">
        <v>0</v>
      </c>
      <c r="P265" s="348">
        <v>166</v>
      </c>
      <c r="Q265" s="348">
        <v>136</v>
      </c>
      <c r="R265" s="350">
        <f t="shared" si="114"/>
        <v>398</v>
      </c>
      <c r="S265" s="348">
        <f t="shared" si="115"/>
        <v>136</v>
      </c>
      <c r="T265" s="348"/>
      <c r="U265" s="348"/>
      <c r="V265" s="348"/>
      <c r="W265" s="349"/>
      <c r="X265" s="349"/>
    </row>
    <row r="266" spans="1:24" ht="12.75">
      <c r="A266" s="346" t="s">
        <v>272</v>
      </c>
      <c r="B266" s="347" t="s">
        <v>136</v>
      </c>
      <c r="C266" s="347" t="s">
        <v>782</v>
      </c>
      <c r="D266" s="347">
        <v>2019</v>
      </c>
      <c r="E266" s="347" t="s">
        <v>775</v>
      </c>
      <c r="F266" s="348">
        <v>220</v>
      </c>
      <c r="G266" s="348">
        <v>0</v>
      </c>
      <c r="H266" s="348">
        <v>0</v>
      </c>
      <c r="I266" s="348">
        <v>0</v>
      </c>
      <c r="J266" s="348">
        <v>118</v>
      </c>
      <c r="K266" s="348">
        <v>15</v>
      </c>
      <c r="L266" s="348">
        <v>0</v>
      </c>
      <c r="M266" s="348">
        <v>15</v>
      </c>
      <c r="N266" s="348">
        <v>100</v>
      </c>
      <c r="O266" s="348">
        <v>217</v>
      </c>
      <c r="P266" s="348">
        <v>244</v>
      </c>
      <c r="Q266" s="348">
        <v>17</v>
      </c>
      <c r="R266" s="350">
        <f t="shared" si="114"/>
        <v>682</v>
      </c>
      <c r="S266" s="348">
        <f t="shared" si="115"/>
        <v>249</v>
      </c>
      <c r="T266" s="348"/>
      <c r="U266" s="348"/>
      <c r="V266" s="348"/>
      <c r="W266" s="349"/>
      <c r="X266" s="349"/>
    </row>
    <row r="267" spans="1:24" ht="12.75">
      <c r="A267" s="346" t="s">
        <v>273</v>
      </c>
      <c r="B267" s="347" t="s">
        <v>136</v>
      </c>
      <c r="C267" s="347" t="s">
        <v>782</v>
      </c>
      <c r="D267" s="347">
        <v>2019</v>
      </c>
      <c r="E267" s="347" t="s">
        <v>775</v>
      </c>
      <c r="F267" s="348">
        <v>138</v>
      </c>
      <c r="G267" s="348">
        <v>0</v>
      </c>
      <c r="H267" s="348">
        <v>0</v>
      </c>
      <c r="I267" s="348">
        <v>0</v>
      </c>
      <c r="J267" s="348">
        <v>78</v>
      </c>
      <c r="K267" s="348">
        <v>3</v>
      </c>
      <c r="L267" s="348">
        <v>3</v>
      </c>
      <c r="M267" s="348">
        <v>0</v>
      </c>
      <c r="N267" s="348">
        <v>85</v>
      </c>
      <c r="O267" s="348">
        <v>14</v>
      </c>
      <c r="P267" s="348">
        <v>99</v>
      </c>
      <c r="Q267" s="348">
        <v>70</v>
      </c>
      <c r="R267" s="350">
        <f t="shared" si="114"/>
        <v>400</v>
      </c>
      <c r="S267" s="348">
        <f t="shared" si="115"/>
        <v>87</v>
      </c>
      <c r="T267" s="348"/>
      <c r="U267" s="348"/>
      <c r="V267" s="348"/>
      <c r="W267" s="349"/>
      <c r="X267" s="349"/>
    </row>
    <row r="268" spans="1:24" ht="12.75">
      <c r="A268" s="346" t="s">
        <v>274</v>
      </c>
      <c r="B268" s="347" t="s">
        <v>136</v>
      </c>
      <c r="C268" s="347" t="s">
        <v>782</v>
      </c>
      <c r="D268" s="347">
        <v>2019</v>
      </c>
      <c r="E268" s="347" t="s">
        <v>775</v>
      </c>
      <c r="F268" s="348">
        <v>124</v>
      </c>
      <c r="G268" s="348">
        <v>0</v>
      </c>
      <c r="H268" s="348">
        <v>0</v>
      </c>
      <c r="I268" s="348">
        <v>0</v>
      </c>
      <c r="J268" s="348">
        <v>72</v>
      </c>
      <c r="K268" s="348">
        <v>0</v>
      </c>
      <c r="L268" s="348">
        <v>0</v>
      </c>
      <c r="M268" s="348">
        <v>0</v>
      </c>
      <c r="N268" s="348">
        <v>78</v>
      </c>
      <c r="O268" s="348">
        <v>0</v>
      </c>
      <c r="P268" s="348">
        <v>195</v>
      </c>
      <c r="Q268" s="348">
        <v>2</v>
      </c>
      <c r="R268" s="350">
        <f t="shared" si="114"/>
        <v>469</v>
      </c>
      <c r="S268" s="348">
        <f t="shared" si="115"/>
        <v>2</v>
      </c>
      <c r="T268" s="348"/>
      <c r="U268" s="348"/>
      <c r="V268" s="348"/>
      <c r="W268" s="349"/>
      <c r="X268" s="349"/>
    </row>
    <row r="269" spans="1:24" ht="12.75">
      <c r="A269" s="346" t="s">
        <v>275</v>
      </c>
      <c r="B269" s="347" t="s">
        <v>136</v>
      </c>
      <c r="C269" s="347" t="s">
        <v>782</v>
      </c>
      <c r="D269" s="347">
        <v>2019</v>
      </c>
      <c r="E269" s="347" t="s">
        <v>775</v>
      </c>
      <c r="F269" s="348">
        <v>75</v>
      </c>
      <c r="G269" s="348">
        <v>0</v>
      </c>
      <c r="H269" s="348">
        <v>0</v>
      </c>
      <c r="I269" s="348">
        <v>0</v>
      </c>
      <c r="J269" s="348">
        <v>44</v>
      </c>
      <c r="K269" s="348">
        <v>0</v>
      </c>
      <c r="L269" s="348">
        <v>0</v>
      </c>
      <c r="M269" s="348">
        <v>0</v>
      </c>
      <c r="N269" s="348">
        <v>50</v>
      </c>
      <c r="O269" s="348">
        <v>1</v>
      </c>
      <c r="P269" s="348">
        <v>60</v>
      </c>
      <c r="Q269" s="348">
        <v>5</v>
      </c>
      <c r="R269" s="350">
        <f t="shared" si="114"/>
        <v>229</v>
      </c>
      <c r="S269" s="348">
        <f t="shared" si="115"/>
        <v>6</v>
      </c>
      <c r="T269" s="348"/>
      <c r="U269" s="348"/>
      <c r="V269" s="348"/>
      <c r="W269" s="349"/>
      <c r="X269" s="349"/>
    </row>
    <row r="270" spans="1:24" ht="12.75">
      <c r="A270" s="346" t="s">
        <v>276</v>
      </c>
      <c r="B270" s="347" t="s">
        <v>136</v>
      </c>
      <c r="C270" s="347" t="s">
        <v>782</v>
      </c>
      <c r="D270" s="347">
        <v>2019</v>
      </c>
      <c r="E270" s="347" t="s">
        <v>775</v>
      </c>
      <c r="F270" s="348">
        <v>317</v>
      </c>
      <c r="G270" s="348">
        <v>0</v>
      </c>
      <c r="H270" s="348">
        <v>0</v>
      </c>
      <c r="I270" s="348">
        <v>0</v>
      </c>
      <c r="J270" s="348">
        <v>174</v>
      </c>
      <c r="K270" s="348">
        <v>0</v>
      </c>
      <c r="L270" s="348">
        <v>0</v>
      </c>
      <c r="M270" s="348">
        <v>0</v>
      </c>
      <c r="N270" s="348">
        <v>175</v>
      </c>
      <c r="O270" s="348">
        <v>0</v>
      </c>
      <c r="P270" s="348">
        <v>502</v>
      </c>
      <c r="Q270" s="348">
        <v>262</v>
      </c>
      <c r="R270" s="350">
        <f t="shared" si="114"/>
        <v>1168</v>
      </c>
      <c r="S270" s="348">
        <f t="shared" si="115"/>
        <v>262</v>
      </c>
      <c r="T270" s="348"/>
      <c r="U270" s="348"/>
      <c r="V270" s="348"/>
      <c r="W270" s="349"/>
      <c r="X270" s="349"/>
    </row>
    <row r="271" spans="1:24" ht="12.75">
      <c r="A271" s="346" t="s">
        <v>277</v>
      </c>
      <c r="B271" s="347" t="s">
        <v>136</v>
      </c>
      <c r="C271" s="347" t="s">
        <v>782</v>
      </c>
      <c r="D271" s="347">
        <v>2019</v>
      </c>
      <c r="E271" s="347" t="s">
        <v>775</v>
      </c>
      <c r="F271" s="348">
        <v>84</v>
      </c>
      <c r="G271" s="348">
        <v>0</v>
      </c>
      <c r="H271" s="348">
        <v>0</v>
      </c>
      <c r="I271" s="348">
        <v>0</v>
      </c>
      <c r="J271" s="348">
        <v>47</v>
      </c>
      <c r="K271" s="348">
        <v>0</v>
      </c>
      <c r="L271" s="348">
        <v>0</v>
      </c>
      <c r="M271" s="348">
        <v>0</v>
      </c>
      <c r="N271" s="348">
        <v>54</v>
      </c>
      <c r="O271" s="348">
        <v>7</v>
      </c>
      <c r="P271" s="348">
        <v>42</v>
      </c>
      <c r="Q271" s="348">
        <v>33</v>
      </c>
      <c r="R271" s="350">
        <f t="shared" si="114"/>
        <v>227</v>
      </c>
      <c r="S271" s="348">
        <f t="shared" si="115"/>
        <v>40</v>
      </c>
      <c r="T271" s="348"/>
      <c r="U271" s="348"/>
      <c r="V271" s="348"/>
      <c r="W271" s="349"/>
      <c r="X271" s="349"/>
    </row>
    <row r="272" spans="1:24" ht="12.75">
      <c r="A272" s="346" t="s">
        <v>278</v>
      </c>
      <c r="B272" s="347" t="s">
        <v>136</v>
      </c>
      <c r="C272" s="347" t="s">
        <v>782</v>
      </c>
      <c r="D272" s="347">
        <v>2019</v>
      </c>
      <c r="E272" s="347" t="s">
        <v>775</v>
      </c>
      <c r="F272" s="348">
        <v>80</v>
      </c>
      <c r="G272" s="348">
        <v>0</v>
      </c>
      <c r="H272" s="348">
        <v>0</v>
      </c>
      <c r="I272" s="348">
        <v>0</v>
      </c>
      <c r="J272" s="348">
        <v>48</v>
      </c>
      <c r="K272" s="348">
        <v>0</v>
      </c>
      <c r="L272" s="348">
        <v>0</v>
      </c>
      <c r="M272" s="348">
        <v>0</v>
      </c>
      <c r="N272" s="348">
        <v>43</v>
      </c>
      <c r="O272" s="348">
        <v>0</v>
      </c>
      <c r="P272" s="348">
        <v>126</v>
      </c>
      <c r="Q272" s="348">
        <v>7</v>
      </c>
      <c r="R272" s="350">
        <f t="shared" si="114"/>
        <v>297</v>
      </c>
      <c r="S272" s="348">
        <f t="shared" si="115"/>
        <v>7</v>
      </c>
      <c r="T272" s="348"/>
      <c r="U272" s="348"/>
      <c r="V272" s="348"/>
      <c r="W272" s="349"/>
      <c r="X272" s="349"/>
    </row>
    <row r="273" spans="1:24" ht="12.75">
      <c r="A273" s="346" t="s">
        <v>279</v>
      </c>
      <c r="B273" s="347" t="s">
        <v>136</v>
      </c>
      <c r="C273" s="347" t="s">
        <v>782</v>
      </c>
      <c r="D273" s="347">
        <v>2019</v>
      </c>
      <c r="E273" s="347" t="s">
        <v>775</v>
      </c>
      <c r="F273" s="348">
        <v>392</v>
      </c>
      <c r="G273" s="348">
        <v>0</v>
      </c>
      <c r="H273" s="348">
        <v>0</v>
      </c>
      <c r="I273" s="348">
        <v>0</v>
      </c>
      <c r="J273" s="348">
        <v>254</v>
      </c>
      <c r="K273" s="348">
        <v>9</v>
      </c>
      <c r="L273" s="348">
        <v>3</v>
      </c>
      <c r="M273" s="348">
        <v>6</v>
      </c>
      <c r="N273" s="348">
        <v>316</v>
      </c>
      <c r="O273" s="348">
        <v>18</v>
      </c>
      <c r="P273" s="348">
        <v>1063</v>
      </c>
      <c r="Q273" s="348">
        <v>89</v>
      </c>
      <c r="R273" s="350">
        <f t="shared" si="114"/>
        <v>2025</v>
      </c>
      <c r="S273" s="348">
        <f t="shared" si="115"/>
        <v>116</v>
      </c>
      <c r="T273" s="348"/>
      <c r="U273" s="348"/>
      <c r="V273" s="348"/>
      <c r="W273" s="349"/>
      <c r="X273" s="349"/>
    </row>
    <row r="274" spans="1:24" ht="12.75">
      <c r="A274" s="346" t="s">
        <v>280</v>
      </c>
      <c r="B274" s="347" t="s">
        <v>136</v>
      </c>
      <c r="C274" s="347" t="s">
        <v>782</v>
      </c>
      <c r="D274" s="347">
        <v>2019</v>
      </c>
      <c r="E274" s="347" t="s">
        <v>775</v>
      </c>
      <c r="F274" s="348">
        <v>118</v>
      </c>
      <c r="G274" s="348">
        <v>0</v>
      </c>
      <c r="H274" s="348">
        <v>0</v>
      </c>
      <c r="I274" s="348">
        <v>0</v>
      </c>
      <c r="J274" s="348">
        <v>69</v>
      </c>
      <c r="K274" s="348">
        <v>0</v>
      </c>
      <c r="L274" s="348">
        <v>0</v>
      </c>
      <c r="M274" s="348">
        <v>0</v>
      </c>
      <c r="N274" s="348">
        <v>84</v>
      </c>
      <c r="O274" s="348">
        <v>14</v>
      </c>
      <c r="P274" s="348">
        <v>177</v>
      </c>
      <c r="Q274" s="348">
        <v>18</v>
      </c>
      <c r="R274" s="350">
        <f t="shared" si="114"/>
        <v>448</v>
      </c>
      <c r="S274" s="348">
        <f t="shared" si="115"/>
        <v>32</v>
      </c>
      <c r="T274" s="348"/>
      <c r="U274" s="348"/>
      <c r="V274" s="348"/>
      <c r="W274" s="349"/>
      <c r="X274" s="349"/>
    </row>
    <row r="275" spans="1:24" ht="12.75">
      <c r="A275" s="346" t="s">
        <v>281</v>
      </c>
      <c r="B275" s="347" t="s">
        <v>136</v>
      </c>
      <c r="C275" s="347" t="s">
        <v>782</v>
      </c>
      <c r="D275" s="347">
        <v>2019</v>
      </c>
      <c r="E275" s="347" t="s">
        <v>775</v>
      </c>
      <c r="F275" s="348">
        <v>438</v>
      </c>
      <c r="G275" s="348">
        <v>0</v>
      </c>
      <c r="H275" s="348">
        <v>0</v>
      </c>
      <c r="I275" s="348">
        <v>0</v>
      </c>
      <c r="J275" s="348">
        <v>305</v>
      </c>
      <c r="K275" s="348">
        <v>0</v>
      </c>
      <c r="L275" s="348">
        <v>0</v>
      </c>
      <c r="M275" s="348">
        <v>0</v>
      </c>
      <c r="N275" s="348">
        <v>410</v>
      </c>
      <c r="O275" s="348">
        <v>0</v>
      </c>
      <c r="P275" s="348">
        <v>1282</v>
      </c>
      <c r="Q275" s="348">
        <v>91</v>
      </c>
      <c r="R275" s="350">
        <f t="shared" si="114"/>
        <v>2435</v>
      </c>
      <c r="S275" s="348">
        <f t="shared" si="115"/>
        <v>91</v>
      </c>
      <c r="T275" s="348"/>
      <c r="U275" s="348"/>
      <c r="V275" s="348"/>
      <c r="W275" s="349"/>
      <c r="X275" s="349"/>
    </row>
    <row r="276" spans="1:24" ht="12.75">
      <c r="A276" s="346" t="s">
        <v>282</v>
      </c>
      <c r="B276" s="347" t="s">
        <v>136</v>
      </c>
      <c r="C276" s="347" t="s">
        <v>782</v>
      </c>
      <c r="D276" s="347">
        <v>2019</v>
      </c>
      <c r="E276" s="347" t="s">
        <v>775</v>
      </c>
      <c r="F276" s="348">
        <v>56</v>
      </c>
      <c r="G276" s="348">
        <v>0</v>
      </c>
      <c r="H276" s="348">
        <v>0</v>
      </c>
      <c r="I276" s="348">
        <v>0</v>
      </c>
      <c r="J276" s="348">
        <v>53</v>
      </c>
      <c r="K276" s="348">
        <v>0</v>
      </c>
      <c r="L276" s="348">
        <v>0</v>
      </c>
      <c r="M276" s="348">
        <v>0</v>
      </c>
      <c r="N276" s="348">
        <v>75</v>
      </c>
      <c r="O276" s="348">
        <v>6</v>
      </c>
      <c r="P276" s="348">
        <v>265</v>
      </c>
      <c r="Q276" s="348">
        <v>1</v>
      </c>
      <c r="R276" s="350">
        <f t="shared" si="114"/>
        <v>449</v>
      </c>
      <c r="S276" s="348">
        <f t="shared" si="115"/>
        <v>7</v>
      </c>
      <c r="T276" s="348"/>
      <c r="U276" s="348"/>
      <c r="V276" s="348"/>
      <c r="W276" s="349"/>
      <c r="X276" s="349"/>
    </row>
    <row r="277" spans="1:24" ht="12.75">
      <c r="A277" s="346" t="s">
        <v>283</v>
      </c>
      <c r="B277" s="347" t="s">
        <v>136</v>
      </c>
      <c r="C277" s="347" t="s">
        <v>782</v>
      </c>
      <c r="D277" s="347">
        <v>2019</v>
      </c>
      <c r="E277" s="347" t="s">
        <v>775</v>
      </c>
      <c r="F277" s="348">
        <v>516</v>
      </c>
      <c r="G277" s="348">
        <v>0</v>
      </c>
      <c r="H277" s="348">
        <v>0</v>
      </c>
      <c r="I277" s="348">
        <v>0</v>
      </c>
      <c r="J277" s="348">
        <v>279</v>
      </c>
      <c r="K277" s="348">
        <v>0</v>
      </c>
      <c r="L277" s="348">
        <v>0</v>
      </c>
      <c r="M277" s="348">
        <v>0</v>
      </c>
      <c r="N277" s="348">
        <v>282</v>
      </c>
      <c r="O277" s="348">
        <v>0</v>
      </c>
      <c r="P277" s="348">
        <v>340</v>
      </c>
      <c r="Q277" s="348">
        <v>252</v>
      </c>
      <c r="R277" s="350">
        <f t="shared" si="114"/>
        <v>1417</v>
      </c>
      <c r="S277" s="348">
        <f t="shared" si="115"/>
        <v>252</v>
      </c>
      <c r="T277" s="350"/>
      <c r="U277" s="350"/>
      <c r="V277" s="350"/>
      <c r="W277" s="350"/>
      <c r="X277" s="349"/>
    </row>
    <row r="278" spans="1:24" ht="12.75">
      <c r="A278" s="346" t="s">
        <v>284</v>
      </c>
      <c r="B278" s="347" t="s">
        <v>136</v>
      </c>
      <c r="C278" s="347" t="s">
        <v>782</v>
      </c>
      <c r="D278" s="347">
        <v>2019</v>
      </c>
      <c r="E278" s="347" t="s">
        <v>775</v>
      </c>
      <c r="F278" s="348">
        <v>604</v>
      </c>
      <c r="G278" s="348">
        <v>0</v>
      </c>
      <c r="H278" s="348">
        <v>0</v>
      </c>
      <c r="I278" s="348">
        <v>0</v>
      </c>
      <c r="J278" s="348">
        <v>355</v>
      </c>
      <c r="K278" s="348">
        <v>0</v>
      </c>
      <c r="L278" s="348">
        <v>0</v>
      </c>
      <c r="M278" s="348">
        <v>0</v>
      </c>
      <c r="N278" s="348">
        <v>381</v>
      </c>
      <c r="O278" s="348">
        <v>9</v>
      </c>
      <c r="P278" s="348">
        <v>895</v>
      </c>
      <c r="Q278" s="348">
        <v>368</v>
      </c>
      <c r="R278" s="350">
        <f t="shared" si="114"/>
        <v>2235</v>
      </c>
      <c r="S278" s="348">
        <f t="shared" si="115"/>
        <v>377</v>
      </c>
      <c r="T278" s="352">
        <f>SUM(G259:G278)</f>
        <v>12</v>
      </c>
      <c r="U278" s="352">
        <f>SUM(K259:K278)</f>
        <v>44</v>
      </c>
      <c r="V278" s="352">
        <f>SUM(O259:O278)</f>
        <v>311</v>
      </c>
      <c r="W278" s="352">
        <f>SUM(Q259:Q278)</f>
        <v>2375</v>
      </c>
      <c r="X278" s="352">
        <f>T278+U278+V278+W278</f>
        <v>2742</v>
      </c>
    </row>
    <row r="279" spans="1:24" ht="12.75">
      <c r="A279" s="220"/>
      <c r="B279" s="221"/>
      <c r="C279" s="221"/>
      <c r="D279" s="221"/>
      <c r="E279" s="221"/>
      <c r="F279" s="353"/>
      <c r="G279" s="353"/>
      <c r="H279" s="354"/>
      <c r="I279" s="353"/>
      <c r="J279" s="353"/>
      <c r="K279" s="353"/>
      <c r="L279" s="353"/>
      <c r="M279" s="353"/>
      <c r="N279" s="353"/>
      <c r="O279" s="353"/>
      <c r="P279" s="353"/>
      <c r="Q279" s="354"/>
      <c r="R279" s="182"/>
      <c r="S279" s="361" t="s">
        <v>783</v>
      </c>
      <c r="T279" s="356">
        <f t="shared" ref="T279:X279" si="116">SUM(T175:T278)</f>
        <v>500</v>
      </c>
      <c r="U279" s="356">
        <f t="shared" si="116"/>
        <v>934</v>
      </c>
      <c r="V279" s="356">
        <f t="shared" si="116"/>
        <v>1494</v>
      </c>
      <c r="W279" s="356">
        <f t="shared" si="116"/>
        <v>11604</v>
      </c>
      <c r="X279" s="356">
        <f t="shared" si="116"/>
        <v>14532</v>
      </c>
    </row>
    <row r="280" spans="1:24" ht="12.75">
      <c r="A280" s="220"/>
      <c r="B280" s="221"/>
      <c r="C280" s="221"/>
      <c r="D280" s="221"/>
      <c r="E280" s="221"/>
      <c r="F280" s="353"/>
      <c r="G280" s="353"/>
      <c r="H280" s="354"/>
      <c r="I280" s="353"/>
      <c r="J280" s="353"/>
      <c r="K280" s="353"/>
      <c r="L280" s="353"/>
      <c r="M280" s="353"/>
      <c r="N280" s="353"/>
      <c r="O280" s="353"/>
      <c r="P280" s="353"/>
      <c r="Q280" s="354"/>
      <c r="R280" s="182"/>
      <c r="S280" s="362">
        <f t="shared" ref="S280:S287" si="117">K280+O280+G280+Q280</f>
        <v>0</v>
      </c>
      <c r="T280" s="92"/>
      <c r="U280" s="92"/>
      <c r="V280" s="92"/>
      <c r="W280" s="92"/>
      <c r="X280" s="92"/>
    </row>
    <row r="281" spans="1:24" ht="12.75">
      <c r="A281" s="307" t="s">
        <v>286</v>
      </c>
      <c r="B281" s="308" t="s">
        <v>138</v>
      </c>
      <c r="C281" s="308" t="s">
        <v>784</v>
      </c>
      <c r="D281" s="308">
        <v>2014</v>
      </c>
      <c r="E281" s="308" t="s">
        <v>775</v>
      </c>
      <c r="F281" s="309">
        <v>60</v>
      </c>
      <c r="G281" s="309">
        <v>3</v>
      </c>
      <c r="H281" s="310">
        <v>0</v>
      </c>
      <c r="I281" s="309">
        <v>3</v>
      </c>
      <c r="J281" s="309">
        <v>37</v>
      </c>
      <c r="K281" s="309">
        <v>1</v>
      </c>
      <c r="L281" s="309">
        <v>1</v>
      </c>
      <c r="M281" s="309">
        <v>0</v>
      </c>
      <c r="N281" s="309">
        <v>30</v>
      </c>
      <c r="O281" s="309">
        <v>3</v>
      </c>
      <c r="P281" s="309">
        <v>106</v>
      </c>
      <c r="Q281" s="310">
        <v>4</v>
      </c>
      <c r="R281" s="311">
        <f t="shared" ref="R281:R287" si="118">F281+J281+N281+P281</f>
        <v>233</v>
      </c>
      <c r="S281" s="363">
        <f t="shared" si="117"/>
        <v>11</v>
      </c>
      <c r="T281" s="314">
        <f t="shared" ref="T281:T285" si="119">G281</f>
        <v>3</v>
      </c>
      <c r="U281" s="314">
        <f t="shared" ref="U281:U285" si="120">K281</f>
        <v>1</v>
      </c>
      <c r="V281" s="314">
        <f t="shared" ref="V281:V285" si="121">O281</f>
        <v>3</v>
      </c>
      <c r="W281" s="314">
        <f t="shared" ref="W281:W285" si="122">Q281</f>
        <v>4</v>
      </c>
      <c r="X281" s="314">
        <f t="shared" ref="X281:X285" si="123">T281+U281+V281+W281</f>
        <v>11</v>
      </c>
    </row>
    <row r="282" spans="1:24" ht="12.75">
      <c r="A282" s="315" t="s">
        <v>286</v>
      </c>
      <c r="B282" s="316" t="s">
        <v>138</v>
      </c>
      <c r="C282" s="316" t="s">
        <v>784</v>
      </c>
      <c r="D282" s="316">
        <v>2015</v>
      </c>
      <c r="E282" s="316" t="s">
        <v>775</v>
      </c>
      <c r="F282" s="317">
        <v>60</v>
      </c>
      <c r="G282" s="317">
        <v>4</v>
      </c>
      <c r="H282" s="318">
        <v>0</v>
      </c>
      <c r="I282" s="317">
        <v>4</v>
      </c>
      <c r="J282" s="317">
        <v>37</v>
      </c>
      <c r="K282" s="317">
        <v>4</v>
      </c>
      <c r="L282" s="317">
        <v>0</v>
      </c>
      <c r="M282" s="317">
        <v>4</v>
      </c>
      <c r="N282" s="317">
        <v>30</v>
      </c>
      <c r="O282" s="317">
        <v>4</v>
      </c>
      <c r="P282" s="317">
        <v>106</v>
      </c>
      <c r="Q282" s="318">
        <v>17</v>
      </c>
      <c r="R282" s="319">
        <f t="shared" si="118"/>
        <v>233</v>
      </c>
      <c r="S282" s="364">
        <f t="shared" si="117"/>
        <v>29</v>
      </c>
      <c r="T282" s="323">
        <f t="shared" si="119"/>
        <v>4</v>
      </c>
      <c r="U282" s="323">
        <f t="shared" si="120"/>
        <v>4</v>
      </c>
      <c r="V282" s="323">
        <f t="shared" si="121"/>
        <v>4</v>
      </c>
      <c r="W282" s="323">
        <f t="shared" si="122"/>
        <v>17</v>
      </c>
      <c r="X282" s="323">
        <f t="shared" si="123"/>
        <v>29</v>
      </c>
    </row>
    <row r="283" spans="1:24" ht="12.75">
      <c r="A283" s="324" t="s">
        <v>286</v>
      </c>
      <c r="B283" s="325" t="s">
        <v>138</v>
      </c>
      <c r="C283" s="325" t="s">
        <v>784</v>
      </c>
      <c r="D283" s="325">
        <v>2016</v>
      </c>
      <c r="E283" s="325" t="s">
        <v>775</v>
      </c>
      <c r="F283" s="326">
        <v>60</v>
      </c>
      <c r="G283" s="326">
        <v>3</v>
      </c>
      <c r="H283" s="327">
        <v>0</v>
      </c>
      <c r="I283" s="326">
        <v>3</v>
      </c>
      <c r="J283" s="326">
        <v>37</v>
      </c>
      <c r="K283" s="326">
        <v>0</v>
      </c>
      <c r="L283" s="326">
        <v>0</v>
      </c>
      <c r="M283" s="326">
        <v>0</v>
      </c>
      <c r="N283" s="326">
        <v>30</v>
      </c>
      <c r="O283" s="326">
        <v>4</v>
      </c>
      <c r="P283" s="326">
        <v>106</v>
      </c>
      <c r="Q283" s="327">
        <v>17</v>
      </c>
      <c r="R283" s="328">
        <f t="shared" si="118"/>
        <v>233</v>
      </c>
      <c r="S283" s="365">
        <f t="shared" si="117"/>
        <v>24</v>
      </c>
      <c r="T283" s="331">
        <f t="shared" si="119"/>
        <v>3</v>
      </c>
      <c r="U283" s="331">
        <f t="shared" si="120"/>
        <v>0</v>
      </c>
      <c r="V283" s="331">
        <f t="shared" si="121"/>
        <v>4</v>
      </c>
      <c r="W283" s="331">
        <f t="shared" si="122"/>
        <v>17</v>
      </c>
      <c r="X283" s="331">
        <f t="shared" si="123"/>
        <v>24</v>
      </c>
    </row>
    <row r="284" spans="1:24" ht="12.75">
      <c r="A284" s="332" t="s">
        <v>286</v>
      </c>
      <c r="B284" s="333" t="s">
        <v>138</v>
      </c>
      <c r="C284" s="333" t="s">
        <v>784</v>
      </c>
      <c r="D284" s="333">
        <v>2017</v>
      </c>
      <c r="E284" s="333" t="s">
        <v>775</v>
      </c>
      <c r="F284" s="334">
        <v>60</v>
      </c>
      <c r="G284" s="334">
        <v>9</v>
      </c>
      <c r="H284" s="335">
        <v>0</v>
      </c>
      <c r="I284" s="334">
        <v>9</v>
      </c>
      <c r="J284" s="334">
        <v>37</v>
      </c>
      <c r="K284" s="334">
        <v>8</v>
      </c>
      <c r="L284" s="334">
        <v>0</v>
      </c>
      <c r="M284" s="334">
        <v>8</v>
      </c>
      <c r="N284" s="334">
        <v>30</v>
      </c>
      <c r="O284" s="334">
        <v>3</v>
      </c>
      <c r="P284" s="334">
        <v>106</v>
      </c>
      <c r="Q284" s="335">
        <v>14</v>
      </c>
      <c r="R284" s="336">
        <f t="shared" si="118"/>
        <v>233</v>
      </c>
      <c r="S284" s="366">
        <f t="shared" si="117"/>
        <v>34</v>
      </c>
      <c r="T284" s="339">
        <f t="shared" si="119"/>
        <v>9</v>
      </c>
      <c r="U284" s="339">
        <f t="shared" si="120"/>
        <v>8</v>
      </c>
      <c r="V284" s="339">
        <f t="shared" si="121"/>
        <v>3</v>
      </c>
      <c r="W284" s="339">
        <f t="shared" si="122"/>
        <v>14</v>
      </c>
      <c r="X284" s="339">
        <f t="shared" si="123"/>
        <v>34</v>
      </c>
    </row>
    <row r="285" spans="1:24" ht="12.75">
      <c r="A285" s="340" t="s">
        <v>286</v>
      </c>
      <c r="B285" s="341" t="s">
        <v>138</v>
      </c>
      <c r="C285" s="341" t="s">
        <v>784</v>
      </c>
      <c r="D285" s="341">
        <v>2018</v>
      </c>
      <c r="E285" s="341" t="s">
        <v>775</v>
      </c>
      <c r="F285" s="342">
        <v>60</v>
      </c>
      <c r="G285" s="343">
        <v>3</v>
      </c>
      <c r="H285" s="342">
        <v>0</v>
      </c>
      <c r="I285" s="342">
        <v>3</v>
      </c>
      <c r="J285" s="342">
        <v>37</v>
      </c>
      <c r="K285" s="343">
        <v>9</v>
      </c>
      <c r="L285" s="342">
        <v>0</v>
      </c>
      <c r="M285" s="342">
        <v>9</v>
      </c>
      <c r="N285" s="342">
        <v>30</v>
      </c>
      <c r="O285" s="342">
        <v>8</v>
      </c>
      <c r="P285" s="342">
        <v>106</v>
      </c>
      <c r="Q285" s="342">
        <v>24</v>
      </c>
      <c r="R285" s="344">
        <f t="shared" si="118"/>
        <v>233</v>
      </c>
      <c r="S285" s="367">
        <f t="shared" si="117"/>
        <v>44</v>
      </c>
      <c r="T285" s="345">
        <f t="shared" si="119"/>
        <v>3</v>
      </c>
      <c r="U285" s="345">
        <f t="shared" si="120"/>
        <v>9</v>
      </c>
      <c r="V285" s="345">
        <f t="shared" si="121"/>
        <v>8</v>
      </c>
      <c r="W285" s="345">
        <f t="shared" si="122"/>
        <v>24</v>
      </c>
      <c r="X285" s="345">
        <f t="shared" si="123"/>
        <v>44</v>
      </c>
    </row>
    <row r="286" spans="1:24" ht="12.75">
      <c r="A286" s="346" t="s">
        <v>285</v>
      </c>
      <c r="B286" s="347" t="s">
        <v>138</v>
      </c>
      <c r="C286" s="347" t="s">
        <v>785</v>
      </c>
      <c r="D286" s="347">
        <v>2019</v>
      </c>
      <c r="E286" s="347" t="s">
        <v>775</v>
      </c>
      <c r="F286" s="348">
        <v>20</v>
      </c>
      <c r="G286" s="348">
        <v>0</v>
      </c>
      <c r="H286" s="348">
        <v>0</v>
      </c>
      <c r="I286" s="348">
        <v>0</v>
      </c>
      <c r="J286" s="348">
        <v>13</v>
      </c>
      <c r="K286" s="348">
        <v>0</v>
      </c>
      <c r="L286" s="348">
        <v>0</v>
      </c>
      <c r="M286" s="348">
        <v>0</v>
      </c>
      <c r="N286" s="348">
        <v>10</v>
      </c>
      <c r="O286" s="348">
        <v>2</v>
      </c>
      <c r="P286" s="348">
        <v>34</v>
      </c>
      <c r="Q286" s="348">
        <v>1</v>
      </c>
      <c r="R286" s="350">
        <f t="shared" si="118"/>
        <v>77</v>
      </c>
      <c r="S286" s="348">
        <f t="shared" si="117"/>
        <v>3</v>
      </c>
      <c r="T286" s="348"/>
      <c r="U286" s="348"/>
      <c r="V286" s="348"/>
      <c r="W286" s="349"/>
      <c r="X286" s="349"/>
    </row>
    <row r="287" spans="1:24" ht="12.75">
      <c r="A287" s="346" t="s">
        <v>286</v>
      </c>
      <c r="B287" s="347" t="s">
        <v>138</v>
      </c>
      <c r="C287" s="347" t="s">
        <v>785</v>
      </c>
      <c r="D287" s="347">
        <v>2019</v>
      </c>
      <c r="E287" s="347" t="s">
        <v>775</v>
      </c>
      <c r="F287" s="348">
        <v>60</v>
      </c>
      <c r="G287" s="348">
        <v>26</v>
      </c>
      <c r="H287" s="348">
        <v>20</v>
      </c>
      <c r="I287" s="348">
        <v>6</v>
      </c>
      <c r="J287" s="348">
        <v>37</v>
      </c>
      <c r="K287" s="348">
        <v>9</v>
      </c>
      <c r="L287" s="348">
        <v>0</v>
      </c>
      <c r="M287" s="348">
        <v>9</v>
      </c>
      <c r="N287" s="348">
        <v>30</v>
      </c>
      <c r="O287" s="348">
        <v>14</v>
      </c>
      <c r="P287" s="348">
        <v>106</v>
      </c>
      <c r="Q287" s="348">
        <v>31</v>
      </c>
      <c r="R287" s="350">
        <f t="shared" si="118"/>
        <v>233</v>
      </c>
      <c r="S287" s="348">
        <f t="shared" si="117"/>
        <v>80</v>
      </c>
      <c r="T287" s="352">
        <f>SUM(G286:G287)</f>
        <v>26</v>
      </c>
      <c r="U287" s="352">
        <f>SUM(K286:K287)</f>
        <v>9</v>
      </c>
      <c r="V287" s="352">
        <f>SUM(O286:O287)</f>
        <v>16</v>
      </c>
      <c r="W287" s="352">
        <f>SUM(Q286:Q287)</f>
        <v>32</v>
      </c>
      <c r="X287" s="352">
        <f>T287+U287+V287+W287</f>
        <v>83</v>
      </c>
    </row>
    <row r="288" spans="1:24" ht="12.75">
      <c r="A288" s="220"/>
      <c r="B288" s="221"/>
      <c r="C288" s="221"/>
      <c r="D288" s="221"/>
      <c r="E288" s="221"/>
      <c r="F288" s="353"/>
      <c r="G288" s="353"/>
      <c r="H288" s="354"/>
      <c r="I288" s="353"/>
      <c r="J288" s="353"/>
      <c r="K288" s="353"/>
      <c r="L288" s="353"/>
      <c r="M288" s="353"/>
      <c r="N288" s="353"/>
      <c r="O288" s="353"/>
      <c r="P288" s="353"/>
      <c r="Q288" s="354"/>
      <c r="R288" s="182"/>
      <c r="S288" s="361" t="s">
        <v>783</v>
      </c>
      <c r="T288" s="356">
        <f t="shared" ref="T288:X288" si="124">SUM(T281:T287)</f>
        <v>48</v>
      </c>
      <c r="U288" s="356">
        <f t="shared" si="124"/>
        <v>31</v>
      </c>
      <c r="V288" s="356">
        <f t="shared" si="124"/>
        <v>38</v>
      </c>
      <c r="W288" s="356">
        <f t="shared" si="124"/>
        <v>108</v>
      </c>
      <c r="X288" s="356">
        <f t="shared" si="124"/>
        <v>225</v>
      </c>
    </row>
    <row r="289" spans="1:24" ht="12.75">
      <c r="A289" s="220"/>
      <c r="B289" s="221"/>
      <c r="C289" s="221"/>
      <c r="D289" s="221"/>
      <c r="E289" s="221"/>
      <c r="F289" s="353"/>
      <c r="G289" s="353"/>
      <c r="H289" s="354"/>
      <c r="I289" s="353"/>
      <c r="J289" s="353"/>
      <c r="K289" s="353"/>
      <c r="L289" s="353"/>
      <c r="M289" s="353"/>
      <c r="N289" s="353"/>
      <c r="O289" s="353"/>
      <c r="P289" s="353"/>
      <c r="Q289" s="354"/>
      <c r="R289" s="182"/>
      <c r="S289" s="362"/>
      <c r="T289" s="92"/>
      <c r="U289" s="92"/>
      <c r="V289" s="92"/>
      <c r="W289" s="92"/>
      <c r="X289" s="92"/>
    </row>
    <row r="290" spans="1:24" ht="12.75">
      <c r="A290" s="377" t="s">
        <v>798</v>
      </c>
      <c r="B290" s="378" t="s">
        <v>139</v>
      </c>
      <c r="C290" s="378" t="s">
        <v>799</v>
      </c>
      <c r="D290" s="378">
        <v>2013</v>
      </c>
      <c r="E290" s="378" t="s">
        <v>775</v>
      </c>
      <c r="F290" s="379">
        <v>1086</v>
      </c>
      <c r="G290" s="379">
        <v>42</v>
      </c>
      <c r="H290" s="380">
        <v>42</v>
      </c>
      <c r="I290" s="379">
        <v>0</v>
      </c>
      <c r="J290" s="379">
        <v>762</v>
      </c>
      <c r="K290" s="379">
        <v>29</v>
      </c>
      <c r="L290" s="379">
        <v>29</v>
      </c>
      <c r="M290" s="379">
        <v>0</v>
      </c>
      <c r="N290" s="379">
        <v>823</v>
      </c>
      <c r="O290" s="379">
        <v>7</v>
      </c>
      <c r="P290" s="379">
        <v>1757</v>
      </c>
      <c r="Q290" s="380">
        <v>685</v>
      </c>
      <c r="R290" s="381">
        <f t="shared" ref="R290:R306" si="125">F290+J290+N290+P290</f>
        <v>4428</v>
      </c>
      <c r="S290" s="382">
        <f t="shared" ref="S290:S306" si="126">K290+O290+G290+Q290</f>
        <v>763</v>
      </c>
      <c r="T290" s="381"/>
      <c r="U290" s="381"/>
      <c r="V290" s="381"/>
      <c r="W290" s="381"/>
      <c r="X290" s="381"/>
    </row>
    <row r="291" spans="1:24" ht="12.75">
      <c r="A291" s="377" t="s">
        <v>800</v>
      </c>
      <c r="B291" s="378" t="s">
        <v>139</v>
      </c>
      <c r="C291" s="378" t="s">
        <v>799</v>
      </c>
      <c r="D291" s="378">
        <v>2013</v>
      </c>
      <c r="E291" s="378" t="s">
        <v>775</v>
      </c>
      <c r="F291" s="379">
        <v>78</v>
      </c>
      <c r="G291" s="379">
        <v>0</v>
      </c>
      <c r="H291" s="380">
        <v>0</v>
      </c>
      <c r="I291" s="379">
        <v>0</v>
      </c>
      <c r="J291" s="379">
        <v>55</v>
      </c>
      <c r="K291" s="379">
        <v>0</v>
      </c>
      <c r="L291" s="379">
        <v>0</v>
      </c>
      <c r="M291" s="379">
        <v>0</v>
      </c>
      <c r="N291" s="379">
        <v>69</v>
      </c>
      <c r="O291" s="379">
        <v>5</v>
      </c>
      <c r="P291" s="379">
        <v>170</v>
      </c>
      <c r="Q291" s="380">
        <v>47</v>
      </c>
      <c r="R291" s="381">
        <f t="shared" si="125"/>
        <v>372</v>
      </c>
      <c r="S291" s="382">
        <f t="shared" si="126"/>
        <v>52</v>
      </c>
      <c r="T291" s="383">
        <f>SUM(G290:G291)</f>
        <v>42</v>
      </c>
      <c r="U291" s="383">
        <f>SUM(K290:K291)</f>
        <v>29</v>
      </c>
      <c r="V291" s="383">
        <f>SUM(O290:O291)</f>
        <v>12</v>
      </c>
      <c r="W291" s="383">
        <f>SUM(Q290:Q291)</f>
        <v>732</v>
      </c>
      <c r="X291" s="383">
        <f>T291+U291+V291+W291</f>
        <v>815</v>
      </c>
    </row>
    <row r="292" spans="1:24" ht="12.75">
      <c r="A292" s="307" t="s">
        <v>287</v>
      </c>
      <c r="B292" s="308" t="s">
        <v>139</v>
      </c>
      <c r="C292" s="308" t="s">
        <v>799</v>
      </c>
      <c r="D292" s="308">
        <v>2014</v>
      </c>
      <c r="E292" s="308" t="s">
        <v>775</v>
      </c>
      <c r="F292" s="309">
        <v>1086</v>
      </c>
      <c r="G292" s="309">
        <v>1</v>
      </c>
      <c r="H292" s="310">
        <v>1</v>
      </c>
      <c r="I292" s="309">
        <v>0</v>
      </c>
      <c r="J292" s="309">
        <v>762</v>
      </c>
      <c r="K292" s="309">
        <v>55</v>
      </c>
      <c r="L292" s="309">
        <v>55</v>
      </c>
      <c r="M292" s="309">
        <v>0</v>
      </c>
      <c r="N292" s="309">
        <v>823</v>
      </c>
      <c r="O292" s="309">
        <v>13</v>
      </c>
      <c r="P292" s="309">
        <v>1757</v>
      </c>
      <c r="Q292" s="310">
        <v>343</v>
      </c>
      <c r="R292" s="311">
        <f t="shared" si="125"/>
        <v>4428</v>
      </c>
      <c r="S292" s="363">
        <f t="shared" si="126"/>
        <v>412</v>
      </c>
      <c r="T292" s="311"/>
      <c r="U292" s="311"/>
      <c r="V292" s="311"/>
      <c r="W292" s="311"/>
      <c r="X292" s="311"/>
    </row>
    <row r="293" spans="1:24" ht="12.75">
      <c r="A293" s="307" t="s">
        <v>288</v>
      </c>
      <c r="B293" s="308" t="s">
        <v>139</v>
      </c>
      <c r="C293" s="308" t="s">
        <v>799</v>
      </c>
      <c r="D293" s="308">
        <v>2014</v>
      </c>
      <c r="E293" s="308" t="s">
        <v>775</v>
      </c>
      <c r="F293" s="309">
        <v>78</v>
      </c>
      <c r="G293" s="309">
        <v>0</v>
      </c>
      <c r="H293" s="310">
        <v>0</v>
      </c>
      <c r="I293" s="309">
        <v>0</v>
      </c>
      <c r="J293" s="309">
        <v>55</v>
      </c>
      <c r="K293" s="309">
        <v>0</v>
      </c>
      <c r="L293" s="309">
        <v>0</v>
      </c>
      <c r="M293" s="309">
        <v>0</v>
      </c>
      <c r="N293" s="309">
        <v>69</v>
      </c>
      <c r="O293" s="309">
        <v>9</v>
      </c>
      <c r="P293" s="309">
        <v>170</v>
      </c>
      <c r="Q293" s="310">
        <v>1</v>
      </c>
      <c r="R293" s="311">
        <f t="shared" si="125"/>
        <v>372</v>
      </c>
      <c r="S293" s="363">
        <f t="shared" si="126"/>
        <v>10</v>
      </c>
      <c r="T293" s="314">
        <f>SUM(G292:G293)</f>
        <v>1</v>
      </c>
      <c r="U293" s="314">
        <f>SUM(K292:K293)</f>
        <v>55</v>
      </c>
      <c r="V293" s="314">
        <f>SUM(O292:O293)</f>
        <v>22</v>
      </c>
      <c r="W293" s="314">
        <f>SUM(Q292:Q293)</f>
        <v>344</v>
      </c>
      <c r="X293" s="314">
        <f>T293+U293+V293+W293</f>
        <v>422</v>
      </c>
    </row>
    <row r="294" spans="1:24" ht="12.75">
      <c r="A294" s="315" t="s">
        <v>287</v>
      </c>
      <c r="B294" s="316" t="s">
        <v>139</v>
      </c>
      <c r="C294" s="316" t="s">
        <v>799</v>
      </c>
      <c r="D294" s="316">
        <v>2015</v>
      </c>
      <c r="E294" s="316" t="s">
        <v>775</v>
      </c>
      <c r="F294" s="317">
        <v>1086</v>
      </c>
      <c r="G294" s="317">
        <v>0</v>
      </c>
      <c r="H294" s="318">
        <v>0</v>
      </c>
      <c r="I294" s="317">
        <v>0</v>
      </c>
      <c r="J294" s="317">
        <v>762</v>
      </c>
      <c r="K294" s="317">
        <v>53</v>
      </c>
      <c r="L294" s="317">
        <v>53</v>
      </c>
      <c r="M294" s="317">
        <v>0</v>
      </c>
      <c r="N294" s="317">
        <v>823</v>
      </c>
      <c r="O294" s="317">
        <v>0</v>
      </c>
      <c r="P294" s="317">
        <v>1757</v>
      </c>
      <c r="Q294" s="318">
        <v>512</v>
      </c>
      <c r="R294" s="319">
        <f t="shared" si="125"/>
        <v>4428</v>
      </c>
      <c r="S294" s="364">
        <f t="shared" si="126"/>
        <v>565</v>
      </c>
      <c r="T294" s="319"/>
      <c r="U294" s="319"/>
      <c r="V294" s="319"/>
      <c r="W294" s="319"/>
      <c r="X294" s="319"/>
    </row>
    <row r="295" spans="1:24" ht="12.75">
      <c r="A295" s="315" t="s">
        <v>288</v>
      </c>
      <c r="B295" s="316" t="s">
        <v>139</v>
      </c>
      <c r="C295" s="316" t="s">
        <v>799</v>
      </c>
      <c r="D295" s="316">
        <v>2015</v>
      </c>
      <c r="E295" s="316" t="s">
        <v>775</v>
      </c>
      <c r="F295" s="317">
        <v>78</v>
      </c>
      <c r="G295" s="317">
        <v>0</v>
      </c>
      <c r="H295" s="318">
        <v>0</v>
      </c>
      <c r="I295" s="317">
        <v>0</v>
      </c>
      <c r="J295" s="317">
        <v>55</v>
      </c>
      <c r="K295" s="317">
        <v>0</v>
      </c>
      <c r="L295" s="317">
        <v>0</v>
      </c>
      <c r="M295" s="317">
        <v>0</v>
      </c>
      <c r="N295" s="317">
        <v>69</v>
      </c>
      <c r="O295" s="317">
        <v>4</v>
      </c>
      <c r="P295" s="317">
        <v>170</v>
      </c>
      <c r="Q295" s="318">
        <v>20</v>
      </c>
      <c r="R295" s="319">
        <f t="shared" si="125"/>
        <v>372</v>
      </c>
      <c r="S295" s="364">
        <f t="shared" si="126"/>
        <v>24</v>
      </c>
      <c r="T295" s="323">
        <f>SUM(G294:G295)</f>
        <v>0</v>
      </c>
      <c r="U295" s="323">
        <f>SUM(K294:K295)</f>
        <v>53</v>
      </c>
      <c r="V295" s="323">
        <f>SUM(O294:O295)</f>
        <v>4</v>
      </c>
      <c r="W295" s="323">
        <f>SUM(Q294:Q295)</f>
        <v>532</v>
      </c>
      <c r="X295" s="323">
        <f>T295+U295+V295+W295</f>
        <v>589</v>
      </c>
    </row>
    <row r="296" spans="1:24" ht="12.75">
      <c r="A296" s="324" t="s">
        <v>287</v>
      </c>
      <c r="B296" s="325" t="s">
        <v>139</v>
      </c>
      <c r="C296" s="325" t="s">
        <v>799</v>
      </c>
      <c r="D296" s="325">
        <v>2016</v>
      </c>
      <c r="E296" s="325" t="s">
        <v>775</v>
      </c>
      <c r="F296" s="326">
        <v>1086</v>
      </c>
      <c r="G296" s="326">
        <v>0</v>
      </c>
      <c r="H296" s="327">
        <v>0</v>
      </c>
      <c r="I296" s="326">
        <v>0</v>
      </c>
      <c r="J296" s="326">
        <v>762</v>
      </c>
      <c r="K296" s="326">
        <v>57</v>
      </c>
      <c r="L296" s="326">
        <v>57</v>
      </c>
      <c r="M296" s="326">
        <v>0</v>
      </c>
      <c r="N296" s="326">
        <v>823</v>
      </c>
      <c r="O296" s="326">
        <v>12</v>
      </c>
      <c r="P296" s="326">
        <v>1757</v>
      </c>
      <c r="Q296" s="327">
        <v>656</v>
      </c>
      <c r="R296" s="328">
        <f t="shared" si="125"/>
        <v>4428</v>
      </c>
      <c r="S296" s="365">
        <f t="shared" si="126"/>
        <v>725</v>
      </c>
      <c r="T296" s="328"/>
      <c r="U296" s="328"/>
      <c r="V296" s="328"/>
      <c r="W296" s="328"/>
      <c r="X296" s="328"/>
    </row>
    <row r="297" spans="1:24" ht="12.75">
      <c r="A297" s="324" t="s">
        <v>288</v>
      </c>
      <c r="B297" s="325" t="s">
        <v>139</v>
      </c>
      <c r="C297" s="325" t="s">
        <v>799</v>
      </c>
      <c r="D297" s="325">
        <v>2016</v>
      </c>
      <c r="E297" s="325" t="s">
        <v>775</v>
      </c>
      <c r="F297" s="326">
        <v>78</v>
      </c>
      <c r="G297" s="326">
        <v>0</v>
      </c>
      <c r="H297" s="327">
        <v>0</v>
      </c>
      <c r="I297" s="326">
        <v>0</v>
      </c>
      <c r="J297" s="326">
        <v>55</v>
      </c>
      <c r="K297" s="326">
        <v>0</v>
      </c>
      <c r="L297" s="326">
        <v>0</v>
      </c>
      <c r="M297" s="326">
        <v>0</v>
      </c>
      <c r="N297" s="326">
        <v>69</v>
      </c>
      <c r="O297" s="326">
        <v>15</v>
      </c>
      <c r="P297" s="326">
        <v>170</v>
      </c>
      <c r="Q297" s="327">
        <v>53</v>
      </c>
      <c r="R297" s="328">
        <f t="shared" si="125"/>
        <v>372</v>
      </c>
      <c r="S297" s="365">
        <f t="shared" si="126"/>
        <v>68</v>
      </c>
      <c r="T297" s="331">
        <f>SUM(G296:G297)</f>
        <v>0</v>
      </c>
      <c r="U297" s="331">
        <f>SUM(K296:K297)</f>
        <v>57</v>
      </c>
      <c r="V297" s="331">
        <f>SUM(O296:O297)</f>
        <v>27</v>
      </c>
      <c r="W297" s="331">
        <f>SUM(Q296:Q297)</f>
        <v>709</v>
      </c>
      <c r="X297" s="331">
        <f>T297+U297+V297+W297</f>
        <v>793</v>
      </c>
    </row>
    <row r="298" spans="1:24" ht="12.75">
      <c r="A298" s="332" t="s">
        <v>287</v>
      </c>
      <c r="B298" s="333" t="s">
        <v>139</v>
      </c>
      <c r="C298" s="333" t="s">
        <v>799</v>
      </c>
      <c r="D298" s="333">
        <v>2017</v>
      </c>
      <c r="E298" s="333" t="s">
        <v>775</v>
      </c>
      <c r="F298" s="334">
        <v>1086</v>
      </c>
      <c r="G298" s="334">
        <v>16</v>
      </c>
      <c r="H298" s="335">
        <v>16</v>
      </c>
      <c r="I298" s="334">
        <v>0</v>
      </c>
      <c r="J298" s="334">
        <v>762</v>
      </c>
      <c r="K298" s="334">
        <v>59</v>
      </c>
      <c r="L298" s="334">
        <v>31</v>
      </c>
      <c r="M298" s="334">
        <v>28</v>
      </c>
      <c r="N298" s="334">
        <v>823</v>
      </c>
      <c r="O298" s="334">
        <v>15</v>
      </c>
      <c r="P298" s="334">
        <v>1757</v>
      </c>
      <c r="Q298" s="335">
        <v>697</v>
      </c>
      <c r="R298" s="336">
        <f t="shared" si="125"/>
        <v>4428</v>
      </c>
      <c r="S298" s="366">
        <f t="shared" si="126"/>
        <v>787</v>
      </c>
      <c r="T298" s="336"/>
      <c r="U298" s="336"/>
      <c r="V298" s="336"/>
      <c r="W298" s="336"/>
      <c r="X298" s="336"/>
    </row>
    <row r="299" spans="1:24" ht="12.75">
      <c r="A299" s="332" t="s">
        <v>288</v>
      </c>
      <c r="B299" s="333" t="s">
        <v>139</v>
      </c>
      <c r="C299" s="333" t="s">
        <v>799</v>
      </c>
      <c r="D299" s="333">
        <v>2017</v>
      </c>
      <c r="E299" s="333" t="s">
        <v>775</v>
      </c>
      <c r="F299" s="334">
        <v>78</v>
      </c>
      <c r="G299" s="334">
        <v>0</v>
      </c>
      <c r="H299" s="335">
        <v>0</v>
      </c>
      <c r="I299" s="334">
        <v>0</v>
      </c>
      <c r="J299" s="334">
        <v>55</v>
      </c>
      <c r="K299" s="334">
        <v>0</v>
      </c>
      <c r="L299" s="334">
        <v>0</v>
      </c>
      <c r="M299" s="334">
        <v>0</v>
      </c>
      <c r="N299" s="334">
        <v>69</v>
      </c>
      <c r="O299" s="334">
        <v>18</v>
      </c>
      <c r="P299" s="334">
        <v>170</v>
      </c>
      <c r="Q299" s="335">
        <v>1</v>
      </c>
      <c r="R299" s="336">
        <f t="shared" si="125"/>
        <v>372</v>
      </c>
      <c r="S299" s="366">
        <f t="shared" si="126"/>
        <v>19</v>
      </c>
      <c r="T299" s="336"/>
      <c r="U299" s="336"/>
      <c r="V299" s="336"/>
      <c r="W299" s="336"/>
      <c r="X299" s="336"/>
    </row>
    <row r="300" spans="1:24" ht="12.75">
      <c r="A300" s="332" t="s">
        <v>289</v>
      </c>
      <c r="B300" s="333" t="s">
        <v>139</v>
      </c>
      <c r="C300" s="333" t="s">
        <v>786</v>
      </c>
      <c r="D300" s="333">
        <v>2017</v>
      </c>
      <c r="E300" s="333" t="s">
        <v>775</v>
      </c>
      <c r="F300" s="334">
        <v>54</v>
      </c>
      <c r="G300" s="334">
        <v>0</v>
      </c>
      <c r="H300" s="335">
        <v>0</v>
      </c>
      <c r="I300" s="334">
        <v>0</v>
      </c>
      <c r="J300" s="334">
        <v>38</v>
      </c>
      <c r="K300" s="334">
        <v>0</v>
      </c>
      <c r="L300" s="334">
        <v>0</v>
      </c>
      <c r="M300" s="334">
        <v>0</v>
      </c>
      <c r="N300" s="334">
        <v>63</v>
      </c>
      <c r="O300" s="334">
        <v>4</v>
      </c>
      <c r="P300" s="334">
        <v>181</v>
      </c>
      <c r="Q300" s="335">
        <v>35</v>
      </c>
      <c r="R300" s="336">
        <f t="shared" si="125"/>
        <v>336</v>
      </c>
      <c r="S300" s="366">
        <f t="shared" si="126"/>
        <v>39</v>
      </c>
      <c r="T300" s="339">
        <f>SUM(G298:G300)</f>
        <v>16</v>
      </c>
      <c r="U300" s="339">
        <f>SUM(K298:K300)</f>
        <v>59</v>
      </c>
      <c r="V300" s="339">
        <f>SUM(O298:O300)</f>
        <v>37</v>
      </c>
      <c r="W300" s="339">
        <f>SUM(Q298:Q300)</f>
        <v>733</v>
      </c>
      <c r="X300" s="339">
        <f>T300+U300+V300+W300</f>
        <v>845</v>
      </c>
    </row>
    <row r="301" spans="1:24" ht="12.75">
      <c r="A301" s="340" t="s">
        <v>287</v>
      </c>
      <c r="B301" s="341" t="s">
        <v>139</v>
      </c>
      <c r="C301" s="341" t="s">
        <v>799</v>
      </c>
      <c r="D301" s="341">
        <v>2018</v>
      </c>
      <c r="E301" s="341" t="s">
        <v>775</v>
      </c>
      <c r="F301" s="342">
        <v>1086</v>
      </c>
      <c r="G301" s="343">
        <v>0</v>
      </c>
      <c r="H301" s="342">
        <v>0</v>
      </c>
      <c r="I301" s="342">
        <v>0</v>
      </c>
      <c r="J301" s="342">
        <v>762</v>
      </c>
      <c r="K301" s="343">
        <v>0</v>
      </c>
      <c r="L301" s="342">
        <v>0</v>
      </c>
      <c r="M301" s="342">
        <v>0</v>
      </c>
      <c r="N301" s="342">
        <v>823</v>
      </c>
      <c r="O301" s="342">
        <v>0</v>
      </c>
      <c r="P301" s="342">
        <v>1757</v>
      </c>
      <c r="Q301" s="342">
        <v>452</v>
      </c>
      <c r="R301" s="344">
        <f t="shared" si="125"/>
        <v>4428</v>
      </c>
      <c r="S301" s="367">
        <f t="shared" si="126"/>
        <v>452</v>
      </c>
      <c r="T301" s="344"/>
      <c r="U301" s="344"/>
      <c r="V301" s="344"/>
      <c r="W301" s="344"/>
      <c r="X301" s="344"/>
    </row>
    <row r="302" spans="1:24" ht="12.75">
      <c r="A302" s="340" t="s">
        <v>288</v>
      </c>
      <c r="B302" s="341" t="s">
        <v>139</v>
      </c>
      <c r="C302" s="341" t="s">
        <v>799</v>
      </c>
      <c r="D302" s="341">
        <v>2018</v>
      </c>
      <c r="E302" s="341" t="s">
        <v>775</v>
      </c>
      <c r="F302" s="342">
        <v>78</v>
      </c>
      <c r="G302" s="343">
        <v>0</v>
      </c>
      <c r="H302" s="342">
        <v>0</v>
      </c>
      <c r="I302" s="342">
        <v>0</v>
      </c>
      <c r="J302" s="342">
        <v>55</v>
      </c>
      <c r="K302" s="343">
        <v>0</v>
      </c>
      <c r="L302" s="342">
        <v>0</v>
      </c>
      <c r="M302" s="342">
        <v>0</v>
      </c>
      <c r="N302" s="342">
        <v>69</v>
      </c>
      <c r="O302" s="342">
        <v>7</v>
      </c>
      <c r="P302" s="342">
        <v>170</v>
      </c>
      <c r="Q302" s="342">
        <v>18</v>
      </c>
      <c r="R302" s="344">
        <f t="shared" si="125"/>
        <v>372</v>
      </c>
      <c r="S302" s="367">
        <f t="shared" si="126"/>
        <v>25</v>
      </c>
      <c r="T302" s="344"/>
      <c r="U302" s="344"/>
      <c r="V302" s="344"/>
      <c r="W302" s="344"/>
      <c r="X302" s="344"/>
    </row>
    <row r="303" spans="1:24" ht="12.75">
      <c r="A303" s="340" t="s">
        <v>289</v>
      </c>
      <c r="B303" s="341" t="s">
        <v>139</v>
      </c>
      <c r="C303" s="341" t="s">
        <v>786</v>
      </c>
      <c r="D303" s="341">
        <v>2018</v>
      </c>
      <c r="E303" s="341" t="s">
        <v>775</v>
      </c>
      <c r="F303" s="342">
        <v>54</v>
      </c>
      <c r="G303" s="343">
        <v>0</v>
      </c>
      <c r="H303" s="342">
        <v>0</v>
      </c>
      <c r="I303" s="342">
        <v>0</v>
      </c>
      <c r="J303" s="342">
        <v>38</v>
      </c>
      <c r="K303" s="343">
        <v>0</v>
      </c>
      <c r="L303" s="342">
        <v>0</v>
      </c>
      <c r="M303" s="342">
        <v>0</v>
      </c>
      <c r="N303" s="342">
        <v>63</v>
      </c>
      <c r="O303" s="342">
        <v>0</v>
      </c>
      <c r="P303" s="342">
        <v>181</v>
      </c>
      <c r="Q303" s="342">
        <v>55</v>
      </c>
      <c r="R303" s="344">
        <f t="shared" si="125"/>
        <v>336</v>
      </c>
      <c r="S303" s="367">
        <f t="shared" si="126"/>
        <v>55</v>
      </c>
      <c r="T303" s="345">
        <f>SUM(G301:G303)</f>
        <v>0</v>
      </c>
      <c r="U303" s="345">
        <f>SUM(K301:K303)</f>
        <v>0</v>
      </c>
      <c r="V303" s="345">
        <f>SUM(O301:O303)</f>
        <v>7</v>
      </c>
      <c r="W303" s="345">
        <f>SUM(Q301:Q303)</f>
        <v>525</v>
      </c>
      <c r="X303" s="345">
        <f>T303+U303+V303+W303</f>
        <v>532</v>
      </c>
    </row>
    <row r="304" spans="1:24" ht="12.75">
      <c r="A304" s="346" t="s">
        <v>287</v>
      </c>
      <c r="B304" s="347" t="s">
        <v>139</v>
      </c>
      <c r="C304" s="347" t="s">
        <v>801</v>
      </c>
      <c r="D304" s="347">
        <v>2019</v>
      </c>
      <c r="E304" s="347" t="s">
        <v>775</v>
      </c>
      <c r="F304" s="348">
        <v>1086</v>
      </c>
      <c r="G304" s="348">
        <v>0</v>
      </c>
      <c r="H304" s="348">
        <v>0</v>
      </c>
      <c r="I304" s="348">
        <v>0</v>
      </c>
      <c r="J304" s="348">
        <v>762</v>
      </c>
      <c r="K304" s="348">
        <v>1</v>
      </c>
      <c r="L304" s="348">
        <v>1</v>
      </c>
      <c r="M304" s="348">
        <v>0</v>
      </c>
      <c r="N304" s="348">
        <v>823</v>
      </c>
      <c r="O304" s="348">
        <v>59</v>
      </c>
      <c r="P304" s="348">
        <v>1757</v>
      </c>
      <c r="Q304" s="348">
        <v>476</v>
      </c>
      <c r="R304" s="350">
        <f t="shared" si="125"/>
        <v>4428</v>
      </c>
      <c r="S304" s="348">
        <f t="shared" si="126"/>
        <v>536</v>
      </c>
      <c r="T304" s="348"/>
      <c r="U304" s="348"/>
      <c r="V304" s="348"/>
      <c r="W304" s="349"/>
      <c r="X304" s="349"/>
    </row>
    <row r="305" spans="1:24" ht="12.75">
      <c r="A305" s="346" t="s">
        <v>288</v>
      </c>
      <c r="B305" s="347" t="s">
        <v>139</v>
      </c>
      <c r="C305" s="347" t="s">
        <v>801</v>
      </c>
      <c r="D305" s="347">
        <v>2019</v>
      </c>
      <c r="E305" s="347" t="s">
        <v>775</v>
      </c>
      <c r="F305" s="348">
        <v>78</v>
      </c>
      <c r="G305" s="348">
        <v>0</v>
      </c>
      <c r="H305" s="348">
        <v>0</v>
      </c>
      <c r="I305" s="348">
        <v>0</v>
      </c>
      <c r="J305" s="348">
        <v>55</v>
      </c>
      <c r="K305" s="348">
        <v>0</v>
      </c>
      <c r="L305" s="348">
        <v>0</v>
      </c>
      <c r="M305" s="348">
        <v>0</v>
      </c>
      <c r="N305" s="348">
        <v>69</v>
      </c>
      <c r="O305" s="348">
        <v>2</v>
      </c>
      <c r="P305" s="348">
        <v>170</v>
      </c>
      <c r="Q305" s="348">
        <v>4</v>
      </c>
      <c r="R305" s="350">
        <f t="shared" si="125"/>
        <v>372</v>
      </c>
      <c r="S305" s="348">
        <f t="shared" si="126"/>
        <v>6</v>
      </c>
      <c r="T305" s="348"/>
      <c r="U305" s="348"/>
      <c r="V305" s="348"/>
      <c r="W305" s="349"/>
      <c r="X305" s="349"/>
    </row>
    <row r="306" spans="1:24" ht="12.75">
      <c r="A306" s="346" t="s">
        <v>289</v>
      </c>
      <c r="B306" s="347" t="s">
        <v>139</v>
      </c>
      <c r="C306" s="347" t="s">
        <v>787</v>
      </c>
      <c r="D306" s="347">
        <v>2019</v>
      </c>
      <c r="E306" s="347" t="s">
        <v>775</v>
      </c>
      <c r="F306" s="348">
        <v>54</v>
      </c>
      <c r="G306" s="348">
        <v>0</v>
      </c>
      <c r="H306" s="348">
        <v>0</v>
      </c>
      <c r="I306" s="348">
        <v>0</v>
      </c>
      <c r="J306" s="348">
        <v>38</v>
      </c>
      <c r="K306" s="348">
        <v>1</v>
      </c>
      <c r="L306" s="348">
        <v>1</v>
      </c>
      <c r="M306" s="348">
        <v>0</v>
      </c>
      <c r="N306" s="348">
        <v>63</v>
      </c>
      <c r="O306" s="348">
        <v>10</v>
      </c>
      <c r="P306" s="348">
        <v>181</v>
      </c>
      <c r="Q306" s="348">
        <v>27</v>
      </c>
      <c r="R306" s="350">
        <f t="shared" si="125"/>
        <v>336</v>
      </c>
      <c r="S306" s="348">
        <f t="shared" si="126"/>
        <v>38</v>
      </c>
      <c r="T306" s="352">
        <f>SUM(G304:G306)</f>
        <v>0</v>
      </c>
      <c r="U306" s="352">
        <f>SUM(K304:K306)</f>
        <v>2</v>
      </c>
      <c r="V306" s="352">
        <f>SUM(O304:O306)</f>
        <v>71</v>
      </c>
      <c r="W306" s="352">
        <f>SUM(Q304:Q306)</f>
        <v>507</v>
      </c>
      <c r="X306" s="352">
        <f>T306+U306+V306+W306</f>
        <v>580</v>
      </c>
    </row>
    <row r="307" spans="1:24" ht="12.75">
      <c r="A307" s="220"/>
      <c r="B307" s="221"/>
      <c r="C307" s="221"/>
      <c r="D307" s="221"/>
      <c r="E307" s="221"/>
      <c r="F307" s="353"/>
      <c r="G307" s="353"/>
      <c r="H307" s="353"/>
      <c r="I307" s="353"/>
      <c r="J307" s="353"/>
      <c r="K307" s="353"/>
      <c r="L307" s="353"/>
      <c r="M307" s="353"/>
      <c r="N307" s="353"/>
      <c r="O307" s="353"/>
      <c r="P307" s="353"/>
      <c r="Q307" s="353"/>
      <c r="R307" s="353"/>
      <c r="S307" s="361" t="s">
        <v>783</v>
      </c>
      <c r="T307" s="356">
        <f t="shared" ref="T307:X307" si="127">SUM(T290:T306)</f>
        <v>59</v>
      </c>
      <c r="U307" s="356">
        <f t="shared" si="127"/>
        <v>255</v>
      </c>
      <c r="V307" s="356">
        <f t="shared" si="127"/>
        <v>180</v>
      </c>
      <c r="W307" s="356">
        <f t="shared" si="127"/>
        <v>4082</v>
      </c>
      <c r="X307" s="356">
        <f t="shared" si="127"/>
        <v>4576</v>
      </c>
    </row>
    <row r="308" spans="1:24" ht="12.75">
      <c r="A308" s="220"/>
      <c r="B308" s="221"/>
      <c r="C308" s="221"/>
      <c r="D308" s="221"/>
      <c r="E308" s="221"/>
      <c r="F308" s="353"/>
      <c r="G308" s="353"/>
      <c r="H308" s="353"/>
      <c r="I308" s="353"/>
      <c r="J308" s="353"/>
      <c r="K308" s="353"/>
      <c r="L308" s="353"/>
      <c r="M308" s="353"/>
      <c r="N308" s="353"/>
      <c r="O308" s="353"/>
      <c r="P308" s="353"/>
      <c r="Q308" s="353"/>
      <c r="R308" s="353"/>
      <c r="S308" s="362"/>
      <c r="T308" s="92"/>
      <c r="U308" s="92"/>
      <c r="V308" s="92"/>
      <c r="W308" s="92"/>
      <c r="X308" s="92"/>
    </row>
    <row r="309" spans="1:24" ht="12.75">
      <c r="A309" s="315" t="s">
        <v>802</v>
      </c>
      <c r="B309" s="316" t="s">
        <v>141</v>
      </c>
      <c r="C309" s="316" t="s">
        <v>177</v>
      </c>
      <c r="D309" s="316">
        <v>2015</v>
      </c>
      <c r="E309" s="316" t="s">
        <v>775</v>
      </c>
      <c r="F309" s="317">
        <v>2321</v>
      </c>
      <c r="G309" s="317">
        <v>0</v>
      </c>
      <c r="H309" s="318">
        <v>0</v>
      </c>
      <c r="I309" s="317">
        <v>0</v>
      </c>
      <c r="J309" s="317">
        <v>1145</v>
      </c>
      <c r="K309" s="317">
        <v>0</v>
      </c>
      <c r="L309" s="317">
        <v>0</v>
      </c>
      <c r="M309" s="317">
        <v>0</v>
      </c>
      <c r="N309" s="317">
        <v>1018</v>
      </c>
      <c r="O309" s="317">
        <v>456</v>
      </c>
      <c r="P309" s="317">
        <v>1844</v>
      </c>
      <c r="Q309" s="318">
        <v>1296</v>
      </c>
      <c r="R309" s="319">
        <f t="shared" ref="R309:R359" si="128">F309+J309+N309+P309</f>
        <v>6328</v>
      </c>
      <c r="S309" s="364">
        <f t="shared" ref="S309:S359" si="129">K309+O309+G309+Q309</f>
        <v>1752</v>
      </c>
      <c r="T309" s="319"/>
      <c r="U309" s="384"/>
      <c r="V309" s="319"/>
      <c r="W309" s="319"/>
      <c r="X309" s="319"/>
    </row>
    <row r="310" spans="1:24" ht="12.75">
      <c r="A310" s="315" t="s">
        <v>803</v>
      </c>
      <c r="B310" s="316" t="s">
        <v>141</v>
      </c>
      <c r="C310" s="316" t="s">
        <v>177</v>
      </c>
      <c r="D310" s="316">
        <v>2015</v>
      </c>
      <c r="E310" s="316" t="s">
        <v>775</v>
      </c>
      <c r="F310" s="317">
        <v>150</v>
      </c>
      <c r="G310" s="317">
        <v>36</v>
      </c>
      <c r="H310" s="318">
        <v>36</v>
      </c>
      <c r="I310" s="317">
        <v>0</v>
      </c>
      <c r="J310" s="317">
        <v>115</v>
      </c>
      <c r="K310" s="317">
        <v>32</v>
      </c>
      <c r="L310" s="317">
        <v>32</v>
      </c>
      <c r="M310" s="317">
        <v>0</v>
      </c>
      <c r="N310" s="317">
        <v>123</v>
      </c>
      <c r="O310" s="317">
        <v>24</v>
      </c>
      <c r="P310" s="317">
        <v>201</v>
      </c>
      <c r="Q310" s="318">
        <v>15</v>
      </c>
      <c r="R310" s="319">
        <f t="shared" si="128"/>
        <v>589</v>
      </c>
      <c r="S310" s="364">
        <f t="shared" si="129"/>
        <v>107</v>
      </c>
      <c r="T310" s="319"/>
      <c r="U310" s="384"/>
      <c r="V310" s="319"/>
      <c r="W310" s="319"/>
      <c r="X310" s="319"/>
    </row>
    <row r="311" spans="1:24" ht="12.75">
      <c r="A311" s="315" t="s">
        <v>804</v>
      </c>
      <c r="B311" s="316" t="s">
        <v>141</v>
      </c>
      <c r="C311" s="316" t="s">
        <v>177</v>
      </c>
      <c r="D311" s="316">
        <v>2015</v>
      </c>
      <c r="E311" s="316" t="s">
        <v>775</v>
      </c>
      <c r="F311" s="317">
        <v>5666</v>
      </c>
      <c r="G311" s="317">
        <v>290</v>
      </c>
      <c r="H311" s="318">
        <v>290</v>
      </c>
      <c r="I311" s="317">
        <v>0</v>
      </c>
      <c r="J311" s="317">
        <v>3289</v>
      </c>
      <c r="K311" s="317">
        <v>268</v>
      </c>
      <c r="L311" s="317">
        <v>268</v>
      </c>
      <c r="M311" s="317">
        <v>0</v>
      </c>
      <c r="N311" s="317">
        <v>3571</v>
      </c>
      <c r="O311" s="317">
        <v>384</v>
      </c>
      <c r="P311" s="317">
        <v>11039</v>
      </c>
      <c r="Q311" s="318">
        <v>2328</v>
      </c>
      <c r="R311" s="319">
        <f t="shared" si="128"/>
        <v>23565</v>
      </c>
      <c r="S311" s="364">
        <f t="shared" si="129"/>
        <v>3270</v>
      </c>
      <c r="T311" s="319"/>
      <c r="U311" s="384"/>
      <c r="V311" s="319"/>
      <c r="W311" s="319"/>
      <c r="X311" s="319"/>
    </row>
    <row r="312" spans="1:24" ht="12.75">
      <c r="A312" s="315" t="s">
        <v>805</v>
      </c>
      <c r="B312" s="316" t="s">
        <v>141</v>
      </c>
      <c r="C312" s="316" t="s">
        <v>177</v>
      </c>
      <c r="D312" s="316">
        <v>2015</v>
      </c>
      <c r="E312" s="316" t="s">
        <v>775</v>
      </c>
      <c r="F312" s="317">
        <v>460</v>
      </c>
      <c r="G312" s="317">
        <v>0</v>
      </c>
      <c r="H312" s="318">
        <v>0</v>
      </c>
      <c r="I312" s="317">
        <v>0</v>
      </c>
      <c r="J312" s="317">
        <v>527</v>
      </c>
      <c r="K312" s="317">
        <v>0</v>
      </c>
      <c r="L312" s="317">
        <v>0</v>
      </c>
      <c r="M312" s="317">
        <v>0</v>
      </c>
      <c r="N312" s="317">
        <v>589</v>
      </c>
      <c r="O312" s="317">
        <v>102</v>
      </c>
      <c r="P312" s="317">
        <v>1146</v>
      </c>
      <c r="Q312" s="318">
        <v>162</v>
      </c>
      <c r="R312" s="319">
        <f t="shared" si="128"/>
        <v>2722</v>
      </c>
      <c r="S312" s="364">
        <f t="shared" si="129"/>
        <v>264</v>
      </c>
      <c r="T312" s="319"/>
      <c r="U312" s="384"/>
      <c r="V312" s="319"/>
      <c r="W312" s="319"/>
      <c r="X312" s="319"/>
    </row>
    <row r="313" spans="1:24" ht="12.75">
      <c r="A313" s="315" t="s">
        <v>806</v>
      </c>
      <c r="B313" s="316" t="s">
        <v>141</v>
      </c>
      <c r="C313" s="316" t="s">
        <v>177</v>
      </c>
      <c r="D313" s="316">
        <v>2015</v>
      </c>
      <c r="E313" s="316" t="s">
        <v>775</v>
      </c>
      <c r="F313" s="317">
        <v>87</v>
      </c>
      <c r="G313" s="317">
        <v>0</v>
      </c>
      <c r="H313" s="318">
        <v>0</v>
      </c>
      <c r="I313" s="317">
        <v>0</v>
      </c>
      <c r="J313" s="317">
        <v>107</v>
      </c>
      <c r="K313" s="317">
        <v>0</v>
      </c>
      <c r="L313" s="317">
        <v>0</v>
      </c>
      <c r="M313" s="317">
        <v>0</v>
      </c>
      <c r="N313" s="317">
        <v>106</v>
      </c>
      <c r="O313" s="317">
        <v>0</v>
      </c>
      <c r="P313" s="317">
        <v>124</v>
      </c>
      <c r="Q313" s="318">
        <v>0</v>
      </c>
      <c r="R313" s="319">
        <f t="shared" si="128"/>
        <v>424</v>
      </c>
      <c r="S313" s="364">
        <f t="shared" si="129"/>
        <v>0</v>
      </c>
      <c r="T313" s="319"/>
      <c r="U313" s="384"/>
      <c r="V313" s="319"/>
      <c r="W313" s="319"/>
      <c r="X313" s="319"/>
    </row>
    <row r="314" spans="1:24" ht="12.75">
      <c r="A314" s="315" t="s">
        <v>807</v>
      </c>
      <c r="B314" s="316" t="s">
        <v>141</v>
      </c>
      <c r="C314" s="316" t="s">
        <v>177</v>
      </c>
      <c r="D314" s="316">
        <v>2015</v>
      </c>
      <c r="E314" s="316" t="s">
        <v>775</v>
      </c>
      <c r="F314" s="317">
        <v>110</v>
      </c>
      <c r="G314" s="317">
        <v>53</v>
      </c>
      <c r="H314" s="318">
        <v>43</v>
      </c>
      <c r="I314" s="317">
        <v>10</v>
      </c>
      <c r="J314" s="317">
        <v>82</v>
      </c>
      <c r="K314" s="317">
        <v>2</v>
      </c>
      <c r="L314" s="317">
        <v>0</v>
      </c>
      <c r="M314" s="317">
        <v>2</v>
      </c>
      <c r="N314" s="317">
        <v>77</v>
      </c>
      <c r="O314" s="317">
        <v>0</v>
      </c>
      <c r="P314" s="317">
        <v>319</v>
      </c>
      <c r="Q314" s="318">
        <v>0</v>
      </c>
      <c r="R314" s="319">
        <f t="shared" si="128"/>
        <v>588</v>
      </c>
      <c r="S314" s="364">
        <f t="shared" si="129"/>
        <v>55</v>
      </c>
      <c r="T314" s="319"/>
      <c r="U314" s="384"/>
      <c r="V314" s="319"/>
      <c r="W314" s="319"/>
      <c r="X314" s="319"/>
    </row>
    <row r="315" spans="1:24" ht="12.75">
      <c r="A315" s="315" t="s">
        <v>808</v>
      </c>
      <c r="B315" s="320" t="s">
        <v>141</v>
      </c>
      <c r="C315" s="316" t="s">
        <v>177</v>
      </c>
      <c r="D315" s="316">
        <v>2015</v>
      </c>
      <c r="E315" s="316" t="s">
        <v>775</v>
      </c>
      <c r="F315" s="317">
        <v>393</v>
      </c>
      <c r="G315" s="317">
        <v>55</v>
      </c>
      <c r="H315" s="318">
        <v>55</v>
      </c>
      <c r="I315" s="317">
        <v>0</v>
      </c>
      <c r="J315" s="317">
        <v>204</v>
      </c>
      <c r="K315" s="317">
        <v>0</v>
      </c>
      <c r="L315" s="317">
        <v>0</v>
      </c>
      <c r="M315" s="317">
        <v>0</v>
      </c>
      <c r="N315" s="317">
        <v>161</v>
      </c>
      <c r="O315" s="317">
        <v>3</v>
      </c>
      <c r="P315" s="317">
        <v>553</v>
      </c>
      <c r="Q315" s="318">
        <v>5</v>
      </c>
      <c r="R315" s="319">
        <f t="shared" si="128"/>
        <v>1311</v>
      </c>
      <c r="S315" s="364">
        <f t="shared" si="129"/>
        <v>63</v>
      </c>
      <c r="T315" s="319"/>
      <c r="U315" s="384"/>
      <c r="V315" s="319"/>
      <c r="W315" s="319"/>
      <c r="X315" s="319"/>
    </row>
    <row r="316" spans="1:24" ht="12.75">
      <c r="A316" s="315" t="s">
        <v>809</v>
      </c>
      <c r="B316" s="316" t="s">
        <v>141</v>
      </c>
      <c r="C316" s="316" t="s">
        <v>177</v>
      </c>
      <c r="D316" s="316">
        <v>2015</v>
      </c>
      <c r="E316" s="316" t="s">
        <v>775</v>
      </c>
      <c r="F316" s="317">
        <v>140</v>
      </c>
      <c r="G316" s="317">
        <v>37</v>
      </c>
      <c r="H316" s="318">
        <v>37</v>
      </c>
      <c r="I316" s="317">
        <v>0</v>
      </c>
      <c r="J316" s="317">
        <v>115</v>
      </c>
      <c r="K316" s="317">
        <v>10</v>
      </c>
      <c r="L316" s="317">
        <v>10</v>
      </c>
      <c r="M316" s="317">
        <v>0</v>
      </c>
      <c r="N316" s="317">
        <v>69</v>
      </c>
      <c r="O316" s="317">
        <v>22</v>
      </c>
      <c r="P316" s="317">
        <v>281</v>
      </c>
      <c r="Q316" s="318">
        <v>0</v>
      </c>
      <c r="R316" s="319">
        <f t="shared" si="128"/>
        <v>605</v>
      </c>
      <c r="S316" s="364">
        <f t="shared" si="129"/>
        <v>69</v>
      </c>
      <c r="T316" s="323">
        <f>SUM(G309:G316)</f>
        <v>471</v>
      </c>
      <c r="U316" s="323">
        <f>SUM(K309:K316)</f>
        <v>312</v>
      </c>
      <c r="V316" s="323">
        <f>SUM(O309:O316)</f>
        <v>991</v>
      </c>
      <c r="W316" s="323">
        <f>SUM(Q309:Q316)</f>
        <v>3806</v>
      </c>
      <c r="X316" s="323">
        <f>T316+U316+V316+W316</f>
        <v>5580</v>
      </c>
    </row>
    <row r="317" spans="1:24" ht="12.75">
      <c r="A317" s="324" t="s">
        <v>290</v>
      </c>
      <c r="B317" s="325" t="s">
        <v>141</v>
      </c>
      <c r="C317" s="325" t="s">
        <v>177</v>
      </c>
      <c r="D317" s="325">
        <v>2016</v>
      </c>
      <c r="E317" s="325" t="s">
        <v>775</v>
      </c>
      <c r="F317" s="326">
        <v>2321</v>
      </c>
      <c r="G317" s="326">
        <v>0</v>
      </c>
      <c r="H317" s="327">
        <v>0</v>
      </c>
      <c r="I317" s="326">
        <v>0</v>
      </c>
      <c r="J317" s="326">
        <v>1145</v>
      </c>
      <c r="K317" s="326">
        <v>5</v>
      </c>
      <c r="L317" s="326">
        <v>5</v>
      </c>
      <c r="M317" s="326">
        <v>0</v>
      </c>
      <c r="N317" s="326">
        <v>1018</v>
      </c>
      <c r="O317" s="326">
        <v>395</v>
      </c>
      <c r="P317" s="326">
        <v>1844</v>
      </c>
      <c r="Q317" s="327">
        <v>689</v>
      </c>
      <c r="R317" s="328">
        <f t="shared" si="128"/>
        <v>6328</v>
      </c>
      <c r="S317" s="365">
        <f t="shared" si="129"/>
        <v>1089</v>
      </c>
      <c r="T317" s="328"/>
      <c r="U317" s="385"/>
      <c r="V317" s="328"/>
      <c r="W317" s="328"/>
      <c r="X317" s="328"/>
    </row>
    <row r="318" spans="1:24" ht="12.75">
      <c r="A318" s="324" t="s">
        <v>291</v>
      </c>
      <c r="B318" s="325" t="s">
        <v>141</v>
      </c>
      <c r="C318" s="325" t="s">
        <v>177</v>
      </c>
      <c r="D318" s="325">
        <v>2016</v>
      </c>
      <c r="E318" s="325" t="s">
        <v>775</v>
      </c>
      <c r="F318" s="326">
        <v>150</v>
      </c>
      <c r="G318" s="326">
        <v>0</v>
      </c>
      <c r="H318" s="327">
        <v>0</v>
      </c>
      <c r="I318" s="326">
        <v>0</v>
      </c>
      <c r="J318" s="326">
        <v>115</v>
      </c>
      <c r="K318" s="326">
        <v>0</v>
      </c>
      <c r="L318" s="326">
        <v>0</v>
      </c>
      <c r="M318" s="326">
        <v>0</v>
      </c>
      <c r="N318" s="326">
        <v>123</v>
      </c>
      <c r="O318" s="326">
        <v>0</v>
      </c>
      <c r="P318" s="326">
        <v>201</v>
      </c>
      <c r="Q318" s="327">
        <v>0</v>
      </c>
      <c r="R318" s="328">
        <f t="shared" si="128"/>
        <v>589</v>
      </c>
      <c r="S318" s="365">
        <f t="shared" si="129"/>
        <v>0</v>
      </c>
      <c r="T318" s="328"/>
      <c r="U318" s="385"/>
      <c r="V318" s="328"/>
      <c r="W318" s="328"/>
      <c r="X318" s="328"/>
    </row>
    <row r="319" spans="1:24" ht="12.75">
      <c r="A319" s="324" t="s">
        <v>141</v>
      </c>
      <c r="B319" s="325" t="s">
        <v>141</v>
      </c>
      <c r="C319" s="325" t="s">
        <v>177</v>
      </c>
      <c r="D319" s="325">
        <v>2016</v>
      </c>
      <c r="E319" s="325" t="s">
        <v>775</v>
      </c>
      <c r="F319" s="326">
        <v>5666</v>
      </c>
      <c r="G319" s="326">
        <v>23</v>
      </c>
      <c r="H319" s="327">
        <v>23</v>
      </c>
      <c r="I319" s="326">
        <v>0</v>
      </c>
      <c r="J319" s="326">
        <v>3289</v>
      </c>
      <c r="K319" s="326">
        <v>8</v>
      </c>
      <c r="L319" s="326">
        <v>8</v>
      </c>
      <c r="M319" s="326">
        <v>0</v>
      </c>
      <c r="N319" s="326">
        <v>3571</v>
      </c>
      <c r="O319" s="326">
        <v>334</v>
      </c>
      <c r="P319" s="326">
        <v>11039</v>
      </c>
      <c r="Q319" s="327">
        <v>923</v>
      </c>
      <c r="R319" s="328">
        <f t="shared" si="128"/>
        <v>23565</v>
      </c>
      <c r="S319" s="365">
        <f t="shared" si="129"/>
        <v>1288</v>
      </c>
      <c r="T319" s="328"/>
      <c r="U319" s="385"/>
      <c r="V319" s="328"/>
      <c r="W319" s="328"/>
      <c r="X319" s="328"/>
    </row>
    <row r="320" spans="1:24" ht="12.75">
      <c r="A320" s="324" t="s">
        <v>294</v>
      </c>
      <c r="B320" s="325" t="s">
        <v>141</v>
      </c>
      <c r="C320" s="325" t="s">
        <v>177</v>
      </c>
      <c r="D320" s="325">
        <v>2016</v>
      </c>
      <c r="E320" s="325" t="s">
        <v>775</v>
      </c>
      <c r="F320" s="326">
        <v>460</v>
      </c>
      <c r="G320" s="326">
        <v>0</v>
      </c>
      <c r="H320" s="327">
        <v>0</v>
      </c>
      <c r="I320" s="326">
        <v>0</v>
      </c>
      <c r="J320" s="326">
        <v>527</v>
      </c>
      <c r="K320" s="326">
        <v>0</v>
      </c>
      <c r="L320" s="326">
        <v>0</v>
      </c>
      <c r="M320" s="326">
        <v>0</v>
      </c>
      <c r="N320" s="326">
        <v>589</v>
      </c>
      <c r="O320" s="326">
        <v>63</v>
      </c>
      <c r="P320" s="326">
        <v>1146</v>
      </c>
      <c r="Q320" s="327">
        <v>38</v>
      </c>
      <c r="R320" s="328">
        <f t="shared" si="128"/>
        <v>2722</v>
      </c>
      <c r="S320" s="365">
        <f t="shared" si="129"/>
        <v>101</v>
      </c>
      <c r="T320" s="328"/>
      <c r="U320" s="385"/>
      <c r="V320" s="328"/>
      <c r="W320" s="328"/>
      <c r="X320" s="328"/>
    </row>
    <row r="321" spans="1:24" ht="12.75">
      <c r="A321" s="324" t="s">
        <v>295</v>
      </c>
      <c r="B321" s="325" t="s">
        <v>141</v>
      </c>
      <c r="C321" s="325" t="s">
        <v>177</v>
      </c>
      <c r="D321" s="325">
        <v>2016</v>
      </c>
      <c r="E321" s="325" t="s">
        <v>775</v>
      </c>
      <c r="F321" s="326">
        <v>87</v>
      </c>
      <c r="G321" s="326">
        <v>0</v>
      </c>
      <c r="H321" s="327">
        <v>0</v>
      </c>
      <c r="I321" s="326">
        <v>0</v>
      </c>
      <c r="J321" s="326">
        <v>107</v>
      </c>
      <c r="K321" s="326">
        <v>22</v>
      </c>
      <c r="L321" s="326">
        <v>22</v>
      </c>
      <c r="M321" s="326">
        <v>0</v>
      </c>
      <c r="N321" s="326">
        <v>106</v>
      </c>
      <c r="O321" s="326">
        <v>34</v>
      </c>
      <c r="P321" s="326">
        <v>124</v>
      </c>
      <c r="Q321" s="327">
        <v>0</v>
      </c>
      <c r="R321" s="328">
        <f t="shared" si="128"/>
        <v>424</v>
      </c>
      <c r="S321" s="365">
        <f t="shared" si="129"/>
        <v>56</v>
      </c>
      <c r="T321" s="328"/>
      <c r="U321" s="385"/>
      <c r="V321" s="328"/>
      <c r="W321" s="328"/>
      <c r="X321" s="328"/>
    </row>
    <row r="322" spans="1:24" ht="12.75">
      <c r="A322" s="324" t="s">
        <v>300</v>
      </c>
      <c r="B322" s="325" t="s">
        <v>141</v>
      </c>
      <c r="C322" s="325" t="s">
        <v>177</v>
      </c>
      <c r="D322" s="325">
        <v>2016</v>
      </c>
      <c r="E322" s="325" t="s">
        <v>775</v>
      </c>
      <c r="F322" s="326">
        <v>110</v>
      </c>
      <c r="G322" s="326">
        <v>56</v>
      </c>
      <c r="H322" s="327">
        <v>48</v>
      </c>
      <c r="I322" s="326">
        <v>8</v>
      </c>
      <c r="J322" s="326">
        <v>82</v>
      </c>
      <c r="K322" s="326">
        <v>4</v>
      </c>
      <c r="L322" s="326">
        <v>2</v>
      </c>
      <c r="M322" s="326">
        <v>2</v>
      </c>
      <c r="N322" s="326">
        <v>77</v>
      </c>
      <c r="O322" s="326">
        <v>3</v>
      </c>
      <c r="P322" s="326">
        <v>319</v>
      </c>
      <c r="Q322" s="327">
        <v>0</v>
      </c>
      <c r="R322" s="328">
        <f t="shared" si="128"/>
        <v>588</v>
      </c>
      <c r="S322" s="365">
        <f t="shared" si="129"/>
        <v>63</v>
      </c>
      <c r="T322" s="328"/>
      <c r="U322" s="385"/>
      <c r="V322" s="328"/>
      <c r="W322" s="328"/>
      <c r="X322" s="328"/>
    </row>
    <row r="323" spans="1:24" ht="12.75">
      <c r="A323" s="324" t="s">
        <v>301</v>
      </c>
      <c r="B323" s="325" t="s">
        <v>141</v>
      </c>
      <c r="C323" s="325" t="s">
        <v>177</v>
      </c>
      <c r="D323" s="325">
        <v>2016</v>
      </c>
      <c r="E323" s="325" t="s">
        <v>775</v>
      </c>
      <c r="F323" s="326">
        <v>393</v>
      </c>
      <c r="G323" s="326">
        <v>0</v>
      </c>
      <c r="H323" s="327">
        <v>0</v>
      </c>
      <c r="I323" s="326">
        <v>0</v>
      </c>
      <c r="J323" s="326">
        <v>204</v>
      </c>
      <c r="K323" s="326">
        <v>0</v>
      </c>
      <c r="L323" s="326">
        <v>0</v>
      </c>
      <c r="M323" s="326">
        <v>0</v>
      </c>
      <c r="N323" s="326">
        <v>161</v>
      </c>
      <c r="O323" s="326">
        <v>9</v>
      </c>
      <c r="P323" s="326">
        <v>553</v>
      </c>
      <c r="Q323" s="327">
        <v>0</v>
      </c>
      <c r="R323" s="328">
        <f t="shared" si="128"/>
        <v>1311</v>
      </c>
      <c r="S323" s="365">
        <f t="shared" si="129"/>
        <v>9</v>
      </c>
      <c r="T323" s="328"/>
      <c r="U323" s="385"/>
      <c r="V323" s="328"/>
      <c r="W323" s="328"/>
      <c r="X323" s="328"/>
    </row>
    <row r="324" spans="1:24" ht="12.75">
      <c r="A324" s="324" t="s">
        <v>302</v>
      </c>
      <c r="B324" s="325" t="s">
        <v>141</v>
      </c>
      <c r="C324" s="325" t="s">
        <v>177</v>
      </c>
      <c r="D324" s="325">
        <v>2016</v>
      </c>
      <c r="E324" s="325" t="s">
        <v>775</v>
      </c>
      <c r="F324" s="326">
        <v>312</v>
      </c>
      <c r="G324" s="326">
        <v>0</v>
      </c>
      <c r="H324" s="327">
        <v>0</v>
      </c>
      <c r="I324" s="326">
        <v>0</v>
      </c>
      <c r="J324" s="326">
        <v>175</v>
      </c>
      <c r="K324" s="326">
        <v>0</v>
      </c>
      <c r="L324" s="326">
        <v>0</v>
      </c>
      <c r="M324" s="326">
        <v>0</v>
      </c>
      <c r="N324" s="326">
        <v>163</v>
      </c>
      <c r="O324" s="326">
        <v>0</v>
      </c>
      <c r="P324" s="326">
        <v>568</v>
      </c>
      <c r="Q324" s="327">
        <v>0</v>
      </c>
      <c r="R324" s="328">
        <f t="shared" si="128"/>
        <v>1218</v>
      </c>
      <c r="S324" s="365">
        <f t="shared" si="129"/>
        <v>0</v>
      </c>
      <c r="T324" s="328"/>
      <c r="U324" s="385"/>
      <c r="V324" s="328"/>
      <c r="W324" s="328"/>
      <c r="X324" s="328"/>
    </row>
    <row r="325" spans="1:24" ht="12.75">
      <c r="A325" s="324" t="s">
        <v>303</v>
      </c>
      <c r="B325" s="325" t="s">
        <v>141</v>
      </c>
      <c r="C325" s="325" t="s">
        <v>177</v>
      </c>
      <c r="D325" s="325">
        <v>2016</v>
      </c>
      <c r="E325" s="325" t="s">
        <v>775</v>
      </c>
      <c r="F325" s="326">
        <v>140</v>
      </c>
      <c r="G325" s="326">
        <v>18</v>
      </c>
      <c r="H325" s="327">
        <v>18</v>
      </c>
      <c r="I325" s="326">
        <v>0</v>
      </c>
      <c r="J325" s="326">
        <v>115</v>
      </c>
      <c r="K325" s="326">
        <v>29</v>
      </c>
      <c r="L325" s="326">
        <v>29</v>
      </c>
      <c r="M325" s="326">
        <v>0</v>
      </c>
      <c r="N325" s="326">
        <v>69</v>
      </c>
      <c r="O325" s="326">
        <v>0</v>
      </c>
      <c r="P325" s="326">
        <v>281</v>
      </c>
      <c r="Q325" s="327">
        <v>0</v>
      </c>
      <c r="R325" s="328">
        <f t="shared" si="128"/>
        <v>605</v>
      </c>
      <c r="S325" s="365">
        <f t="shared" si="129"/>
        <v>47</v>
      </c>
      <c r="T325" s="331">
        <f>SUM(G317:G325)</f>
        <v>97</v>
      </c>
      <c r="U325" s="331">
        <f>SUM(K317:K325)</f>
        <v>68</v>
      </c>
      <c r="V325" s="331">
        <f>SUM(O317:O325)</f>
        <v>838</v>
      </c>
      <c r="W325" s="331">
        <f>SUM(Q317:Q325)</f>
        <v>1650</v>
      </c>
      <c r="X325" s="331">
        <f>T325+U325+V325+W325</f>
        <v>2653</v>
      </c>
    </row>
    <row r="326" spans="1:24" ht="12.75">
      <c r="A326" s="332" t="s">
        <v>290</v>
      </c>
      <c r="B326" s="333" t="s">
        <v>141</v>
      </c>
      <c r="C326" s="333" t="s">
        <v>177</v>
      </c>
      <c r="D326" s="333">
        <v>2017</v>
      </c>
      <c r="E326" s="333" t="s">
        <v>775</v>
      </c>
      <c r="F326" s="334">
        <v>2321</v>
      </c>
      <c r="G326" s="334">
        <v>0</v>
      </c>
      <c r="H326" s="335">
        <v>0</v>
      </c>
      <c r="I326" s="334">
        <v>0</v>
      </c>
      <c r="J326" s="334">
        <v>1145</v>
      </c>
      <c r="K326" s="334">
        <v>20</v>
      </c>
      <c r="L326" s="334">
        <v>20</v>
      </c>
      <c r="M326" s="334">
        <v>0</v>
      </c>
      <c r="N326" s="334">
        <v>1018</v>
      </c>
      <c r="O326" s="334">
        <v>480</v>
      </c>
      <c r="P326" s="334">
        <v>1844</v>
      </c>
      <c r="Q326" s="335">
        <v>542</v>
      </c>
      <c r="R326" s="336">
        <f t="shared" si="128"/>
        <v>6328</v>
      </c>
      <c r="S326" s="366">
        <f t="shared" si="129"/>
        <v>1042</v>
      </c>
      <c r="T326" s="336"/>
      <c r="U326" s="336"/>
      <c r="V326" s="336"/>
      <c r="W326" s="336"/>
      <c r="X326" s="336"/>
    </row>
    <row r="327" spans="1:24" ht="12.75">
      <c r="A327" s="332" t="s">
        <v>291</v>
      </c>
      <c r="B327" s="333" t="s">
        <v>141</v>
      </c>
      <c r="C327" s="333" t="s">
        <v>177</v>
      </c>
      <c r="D327" s="333">
        <v>2017</v>
      </c>
      <c r="E327" s="333" t="s">
        <v>775</v>
      </c>
      <c r="F327" s="334">
        <v>150</v>
      </c>
      <c r="G327" s="334">
        <v>0</v>
      </c>
      <c r="H327" s="335">
        <v>0</v>
      </c>
      <c r="I327" s="334">
        <v>0</v>
      </c>
      <c r="J327" s="334">
        <v>115</v>
      </c>
      <c r="K327" s="334">
        <v>0</v>
      </c>
      <c r="L327" s="334">
        <v>0</v>
      </c>
      <c r="M327" s="334">
        <v>0</v>
      </c>
      <c r="N327" s="334">
        <v>123</v>
      </c>
      <c r="O327" s="334">
        <v>3</v>
      </c>
      <c r="P327" s="334">
        <v>201</v>
      </c>
      <c r="Q327" s="335">
        <v>39</v>
      </c>
      <c r="R327" s="336">
        <f t="shared" si="128"/>
        <v>589</v>
      </c>
      <c r="S327" s="366">
        <f t="shared" si="129"/>
        <v>42</v>
      </c>
      <c r="T327" s="336"/>
      <c r="U327" s="336"/>
      <c r="V327" s="336"/>
      <c r="W327" s="336"/>
      <c r="X327" s="336"/>
    </row>
    <row r="328" spans="1:24" ht="12.75">
      <c r="A328" s="332" t="s">
        <v>292</v>
      </c>
      <c r="B328" s="386" t="s">
        <v>141</v>
      </c>
      <c r="C328" s="386" t="s">
        <v>177</v>
      </c>
      <c r="D328" s="333">
        <v>2017</v>
      </c>
      <c r="E328" s="333" t="s">
        <v>775</v>
      </c>
      <c r="F328" s="334">
        <v>128</v>
      </c>
      <c r="G328" s="334">
        <v>15</v>
      </c>
      <c r="H328" s="335">
        <v>15</v>
      </c>
      <c r="I328" s="334">
        <v>0</v>
      </c>
      <c r="J328" s="334">
        <v>169</v>
      </c>
      <c r="K328" s="334">
        <v>15</v>
      </c>
      <c r="L328" s="334">
        <v>15</v>
      </c>
      <c r="M328" s="334">
        <v>0</v>
      </c>
      <c r="N328" s="334">
        <v>204</v>
      </c>
      <c r="O328" s="334">
        <v>0</v>
      </c>
      <c r="P328" s="334">
        <v>211</v>
      </c>
      <c r="Q328" s="335">
        <v>0</v>
      </c>
      <c r="R328" s="336">
        <f t="shared" si="128"/>
        <v>712</v>
      </c>
      <c r="S328" s="366">
        <f t="shared" si="129"/>
        <v>30</v>
      </c>
      <c r="T328" s="336"/>
      <c r="U328" s="336"/>
      <c r="V328" s="336"/>
      <c r="W328" s="336"/>
      <c r="X328" s="336"/>
    </row>
    <row r="329" spans="1:24" ht="12.75">
      <c r="A329" s="332" t="s">
        <v>141</v>
      </c>
      <c r="B329" s="333" t="s">
        <v>141</v>
      </c>
      <c r="C329" s="333" t="s">
        <v>177</v>
      </c>
      <c r="D329" s="333">
        <v>2017</v>
      </c>
      <c r="E329" s="333" t="s">
        <v>775</v>
      </c>
      <c r="F329" s="334">
        <v>5666</v>
      </c>
      <c r="G329" s="334">
        <v>0</v>
      </c>
      <c r="H329" s="335">
        <v>0</v>
      </c>
      <c r="I329" s="334">
        <v>0</v>
      </c>
      <c r="J329" s="334">
        <v>3289</v>
      </c>
      <c r="K329" s="334">
        <v>4</v>
      </c>
      <c r="L329" s="334">
        <v>4</v>
      </c>
      <c r="M329" s="334">
        <v>0</v>
      </c>
      <c r="N329" s="334">
        <v>3571</v>
      </c>
      <c r="O329" s="334">
        <v>787</v>
      </c>
      <c r="P329" s="334">
        <v>11039</v>
      </c>
      <c r="Q329" s="335">
        <v>676</v>
      </c>
      <c r="R329" s="336">
        <f t="shared" si="128"/>
        <v>23565</v>
      </c>
      <c r="S329" s="366">
        <f t="shared" si="129"/>
        <v>1467</v>
      </c>
      <c r="T329" s="336"/>
      <c r="U329" s="336"/>
      <c r="V329" s="336"/>
      <c r="W329" s="336"/>
      <c r="X329" s="336"/>
    </row>
    <row r="330" spans="1:24" ht="12.75">
      <c r="A330" s="332" t="s">
        <v>294</v>
      </c>
      <c r="B330" s="333" t="s">
        <v>141</v>
      </c>
      <c r="C330" s="333" t="s">
        <v>177</v>
      </c>
      <c r="D330" s="333">
        <v>2017</v>
      </c>
      <c r="E330" s="333" t="s">
        <v>775</v>
      </c>
      <c r="F330" s="334">
        <v>460</v>
      </c>
      <c r="G330" s="334">
        <v>0</v>
      </c>
      <c r="H330" s="335">
        <v>0</v>
      </c>
      <c r="I330" s="334">
        <v>0</v>
      </c>
      <c r="J330" s="334">
        <v>527</v>
      </c>
      <c r="K330" s="334">
        <v>0</v>
      </c>
      <c r="L330" s="334">
        <v>0</v>
      </c>
      <c r="M330" s="334">
        <v>0</v>
      </c>
      <c r="N330" s="334">
        <v>589</v>
      </c>
      <c r="O330" s="334">
        <v>54</v>
      </c>
      <c r="P330" s="334">
        <v>1146</v>
      </c>
      <c r="Q330" s="335">
        <v>71</v>
      </c>
      <c r="R330" s="336">
        <f t="shared" si="128"/>
        <v>2722</v>
      </c>
      <c r="S330" s="366">
        <f t="shared" si="129"/>
        <v>125</v>
      </c>
      <c r="T330" s="336"/>
      <c r="U330" s="336"/>
      <c r="V330" s="336"/>
      <c r="W330" s="336"/>
      <c r="X330" s="336"/>
    </row>
    <row r="331" spans="1:24" ht="12.75">
      <c r="A331" s="332" t="s">
        <v>295</v>
      </c>
      <c r="B331" s="333" t="s">
        <v>141</v>
      </c>
      <c r="C331" s="333" t="s">
        <v>177</v>
      </c>
      <c r="D331" s="333">
        <v>2017</v>
      </c>
      <c r="E331" s="333" t="s">
        <v>775</v>
      </c>
      <c r="F331" s="334">
        <v>87</v>
      </c>
      <c r="G331" s="334">
        <v>0</v>
      </c>
      <c r="H331" s="335">
        <v>0</v>
      </c>
      <c r="I331" s="334">
        <v>0</v>
      </c>
      <c r="J331" s="334">
        <v>107</v>
      </c>
      <c r="K331" s="334">
        <v>0</v>
      </c>
      <c r="L331" s="334">
        <v>0</v>
      </c>
      <c r="M331" s="334">
        <v>0</v>
      </c>
      <c r="N331" s="334">
        <v>106</v>
      </c>
      <c r="O331" s="334">
        <v>0</v>
      </c>
      <c r="P331" s="334">
        <v>124</v>
      </c>
      <c r="Q331" s="335">
        <v>0</v>
      </c>
      <c r="R331" s="336">
        <f t="shared" si="128"/>
        <v>424</v>
      </c>
      <c r="S331" s="366">
        <f t="shared" si="129"/>
        <v>0</v>
      </c>
      <c r="T331" s="336"/>
      <c r="U331" s="336"/>
      <c r="V331" s="336"/>
      <c r="W331" s="336"/>
      <c r="X331" s="336"/>
    </row>
    <row r="332" spans="1:24" ht="12.75">
      <c r="A332" s="332" t="s">
        <v>296</v>
      </c>
      <c r="B332" s="333" t="s">
        <v>141</v>
      </c>
      <c r="C332" s="333" t="s">
        <v>177</v>
      </c>
      <c r="D332" s="333">
        <v>2017</v>
      </c>
      <c r="E332" s="333" t="s">
        <v>775</v>
      </c>
      <c r="F332" s="334">
        <v>238</v>
      </c>
      <c r="G332" s="334">
        <v>0</v>
      </c>
      <c r="H332" s="335">
        <v>0</v>
      </c>
      <c r="I332" s="334">
        <v>0</v>
      </c>
      <c r="J332" s="334">
        <v>211</v>
      </c>
      <c r="K332" s="334">
        <v>5</v>
      </c>
      <c r="L332" s="334">
        <v>5</v>
      </c>
      <c r="M332" s="334">
        <v>0</v>
      </c>
      <c r="N332" s="334">
        <v>202</v>
      </c>
      <c r="O332" s="334">
        <v>34</v>
      </c>
      <c r="P332" s="334">
        <v>258</v>
      </c>
      <c r="Q332" s="335">
        <v>9</v>
      </c>
      <c r="R332" s="336">
        <f t="shared" si="128"/>
        <v>909</v>
      </c>
      <c r="S332" s="366">
        <f t="shared" si="129"/>
        <v>48</v>
      </c>
      <c r="T332" s="336"/>
      <c r="U332" s="336"/>
      <c r="V332" s="336"/>
      <c r="W332" s="336"/>
      <c r="X332" s="336"/>
    </row>
    <row r="333" spans="1:24" ht="12.75">
      <c r="A333" s="332" t="s">
        <v>297</v>
      </c>
      <c r="B333" s="333" t="s">
        <v>141</v>
      </c>
      <c r="C333" s="333" t="s">
        <v>177</v>
      </c>
      <c r="D333" s="333">
        <v>2017</v>
      </c>
      <c r="E333" s="333" t="s">
        <v>775</v>
      </c>
      <c r="F333" s="334">
        <v>113</v>
      </c>
      <c r="G333" s="334">
        <v>0</v>
      </c>
      <c r="H333" s="335">
        <v>0</v>
      </c>
      <c r="I333" s="334">
        <v>0</v>
      </c>
      <c r="J333" s="334">
        <v>70</v>
      </c>
      <c r="K333" s="334">
        <v>0</v>
      </c>
      <c r="L333" s="334">
        <v>0</v>
      </c>
      <c r="M333" s="334">
        <v>0</v>
      </c>
      <c r="N333" s="334">
        <v>60</v>
      </c>
      <c r="O333" s="334">
        <v>19</v>
      </c>
      <c r="P333" s="334">
        <v>131</v>
      </c>
      <c r="Q333" s="335">
        <v>0</v>
      </c>
      <c r="R333" s="336">
        <f t="shared" si="128"/>
        <v>374</v>
      </c>
      <c r="S333" s="366">
        <f t="shared" si="129"/>
        <v>19</v>
      </c>
      <c r="T333" s="336"/>
      <c r="U333" s="336"/>
      <c r="V333" s="336"/>
      <c r="W333" s="336"/>
      <c r="X333" s="336"/>
    </row>
    <row r="334" spans="1:24" ht="12.75">
      <c r="A334" s="332" t="s">
        <v>298</v>
      </c>
      <c r="B334" s="333" t="s">
        <v>141</v>
      </c>
      <c r="C334" s="333" t="s">
        <v>810</v>
      </c>
      <c r="D334" s="333">
        <v>2017</v>
      </c>
      <c r="E334" s="333" t="s">
        <v>775</v>
      </c>
      <c r="F334" s="334">
        <v>80</v>
      </c>
      <c r="G334" s="334">
        <v>0</v>
      </c>
      <c r="H334" s="335">
        <v>0</v>
      </c>
      <c r="I334" s="334">
        <v>0</v>
      </c>
      <c r="J334" s="334">
        <v>56</v>
      </c>
      <c r="K334" s="334">
        <v>0</v>
      </c>
      <c r="L334" s="334">
        <v>0</v>
      </c>
      <c r="M334" s="334">
        <v>0</v>
      </c>
      <c r="N334" s="334">
        <v>77</v>
      </c>
      <c r="O334" s="334">
        <v>61</v>
      </c>
      <c r="P334" s="334">
        <v>341</v>
      </c>
      <c r="Q334" s="335">
        <v>5</v>
      </c>
      <c r="R334" s="336">
        <f t="shared" si="128"/>
        <v>554</v>
      </c>
      <c r="S334" s="366">
        <f t="shared" si="129"/>
        <v>66</v>
      </c>
      <c r="T334" s="336"/>
      <c r="U334" s="336"/>
      <c r="V334" s="336"/>
      <c r="W334" s="336"/>
      <c r="X334" s="336"/>
    </row>
    <row r="335" spans="1:24" ht="12.75">
      <c r="A335" s="332" t="s">
        <v>300</v>
      </c>
      <c r="B335" s="333" t="s">
        <v>141</v>
      </c>
      <c r="C335" s="333" t="s">
        <v>177</v>
      </c>
      <c r="D335" s="333">
        <v>2017</v>
      </c>
      <c r="E335" s="333" t="s">
        <v>775</v>
      </c>
      <c r="F335" s="334">
        <v>110</v>
      </c>
      <c r="G335" s="334">
        <v>7</v>
      </c>
      <c r="H335" s="335">
        <v>4</v>
      </c>
      <c r="I335" s="334">
        <v>3</v>
      </c>
      <c r="J335" s="334">
        <v>82</v>
      </c>
      <c r="K335" s="334">
        <v>27</v>
      </c>
      <c r="L335" s="334">
        <v>17</v>
      </c>
      <c r="M335" s="334">
        <v>10</v>
      </c>
      <c r="N335" s="334">
        <v>77</v>
      </c>
      <c r="O335" s="334">
        <v>0</v>
      </c>
      <c r="P335" s="334">
        <v>319</v>
      </c>
      <c r="Q335" s="335">
        <v>0</v>
      </c>
      <c r="R335" s="336">
        <f t="shared" si="128"/>
        <v>588</v>
      </c>
      <c r="S335" s="366">
        <f t="shared" si="129"/>
        <v>34</v>
      </c>
      <c r="T335" s="336"/>
      <c r="U335" s="336"/>
      <c r="V335" s="336"/>
      <c r="W335" s="336"/>
      <c r="X335" s="336"/>
    </row>
    <row r="336" spans="1:24" ht="12.75">
      <c r="A336" s="332" t="s">
        <v>301</v>
      </c>
      <c r="B336" s="333" t="s">
        <v>141</v>
      </c>
      <c r="C336" s="333" t="s">
        <v>177</v>
      </c>
      <c r="D336" s="333">
        <v>2017</v>
      </c>
      <c r="E336" s="333" t="s">
        <v>775</v>
      </c>
      <c r="F336" s="334">
        <v>393</v>
      </c>
      <c r="G336" s="334">
        <v>0</v>
      </c>
      <c r="H336" s="335">
        <v>0</v>
      </c>
      <c r="I336" s="334">
        <v>0</v>
      </c>
      <c r="J336" s="334">
        <v>204</v>
      </c>
      <c r="K336" s="334">
        <v>0</v>
      </c>
      <c r="L336" s="334">
        <v>0</v>
      </c>
      <c r="M336" s="334">
        <v>0</v>
      </c>
      <c r="N336" s="334">
        <v>161</v>
      </c>
      <c r="O336" s="334">
        <v>3</v>
      </c>
      <c r="P336" s="334">
        <v>553</v>
      </c>
      <c r="Q336" s="335">
        <v>1</v>
      </c>
      <c r="R336" s="336">
        <f t="shared" si="128"/>
        <v>1311</v>
      </c>
      <c r="S336" s="366">
        <f t="shared" si="129"/>
        <v>4</v>
      </c>
      <c r="T336" s="336"/>
      <c r="U336" s="336"/>
      <c r="V336" s="336"/>
      <c r="W336" s="336"/>
      <c r="X336" s="336"/>
    </row>
    <row r="337" spans="1:24" ht="12.75">
      <c r="A337" s="332" t="s">
        <v>303</v>
      </c>
      <c r="B337" s="333" t="s">
        <v>141</v>
      </c>
      <c r="C337" s="333" t="s">
        <v>177</v>
      </c>
      <c r="D337" s="333">
        <v>2017</v>
      </c>
      <c r="E337" s="333" t="s">
        <v>775</v>
      </c>
      <c r="F337" s="334">
        <v>140</v>
      </c>
      <c r="G337" s="334">
        <v>0</v>
      </c>
      <c r="H337" s="335">
        <v>0</v>
      </c>
      <c r="I337" s="334">
        <v>0</v>
      </c>
      <c r="J337" s="334">
        <v>115</v>
      </c>
      <c r="K337" s="334">
        <v>0</v>
      </c>
      <c r="L337" s="334">
        <v>0</v>
      </c>
      <c r="M337" s="334">
        <v>0</v>
      </c>
      <c r="N337" s="334">
        <v>69</v>
      </c>
      <c r="O337" s="334">
        <v>5</v>
      </c>
      <c r="P337" s="334">
        <v>281</v>
      </c>
      <c r="Q337" s="335">
        <v>2</v>
      </c>
      <c r="R337" s="336">
        <f t="shared" si="128"/>
        <v>605</v>
      </c>
      <c r="S337" s="366">
        <f t="shared" si="129"/>
        <v>7</v>
      </c>
      <c r="T337" s="339">
        <f>SUM(G326:G337)</f>
        <v>22</v>
      </c>
      <c r="U337" s="339">
        <f>SUM(K326:K337)</f>
        <v>71</v>
      </c>
      <c r="V337" s="339">
        <f>SUM(O326:O337)</f>
        <v>1446</v>
      </c>
      <c r="W337" s="339">
        <f>SUM(Q326:Q337)</f>
        <v>1345</v>
      </c>
      <c r="X337" s="339">
        <f>T337+U337+V337+W337</f>
        <v>2884</v>
      </c>
    </row>
    <row r="338" spans="1:24" ht="12.75">
      <c r="A338" s="340" t="s">
        <v>290</v>
      </c>
      <c r="B338" s="341" t="s">
        <v>141</v>
      </c>
      <c r="C338" s="341" t="s">
        <v>177</v>
      </c>
      <c r="D338" s="341">
        <v>2018</v>
      </c>
      <c r="E338" s="341" t="s">
        <v>775</v>
      </c>
      <c r="F338" s="342">
        <v>2321</v>
      </c>
      <c r="G338" s="343">
        <v>0</v>
      </c>
      <c r="H338" s="342">
        <v>0</v>
      </c>
      <c r="I338" s="342">
        <v>0</v>
      </c>
      <c r="J338" s="342">
        <v>1145</v>
      </c>
      <c r="K338" s="343">
        <v>2</v>
      </c>
      <c r="L338" s="342">
        <v>2</v>
      </c>
      <c r="M338" s="342">
        <v>0</v>
      </c>
      <c r="N338" s="342">
        <v>1018</v>
      </c>
      <c r="O338" s="342">
        <v>411</v>
      </c>
      <c r="P338" s="342">
        <v>1844</v>
      </c>
      <c r="Q338" s="342">
        <v>694</v>
      </c>
      <c r="R338" s="344">
        <f t="shared" si="128"/>
        <v>6328</v>
      </c>
      <c r="S338" s="367">
        <f t="shared" si="129"/>
        <v>1107</v>
      </c>
      <c r="T338" s="344"/>
      <c r="U338" s="344"/>
      <c r="V338" s="344"/>
      <c r="W338" s="344"/>
      <c r="X338" s="344"/>
    </row>
    <row r="339" spans="1:24" ht="12.75">
      <c r="A339" s="340" t="s">
        <v>291</v>
      </c>
      <c r="B339" s="341" t="s">
        <v>141</v>
      </c>
      <c r="C339" s="341" t="s">
        <v>177</v>
      </c>
      <c r="D339" s="341">
        <v>2018</v>
      </c>
      <c r="E339" s="341" t="s">
        <v>775</v>
      </c>
      <c r="F339" s="342">
        <v>150</v>
      </c>
      <c r="G339" s="343">
        <v>0</v>
      </c>
      <c r="H339" s="342">
        <v>0</v>
      </c>
      <c r="I339" s="342">
        <v>0</v>
      </c>
      <c r="J339" s="342">
        <v>115</v>
      </c>
      <c r="K339" s="343">
        <v>0</v>
      </c>
      <c r="L339" s="342">
        <v>0</v>
      </c>
      <c r="M339" s="342">
        <v>0</v>
      </c>
      <c r="N339" s="342">
        <v>123</v>
      </c>
      <c r="O339" s="342">
        <v>14</v>
      </c>
      <c r="P339" s="342">
        <v>201</v>
      </c>
      <c r="Q339" s="342">
        <v>30</v>
      </c>
      <c r="R339" s="344">
        <f t="shared" si="128"/>
        <v>589</v>
      </c>
      <c r="S339" s="367">
        <f t="shared" si="129"/>
        <v>44</v>
      </c>
      <c r="T339" s="344"/>
      <c r="U339" s="344"/>
      <c r="V339" s="344"/>
      <c r="W339" s="344"/>
      <c r="X339" s="344"/>
    </row>
    <row r="340" spans="1:24" ht="12.75">
      <c r="A340" s="340" t="s">
        <v>292</v>
      </c>
      <c r="B340" s="341" t="s">
        <v>141</v>
      </c>
      <c r="C340" s="341" t="s">
        <v>177</v>
      </c>
      <c r="D340" s="341">
        <v>2018</v>
      </c>
      <c r="E340" s="341" t="s">
        <v>775</v>
      </c>
      <c r="F340" s="342">
        <v>128</v>
      </c>
      <c r="G340" s="387">
        <v>0</v>
      </c>
      <c r="H340" s="388">
        <v>0</v>
      </c>
      <c r="I340" s="388">
        <v>0</v>
      </c>
      <c r="J340" s="342">
        <v>169</v>
      </c>
      <c r="K340" s="387">
        <v>0</v>
      </c>
      <c r="L340" s="388">
        <v>0</v>
      </c>
      <c r="M340" s="388">
        <v>0</v>
      </c>
      <c r="N340" s="342">
        <v>204</v>
      </c>
      <c r="O340" s="388">
        <v>0</v>
      </c>
      <c r="P340" s="342">
        <v>211</v>
      </c>
      <c r="Q340" s="388">
        <v>0</v>
      </c>
      <c r="R340" s="344">
        <f t="shared" si="128"/>
        <v>712</v>
      </c>
      <c r="S340" s="367">
        <f t="shared" si="129"/>
        <v>0</v>
      </c>
      <c r="T340" s="344"/>
      <c r="U340" s="344"/>
      <c r="V340" s="344"/>
      <c r="W340" s="344"/>
      <c r="X340" s="344"/>
    </row>
    <row r="341" spans="1:24" ht="12.75">
      <c r="A341" s="340" t="s">
        <v>141</v>
      </c>
      <c r="B341" s="341" t="s">
        <v>141</v>
      </c>
      <c r="C341" s="341" t="s">
        <v>177</v>
      </c>
      <c r="D341" s="341">
        <v>2018</v>
      </c>
      <c r="E341" s="341" t="s">
        <v>775</v>
      </c>
      <c r="F341" s="342">
        <v>5666</v>
      </c>
      <c r="G341" s="343">
        <v>135</v>
      </c>
      <c r="H341" s="342">
        <v>135</v>
      </c>
      <c r="I341" s="342">
        <v>0</v>
      </c>
      <c r="J341" s="342">
        <v>3289</v>
      </c>
      <c r="K341" s="343">
        <v>0</v>
      </c>
      <c r="L341" s="342">
        <v>0</v>
      </c>
      <c r="M341" s="342">
        <v>0</v>
      </c>
      <c r="N341" s="342">
        <v>3571</v>
      </c>
      <c r="O341" s="342">
        <v>0</v>
      </c>
      <c r="P341" s="342">
        <v>11039</v>
      </c>
      <c r="Q341" s="342">
        <v>1202</v>
      </c>
      <c r="R341" s="344">
        <f t="shared" si="128"/>
        <v>23565</v>
      </c>
      <c r="S341" s="367">
        <f t="shared" si="129"/>
        <v>1337</v>
      </c>
      <c r="T341" s="344"/>
      <c r="U341" s="344"/>
      <c r="V341" s="344"/>
      <c r="W341" s="344"/>
      <c r="X341" s="344"/>
    </row>
    <row r="342" spans="1:24" ht="12.75">
      <c r="A342" s="340" t="s">
        <v>294</v>
      </c>
      <c r="B342" s="341" t="s">
        <v>141</v>
      </c>
      <c r="C342" s="341" t="s">
        <v>177</v>
      </c>
      <c r="D342" s="341">
        <v>2018</v>
      </c>
      <c r="E342" s="341" t="s">
        <v>775</v>
      </c>
      <c r="F342" s="342">
        <v>460</v>
      </c>
      <c r="G342" s="343">
        <v>28</v>
      </c>
      <c r="H342" s="342">
        <v>2</v>
      </c>
      <c r="I342" s="342">
        <v>26</v>
      </c>
      <c r="J342" s="342">
        <v>527</v>
      </c>
      <c r="K342" s="343">
        <v>9</v>
      </c>
      <c r="L342" s="342">
        <v>0</v>
      </c>
      <c r="M342" s="342">
        <v>9</v>
      </c>
      <c r="N342" s="342">
        <v>589</v>
      </c>
      <c r="O342" s="342">
        <v>18</v>
      </c>
      <c r="P342" s="342">
        <v>1146</v>
      </c>
      <c r="Q342" s="342">
        <v>0</v>
      </c>
      <c r="R342" s="344">
        <f t="shared" si="128"/>
        <v>2722</v>
      </c>
      <c r="S342" s="367">
        <f t="shared" si="129"/>
        <v>55</v>
      </c>
      <c r="T342" s="344"/>
      <c r="U342" s="344"/>
      <c r="V342" s="344"/>
      <c r="W342" s="344"/>
      <c r="X342" s="344"/>
    </row>
    <row r="343" spans="1:24" ht="12.75">
      <c r="A343" s="340" t="s">
        <v>296</v>
      </c>
      <c r="B343" s="341" t="s">
        <v>141</v>
      </c>
      <c r="C343" s="341" t="s">
        <v>177</v>
      </c>
      <c r="D343" s="341">
        <v>2018</v>
      </c>
      <c r="E343" s="341" t="s">
        <v>775</v>
      </c>
      <c r="F343" s="342">
        <v>238</v>
      </c>
      <c r="G343" s="343">
        <v>0</v>
      </c>
      <c r="H343" s="342">
        <v>0</v>
      </c>
      <c r="I343" s="342">
        <v>0</v>
      </c>
      <c r="J343" s="342">
        <v>211</v>
      </c>
      <c r="K343" s="343">
        <v>1</v>
      </c>
      <c r="L343" s="342">
        <v>0</v>
      </c>
      <c r="M343" s="342">
        <v>1</v>
      </c>
      <c r="N343" s="342">
        <v>202</v>
      </c>
      <c r="O343" s="342">
        <v>37</v>
      </c>
      <c r="P343" s="342">
        <v>258</v>
      </c>
      <c r="Q343" s="342">
        <v>58</v>
      </c>
      <c r="R343" s="344">
        <f t="shared" si="128"/>
        <v>909</v>
      </c>
      <c r="S343" s="367">
        <f t="shared" si="129"/>
        <v>96</v>
      </c>
      <c r="T343" s="344"/>
      <c r="U343" s="344"/>
      <c r="V343" s="344"/>
      <c r="W343" s="344"/>
      <c r="X343" s="344"/>
    </row>
    <row r="344" spans="1:24" ht="12.75">
      <c r="A344" s="340" t="s">
        <v>299</v>
      </c>
      <c r="B344" s="341" t="s">
        <v>141</v>
      </c>
      <c r="C344" s="341" t="s">
        <v>177</v>
      </c>
      <c r="D344" s="341">
        <v>2018</v>
      </c>
      <c r="E344" s="341" t="s">
        <v>775</v>
      </c>
      <c r="F344" s="342">
        <v>111</v>
      </c>
      <c r="G344" s="343">
        <v>0</v>
      </c>
      <c r="H344" s="342">
        <v>0</v>
      </c>
      <c r="I344" s="342">
        <v>0</v>
      </c>
      <c r="J344" s="342">
        <v>86</v>
      </c>
      <c r="K344" s="343">
        <v>1</v>
      </c>
      <c r="L344" s="342">
        <v>0</v>
      </c>
      <c r="M344" s="342">
        <v>1</v>
      </c>
      <c r="N344" s="342">
        <v>105</v>
      </c>
      <c r="O344" s="342">
        <v>1</v>
      </c>
      <c r="P344" s="342">
        <v>367</v>
      </c>
      <c r="Q344" s="342">
        <v>0</v>
      </c>
      <c r="R344" s="344">
        <f t="shared" si="128"/>
        <v>669</v>
      </c>
      <c r="S344" s="367">
        <f t="shared" si="129"/>
        <v>2</v>
      </c>
      <c r="T344" s="344"/>
      <c r="U344" s="344"/>
      <c r="V344" s="344"/>
      <c r="W344" s="344"/>
      <c r="X344" s="344"/>
    </row>
    <row r="345" spans="1:24" ht="12.75">
      <c r="A345" s="340" t="s">
        <v>301</v>
      </c>
      <c r="B345" s="341" t="s">
        <v>141</v>
      </c>
      <c r="C345" s="341" t="s">
        <v>177</v>
      </c>
      <c r="D345" s="341">
        <v>2018</v>
      </c>
      <c r="E345" s="341" t="s">
        <v>775</v>
      </c>
      <c r="F345" s="342">
        <v>393</v>
      </c>
      <c r="G345" s="343">
        <v>0</v>
      </c>
      <c r="H345" s="342">
        <v>0</v>
      </c>
      <c r="I345" s="342">
        <v>0</v>
      </c>
      <c r="J345" s="342">
        <v>204</v>
      </c>
      <c r="K345" s="343">
        <v>1</v>
      </c>
      <c r="L345" s="342">
        <v>0</v>
      </c>
      <c r="M345" s="342">
        <v>1</v>
      </c>
      <c r="N345" s="342">
        <v>161</v>
      </c>
      <c r="O345" s="342">
        <v>21</v>
      </c>
      <c r="P345" s="342">
        <v>553</v>
      </c>
      <c r="Q345" s="342">
        <v>1</v>
      </c>
      <c r="R345" s="344">
        <f t="shared" si="128"/>
        <v>1311</v>
      </c>
      <c r="S345" s="367">
        <f t="shared" si="129"/>
        <v>23</v>
      </c>
      <c r="T345" s="344"/>
      <c r="U345" s="344"/>
      <c r="V345" s="344"/>
      <c r="W345" s="344"/>
      <c r="X345" s="344"/>
    </row>
    <row r="346" spans="1:24" ht="12.75">
      <c r="A346" s="340" t="s">
        <v>182</v>
      </c>
      <c r="B346" s="341" t="s">
        <v>141</v>
      </c>
      <c r="C346" s="341" t="s">
        <v>177</v>
      </c>
      <c r="D346" s="341">
        <v>2018</v>
      </c>
      <c r="E346" s="341" t="s">
        <v>775</v>
      </c>
      <c r="F346" s="342">
        <v>103</v>
      </c>
      <c r="G346" s="387">
        <v>0</v>
      </c>
      <c r="H346" s="388">
        <v>0</v>
      </c>
      <c r="I346" s="388">
        <v>0</v>
      </c>
      <c r="J346" s="342">
        <v>36</v>
      </c>
      <c r="K346" s="387">
        <v>0</v>
      </c>
      <c r="L346" s="388">
        <v>0</v>
      </c>
      <c r="M346" s="388">
        <v>0</v>
      </c>
      <c r="N346" s="342">
        <v>35</v>
      </c>
      <c r="O346" s="388">
        <v>0</v>
      </c>
      <c r="P346" s="342">
        <v>204</v>
      </c>
      <c r="Q346" s="388">
        <v>0</v>
      </c>
      <c r="R346" s="344">
        <f t="shared" si="128"/>
        <v>378</v>
      </c>
      <c r="S346" s="367">
        <f t="shared" si="129"/>
        <v>0</v>
      </c>
      <c r="T346" s="345">
        <f>SUM(G338:G346)</f>
        <v>163</v>
      </c>
      <c r="U346" s="345">
        <f>SUM(K338:K346)</f>
        <v>14</v>
      </c>
      <c r="V346" s="345">
        <f>SUM(O338:O346)</f>
        <v>502</v>
      </c>
      <c r="W346" s="345">
        <f>SUM(Q338:Q346)</f>
        <v>1985</v>
      </c>
      <c r="X346" s="345">
        <f>T346+U346+V346+W346</f>
        <v>2664</v>
      </c>
    </row>
    <row r="347" spans="1:24" ht="12.75">
      <c r="A347" s="346" t="s">
        <v>290</v>
      </c>
      <c r="B347" s="347" t="s">
        <v>141</v>
      </c>
      <c r="C347" s="347" t="s">
        <v>811</v>
      </c>
      <c r="D347" s="347">
        <v>2019</v>
      </c>
      <c r="E347" s="347" t="s">
        <v>775</v>
      </c>
      <c r="F347" s="348">
        <v>2321</v>
      </c>
      <c r="G347" s="348">
        <v>0</v>
      </c>
      <c r="H347" s="348">
        <v>0</v>
      </c>
      <c r="I347" s="348">
        <v>0</v>
      </c>
      <c r="J347" s="348">
        <v>1145</v>
      </c>
      <c r="K347" s="348">
        <v>60</v>
      </c>
      <c r="L347" s="348">
        <v>60</v>
      </c>
      <c r="M347" s="348">
        <v>0</v>
      </c>
      <c r="N347" s="348">
        <v>1018</v>
      </c>
      <c r="O347" s="348">
        <v>507</v>
      </c>
      <c r="P347" s="348">
        <v>1844</v>
      </c>
      <c r="Q347" s="348">
        <v>526</v>
      </c>
      <c r="R347" s="350">
        <f t="shared" si="128"/>
        <v>6328</v>
      </c>
      <c r="S347" s="348">
        <f t="shared" si="129"/>
        <v>1093</v>
      </c>
      <c r="T347" s="348"/>
      <c r="U347" s="348"/>
      <c r="V347" s="348"/>
      <c r="W347" s="349"/>
      <c r="X347" s="349"/>
    </row>
    <row r="348" spans="1:24" ht="12.75">
      <c r="A348" s="346" t="s">
        <v>291</v>
      </c>
      <c r="B348" s="347" t="s">
        <v>141</v>
      </c>
      <c r="C348" s="347" t="s">
        <v>811</v>
      </c>
      <c r="D348" s="347">
        <v>2019</v>
      </c>
      <c r="E348" s="347" t="s">
        <v>775</v>
      </c>
      <c r="F348" s="348">
        <v>150</v>
      </c>
      <c r="G348" s="348">
        <v>0</v>
      </c>
      <c r="H348" s="348">
        <v>0</v>
      </c>
      <c r="I348" s="348">
        <v>0</v>
      </c>
      <c r="J348" s="348">
        <v>115</v>
      </c>
      <c r="K348" s="348">
        <v>0</v>
      </c>
      <c r="L348" s="348">
        <v>0</v>
      </c>
      <c r="M348" s="348">
        <v>0</v>
      </c>
      <c r="N348" s="348">
        <v>123</v>
      </c>
      <c r="O348" s="348">
        <v>0</v>
      </c>
      <c r="P348" s="348">
        <v>201</v>
      </c>
      <c r="Q348" s="348">
        <v>68</v>
      </c>
      <c r="R348" s="350">
        <f t="shared" si="128"/>
        <v>589</v>
      </c>
      <c r="S348" s="348">
        <f t="shared" si="129"/>
        <v>68</v>
      </c>
      <c r="T348" s="348"/>
      <c r="U348" s="348"/>
      <c r="V348" s="348"/>
      <c r="W348" s="349"/>
      <c r="X348" s="349"/>
    </row>
    <row r="349" spans="1:24" ht="12.75">
      <c r="A349" s="346" t="s">
        <v>292</v>
      </c>
      <c r="B349" s="347" t="s">
        <v>141</v>
      </c>
      <c r="C349" s="347" t="s">
        <v>811</v>
      </c>
      <c r="D349" s="347">
        <v>2019</v>
      </c>
      <c r="E349" s="347" t="s">
        <v>775</v>
      </c>
      <c r="F349" s="348">
        <v>128</v>
      </c>
      <c r="G349" s="348">
        <v>0</v>
      </c>
      <c r="H349" s="348">
        <v>0</v>
      </c>
      <c r="I349" s="348">
        <v>0</v>
      </c>
      <c r="J349" s="348">
        <v>169</v>
      </c>
      <c r="K349" s="348">
        <v>2</v>
      </c>
      <c r="L349" s="348">
        <v>0</v>
      </c>
      <c r="M349" s="348">
        <v>2</v>
      </c>
      <c r="N349" s="348">
        <v>204</v>
      </c>
      <c r="O349" s="348">
        <v>0</v>
      </c>
      <c r="P349" s="348">
        <v>211</v>
      </c>
      <c r="Q349" s="348">
        <v>0</v>
      </c>
      <c r="R349" s="350">
        <f t="shared" si="128"/>
        <v>712</v>
      </c>
      <c r="S349" s="348">
        <f t="shared" si="129"/>
        <v>2</v>
      </c>
      <c r="T349" s="348"/>
      <c r="U349" s="348"/>
      <c r="V349" s="348"/>
      <c r="W349" s="349"/>
      <c r="X349" s="349"/>
    </row>
    <row r="350" spans="1:24" ht="12.75">
      <c r="A350" s="346" t="s">
        <v>293</v>
      </c>
      <c r="B350" s="347" t="s">
        <v>141</v>
      </c>
      <c r="C350" s="347" t="s">
        <v>811</v>
      </c>
      <c r="D350" s="347">
        <v>2019</v>
      </c>
      <c r="E350" s="347" t="s">
        <v>775</v>
      </c>
      <c r="F350" s="348">
        <v>123</v>
      </c>
      <c r="G350" s="348">
        <v>0</v>
      </c>
      <c r="H350" s="348">
        <v>0</v>
      </c>
      <c r="I350" s="348">
        <v>0</v>
      </c>
      <c r="J350" s="348">
        <v>83</v>
      </c>
      <c r="K350" s="348">
        <v>0</v>
      </c>
      <c r="L350" s="348">
        <v>0</v>
      </c>
      <c r="M350" s="348">
        <v>0</v>
      </c>
      <c r="N350" s="348">
        <v>75</v>
      </c>
      <c r="O350" s="348">
        <v>22</v>
      </c>
      <c r="P350" s="348">
        <v>243</v>
      </c>
      <c r="Q350" s="348">
        <v>29</v>
      </c>
      <c r="R350" s="350">
        <f t="shared" si="128"/>
        <v>524</v>
      </c>
      <c r="S350" s="348">
        <f t="shared" si="129"/>
        <v>51</v>
      </c>
      <c r="T350" s="348"/>
      <c r="U350" s="348"/>
      <c r="V350" s="348"/>
      <c r="W350" s="349"/>
      <c r="X350" s="349"/>
    </row>
    <row r="351" spans="1:24" ht="12.75">
      <c r="A351" s="346" t="s">
        <v>141</v>
      </c>
      <c r="B351" s="347" t="s">
        <v>141</v>
      </c>
      <c r="C351" s="347" t="s">
        <v>811</v>
      </c>
      <c r="D351" s="347">
        <v>2019</v>
      </c>
      <c r="E351" s="347" t="s">
        <v>775</v>
      </c>
      <c r="F351" s="348">
        <v>5666</v>
      </c>
      <c r="G351" s="348">
        <v>41</v>
      </c>
      <c r="H351" s="348">
        <v>41</v>
      </c>
      <c r="I351" s="348">
        <v>0</v>
      </c>
      <c r="J351" s="348">
        <v>3289</v>
      </c>
      <c r="K351" s="348">
        <v>5</v>
      </c>
      <c r="L351" s="348">
        <v>5</v>
      </c>
      <c r="M351" s="348">
        <v>0</v>
      </c>
      <c r="N351" s="348">
        <v>3571</v>
      </c>
      <c r="O351" s="348">
        <v>0</v>
      </c>
      <c r="P351" s="348">
        <v>11039</v>
      </c>
      <c r="Q351" s="348">
        <v>1970</v>
      </c>
      <c r="R351" s="350">
        <f t="shared" si="128"/>
        <v>23565</v>
      </c>
      <c r="S351" s="348">
        <f t="shared" si="129"/>
        <v>2016</v>
      </c>
      <c r="T351" s="348"/>
      <c r="U351" s="348"/>
      <c r="V351" s="348"/>
      <c r="W351" s="349"/>
      <c r="X351" s="349"/>
    </row>
    <row r="352" spans="1:24" ht="12.75">
      <c r="A352" s="346" t="s">
        <v>294</v>
      </c>
      <c r="B352" s="347" t="s">
        <v>141</v>
      </c>
      <c r="C352" s="347" t="s">
        <v>811</v>
      </c>
      <c r="D352" s="347">
        <v>2019</v>
      </c>
      <c r="E352" s="347" t="s">
        <v>775</v>
      </c>
      <c r="F352" s="348">
        <v>460</v>
      </c>
      <c r="G352" s="348">
        <v>20</v>
      </c>
      <c r="H352" s="348">
        <v>0</v>
      </c>
      <c r="I352" s="348">
        <v>20</v>
      </c>
      <c r="J352" s="348">
        <v>527</v>
      </c>
      <c r="K352" s="348">
        <v>40</v>
      </c>
      <c r="L352" s="348">
        <v>0</v>
      </c>
      <c r="M352" s="348">
        <v>40</v>
      </c>
      <c r="N352" s="348">
        <v>589</v>
      </c>
      <c r="O352" s="348">
        <v>20</v>
      </c>
      <c r="P352" s="348">
        <v>1146</v>
      </c>
      <c r="Q352" s="348">
        <v>56</v>
      </c>
      <c r="R352" s="350">
        <f t="shared" si="128"/>
        <v>2722</v>
      </c>
      <c r="S352" s="348">
        <f t="shared" si="129"/>
        <v>136</v>
      </c>
      <c r="T352" s="348"/>
      <c r="U352" s="348"/>
      <c r="V352" s="348"/>
      <c r="W352" s="349"/>
      <c r="X352" s="349"/>
    </row>
    <row r="353" spans="1:24" ht="12.75">
      <c r="A353" s="346" t="s">
        <v>296</v>
      </c>
      <c r="B353" s="347" t="s">
        <v>141</v>
      </c>
      <c r="C353" s="347" t="s">
        <v>811</v>
      </c>
      <c r="D353" s="347">
        <v>2019</v>
      </c>
      <c r="E353" s="347" t="s">
        <v>775</v>
      </c>
      <c r="F353" s="348">
        <v>238</v>
      </c>
      <c r="G353" s="348">
        <v>1</v>
      </c>
      <c r="H353" s="348">
        <v>0</v>
      </c>
      <c r="I353" s="348">
        <v>1</v>
      </c>
      <c r="J353" s="348">
        <v>211</v>
      </c>
      <c r="K353" s="348">
        <v>7</v>
      </c>
      <c r="L353" s="348">
        <v>6</v>
      </c>
      <c r="M353" s="348">
        <v>1</v>
      </c>
      <c r="N353" s="348">
        <v>202</v>
      </c>
      <c r="O353" s="348">
        <v>58</v>
      </c>
      <c r="P353" s="348">
        <v>258</v>
      </c>
      <c r="Q353" s="348">
        <v>12</v>
      </c>
      <c r="R353" s="350">
        <f t="shared" si="128"/>
        <v>909</v>
      </c>
      <c r="S353" s="348">
        <f t="shared" si="129"/>
        <v>78</v>
      </c>
      <c r="T353" s="348"/>
      <c r="U353" s="348"/>
      <c r="V353" s="348"/>
      <c r="W353" s="349"/>
      <c r="X353" s="349"/>
    </row>
    <row r="354" spans="1:24" ht="12.75">
      <c r="A354" s="346" t="s">
        <v>297</v>
      </c>
      <c r="B354" s="347" t="s">
        <v>141</v>
      </c>
      <c r="C354" s="347" t="s">
        <v>811</v>
      </c>
      <c r="D354" s="347">
        <v>2019</v>
      </c>
      <c r="E354" s="347" t="s">
        <v>775</v>
      </c>
      <c r="F354" s="348">
        <v>113</v>
      </c>
      <c r="G354" s="348">
        <v>12</v>
      </c>
      <c r="H354" s="348">
        <v>0</v>
      </c>
      <c r="I354" s="348">
        <v>12</v>
      </c>
      <c r="J354" s="348">
        <v>70</v>
      </c>
      <c r="K354" s="348">
        <v>39</v>
      </c>
      <c r="L354" s="348">
        <v>35</v>
      </c>
      <c r="M354" s="348">
        <v>4</v>
      </c>
      <c r="N354" s="348">
        <v>60</v>
      </c>
      <c r="O354" s="348">
        <v>3</v>
      </c>
      <c r="P354" s="348">
        <v>131</v>
      </c>
      <c r="Q354" s="348">
        <v>62</v>
      </c>
      <c r="R354" s="350">
        <f t="shared" si="128"/>
        <v>374</v>
      </c>
      <c r="S354" s="348">
        <f t="shared" si="129"/>
        <v>116</v>
      </c>
      <c r="T354" s="348"/>
      <c r="U354" s="348"/>
      <c r="V354" s="348"/>
      <c r="W354" s="349"/>
      <c r="X354" s="349"/>
    </row>
    <row r="355" spans="1:24" ht="12.75">
      <c r="A355" s="346" t="s">
        <v>299</v>
      </c>
      <c r="B355" s="347" t="s">
        <v>141</v>
      </c>
      <c r="C355" s="347" t="s">
        <v>811</v>
      </c>
      <c r="D355" s="347">
        <v>2019</v>
      </c>
      <c r="E355" s="347" t="s">
        <v>775</v>
      </c>
      <c r="F355" s="348">
        <v>111</v>
      </c>
      <c r="G355" s="348">
        <v>0</v>
      </c>
      <c r="H355" s="348">
        <v>0</v>
      </c>
      <c r="I355" s="348">
        <v>0</v>
      </c>
      <c r="J355" s="348">
        <v>86</v>
      </c>
      <c r="K355" s="348">
        <v>0</v>
      </c>
      <c r="L355" s="348">
        <v>0</v>
      </c>
      <c r="M355" s="348">
        <v>0</v>
      </c>
      <c r="N355" s="348">
        <v>105</v>
      </c>
      <c r="O355" s="348">
        <v>0</v>
      </c>
      <c r="P355" s="348">
        <v>367</v>
      </c>
      <c r="Q355" s="348">
        <v>0</v>
      </c>
      <c r="R355" s="350">
        <f t="shared" si="128"/>
        <v>669</v>
      </c>
      <c r="S355" s="348">
        <f t="shared" si="129"/>
        <v>0</v>
      </c>
      <c r="T355" s="348"/>
      <c r="U355" s="348"/>
      <c r="V355" s="348"/>
      <c r="W355" s="349"/>
      <c r="X355" s="349"/>
    </row>
    <row r="356" spans="1:24" ht="12.75">
      <c r="A356" s="346" t="s">
        <v>301</v>
      </c>
      <c r="B356" s="347" t="s">
        <v>141</v>
      </c>
      <c r="C356" s="347" t="s">
        <v>811</v>
      </c>
      <c r="D356" s="347">
        <v>2019</v>
      </c>
      <c r="E356" s="347" t="s">
        <v>775</v>
      </c>
      <c r="F356" s="348">
        <v>393</v>
      </c>
      <c r="G356" s="348">
        <v>0</v>
      </c>
      <c r="H356" s="348">
        <v>0</v>
      </c>
      <c r="I356" s="348">
        <v>0</v>
      </c>
      <c r="J356" s="348">
        <v>204</v>
      </c>
      <c r="K356" s="348">
        <v>0</v>
      </c>
      <c r="L356" s="348">
        <v>0</v>
      </c>
      <c r="M356" s="348">
        <v>0</v>
      </c>
      <c r="N356" s="348">
        <v>161</v>
      </c>
      <c r="O356" s="348">
        <v>12</v>
      </c>
      <c r="P356" s="348">
        <v>553</v>
      </c>
      <c r="Q356" s="348">
        <v>0</v>
      </c>
      <c r="R356" s="350">
        <f t="shared" si="128"/>
        <v>1311</v>
      </c>
      <c r="S356" s="348">
        <f t="shared" si="129"/>
        <v>12</v>
      </c>
      <c r="T356" s="348"/>
      <c r="U356" s="348"/>
      <c r="V356" s="348"/>
      <c r="W356" s="349"/>
      <c r="X356" s="349"/>
    </row>
    <row r="357" spans="1:24" ht="12.75">
      <c r="A357" s="346" t="s">
        <v>182</v>
      </c>
      <c r="B357" s="347" t="s">
        <v>141</v>
      </c>
      <c r="C357" s="347" t="s">
        <v>811</v>
      </c>
      <c r="D357" s="347">
        <v>2019</v>
      </c>
      <c r="E357" s="347" t="s">
        <v>775</v>
      </c>
      <c r="F357" s="348">
        <v>103</v>
      </c>
      <c r="G357" s="348">
        <v>0</v>
      </c>
      <c r="H357" s="348">
        <v>0</v>
      </c>
      <c r="I357" s="348">
        <v>0</v>
      </c>
      <c r="J357" s="348">
        <v>36</v>
      </c>
      <c r="K357" s="348">
        <v>0</v>
      </c>
      <c r="L357" s="348">
        <v>0</v>
      </c>
      <c r="M357" s="348">
        <v>0</v>
      </c>
      <c r="N357" s="348">
        <v>35</v>
      </c>
      <c r="O357" s="348">
        <v>0</v>
      </c>
      <c r="P357" s="348">
        <v>204</v>
      </c>
      <c r="Q357" s="348">
        <v>0</v>
      </c>
      <c r="R357" s="350">
        <f t="shared" si="128"/>
        <v>378</v>
      </c>
      <c r="S357" s="348">
        <f t="shared" si="129"/>
        <v>0</v>
      </c>
      <c r="T357" s="350"/>
      <c r="U357" s="350"/>
      <c r="V357" s="350"/>
      <c r="W357" s="350"/>
      <c r="X357" s="350"/>
    </row>
    <row r="358" spans="1:24" ht="12.75">
      <c r="A358" s="346" t="s">
        <v>302</v>
      </c>
      <c r="B358" s="347" t="s">
        <v>141</v>
      </c>
      <c r="C358" s="347" t="s">
        <v>811</v>
      </c>
      <c r="D358" s="347">
        <v>2019</v>
      </c>
      <c r="E358" s="347" t="s">
        <v>775</v>
      </c>
      <c r="F358" s="348">
        <v>312</v>
      </c>
      <c r="G358" s="348">
        <v>0</v>
      </c>
      <c r="H358" s="348">
        <v>0</v>
      </c>
      <c r="I358" s="348">
        <v>0</v>
      </c>
      <c r="J358" s="348">
        <v>175</v>
      </c>
      <c r="K358" s="348">
        <v>0</v>
      </c>
      <c r="L358" s="348">
        <v>0</v>
      </c>
      <c r="M358" s="348">
        <v>0</v>
      </c>
      <c r="N358" s="348">
        <v>163</v>
      </c>
      <c r="O358" s="348">
        <v>33</v>
      </c>
      <c r="P358" s="348">
        <v>568</v>
      </c>
      <c r="Q358" s="348">
        <v>17</v>
      </c>
      <c r="R358" s="350">
        <f t="shared" si="128"/>
        <v>1218</v>
      </c>
      <c r="S358" s="348">
        <f t="shared" si="129"/>
        <v>50</v>
      </c>
      <c r="T358" s="348"/>
      <c r="U358" s="348"/>
      <c r="V358" s="348"/>
      <c r="W358" s="349"/>
      <c r="X358" s="349"/>
    </row>
    <row r="359" spans="1:24" ht="12.75">
      <c r="A359" s="346" t="s">
        <v>303</v>
      </c>
      <c r="B359" s="347" t="s">
        <v>141</v>
      </c>
      <c r="C359" s="347" t="s">
        <v>811</v>
      </c>
      <c r="D359" s="347">
        <v>2019</v>
      </c>
      <c r="E359" s="347" t="s">
        <v>775</v>
      </c>
      <c r="F359" s="348">
        <v>140</v>
      </c>
      <c r="G359" s="348">
        <v>0</v>
      </c>
      <c r="H359" s="348">
        <v>0</v>
      </c>
      <c r="I359" s="348">
        <v>0</v>
      </c>
      <c r="J359" s="348">
        <v>115</v>
      </c>
      <c r="K359" s="348">
        <v>0</v>
      </c>
      <c r="L359" s="348">
        <v>0</v>
      </c>
      <c r="M359" s="348">
        <v>0</v>
      </c>
      <c r="N359" s="348">
        <v>69</v>
      </c>
      <c r="O359" s="348">
        <v>13</v>
      </c>
      <c r="P359" s="348">
        <v>281</v>
      </c>
      <c r="Q359" s="348">
        <v>0</v>
      </c>
      <c r="R359" s="350">
        <f t="shared" si="128"/>
        <v>605</v>
      </c>
      <c r="S359" s="348">
        <f t="shared" si="129"/>
        <v>13</v>
      </c>
      <c r="T359" s="352">
        <f>SUM(G347:G359)</f>
        <v>74</v>
      </c>
      <c r="U359" s="352">
        <f>SUM(K347:K359)</f>
        <v>153</v>
      </c>
      <c r="V359" s="352">
        <f>SUM(O347:O359)</f>
        <v>668</v>
      </c>
      <c r="W359" s="352">
        <f>SUM(Q347:Q359)</f>
        <v>2740</v>
      </c>
      <c r="X359" s="352">
        <f>T359+U359+V359+W359</f>
        <v>3635</v>
      </c>
    </row>
    <row r="360" spans="1:24" ht="12.75">
      <c r="A360" s="220"/>
      <c r="B360" s="221"/>
      <c r="C360" s="221"/>
      <c r="D360" s="221"/>
      <c r="E360" s="221"/>
      <c r="F360" s="353"/>
      <c r="G360" s="353"/>
      <c r="H360" s="354"/>
      <c r="I360" s="353"/>
      <c r="J360" s="353"/>
      <c r="K360" s="353"/>
      <c r="L360" s="353"/>
      <c r="M360" s="353"/>
      <c r="N360" s="353"/>
      <c r="O360" s="353"/>
      <c r="P360" s="353"/>
      <c r="Q360" s="353"/>
      <c r="R360" s="182"/>
      <c r="S360" s="361" t="s">
        <v>783</v>
      </c>
      <c r="T360" s="356">
        <f t="shared" ref="T360:X360" si="130">SUM(T309:T359)</f>
        <v>827</v>
      </c>
      <c r="U360" s="356">
        <f t="shared" si="130"/>
        <v>618</v>
      </c>
      <c r="V360" s="356">
        <f t="shared" si="130"/>
        <v>4445</v>
      </c>
      <c r="W360" s="356">
        <f t="shared" si="130"/>
        <v>11526</v>
      </c>
      <c r="X360" s="356">
        <f t="shared" si="130"/>
        <v>17416</v>
      </c>
    </row>
    <row r="361" spans="1:24" ht="12.75">
      <c r="A361" s="220"/>
      <c r="B361" s="221"/>
      <c r="C361" s="221"/>
      <c r="D361" s="221"/>
      <c r="E361" s="221"/>
      <c r="F361" s="353"/>
      <c r="G361" s="353"/>
      <c r="H361" s="354"/>
      <c r="I361" s="353"/>
      <c r="J361" s="353"/>
      <c r="K361" s="353"/>
      <c r="L361" s="353"/>
      <c r="M361" s="353"/>
      <c r="N361" s="353"/>
      <c r="O361" s="353"/>
      <c r="P361" s="353"/>
      <c r="Q361" s="353"/>
      <c r="R361" s="182"/>
      <c r="S361" s="362"/>
      <c r="T361" s="92"/>
      <c r="U361" s="92"/>
      <c r="V361" s="92"/>
      <c r="W361" s="92"/>
      <c r="X361" s="92"/>
    </row>
    <row r="362" spans="1:24" ht="12.75">
      <c r="A362" s="307" t="s">
        <v>304</v>
      </c>
      <c r="B362" s="308" t="s">
        <v>144</v>
      </c>
      <c r="C362" s="308" t="s">
        <v>784</v>
      </c>
      <c r="D362" s="308">
        <v>2014</v>
      </c>
      <c r="E362" s="308" t="s">
        <v>775</v>
      </c>
      <c r="F362" s="309">
        <v>25</v>
      </c>
      <c r="G362" s="309">
        <v>1</v>
      </c>
      <c r="H362" s="310">
        <v>1</v>
      </c>
      <c r="I362" s="309">
        <v>0</v>
      </c>
      <c r="J362" s="309">
        <v>19</v>
      </c>
      <c r="K362" s="309">
        <v>3</v>
      </c>
      <c r="L362" s="309">
        <v>2</v>
      </c>
      <c r="M362" s="309">
        <v>1</v>
      </c>
      <c r="N362" s="309">
        <v>25</v>
      </c>
      <c r="O362" s="309">
        <v>1</v>
      </c>
      <c r="P362" s="309">
        <v>48</v>
      </c>
      <c r="Q362" s="310">
        <v>4</v>
      </c>
      <c r="R362" s="311">
        <f t="shared" ref="R362:R377" si="131">F362+J362+N362+P362</f>
        <v>117</v>
      </c>
      <c r="S362" s="363">
        <f t="shared" ref="S362:S377" si="132">K362+O362+G362+Q362</f>
        <v>9</v>
      </c>
      <c r="T362" s="311"/>
      <c r="U362" s="311"/>
      <c r="V362" s="311"/>
      <c r="W362" s="311"/>
      <c r="X362" s="311"/>
    </row>
    <row r="363" spans="1:24" ht="12.75">
      <c r="A363" s="307" t="s">
        <v>305</v>
      </c>
      <c r="B363" s="308" t="s">
        <v>144</v>
      </c>
      <c r="C363" s="308" t="s">
        <v>784</v>
      </c>
      <c r="D363" s="308">
        <v>2014</v>
      </c>
      <c r="E363" s="308" t="s">
        <v>775</v>
      </c>
      <c r="F363" s="309">
        <v>20</v>
      </c>
      <c r="G363" s="309">
        <v>0</v>
      </c>
      <c r="H363" s="310">
        <v>0</v>
      </c>
      <c r="I363" s="309">
        <v>0</v>
      </c>
      <c r="J363" s="309">
        <v>10</v>
      </c>
      <c r="K363" s="309">
        <v>0</v>
      </c>
      <c r="L363" s="309">
        <v>0</v>
      </c>
      <c r="M363" s="309">
        <v>0</v>
      </c>
      <c r="N363" s="309">
        <v>14</v>
      </c>
      <c r="O363" s="309">
        <v>0</v>
      </c>
      <c r="P363" s="309">
        <v>36</v>
      </c>
      <c r="Q363" s="310">
        <v>0</v>
      </c>
      <c r="R363" s="311">
        <f t="shared" si="131"/>
        <v>80</v>
      </c>
      <c r="S363" s="363">
        <f t="shared" si="132"/>
        <v>0</v>
      </c>
      <c r="T363" s="311"/>
      <c r="U363" s="311"/>
      <c r="V363" s="311"/>
      <c r="W363" s="311"/>
      <c r="X363" s="311"/>
    </row>
    <row r="364" spans="1:24" ht="12.75">
      <c r="A364" s="312" t="s">
        <v>306</v>
      </c>
      <c r="B364" s="313" t="s">
        <v>144</v>
      </c>
      <c r="C364" s="313" t="s">
        <v>784</v>
      </c>
      <c r="D364" s="313">
        <v>2014</v>
      </c>
      <c r="E364" s="313" t="s">
        <v>775</v>
      </c>
      <c r="F364" s="310">
        <v>15</v>
      </c>
      <c r="G364" s="309">
        <v>0</v>
      </c>
      <c r="H364" s="310">
        <v>0</v>
      </c>
      <c r="I364" s="310">
        <v>0</v>
      </c>
      <c r="J364" s="310">
        <v>11</v>
      </c>
      <c r="K364" s="309">
        <v>0</v>
      </c>
      <c r="L364" s="310">
        <v>0</v>
      </c>
      <c r="M364" s="310">
        <v>0</v>
      </c>
      <c r="N364" s="310">
        <v>11</v>
      </c>
      <c r="O364" s="310">
        <v>0</v>
      </c>
      <c r="P364" s="310">
        <v>26</v>
      </c>
      <c r="Q364" s="310">
        <v>0</v>
      </c>
      <c r="R364" s="311">
        <f t="shared" si="131"/>
        <v>63</v>
      </c>
      <c r="S364" s="363">
        <f t="shared" si="132"/>
        <v>0</v>
      </c>
      <c r="T364" s="314">
        <f>SUM(G362:G364)</f>
        <v>1</v>
      </c>
      <c r="U364" s="314">
        <f>SUM(K362:K364)</f>
        <v>3</v>
      </c>
      <c r="V364" s="314">
        <f>SUM(O362:O364)</f>
        <v>1</v>
      </c>
      <c r="W364" s="314">
        <f>SUM(Q362:Q364)</f>
        <v>4</v>
      </c>
      <c r="X364" s="314">
        <f>T364+U364+V364+W364</f>
        <v>9</v>
      </c>
    </row>
    <row r="365" spans="1:24" ht="12.75">
      <c r="A365" s="315" t="s">
        <v>304</v>
      </c>
      <c r="B365" s="316" t="s">
        <v>144</v>
      </c>
      <c r="C365" s="316" t="s">
        <v>784</v>
      </c>
      <c r="D365" s="316">
        <v>2015</v>
      </c>
      <c r="E365" s="316" t="s">
        <v>775</v>
      </c>
      <c r="F365" s="317">
        <v>25</v>
      </c>
      <c r="G365" s="317">
        <v>4</v>
      </c>
      <c r="H365" s="318">
        <v>4</v>
      </c>
      <c r="I365" s="317">
        <v>0</v>
      </c>
      <c r="J365" s="317">
        <v>19</v>
      </c>
      <c r="K365" s="317">
        <v>1</v>
      </c>
      <c r="L365" s="317">
        <v>0</v>
      </c>
      <c r="M365" s="317">
        <v>1</v>
      </c>
      <c r="N365" s="317">
        <v>25</v>
      </c>
      <c r="O365" s="317">
        <v>1</v>
      </c>
      <c r="P365" s="317">
        <v>48</v>
      </c>
      <c r="Q365" s="318">
        <v>6</v>
      </c>
      <c r="R365" s="319">
        <f t="shared" si="131"/>
        <v>117</v>
      </c>
      <c r="S365" s="364">
        <f t="shared" si="132"/>
        <v>12</v>
      </c>
      <c r="T365" s="319"/>
      <c r="U365" s="319"/>
      <c r="V365" s="319"/>
      <c r="W365" s="319"/>
      <c r="X365" s="319"/>
    </row>
    <row r="366" spans="1:24" ht="12.75">
      <c r="A366" s="315" t="s">
        <v>305</v>
      </c>
      <c r="B366" s="316" t="s">
        <v>144</v>
      </c>
      <c r="C366" s="316" t="s">
        <v>784</v>
      </c>
      <c r="D366" s="316">
        <v>2015</v>
      </c>
      <c r="E366" s="316" t="s">
        <v>775</v>
      </c>
      <c r="F366" s="317">
        <v>20</v>
      </c>
      <c r="G366" s="317">
        <v>0</v>
      </c>
      <c r="H366" s="318">
        <v>0</v>
      </c>
      <c r="I366" s="317">
        <v>0</v>
      </c>
      <c r="J366" s="317">
        <v>10</v>
      </c>
      <c r="K366" s="317">
        <v>0</v>
      </c>
      <c r="L366" s="317">
        <v>0</v>
      </c>
      <c r="M366" s="317">
        <v>0</v>
      </c>
      <c r="N366" s="317">
        <v>14</v>
      </c>
      <c r="O366" s="317">
        <v>10</v>
      </c>
      <c r="P366" s="317">
        <v>36</v>
      </c>
      <c r="Q366" s="318">
        <v>0</v>
      </c>
      <c r="R366" s="319">
        <f t="shared" si="131"/>
        <v>80</v>
      </c>
      <c r="S366" s="364">
        <f t="shared" si="132"/>
        <v>10</v>
      </c>
      <c r="T366" s="319"/>
      <c r="U366" s="319"/>
      <c r="V366" s="319"/>
      <c r="W366" s="319"/>
      <c r="X366" s="319"/>
    </row>
    <row r="367" spans="1:24" ht="12.75">
      <c r="A367" s="321" t="s">
        <v>306</v>
      </c>
      <c r="B367" s="322" t="s">
        <v>144</v>
      </c>
      <c r="C367" s="322" t="s">
        <v>784</v>
      </c>
      <c r="D367" s="322">
        <v>2015</v>
      </c>
      <c r="E367" s="322" t="s">
        <v>775</v>
      </c>
      <c r="F367" s="318">
        <v>15</v>
      </c>
      <c r="G367" s="317">
        <v>49</v>
      </c>
      <c r="H367" s="318">
        <v>49</v>
      </c>
      <c r="I367" s="318">
        <v>0</v>
      </c>
      <c r="J367" s="318">
        <v>11</v>
      </c>
      <c r="K367" s="317">
        <v>0</v>
      </c>
      <c r="L367" s="318">
        <v>0</v>
      </c>
      <c r="M367" s="318">
        <v>0</v>
      </c>
      <c r="N367" s="318">
        <v>11</v>
      </c>
      <c r="O367" s="318">
        <v>0</v>
      </c>
      <c r="P367" s="318">
        <v>26</v>
      </c>
      <c r="Q367" s="318">
        <v>0</v>
      </c>
      <c r="R367" s="319">
        <f t="shared" si="131"/>
        <v>63</v>
      </c>
      <c r="S367" s="364">
        <f t="shared" si="132"/>
        <v>49</v>
      </c>
      <c r="T367" s="323">
        <f>SUM(G365:G367)</f>
        <v>53</v>
      </c>
      <c r="U367" s="323">
        <f>SUM(K365:K367)</f>
        <v>1</v>
      </c>
      <c r="V367" s="323">
        <f>SUM(O365:O367)</f>
        <v>11</v>
      </c>
      <c r="W367" s="323">
        <f>SUM(Q365:Q367)</f>
        <v>6</v>
      </c>
      <c r="X367" s="323">
        <f>T367+U367+V367+W367</f>
        <v>71</v>
      </c>
    </row>
    <row r="368" spans="1:24" ht="12.75">
      <c r="A368" s="324" t="s">
        <v>304</v>
      </c>
      <c r="B368" s="325" t="s">
        <v>144</v>
      </c>
      <c r="C368" s="325" t="s">
        <v>784</v>
      </c>
      <c r="D368" s="325">
        <v>2016</v>
      </c>
      <c r="E368" s="325" t="s">
        <v>775</v>
      </c>
      <c r="F368" s="326">
        <v>25</v>
      </c>
      <c r="G368" s="326">
        <v>1</v>
      </c>
      <c r="H368" s="327">
        <v>1</v>
      </c>
      <c r="I368" s="326">
        <v>0</v>
      </c>
      <c r="J368" s="326">
        <v>19</v>
      </c>
      <c r="K368" s="326">
        <v>3</v>
      </c>
      <c r="L368" s="326">
        <v>0</v>
      </c>
      <c r="M368" s="326">
        <v>3</v>
      </c>
      <c r="N368" s="326">
        <v>25</v>
      </c>
      <c r="O368" s="326">
        <v>2</v>
      </c>
      <c r="P368" s="326">
        <v>48</v>
      </c>
      <c r="Q368" s="327">
        <v>7</v>
      </c>
      <c r="R368" s="328">
        <f t="shared" si="131"/>
        <v>117</v>
      </c>
      <c r="S368" s="365">
        <f t="shared" si="132"/>
        <v>13</v>
      </c>
      <c r="T368" s="328"/>
      <c r="U368" s="328"/>
      <c r="V368" s="328"/>
      <c r="W368" s="328"/>
      <c r="X368" s="328"/>
    </row>
    <row r="369" spans="1:24" ht="12.75">
      <c r="A369" s="324" t="s">
        <v>305</v>
      </c>
      <c r="B369" s="325" t="s">
        <v>144</v>
      </c>
      <c r="C369" s="325" t="s">
        <v>784</v>
      </c>
      <c r="D369" s="325">
        <v>2016</v>
      </c>
      <c r="E369" s="325" t="s">
        <v>775</v>
      </c>
      <c r="F369" s="326">
        <v>20</v>
      </c>
      <c r="G369" s="326">
        <v>0</v>
      </c>
      <c r="H369" s="327">
        <v>0</v>
      </c>
      <c r="I369" s="326">
        <v>0</v>
      </c>
      <c r="J369" s="326">
        <v>10</v>
      </c>
      <c r="K369" s="326">
        <v>39</v>
      </c>
      <c r="L369" s="326">
        <v>39</v>
      </c>
      <c r="M369" s="326">
        <v>0</v>
      </c>
      <c r="N369" s="326">
        <v>14</v>
      </c>
      <c r="O369" s="326">
        <v>5</v>
      </c>
      <c r="P369" s="326">
        <v>36</v>
      </c>
      <c r="Q369" s="327">
        <v>0</v>
      </c>
      <c r="R369" s="328">
        <f t="shared" si="131"/>
        <v>80</v>
      </c>
      <c r="S369" s="365">
        <f t="shared" si="132"/>
        <v>44</v>
      </c>
      <c r="T369" s="328"/>
      <c r="U369" s="328"/>
      <c r="V369" s="328"/>
      <c r="W369" s="328"/>
      <c r="X369" s="328"/>
    </row>
    <row r="370" spans="1:24" ht="12.75">
      <c r="A370" s="329" t="s">
        <v>306</v>
      </c>
      <c r="B370" s="330" t="s">
        <v>144</v>
      </c>
      <c r="C370" s="330" t="s">
        <v>784</v>
      </c>
      <c r="D370" s="330">
        <v>2016</v>
      </c>
      <c r="E370" s="330" t="s">
        <v>775</v>
      </c>
      <c r="F370" s="327">
        <v>15</v>
      </c>
      <c r="G370" s="326">
        <v>0</v>
      </c>
      <c r="H370" s="327">
        <v>0</v>
      </c>
      <c r="I370" s="327">
        <v>0</v>
      </c>
      <c r="J370" s="327">
        <v>11</v>
      </c>
      <c r="K370" s="326">
        <v>2</v>
      </c>
      <c r="L370" s="327">
        <v>2</v>
      </c>
      <c r="M370" s="327">
        <v>0</v>
      </c>
      <c r="N370" s="327">
        <v>11</v>
      </c>
      <c r="O370" s="327">
        <v>1</v>
      </c>
      <c r="P370" s="327">
        <v>26</v>
      </c>
      <c r="Q370" s="327">
        <v>0</v>
      </c>
      <c r="R370" s="328">
        <f t="shared" si="131"/>
        <v>63</v>
      </c>
      <c r="S370" s="365">
        <f t="shared" si="132"/>
        <v>3</v>
      </c>
      <c r="T370" s="331">
        <f>SUM(G368:G370)</f>
        <v>1</v>
      </c>
      <c r="U370" s="331">
        <f>SUM(K368:K370)</f>
        <v>44</v>
      </c>
      <c r="V370" s="331">
        <f>SUM(O368:O370)</f>
        <v>8</v>
      </c>
      <c r="W370" s="331">
        <f>SUM(Q368:Q370)</f>
        <v>7</v>
      </c>
      <c r="X370" s="331">
        <f>T370+U370+V370+W370</f>
        <v>60</v>
      </c>
    </row>
    <row r="371" spans="1:24" ht="12.75">
      <c r="A371" s="332" t="s">
        <v>304</v>
      </c>
      <c r="B371" s="333" t="s">
        <v>144</v>
      </c>
      <c r="C371" s="333" t="s">
        <v>784</v>
      </c>
      <c r="D371" s="333">
        <v>2017</v>
      </c>
      <c r="E371" s="333" t="s">
        <v>775</v>
      </c>
      <c r="F371" s="334">
        <v>25</v>
      </c>
      <c r="G371" s="334">
        <v>4</v>
      </c>
      <c r="H371" s="335">
        <v>0</v>
      </c>
      <c r="I371" s="334">
        <v>4</v>
      </c>
      <c r="J371" s="334">
        <v>19</v>
      </c>
      <c r="K371" s="334">
        <v>3</v>
      </c>
      <c r="L371" s="334">
        <v>0</v>
      </c>
      <c r="M371" s="334">
        <v>3</v>
      </c>
      <c r="N371" s="334">
        <v>25</v>
      </c>
      <c r="O371" s="334">
        <v>5</v>
      </c>
      <c r="P371" s="334">
        <v>48</v>
      </c>
      <c r="Q371" s="335">
        <v>13</v>
      </c>
      <c r="R371" s="336">
        <f t="shared" si="131"/>
        <v>117</v>
      </c>
      <c r="S371" s="366">
        <f t="shared" si="132"/>
        <v>25</v>
      </c>
      <c r="T371" s="336"/>
      <c r="U371" s="336"/>
      <c r="V371" s="336"/>
      <c r="W371" s="336"/>
      <c r="X371" s="336"/>
    </row>
    <row r="372" spans="1:24" ht="12.75">
      <c r="A372" s="332" t="s">
        <v>305</v>
      </c>
      <c r="B372" s="333" t="s">
        <v>144</v>
      </c>
      <c r="C372" s="333" t="s">
        <v>784</v>
      </c>
      <c r="D372" s="333">
        <v>2017</v>
      </c>
      <c r="E372" s="333" t="s">
        <v>775</v>
      </c>
      <c r="F372" s="334">
        <v>20</v>
      </c>
      <c r="G372" s="334">
        <v>0</v>
      </c>
      <c r="H372" s="335">
        <v>0</v>
      </c>
      <c r="I372" s="334">
        <v>0</v>
      </c>
      <c r="J372" s="334">
        <v>10</v>
      </c>
      <c r="K372" s="334">
        <v>0</v>
      </c>
      <c r="L372" s="334">
        <v>0</v>
      </c>
      <c r="M372" s="334">
        <v>0</v>
      </c>
      <c r="N372" s="334">
        <v>14</v>
      </c>
      <c r="O372" s="334">
        <v>7</v>
      </c>
      <c r="P372" s="334">
        <v>36</v>
      </c>
      <c r="Q372" s="335">
        <v>0</v>
      </c>
      <c r="R372" s="336">
        <f t="shared" si="131"/>
        <v>80</v>
      </c>
      <c r="S372" s="366">
        <f t="shared" si="132"/>
        <v>7</v>
      </c>
      <c r="T372" s="336"/>
      <c r="U372" s="336"/>
      <c r="V372" s="336"/>
      <c r="W372" s="336"/>
      <c r="X372" s="336"/>
    </row>
    <row r="373" spans="1:24" ht="12.75">
      <c r="A373" s="337" t="s">
        <v>306</v>
      </c>
      <c r="B373" s="338" t="s">
        <v>144</v>
      </c>
      <c r="C373" s="338" t="s">
        <v>784</v>
      </c>
      <c r="D373" s="338">
        <v>2017</v>
      </c>
      <c r="E373" s="338" t="s">
        <v>775</v>
      </c>
      <c r="F373" s="335">
        <v>15</v>
      </c>
      <c r="G373" s="334">
        <v>0</v>
      </c>
      <c r="H373" s="335">
        <v>0</v>
      </c>
      <c r="I373" s="335">
        <v>0</v>
      </c>
      <c r="J373" s="335">
        <v>11</v>
      </c>
      <c r="K373" s="334">
        <v>0</v>
      </c>
      <c r="L373" s="335">
        <v>0</v>
      </c>
      <c r="M373" s="335">
        <v>0</v>
      </c>
      <c r="N373" s="335">
        <v>11</v>
      </c>
      <c r="O373" s="335">
        <v>0</v>
      </c>
      <c r="P373" s="335">
        <v>26</v>
      </c>
      <c r="Q373" s="335">
        <v>2</v>
      </c>
      <c r="R373" s="336">
        <f t="shared" si="131"/>
        <v>63</v>
      </c>
      <c r="S373" s="366">
        <f t="shared" si="132"/>
        <v>2</v>
      </c>
      <c r="T373" s="339">
        <f>SUM(G371:G373)</f>
        <v>4</v>
      </c>
      <c r="U373" s="339">
        <f>SUM(K371:K373)</f>
        <v>3</v>
      </c>
      <c r="V373" s="339">
        <f>SUM(O371:O373)</f>
        <v>12</v>
      </c>
      <c r="W373" s="339">
        <f>SUM(Q371:Q373)</f>
        <v>15</v>
      </c>
      <c r="X373" s="339">
        <f t="shared" ref="X373:X374" si="133">T373+U373+V373+W373</f>
        <v>34</v>
      </c>
    </row>
    <row r="374" spans="1:24" ht="12.75">
      <c r="A374" s="340" t="s">
        <v>305</v>
      </c>
      <c r="B374" s="341" t="s">
        <v>144</v>
      </c>
      <c r="C374" s="341" t="s">
        <v>784</v>
      </c>
      <c r="D374" s="341">
        <v>2018</v>
      </c>
      <c r="E374" s="341" t="s">
        <v>775</v>
      </c>
      <c r="F374" s="342">
        <v>20</v>
      </c>
      <c r="G374" s="343">
        <v>0</v>
      </c>
      <c r="H374" s="342">
        <v>0</v>
      </c>
      <c r="I374" s="342">
        <v>0</v>
      </c>
      <c r="J374" s="342">
        <v>10</v>
      </c>
      <c r="K374" s="343">
        <v>33</v>
      </c>
      <c r="L374" s="342">
        <v>33</v>
      </c>
      <c r="M374" s="342">
        <v>0</v>
      </c>
      <c r="N374" s="342">
        <v>14</v>
      </c>
      <c r="O374" s="342">
        <v>13</v>
      </c>
      <c r="P374" s="342">
        <v>36</v>
      </c>
      <c r="Q374" s="342">
        <v>0</v>
      </c>
      <c r="R374" s="344">
        <f t="shared" si="131"/>
        <v>80</v>
      </c>
      <c r="S374" s="367">
        <f t="shared" si="132"/>
        <v>46</v>
      </c>
      <c r="T374" s="345">
        <f>G374</f>
        <v>0</v>
      </c>
      <c r="U374" s="345">
        <f>K374</f>
        <v>33</v>
      </c>
      <c r="V374" s="345">
        <f>O374</f>
        <v>13</v>
      </c>
      <c r="W374" s="345">
        <f>Q374</f>
        <v>0</v>
      </c>
      <c r="X374" s="345">
        <f t="shared" si="133"/>
        <v>46</v>
      </c>
    </row>
    <row r="375" spans="1:24" ht="12.75">
      <c r="A375" s="346" t="s">
        <v>304</v>
      </c>
      <c r="B375" s="347" t="s">
        <v>144</v>
      </c>
      <c r="C375" s="347" t="s">
        <v>785</v>
      </c>
      <c r="D375" s="347">
        <v>2019</v>
      </c>
      <c r="E375" s="347" t="s">
        <v>775</v>
      </c>
      <c r="F375" s="348">
        <v>25</v>
      </c>
      <c r="G375" s="348">
        <v>0</v>
      </c>
      <c r="H375" s="348">
        <v>0</v>
      </c>
      <c r="I375" s="348">
        <v>0</v>
      </c>
      <c r="J375" s="348">
        <v>19</v>
      </c>
      <c r="K375" s="348">
        <v>8</v>
      </c>
      <c r="L375" s="348">
        <v>0</v>
      </c>
      <c r="M375" s="348">
        <v>8</v>
      </c>
      <c r="N375" s="348">
        <v>25</v>
      </c>
      <c r="O375" s="348">
        <v>11</v>
      </c>
      <c r="P375" s="348">
        <v>48</v>
      </c>
      <c r="Q375" s="348">
        <v>13</v>
      </c>
      <c r="R375" s="350">
        <f t="shared" si="131"/>
        <v>117</v>
      </c>
      <c r="S375" s="348">
        <f t="shared" si="132"/>
        <v>32</v>
      </c>
      <c r="T375" s="348"/>
      <c r="U375" s="348"/>
      <c r="V375" s="348"/>
      <c r="W375" s="349"/>
      <c r="X375" s="349"/>
    </row>
    <row r="376" spans="1:24" ht="12.75">
      <c r="A376" s="346" t="s">
        <v>305</v>
      </c>
      <c r="B376" s="347" t="s">
        <v>144</v>
      </c>
      <c r="C376" s="347" t="s">
        <v>785</v>
      </c>
      <c r="D376" s="347">
        <v>2019</v>
      </c>
      <c r="E376" s="347" t="s">
        <v>775</v>
      </c>
      <c r="F376" s="348">
        <v>20</v>
      </c>
      <c r="G376" s="348">
        <v>0</v>
      </c>
      <c r="H376" s="348">
        <v>0</v>
      </c>
      <c r="I376" s="348">
        <v>0</v>
      </c>
      <c r="J376" s="348">
        <v>10</v>
      </c>
      <c r="K376" s="348">
        <v>3</v>
      </c>
      <c r="L376" s="348">
        <v>0</v>
      </c>
      <c r="M376" s="348">
        <v>3</v>
      </c>
      <c r="N376" s="348">
        <v>14</v>
      </c>
      <c r="O376" s="348">
        <v>22</v>
      </c>
      <c r="P376" s="348">
        <v>36</v>
      </c>
      <c r="Q376" s="348">
        <v>0</v>
      </c>
      <c r="R376" s="350">
        <f t="shared" si="131"/>
        <v>80</v>
      </c>
      <c r="S376" s="348">
        <f t="shared" si="132"/>
        <v>25</v>
      </c>
      <c r="T376" s="348"/>
      <c r="U376" s="348"/>
      <c r="V376" s="348"/>
      <c r="W376" s="349"/>
      <c r="X376" s="349"/>
    </row>
    <row r="377" spans="1:24" ht="12.75">
      <c r="A377" s="346" t="s">
        <v>306</v>
      </c>
      <c r="B377" s="347" t="s">
        <v>144</v>
      </c>
      <c r="C377" s="347" t="s">
        <v>785</v>
      </c>
      <c r="D377" s="347">
        <v>2019</v>
      </c>
      <c r="E377" s="347" t="s">
        <v>775</v>
      </c>
      <c r="F377" s="348">
        <v>15</v>
      </c>
      <c r="G377" s="348">
        <v>0</v>
      </c>
      <c r="H377" s="348">
        <v>0</v>
      </c>
      <c r="I377" s="348">
        <v>0</v>
      </c>
      <c r="J377" s="348">
        <v>11</v>
      </c>
      <c r="K377" s="348">
        <v>2</v>
      </c>
      <c r="L377" s="348">
        <v>0</v>
      </c>
      <c r="M377" s="348">
        <v>2</v>
      </c>
      <c r="N377" s="348">
        <v>11</v>
      </c>
      <c r="O377" s="348">
        <v>0</v>
      </c>
      <c r="P377" s="348">
        <v>26</v>
      </c>
      <c r="Q377" s="348">
        <v>3</v>
      </c>
      <c r="R377" s="350">
        <f t="shared" si="131"/>
        <v>63</v>
      </c>
      <c r="S377" s="348">
        <f t="shared" si="132"/>
        <v>5</v>
      </c>
      <c r="T377" s="352">
        <f>SUM(G375:G377)</f>
        <v>0</v>
      </c>
      <c r="U377" s="352">
        <f>SUM(K375:K377)</f>
        <v>13</v>
      </c>
      <c r="V377" s="352">
        <f>SUM(O375:O377)</f>
        <v>33</v>
      </c>
      <c r="W377" s="352">
        <f>SUM(Q375:Q377)</f>
        <v>16</v>
      </c>
      <c r="X377" s="352">
        <f>T377+U377+V377+W377</f>
        <v>62</v>
      </c>
    </row>
    <row r="378" spans="1:24" ht="12.75">
      <c r="A378" s="220"/>
      <c r="B378" s="221"/>
      <c r="C378" s="221"/>
      <c r="D378" s="221"/>
      <c r="E378" s="221"/>
      <c r="F378" s="353"/>
      <c r="G378" s="353"/>
      <c r="H378" s="354"/>
      <c r="I378" s="353"/>
      <c r="J378" s="353"/>
      <c r="K378" s="353"/>
      <c r="L378" s="353"/>
      <c r="M378" s="353"/>
      <c r="N378" s="353"/>
      <c r="O378" s="353"/>
      <c r="P378" s="353"/>
      <c r="Q378" s="354"/>
      <c r="R378" s="182"/>
      <c r="S378" s="361" t="s">
        <v>783</v>
      </c>
      <c r="T378" s="356">
        <f t="shared" ref="T378:X378" si="134">SUM(T362:T377)</f>
        <v>59</v>
      </c>
      <c r="U378" s="356">
        <f t="shared" si="134"/>
        <v>97</v>
      </c>
      <c r="V378" s="356">
        <f t="shared" si="134"/>
        <v>78</v>
      </c>
      <c r="W378" s="356">
        <f t="shared" si="134"/>
        <v>48</v>
      </c>
      <c r="X378" s="356">
        <f t="shared" si="134"/>
        <v>282</v>
      </c>
    </row>
    <row r="379" spans="1:24" ht="12.75">
      <c r="A379" s="220"/>
      <c r="B379" s="221"/>
      <c r="C379" s="221"/>
      <c r="D379" s="221"/>
      <c r="E379" s="221"/>
      <c r="F379" s="353"/>
      <c r="G379" s="353"/>
      <c r="H379" s="354"/>
      <c r="I379" s="353"/>
      <c r="J379" s="353"/>
      <c r="K379" s="353"/>
      <c r="L379" s="353"/>
      <c r="M379" s="353"/>
      <c r="N379" s="353"/>
      <c r="O379" s="353"/>
      <c r="P379" s="353"/>
      <c r="Q379" s="354"/>
      <c r="R379" s="182"/>
      <c r="S379" s="362"/>
      <c r="T379" s="92"/>
      <c r="U379" s="92"/>
      <c r="V379" s="92"/>
      <c r="W379" s="92"/>
      <c r="X379" s="92"/>
    </row>
    <row r="380" spans="1:24" ht="12.75">
      <c r="A380" s="307" t="s">
        <v>307</v>
      </c>
      <c r="B380" s="308" t="s">
        <v>145</v>
      </c>
      <c r="C380" s="308" t="s">
        <v>784</v>
      </c>
      <c r="D380" s="308">
        <v>2014</v>
      </c>
      <c r="E380" s="308" t="s">
        <v>775</v>
      </c>
      <c r="F380" s="309">
        <v>85</v>
      </c>
      <c r="G380" s="309">
        <v>26</v>
      </c>
      <c r="H380" s="310">
        <v>26</v>
      </c>
      <c r="I380" s="309">
        <v>0</v>
      </c>
      <c r="J380" s="309">
        <v>56</v>
      </c>
      <c r="K380" s="309">
        <v>5</v>
      </c>
      <c r="L380" s="309">
        <v>5</v>
      </c>
      <c r="M380" s="309">
        <v>0</v>
      </c>
      <c r="N380" s="309">
        <v>62</v>
      </c>
      <c r="O380" s="309">
        <v>8</v>
      </c>
      <c r="P380" s="309">
        <v>160</v>
      </c>
      <c r="Q380" s="310">
        <v>7</v>
      </c>
      <c r="R380" s="311">
        <f t="shared" ref="R380:R402" si="135">F380+J380+N380+P380</f>
        <v>363</v>
      </c>
      <c r="S380" s="363">
        <f t="shared" ref="S380:S402" si="136">K380+O380+G380+Q380</f>
        <v>46</v>
      </c>
      <c r="T380" s="311"/>
      <c r="U380" s="311"/>
      <c r="V380" s="311"/>
      <c r="W380" s="311"/>
      <c r="X380" s="311"/>
    </row>
    <row r="381" spans="1:24" ht="12.75">
      <c r="A381" s="307" t="s">
        <v>309</v>
      </c>
      <c r="B381" s="308" t="s">
        <v>145</v>
      </c>
      <c r="C381" s="308" t="s">
        <v>784</v>
      </c>
      <c r="D381" s="308">
        <v>2014</v>
      </c>
      <c r="E381" s="308" t="s">
        <v>775</v>
      </c>
      <c r="F381" s="309">
        <v>145</v>
      </c>
      <c r="G381" s="309">
        <v>0</v>
      </c>
      <c r="H381" s="310">
        <v>0</v>
      </c>
      <c r="I381" s="309">
        <v>0</v>
      </c>
      <c r="J381" s="309">
        <v>96</v>
      </c>
      <c r="K381" s="309">
        <v>0</v>
      </c>
      <c r="L381" s="309">
        <v>0</v>
      </c>
      <c r="M381" s="309">
        <v>0</v>
      </c>
      <c r="N381" s="309">
        <v>104</v>
      </c>
      <c r="O381" s="309">
        <v>0</v>
      </c>
      <c r="P381" s="309">
        <v>264</v>
      </c>
      <c r="Q381" s="310">
        <v>7</v>
      </c>
      <c r="R381" s="311">
        <f t="shared" si="135"/>
        <v>609</v>
      </c>
      <c r="S381" s="363">
        <f t="shared" si="136"/>
        <v>7</v>
      </c>
      <c r="T381" s="311"/>
      <c r="U381" s="311"/>
      <c r="V381" s="311"/>
      <c r="W381" s="311"/>
      <c r="X381" s="311"/>
    </row>
    <row r="382" spans="1:24" ht="12.75">
      <c r="A382" s="307" t="s">
        <v>312</v>
      </c>
      <c r="B382" s="308" t="s">
        <v>145</v>
      </c>
      <c r="C382" s="308" t="s">
        <v>784</v>
      </c>
      <c r="D382" s="308">
        <v>2014</v>
      </c>
      <c r="E382" s="308" t="s">
        <v>775</v>
      </c>
      <c r="F382" s="309">
        <v>212</v>
      </c>
      <c r="G382" s="309">
        <v>16</v>
      </c>
      <c r="H382" s="310">
        <v>0</v>
      </c>
      <c r="I382" s="309">
        <v>16</v>
      </c>
      <c r="J382" s="309">
        <v>135</v>
      </c>
      <c r="K382" s="309">
        <v>13</v>
      </c>
      <c r="L382" s="309">
        <v>0</v>
      </c>
      <c r="M382" s="309">
        <v>13</v>
      </c>
      <c r="N382" s="309">
        <v>146</v>
      </c>
      <c r="O382" s="309">
        <v>26</v>
      </c>
      <c r="P382" s="309">
        <v>366</v>
      </c>
      <c r="Q382" s="310">
        <v>83</v>
      </c>
      <c r="R382" s="311">
        <f t="shared" si="135"/>
        <v>859</v>
      </c>
      <c r="S382" s="363">
        <f t="shared" si="136"/>
        <v>138</v>
      </c>
      <c r="T382" s="314">
        <f>SUM(G380:G382)</f>
        <v>42</v>
      </c>
      <c r="U382" s="314">
        <f>SUM(K380:K382)</f>
        <v>18</v>
      </c>
      <c r="V382" s="314">
        <f>SUM(O380:O382)</f>
        <v>34</v>
      </c>
      <c r="W382" s="314">
        <f>SUM(Q380:Q382)</f>
        <v>97</v>
      </c>
      <c r="X382" s="314">
        <f>T382+U382+V382+W382</f>
        <v>191</v>
      </c>
    </row>
    <row r="383" spans="1:24" ht="12.75">
      <c r="A383" s="315" t="s">
        <v>307</v>
      </c>
      <c r="B383" s="316" t="s">
        <v>145</v>
      </c>
      <c r="C383" s="316" t="s">
        <v>784</v>
      </c>
      <c r="D383" s="316">
        <v>2015</v>
      </c>
      <c r="E383" s="316" t="s">
        <v>775</v>
      </c>
      <c r="F383" s="317">
        <v>85</v>
      </c>
      <c r="G383" s="317">
        <v>17</v>
      </c>
      <c r="H383" s="318">
        <v>17</v>
      </c>
      <c r="I383" s="317">
        <v>0</v>
      </c>
      <c r="J383" s="317">
        <v>56</v>
      </c>
      <c r="K383" s="317">
        <v>0</v>
      </c>
      <c r="L383" s="317">
        <v>0</v>
      </c>
      <c r="M383" s="317">
        <v>0</v>
      </c>
      <c r="N383" s="317">
        <v>62</v>
      </c>
      <c r="O383" s="317">
        <v>3</v>
      </c>
      <c r="P383" s="317">
        <v>160</v>
      </c>
      <c r="Q383" s="318">
        <v>2</v>
      </c>
      <c r="R383" s="319">
        <f t="shared" si="135"/>
        <v>363</v>
      </c>
      <c r="S383" s="364">
        <f t="shared" si="136"/>
        <v>22</v>
      </c>
      <c r="T383" s="319"/>
      <c r="U383" s="319"/>
      <c r="V383" s="319"/>
      <c r="W383" s="319"/>
      <c r="X383" s="319"/>
    </row>
    <row r="384" spans="1:24" ht="12.75">
      <c r="A384" s="315" t="s">
        <v>309</v>
      </c>
      <c r="B384" s="316" t="s">
        <v>145</v>
      </c>
      <c r="C384" s="316" t="s">
        <v>784</v>
      </c>
      <c r="D384" s="316">
        <v>2015</v>
      </c>
      <c r="E384" s="316" t="s">
        <v>775</v>
      </c>
      <c r="F384" s="317">
        <v>145</v>
      </c>
      <c r="G384" s="317">
        <v>0</v>
      </c>
      <c r="H384" s="318">
        <v>0</v>
      </c>
      <c r="I384" s="317">
        <v>0</v>
      </c>
      <c r="J384" s="317">
        <v>96</v>
      </c>
      <c r="K384" s="317">
        <v>55</v>
      </c>
      <c r="L384" s="317">
        <v>49</v>
      </c>
      <c r="M384" s="317">
        <v>6</v>
      </c>
      <c r="N384" s="317">
        <v>104</v>
      </c>
      <c r="O384" s="317">
        <v>8</v>
      </c>
      <c r="P384" s="317">
        <v>264</v>
      </c>
      <c r="Q384" s="318">
        <v>14</v>
      </c>
      <c r="R384" s="319">
        <f t="shared" si="135"/>
        <v>609</v>
      </c>
      <c r="S384" s="364">
        <f t="shared" si="136"/>
        <v>77</v>
      </c>
      <c r="T384" s="319"/>
      <c r="U384" s="319"/>
      <c r="V384" s="319"/>
      <c r="W384" s="319"/>
      <c r="X384" s="319"/>
    </row>
    <row r="385" spans="1:24" ht="12.75">
      <c r="A385" s="315" t="s">
        <v>312</v>
      </c>
      <c r="B385" s="316" t="s">
        <v>145</v>
      </c>
      <c r="C385" s="316" t="s">
        <v>784</v>
      </c>
      <c r="D385" s="316">
        <v>2015</v>
      </c>
      <c r="E385" s="316" t="s">
        <v>775</v>
      </c>
      <c r="F385" s="317">
        <v>212</v>
      </c>
      <c r="G385" s="317">
        <v>5</v>
      </c>
      <c r="H385" s="318">
        <v>0</v>
      </c>
      <c r="I385" s="317">
        <v>5</v>
      </c>
      <c r="J385" s="317">
        <v>135</v>
      </c>
      <c r="K385" s="317">
        <v>4</v>
      </c>
      <c r="L385" s="317">
        <v>0</v>
      </c>
      <c r="M385" s="317">
        <v>4</v>
      </c>
      <c r="N385" s="317">
        <v>146</v>
      </c>
      <c r="O385" s="317">
        <v>53</v>
      </c>
      <c r="P385" s="317">
        <v>366</v>
      </c>
      <c r="Q385" s="318">
        <v>39</v>
      </c>
      <c r="R385" s="319">
        <f t="shared" si="135"/>
        <v>859</v>
      </c>
      <c r="S385" s="364">
        <f t="shared" si="136"/>
        <v>101</v>
      </c>
      <c r="T385" s="323">
        <f>SUM(G383:G385)</f>
        <v>22</v>
      </c>
      <c r="U385" s="323">
        <f>SUM(K383:K385)</f>
        <v>59</v>
      </c>
      <c r="V385" s="323">
        <f>SUM(O383:O385)</f>
        <v>64</v>
      </c>
      <c r="W385" s="323">
        <f>SUM(Q383:Q385)</f>
        <v>55</v>
      </c>
      <c r="X385" s="323">
        <f>T385+U385+V385+W385</f>
        <v>200</v>
      </c>
    </row>
    <row r="386" spans="1:24" ht="12.75">
      <c r="A386" s="324" t="s">
        <v>307</v>
      </c>
      <c r="B386" s="325" t="s">
        <v>145</v>
      </c>
      <c r="C386" s="325" t="s">
        <v>784</v>
      </c>
      <c r="D386" s="325">
        <v>2016</v>
      </c>
      <c r="E386" s="325" t="s">
        <v>775</v>
      </c>
      <c r="F386" s="326">
        <v>85</v>
      </c>
      <c r="G386" s="326">
        <v>0</v>
      </c>
      <c r="H386" s="327">
        <v>0</v>
      </c>
      <c r="I386" s="326">
        <v>0</v>
      </c>
      <c r="J386" s="326">
        <v>56</v>
      </c>
      <c r="K386" s="326">
        <v>0</v>
      </c>
      <c r="L386" s="326">
        <v>0</v>
      </c>
      <c r="M386" s="326">
        <v>0</v>
      </c>
      <c r="N386" s="326">
        <v>62</v>
      </c>
      <c r="O386" s="326">
        <v>43</v>
      </c>
      <c r="P386" s="326">
        <v>160</v>
      </c>
      <c r="Q386" s="327">
        <v>7</v>
      </c>
      <c r="R386" s="328">
        <f t="shared" si="135"/>
        <v>363</v>
      </c>
      <c r="S386" s="365">
        <f t="shared" si="136"/>
        <v>50</v>
      </c>
      <c r="T386" s="328"/>
      <c r="U386" s="328"/>
      <c r="V386" s="328"/>
      <c r="W386" s="328"/>
      <c r="X386" s="328"/>
    </row>
    <row r="387" spans="1:24" ht="12.75">
      <c r="A387" s="324" t="s">
        <v>309</v>
      </c>
      <c r="B387" s="325" t="s">
        <v>145</v>
      </c>
      <c r="C387" s="325" t="s">
        <v>784</v>
      </c>
      <c r="D387" s="325">
        <v>2016</v>
      </c>
      <c r="E387" s="325" t="s">
        <v>775</v>
      </c>
      <c r="F387" s="326">
        <v>145</v>
      </c>
      <c r="G387" s="326">
        <v>0</v>
      </c>
      <c r="H387" s="327">
        <v>0</v>
      </c>
      <c r="I387" s="326">
        <v>0</v>
      </c>
      <c r="J387" s="326">
        <v>96</v>
      </c>
      <c r="K387" s="326">
        <v>0</v>
      </c>
      <c r="L387" s="326">
        <v>0</v>
      </c>
      <c r="M387" s="326">
        <v>0</v>
      </c>
      <c r="N387" s="326">
        <v>104</v>
      </c>
      <c r="O387" s="326">
        <v>0</v>
      </c>
      <c r="P387" s="326">
        <v>264</v>
      </c>
      <c r="Q387" s="327">
        <v>4</v>
      </c>
      <c r="R387" s="328">
        <f t="shared" si="135"/>
        <v>609</v>
      </c>
      <c r="S387" s="365">
        <f t="shared" si="136"/>
        <v>4</v>
      </c>
      <c r="T387" s="328"/>
      <c r="U387" s="328"/>
      <c r="V387" s="328"/>
      <c r="W387" s="328"/>
      <c r="X387" s="328"/>
    </row>
    <row r="388" spans="1:24" ht="12.75">
      <c r="A388" s="324" t="s">
        <v>312</v>
      </c>
      <c r="B388" s="325" t="s">
        <v>145</v>
      </c>
      <c r="C388" s="325" t="s">
        <v>784</v>
      </c>
      <c r="D388" s="325">
        <v>2016</v>
      </c>
      <c r="E388" s="325" t="s">
        <v>775</v>
      </c>
      <c r="F388" s="326">
        <v>212</v>
      </c>
      <c r="G388" s="326">
        <v>3</v>
      </c>
      <c r="H388" s="327">
        <v>0</v>
      </c>
      <c r="I388" s="326">
        <v>3</v>
      </c>
      <c r="J388" s="326">
        <v>135</v>
      </c>
      <c r="K388" s="326">
        <v>11</v>
      </c>
      <c r="L388" s="326">
        <v>0</v>
      </c>
      <c r="M388" s="326">
        <v>11</v>
      </c>
      <c r="N388" s="326">
        <v>146</v>
      </c>
      <c r="O388" s="326">
        <v>30</v>
      </c>
      <c r="P388" s="326">
        <v>366</v>
      </c>
      <c r="Q388" s="327">
        <v>27</v>
      </c>
      <c r="R388" s="328">
        <f t="shared" si="135"/>
        <v>859</v>
      </c>
      <c r="S388" s="365">
        <f t="shared" si="136"/>
        <v>71</v>
      </c>
      <c r="T388" s="331">
        <f>SUM(G386:G388)</f>
        <v>3</v>
      </c>
      <c r="U388" s="331">
        <f>SUM(K386:K388)</f>
        <v>11</v>
      </c>
      <c r="V388" s="331">
        <f>SUM(O386:O388)</f>
        <v>73</v>
      </c>
      <c r="W388" s="331">
        <f>SUM(Q386:Q388)</f>
        <v>38</v>
      </c>
      <c r="X388" s="331">
        <f>T388+U388+V388+W388</f>
        <v>125</v>
      </c>
    </row>
    <row r="389" spans="1:24" ht="12.75">
      <c r="A389" s="332" t="s">
        <v>307</v>
      </c>
      <c r="B389" s="333" t="s">
        <v>145</v>
      </c>
      <c r="C389" s="333" t="s">
        <v>784</v>
      </c>
      <c r="D389" s="333">
        <v>2017</v>
      </c>
      <c r="E389" s="333" t="s">
        <v>775</v>
      </c>
      <c r="F389" s="334">
        <v>85</v>
      </c>
      <c r="G389" s="334">
        <v>0</v>
      </c>
      <c r="H389" s="335">
        <v>0</v>
      </c>
      <c r="I389" s="334">
        <v>0</v>
      </c>
      <c r="J389" s="334">
        <v>56</v>
      </c>
      <c r="K389" s="334">
        <v>0</v>
      </c>
      <c r="L389" s="334">
        <v>0</v>
      </c>
      <c r="M389" s="334">
        <v>0</v>
      </c>
      <c r="N389" s="334">
        <v>62</v>
      </c>
      <c r="O389" s="334">
        <v>164</v>
      </c>
      <c r="P389" s="334">
        <v>160</v>
      </c>
      <c r="Q389" s="335">
        <v>5</v>
      </c>
      <c r="R389" s="336">
        <f t="shared" si="135"/>
        <v>363</v>
      </c>
      <c r="S389" s="366">
        <f t="shared" si="136"/>
        <v>169</v>
      </c>
      <c r="T389" s="336"/>
      <c r="U389" s="336"/>
      <c r="V389" s="336"/>
      <c r="W389" s="336"/>
      <c r="X389" s="336"/>
    </row>
    <row r="390" spans="1:24" ht="12.75">
      <c r="A390" s="332" t="s">
        <v>309</v>
      </c>
      <c r="B390" s="386" t="s">
        <v>145</v>
      </c>
      <c r="C390" s="333" t="s">
        <v>784</v>
      </c>
      <c r="D390" s="333">
        <v>2017</v>
      </c>
      <c r="E390" s="333" t="s">
        <v>775</v>
      </c>
      <c r="F390" s="334">
        <v>145</v>
      </c>
      <c r="G390" s="334">
        <v>0</v>
      </c>
      <c r="H390" s="335">
        <v>0</v>
      </c>
      <c r="I390" s="334">
        <v>0</v>
      </c>
      <c r="J390" s="334">
        <v>96</v>
      </c>
      <c r="K390" s="334">
        <v>0</v>
      </c>
      <c r="L390" s="334">
        <v>0</v>
      </c>
      <c r="M390" s="334">
        <v>0</v>
      </c>
      <c r="N390" s="334">
        <v>104</v>
      </c>
      <c r="O390" s="334">
        <v>0</v>
      </c>
      <c r="P390" s="334">
        <v>264</v>
      </c>
      <c r="Q390" s="335">
        <v>16</v>
      </c>
      <c r="R390" s="336">
        <f t="shared" si="135"/>
        <v>609</v>
      </c>
      <c r="S390" s="366">
        <f t="shared" si="136"/>
        <v>16</v>
      </c>
      <c r="T390" s="336"/>
      <c r="U390" s="336"/>
      <c r="V390" s="336"/>
      <c r="W390" s="336"/>
      <c r="X390" s="336"/>
    </row>
    <row r="391" spans="1:24" ht="12.75">
      <c r="A391" s="332" t="s">
        <v>311</v>
      </c>
      <c r="B391" s="333" t="s">
        <v>145</v>
      </c>
      <c r="C391" s="333" t="s">
        <v>784</v>
      </c>
      <c r="D391" s="333">
        <v>2017</v>
      </c>
      <c r="E391" s="333" t="s">
        <v>775</v>
      </c>
      <c r="F391" s="334">
        <v>39</v>
      </c>
      <c r="G391" s="334">
        <v>0</v>
      </c>
      <c r="H391" s="335">
        <v>0</v>
      </c>
      <c r="I391" s="334">
        <v>0</v>
      </c>
      <c r="J391" s="334">
        <v>24</v>
      </c>
      <c r="K391" s="334">
        <v>0</v>
      </c>
      <c r="L391" s="334">
        <v>0</v>
      </c>
      <c r="M391" s="334">
        <v>0</v>
      </c>
      <c r="N391" s="334">
        <v>27</v>
      </c>
      <c r="O391" s="334">
        <v>4</v>
      </c>
      <c r="P391" s="334">
        <v>71</v>
      </c>
      <c r="Q391" s="335">
        <v>5</v>
      </c>
      <c r="R391" s="336">
        <f t="shared" si="135"/>
        <v>161</v>
      </c>
      <c r="S391" s="366">
        <f t="shared" si="136"/>
        <v>9</v>
      </c>
      <c r="T391" s="336"/>
      <c r="U391" s="336"/>
      <c r="V391" s="336"/>
      <c r="W391" s="336"/>
      <c r="X391" s="336"/>
    </row>
    <row r="392" spans="1:24" ht="12.75">
      <c r="A392" s="332" t="s">
        <v>312</v>
      </c>
      <c r="B392" s="333" t="s">
        <v>145</v>
      </c>
      <c r="C392" s="333" t="s">
        <v>784</v>
      </c>
      <c r="D392" s="333">
        <v>2017</v>
      </c>
      <c r="E392" s="333" t="s">
        <v>775</v>
      </c>
      <c r="F392" s="334">
        <v>212</v>
      </c>
      <c r="G392" s="334">
        <v>7</v>
      </c>
      <c r="H392" s="335">
        <v>0</v>
      </c>
      <c r="I392" s="334">
        <v>7</v>
      </c>
      <c r="J392" s="334">
        <v>135</v>
      </c>
      <c r="K392" s="334">
        <v>15</v>
      </c>
      <c r="L392" s="334">
        <v>0</v>
      </c>
      <c r="M392" s="334">
        <v>15</v>
      </c>
      <c r="N392" s="334">
        <v>146</v>
      </c>
      <c r="O392" s="334">
        <v>86</v>
      </c>
      <c r="P392" s="334">
        <v>366</v>
      </c>
      <c r="Q392" s="335">
        <v>12</v>
      </c>
      <c r="R392" s="336">
        <f t="shared" si="135"/>
        <v>859</v>
      </c>
      <c r="S392" s="366">
        <f t="shared" si="136"/>
        <v>120</v>
      </c>
      <c r="T392" s="339">
        <f>SUM(G389:G392)</f>
        <v>7</v>
      </c>
      <c r="U392" s="339">
        <f>SUM(K389:K392)</f>
        <v>15</v>
      </c>
      <c r="V392" s="339">
        <f>SUM(O389:O392)</f>
        <v>254</v>
      </c>
      <c r="W392" s="339">
        <f>SUM(Q389:Q392)</f>
        <v>38</v>
      </c>
      <c r="X392" s="339">
        <f>T392+U392+V392+W392</f>
        <v>314</v>
      </c>
    </row>
    <row r="393" spans="1:24" ht="12.75">
      <c r="A393" s="340" t="s">
        <v>307</v>
      </c>
      <c r="B393" s="341" t="s">
        <v>145</v>
      </c>
      <c r="C393" s="341" t="s">
        <v>784</v>
      </c>
      <c r="D393" s="341">
        <v>2018</v>
      </c>
      <c r="E393" s="341" t="s">
        <v>775</v>
      </c>
      <c r="F393" s="342">
        <v>85</v>
      </c>
      <c r="G393" s="343">
        <v>0</v>
      </c>
      <c r="H393" s="342">
        <v>0</v>
      </c>
      <c r="I393" s="342">
        <v>0</v>
      </c>
      <c r="J393" s="342">
        <v>56</v>
      </c>
      <c r="K393" s="343">
        <v>0</v>
      </c>
      <c r="L393" s="342">
        <v>0</v>
      </c>
      <c r="M393" s="342">
        <v>0</v>
      </c>
      <c r="N393" s="342">
        <v>62</v>
      </c>
      <c r="O393" s="342">
        <v>40</v>
      </c>
      <c r="P393" s="342">
        <v>160</v>
      </c>
      <c r="Q393" s="342">
        <v>32</v>
      </c>
      <c r="R393" s="344">
        <f t="shared" si="135"/>
        <v>363</v>
      </c>
      <c r="S393" s="367">
        <f t="shared" si="136"/>
        <v>72</v>
      </c>
      <c r="T393" s="344"/>
      <c r="U393" s="344"/>
      <c r="V393" s="344"/>
      <c r="W393" s="344"/>
      <c r="X393" s="344"/>
    </row>
    <row r="394" spans="1:24" ht="12.75">
      <c r="A394" s="340" t="s">
        <v>309</v>
      </c>
      <c r="B394" s="341" t="s">
        <v>145</v>
      </c>
      <c r="C394" s="341" t="s">
        <v>784</v>
      </c>
      <c r="D394" s="341">
        <v>2018</v>
      </c>
      <c r="E394" s="341" t="s">
        <v>775</v>
      </c>
      <c r="F394" s="342">
        <v>145</v>
      </c>
      <c r="G394" s="343">
        <v>38</v>
      </c>
      <c r="H394" s="342">
        <v>38</v>
      </c>
      <c r="I394" s="342">
        <v>0</v>
      </c>
      <c r="J394" s="342">
        <v>96</v>
      </c>
      <c r="K394" s="343">
        <v>12</v>
      </c>
      <c r="L394" s="342">
        <v>12</v>
      </c>
      <c r="M394" s="342">
        <v>0</v>
      </c>
      <c r="N394" s="342">
        <v>104</v>
      </c>
      <c r="O394" s="342">
        <v>0</v>
      </c>
      <c r="P394" s="342">
        <v>264</v>
      </c>
      <c r="Q394" s="342">
        <v>30</v>
      </c>
      <c r="R394" s="344">
        <f t="shared" si="135"/>
        <v>609</v>
      </c>
      <c r="S394" s="367">
        <f t="shared" si="136"/>
        <v>80</v>
      </c>
      <c r="T394" s="344"/>
      <c r="U394" s="344"/>
      <c r="V394" s="344"/>
      <c r="W394" s="344"/>
      <c r="X394" s="344"/>
    </row>
    <row r="395" spans="1:24" ht="12.75">
      <c r="A395" s="340" t="s">
        <v>311</v>
      </c>
      <c r="B395" s="341" t="s">
        <v>145</v>
      </c>
      <c r="C395" s="341" t="s">
        <v>784</v>
      </c>
      <c r="D395" s="341">
        <v>2018</v>
      </c>
      <c r="E395" s="341" t="s">
        <v>775</v>
      </c>
      <c r="F395" s="342">
        <v>39</v>
      </c>
      <c r="G395" s="343">
        <v>0</v>
      </c>
      <c r="H395" s="342">
        <v>0</v>
      </c>
      <c r="I395" s="342">
        <v>0</v>
      </c>
      <c r="J395" s="342">
        <v>24</v>
      </c>
      <c r="K395" s="343">
        <v>0</v>
      </c>
      <c r="L395" s="342">
        <v>0</v>
      </c>
      <c r="M395" s="342">
        <v>0</v>
      </c>
      <c r="N395" s="342">
        <v>27</v>
      </c>
      <c r="O395" s="342">
        <v>16</v>
      </c>
      <c r="P395" s="342">
        <v>71</v>
      </c>
      <c r="Q395" s="342">
        <v>20</v>
      </c>
      <c r="R395" s="344">
        <f t="shared" si="135"/>
        <v>161</v>
      </c>
      <c r="S395" s="367">
        <f t="shared" si="136"/>
        <v>36</v>
      </c>
      <c r="T395" s="344"/>
      <c r="U395" s="344"/>
      <c r="V395" s="344"/>
      <c r="W395" s="344"/>
      <c r="X395" s="344"/>
    </row>
    <row r="396" spans="1:24" ht="12.75">
      <c r="A396" s="340" t="s">
        <v>312</v>
      </c>
      <c r="B396" s="341" t="s">
        <v>145</v>
      </c>
      <c r="C396" s="341" t="s">
        <v>784</v>
      </c>
      <c r="D396" s="341">
        <v>2018</v>
      </c>
      <c r="E396" s="341" t="s">
        <v>775</v>
      </c>
      <c r="F396" s="342">
        <v>212</v>
      </c>
      <c r="G396" s="343">
        <v>2</v>
      </c>
      <c r="H396" s="342">
        <v>0</v>
      </c>
      <c r="I396" s="342">
        <v>2</v>
      </c>
      <c r="J396" s="342">
        <v>135</v>
      </c>
      <c r="K396" s="343">
        <v>1</v>
      </c>
      <c r="L396" s="342">
        <v>0</v>
      </c>
      <c r="M396" s="342">
        <v>1</v>
      </c>
      <c r="N396" s="342">
        <v>146</v>
      </c>
      <c r="O396" s="342">
        <v>31</v>
      </c>
      <c r="P396" s="342">
        <v>366</v>
      </c>
      <c r="Q396" s="342">
        <v>40</v>
      </c>
      <c r="R396" s="344">
        <f t="shared" si="135"/>
        <v>859</v>
      </c>
      <c r="S396" s="367">
        <f t="shared" si="136"/>
        <v>74</v>
      </c>
      <c r="T396" s="344"/>
      <c r="U396" s="344"/>
      <c r="V396" s="344"/>
      <c r="W396" s="344"/>
      <c r="X396" s="344"/>
    </row>
    <row r="397" spans="1:24" ht="12.75">
      <c r="A397" s="340" t="s">
        <v>313</v>
      </c>
      <c r="B397" s="341" t="s">
        <v>145</v>
      </c>
      <c r="C397" s="341" t="s">
        <v>784</v>
      </c>
      <c r="D397" s="341">
        <v>2018</v>
      </c>
      <c r="E397" s="341" t="s">
        <v>775</v>
      </c>
      <c r="F397" s="342">
        <v>8</v>
      </c>
      <c r="G397" s="343">
        <v>0</v>
      </c>
      <c r="H397" s="342">
        <v>0</v>
      </c>
      <c r="I397" s="342">
        <v>0</v>
      </c>
      <c r="J397" s="342">
        <v>4</v>
      </c>
      <c r="K397" s="343">
        <v>0</v>
      </c>
      <c r="L397" s="342">
        <v>0</v>
      </c>
      <c r="M397" s="342">
        <v>0</v>
      </c>
      <c r="N397" s="342">
        <v>4</v>
      </c>
      <c r="O397" s="342">
        <v>0</v>
      </c>
      <c r="P397" s="342">
        <v>15</v>
      </c>
      <c r="Q397" s="342">
        <v>1</v>
      </c>
      <c r="R397" s="344">
        <f t="shared" si="135"/>
        <v>31</v>
      </c>
      <c r="S397" s="367">
        <f t="shared" si="136"/>
        <v>1</v>
      </c>
      <c r="T397" s="345">
        <f>SUM(G393:G397)</f>
        <v>40</v>
      </c>
      <c r="U397" s="345">
        <f>SUM(K393:K397)</f>
        <v>13</v>
      </c>
      <c r="V397" s="345">
        <f>SUM(O393:O397)</f>
        <v>87</v>
      </c>
      <c r="W397" s="345">
        <f>SUM(Q393:Q397)</f>
        <v>123</v>
      </c>
      <c r="X397" s="345">
        <f>T397+U397+V397+W397</f>
        <v>263</v>
      </c>
    </row>
    <row r="398" spans="1:24" ht="12.75">
      <c r="A398" s="346" t="s">
        <v>307</v>
      </c>
      <c r="B398" s="347" t="s">
        <v>145</v>
      </c>
      <c r="C398" s="347" t="s">
        <v>785</v>
      </c>
      <c r="D398" s="347">
        <v>2019</v>
      </c>
      <c r="E398" s="347" t="s">
        <v>775</v>
      </c>
      <c r="F398" s="348">
        <v>85</v>
      </c>
      <c r="G398" s="348">
        <v>0</v>
      </c>
      <c r="H398" s="348">
        <v>0</v>
      </c>
      <c r="I398" s="348">
        <v>0</v>
      </c>
      <c r="J398" s="348">
        <v>56</v>
      </c>
      <c r="K398" s="348">
        <v>10</v>
      </c>
      <c r="L398" s="348">
        <v>0</v>
      </c>
      <c r="M398" s="348">
        <v>10</v>
      </c>
      <c r="N398" s="348">
        <v>62</v>
      </c>
      <c r="O398" s="348">
        <v>6</v>
      </c>
      <c r="P398" s="348">
        <v>160</v>
      </c>
      <c r="Q398" s="348">
        <v>9</v>
      </c>
      <c r="R398" s="350">
        <f t="shared" si="135"/>
        <v>363</v>
      </c>
      <c r="S398" s="348">
        <f t="shared" si="136"/>
        <v>25</v>
      </c>
      <c r="T398" s="348"/>
      <c r="U398" s="348"/>
      <c r="V398" s="348"/>
      <c r="W398" s="349"/>
      <c r="X398" s="349"/>
    </row>
    <row r="399" spans="1:24" ht="12.75">
      <c r="A399" s="346" t="s">
        <v>310</v>
      </c>
      <c r="B399" s="347" t="s">
        <v>145</v>
      </c>
      <c r="C399" s="347" t="s">
        <v>785</v>
      </c>
      <c r="D399" s="347">
        <v>2019</v>
      </c>
      <c r="E399" s="347" t="s">
        <v>775</v>
      </c>
      <c r="F399" s="348">
        <v>6</v>
      </c>
      <c r="G399" s="348">
        <v>0</v>
      </c>
      <c r="H399" s="348">
        <v>0</v>
      </c>
      <c r="I399" s="348">
        <v>0</v>
      </c>
      <c r="J399" s="348">
        <v>3</v>
      </c>
      <c r="K399" s="348">
        <v>5</v>
      </c>
      <c r="L399" s="348">
        <v>0</v>
      </c>
      <c r="M399" s="348">
        <v>5</v>
      </c>
      <c r="N399" s="348">
        <v>4</v>
      </c>
      <c r="O399" s="348">
        <v>3</v>
      </c>
      <c r="P399" s="348">
        <v>8</v>
      </c>
      <c r="Q399" s="348">
        <v>0</v>
      </c>
      <c r="R399" s="350">
        <f t="shared" si="135"/>
        <v>21</v>
      </c>
      <c r="S399" s="348">
        <f t="shared" si="136"/>
        <v>8</v>
      </c>
      <c r="T399" s="348"/>
      <c r="U399" s="348"/>
      <c r="V399" s="348"/>
      <c r="W399" s="349"/>
      <c r="X399" s="349"/>
    </row>
    <row r="400" spans="1:24" ht="12.75">
      <c r="A400" s="346" t="s">
        <v>311</v>
      </c>
      <c r="B400" s="347" t="s">
        <v>145</v>
      </c>
      <c r="C400" s="347" t="s">
        <v>785</v>
      </c>
      <c r="D400" s="347">
        <v>2019</v>
      </c>
      <c r="E400" s="347" t="s">
        <v>775</v>
      </c>
      <c r="F400" s="348">
        <v>39</v>
      </c>
      <c r="G400" s="348">
        <v>0</v>
      </c>
      <c r="H400" s="348">
        <v>0</v>
      </c>
      <c r="I400" s="348">
        <v>0</v>
      </c>
      <c r="J400" s="348">
        <v>24</v>
      </c>
      <c r="K400" s="348">
        <v>0</v>
      </c>
      <c r="L400" s="348">
        <v>0</v>
      </c>
      <c r="M400" s="348">
        <v>0</v>
      </c>
      <c r="N400" s="348">
        <v>27</v>
      </c>
      <c r="O400" s="348">
        <v>26</v>
      </c>
      <c r="P400" s="348">
        <v>71</v>
      </c>
      <c r="Q400" s="348">
        <v>15</v>
      </c>
      <c r="R400" s="350">
        <f t="shared" si="135"/>
        <v>161</v>
      </c>
      <c r="S400" s="348">
        <f t="shared" si="136"/>
        <v>41</v>
      </c>
      <c r="T400" s="348"/>
      <c r="U400" s="348"/>
      <c r="V400" s="348"/>
      <c r="W400" s="349"/>
      <c r="X400" s="349"/>
    </row>
    <row r="401" spans="1:24" ht="12.75">
      <c r="A401" s="346" t="s">
        <v>313</v>
      </c>
      <c r="B401" s="347" t="s">
        <v>145</v>
      </c>
      <c r="C401" s="347" t="s">
        <v>785</v>
      </c>
      <c r="D401" s="347">
        <v>2019</v>
      </c>
      <c r="E401" s="347" t="s">
        <v>775</v>
      </c>
      <c r="F401" s="348">
        <v>8</v>
      </c>
      <c r="G401" s="348">
        <v>25</v>
      </c>
      <c r="H401" s="348">
        <v>25</v>
      </c>
      <c r="I401" s="348">
        <v>0</v>
      </c>
      <c r="J401" s="348">
        <v>4</v>
      </c>
      <c r="K401" s="348">
        <v>5</v>
      </c>
      <c r="L401" s="348">
        <v>0</v>
      </c>
      <c r="M401" s="348">
        <v>5</v>
      </c>
      <c r="N401" s="348">
        <v>4</v>
      </c>
      <c r="O401" s="348">
        <v>0</v>
      </c>
      <c r="P401" s="348">
        <v>15</v>
      </c>
      <c r="Q401" s="348">
        <v>2</v>
      </c>
      <c r="R401" s="350">
        <f t="shared" si="135"/>
        <v>31</v>
      </c>
      <c r="S401" s="348">
        <f t="shared" si="136"/>
        <v>32</v>
      </c>
      <c r="T401" s="348"/>
      <c r="U401" s="348"/>
      <c r="V401" s="348"/>
      <c r="W401" s="349"/>
      <c r="X401" s="349"/>
    </row>
    <row r="402" spans="1:24" ht="12.75">
      <c r="A402" s="346" t="s">
        <v>314</v>
      </c>
      <c r="B402" s="347" t="s">
        <v>145</v>
      </c>
      <c r="C402" s="347" t="s">
        <v>785</v>
      </c>
      <c r="D402" s="347">
        <v>2019</v>
      </c>
      <c r="E402" s="347" t="s">
        <v>775</v>
      </c>
      <c r="F402" s="348">
        <v>1</v>
      </c>
      <c r="G402" s="348">
        <v>0</v>
      </c>
      <c r="H402" s="348">
        <v>0</v>
      </c>
      <c r="I402" s="348">
        <v>0</v>
      </c>
      <c r="J402" s="348">
        <v>1</v>
      </c>
      <c r="K402" s="348">
        <v>0</v>
      </c>
      <c r="L402" s="348">
        <v>0</v>
      </c>
      <c r="M402" s="348">
        <v>0</v>
      </c>
      <c r="N402" s="348">
        <v>1</v>
      </c>
      <c r="O402" s="348">
        <v>0</v>
      </c>
      <c r="P402" s="348">
        <v>2</v>
      </c>
      <c r="Q402" s="348">
        <v>1</v>
      </c>
      <c r="R402" s="350">
        <f t="shared" si="135"/>
        <v>5</v>
      </c>
      <c r="S402" s="348">
        <f t="shared" si="136"/>
        <v>1</v>
      </c>
      <c r="T402" s="352">
        <f>SUM(G398:G402)</f>
        <v>25</v>
      </c>
      <c r="U402" s="352">
        <f>SUM(K398:K402)</f>
        <v>20</v>
      </c>
      <c r="V402" s="352">
        <f>SUM(O398:O402)</f>
        <v>35</v>
      </c>
      <c r="W402" s="352">
        <f>SUM(Q398:Q402)</f>
        <v>27</v>
      </c>
      <c r="X402" s="352">
        <f>T402+U402+V402+W402</f>
        <v>107</v>
      </c>
    </row>
    <row r="403" spans="1:24" ht="12.75">
      <c r="A403" s="389"/>
      <c r="B403" s="390"/>
      <c r="C403" s="390"/>
      <c r="D403" s="390"/>
      <c r="E403" s="390"/>
      <c r="F403" s="391"/>
      <c r="G403" s="391"/>
      <c r="H403" s="392"/>
      <c r="I403" s="391"/>
      <c r="J403" s="391"/>
      <c r="K403" s="391"/>
      <c r="L403" s="391"/>
      <c r="M403" s="391"/>
      <c r="N403" s="391"/>
      <c r="O403" s="391"/>
      <c r="P403" s="391"/>
      <c r="Q403" s="392"/>
      <c r="R403" s="393"/>
      <c r="S403" s="361" t="s">
        <v>783</v>
      </c>
      <c r="T403" s="356">
        <f t="shared" ref="T403:X403" si="137">SUM(T380:T402)</f>
        <v>139</v>
      </c>
      <c r="U403" s="356">
        <f t="shared" si="137"/>
        <v>136</v>
      </c>
      <c r="V403" s="356">
        <f t="shared" si="137"/>
        <v>547</v>
      </c>
      <c r="W403" s="356">
        <f t="shared" si="137"/>
        <v>378</v>
      </c>
      <c r="X403" s="356">
        <f t="shared" si="137"/>
        <v>1200</v>
      </c>
    </row>
    <row r="404" spans="1:24" ht="12.75">
      <c r="A404" s="220"/>
      <c r="B404" s="221"/>
      <c r="C404" s="221"/>
      <c r="D404" s="221"/>
      <c r="E404" s="221"/>
      <c r="F404" s="353"/>
      <c r="G404" s="353"/>
      <c r="H404" s="354"/>
      <c r="I404" s="353"/>
      <c r="J404" s="353"/>
      <c r="K404" s="353"/>
      <c r="L404" s="353"/>
      <c r="M404" s="353"/>
      <c r="N404" s="353"/>
      <c r="O404" s="353"/>
      <c r="P404" s="353"/>
      <c r="Q404" s="354"/>
      <c r="R404" s="182"/>
      <c r="S404" s="362"/>
      <c r="T404" s="92"/>
      <c r="U404" s="92"/>
      <c r="V404" s="92"/>
      <c r="W404" s="92"/>
      <c r="X404" s="92"/>
    </row>
    <row r="405" spans="1:24" ht="12.75">
      <c r="A405" s="307" t="s">
        <v>315</v>
      </c>
      <c r="B405" s="308" t="s">
        <v>146</v>
      </c>
      <c r="C405" s="308" t="s">
        <v>812</v>
      </c>
      <c r="D405" s="308">
        <v>2014</v>
      </c>
      <c r="E405" s="308" t="s">
        <v>775</v>
      </c>
      <c r="F405" s="309">
        <v>760</v>
      </c>
      <c r="G405" s="309">
        <v>8</v>
      </c>
      <c r="H405" s="310">
        <v>8</v>
      </c>
      <c r="I405" s="309">
        <v>0</v>
      </c>
      <c r="J405" s="309">
        <v>470</v>
      </c>
      <c r="K405" s="309">
        <v>5</v>
      </c>
      <c r="L405" s="309">
        <v>5</v>
      </c>
      <c r="M405" s="309">
        <v>0</v>
      </c>
      <c r="N405" s="309">
        <v>466</v>
      </c>
      <c r="O405" s="309">
        <v>0</v>
      </c>
      <c r="P405" s="309">
        <v>1338</v>
      </c>
      <c r="Q405" s="310">
        <v>6</v>
      </c>
      <c r="R405" s="311">
        <f t="shared" ref="R405:R438" si="138">F405+J405+N405+P405</f>
        <v>3034</v>
      </c>
      <c r="S405" s="363">
        <f t="shared" ref="S405:S438" si="139">K405+O405+G405+Q405</f>
        <v>19</v>
      </c>
      <c r="T405" s="311"/>
      <c r="U405" s="311"/>
      <c r="V405" s="311"/>
      <c r="W405" s="311"/>
      <c r="X405" s="311"/>
    </row>
    <row r="406" spans="1:24" ht="12.75">
      <c r="A406" s="307" t="s">
        <v>316</v>
      </c>
      <c r="B406" s="308" t="s">
        <v>146</v>
      </c>
      <c r="C406" s="308" t="s">
        <v>812</v>
      </c>
      <c r="D406" s="308">
        <v>2014</v>
      </c>
      <c r="E406" s="308" t="s">
        <v>775</v>
      </c>
      <c r="F406" s="309">
        <v>817</v>
      </c>
      <c r="G406" s="309">
        <v>66</v>
      </c>
      <c r="H406" s="310">
        <v>23</v>
      </c>
      <c r="I406" s="309">
        <v>43</v>
      </c>
      <c r="J406" s="309">
        <v>489</v>
      </c>
      <c r="K406" s="309">
        <v>10</v>
      </c>
      <c r="L406" s="309">
        <v>0</v>
      </c>
      <c r="M406" s="309">
        <v>10</v>
      </c>
      <c r="N406" s="309">
        <v>490</v>
      </c>
      <c r="O406" s="309">
        <v>42</v>
      </c>
      <c r="P406" s="309">
        <v>1428</v>
      </c>
      <c r="Q406" s="310">
        <v>0</v>
      </c>
      <c r="R406" s="311">
        <f t="shared" si="138"/>
        <v>3224</v>
      </c>
      <c r="S406" s="363">
        <f t="shared" si="139"/>
        <v>118</v>
      </c>
      <c r="T406" s="311"/>
      <c r="U406" s="311"/>
      <c r="V406" s="311"/>
      <c r="W406" s="311"/>
      <c r="X406" s="311"/>
    </row>
    <row r="407" spans="1:24" ht="12.75">
      <c r="A407" s="307" t="s">
        <v>318</v>
      </c>
      <c r="B407" s="374" t="s">
        <v>146</v>
      </c>
      <c r="C407" s="308" t="s">
        <v>812</v>
      </c>
      <c r="D407" s="308">
        <v>2014</v>
      </c>
      <c r="E407" s="308" t="s">
        <v>775</v>
      </c>
      <c r="F407" s="309">
        <v>487</v>
      </c>
      <c r="G407" s="309">
        <v>0</v>
      </c>
      <c r="H407" s="310">
        <v>0</v>
      </c>
      <c r="I407" s="309">
        <v>0</v>
      </c>
      <c r="J407" s="309">
        <v>300</v>
      </c>
      <c r="K407" s="309">
        <v>3</v>
      </c>
      <c r="L407" s="309">
        <v>3</v>
      </c>
      <c r="M407" s="309">
        <v>0</v>
      </c>
      <c r="N407" s="309">
        <v>297</v>
      </c>
      <c r="O407" s="309">
        <v>0</v>
      </c>
      <c r="P407" s="309">
        <v>840</v>
      </c>
      <c r="Q407" s="310">
        <v>43</v>
      </c>
      <c r="R407" s="311">
        <f t="shared" si="138"/>
        <v>1924</v>
      </c>
      <c r="S407" s="363">
        <f t="shared" si="139"/>
        <v>46</v>
      </c>
      <c r="T407" s="311"/>
      <c r="U407" s="311"/>
      <c r="V407" s="311"/>
      <c r="W407" s="311"/>
      <c r="X407" s="311"/>
    </row>
    <row r="408" spans="1:24" ht="12.75">
      <c r="A408" s="307" t="s">
        <v>146</v>
      </c>
      <c r="B408" s="308" t="s">
        <v>146</v>
      </c>
      <c r="C408" s="308" t="s">
        <v>812</v>
      </c>
      <c r="D408" s="308">
        <v>2014</v>
      </c>
      <c r="E408" s="308" t="s">
        <v>775</v>
      </c>
      <c r="F408" s="309">
        <v>349</v>
      </c>
      <c r="G408" s="309">
        <v>56</v>
      </c>
      <c r="H408" s="310">
        <v>56</v>
      </c>
      <c r="I408" s="309">
        <v>0</v>
      </c>
      <c r="J408" s="309">
        <v>205</v>
      </c>
      <c r="K408" s="309">
        <v>0</v>
      </c>
      <c r="L408" s="309">
        <v>0</v>
      </c>
      <c r="M408" s="309">
        <v>0</v>
      </c>
      <c r="N408" s="309">
        <v>202</v>
      </c>
      <c r="O408" s="309">
        <v>43</v>
      </c>
      <c r="P408" s="309">
        <v>553</v>
      </c>
      <c r="Q408" s="310">
        <v>16</v>
      </c>
      <c r="R408" s="311">
        <f t="shared" si="138"/>
        <v>1309</v>
      </c>
      <c r="S408" s="363">
        <f t="shared" si="139"/>
        <v>115</v>
      </c>
      <c r="T408" s="311"/>
      <c r="U408" s="311"/>
      <c r="V408" s="311"/>
      <c r="W408" s="311"/>
      <c r="X408" s="311"/>
    </row>
    <row r="409" spans="1:24" ht="12.75">
      <c r="A409" s="312" t="s">
        <v>321</v>
      </c>
      <c r="B409" s="313" t="s">
        <v>146</v>
      </c>
      <c r="C409" s="313" t="s">
        <v>812</v>
      </c>
      <c r="D409" s="313">
        <v>2014</v>
      </c>
      <c r="E409" s="313" t="s">
        <v>775</v>
      </c>
      <c r="F409" s="310">
        <v>57</v>
      </c>
      <c r="G409" s="309">
        <v>0</v>
      </c>
      <c r="H409" s="310">
        <v>0</v>
      </c>
      <c r="I409" s="310">
        <v>0</v>
      </c>
      <c r="J409" s="310">
        <v>35</v>
      </c>
      <c r="K409" s="309">
        <v>0</v>
      </c>
      <c r="L409" s="310">
        <v>0</v>
      </c>
      <c r="M409" s="310">
        <v>0</v>
      </c>
      <c r="N409" s="310">
        <v>36</v>
      </c>
      <c r="O409" s="310">
        <v>0</v>
      </c>
      <c r="P409" s="310">
        <v>105</v>
      </c>
      <c r="Q409" s="310">
        <v>0</v>
      </c>
      <c r="R409" s="311">
        <f t="shared" si="138"/>
        <v>233</v>
      </c>
      <c r="S409" s="363">
        <f t="shared" si="139"/>
        <v>0</v>
      </c>
      <c r="T409" s="314">
        <f>SUM(G405:G409)</f>
        <v>130</v>
      </c>
      <c r="U409" s="314">
        <f>SUM(K405:K409)</f>
        <v>18</v>
      </c>
      <c r="V409" s="314">
        <f>SUM(O405:O409)</f>
        <v>85</v>
      </c>
      <c r="W409" s="314">
        <f>SUM(Q405:Q409)</f>
        <v>65</v>
      </c>
      <c r="X409" s="314">
        <f>T409+U409+V409+W409</f>
        <v>298</v>
      </c>
    </row>
    <row r="410" spans="1:24" ht="12.75">
      <c r="A410" s="315" t="s">
        <v>315</v>
      </c>
      <c r="B410" s="316" t="s">
        <v>146</v>
      </c>
      <c r="C410" s="316" t="s">
        <v>812</v>
      </c>
      <c r="D410" s="316">
        <v>2015</v>
      </c>
      <c r="E410" s="316" t="s">
        <v>775</v>
      </c>
      <c r="F410" s="317">
        <v>760</v>
      </c>
      <c r="G410" s="317">
        <v>20</v>
      </c>
      <c r="H410" s="318">
        <v>20</v>
      </c>
      <c r="I410" s="317">
        <v>0</v>
      </c>
      <c r="J410" s="317">
        <v>470</v>
      </c>
      <c r="K410" s="317">
        <v>27</v>
      </c>
      <c r="L410" s="317">
        <v>27</v>
      </c>
      <c r="M410" s="317">
        <v>0</v>
      </c>
      <c r="N410" s="317">
        <v>466</v>
      </c>
      <c r="O410" s="317">
        <v>0</v>
      </c>
      <c r="P410" s="317">
        <v>1338</v>
      </c>
      <c r="Q410" s="318">
        <v>0</v>
      </c>
      <c r="R410" s="319">
        <f t="shared" si="138"/>
        <v>3034</v>
      </c>
      <c r="S410" s="364">
        <f t="shared" si="139"/>
        <v>47</v>
      </c>
      <c r="T410" s="319"/>
      <c r="U410" s="319"/>
      <c r="V410" s="319"/>
      <c r="W410" s="319"/>
      <c r="X410" s="319"/>
    </row>
    <row r="411" spans="1:24" ht="12.75">
      <c r="A411" s="315" t="s">
        <v>316</v>
      </c>
      <c r="B411" s="316" t="s">
        <v>146</v>
      </c>
      <c r="C411" s="316" t="s">
        <v>812</v>
      </c>
      <c r="D411" s="316">
        <v>2015</v>
      </c>
      <c r="E411" s="316" t="s">
        <v>775</v>
      </c>
      <c r="F411" s="317">
        <v>817</v>
      </c>
      <c r="G411" s="317">
        <v>0</v>
      </c>
      <c r="H411" s="318">
        <v>0</v>
      </c>
      <c r="I411" s="317">
        <v>0</v>
      </c>
      <c r="J411" s="317">
        <v>489</v>
      </c>
      <c r="K411" s="317">
        <v>0</v>
      </c>
      <c r="L411" s="317">
        <v>0</v>
      </c>
      <c r="M411" s="317">
        <v>0</v>
      </c>
      <c r="N411" s="317">
        <v>490</v>
      </c>
      <c r="O411" s="317">
        <v>10</v>
      </c>
      <c r="P411" s="317">
        <v>1428</v>
      </c>
      <c r="Q411" s="318">
        <v>0</v>
      </c>
      <c r="R411" s="319">
        <f t="shared" si="138"/>
        <v>3224</v>
      </c>
      <c r="S411" s="364">
        <f t="shared" si="139"/>
        <v>10</v>
      </c>
      <c r="T411" s="319"/>
      <c r="U411" s="319"/>
      <c r="V411" s="319"/>
      <c r="W411" s="319"/>
      <c r="X411" s="319"/>
    </row>
    <row r="412" spans="1:24" ht="12.75">
      <c r="A412" s="315" t="s">
        <v>318</v>
      </c>
      <c r="B412" s="316" t="s">
        <v>146</v>
      </c>
      <c r="C412" s="316" t="s">
        <v>812</v>
      </c>
      <c r="D412" s="316">
        <v>2015</v>
      </c>
      <c r="E412" s="316" t="s">
        <v>775</v>
      </c>
      <c r="F412" s="317">
        <v>487</v>
      </c>
      <c r="G412" s="317">
        <v>0</v>
      </c>
      <c r="H412" s="318">
        <v>0</v>
      </c>
      <c r="I412" s="317">
        <v>0</v>
      </c>
      <c r="J412" s="317">
        <v>300</v>
      </c>
      <c r="K412" s="317">
        <v>5</v>
      </c>
      <c r="L412" s="317">
        <v>5</v>
      </c>
      <c r="M412" s="317">
        <v>0</v>
      </c>
      <c r="N412" s="317">
        <v>297</v>
      </c>
      <c r="O412" s="317">
        <v>84</v>
      </c>
      <c r="P412" s="317">
        <v>840</v>
      </c>
      <c r="Q412" s="318">
        <v>11</v>
      </c>
      <c r="R412" s="319">
        <f t="shared" si="138"/>
        <v>1924</v>
      </c>
      <c r="S412" s="364">
        <f t="shared" si="139"/>
        <v>100</v>
      </c>
      <c r="T412" s="319"/>
      <c r="U412" s="319"/>
      <c r="V412" s="319"/>
      <c r="W412" s="319"/>
      <c r="X412" s="319"/>
    </row>
    <row r="413" spans="1:24" ht="12.75">
      <c r="A413" s="315" t="s">
        <v>146</v>
      </c>
      <c r="B413" s="316" t="s">
        <v>146</v>
      </c>
      <c r="C413" s="316" t="s">
        <v>812</v>
      </c>
      <c r="D413" s="316">
        <v>2015</v>
      </c>
      <c r="E413" s="316" t="s">
        <v>775</v>
      </c>
      <c r="F413" s="317">
        <v>349</v>
      </c>
      <c r="G413" s="317">
        <v>0</v>
      </c>
      <c r="H413" s="318">
        <v>0</v>
      </c>
      <c r="I413" s="317">
        <v>0</v>
      </c>
      <c r="J413" s="317">
        <v>205</v>
      </c>
      <c r="K413" s="317">
        <v>10</v>
      </c>
      <c r="L413" s="317">
        <v>10</v>
      </c>
      <c r="M413" s="317">
        <v>0</v>
      </c>
      <c r="N413" s="317">
        <v>202</v>
      </c>
      <c r="O413" s="317">
        <v>77</v>
      </c>
      <c r="P413" s="317">
        <v>553</v>
      </c>
      <c r="Q413" s="318">
        <v>19</v>
      </c>
      <c r="R413" s="319">
        <f t="shared" si="138"/>
        <v>1309</v>
      </c>
      <c r="S413" s="364">
        <f t="shared" si="139"/>
        <v>106</v>
      </c>
      <c r="T413" s="319"/>
      <c r="U413" s="319"/>
      <c r="V413" s="319"/>
      <c r="W413" s="319"/>
      <c r="X413" s="319"/>
    </row>
    <row r="414" spans="1:24" ht="12.75">
      <c r="A414" s="321" t="s">
        <v>321</v>
      </c>
      <c r="B414" s="322" t="s">
        <v>146</v>
      </c>
      <c r="C414" s="322" t="s">
        <v>812</v>
      </c>
      <c r="D414" s="322">
        <v>2015</v>
      </c>
      <c r="E414" s="322" t="s">
        <v>775</v>
      </c>
      <c r="F414" s="318">
        <v>57</v>
      </c>
      <c r="G414" s="317">
        <v>0</v>
      </c>
      <c r="H414" s="318">
        <v>0</v>
      </c>
      <c r="I414" s="318">
        <v>0</v>
      </c>
      <c r="J414" s="318">
        <v>35</v>
      </c>
      <c r="K414" s="317">
        <v>0</v>
      </c>
      <c r="L414" s="318">
        <v>0</v>
      </c>
      <c r="M414" s="318">
        <v>0</v>
      </c>
      <c r="N414" s="318">
        <v>36</v>
      </c>
      <c r="O414" s="318">
        <v>0</v>
      </c>
      <c r="P414" s="318">
        <v>105</v>
      </c>
      <c r="Q414" s="318">
        <v>0</v>
      </c>
      <c r="R414" s="319">
        <f t="shared" si="138"/>
        <v>233</v>
      </c>
      <c r="S414" s="364">
        <f t="shared" si="139"/>
        <v>0</v>
      </c>
      <c r="T414" s="323">
        <f>SUM(G410:G414)</f>
        <v>20</v>
      </c>
      <c r="U414" s="323">
        <f>SUM(K410:K414)</f>
        <v>42</v>
      </c>
      <c r="V414" s="323">
        <f>SUM(O410:O414)</f>
        <v>171</v>
      </c>
      <c r="W414" s="323">
        <f>SUM(Q410:Q414)</f>
        <v>30</v>
      </c>
      <c r="X414" s="323">
        <f>T414+U414+V414+W414</f>
        <v>263</v>
      </c>
    </row>
    <row r="415" spans="1:24" ht="12.75">
      <c r="A415" s="324" t="s">
        <v>315</v>
      </c>
      <c r="B415" s="325" t="s">
        <v>146</v>
      </c>
      <c r="C415" s="325" t="s">
        <v>812</v>
      </c>
      <c r="D415" s="325">
        <v>2016</v>
      </c>
      <c r="E415" s="325" t="s">
        <v>775</v>
      </c>
      <c r="F415" s="326">
        <v>760</v>
      </c>
      <c r="G415" s="326">
        <v>5</v>
      </c>
      <c r="H415" s="327">
        <v>5</v>
      </c>
      <c r="I415" s="326">
        <v>0</v>
      </c>
      <c r="J415" s="326">
        <v>470</v>
      </c>
      <c r="K415" s="326">
        <v>7</v>
      </c>
      <c r="L415" s="326">
        <v>7</v>
      </c>
      <c r="M415" s="326">
        <v>0</v>
      </c>
      <c r="N415" s="326">
        <v>466</v>
      </c>
      <c r="O415" s="326">
        <v>54</v>
      </c>
      <c r="P415" s="326">
        <v>1338</v>
      </c>
      <c r="Q415" s="327">
        <v>0</v>
      </c>
      <c r="R415" s="328">
        <f t="shared" si="138"/>
        <v>3034</v>
      </c>
      <c r="S415" s="365">
        <f t="shared" si="139"/>
        <v>66</v>
      </c>
      <c r="T415" s="328"/>
      <c r="U415" s="328"/>
      <c r="V415" s="328"/>
      <c r="W415" s="328"/>
      <c r="X415" s="328"/>
    </row>
    <row r="416" spans="1:24" ht="12.75">
      <c r="A416" s="324" t="s">
        <v>316</v>
      </c>
      <c r="B416" s="325" t="s">
        <v>146</v>
      </c>
      <c r="C416" s="325" t="s">
        <v>812</v>
      </c>
      <c r="D416" s="325">
        <v>2016</v>
      </c>
      <c r="E416" s="325" t="s">
        <v>775</v>
      </c>
      <c r="F416" s="326">
        <v>817</v>
      </c>
      <c r="G416" s="326">
        <v>0</v>
      </c>
      <c r="H416" s="327">
        <v>0</v>
      </c>
      <c r="I416" s="326">
        <v>0</v>
      </c>
      <c r="J416" s="326">
        <v>489</v>
      </c>
      <c r="K416" s="326">
        <v>0</v>
      </c>
      <c r="L416" s="326">
        <v>0</v>
      </c>
      <c r="M416" s="326">
        <v>0</v>
      </c>
      <c r="N416" s="326">
        <v>490</v>
      </c>
      <c r="O416" s="326">
        <v>2</v>
      </c>
      <c r="P416" s="326">
        <v>1428</v>
      </c>
      <c r="Q416" s="327">
        <v>0</v>
      </c>
      <c r="R416" s="328">
        <f t="shared" si="138"/>
        <v>3224</v>
      </c>
      <c r="S416" s="365">
        <f t="shared" si="139"/>
        <v>2</v>
      </c>
      <c r="T416" s="328"/>
      <c r="U416" s="328"/>
      <c r="V416" s="328"/>
      <c r="W416" s="328"/>
      <c r="X416" s="328"/>
    </row>
    <row r="417" spans="1:24" ht="12.75">
      <c r="A417" s="324" t="s">
        <v>318</v>
      </c>
      <c r="B417" s="325" t="s">
        <v>146</v>
      </c>
      <c r="C417" s="325" t="s">
        <v>812</v>
      </c>
      <c r="D417" s="325">
        <v>2016</v>
      </c>
      <c r="E417" s="325" t="s">
        <v>775</v>
      </c>
      <c r="F417" s="326">
        <v>487</v>
      </c>
      <c r="G417" s="326">
        <v>0</v>
      </c>
      <c r="H417" s="327">
        <v>0</v>
      </c>
      <c r="I417" s="326">
        <v>0</v>
      </c>
      <c r="J417" s="326">
        <v>300</v>
      </c>
      <c r="K417" s="326">
        <v>6</v>
      </c>
      <c r="L417" s="326">
        <v>6</v>
      </c>
      <c r="M417" s="326">
        <v>0</v>
      </c>
      <c r="N417" s="326">
        <v>297</v>
      </c>
      <c r="O417" s="326">
        <v>0</v>
      </c>
      <c r="P417" s="326">
        <v>840</v>
      </c>
      <c r="Q417" s="327">
        <v>4</v>
      </c>
      <c r="R417" s="328">
        <f t="shared" si="138"/>
        <v>1924</v>
      </c>
      <c r="S417" s="365">
        <f t="shared" si="139"/>
        <v>10</v>
      </c>
      <c r="T417" s="328"/>
      <c r="U417" s="328"/>
      <c r="V417" s="328"/>
      <c r="W417" s="328"/>
      <c r="X417" s="328"/>
    </row>
    <row r="418" spans="1:24" ht="12.75">
      <c r="A418" s="324" t="s">
        <v>146</v>
      </c>
      <c r="B418" s="325" t="s">
        <v>146</v>
      </c>
      <c r="C418" s="325" t="s">
        <v>812</v>
      </c>
      <c r="D418" s="325">
        <v>2016</v>
      </c>
      <c r="E418" s="325" t="s">
        <v>775</v>
      </c>
      <c r="F418" s="326">
        <v>349</v>
      </c>
      <c r="G418" s="326">
        <v>0</v>
      </c>
      <c r="H418" s="327">
        <v>0</v>
      </c>
      <c r="I418" s="326">
        <v>0</v>
      </c>
      <c r="J418" s="326">
        <v>205</v>
      </c>
      <c r="K418" s="326">
        <v>0</v>
      </c>
      <c r="L418" s="326">
        <v>0</v>
      </c>
      <c r="M418" s="326">
        <v>0</v>
      </c>
      <c r="N418" s="326">
        <v>202</v>
      </c>
      <c r="O418" s="326">
        <v>227</v>
      </c>
      <c r="P418" s="326">
        <v>553</v>
      </c>
      <c r="Q418" s="327">
        <v>40</v>
      </c>
      <c r="R418" s="328">
        <f t="shared" si="138"/>
        <v>1309</v>
      </c>
      <c r="S418" s="365">
        <f t="shared" si="139"/>
        <v>267</v>
      </c>
      <c r="T418" s="328"/>
      <c r="U418" s="328"/>
      <c r="V418" s="328"/>
      <c r="W418" s="328"/>
      <c r="X418" s="328"/>
    </row>
    <row r="419" spans="1:24" ht="12.75">
      <c r="A419" s="324" t="s">
        <v>320</v>
      </c>
      <c r="B419" s="325" t="s">
        <v>146</v>
      </c>
      <c r="C419" s="325" t="s">
        <v>812</v>
      </c>
      <c r="D419" s="325">
        <v>2016</v>
      </c>
      <c r="E419" s="325" t="s">
        <v>775</v>
      </c>
      <c r="F419" s="326">
        <v>1633</v>
      </c>
      <c r="G419" s="326">
        <v>0</v>
      </c>
      <c r="H419" s="327">
        <v>0</v>
      </c>
      <c r="I419" s="326">
        <v>0</v>
      </c>
      <c r="J419" s="326">
        <v>1001</v>
      </c>
      <c r="K419" s="326">
        <v>0</v>
      </c>
      <c r="L419" s="326">
        <v>0</v>
      </c>
      <c r="M419" s="326">
        <v>0</v>
      </c>
      <c r="N419" s="326">
        <v>1001</v>
      </c>
      <c r="O419" s="326">
        <v>24</v>
      </c>
      <c r="P419" s="326">
        <v>2839</v>
      </c>
      <c r="Q419" s="327">
        <v>0</v>
      </c>
      <c r="R419" s="328">
        <f t="shared" si="138"/>
        <v>6474</v>
      </c>
      <c r="S419" s="365">
        <f t="shared" si="139"/>
        <v>24</v>
      </c>
      <c r="T419" s="328"/>
      <c r="U419" s="328"/>
      <c r="V419" s="328"/>
      <c r="W419" s="328"/>
      <c r="X419" s="328"/>
    </row>
    <row r="420" spans="1:24" ht="12.75">
      <c r="A420" s="329" t="s">
        <v>321</v>
      </c>
      <c r="B420" s="330" t="s">
        <v>146</v>
      </c>
      <c r="C420" s="330" t="s">
        <v>812</v>
      </c>
      <c r="D420" s="330">
        <v>2016</v>
      </c>
      <c r="E420" s="330" t="s">
        <v>775</v>
      </c>
      <c r="F420" s="327">
        <v>57</v>
      </c>
      <c r="G420" s="326">
        <v>0</v>
      </c>
      <c r="H420" s="327">
        <v>0</v>
      </c>
      <c r="I420" s="327">
        <v>0</v>
      </c>
      <c r="J420" s="327">
        <v>35</v>
      </c>
      <c r="K420" s="326">
        <v>0</v>
      </c>
      <c r="L420" s="327">
        <v>0</v>
      </c>
      <c r="M420" s="327">
        <v>0</v>
      </c>
      <c r="N420" s="327">
        <v>36</v>
      </c>
      <c r="O420" s="327">
        <v>0</v>
      </c>
      <c r="P420" s="327">
        <v>105</v>
      </c>
      <c r="Q420" s="327">
        <v>0</v>
      </c>
      <c r="R420" s="328">
        <f t="shared" si="138"/>
        <v>233</v>
      </c>
      <c r="S420" s="365">
        <f t="shared" si="139"/>
        <v>0</v>
      </c>
      <c r="T420" s="331">
        <f>SUM(G415:G420)</f>
        <v>5</v>
      </c>
      <c r="U420" s="331">
        <f>SUM(K415:K420)</f>
        <v>13</v>
      </c>
      <c r="V420" s="331">
        <f>SUM(O415:O420)</f>
        <v>307</v>
      </c>
      <c r="W420" s="331">
        <f>SUM(Q415:Q420)</f>
        <v>44</v>
      </c>
      <c r="X420" s="331">
        <f>T420+U420+V420+W420</f>
        <v>369</v>
      </c>
    </row>
    <row r="421" spans="1:24" ht="12.75">
      <c r="A421" s="332" t="s">
        <v>315</v>
      </c>
      <c r="B421" s="333" t="s">
        <v>146</v>
      </c>
      <c r="C421" s="333" t="s">
        <v>812</v>
      </c>
      <c r="D421" s="333">
        <v>2017</v>
      </c>
      <c r="E421" s="333" t="s">
        <v>775</v>
      </c>
      <c r="F421" s="334">
        <v>760</v>
      </c>
      <c r="G421" s="334">
        <v>6</v>
      </c>
      <c r="H421" s="335">
        <v>4</v>
      </c>
      <c r="I421" s="334">
        <v>2</v>
      </c>
      <c r="J421" s="334">
        <v>470</v>
      </c>
      <c r="K421" s="334">
        <v>14</v>
      </c>
      <c r="L421" s="334">
        <v>12</v>
      </c>
      <c r="M421" s="334">
        <v>2</v>
      </c>
      <c r="N421" s="334">
        <v>466</v>
      </c>
      <c r="O421" s="334">
        <v>40</v>
      </c>
      <c r="P421" s="334">
        <v>1338</v>
      </c>
      <c r="Q421" s="335">
        <v>3</v>
      </c>
      <c r="R421" s="336">
        <f t="shared" si="138"/>
        <v>3034</v>
      </c>
      <c r="S421" s="366">
        <f t="shared" si="139"/>
        <v>63</v>
      </c>
      <c r="T421" s="336"/>
      <c r="U421" s="336"/>
      <c r="V421" s="336"/>
      <c r="W421" s="336"/>
      <c r="X421" s="336"/>
    </row>
    <row r="422" spans="1:24" ht="12.75">
      <c r="A422" s="332" t="s">
        <v>316</v>
      </c>
      <c r="B422" s="333" t="s">
        <v>146</v>
      </c>
      <c r="C422" s="333" t="s">
        <v>812</v>
      </c>
      <c r="D422" s="333">
        <v>2017</v>
      </c>
      <c r="E422" s="333" t="s">
        <v>775</v>
      </c>
      <c r="F422" s="334">
        <v>817</v>
      </c>
      <c r="G422" s="334">
        <v>0</v>
      </c>
      <c r="H422" s="335">
        <v>0</v>
      </c>
      <c r="I422" s="334">
        <v>0</v>
      </c>
      <c r="J422" s="334">
        <v>489</v>
      </c>
      <c r="K422" s="334">
        <v>0</v>
      </c>
      <c r="L422" s="334">
        <v>0</v>
      </c>
      <c r="M422" s="334">
        <v>0</v>
      </c>
      <c r="N422" s="334">
        <v>490</v>
      </c>
      <c r="O422" s="334">
        <v>10</v>
      </c>
      <c r="P422" s="334">
        <v>1428</v>
      </c>
      <c r="Q422" s="335">
        <v>0</v>
      </c>
      <c r="R422" s="336">
        <f t="shared" si="138"/>
        <v>3224</v>
      </c>
      <c r="S422" s="366">
        <f t="shared" si="139"/>
        <v>10</v>
      </c>
      <c r="T422" s="336"/>
      <c r="U422" s="336"/>
      <c r="V422" s="336"/>
      <c r="W422" s="336"/>
      <c r="X422" s="336"/>
    </row>
    <row r="423" spans="1:24" ht="12.75">
      <c r="A423" s="332" t="s">
        <v>317</v>
      </c>
      <c r="B423" s="333" t="s">
        <v>146</v>
      </c>
      <c r="C423" s="333" t="s">
        <v>812</v>
      </c>
      <c r="D423" s="333">
        <v>2017</v>
      </c>
      <c r="E423" s="333" t="s">
        <v>775</v>
      </c>
      <c r="F423" s="334">
        <v>37</v>
      </c>
      <c r="G423" s="334">
        <v>0</v>
      </c>
      <c r="H423" s="335">
        <v>0</v>
      </c>
      <c r="I423" s="334">
        <v>0</v>
      </c>
      <c r="J423" s="334">
        <v>22</v>
      </c>
      <c r="K423" s="334">
        <v>0</v>
      </c>
      <c r="L423" s="334">
        <v>0</v>
      </c>
      <c r="M423" s="334">
        <v>0</v>
      </c>
      <c r="N423" s="334">
        <v>22</v>
      </c>
      <c r="O423" s="334">
        <v>0</v>
      </c>
      <c r="P423" s="334">
        <v>63</v>
      </c>
      <c r="Q423" s="335">
        <v>0</v>
      </c>
      <c r="R423" s="336">
        <f t="shared" si="138"/>
        <v>144</v>
      </c>
      <c r="S423" s="366">
        <f t="shared" si="139"/>
        <v>0</v>
      </c>
      <c r="T423" s="336"/>
      <c r="U423" s="336"/>
      <c r="V423" s="336"/>
      <c r="W423" s="336"/>
      <c r="X423" s="336"/>
    </row>
    <row r="424" spans="1:24" ht="12.75">
      <c r="A424" s="332" t="s">
        <v>318</v>
      </c>
      <c r="B424" s="333" t="s">
        <v>146</v>
      </c>
      <c r="C424" s="333" t="s">
        <v>812</v>
      </c>
      <c r="D424" s="333">
        <v>2017</v>
      </c>
      <c r="E424" s="333" t="s">
        <v>775</v>
      </c>
      <c r="F424" s="334">
        <v>487</v>
      </c>
      <c r="G424" s="334">
        <v>0</v>
      </c>
      <c r="H424" s="335">
        <v>0</v>
      </c>
      <c r="I424" s="334">
        <v>0</v>
      </c>
      <c r="J424" s="334">
        <v>300</v>
      </c>
      <c r="K424" s="334">
        <v>67</v>
      </c>
      <c r="L424" s="334">
        <v>0</v>
      </c>
      <c r="M424" s="334">
        <v>67</v>
      </c>
      <c r="N424" s="334">
        <v>297</v>
      </c>
      <c r="O424" s="334">
        <v>7</v>
      </c>
      <c r="P424" s="334">
        <v>840</v>
      </c>
      <c r="Q424" s="335">
        <v>0</v>
      </c>
      <c r="R424" s="336">
        <f t="shared" si="138"/>
        <v>1924</v>
      </c>
      <c r="S424" s="366">
        <f t="shared" si="139"/>
        <v>74</v>
      </c>
      <c r="T424" s="336"/>
      <c r="U424" s="336"/>
      <c r="V424" s="336"/>
      <c r="W424" s="336"/>
      <c r="X424" s="336"/>
    </row>
    <row r="425" spans="1:24" ht="12.75">
      <c r="A425" s="332" t="s">
        <v>319</v>
      </c>
      <c r="B425" s="333" t="s">
        <v>146</v>
      </c>
      <c r="C425" s="333" t="s">
        <v>812</v>
      </c>
      <c r="D425" s="333">
        <v>2017</v>
      </c>
      <c r="E425" s="333" t="s">
        <v>775</v>
      </c>
      <c r="F425" s="334">
        <v>54</v>
      </c>
      <c r="G425" s="334">
        <v>0</v>
      </c>
      <c r="H425" s="335">
        <v>0</v>
      </c>
      <c r="I425" s="334">
        <v>0</v>
      </c>
      <c r="J425" s="334">
        <v>31</v>
      </c>
      <c r="K425" s="334">
        <v>1</v>
      </c>
      <c r="L425" s="334">
        <v>0</v>
      </c>
      <c r="M425" s="334">
        <v>1</v>
      </c>
      <c r="N425" s="334">
        <v>32</v>
      </c>
      <c r="O425" s="334">
        <v>1</v>
      </c>
      <c r="P425" s="334">
        <v>92</v>
      </c>
      <c r="Q425" s="335">
        <v>1</v>
      </c>
      <c r="R425" s="336">
        <f t="shared" si="138"/>
        <v>209</v>
      </c>
      <c r="S425" s="366">
        <f t="shared" si="139"/>
        <v>3</v>
      </c>
      <c r="T425" s="336"/>
      <c r="U425" s="336"/>
      <c r="V425" s="336"/>
      <c r="W425" s="336"/>
      <c r="X425" s="336"/>
    </row>
    <row r="426" spans="1:24" ht="12.75">
      <c r="A426" s="332" t="s">
        <v>146</v>
      </c>
      <c r="B426" s="333" t="s">
        <v>146</v>
      </c>
      <c r="C426" s="333" t="s">
        <v>812</v>
      </c>
      <c r="D426" s="333">
        <v>2017</v>
      </c>
      <c r="E426" s="333" t="s">
        <v>775</v>
      </c>
      <c r="F426" s="334">
        <v>349</v>
      </c>
      <c r="G426" s="334">
        <v>0</v>
      </c>
      <c r="H426" s="335">
        <v>0</v>
      </c>
      <c r="I426" s="334">
        <v>0</v>
      </c>
      <c r="J426" s="334">
        <v>205</v>
      </c>
      <c r="K426" s="334">
        <v>0</v>
      </c>
      <c r="L426" s="334">
        <v>0</v>
      </c>
      <c r="M426" s="334">
        <v>0</v>
      </c>
      <c r="N426" s="334">
        <v>202</v>
      </c>
      <c r="O426" s="334">
        <v>79</v>
      </c>
      <c r="P426" s="334">
        <v>553</v>
      </c>
      <c r="Q426" s="335">
        <v>36</v>
      </c>
      <c r="R426" s="336">
        <f t="shared" si="138"/>
        <v>1309</v>
      </c>
      <c r="S426" s="366">
        <f t="shared" si="139"/>
        <v>115</v>
      </c>
      <c r="T426" s="336"/>
      <c r="U426" s="336"/>
      <c r="V426" s="336"/>
      <c r="W426" s="336"/>
      <c r="X426" s="336"/>
    </row>
    <row r="427" spans="1:24" ht="12.75">
      <c r="A427" s="332" t="s">
        <v>320</v>
      </c>
      <c r="B427" s="333" t="s">
        <v>146</v>
      </c>
      <c r="C427" s="333" t="s">
        <v>812</v>
      </c>
      <c r="D427" s="333">
        <v>2017</v>
      </c>
      <c r="E427" s="333" t="s">
        <v>775</v>
      </c>
      <c r="F427" s="334">
        <v>1633</v>
      </c>
      <c r="G427" s="334">
        <v>0</v>
      </c>
      <c r="H427" s="335">
        <v>0</v>
      </c>
      <c r="I427" s="334">
        <v>0</v>
      </c>
      <c r="J427" s="334">
        <v>1001</v>
      </c>
      <c r="K427" s="334">
        <v>0</v>
      </c>
      <c r="L427" s="334">
        <v>0</v>
      </c>
      <c r="M427" s="334">
        <v>0</v>
      </c>
      <c r="N427" s="334">
        <v>1001</v>
      </c>
      <c r="O427" s="334">
        <v>13</v>
      </c>
      <c r="P427" s="334">
        <v>2839</v>
      </c>
      <c r="Q427" s="335">
        <v>0</v>
      </c>
      <c r="R427" s="336">
        <f t="shared" si="138"/>
        <v>6474</v>
      </c>
      <c r="S427" s="366">
        <f t="shared" si="139"/>
        <v>13</v>
      </c>
      <c r="T427" s="336"/>
      <c r="U427" s="336"/>
      <c r="V427" s="336"/>
      <c r="W427" s="336"/>
      <c r="X427" s="336"/>
    </row>
    <row r="428" spans="1:24" ht="12.75">
      <c r="A428" s="337" t="s">
        <v>321</v>
      </c>
      <c r="B428" s="338" t="s">
        <v>146</v>
      </c>
      <c r="C428" s="338" t="s">
        <v>812</v>
      </c>
      <c r="D428" s="338">
        <v>2017</v>
      </c>
      <c r="E428" s="338" t="s">
        <v>775</v>
      </c>
      <c r="F428" s="335">
        <v>57</v>
      </c>
      <c r="G428" s="334">
        <v>0</v>
      </c>
      <c r="H428" s="335">
        <v>0</v>
      </c>
      <c r="I428" s="335">
        <v>0</v>
      </c>
      <c r="J428" s="335">
        <v>35</v>
      </c>
      <c r="K428" s="334">
        <v>0</v>
      </c>
      <c r="L428" s="335">
        <v>0</v>
      </c>
      <c r="M428" s="335">
        <v>0</v>
      </c>
      <c r="N428" s="335">
        <v>36</v>
      </c>
      <c r="O428" s="335">
        <v>0</v>
      </c>
      <c r="P428" s="335">
        <v>105</v>
      </c>
      <c r="Q428" s="335">
        <v>0</v>
      </c>
      <c r="R428" s="336">
        <f t="shared" si="138"/>
        <v>233</v>
      </c>
      <c r="S428" s="366">
        <f t="shared" si="139"/>
        <v>0</v>
      </c>
      <c r="T428" s="339">
        <f>SUM(G421:G428)</f>
        <v>6</v>
      </c>
      <c r="U428" s="339">
        <f>SUM(K421:K428)</f>
        <v>82</v>
      </c>
      <c r="V428" s="339">
        <f>SUM(O421:O428)</f>
        <v>150</v>
      </c>
      <c r="W428" s="339">
        <f>SUM(Q421:Q428)</f>
        <v>40</v>
      </c>
      <c r="X428" s="339">
        <f>T428+U428+V428+W428</f>
        <v>278</v>
      </c>
    </row>
    <row r="429" spans="1:24" ht="12.75">
      <c r="A429" s="340" t="s">
        <v>315</v>
      </c>
      <c r="B429" s="341" t="s">
        <v>146</v>
      </c>
      <c r="C429" s="341" t="s">
        <v>812</v>
      </c>
      <c r="D429" s="341">
        <v>2018</v>
      </c>
      <c r="E429" s="341" t="s">
        <v>775</v>
      </c>
      <c r="F429" s="342">
        <v>760</v>
      </c>
      <c r="G429" s="343">
        <v>21</v>
      </c>
      <c r="H429" s="342">
        <v>21</v>
      </c>
      <c r="I429" s="342">
        <v>0</v>
      </c>
      <c r="J429" s="342">
        <v>470</v>
      </c>
      <c r="K429" s="343">
        <v>27</v>
      </c>
      <c r="L429" s="342">
        <v>25</v>
      </c>
      <c r="M429" s="342">
        <v>2</v>
      </c>
      <c r="N429" s="342">
        <v>466</v>
      </c>
      <c r="O429" s="342">
        <v>15</v>
      </c>
      <c r="P429" s="342">
        <v>1338</v>
      </c>
      <c r="Q429" s="342">
        <v>29</v>
      </c>
      <c r="R429" s="344">
        <f t="shared" si="138"/>
        <v>3034</v>
      </c>
      <c r="S429" s="367">
        <f t="shared" si="139"/>
        <v>92</v>
      </c>
      <c r="T429" s="344"/>
      <c r="U429" s="344"/>
      <c r="V429" s="344"/>
      <c r="W429" s="344"/>
      <c r="X429" s="344"/>
    </row>
    <row r="430" spans="1:24" ht="12.75">
      <c r="A430" s="340" t="s">
        <v>316</v>
      </c>
      <c r="B430" s="341" t="s">
        <v>146</v>
      </c>
      <c r="C430" s="341" t="s">
        <v>812</v>
      </c>
      <c r="D430" s="341">
        <v>2018</v>
      </c>
      <c r="E430" s="341" t="s">
        <v>775</v>
      </c>
      <c r="F430" s="342">
        <v>817</v>
      </c>
      <c r="G430" s="375"/>
      <c r="H430" s="376"/>
      <c r="I430" s="376"/>
      <c r="J430" s="342">
        <v>489</v>
      </c>
      <c r="K430" s="375"/>
      <c r="L430" s="376"/>
      <c r="M430" s="376"/>
      <c r="N430" s="342">
        <v>490</v>
      </c>
      <c r="O430" s="376"/>
      <c r="P430" s="342">
        <v>1428</v>
      </c>
      <c r="Q430" s="376"/>
      <c r="R430" s="344">
        <f t="shared" si="138"/>
        <v>3224</v>
      </c>
      <c r="S430" s="367">
        <f t="shared" si="139"/>
        <v>0</v>
      </c>
      <c r="T430" s="344"/>
      <c r="U430" s="344"/>
      <c r="V430" s="344"/>
      <c r="W430" s="344"/>
      <c r="X430" s="344"/>
    </row>
    <row r="431" spans="1:24" ht="12.75">
      <c r="A431" s="340" t="s">
        <v>318</v>
      </c>
      <c r="B431" s="341" t="s">
        <v>146</v>
      </c>
      <c r="C431" s="341" t="s">
        <v>812</v>
      </c>
      <c r="D431" s="341">
        <v>2018</v>
      </c>
      <c r="E431" s="341" t="s">
        <v>775</v>
      </c>
      <c r="F431" s="342">
        <v>487</v>
      </c>
      <c r="G431" s="343">
        <v>80</v>
      </c>
      <c r="H431" s="342">
        <v>0</v>
      </c>
      <c r="I431" s="342">
        <v>80</v>
      </c>
      <c r="J431" s="342">
        <v>300</v>
      </c>
      <c r="K431" s="343">
        <v>7</v>
      </c>
      <c r="L431" s="342">
        <v>0</v>
      </c>
      <c r="M431" s="342">
        <v>7</v>
      </c>
      <c r="N431" s="342">
        <v>297</v>
      </c>
      <c r="O431" s="342">
        <v>92</v>
      </c>
      <c r="P431" s="342">
        <v>840</v>
      </c>
      <c r="Q431" s="342">
        <v>6</v>
      </c>
      <c r="R431" s="344">
        <f t="shared" si="138"/>
        <v>1924</v>
      </c>
      <c r="S431" s="367">
        <f t="shared" si="139"/>
        <v>185</v>
      </c>
      <c r="T431" s="344"/>
      <c r="U431" s="344"/>
      <c r="V431" s="344"/>
      <c r="W431" s="344"/>
      <c r="X431" s="344"/>
    </row>
    <row r="432" spans="1:24" ht="12.75">
      <c r="A432" s="340" t="s">
        <v>146</v>
      </c>
      <c r="B432" s="341" t="s">
        <v>146</v>
      </c>
      <c r="C432" s="341" t="s">
        <v>812</v>
      </c>
      <c r="D432" s="341">
        <v>2018</v>
      </c>
      <c r="E432" s="341" t="s">
        <v>775</v>
      </c>
      <c r="F432" s="342">
        <v>349</v>
      </c>
      <c r="G432" s="343">
        <v>0</v>
      </c>
      <c r="H432" s="342">
        <v>0</v>
      </c>
      <c r="I432" s="342">
        <v>0</v>
      </c>
      <c r="J432" s="342">
        <v>205</v>
      </c>
      <c r="K432" s="343">
        <v>0</v>
      </c>
      <c r="L432" s="342">
        <v>0</v>
      </c>
      <c r="M432" s="342">
        <v>0</v>
      </c>
      <c r="N432" s="342">
        <v>202</v>
      </c>
      <c r="O432" s="342">
        <v>90</v>
      </c>
      <c r="P432" s="342">
        <v>553</v>
      </c>
      <c r="Q432" s="342">
        <v>26</v>
      </c>
      <c r="R432" s="344">
        <f t="shared" si="138"/>
        <v>1309</v>
      </c>
      <c r="S432" s="367">
        <f t="shared" si="139"/>
        <v>116</v>
      </c>
      <c r="T432" s="344"/>
      <c r="U432" s="344"/>
      <c r="V432" s="344"/>
      <c r="W432" s="344"/>
      <c r="X432" s="344"/>
    </row>
    <row r="433" spans="1:24" ht="12.75">
      <c r="A433" s="340" t="s">
        <v>321</v>
      </c>
      <c r="B433" s="341" t="s">
        <v>146</v>
      </c>
      <c r="C433" s="341" t="s">
        <v>812</v>
      </c>
      <c r="D433" s="341">
        <v>2018</v>
      </c>
      <c r="E433" s="341" t="s">
        <v>775</v>
      </c>
      <c r="F433" s="342">
        <v>57</v>
      </c>
      <c r="G433" s="375"/>
      <c r="H433" s="376"/>
      <c r="I433" s="376"/>
      <c r="J433" s="342">
        <v>35</v>
      </c>
      <c r="K433" s="375"/>
      <c r="L433" s="376"/>
      <c r="M433" s="376"/>
      <c r="N433" s="342">
        <v>36</v>
      </c>
      <c r="O433" s="376"/>
      <c r="P433" s="342">
        <v>105</v>
      </c>
      <c r="Q433" s="376"/>
      <c r="R433" s="344">
        <f t="shared" si="138"/>
        <v>233</v>
      </c>
      <c r="S433" s="367">
        <f t="shared" si="139"/>
        <v>0</v>
      </c>
      <c r="T433" s="345">
        <f>SUM(G429:G433)</f>
        <v>101</v>
      </c>
      <c r="U433" s="345">
        <f>SUM(K429:K433)</f>
        <v>34</v>
      </c>
      <c r="V433" s="345">
        <f>SUM(O429:O433)</f>
        <v>197</v>
      </c>
      <c r="W433" s="345">
        <f>SUM(Q429:Q433)</f>
        <v>61</v>
      </c>
      <c r="X433" s="345">
        <f>T433+U433+V433+W433</f>
        <v>393</v>
      </c>
    </row>
    <row r="434" spans="1:24" ht="12.75">
      <c r="A434" s="346" t="s">
        <v>315</v>
      </c>
      <c r="B434" s="347" t="s">
        <v>146</v>
      </c>
      <c r="C434" s="347" t="s">
        <v>813</v>
      </c>
      <c r="D434" s="347">
        <v>2019</v>
      </c>
      <c r="E434" s="347" t="s">
        <v>775</v>
      </c>
      <c r="F434" s="348">
        <v>760</v>
      </c>
      <c r="G434" s="348">
        <v>30</v>
      </c>
      <c r="H434" s="348">
        <v>30</v>
      </c>
      <c r="I434" s="348">
        <v>0</v>
      </c>
      <c r="J434" s="348">
        <v>470</v>
      </c>
      <c r="K434" s="348">
        <v>30</v>
      </c>
      <c r="L434" s="348">
        <v>30</v>
      </c>
      <c r="M434" s="348">
        <v>0</v>
      </c>
      <c r="N434" s="348">
        <v>466</v>
      </c>
      <c r="O434" s="348">
        <v>49</v>
      </c>
      <c r="P434" s="348">
        <v>1338</v>
      </c>
      <c r="Q434" s="348">
        <v>2</v>
      </c>
      <c r="R434" s="350">
        <f t="shared" si="138"/>
        <v>3034</v>
      </c>
      <c r="S434" s="348">
        <f t="shared" si="139"/>
        <v>111</v>
      </c>
      <c r="T434" s="348"/>
      <c r="U434" s="348"/>
      <c r="V434" s="348"/>
      <c r="W434" s="349"/>
      <c r="X434" s="349"/>
    </row>
    <row r="435" spans="1:24" ht="12.75">
      <c r="A435" s="346" t="s">
        <v>316</v>
      </c>
      <c r="B435" s="347" t="s">
        <v>146</v>
      </c>
      <c r="C435" s="347" t="s">
        <v>813</v>
      </c>
      <c r="D435" s="347">
        <v>2019</v>
      </c>
      <c r="E435" s="347" t="s">
        <v>775</v>
      </c>
      <c r="F435" s="348">
        <v>817</v>
      </c>
      <c r="G435" s="348">
        <v>35</v>
      </c>
      <c r="H435" s="348">
        <v>35</v>
      </c>
      <c r="I435" s="348">
        <v>0</v>
      </c>
      <c r="J435" s="348">
        <v>489</v>
      </c>
      <c r="K435" s="348">
        <v>156</v>
      </c>
      <c r="L435" s="348">
        <v>53</v>
      </c>
      <c r="M435" s="348">
        <v>103</v>
      </c>
      <c r="N435" s="348">
        <v>490</v>
      </c>
      <c r="O435" s="348">
        <v>26</v>
      </c>
      <c r="P435" s="348">
        <v>1428</v>
      </c>
      <c r="Q435" s="348">
        <v>0</v>
      </c>
      <c r="R435" s="350">
        <f t="shared" si="138"/>
        <v>3224</v>
      </c>
      <c r="S435" s="348">
        <f t="shared" si="139"/>
        <v>217</v>
      </c>
      <c r="T435" s="348"/>
      <c r="U435" s="348"/>
      <c r="V435" s="348"/>
      <c r="W435" s="349"/>
      <c r="X435" s="349"/>
    </row>
    <row r="436" spans="1:24" ht="12.75">
      <c r="A436" s="346" t="s">
        <v>318</v>
      </c>
      <c r="B436" s="347" t="s">
        <v>146</v>
      </c>
      <c r="C436" s="347" t="s">
        <v>813</v>
      </c>
      <c r="D436" s="347">
        <v>2019</v>
      </c>
      <c r="E436" s="347" t="s">
        <v>775</v>
      </c>
      <c r="F436" s="348">
        <v>487</v>
      </c>
      <c r="G436" s="348">
        <v>10</v>
      </c>
      <c r="H436" s="348">
        <v>0</v>
      </c>
      <c r="I436" s="348">
        <v>10</v>
      </c>
      <c r="J436" s="348">
        <v>300</v>
      </c>
      <c r="K436" s="348">
        <v>9</v>
      </c>
      <c r="L436" s="348">
        <v>0</v>
      </c>
      <c r="M436" s="348">
        <v>9</v>
      </c>
      <c r="N436" s="348">
        <v>297</v>
      </c>
      <c r="O436" s="348">
        <v>74</v>
      </c>
      <c r="P436" s="348">
        <v>840</v>
      </c>
      <c r="Q436" s="348">
        <v>5</v>
      </c>
      <c r="R436" s="350">
        <f t="shared" si="138"/>
        <v>1924</v>
      </c>
      <c r="S436" s="348">
        <f t="shared" si="139"/>
        <v>98</v>
      </c>
      <c r="T436" s="348"/>
      <c r="U436" s="348"/>
      <c r="V436" s="348"/>
      <c r="W436" s="349"/>
      <c r="X436" s="349"/>
    </row>
    <row r="437" spans="1:24" ht="12.75">
      <c r="A437" s="346" t="s">
        <v>146</v>
      </c>
      <c r="B437" s="347" t="s">
        <v>146</v>
      </c>
      <c r="C437" s="347" t="s">
        <v>813</v>
      </c>
      <c r="D437" s="347">
        <v>2019</v>
      </c>
      <c r="E437" s="347" t="s">
        <v>775</v>
      </c>
      <c r="F437" s="348">
        <v>349</v>
      </c>
      <c r="G437" s="348">
        <v>0</v>
      </c>
      <c r="H437" s="348">
        <v>0</v>
      </c>
      <c r="I437" s="348">
        <v>0</v>
      </c>
      <c r="J437" s="348">
        <v>205</v>
      </c>
      <c r="K437" s="348">
        <v>0</v>
      </c>
      <c r="L437" s="348">
        <v>0</v>
      </c>
      <c r="M437" s="348">
        <v>0</v>
      </c>
      <c r="N437" s="348">
        <v>202</v>
      </c>
      <c r="O437" s="348">
        <v>0</v>
      </c>
      <c r="P437" s="348">
        <v>553</v>
      </c>
      <c r="Q437" s="348">
        <v>0</v>
      </c>
      <c r="R437" s="350">
        <f t="shared" si="138"/>
        <v>1309</v>
      </c>
      <c r="S437" s="348">
        <f t="shared" si="139"/>
        <v>0</v>
      </c>
      <c r="T437" s="348"/>
      <c r="U437" s="348"/>
      <c r="V437" s="348"/>
      <c r="W437" s="349"/>
      <c r="X437" s="349"/>
    </row>
    <row r="438" spans="1:24" ht="12.75">
      <c r="A438" s="346" t="s">
        <v>320</v>
      </c>
      <c r="B438" s="347" t="s">
        <v>146</v>
      </c>
      <c r="C438" s="347" t="s">
        <v>813</v>
      </c>
      <c r="D438" s="347">
        <v>2019</v>
      </c>
      <c r="E438" s="347" t="s">
        <v>775</v>
      </c>
      <c r="F438" s="348">
        <v>1633</v>
      </c>
      <c r="G438" s="348">
        <v>0</v>
      </c>
      <c r="H438" s="348">
        <v>0</v>
      </c>
      <c r="I438" s="348">
        <v>0</v>
      </c>
      <c r="J438" s="348">
        <v>1001</v>
      </c>
      <c r="K438" s="348">
        <v>0</v>
      </c>
      <c r="L438" s="348">
        <v>0</v>
      </c>
      <c r="M438" s="348">
        <v>0</v>
      </c>
      <c r="N438" s="348">
        <v>1001</v>
      </c>
      <c r="O438" s="348">
        <v>0</v>
      </c>
      <c r="P438" s="348">
        <v>2839</v>
      </c>
      <c r="Q438" s="348">
        <v>13</v>
      </c>
      <c r="R438" s="350">
        <f t="shared" si="138"/>
        <v>6474</v>
      </c>
      <c r="S438" s="348">
        <f t="shared" si="139"/>
        <v>13</v>
      </c>
      <c r="T438" s="352">
        <f>SUM(G434:G438)</f>
        <v>75</v>
      </c>
      <c r="U438" s="352">
        <f>SUM(K434:K438)</f>
        <v>195</v>
      </c>
      <c r="V438" s="352">
        <f>SUM(O434:O438)</f>
        <v>149</v>
      </c>
      <c r="W438" s="352">
        <f>SUM(Q434:Q438)</f>
        <v>20</v>
      </c>
      <c r="X438" s="352">
        <f>T438+U438+V438+W438</f>
        <v>439</v>
      </c>
    </row>
    <row r="439" spans="1:24" ht="12.75">
      <c r="A439" s="394"/>
      <c r="B439" s="395"/>
      <c r="C439" s="395"/>
      <c r="D439" s="395"/>
      <c r="E439" s="395"/>
      <c r="F439" s="396"/>
      <c r="G439" s="396"/>
      <c r="H439" s="397"/>
      <c r="I439" s="396"/>
      <c r="J439" s="396"/>
      <c r="K439" s="396"/>
      <c r="L439" s="396"/>
      <c r="M439" s="396"/>
      <c r="N439" s="396"/>
      <c r="O439" s="396"/>
      <c r="P439" s="396"/>
      <c r="Q439" s="397"/>
      <c r="R439" s="398"/>
      <c r="S439" s="361" t="s">
        <v>783</v>
      </c>
      <c r="T439" s="356">
        <f t="shared" ref="T439:X439" si="140">SUM(T405:T438)</f>
        <v>337</v>
      </c>
      <c r="U439" s="356">
        <f t="shared" si="140"/>
        <v>384</v>
      </c>
      <c r="V439" s="356">
        <f t="shared" si="140"/>
        <v>1059</v>
      </c>
      <c r="W439" s="356">
        <f t="shared" si="140"/>
        <v>260</v>
      </c>
      <c r="X439" s="356">
        <f t="shared" si="140"/>
        <v>2040</v>
      </c>
    </row>
    <row r="440" spans="1:24" ht="12.75">
      <c r="A440" s="220"/>
      <c r="B440" s="221"/>
      <c r="C440" s="221"/>
      <c r="D440" s="221"/>
      <c r="E440" s="221"/>
      <c r="F440" s="353"/>
      <c r="G440" s="353"/>
      <c r="H440" s="354"/>
      <c r="I440" s="353"/>
      <c r="J440" s="353"/>
      <c r="K440" s="353"/>
      <c r="L440" s="353"/>
      <c r="M440" s="353"/>
      <c r="N440" s="353"/>
      <c r="O440" s="353"/>
      <c r="P440" s="353"/>
      <c r="Q440" s="354"/>
      <c r="R440" s="182"/>
      <c r="S440" s="362"/>
      <c r="T440" s="92"/>
      <c r="U440" s="92"/>
      <c r="V440" s="92"/>
      <c r="W440" s="92"/>
      <c r="X440" s="92"/>
    </row>
    <row r="441" spans="1:24" ht="12.75">
      <c r="A441" s="307" t="s">
        <v>322</v>
      </c>
      <c r="B441" s="308" t="s">
        <v>147</v>
      </c>
      <c r="C441" s="308" t="s">
        <v>784</v>
      </c>
      <c r="D441" s="308">
        <v>2014</v>
      </c>
      <c r="E441" s="308" t="s">
        <v>775</v>
      </c>
      <c r="F441" s="309">
        <v>15</v>
      </c>
      <c r="G441" s="309">
        <v>0</v>
      </c>
      <c r="H441" s="310">
        <v>0</v>
      </c>
      <c r="I441" s="309">
        <v>0</v>
      </c>
      <c r="J441" s="309">
        <v>10</v>
      </c>
      <c r="K441" s="309">
        <v>0</v>
      </c>
      <c r="L441" s="309">
        <v>0</v>
      </c>
      <c r="M441" s="309">
        <v>0</v>
      </c>
      <c r="N441" s="309">
        <v>12</v>
      </c>
      <c r="O441" s="309">
        <v>0</v>
      </c>
      <c r="P441" s="309">
        <v>28</v>
      </c>
      <c r="Q441" s="310">
        <v>0</v>
      </c>
      <c r="R441" s="311">
        <f t="shared" ref="R441:R451" si="141">F441+J441+N441+P441</f>
        <v>65</v>
      </c>
      <c r="S441" s="363">
        <f t="shared" ref="S441:S451" si="142">K441+O441+G441+Q441</f>
        <v>0</v>
      </c>
      <c r="T441" s="311"/>
      <c r="U441" s="311"/>
      <c r="V441" s="311"/>
      <c r="W441" s="311"/>
      <c r="X441" s="311"/>
    </row>
    <row r="442" spans="1:24" ht="12.75">
      <c r="A442" s="307" t="s">
        <v>323</v>
      </c>
      <c r="B442" s="308" t="s">
        <v>147</v>
      </c>
      <c r="C442" s="308" t="s">
        <v>784</v>
      </c>
      <c r="D442" s="308">
        <v>2014</v>
      </c>
      <c r="E442" s="308" t="s">
        <v>775</v>
      </c>
      <c r="F442" s="309">
        <v>35</v>
      </c>
      <c r="G442" s="309">
        <v>0</v>
      </c>
      <c r="H442" s="310">
        <v>0</v>
      </c>
      <c r="I442" s="309">
        <v>0</v>
      </c>
      <c r="J442" s="309">
        <v>25</v>
      </c>
      <c r="K442" s="309">
        <v>0</v>
      </c>
      <c r="L442" s="309">
        <v>0</v>
      </c>
      <c r="M442" s="309">
        <v>0</v>
      </c>
      <c r="N442" s="309">
        <v>28</v>
      </c>
      <c r="O442" s="309">
        <v>0</v>
      </c>
      <c r="P442" s="309">
        <v>72</v>
      </c>
      <c r="Q442" s="310">
        <v>3</v>
      </c>
      <c r="R442" s="311">
        <f t="shared" si="141"/>
        <v>160</v>
      </c>
      <c r="S442" s="363">
        <f t="shared" si="142"/>
        <v>3</v>
      </c>
      <c r="T442" s="314">
        <f>SUM(G441:G442)</f>
        <v>0</v>
      </c>
      <c r="U442" s="314">
        <f>SUM(K441:K442)</f>
        <v>0</v>
      </c>
      <c r="V442" s="314">
        <f>SUM(O441:O442)</f>
        <v>0</v>
      </c>
      <c r="W442" s="314">
        <f>SUM(Q441:Q442)</f>
        <v>3</v>
      </c>
      <c r="X442" s="314">
        <f>T442+U442+V442+W442</f>
        <v>3</v>
      </c>
    </row>
    <row r="443" spans="1:24" ht="12.75">
      <c r="A443" s="315" t="s">
        <v>322</v>
      </c>
      <c r="B443" s="316" t="s">
        <v>147</v>
      </c>
      <c r="C443" s="316" t="s">
        <v>784</v>
      </c>
      <c r="D443" s="316">
        <v>2015</v>
      </c>
      <c r="E443" s="316" t="s">
        <v>775</v>
      </c>
      <c r="F443" s="317">
        <v>15</v>
      </c>
      <c r="G443" s="317">
        <v>0</v>
      </c>
      <c r="H443" s="318">
        <v>0</v>
      </c>
      <c r="I443" s="317">
        <v>0</v>
      </c>
      <c r="J443" s="317">
        <v>10</v>
      </c>
      <c r="K443" s="317">
        <v>1</v>
      </c>
      <c r="L443" s="317">
        <v>1</v>
      </c>
      <c r="M443" s="317">
        <v>0</v>
      </c>
      <c r="N443" s="317">
        <v>12</v>
      </c>
      <c r="O443" s="317">
        <v>2</v>
      </c>
      <c r="P443" s="317">
        <v>28</v>
      </c>
      <c r="Q443" s="318">
        <v>0</v>
      </c>
      <c r="R443" s="319">
        <f t="shared" si="141"/>
        <v>65</v>
      </c>
      <c r="S443" s="364">
        <f t="shared" si="142"/>
        <v>3</v>
      </c>
      <c r="T443" s="319"/>
      <c r="U443" s="319"/>
      <c r="V443" s="319"/>
      <c r="W443" s="319"/>
      <c r="X443" s="319"/>
    </row>
    <row r="444" spans="1:24" ht="12.75">
      <c r="A444" s="315" t="s">
        <v>323</v>
      </c>
      <c r="B444" s="316" t="s">
        <v>147</v>
      </c>
      <c r="C444" s="316" t="s">
        <v>784</v>
      </c>
      <c r="D444" s="316">
        <v>2015</v>
      </c>
      <c r="E444" s="316" t="s">
        <v>775</v>
      </c>
      <c r="F444" s="317">
        <v>35</v>
      </c>
      <c r="G444" s="317">
        <v>0</v>
      </c>
      <c r="H444" s="318">
        <v>0</v>
      </c>
      <c r="I444" s="317">
        <v>0</v>
      </c>
      <c r="J444" s="317">
        <v>25</v>
      </c>
      <c r="K444" s="317">
        <v>0</v>
      </c>
      <c r="L444" s="317">
        <v>0</v>
      </c>
      <c r="M444" s="317">
        <v>0</v>
      </c>
      <c r="N444" s="317">
        <v>28</v>
      </c>
      <c r="O444" s="317">
        <v>0</v>
      </c>
      <c r="P444" s="317">
        <v>72</v>
      </c>
      <c r="Q444" s="318">
        <v>2</v>
      </c>
      <c r="R444" s="319">
        <f t="shared" si="141"/>
        <v>160</v>
      </c>
      <c r="S444" s="364">
        <f t="shared" si="142"/>
        <v>2</v>
      </c>
      <c r="T444" s="323">
        <f>SUM(G443:G444)</f>
        <v>0</v>
      </c>
      <c r="U444" s="323">
        <f>SUM(K443:K444)</f>
        <v>1</v>
      </c>
      <c r="V444" s="323">
        <f>SUM(O443:O444)</f>
        <v>2</v>
      </c>
      <c r="W444" s="323">
        <f>SUM(Q443:Q444)</f>
        <v>2</v>
      </c>
      <c r="X444" s="323">
        <f>T444+U444+V444+W444</f>
        <v>5</v>
      </c>
    </row>
    <row r="445" spans="1:24" ht="12.75">
      <c r="A445" s="324" t="s">
        <v>322</v>
      </c>
      <c r="B445" s="325" t="s">
        <v>147</v>
      </c>
      <c r="C445" s="325" t="s">
        <v>784</v>
      </c>
      <c r="D445" s="325">
        <v>2016</v>
      </c>
      <c r="E445" s="325" t="s">
        <v>775</v>
      </c>
      <c r="F445" s="326">
        <v>15</v>
      </c>
      <c r="G445" s="326">
        <v>0</v>
      </c>
      <c r="H445" s="327">
        <v>0</v>
      </c>
      <c r="I445" s="326">
        <v>0</v>
      </c>
      <c r="J445" s="326">
        <v>10</v>
      </c>
      <c r="K445" s="326">
        <v>0</v>
      </c>
      <c r="L445" s="326">
        <v>0</v>
      </c>
      <c r="M445" s="326">
        <v>0</v>
      </c>
      <c r="N445" s="326">
        <v>12</v>
      </c>
      <c r="O445" s="326">
        <v>6</v>
      </c>
      <c r="P445" s="326">
        <v>28</v>
      </c>
      <c r="Q445" s="327">
        <v>0</v>
      </c>
      <c r="R445" s="328">
        <f t="shared" si="141"/>
        <v>65</v>
      </c>
      <c r="S445" s="365">
        <f t="shared" si="142"/>
        <v>6</v>
      </c>
      <c r="T445" s="328"/>
      <c r="U445" s="328"/>
      <c r="V445" s="328"/>
      <c r="W445" s="328"/>
      <c r="X445" s="328"/>
    </row>
    <row r="446" spans="1:24" ht="12.75">
      <c r="A446" s="324" t="s">
        <v>323</v>
      </c>
      <c r="B446" s="325" t="s">
        <v>147</v>
      </c>
      <c r="C446" s="325" t="s">
        <v>784</v>
      </c>
      <c r="D446" s="325">
        <v>2016</v>
      </c>
      <c r="E446" s="325" t="s">
        <v>775</v>
      </c>
      <c r="F446" s="326">
        <v>35</v>
      </c>
      <c r="G446" s="326">
        <v>0</v>
      </c>
      <c r="H446" s="327">
        <v>0</v>
      </c>
      <c r="I446" s="326">
        <v>0</v>
      </c>
      <c r="J446" s="326">
        <v>25</v>
      </c>
      <c r="K446" s="326">
        <v>0</v>
      </c>
      <c r="L446" s="326">
        <v>0</v>
      </c>
      <c r="M446" s="326">
        <v>0</v>
      </c>
      <c r="N446" s="326">
        <v>28</v>
      </c>
      <c r="O446" s="326">
        <v>0</v>
      </c>
      <c r="P446" s="326">
        <v>72</v>
      </c>
      <c r="Q446" s="327">
        <v>9</v>
      </c>
      <c r="R446" s="328">
        <f t="shared" si="141"/>
        <v>160</v>
      </c>
      <c r="S446" s="365">
        <f t="shared" si="142"/>
        <v>9</v>
      </c>
      <c r="T446" s="331">
        <f>SUM(G445:G446)</f>
        <v>0</v>
      </c>
      <c r="U446" s="331">
        <f>SUM(K445:K446)</f>
        <v>0</v>
      </c>
      <c r="V446" s="331">
        <f>SUM(O445:O446)</f>
        <v>6</v>
      </c>
      <c r="W446" s="331">
        <f>SUM(Q445:Q446)</f>
        <v>9</v>
      </c>
      <c r="X446" s="331">
        <f>T446+U446+V446+W446</f>
        <v>15</v>
      </c>
    </row>
    <row r="447" spans="1:24" ht="12.75">
      <c r="A447" s="332" t="s">
        <v>322</v>
      </c>
      <c r="B447" s="333" t="s">
        <v>147</v>
      </c>
      <c r="C447" s="333" t="s">
        <v>784</v>
      </c>
      <c r="D447" s="333">
        <v>2017</v>
      </c>
      <c r="E447" s="333" t="s">
        <v>775</v>
      </c>
      <c r="F447" s="334">
        <v>15</v>
      </c>
      <c r="G447" s="334">
        <v>0</v>
      </c>
      <c r="H447" s="335">
        <v>0</v>
      </c>
      <c r="I447" s="334">
        <v>0</v>
      </c>
      <c r="J447" s="334">
        <v>10</v>
      </c>
      <c r="K447" s="334">
        <v>0</v>
      </c>
      <c r="L447" s="334">
        <v>0</v>
      </c>
      <c r="M447" s="334">
        <v>0</v>
      </c>
      <c r="N447" s="334">
        <v>12</v>
      </c>
      <c r="O447" s="334">
        <v>0</v>
      </c>
      <c r="P447" s="334">
        <v>28</v>
      </c>
      <c r="Q447" s="335">
        <v>0</v>
      </c>
      <c r="R447" s="336">
        <f t="shared" si="141"/>
        <v>65</v>
      </c>
      <c r="S447" s="366">
        <f t="shared" si="142"/>
        <v>0</v>
      </c>
      <c r="T447" s="336"/>
      <c r="U447" s="336"/>
      <c r="V447" s="336"/>
      <c r="W447" s="336"/>
      <c r="X447" s="336"/>
    </row>
    <row r="448" spans="1:24" ht="12.75">
      <c r="A448" s="332" t="s">
        <v>323</v>
      </c>
      <c r="B448" s="333" t="s">
        <v>147</v>
      </c>
      <c r="C448" s="333" t="s">
        <v>784</v>
      </c>
      <c r="D448" s="333">
        <v>2017</v>
      </c>
      <c r="E448" s="333" t="s">
        <v>775</v>
      </c>
      <c r="F448" s="334">
        <v>35</v>
      </c>
      <c r="G448" s="334">
        <v>0</v>
      </c>
      <c r="H448" s="335">
        <v>0</v>
      </c>
      <c r="I448" s="334">
        <v>0</v>
      </c>
      <c r="J448" s="334">
        <v>25</v>
      </c>
      <c r="K448" s="334">
        <v>0</v>
      </c>
      <c r="L448" s="334">
        <v>0</v>
      </c>
      <c r="M448" s="334">
        <v>0</v>
      </c>
      <c r="N448" s="334">
        <v>28</v>
      </c>
      <c r="O448" s="334">
        <v>0</v>
      </c>
      <c r="P448" s="334">
        <v>72</v>
      </c>
      <c r="Q448" s="335">
        <v>7</v>
      </c>
      <c r="R448" s="336">
        <f t="shared" si="141"/>
        <v>160</v>
      </c>
      <c r="S448" s="366">
        <f t="shared" si="142"/>
        <v>7</v>
      </c>
      <c r="T448" s="339">
        <f>SUM(G447:G448)</f>
        <v>0</v>
      </c>
      <c r="U448" s="339">
        <f>SUM(K447:K448)</f>
        <v>0</v>
      </c>
      <c r="V448" s="339">
        <f>SUM(O447:O448)</f>
        <v>0</v>
      </c>
      <c r="W448" s="339">
        <f>SUM(Q447:Q448)</f>
        <v>7</v>
      </c>
      <c r="X448" s="339">
        <f t="shared" ref="X448:X449" si="143">T448+U448+V448+W448</f>
        <v>7</v>
      </c>
    </row>
    <row r="449" spans="1:24" ht="12.75">
      <c r="A449" s="340" t="s">
        <v>322</v>
      </c>
      <c r="B449" s="341" t="s">
        <v>147</v>
      </c>
      <c r="C449" s="341" t="s">
        <v>784</v>
      </c>
      <c r="D449" s="341">
        <v>2018</v>
      </c>
      <c r="E449" s="341" t="s">
        <v>775</v>
      </c>
      <c r="F449" s="342">
        <v>15</v>
      </c>
      <c r="G449" s="343">
        <v>0</v>
      </c>
      <c r="H449" s="342">
        <v>0</v>
      </c>
      <c r="I449" s="342">
        <v>0</v>
      </c>
      <c r="J449" s="342">
        <v>10</v>
      </c>
      <c r="K449" s="343">
        <v>0</v>
      </c>
      <c r="L449" s="342">
        <v>0</v>
      </c>
      <c r="M449" s="342">
        <v>0</v>
      </c>
      <c r="N449" s="342">
        <v>12</v>
      </c>
      <c r="O449" s="342">
        <v>0</v>
      </c>
      <c r="P449" s="342">
        <v>28</v>
      </c>
      <c r="Q449" s="342">
        <v>1</v>
      </c>
      <c r="R449" s="344">
        <f t="shared" si="141"/>
        <v>65</v>
      </c>
      <c r="S449" s="367">
        <f t="shared" si="142"/>
        <v>1</v>
      </c>
      <c r="T449" s="345">
        <f>G449</f>
        <v>0</v>
      </c>
      <c r="U449" s="345">
        <f>K449</f>
        <v>0</v>
      </c>
      <c r="V449" s="345">
        <f>O449</f>
        <v>0</v>
      </c>
      <c r="W449" s="345">
        <f>Q449</f>
        <v>1</v>
      </c>
      <c r="X449" s="345">
        <f t="shared" si="143"/>
        <v>1</v>
      </c>
    </row>
    <row r="450" spans="1:24" ht="12.75">
      <c r="A450" s="346" t="s">
        <v>322</v>
      </c>
      <c r="B450" s="347" t="s">
        <v>147</v>
      </c>
      <c r="C450" s="347" t="s">
        <v>785</v>
      </c>
      <c r="D450" s="347">
        <v>2019</v>
      </c>
      <c r="E450" s="347" t="s">
        <v>775</v>
      </c>
      <c r="F450" s="348">
        <v>15</v>
      </c>
      <c r="G450" s="348">
        <v>0</v>
      </c>
      <c r="H450" s="348">
        <v>0</v>
      </c>
      <c r="I450" s="348">
        <v>0</v>
      </c>
      <c r="J450" s="348">
        <v>10</v>
      </c>
      <c r="K450" s="348">
        <v>5</v>
      </c>
      <c r="L450" s="348">
        <v>0</v>
      </c>
      <c r="M450" s="348">
        <v>5</v>
      </c>
      <c r="N450" s="348">
        <v>12</v>
      </c>
      <c r="O450" s="348">
        <v>0</v>
      </c>
      <c r="P450" s="348">
        <v>28</v>
      </c>
      <c r="Q450" s="348">
        <v>3</v>
      </c>
      <c r="R450" s="350">
        <f t="shared" si="141"/>
        <v>65</v>
      </c>
      <c r="S450" s="348">
        <f t="shared" si="142"/>
        <v>8</v>
      </c>
      <c r="T450" s="348"/>
      <c r="U450" s="348"/>
      <c r="V450" s="348"/>
      <c r="W450" s="349"/>
      <c r="X450" s="349"/>
    </row>
    <row r="451" spans="1:24" ht="12.75">
      <c r="A451" s="346" t="s">
        <v>323</v>
      </c>
      <c r="B451" s="347" t="s">
        <v>147</v>
      </c>
      <c r="C451" s="347" t="s">
        <v>785</v>
      </c>
      <c r="D451" s="347">
        <v>2019</v>
      </c>
      <c r="E451" s="347" t="s">
        <v>775</v>
      </c>
      <c r="F451" s="348">
        <v>35</v>
      </c>
      <c r="G451" s="348">
        <v>0</v>
      </c>
      <c r="H451" s="348">
        <v>0</v>
      </c>
      <c r="I451" s="348">
        <v>0</v>
      </c>
      <c r="J451" s="348">
        <v>25</v>
      </c>
      <c r="K451" s="348">
        <v>0</v>
      </c>
      <c r="L451" s="348">
        <v>0</v>
      </c>
      <c r="M451" s="348">
        <v>0</v>
      </c>
      <c r="N451" s="348">
        <v>28</v>
      </c>
      <c r="O451" s="348">
        <v>0</v>
      </c>
      <c r="P451" s="348">
        <v>72</v>
      </c>
      <c r="Q451" s="348">
        <v>20</v>
      </c>
      <c r="R451" s="350">
        <f t="shared" si="141"/>
        <v>160</v>
      </c>
      <c r="S451" s="348">
        <f t="shared" si="142"/>
        <v>20</v>
      </c>
      <c r="T451" s="399">
        <f>SUM(G450:G451)</f>
        <v>0</v>
      </c>
      <c r="U451" s="399">
        <f>SUM(K450:K451)</f>
        <v>5</v>
      </c>
      <c r="V451" s="399">
        <f>SUM(O450:O451)</f>
        <v>0</v>
      </c>
      <c r="W451" s="399">
        <f>SUM(Q450:Q451)</f>
        <v>23</v>
      </c>
      <c r="X451" s="399">
        <f>T451+U451+V451+W451</f>
        <v>28</v>
      </c>
    </row>
    <row r="452" spans="1:24" ht="12.75">
      <c r="A452" s="394"/>
      <c r="B452" s="395"/>
      <c r="C452" s="395"/>
      <c r="D452" s="395"/>
      <c r="E452" s="395"/>
      <c r="F452" s="396"/>
      <c r="G452" s="396"/>
      <c r="H452" s="397"/>
      <c r="I452" s="396"/>
      <c r="J452" s="396"/>
      <c r="K452" s="396"/>
      <c r="L452" s="396"/>
      <c r="M452" s="396"/>
      <c r="N452" s="396"/>
      <c r="O452" s="396"/>
      <c r="P452" s="396"/>
      <c r="Q452" s="397"/>
      <c r="R452" s="398"/>
      <c r="S452" s="361" t="s">
        <v>783</v>
      </c>
      <c r="T452" s="356">
        <f t="shared" ref="T452:X452" si="144">SUM(T441:T451)</f>
        <v>0</v>
      </c>
      <c r="U452" s="356">
        <f t="shared" si="144"/>
        <v>6</v>
      </c>
      <c r="V452" s="356">
        <f t="shared" si="144"/>
        <v>8</v>
      </c>
      <c r="W452" s="356">
        <f t="shared" si="144"/>
        <v>45</v>
      </c>
      <c r="X452" s="356">
        <f t="shared" si="144"/>
        <v>59</v>
      </c>
    </row>
    <row r="453" spans="1:24" ht="12.75">
      <c r="A453" s="220"/>
      <c r="B453" s="221"/>
      <c r="C453" s="221"/>
      <c r="D453" s="221"/>
      <c r="E453" s="221"/>
      <c r="F453" s="353"/>
      <c r="G453" s="353"/>
      <c r="H453" s="354"/>
      <c r="I453" s="353"/>
      <c r="J453" s="353"/>
      <c r="K453" s="353"/>
      <c r="L453" s="353"/>
      <c r="M453" s="353"/>
      <c r="N453" s="353"/>
      <c r="O453" s="353"/>
      <c r="P453" s="353"/>
      <c r="Q453" s="354"/>
      <c r="R453" s="182"/>
      <c r="S453" s="362"/>
      <c r="T453" s="92"/>
      <c r="U453" s="92"/>
      <c r="V453" s="92"/>
      <c r="W453" s="92"/>
      <c r="X453" s="92"/>
    </row>
    <row r="454" spans="1:24" ht="12.75">
      <c r="A454" s="315" t="s">
        <v>814</v>
      </c>
      <c r="B454" s="316" t="s">
        <v>148</v>
      </c>
      <c r="C454" s="316" t="s">
        <v>177</v>
      </c>
      <c r="D454" s="316">
        <v>2015</v>
      </c>
      <c r="E454" s="316" t="s">
        <v>775</v>
      </c>
      <c r="F454" s="317">
        <v>398</v>
      </c>
      <c r="G454" s="317">
        <v>0</v>
      </c>
      <c r="H454" s="318">
        <v>0</v>
      </c>
      <c r="I454" s="317">
        <v>0</v>
      </c>
      <c r="J454" s="317">
        <v>239</v>
      </c>
      <c r="K454" s="317">
        <v>26</v>
      </c>
      <c r="L454" s="317">
        <v>9</v>
      </c>
      <c r="M454" s="317">
        <v>17</v>
      </c>
      <c r="N454" s="317">
        <v>183</v>
      </c>
      <c r="O454" s="317">
        <v>60</v>
      </c>
      <c r="P454" s="317">
        <v>349</v>
      </c>
      <c r="Q454" s="318">
        <v>0</v>
      </c>
      <c r="R454" s="319">
        <f t="shared" ref="R454:R487" si="145">F454+J454+N454+P454</f>
        <v>1169</v>
      </c>
      <c r="S454" s="364">
        <f t="shared" ref="S454:S487" si="146">K454+O454+G454+Q454</f>
        <v>86</v>
      </c>
      <c r="T454" s="319"/>
      <c r="U454" s="319"/>
      <c r="V454" s="319"/>
      <c r="W454" s="319"/>
      <c r="X454" s="319"/>
    </row>
    <row r="455" spans="1:24" ht="12.75">
      <c r="A455" s="315" t="s">
        <v>815</v>
      </c>
      <c r="B455" s="316" t="s">
        <v>148</v>
      </c>
      <c r="C455" s="316" t="s">
        <v>177</v>
      </c>
      <c r="D455" s="316">
        <v>2015</v>
      </c>
      <c r="E455" s="316" t="s">
        <v>775</v>
      </c>
      <c r="F455" s="317">
        <v>396</v>
      </c>
      <c r="G455" s="317">
        <v>0</v>
      </c>
      <c r="H455" s="318">
        <v>0</v>
      </c>
      <c r="I455" s="317">
        <v>0</v>
      </c>
      <c r="J455" s="317">
        <v>277</v>
      </c>
      <c r="K455" s="317">
        <v>0</v>
      </c>
      <c r="L455" s="317">
        <v>0</v>
      </c>
      <c r="M455" s="317">
        <v>0</v>
      </c>
      <c r="N455" s="317">
        <v>243</v>
      </c>
      <c r="O455" s="317">
        <v>2</v>
      </c>
      <c r="P455" s="317">
        <v>546</v>
      </c>
      <c r="Q455" s="318">
        <v>0</v>
      </c>
      <c r="R455" s="319">
        <f t="shared" si="145"/>
        <v>1462</v>
      </c>
      <c r="S455" s="364">
        <f t="shared" si="146"/>
        <v>2</v>
      </c>
      <c r="T455" s="319"/>
      <c r="U455" s="319"/>
      <c r="V455" s="319"/>
      <c r="W455" s="319"/>
      <c r="X455" s="319"/>
    </row>
    <row r="456" spans="1:24" ht="12.75">
      <c r="A456" s="315" t="s">
        <v>816</v>
      </c>
      <c r="B456" s="316" t="s">
        <v>148</v>
      </c>
      <c r="C456" s="316" t="s">
        <v>177</v>
      </c>
      <c r="D456" s="316">
        <v>2015</v>
      </c>
      <c r="E456" s="316" t="s">
        <v>775</v>
      </c>
      <c r="F456" s="317">
        <v>4888</v>
      </c>
      <c r="G456" s="317">
        <v>0</v>
      </c>
      <c r="H456" s="318">
        <v>0</v>
      </c>
      <c r="I456" s="317">
        <v>0</v>
      </c>
      <c r="J456" s="317">
        <v>3107</v>
      </c>
      <c r="K456" s="317">
        <v>0</v>
      </c>
      <c r="L456" s="317">
        <v>0</v>
      </c>
      <c r="M456" s="317">
        <v>0</v>
      </c>
      <c r="N456" s="317">
        <v>3126</v>
      </c>
      <c r="O456" s="317">
        <v>0</v>
      </c>
      <c r="P456" s="317">
        <v>10462</v>
      </c>
      <c r="Q456" s="318">
        <v>0</v>
      </c>
      <c r="R456" s="319">
        <f t="shared" si="145"/>
        <v>21583</v>
      </c>
      <c r="S456" s="364">
        <f t="shared" si="146"/>
        <v>0</v>
      </c>
      <c r="T456" s="319"/>
      <c r="U456" s="319"/>
      <c r="V456" s="319"/>
      <c r="W456" s="319"/>
      <c r="X456" s="319"/>
    </row>
    <row r="457" spans="1:24" ht="12.75">
      <c r="A457" s="321" t="s">
        <v>817</v>
      </c>
      <c r="B457" s="322" t="s">
        <v>148</v>
      </c>
      <c r="C457" s="322" t="s">
        <v>177</v>
      </c>
      <c r="D457" s="322">
        <v>2015</v>
      </c>
      <c r="E457" s="322" t="s">
        <v>775</v>
      </c>
      <c r="F457" s="318">
        <v>52</v>
      </c>
      <c r="G457" s="317">
        <v>0</v>
      </c>
      <c r="H457" s="318">
        <v>0</v>
      </c>
      <c r="I457" s="318">
        <v>0</v>
      </c>
      <c r="J457" s="317">
        <v>26</v>
      </c>
      <c r="K457" s="317">
        <v>0</v>
      </c>
      <c r="L457" s="318">
        <v>0</v>
      </c>
      <c r="M457" s="318">
        <v>0</v>
      </c>
      <c r="N457" s="318">
        <v>30</v>
      </c>
      <c r="O457" s="318">
        <v>0</v>
      </c>
      <c r="P457" s="318">
        <v>146</v>
      </c>
      <c r="Q457" s="318">
        <v>11</v>
      </c>
      <c r="R457" s="319">
        <f t="shared" si="145"/>
        <v>254</v>
      </c>
      <c r="S457" s="364">
        <f t="shared" si="146"/>
        <v>11</v>
      </c>
      <c r="T457" s="319"/>
      <c r="U457" s="319"/>
      <c r="V457" s="319"/>
      <c r="W457" s="319"/>
      <c r="X457" s="319"/>
    </row>
    <row r="458" spans="1:24" ht="12.75">
      <c r="A458" s="321" t="s">
        <v>818</v>
      </c>
      <c r="B458" s="322" t="s">
        <v>148</v>
      </c>
      <c r="C458" s="322" t="s">
        <v>177</v>
      </c>
      <c r="D458" s="322">
        <v>2015</v>
      </c>
      <c r="E458" s="322" t="s">
        <v>775</v>
      </c>
      <c r="F458" s="318">
        <v>350</v>
      </c>
      <c r="G458" s="317">
        <v>0</v>
      </c>
      <c r="H458" s="318">
        <v>0</v>
      </c>
      <c r="I458" s="318">
        <v>0</v>
      </c>
      <c r="J458" s="317">
        <v>275</v>
      </c>
      <c r="K458" s="317">
        <v>8</v>
      </c>
      <c r="L458" s="318">
        <v>0</v>
      </c>
      <c r="M458" s="318">
        <v>8</v>
      </c>
      <c r="N458" s="318">
        <v>280</v>
      </c>
      <c r="O458" s="318">
        <v>0</v>
      </c>
      <c r="P458" s="318">
        <v>521</v>
      </c>
      <c r="Q458" s="318">
        <v>37</v>
      </c>
      <c r="R458" s="319">
        <f t="shared" si="145"/>
        <v>1426</v>
      </c>
      <c r="S458" s="364">
        <f t="shared" si="146"/>
        <v>45</v>
      </c>
      <c r="T458" s="323">
        <f>SUM(G454:G458)</f>
        <v>0</v>
      </c>
      <c r="U458" s="323">
        <f>SUM(K454:K458)</f>
        <v>34</v>
      </c>
      <c r="V458" s="323">
        <f>SUM(O454:O458)</f>
        <v>62</v>
      </c>
      <c r="W458" s="323">
        <f>SUM(Q454:Q458)</f>
        <v>48</v>
      </c>
      <c r="X458" s="323">
        <f>T458+U458+V458+W458</f>
        <v>144</v>
      </c>
    </row>
    <row r="459" spans="1:24" ht="12.75">
      <c r="A459" s="324" t="s">
        <v>324</v>
      </c>
      <c r="B459" s="325" t="s">
        <v>148</v>
      </c>
      <c r="C459" s="325" t="s">
        <v>177</v>
      </c>
      <c r="D459" s="325">
        <v>2016</v>
      </c>
      <c r="E459" s="325" t="s">
        <v>775</v>
      </c>
      <c r="F459" s="326">
        <v>398</v>
      </c>
      <c r="G459" s="326">
        <v>0</v>
      </c>
      <c r="H459" s="327">
        <v>0</v>
      </c>
      <c r="I459" s="326">
        <v>0</v>
      </c>
      <c r="J459" s="326">
        <v>239</v>
      </c>
      <c r="K459" s="326">
        <v>24</v>
      </c>
      <c r="L459" s="326">
        <v>11</v>
      </c>
      <c r="M459" s="326">
        <v>13</v>
      </c>
      <c r="N459" s="326">
        <v>183</v>
      </c>
      <c r="O459" s="326">
        <v>29</v>
      </c>
      <c r="P459" s="326">
        <v>349</v>
      </c>
      <c r="Q459" s="327">
        <v>0</v>
      </c>
      <c r="R459" s="328">
        <f t="shared" si="145"/>
        <v>1169</v>
      </c>
      <c r="S459" s="365">
        <f t="shared" si="146"/>
        <v>53</v>
      </c>
      <c r="T459" s="328"/>
      <c r="U459" s="328"/>
      <c r="V459" s="328"/>
      <c r="W459" s="328"/>
      <c r="X459" s="328"/>
    </row>
    <row r="460" spans="1:24" ht="12.75">
      <c r="A460" s="324" t="s">
        <v>327</v>
      </c>
      <c r="B460" s="325" t="s">
        <v>148</v>
      </c>
      <c r="C460" s="325" t="s">
        <v>177</v>
      </c>
      <c r="D460" s="325">
        <v>2016</v>
      </c>
      <c r="E460" s="325" t="s">
        <v>775</v>
      </c>
      <c r="F460" s="326">
        <v>396</v>
      </c>
      <c r="G460" s="326">
        <v>0</v>
      </c>
      <c r="H460" s="327">
        <v>0</v>
      </c>
      <c r="I460" s="326">
        <v>0</v>
      </c>
      <c r="J460" s="326">
        <v>277</v>
      </c>
      <c r="K460" s="326">
        <v>0</v>
      </c>
      <c r="L460" s="326">
        <v>0</v>
      </c>
      <c r="M460" s="326">
        <v>0</v>
      </c>
      <c r="N460" s="326">
        <v>243</v>
      </c>
      <c r="O460" s="326">
        <v>44</v>
      </c>
      <c r="P460" s="326">
        <v>546</v>
      </c>
      <c r="Q460" s="327">
        <v>1</v>
      </c>
      <c r="R460" s="328">
        <f t="shared" si="145"/>
        <v>1462</v>
      </c>
      <c r="S460" s="365">
        <f t="shared" si="146"/>
        <v>45</v>
      </c>
      <c r="T460" s="328"/>
      <c r="U460" s="328"/>
      <c r="V460" s="328"/>
      <c r="W460" s="328"/>
      <c r="X460" s="328"/>
    </row>
    <row r="461" spans="1:24" ht="12.75">
      <c r="A461" s="324" t="s">
        <v>328</v>
      </c>
      <c r="B461" s="325" t="s">
        <v>148</v>
      </c>
      <c r="C461" s="325" t="s">
        <v>177</v>
      </c>
      <c r="D461" s="325">
        <v>2016</v>
      </c>
      <c r="E461" s="325" t="s">
        <v>775</v>
      </c>
      <c r="F461" s="326">
        <v>4888</v>
      </c>
      <c r="G461" s="326">
        <v>103</v>
      </c>
      <c r="H461" s="327">
        <v>103</v>
      </c>
      <c r="I461" s="326">
        <v>0</v>
      </c>
      <c r="J461" s="326">
        <v>3107</v>
      </c>
      <c r="K461" s="326">
        <v>57</v>
      </c>
      <c r="L461" s="326">
        <v>57</v>
      </c>
      <c r="M461" s="326">
        <v>0</v>
      </c>
      <c r="N461" s="326">
        <v>3126</v>
      </c>
      <c r="O461" s="326">
        <v>0</v>
      </c>
      <c r="P461" s="326">
        <v>10462</v>
      </c>
      <c r="Q461" s="327">
        <v>3</v>
      </c>
      <c r="R461" s="328">
        <f t="shared" si="145"/>
        <v>21583</v>
      </c>
      <c r="S461" s="365">
        <f t="shared" si="146"/>
        <v>163</v>
      </c>
      <c r="T461" s="328"/>
      <c r="U461" s="328"/>
      <c r="V461" s="328"/>
      <c r="W461" s="328"/>
      <c r="X461" s="328"/>
    </row>
    <row r="462" spans="1:24" ht="12.75">
      <c r="A462" s="324" t="s">
        <v>330</v>
      </c>
      <c r="B462" s="325" t="s">
        <v>148</v>
      </c>
      <c r="C462" s="325" t="s">
        <v>177</v>
      </c>
      <c r="D462" s="325">
        <v>2016</v>
      </c>
      <c r="E462" s="325" t="s">
        <v>775</v>
      </c>
      <c r="F462" s="326">
        <v>93</v>
      </c>
      <c r="G462" s="326">
        <v>6</v>
      </c>
      <c r="H462" s="327">
        <v>0</v>
      </c>
      <c r="I462" s="326">
        <v>6</v>
      </c>
      <c r="J462" s="326">
        <v>73</v>
      </c>
      <c r="K462" s="326">
        <v>6</v>
      </c>
      <c r="L462" s="326">
        <v>0</v>
      </c>
      <c r="M462" s="326">
        <v>6</v>
      </c>
      <c r="N462" s="326">
        <v>66</v>
      </c>
      <c r="O462" s="326">
        <v>7</v>
      </c>
      <c r="P462" s="326">
        <v>79</v>
      </c>
      <c r="Q462" s="327">
        <v>0</v>
      </c>
      <c r="R462" s="328">
        <f t="shared" si="145"/>
        <v>311</v>
      </c>
      <c r="S462" s="365">
        <f t="shared" si="146"/>
        <v>19</v>
      </c>
      <c r="T462" s="328"/>
      <c r="U462" s="328"/>
      <c r="V462" s="328"/>
      <c r="W462" s="328"/>
      <c r="X462" s="328"/>
    </row>
    <row r="463" spans="1:24" ht="12.75">
      <c r="A463" s="329" t="s">
        <v>333</v>
      </c>
      <c r="B463" s="330" t="s">
        <v>148</v>
      </c>
      <c r="C463" s="330" t="s">
        <v>177</v>
      </c>
      <c r="D463" s="330">
        <v>2016</v>
      </c>
      <c r="E463" s="330" t="s">
        <v>775</v>
      </c>
      <c r="F463" s="327">
        <v>52</v>
      </c>
      <c r="G463" s="326">
        <v>0</v>
      </c>
      <c r="H463" s="327">
        <v>0</v>
      </c>
      <c r="I463" s="327">
        <v>0</v>
      </c>
      <c r="J463" s="326">
        <v>26</v>
      </c>
      <c r="K463" s="326">
        <v>0</v>
      </c>
      <c r="L463" s="327">
        <v>0</v>
      </c>
      <c r="M463" s="327">
        <v>0</v>
      </c>
      <c r="N463" s="327">
        <v>30</v>
      </c>
      <c r="O463" s="327">
        <v>0</v>
      </c>
      <c r="P463" s="327">
        <v>146</v>
      </c>
      <c r="Q463" s="327">
        <v>9</v>
      </c>
      <c r="R463" s="328">
        <f t="shared" si="145"/>
        <v>254</v>
      </c>
      <c r="S463" s="365">
        <f t="shared" si="146"/>
        <v>9</v>
      </c>
      <c r="T463" s="328"/>
      <c r="U463" s="328"/>
      <c r="V463" s="328"/>
      <c r="W463" s="328"/>
      <c r="X463" s="328"/>
    </row>
    <row r="464" spans="1:24" ht="12.75">
      <c r="A464" s="329" t="s">
        <v>335</v>
      </c>
      <c r="B464" s="330" t="s">
        <v>148</v>
      </c>
      <c r="C464" s="330" t="s">
        <v>177</v>
      </c>
      <c r="D464" s="330">
        <v>2016</v>
      </c>
      <c r="E464" s="330" t="s">
        <v>775</v>
      </c>
      <c r="F464" s="327">
        <v>350</v>
      </c>
      <c r="G464" s="326">
        <v>0</v>
      </c>
      <c r="H464" s="327">
        <v>0</v>
      </c>
      <c r="I464" s="327">
        <v>0</v>
      </c>
      <c r="J464" s="327">
        <v>275</v>
      </c>
      <c r="K464" s="326">
        <v>16</v>
      </c>
      <c r="L464" s="327">
        <v>0</v>
      </c>
      <c r="M464" s="327">
        <v>16</v>
      </c>
      <c r="N464" s="327">
        <v>280</v>
      </c>
      <c r="O464" s="327">
        <v>3</v>
      </c>
      <c r="P464" s="327">
        <v>521</v>
      </c>
      <c r="Q464" s="327">
        <v>85</v>
      </c>
      <c r="R464" s="328">
        <f t="shared" si="145"/>
        <v>1426</v>
      </c>
      <c r="S464" s="365">
        <f t="shared" si="146"/>
        <v>104</v>
      </c>
      <c r="T464" s="331">
        <f>SUM(G459:G464)</f>
        <v>109</v>
      </c>
      <c r="U464" s="331">
        <f>SUM(K459:K464)</f>
        <v>103</v>
      </c>
      <c r="V464" s="331">
        <f>SUM(O459:O464)</f>
        <v>83</v>
      </c>
      <c r="W464" s="331">
        <f>SUM(Q459:Q464)</f>
        <v>98</v>
      </c>
      <c r="X464" s="331">
        <f>T464+U464+V464+W464</f>
        <v>393</v>
      </c>
    </row>
    <row r="465" spans="1:24" ht="12.75">
      <c r="A465" s="332" t="s">
        <v>324</v>
      </c>
      <c r="B465" s="333" t="s">
        <v>148</v>
      </c>
      <c r="C465" s="333" t="s">
        <v>177</v>
      </c>
      <c r="D465" s="333">
        <v>2017</v>
      </c>
      <c r="E465" s="333" t="s">
        <v>775</v>
      </c>
      <c r="F465" s="334">
        <v>398</v>
      </c>
      <c r="G465" s="334">
        <v>0</v>
      </c>
      <c r="H465" s="335">
        <v>0</v>
      </c>
      <c r="I465" s="334">
        <v>0</v>
      </c>
      <c r="J465" s="334">
        <v>239</v>
      </c>
      <c r="K465" s="334">
        <v>6</v>
      </c>
      <c r="L465" s="334">
        <v>0</v>
      </c>
      <c r="M465" s="334">
        <v>6</v>
      </c>
      <c r="N465" s="334">
        <v>183</v>
      </c>
      <c r="O465" s="334">
        <v>79</v>
      </c>
      <c r="P465" s="334">
        <v>349</v>
      </c>
      <c r="Q465" s="335">
        <v>0</v>
      </c>
      <c r="R465" s="336">
        <f t="shared" si="145"/>
        <v>1169</v>
      </c>
      <c r="S465" s="366">
        <f t="shared" si="146"/>
        <v>85</v>
      </c>
      <c r="T465" s="336"/>
      <c r="U465" s="336"/>
      <c r="V465" s="336"/>
      <c r="W465" s="336"/>
      <c r="X465" s="336"/>
    </row>
    <row r="466" spans="1:24" ht="12.75">
      <c r="A466" s="332" t="s">
        <v>325</v>
      </c>
      <c r="B466" s="333" t="s">
        <v>148</v>
      </c>
      <c r="C466" s="333" t="s">
        <v>177</v>
      </c>
      <c r="D466" s="333">
        <v>2017</v>
      </c>
      <c r="E466" s="333" t="s">
        <v>775</v>
      </c>
      <c r="F466" s="334">
        <v>9706</v>
      </c>
      <c r="G466" s="334">
        <v>182</v>
      </c>
      <c r="H466" s="335">
        <v>182</v>
      </c>
      <c r="I466" s="334">
        <v>0</v>
      </c>
      <c r="J466" s="334">
        <v>5800</v>
      </c>
      <c r="K466" s="334">
        <v>76</v>
      </c>
      <c r="L466" s="334">
        <v>76</v>
      </c>
      <c r="M466" s="334">
        <v>0</v>
      </c>
      <c r="N466" s="334">
        <v>6453</v>
      </c>
      <c r="O466" s="334">
        <v>4388</v>
      </c>
      <c r="P466" s="334">
        <v>14331</v>
      </c>
      <c r="Q466" s="335">
        <v>3117</v>
      </c>
      <c r="R466" s="336">
        <f t="shared" si="145"/>
        <v>36290</v>
      </c>
      <c r="S466" s="366">
        <f t="shared" si="146"/>
        <v>7763</v>
      </c>
      <c r="T466" s="336"/>
      <c r="U466" s="336"/>
      <c r="V466" s="336"/>
      <c r="W466" s="336"/>
      <c r="X466" s="336"/>
    </row>
    <row r="467" spans="1:24" ht="12.75">
      <c r="A467" s="332" t="s">
        <v>327</v>
      </c>
      <c r="B467" s="333" t="s">
        <v>148</v>
      </c>
      <c r="C467" s="333" t="s">
        <v>177</v>
      </c>
      <c r="D467" s="333">
        <v>2017</v>
      </c>
      <c r="E467" s="333" t="s">
        <v>775</v>
      </c>
      <c r="F467" s="334">
        <v>396</v>
      </c>
      <c r="G467" s="334">
        <v>0</v>
      </c>
      <c r="H467" s="335">
        <v>0</v>
      </c>
      <c r="I467" s="334">
        <v>0</v>
      </c>
      <c r="J467" s="334">
        <v>277</v>
      </c>
      <c r="K467" s="334">
        <v>0</v>
      </c>
      <c r="L467" s="334">
        <v>0</v>
      </c>
      <c r="M467" s="334">
        <v>0</v>
      </c>
      <c r="N467" s="334">
        <v>243</v>
      </c>
      <c r="O467" s="334">
        <v>9</v>
      </c>
      <c r="P467" s="334">
        <v>546</v>
      </c>
      <c r="Q467" s="335">
        <v>21</v>
      </c>
      <c r="R467" s="336">
        <f t="shared" si="145"/>
        <v>1462</v>
      </c>
      <c r="S467" s="366">
        <f t="shared" si="146"/>
        <v>30</v>
      </c>
      <c r="T467" s="336"/>
      <c r="U467" s="336"/>
      <c r="V467" s="336"/>
      <c r="W467" s="336"/>
      <c r="X467" s="336"/>
    </row>
    <row r="468" spans="1:24" ht="12.75">
      <c r="A468" s="332" t="s">
        <v>328</v>
      </c>
      <c r="B468" s="333" t="s">
        <v>148</v>
      </c>
      <c r="C468" s="333" t="s">
        <v>177</v>
      </c>
      <c r="D468" s="333">
        <v>2017</v>
      </c>
      <c r="E468" s="333" t="s">
        <v>775</v>
      </c>
      <c r="F468" s="334">
        <v>4888</v>
      </c>
      <c r="G468" s="334">
        <v>0</v>
      </c>
      <c r="H468" s="335">
        <v>0</v>
      </c>
      <c r="I468" s="334">
        <v>0</v>
      </c>
      <c r="J468" s="334">
        <v>3107</v>
      </c>
      <c r="K468" s="334">
        <v>0</v>
      </c>
      <c r="L468" s="334">
        <v>0</v>
      </c>
      <c r="M468" s="334">
        <v>0</v>
      </c>
      <c r="N468" s="334">
        <v>3126</v>
      </c>
      <c r="O468" s="334">
        <v>0</v>
      </c>
      <c r="P468" s="334">
        <v>10462</v>
      </c>
      <c r="Q468" s="335">
        <v>0</v>
      </c>
      <c r="R468" s="336">
        <f t="shared" si="145"/>
        <v>21583</v>
      </c>
      <c r="S468" s="366">
        <f t="shared" si="146"/>
        <v>0</v>
      </c>
      <c r="T468" s="336"/>
      <c r="U468" s="336"/>
      <c r="V468" s="336"/>
      <c r="W468" s="336"/>
      <c r="X468" s="336"/>
    </row>
    <row r="469" spans="1:24" ht="12.75">
      <c r="A469" s="332" t="s">
        <v>330</v>
      </c>
      <c r="B469" s="333" t="s">
        <v>148</v>
      </c>
      <c r="C469" s="333" t="s">
        <v>177</v>
      </c>
      <c r="D469" s="333">
        <v>2017</v>
      </c>
      <c r="E469" s="333" t="s">
        <v>775</v>
      </c>
      <c r="F469" s="334">
        <v>93</v>
      </c>
      <c r="G469" s="334">
        <v>0</v>
      </c>
      <c r="H469" s="335">
        <v>0</v>
      </c>
      <c r="I469" s="334">
        <v>0</v>
      </c>
      <c r="J469" s="334">
        <v>73</v>
      </c>
      <c r="K469" s="334">
        <v>0</v>
      </c>
      <c r="L469" s="334">
        <v>0</v>
      </c>
      <c r="M469" s="334">
        <v>0</v>
      </c>
      <c r="N469" s="334">
        <v>66</v>
      </c>
      <c r="O469" s="334">
        <v>25</v>
      </c>
      <c r="P469" s="334">
        <v>79</v>
      </c>
      <c r="Q469" s="335">
        <v>0</v>
      </c>
      <c r="R469" s="336">
        <f t="shared" si="145"/>
        <v>311</v>
      </c>
      <c r="S469" s="366">
        <f t="shared" si="146"/>
        <v>25</v>
      </c>
      <c r="T469" s="336"/>
      <c r="U469" s="336"/>
      <c r="V469" s="336"/>
      <c r="W469" s="336"/>
      <c r="X469" s="336"/>
    </row>
    <row r="470" spans="1:24" ht="12.75">
      <c r="A470" s="337" t="s">
        <v>333</v>
      </c>
      <c r="B470" s="338" t="s">
        <v>148</v>
      </c>
      <c r="C470" s="338" t="s">
        <v>177</v>
      </c>
      <c r="D470" s="338">
        <v>2017</v>
      </c>
      <c r="E470" s="338" t="s">
        <v>775</v>
      </c>
      <c r="F470" s="335">
        <v>52</v>
      </c>
      <c r="G470" s="334">
        <v>0</v>
      </c>
      <c r="H470" s="335">
        <v>0</v>
      </c>
      <c r="I470" s="335">
        <v>0</v>
      </c>
      <c r="J470" s="334">
        <v>26</v>
      </c>
      <c r="K470" s="334">
        <v>0</v>
      </c>
      <c r="L470" s="335">
        <v>0</v>
      </c>
      <c r="M470" s="335">
        <v>0</v>
      </c>
      <c r="N470" s="335">
        <v>30</v>
      </c>
      <c r="O470" s="335">
        <v>3</v>
      </c>
      <c r="P470" s="335">
        <v>146</v>
      </c>
      <c r="Q470" s="335">
        <v>12</v>
      </c>
      <c r="R470" s="336">
        <f t="shared" si="145"/>
        <v>254</v>
      </c>
      <c r="S470" s="366">
        <f t="shared" si="146"/>
        <v>15</v>
      </c>
      <c r="T470" s="336"/>
      <c r="U470" s="336"/>
      <c r="V470" s="336"/>
      <c r="W470" s="336"/>
      <c r="X470" s="336"/>
    </row>
    <row r="471" spans="1:24" ht="12.75">
      <c r="A471" s="337" t="s">
        <v>335</v>
      </c>
      <c r="B471" s="338" t="s">
        <v>148</v>
      </c>
      <c r="C471" s="338" t="s">
        <v>177</v>
      </c>
      <c r="D471" s="338">
        <v>2017</v>
      </c>
      <c r="E471" s="338" t="s">
        <v>775</v>
      </c>
      <c r="F471" s="335">
        <v>350</v>
      </c>
      <c r="G471" s="334">
        <v>0</v>
      </c>
      <c r="H471" s="335">
        <v>0</v>
      </c>
      <c r="I471" s="335">
        <v>0</v>
      </c>
      <c r="J471" s="335">
        <v>275</v>
      </c>
      <c r="K471" s="334">
        <v>37</v>
      </c>
      <c r="L471" s="335">
        <v>0</v>
      </c>
      <c r="M471" s="335">
        <v>37</v>
      </c>
      <c r="N471" s="335">
        <v>280</v>
      </c>
      <c r="O471" s="335">
        <v>1</v>
      </c>
      <c r="P471" s="335">
        <v>521</v>
      </c>
      <c r="Q471" s="335">
        <v>82</v>
      </c>
      <c r="R471" s="336">
        <f t="shared" si="145"/>
        <v>1426</v>
      </c>
      <c r="S471" s="366">
        <f t="shared" si="146"/>
        <v>120</v>
      </c>
      <c r="T471" s="339">
        <f>SUM(G465:G471)</f>
        <v>182</v>
      </c>
      <c r="U471" s="339">
        <f>SUM(K465:K471)</f>
        <v>119</v>
      </c>
      <c r="V471" s="339">
        <f>SUM(O465:O471)</f>
        <v>4505</v>
      </c>
      <c r="W471" s="339">
        <f>SUM(Q465:Q471)</f>
        <v>3232</v>
      </c>
      <c r="X471" s="339">
        <f>T471+U471+V471+W471</f>
        <v>8038</v>
      </c>
    </row>
    <row r="472" spans="1:24" ht="12.75">
      <c r="A472" s="340" t="s">
        <v>324</v>
      </c>
      <c r="B472" s="341" t="s">
        <v>148</v>
      </c>
      <c r="C472" s="341" t="s">
        <v>177</v>
      </c>
      <c r="D472" s="341">
        <v>2018</v>
      </c>
      <c r="E472" s="341" t="s">
        <v>775</v>
      </c>
      <c r="F472" s="342">
        <v>398</v>
      </c>
      <c r="G472" s="343">
        <v>0</v>
      </c>
      <c r="H472" s="342">
        <v>0</v>
      </c>
      <c r="I472" s="342">
        <v>0</v>
      </c>
      <c r="J472" s="342">
        <v>239</v>
      </c>
      <c r="K472" s="343">
        <v>0</v>
      </c>
      <c r="L472" s="342">
        <v>0</v>
      </c>
      <c r="M472" s="342">
        <v>0</v>
      </c>
      <c r="N472" s="342">
        <v>183</v>
      </c>
      <c r="O472" s="342">
        <v>102</v>
      </c>
      <c r="P472" s="342">
        <v>349</v>
      </c>
      <c r="Q472" s="342">
        <v>0</v>
      </c>
      <c r="R472" s="344">
        <f t="shared" si="145"/>
        <v>1169</v>
      </c>
      <c r="S472" s="367">
        <f t="shared" si="146"/>
        <v>102</v>
      </c>
      <c r="T472" s="344"/>
      <c r="U472" s="344"/>
      <c r="V472" s="344"/>
      <c r="W472" s="344"/>
      <c r="X472" s="344"/>
    </row>
    <row r="473" spans="1:24" ht="12.75">
      <c r="A473" s="340" t="s">
        <v>325</v>
      </c>
      <c r="B473" s="341" t="s">
        <v>148</v>
      </c>
      <c r="C473" s="341" t="s">
        <v>177</v>
      </c>
      <c r="D473" s="341">
        <v>2018</v>
      </c>
      <c r="E473" s="341" t="s">
        <v>775</v>
      </c>
      <c r="F473" s="342">
        <v>9706</v>
      </c>
      <c r="G473" s="343">
        <v>0</v>
      </c>
      <c r="H473" s="342">
        <v>0</v>
      </c>
      <c r="I473" s="342">
        <v>0</v>
      </c>
      <c r="J473" s="342">
        <v>5800</v>
      </c>
      <c r="K473" s="343">
        <v>1</v>
      </c>
      <c r="L473" s="342">
        <v>1</v>
      </c>
      <c r="M473" s="342">
        <v>0</v>
      </c>
      <c r="N473" s="342">
        <v>6453</v>
      </c>
      <c r="O473" s="342">
        <v>1</v>
      </c>
      <c r="P473" s="342">
        <v>14331</v>
      </c>
      <c r="Q473" s="342">
        <v>1178</v>
      </c>
      <c r="R473" s="344">
        <f t="shared" si="145"/>
        <v>36290</v>
      </c>
      <c r="S473" s="367">
        <f t="shared" si="146"/>
        <v>1180</v>
      </c>
      <c r="T473" s="344"/>
      <c r="U473" s="344"/>
      <c r="V473" s="344"/>
      <c r="W473" s="344"/>
      <c r="X473" s="344"/>
    </row>
    <row r="474" spans="1:24" ht="12.75">
      <c r="A474" s="340" t="s">
        <v>327</v>
      </c>
      <c r="B474" s="341" t="s">
        <v>148</v>
      </c>
      <c r="C474" s="341" t="s">
        <v>177</v>
      </c>
      <c r="D474" s="341">
        <v>2018</v>
      </c>
      <c r="E474" s="341" t="s">
        <v>775</v>
      </c>
      <c r="F474" s="342">
        <v>396</v>
      </c>
      <c r="G474" s="343">
        <v>0</v>
      </c>
      <c r="H474" s="342">
        <v>0</v>
      </c>
      <c r="I474" s="342">
        <v>0</v>
      </c>
      <c r="J474" s="342">
        <v>277</v>
      </c>
      <c r="K474" s="343">
        <v>0</v>
      </c>
      <c r="L474" s="342">
        <v>0</v>
      </c>
      <c r="M474" s="342">
        <v>0</v>
      </c>
      <c r="N474" s="342">
        <v>243</v>
      </c>
      <c r="O474" s="342">
        <v>0</v>
      </c>
      <c r="P474" s="342">
        <v>546</v>
      </c>
      <c r="Q474" s="342">
        <v>68</v>
      </c>
      <c r="R474" s="344">
        <f t="shared" si="145"/>
        <v>1462</v>
      </c>
      <c r="S474" s="367">
        <f t="shared" si="146"/>
        <v>68</v>
      </c>
      <c r="T474" s="344"/>
      <c r="U474" s="344"/>
      <c r="V474" s="344"/>
      <c r="W474" s="344"/>
      <c r="X474" s="344"/>
    </row>
    <row r="475" spans="1:24" ht="12.75">
      <c r="A475" s="340" t="s">
        <v>328</v>
      </c>
      <c r="B475" s="341" t="s">
        <v>148</v>
      </c>
      <c r="C475" s="341" t="s">
        <v>177</v>
      </c>
      <c r="D475" s="341">
        <v>2018</v>
      </c>
      <c r="E475" s="341" t="s">
        <v>775</v>
      </c>
      <c r="F475" s="342">
        <v>4888</v>
      </c>
      <c r="G475" s="375"/>
      <c r="H475" s="376"/>
      <c r="I475" s="376"/>
      <c r="J475" s="342">
        <v>3107</v>
      </c>
      <c r="K475" s="375"/>
      <c r="L475" s="376"/>
      <c r="M475" s="376"/>
      <c r="N475" s="342">
        <v>3126</v>
      </c>
      <c r="O475" s="376"/>
      <c r="P475" s="342">
        <v>10462</v>
      </c>
      <c r="Q475" s="376"/>
      <c r="R475" s="344">
        <f t="shared" si="145"/>
        <v>21583</v>
      </c>
      <c r="S475" s="367">
        <f t="shared" si="146"/>
        <v>0</v>
      </c>
      <c r="T475" s="344"/>
      <c r="U475" s="344"/>
      <c r="V475" s="344"/>
      <c r="W475" s="344"/>
      <c r="X475" s="344"/>
    </row>
    <row r="476" spans="1:24" ht="12.75">
      <c r="A476" s="340" t="s">
        <v>333</v>
      </c>
      <c r="B476" s="341" t="s">
        <v>148</v>
      </c>
      <c r="C476" s="341" t="s">
        <v>177</v>
      </c>
      <c r="D476" s="341">
        <v>2018</v>
      </c>
      <c r="E476" s="341" t="s">
        <v>775</v>
      </c>
      <c r="F476" s="342">
        <v>52</v>
      </c>
      <c r="G476" s="343">
        <v>0</v>
      </c>
      <c r="H476" s="342">
        <v>0</v>
      </c>
      <c r="I476" s="342">
        <v>0</v>
      </c>
      <c r="J476" s="342">
        <v>26</v>
      </c>
      <c r="K476" s="343">
        <v>0</v>
      </c>
      <c r="L476" s="342">
        <v>0</v>
      </c>
      <c r="M476" s="342">
        <v>0</v>
      </c>
      <c r="N476" s="342">
        <v>30</v>
      </c>
      <c r="O476" s="342">
        <v>2</v>
      </c>
      <c r="P476" s="342">
        <v>146</v>
      </c>
      <c r="Q476" s="342">
        <v>6</v>
      </c>
      <c r="R476" s="344">
        <f t="shared" si="145"/>
        <v>254</v>
      </c>
      <c r="S476" s="367">
        <f t="shared" si="146"/>
        <v>8</v>
      </c>
      <c r="T476" s="344"/>
      <c r="U476" s="344"/>
      <c r="V476" s="344"/>
      <c r="W476" s="344"/>
      <c r="X476" s="344"/>
    </row>
    <row r="477" spans="1:24" ht="12.75">
      <c r="A477" s="340" t="s">
        <v>334</v>
      </c>
      <c r="B477" s="341" t="s">
        <v>148</v>
      </c>
      <c r="C477" s="341" t="s">
        <v>177</v>
      </c>
      <c r="D477" s="341">
        <v>2018</v>
      </c>
      <c r="E477" s="341" t="s">
        <v>775</v>
      </c>
      <c r="F477" s="342">
        <v>127</v>
      </c>
      <c r="G477" s="343">
        <v>0</v>
      </c>
      <c r="H477" s="342">
        <v>0</v>
      </c>
      <c r="I477" s="342">
        <v>0</v>
      </c>
      <c r="J477" s="342">
        <v>64</v>
      </c>
      <c r="K477" s="343">
        <v>0</v>
      </c>
      <c r="L477" s="342">
        <v>0</v>
      </c>
      <c r="M477" s="342">
        <v>0</v>
      </c>
      <c r="N477" s="342">
        <v>88</v>
      </c>
      <c r="O477" s="342">
        <v>0</v>
      </c>
      <c r="P477" s="342">
        <v>216</v>
      </c>
      <c r="Q477" s="342">
        <v>21</v>
      </c>
      <c r="R477" s="344">
        <f t="shared" si="145"/>
        <v>495</v>
      </c>
      <c r="S477" s="367">
        <f t="shared" si="146"/>
        <v>21</v>
      </c>
      <c r="T477" s="344"/>
      <c r="U477" s="344"/>
      <c r="V477" s="344"/>
      <c r="W477" s="344"/>
      <c r="X477" s="344"/>
    </row>
    <row r="478" spans="1:24" ht="12.75">
      <c r="A478" s="340" t="s">
        <v>335</v>
      </c>
      <c r="B478" s="341" t="s">
        <v>148</v>
      </c>
      <c r="C478" s="341" t="s">
        <v>177</v>
      </c>
      <c r="D478" s="341">
        <v>2018</v>
      </c>
      <c r="E478" s="341" t="s">
        <v>775</v>
      </c>
      <c r="F478" s="342">
        <v>350</v>
      </c>
      <c r="G478" s="343">
        <v>0</v>
      </c>
      <c r="H478" s="342">
        <v>0</v>
      </c>
      <c r="I478" s="342">
        <v>0</v>
      </c>
      <c r="J478" s="342">
        <v>275</v>
      </c>
      <c r="K478" s="343">
        <v>0</v>
      </c>
      <c r="L478" s="342">
        <v>0</v>
      </c>
      <c r="M478" s="342">
        <v>0</v>
      </c>
      <c r="N478" s="342">
        <v>280</v>
      </c>
      <c r="O478" s="342">
        <v>0</v>
      </c>
      <c r="P478" s="342">
        <v>521</v>
      </c>
      <c r="Q478" s="342">
        <v>96</v>
      </c>
      <c r="R478" s="344">
        <f t="shared" si="145"/>
        <v>1426</v>
      </c>
      <c r="S478" s="367">
        <f t="shared" si="146"/>
        <v>96</v>
      </c>
      <c r="T478" s="345">
        <f>SUM(G472:G478)</f>
        <v>0</v>
      </c>
      <c r="U478" s="345">
        <f>SUM(K472:K478)</f>
        <v>1</v>
      </c>
      <c r="V478" s="345">
        <f>SUM(O472:O478)</f>
        <v>105</v>
      </c>
      <c r="W478" s="345">
        <f>SUM(Q472:Q478)</f>
        <v>1369</v>
      </c>
      <c r="X478" s="345">
        <f>T478+U478+V478+W478</f>
        <v>1475</v>
      </c>
    </row>
    <row r="479" spans="1:24" ht="12.75">
      <c r="A479" s="346" t="s">
        <v>324</v>
      </c>
      <c r="B479" s="347" t="s">
        <v>148</v>
      </c>
      <c r="C479" s="347" t="s">
        <v>811</v>
      </c>
      <c r="D479" s="347">
        <v>2019</v>
      </c>
      <c r="E479" s="347" t="s">
        <v>775</v>
      </c>
      <c r="F479" s="348">
        <v>398</v>
      </c>
      <c r="G479" s="348">
        <v>0</v>
      </c>
      <c r="H479" s="348">
        <v>0</v>
      </c>
      <c r="I479" s="348">
        <v>0</v>
      </c>
      <c r="J479" s="348">
        <v>239</v>
      </c>
      <c r="K479" s="348">
        <v>0</v>
      </c>
      <c r="L479" s="348">
        <v>0</v>
      </c>
      <c r="M479" s="348">
        <v>0</v>
      </c>
      <c r="N479" s="348">
        <v>183</v>
      </c>
      <c r="O479" s="348">
        <v>111</v>
      </c>
      <c r="P479" s="348">
        <v>349</v>
      </c>
      <c r="Q479" s="348">
        <v>0</v>
      </c>
      <c r="R479" s="350">
        <f t="shared" si="145"/>
        <v>1169</v>
      </c>
      <c r="S479" s="348">
        <f t="shared" si="146"/>
        <v>111</v>
      </c>
      <c r="T479" s="348"/>
      <c r="U479" s="348"/>
      <c r="V479" s="348"/>
      <c r="W479" s="349"/>
      <c r="X479" s="349"/>
    </row>
    <row r="480" spans="1:24" ht="12.75">
      <c r="A480" s="346" t="s">
        <v>325</v>
      </c>
      <c r="B480" s="347" t="s">
        <v>148</v>
      </c>
      <c r="C480" s="347" t="s">
        <v>811</v>
      </c>
      <c r="D480" s="347">
        <v>2019</v>
      </c>
      <c r="E480" s="347" t="s">
        <v>775</v>
      </c>
      <c r="F480" s="348">
        <v>9706</v>
      </c>
      <c r="G480" s="348">
        <v>3</v>
      </c>
      <c r="H480" s="348">
        <v>3</v>
      </c>
      <c r="I480" s="348">
        <v>0</v>
      </c>
      <c r="J480" s="348">
        <v>5800</v>
      </c>
      <c r="K480" s="348">
        <v>13</v>
      </c>
      <c r="L480" s="348">
        <v>13</v>
      </c>
      <c r="M480" s="348">
        <v>0</v>
      </c>
      <c r="N480" s="348">
        <v>6453</v>
      </c>
      <c r="O480" s="348">
        <v>3</v>
      </c>
      <c r="P480" s="348">
        <v>14331</v>
      </c>
      <c r="Q480" s="348">
        <v>1673</v>
      </c>
      <c r="R480" s="350">
        <f t="shared" si="145"/>
        <v>36290</v>
      </c>
      <c r="S480" s="348">
        <f t="shared" si="146"/>
        <v>1692</v>
      </c>
      <c r="T480" s="348"/>
      <c r="U480" s="348"/>
      <c r="V480" s="348"/>
      <c r="W480" s="349"/>
      <c r="X480" s="349"/>
    </row>
    <row r="481" spans="1:24" ht="12.75">
      <c r="A481" s="346" t="s">
        <v>327</v>
      </c>
      <c r="B481" s="347" t="s">
        <v>148</v>
      </c>
      <c r="C481" s="347" t="s">
        <v>811</v>
      </c>
      <c r="D481" s="347">
        <v>2019</v>
      </c>
      <c r="E481" s="347" t="s">
        <v>775</v>
      </c>
      <c r="F481" s="348">
        <v>396</v>
      </c>
      <c r="G481" s="348">
        <v>0</v>
      </c>
      <c r="H481" s="348">
        <v>0</v>
      </c>
      <c r="I481" s="348">
        <v>0</v>
      </c>
      <c r="J481" s="348">
        <v>277</v>
      </c>
      <c r="K481" s="348">
        <v>0</v>
      </c>
      <c r="L481" s="348">
        <v>0</v>
      </c>
      <c r="M481" s="348">
        <v>0</v>
      </c>
      <c r="N481" s="348">
        <v>243</v>
      </c>
      <c r="O481" s="348">
        <v>63</v>
      </c>
      <c r="P481" s="348">
        <v>546</v>
      </c>
      <c r="Q481" s="348">
        <v>0</v>
      </c>
      <c r="R481" s="350">
        <f t="shared" si="145"/>
        <v>1462</v>
      </c>
      <c r="S481" s="348">
        <f t="shared" si="146"/>
        <v>63</v>
      </c>
      <c r="T481" s="348"/>
      <c r="U481" s="348"/>
      <c r="V481" s="348"/>
      <c r="W481" s="349"/>
      <c r="X481" s="349"/>
    </row>
    <row r="482" spans="1:24" ht="12.75">
      <c r="A482" s="346" t="s">
        <v>328</v>
      </c>
      <c r="B482" s="347" t="s">
        <v>148</v>
      </c>
      <c r="C482" s="347" t="s">
        <v>811</v>
      </c>
      <c r="D482" s="347">
        <v>2019</v>
      </c>
      <c r="E482" s="347" t="s">
        <v>775</v>
      </c>
      <c r="F482" s="348">
        <v>4888</v>
      </c>
      <c r="G482" s="348">
        <v>0</v>
      </c>
      <c r="H482" s="348">
        <v>0</v>
      </c>
      <c r="I482" s="348">
        <v>0</v>
      </c>
      <c r="J482" s="348">
        <v>3107</v>
      </c>
      <c r="K482" s="348">
        <v>77</v>
      </c>
      <c r="L482" s="348">
        <v>0</v>
      </c>
      <c r="M482" s="348">
        <v>77</v>
      </c>
      <c r="N482" s="348">
        <v>3126</v>
      </c>
      <c r="O482" s="348">
        <v>117</v>
      </c>
      <c r="P482" s="348">
        <v>10462</v>
      </c>
      <c r="Q482" s="348">
        <v>130</v>
      </c>
      <c r="R482" s="350">
        <f t="shared" si="145"/>
        <v>21583</v>
      </c>
      <c r="S482" s="348">
        <f t="shared" si="146"/>
        <v>324</v>
      </c>
      <c r="T482" s="348"/>
      <c r="U482" s="348"/>
      <c r="V482" s="348"/>
      <c r="W482" s="349"/>
      <c r="X482" s="349"/>
    </row>
    <row r="483" spans="1:24" ht="12.75">
      <c r="A483" s="346" t="s">
        <v>329</v>
      </c>
      <c r="B483" s="347" t="s">
        <v>148</v>
      </c>
      <c r="C483" s="347" t="s">
        <v>811</v>
      </c>
      <c r="D483" s="347">
        <v>2019</v>
      </c>
      <c r="E483" s="347" t="s">
        <v>775</v>
      </c>
      <c r="F483" s="348">
        <v>11</v>
      </c>
      <c r="G483" s="348">
        <v>0</v>
      </c>
      <c r="H483" s="348">
        <v>0</v>
      </c>
      <c r="I483" s="348">
        <v>0</v>
      </c>
      <c r="J483" s="348">
        <v>5</v>
      </c>
      <c r="K483" s="348">
        <v>0</v>
      </c>
      <c r="L483" s="348">
        <v>0</v>
      </c>
      <c r="M483" s="348">
        <v>0</v>
      </c>
      <c r="N483" s="348">
        <v>6</v>
      </c>
      <c r="O483" s="348">
        <v>0</v>
      </c>
      <c r="P483" s="348">
        <v>14</v>
      </c>
      <c r="Q483" s="348">
        <v>0</v>
      </c>
      <c r="R483" s="350">
        <f t="shared" si="145"/>
        <v>36</v>
      </c>
      <c r="S483" s="348">
        <f t="shared" si="146"/>
        <v>0</v>
      </c>
      <c r="T483" s="348"/>
      <c r="U483" s="348"/>
      <c r="V483" s="348"/>
      <c r="W483" s="349"/>
      <c r="X483" s="349"/>
    </row>
    <row r="484" spans="1:24" ht="12.75">
      <c r="A484" s="346" t="s">
        <v>330</v>
      </c>
      <c r="B484" s="347" t="s">
        <v>148</v>
      </c>
      <c r="C484" s="347" t="s">
        <v>811</v>
      </c>
      <c r="D484" s="347">
        <v>2019</v>
      </c>
      <c r="E484" s="347" t="s">
        <v>775</v>
      </c>
      <c r="F484" s="348">
        <v>93</v>
      </c>
      <c r="G484" s="348">
        <v>0</v>
      </c>
      <c r="H484" s="348">
        <v>0</v>
      </c>
      <c r="I484" s="348">
        <v>0</v>
      </c>
      <c r="J484" s="348">
        <v>73</v>
      </c>
      <c r="K484" s="348">
        <v>0</v>
      </c>
      <c r="L484" s="348">
        <v>0</v>
      </c>
      <c r="M484" s="348">
        <v>0</v>
      </c>
      <c r="N484" s="348">
        <v>66</v>
      </c>
      <c r="O484" s="348">
        <v>0</v>
      </c>
      <c r="P484" s="348">
        <v>79</v>
      </c>
      <c r="Q484" s="348">
        <v>7</v>
      </c>
      <c r="R484" s="350">
        <f t="shared" si="145"/>
        <v>311</v>
      </c>
      <c r="S484" s="348">
        <f t="shared" si="146"/>
        <v>7</v>
      </c>
      <c r="T484" s="348"/>
      <c r="U484" s="348"/>
      <c r="V484" s="348"/>
      <c r="W484" s="349"/>
      <c r="X484" s="349"/>
    </row>
    <row r="485" spans="1:24" ht="12.75">
      <c r="A485" s="346" t="s">
        <v>333</v>
      </c>
      <c r="B485" s="347" t="s">
        <v>148</v>
      </c>
      <c r="C485" s="347" t="s">
        <v>811</v>
      </c>
      <c r="D485" s="347">
        <v>2019</v>
      </c>
      <c r="E485" s="347" t="s">
        <v>775</v>
      </c>
      <c r="F485" s="348">
        <v>52</v>
      </c>
      <c r="G485" s="348">
        <v>0</v>
      </c>
      <c r="H485" s="348">
        <v>0</v>
      </c>
      <c r="I485" s="348">
        <v>0</v>
      </c>
      <c r="J485" s="348">
        <v>26</v>
      </c>
      <c r="K485" s="348">
        <v>0</v>
      </c>
      <c r="L485" s="348">
        <v>0</v>
      </c>
      <c r="M485" s="348">
        <v>0</v>
      </c>
      <c r="N485" s="348">
        <v>30</v>
      </c>
      <c r="O485" s="348">
        <v>5</v>
      </c>
      <c r="P485" s="348">
        <v>146</v>
      </c>
      <c r="Q485" s="348">
        <v>7</v>
      </c>
      <c r="R485" s="350">
        <f t="shared" si="145"/>
        <v>254</v>
      </c>
      <c r="S485" s="348">
        <f t="shared" si="146"/>
        <v>12</v>
      </c>
      <c r="T485" s="348"/>
      <c r="U485" s="348"/>
      <c r="V485" s="348"/>
      <c r="W485" s="349"/>
      <c r="X485" s="349"/>
    </row>
    <row r="486" spans="1:24" ht="12.75">
      <c r="A486" s="346" t="s">
        <v>334</v>
      </c>
      <c r="B486" s="347" t="s">
        <v>148</v>
      </c>
      <c r="C486" s="347" t="s">
        <v>811</v>
      </c>
      <c r="D486" s="347">
        <v>2019</v>
      </c>
      <c r="E486" s="347" t="s">
        <v>775</v>
      </c>
      <c r="F486" s="348">
        <v>127</v>
      </c>
      <c r="G486" s="348">
        <v>0</v>
      </c>
      <c r="H486" s="348">
        <v>0</v>
      </c>
      <c r="I486" s="348">
        <v>0</v>
      </c>
      <c r="J486" s="348">
        <v>64</v>
      </c>
      <c r="K486" s="348">
        <v>0</v>
      </c>
      <c r="L486" s="348">
        <v>0</v>
      </c>
      <c r="M486" s="348">
        <v>0</v>
      </c>
      <c r="N486" s="348">
        <v>88</v>
      </c>
      <c r="O486" s="348">
        <v>0</v>
      </c>
      <c r="P486" s="348">
        <v>216</v>
      </c>
      <c r="Q486" s="348">
        <v>6</v>
      </c>
      <c r="R486" s="350">
        <f t="shared" si="145"/>
        <v>495</v>
      </c>
      <c r="S486" s="348">
        <f t="shared" si="146"/>
        <v>6</v>
      </c>
      <c r="T486" s="348"/>
      <c r="U486" s="348"/>
      <c r="V486" s="348"/>
      <c r="W486" s="349"/>
      <c r="X486" s="349"/>
    </row>
    <row r="487" spans="1:24" ht="12.75">
      <c r="A487" s="346" t="s">
        <v>335</v>
      </c>
      <c r="B487" s="347" t="s">
        <v>148</v>
      </c>
      <c r="C487" s="347" t="s">
        <v>811</v>
      </c>
      <c r="D487" s="347">
        <v>2019</v>
      </c>
      <c r="E487" s="347" t="s">
        <v>775</v>
      </c>
      <c r="F487" s="348">
        <v>350</v>
      </c>
      <c r="G487" s="348">
        <v>0</v>
      </c>
      <c r="H487" s="348">
        <v>0</v>
      </c>
      <c r="I487" s="348">
        <v>0</v>
      </c>
      <c r="J487" s="348">
        <v>275</v>
      </c>
      <c r="K487" s="348">
        <v>24</v>
      </c>
      <c r="L487" s="348">
        <v>0</v>
      </c>
      <c r="M487" s="348">
        <v>24</v>
      </c>
      <c r="N487" s="348">
        <v>280</v>
      </c>
      <c r="O487" s="348">
        <v>8</v>
      </c>
      <c r="P487" s="348">
        <v>521</v>
      </c>
      <c r="Q487" s="348">
        <v>50</v>
      </c>
      <c r="R487" s="350">
        <f t="shared" si="145"/>
        <v>1426</v>
      </c>
      <c r="S487" s="348">
        <f t="shared" si="146"/>
        <v>82</v>
      </c>
      <c r="T487" s="352">
        <f>SUM(G479:G487)</f>
        <v>3</v>
      </c>
      <c r="U487" s="352">
        <f>SUM(K479:K487)</f>
        <v>114</v>
      </c>
      <c r="V487" s="352">
        <f>SUM(O479:O487)</f>
        <v>307</v>
      </c>
      <c r="W487" s="352">
        <f>SUM(Q479:Q487)</f>
        <v>1873</v>
      </c>
      <c r="X487" s="352">
        <f>T487+U487+V487+W487</f>
        <v>2297</v>
      </c>
    </row>
    <row r="488" spans="1:24" ht="12.75">
      <c r="A488" s="389"/>
      <c r="B488" s="390"/>
      <c r="C488" s="390"/>
      <c r="D488" s="390"/>
      <c r="E488" s="390"/>
      <c r="F488" s="391"/>
      <c r="G488" s="391"/>
      <c r="H488" s="392"/>
      <c r="I488" s="391"/>
      <c r="J488" s="391"/>
      <c r="K488" s="391"/>
      <c r="L488" s="391"/>
      <c r="M488" s="391"/>
      <c r="N488" s="391"/>
      <c r="O488" s="391"/>
      <c r="P488" s="391"/>
      <c r="Q488" s="392"/>
      <c r="R488" s="393"/>
      <c r="S488" s="361" t="s">
        <v>783</v>
      </c>
      <c r="T488" s="356">
        <f t="shared" ref="T488:X488" si="147">SUM(T454:T487)</f>
        <v>294</v>
      </c>
      <c r="U488" s="356">
        <f t="shared" si="147"/>
        <v>371</v>
      </c>
      <c r="V488" s="356">
        <f t="shared" si="147"/>
        <v>5062</v>
      </c>
      <c r="W488" s="356">
        <f t="shared" si="147"/>
        <v>6620</v>
      </c>
      <c r="X488" s="356">
        <f t="shared" si="147"/>
        <v>12347</v>
      </c>
    </row>
    <row r="489" spans="1:24" ht="12.75">
      <c r="A489" s="220"/>
      <c r="B489" s="221"/>
      <c r="C489" s="221"/>
      <c r="D489" s="221"/>
      <c r="E489" s="221"/>
      <c r="F489" s="353"/>
      <c r="G489" s="353"/>
      <c r="H489" s="354"/>
      <c r="I489" s="353"/>
      <c r="J489" s="353"/>
      <c r="K489" s="353"/>
      <c r="L489" s="353"/>
      <c r="M489" s="353"/>
      <c r="N489" s="353"/>
      <c r="O489" s="353"/>
      <c r="P489" s="353"/>
      <c r="Q489" s="354"/>
      <c r="R489" s="182"/>
      <c r="S489" s="362"/>
      <c r="T489" s="92"/>
      <c r="U489" s="92"/>
      <c r="V489" s="92"/>
      <c r="W489" s="92"/>
      <c r="X489" s="92"/>
    </row>
    <row r="490" spans="1:24" ht="12.75">
      <c r="A490" s="332" t="s">
        <v>336</v>
      </c>
      <c r="B490" s="333" t="s">
        <v>149</v>
      </c>
      <c r="C490" s="333" t="s">
        <v>819</v>
      </c>
      <c r="D490" s="333">
        <v>2017</v>
      </c>
      <c r="E490" s="333" t="s">
        <v>775</v>
      </c>
      <c r="F490" s="334">
        <v>145</v>
      </c>
      <c r="G490" s="334">
        <v>0</v>
      </c>
      <c r="H490" s="335">
        <v>0</v>
      </c>
      <c r="I490" s="334">
        <v>0</v>
      </c>
      <c r="J490" s="334">
        <v>108</v>
      </c>
      <c r="K490" s="334">
        <v>2</v>
      </c>
      <c r="L490" s="334">
        <v>2</v>
      </c>
      <c r="M490" s="334">
        <v>0</v>
      </c>
      <c r="N490" s="334">
        <v>115</v>
      </c>
      <c r="O490" s="334">
        <v>6</v>
      </c>
      <c r="P490" s="334">
        <v>271</v>
      </c>
      <c r="Q490" s="335">
        <v>0</v>
      </c>
      <c r="R490" s="336">
        <f t="shared" ref="R490:R499" si="148">F490+J490+N490+P490</f>
        <v>639</v>
      </c>
      <c r="S490" s="366">
        <f t="shared" ref="S490:S499" si="149">K490+O490+G490+Q490</f>
        <v>8</v>
      </c>
      <c r="T490" s="336"/>
      <c r="U490" s="336"/>
      <c r="V490" s="336"/>
      <c r="W490" s="336"/>
      <c r="X490" s="336"/>
    </row>
    <row r="491" spans="1:24" ht="12.75">
      <c r="A491" s="332" t="s">
        <v>339</v>
      </c>
      <c r="B491" s="333" t="s">
        <v>149</v>
      </c>
      <c r="C491" s="333" t="s">
        <v>819</v>
      </c>
      <c r="D491" s="333">
        <v>2017</v>
      </c>
      <c r="E491" s="333" t="s">
        <v>775</v>
      </c>
      <c r="F491" s="334">
        <v>186</v>
      </c>
      <c r="G491" s="334">
        <v>0</v>
      </c>
      <c r="H491" s="335">
        <v>0</v>
      </c>
      <c r="I491" s="334">
        <v>0</v>
      </c>
      <c r="J491" s="334">
        <v>138</v>
      </c>
      <c r="K491" s="334">
        <v>8</v>
      </c>
      <c r="L491" s="334">
        <v>8</v>
      </c>
      <c r="M491" s="334">
        <v>0</v>
      </c>
      <c r="N491" s="334">
        <v>147</v>
      </c>
      <c r="O491" s="334">
        <v>1</v>
      </c>
      <c r="P491" s="334">
        <v>347</v>
      </c>
      <c r="Q491" s="335">
        <v>8</v>
      </c>
      <c r="R491" s="336">
        <f t="shared" si="148"/>
        <v>818</v>
      </c>
      <c r="S491" s="366">
        <f t="shared" si="149"/>
        <v>17</v>
      </c>
      <c r="T491" s="339">
        <f>SUM(G490:G491)</f>
        <v>0</v>
      </c>
      <c r="U491" s="339">
        <f>SUM(K490:K491)</f>
        <v>10</v>
      </c>
      <c r="V491" s="339">
        <f>SUM(O490:O491)</f>
        <v>7</v>
      </c>
      <c r="W491" s="339">
        <f>SUM(Q490:Q491)</f>
        <v>8</v>
      </c>
      <c r="X491" s="339">
        <f>T491+U491+V491+W491</f>
        <v>25</v>
      </c>
    </row>
    <row r="492" spans="1:24" ht="12.75">
      <c r="A492" s="340" t="s">
        <v>336</v>
      </c>
      <c r="B492" s="341" t="s">
        <v>149</v>
      </c>
      <c r="C492" s="341" t="s">
        <v>819</v>
      </c>
      <c r="D492" s="341">
        <v>2018</v>
      </c>
      <c r="E492" s="341" t="s">
        <v>775</v>
      </c>
      <c r="F492" s="342">
        <v>145</v>
      </c>
      <c r="G492" s="343">
        <v>0</v>
      </c>
      <c r="H492" s="342">
        <v>0</v>
      </c>
      <c r="I492" s="342">
        <v>0</v>
      </c>
      <c r="J492" s="342">
        <v>108</v>
      </c>
      <c r="K492" s="343">
        <v>36</v>
      </c>
      <c r="L492" s="342">
        <v>36</v>
      </c>
      <c r="M492" s="342">
        <v>0</v>
      </c>
      <c r="N492" s="342">
        <v>115</v>
      </c>
      <c r="O492" s="342">
        <v>15</v>
      </c>
      <c r="P492" s="342">
        <v>271</v>
      </c>
      <c r="Q492" s="342">
        <v>0</v>
      </c>
      <c r="R492" s="344">
        <f t="shared" si="148"/>
        <v>639</v>
      </c>
      <c r="S492" s="367">
        <f t="shared" si="149"/>
        <v>51</v>
      </c>
      <c r="T492" s="344"/>
      <c r="U492" s="344"/>
      <c r="V492" s="344"/>
      <c r="W492" s="344"/>
      <c r="X492" s="344"/>
    </row>
    <row r="493" spans="1:24" ht="12.75">
      <c r="A493" s="340" t="s">
        <v>338</v>
      </c>
      <c r="B493" s="341" t="s">
        <v>149</v>
      </c>
      <c r="C493" s="341" t="s">
        <v>819</v>
      </c>
      <c r="D493" s="341">
        <v>2018</v>
      </c>
      <c r="E493" s="341" t="s">
        <v>775</v>
      </c>
      <c r="F493" s="342">
        <v>1097</v>
      </c>
      <c r="G493" s="343">
        <v>0</v>
      </c>
      <c r="H493" s="342">
        <v>0</v>
      </c>
      <c r="I493" s="342">
        <v>0</v>
      </c>
      <c r="J493" s="342">
        <v>821</v>
      </c>
      <c r="K493" s="343">
        <v>0</v>
      </c>
      <c r="L493" s="342">
        <v>0</v>
      </c>
      <c r="M493" s="342">
        <v>0</v>
      </c>
      <c r="N493" s="342">
        <v>865</v>
      </c>
      <c r="O493" s="342">
        <v>0</v>
      </c>
      <c r="P493" s="342">
        <v>2049</v>
      </c>
      <c r="Q493" s="342">
        <v>202</v>
      </c>
      <c r="R493" s="344">
        <f t="shared" si="148"/>
        <v>4832</v>
      </c>
      <c r="S493" s="367">
        <f t="shared" si="149"/>
        <v>202</v>
      </c>
      <c r="T493" s="344"/>
      <c r="U493" s="344"/>
      <c r="V493" s="344"/>
      <c r="W493" s="344"/>
      <c r="X493" s="344"/>
    </row>
    <row r="494" spans="1:24" ht="12.75">
      <c r="A494" s="340" t="s">
        <v>339</v>
      </c>
      <c r="B494" s="341" t="s">
        <v>149</v>
      </c>
      <c r="C494" s="341" t="s">
        <v>819</v>
      </c>
      <c r="D494" s="341">
        <v>2018</v>
      </c>
      <c r="E494" s="341" t="s">
        <v>775</v>
      </c>
      <c r="F494" s="342">
        <v>186</v>
      </c>
      <c r="G494" s="343">
        <v>0</v>
      </c>
      <c r="H494" s="342">
        <v>0</v>
      </c>
      <c r="I494" s="342">
        <v>0</v>
      </c>
      <c r="J494" s="342">
        <v>138</v>
      </c>
      <c r="K494" s="343">
        <v>11</v>
      </c>
      <c r="L494" s="342">
        <v>0</v>
      </c>
      <c r="M494" s="342">
        <v>11</v>
      </c>
      <c r="N494" s="342">
        <v>147</v>
      </c>
      <c r="O494" s="342">
        <v>1</v>
      </c>
      <c r="P494" s="342">
        <v>347</v>
      </c>
      <c r="Q494" s="342">
        <v>8</v>
      </c>
      <c r="R494" s="344">
        <f t="shared" si="148"/>
        <v>818</v>
      </c>
      <c r="S494" s="367">
        <f t="shared" si="149"/>
        <v>20</v>
      </c>
      <c r="T494" s="345">
        <f>SUM(G492:G494)</f>
        <v>0</v>
      </c>
      <c r="U494" s="345">
        <f>SUM(K492:K494)</f>
        <v>47</v>
      </c>
      <c r="V494" s="345">
        <f>SUM(O492:O494)</f>
        <v>16</v>
      </c>
      <c r="W494" s="345">
        <f>SUM(Q492:Q494)</f>
        <v>210</v>
      </c>
      <c r="X494" s="345">
        <f>T494+U494+V494+W494</f>
        <v>273</v>
      </c>
    </row>
    <row r="495" spans="1:24" ht="12.75">
      <c r="A495" s="346" t="s">
        <v>336</v>
      </c>
      <c r="B495" s="347" t="s">
        <v>149</v>
      </c>
      <c r="C495" s="347" t="s">
        <v>820</v>
      </c>
      <c r="D495" s="347">
        <v>2019</v>
      </c>
      <c r="E495" s="347" t="s">
        <v>775</v>
      </c>
      <c r="F495" s="348">
        <v>145</v>
      </c>
      <c r="G495" s="348">
        <v>0</v>
      </c>
      <c r="H495" s="348">
        <v>0</v>
      </c>
      <c r="I495" s="348">
        <v>0</v>
      </c>
      <c r="J495" s="348">
        <v>108</v>
      </c>
      <c r="K495" s="348">
        <v>1</v>
      </c>
      <c r="L495" s="348">
        <v>1</v>
      </c>
      <c r="M495" s="348">
        <v>0</v>
      </c>
      <c r="N495" s="348">
        <v>115</v>
      </c>
      <c r="O495" s="348">
        <v>16</v>
      </c>
      <c r="P495" s="348">
        <v>271</v>
      </c>
      <c r="Q495" s="348">
        <v>0</v>
      </c>
      <c r="R495" s="350">
        <f t="shared" si="148"/>
        <v>639</v>
      </c>
      <c r="S495" s="348">
        <f t="shared" si="149"/>
        <v>17</v>
      </c>
      <c r="T495" s="348"/>
      <c r="U495" s="348"/>
      <c r="V495" s="348"/>
      <c r="W495" s="349"/>
      <c r="X495" s="349"/>
    </row>
    <row r="496" spans="1:24" ht="12.75">
      <c r="A496" s="346" t="s">
        <v>337</v>
      </c>
      <c r="B496" s="347" t="s">
        <v>149</v>
      </c>
      <c r="C496" s="347" t="s">
        <v>820</v>
      </c>
      <c r="D496" s="347">
        <v>2019</v>
      </c>
      <c r="E496" s="347" t="s">
        <v>775</v>
      </c>
      <c r="F496" s="348">
        <v>215</v>
      </c>
      <c r="G496" s="348">
        <v>0</v>
      </c>
      <c r="H496" s="348">
        <v>0</v>
      </c>
      <c r="I496" s="348">
        <v>0</v>
      </c>
      <c r="J496" s="348">
        <v>161</v>
      </c>
      <c r="K496" s="348">
        <v>0</v>
      </c>
      <c r="L496" s="348">
        <v>0</v>
      </c>
      <c r="M496" s="348">
        <v>0</v>
      </c>
      <c r="N496" s="348">
        <v>169</v>
      </c>
      <c r="O496" s="348">
        <v>0</v>
      </c>
      <c r="P496" s="348">
        <v>401</v>
      </c>
      <c r="Q496" s="348">
        <v>0</v>
      </c>
      <c r="R496" s="350">
        <f t="shared" si="148"/>
        <v>946</v>
      </c>
      <c r="S496" s="348">
        <f t="shared" si="149"/>
        <v>0</v>
      </c>
      <c r="T496" s="348"/>
      <c r="U496" s="348"/>
      <c r="V496" s="348"/>
      <c r="W496" s="349"/>
      <c r="X496" s="349"/>
    </row>
    <row r="497" spans="1:24" ht="12.75">
      <c r="A497" s="346" t="s">
        <v>338</v>
      </c>
      <c r="B497" s="347" t="s">
        <v>149</v>
      </c>
      <c r="C497" s="347" t="s">
        <v>820</v>
      </c>
      <c r="D497" s="347">
        <v>2019</v>
      </c>
      <c r="E497" s="347" t="s">
        <v>775</v>
      </c>
      <c r="F497" s="348">
        <v>1097</v>
      </c>
      <c r="G497" s="348">
        <v>0</v>
      </c>
      <c r="H497" s="348">
        <v>0</v>
      </c>
      <c r="I497" s="348">
        <v>0</v>
      </c>
      <c r="J497" s="348">
        <v>821</v>
      </c>
      <c r="K497" s="348">
        <v>0</v>
      </c>
      <c r="L497" s="348">
        <v>0</v>
      </c>
      <c r="M497" s="348">
        <v>0</v>
      </c>
      <c r="N497" s="348">
        <v>865</v>
      </c>
      <c r="O497" s="348">
        <v>25</v>
      </c>
      <c r="P497" s="348">
        <v>2049</v>
      </c>
      <c r="Q497" s="348">
        <v>214</v>
      </c>
      <c r="R497" s="350">
        <f t="shared" si="148"/>
        <v>4832</v>
      </c>
      <c r="S497" s="348">
        <f t="shared" si="149"/>
        <v>239</v>
      </c>
      <c r="T497" s="348"/>
      <c r="U497" s="348"/>
      <c r="V497" s="348"/>
      <c r="W497" s="349"/>
      <c r="X497" s="349"/>
    </row>
    <row r="498" spans="1:24" ht="12.75">
      <c r="A498" s="346" t="s">
        <v>339</v>
      </c>
      <c r="B498" s="347" t="s">
        <v>149</v>
      </c>
      <c r="C498" s="347" t="s">
        <v>820</v>
      </c>
      <c r="D498" s="347">
        <v>2019</v>
      </c>
      <c r="E498" s="347" t="s">
        <v>775</v>
      </c>
      <c r="F498" s="348">
        <v>186</v>
      </c>
      <c r="G498" s="348">
        <v>0</v>
      </c>
      <c r="H498" s="348">
        <v>0</v>
      </c>
      <c r="I498" s="348">
        <v>0</v>
      </c>
      <c r="J498" s="348">
        <v>138</v>
      </c>
      <c r="K498" s="348">
        <v>12</v>
      </c>
      <c r="L498" s="348">
        <v>0</v>
      </c>
      <c r="M498" s="348">
        <v>12</v>
      </c>
      <c r="N498" s="348">
        <v>147</v>
      </c>
      <c r="O498" s="348">
        <v>2</v>
      </c>
      <c r="P498" s="348">
        <v>347</v>
      </c>
      <c r="Q498" s="348">
        <v>8</v>
      </c>
      <c r="R498" s="350">
        <f t="shared" si="148"/>
        <v>818</v>
      </c>
      <c r="S498" s="348">
        <f t="shared" si="149"/>
        <v>22</v>
      </c>
      <c r="T498" s="348"/>
      <c r="U498" s="348"/>
      <c r="V498" s="348"/>
      <c r="W498" s="349"/>
      <c r="X498" s="349"/>
    </row>
    <row r="499" spans="1:24" ht="12.75">
      <c r="A499" s="346" t="s">
        <v>340</v>
      </c>
      <c r="B499" s="347" t="s">
        <v>149</v>
      </c>
      <c r="C499" s="347" t="s">
        <v>820</v>
      </c>
      <c r="D499" s="347">
        <v>2019</v>
      </c>
      <c r="E499" s="347" t="s">
        <v>775</v>
      </c>
      <c r="F499" s="348">
        <v>677</v>
      </c>
      <c r="G499" s="348">
        <v>0</v>
      </c>
      <c r="H499" s="348">
        <v>0</v>
      </c>
      <c r="I499" s="348">
        <v>0</v>
      </c>
      <c r="J499" s="348">
        <v>507</v>
      </c>
      <c r="K499" s="348">
        <v>0</v>
      </c>
      <c r="L499" s="348">
        <v>0</v>
      </c>
      <c r="M499" s="348">
        <v>0</v>
      </c>
      <c r="N499" s="348">
        <v>534</v>
      </c>
      <c r="O499" s="348">
        <v>26</v>
      </c>
      <c r="P499" s="348">
        <v>1267</v>
      </c>
      <c r="Q499" s="348">
        <v>119</v>
      </c>
      <c r="R499" s="350">
        <f t="shared" si="148"/>
        <v>2985</v>
      </c>
      <c r="S499" s="348">
        <f t="shared" si="149"/>
        <v>145</v>
      </c>
      <c r="T499" s="399">
        <f>SUM(G495:G499)</f>
        <v>0</v>
      </c>
      <c r="U499" s="399">
        <f>SUM(K495:K499)</f>
        <v>13</v>
      </c>
      <c r="V499" s="399">
        <f>SUM(O495:O499)</f>
        <v>69</v>
      </c>
      <c r="W499" s="399">
        <f>SUM(Q495:Q499)</f>
        <v>341</v>
      </c>
      <c r="X499" s="399">
        <f>T499+U499+V499+W499</f>
        <v>423</v>
      </c>
    </row>
    <row r="500" spans="1:24" ht="12.75">
      <c r="A500" s="394"/>
      <c r="B500" s="395"/>
      <c r="C500" s="395"/>
      <c r="D500" s="395"/>
      <c r="E500" s="395"/>
      <c r="F500" s="396"/>
      <c r="G500" s="396"/>
      <c r="H500" s="397"/>
      <c r="I500" s="396"/>
      <c r="J500" s="396"/>
      <c r="K500" s="396"/>
      <c r="L500" s="396"/>
      <c r="M500" s="396"/>
      <c r="N500" s="396"/>
      <c r="O500" s="396"/>
      <c r="P500" s="396"/>
      <c r="Q500" s="397"/>
      <c r="R500" s="398"/>
      <c r="S500" s="361" t="s">
        <v>783</v>
      </c>
      <c r="T500" s="356">
        <f t="shared" ref="T500:X500" si="150">SUM(T491:T499)</f>
        <v>0</v>
      </c>
      <c r="U500" s="356">
        <f t="shared" si="150"/>
        <v>70</v>
      </c>
      <c r="V500" s="356">
        <f t="shared" si="150"/>
        <v>92</v>
      </c>
      <c r="W500" s="356">
        <f t="shared" si="150"/>
        <v>559</v>
      </c>
      <c r="X500" s="356">
        <f t="shared" si="150"/>
        <v>721</v>
      </c>
    </row>
    <row r="501" spans="1:24" ht="12.75">
      <c r="A501" s="220"/>
      <c r="B501" s="221"/>
      <c r="C501" s="221"/>
      <c r="D501" s="221"/>
      <c r="E501" s="221"/>
      <c r="F501" s="353"/>
      <c r="G501" s="353"/>
      <c r="H501" s="354"/>
      <c r="I501" s="353"/>
      <c r="J501" s="353"/>
      <c r="K501" s="353"/>
      <c r="L501" s="353"/>
      <c r="M501" s="353"/>
      <c r="N501" s="353"/>
      <c r="O501" s="353"/>
      <c r="P501" s="353"/>
      <c r="Q501" s="354"/>
      <c r="R501" s="182"/>
      <c r="S501" s="362"/>
      <c r="T501" s="92"/>
      <c r="U501" s="92"/>
      <c r="V501" s="92"/>
      <c r="W501" s="92"/>
      <c r="X501" s="92"/>
    </row>
    <row r="502" spans="1:24" ht="12.75">
      <c r="A502" s="315" t="s">
        <v>341</v>
      </c>
      <c r="B502" s="316" t="s">
        <v>151</v>
      </c>
      <c r="C502" s="316" t="s">
        <v>784</v>
      </c>
      <c r="D502" s="316">
        <v>2015</v>
      </c>
      <c r="E502" s="316" t="s">
        <v>775</v>
      </c>
      <c r="F502" s="317">
        <v>108</v>
      </c>
      <c r="G502" s="317">
        <v>1</v>
      </c>
      <c r="H502" s="318">
        <v>1</v>
      </c>
      <c r="I502" s="317">
        <v>0</v>
      </c>
      <c r="J502" s="317">
        <v>67</v>
      </c>
      <c r="K502" s="317">
        <v>0</v>
      </c>
      <c r="L502" s="317">
        <v>0</v>
      </c>
      <c r="M502" s="317">
        <v>0</v>
      </c>
      <c r="N502" s="317">
        <v>87</v>
      </c>
      <c r="O502" s="317">
        <v>0</v>
      </c>
      <c r="P502" s="317">
        <v>205</v>
      </c>
      <c r="Q502" s="318">
        <v>1</v>
      </c>
      <c r="R502" s="319">
        <f t="shared" ref="R502:R509" si="151">F502+J502+N502+P502</f>
        <v>467</v>
      </c>
      <c r="S502" s="364">
        <f t="shared" ref="S502:S509" si="152">K502+O502+G502+Q502</f>
        <v>2</v>
      </c>
      <c r="T502" s="323">
        <f t="shared" ref="T502:T503" si="153">G502</f>
        <v>1</v>
      </c>
      <c r="U502" s="323">
        <f t="shared" ref="U502:U503" si="154">K502</f>
        <v>0</v>
      </c>
      <c r="V502" s="323">
        <f t="shared" ref="V502:V503" si="155">O502</f>
        <v>0</v>
      </c>
      <c r="W502" s="323">
        <f t="shared" ref="W502:W503" si="156">Q502</f>
        <v>1</v>
      </c>
      <c r="X502" s="323">
        <f t="shared" ref="X502:X503" si="157">T502+U502+V502+W502</f>
        <v>2</v>
      </c>
    </row>
    <row r="503" spans="1:24" ht="12.75">
      <c r="A503" s="324" t="s">
        <v>341</v>
      </c>
      <c r="B503" s="325" t="s">
        <v>151</v>
      </c>
      <c r="C503" s="325" t="s">
        <v>784</v>
      </c>
      <c r="D503" s="325">
        <v>2016</v>
      </c>
      <c r="E503" s="325" t="s">
        <v>775</v>
      </c>
      <c r="F503" s="326">
        <v>108</v>
      </c>
      <c r="G503" s="326">
        <v>0</v>
      </c>
      <c r="H503" s="327">
        <v>0</v>
      </c>
      <c r="I503" s="326">
        <v>0</v>
      </c>
      <c r="J503" s="326">
        <v>67</v>
      </c>
      <c r="K503" s="326">
        <v>0</v>
      </c>
      <c r="L503" s="326">
        <v>0</v>
      </c>
      <c r="M503" s="326">
        <v>0</v>
      </c>
      <c r="N503" s="326">
        <v>87</v>
      </c>
      <c r="O503" s="326">
        <v>1</v>
      </c>
      <c r="P503" s="326">
        <v>205</v>
      </c>
      <c r="Q503" s="327">
        <v>0</v>
      </c>
      <c r="R503" s="328">
        <f t="shared" si="151"/>
        <v>467</v>
      </c>
      <c r="S503" s="365">
        <f t="shared" si="152"/>
        <v>1</v>
      </c>
      <c r="T503" s="331">
        <f t="shared" si="153"/>
        <v>0</v>
      </c>
      <c r="U503" s="331">
        <f t="shared" si="154"/>
        <v>0</v>
      </c>
      <c r="V503" s="331">
        <f t="shared" si="155"/>
        <v>1</v>
      </c>
      <c r="W503" s="331">
        <f t="shared" si="156"/>
        <v>0</v>
      </c>
      <c r="X503" s="331">
        <f t="shared" si="157"/>
        <v>1</v>
      </c>
    </row>
    <row r="504" spans="1:24" ht="12.75">
      <c r="A504" s="332" t="s">
        <v>341</v>
      </c>
      <c r="B504" s="333" t="s">
        <v>151</v>
      </c>
      <c r="C504" s="333" t="s">
        <v>784</v>
      </c>
      <c r="D504" s="333">
        <v>2017</v>
      </c>
      <c r="E504" s="333" t="s">
        <v>775</v>
      </c>
      <c r="F504" s="334">
        <v>108</v>
      </c>
      <c r="G504" s="334">
        <v>1</v>
      </c>
      <c r="H504" s="335">
        <v>0</v>
      </c>
      <c r="I504" s="334">
        <v>1</v>
      </c>
      <c r="J504" s="334">
        <v>67</v>
      </c>
      <c r="K504" s="334">
        <v>1</v>
      </c>
      <c r="L504" s="334">
        <v>0</v>
      </c>
      <c r="M504" s="334">
        <v>1</v>
      </c>
      <c r="N504" s="334">
        <v>87</v>
      </c>
      <c r="O504" s="334">
        <v>0</v>
      </c>
      <c r="P504" s="334">
        <v>205</v>
      </c>
      <c r="Q504" s="335">
        <v>0</v>
      </c>
      <c r="R504" s="336">
        <f t="shared" si="151"/>
        <v>467</v>
      </c>
      <c r="S504" s="366">
        <f t="shared" si="152"/>
        <v>2</v>
      </c>
      <c r="T504" s="336"/>
      <c r="U504" s="336"/>
      <c r="V504" s="336"/>
      <c r="W504" s="336"/>
      <c r="X504" s="336"/>
    </row>
    <row r="505" spans="1:24" ht="12.75">
      <c r="A505" s="332" t="s">
        <v>343</v>
      </c>
      <c r="B505" s="333" t="s">
        <v>151</v>
      </c>
      <c r="C505" s="333" t="s">
        <v>784</v>
      </c>
      <c r="D505" s="333">
        <v>2017</v>
      </c>
      <c r="E505" s="333" t="s">
        <v>775</v>
      </c>
      <c r="F505" s="334">
        <v>34</v>
      </c>
      <c r="G505" s="334">
        <v>0</v>
      </c>
      <c r="H505" s="335">
        <v>0</v>
      </c>
      <c r="I505" s="334">
        <v>0</v>
      </c>
      <c r="J505" s="334">
        <v>22</v>
      </c>
      <c r="K505" s="334">
        <v>0</v>
      </c>
      <c r="L505" s="334">
        <v>0</v>
      </c>
      <c r="M505" s="334">
        <v>0</v>
      </c>
      <c r="N505" s="334">
        <v>27</v>
      </c>
      <c r="O505" s="334">
        <v>0</v>
      </c>
      <c r="P505" s="334">
        <v>64</v>
      </c>
      <c r="Q505" s="335">
        <v>4</v>
      </c>
      <c r="R505" s="336">
        <f t="shared" si="151"/>
        <v>147</v>
      </c>
      <c r="S505" s="366">
        <f t="shared" si="152"/>
        <v>4</v>
      </c>
      <c r="T505" s="339">
        <f>SUM(G504:G505)</f>
        <v>1</v>
      </c>
      <c r="U505" s="339">
        <f>SUM(K504:K505)</f>
        <v>1</v>
      </c>
      <c r="V505" s="339">
        <f>SUM(O504:O505)</f>
        <v>0</v>
      </c>
      <c r="W505" s="339">
        <f>SUM(Q504:Q505)</f>
        <v>4</v>
      </c>
      <c r="X505" s="339">
        <f>T505+U505+V505+W505</f>
        <v>6</v>
      </c>
    </row>
    <row r="506" spans="1:24" ht="12.75">
      <c r="A506" s="340" t="s">
        <v>341</v>
      </c>
      <c r="B506" s="341" t="s">
        <v>151</v>
      </c>
      <c r="C506" s="341" t="s">
        <v>784</v>
      </c>
      <c r="D506" s="341">
        <v>2018</v>
      </c>
      <c r="E506" s="341" t="s">
        <v>775</v>
      </c>
      <c r="F506" s="342">
        <v>108</v>
      </c>
      <c r="G506" s="343">
        <v>1</v>
      </c>
      <c r="H506" s="342">
        <v>0</v>
      </c>
      <c r="I506" s="342">
        <v>1</v>
      </c>
      <c r="J506" s="342">
        <v>67</v>
      </c>
      <c r="K506" s="343">
        <v>1</v>
      </c>
      <c r="L506" s="342">
        <v>0</v>
      </c>
      <c r="M506" s="342">
        <v>1</v>
      </c>
      <c r="N506" s="342">
        <v>87</v>
      </c>
      <c r="O506" s="342">
        <v>2</v>
      </c>
      <c r="P506" s="342">
        <v>205</v>
      </c>
      <c r="Q506" s="342">
        <v>5</v>
      </c>
      <c r="R506" s="344">
        <f t="shared" si="151"/>
        <v>467</v>
      </c>
      <c r="S506" s="367">
        <f t="shared" si="152"/>
        <v>9</v>
      </c>
      <c r="T506" s="344"/>
      <c r="U506" s="344"/>
      <c r="V506" s="344"/>
      <c r="W506" s="344"/>
      <c r="X506" s="344"/>
    </row>
    <row r="507" spans="1:24" ht="12.75">
      <c r="A507" s="340" t="s">
        <v>342</v>
      </c>
      <c r="B507" s="341" t="s">
        <v>151</v>
      </c>
      <c r="C507" s="341" t="s">
        <v>784</v>
      </c>
      <c r="D507" s="341">
        <v>2018</v>
      </c>
      <c r="E507" s="341" t="s">
        <v>775</v>
      </c>
      <c r="F507" s="342">
        <v>368</v>
      </c>
      <c r="G507" s="343">
        <v>8</v>
      </c>
      <c r="H507" s="342">
        <v>0</v>
      </c>
      <c r="I507" s="342">
        <v>8</v>
      </c>
      <c r="J507" s="342">
        <v>231</v>
      </c>
      <c r="K507" s="343">
        <v>17</v>
      </c>
      <c r="L507" s="342">
        <v>0</v>
      </c>
      <c r="M507" s="342">
        <v>17</v>
      </c>
      <c r="N507" s="342">
        <v>256</v>
      </c>
      <c r="O507" s="342">
        <v>22</v>
      </c>
      <c r="P507" s="342">
        <v>601</v>
      </c>
      <c r="Q507" s="342">
        <v>16</v>
      </c>
      <c r="R507" s="344">
        <f t="shared" si="151"/>
        <v>1456</v>
      </c>
      <c r="S507" s="367">
        <f t="shared" si="152"/>
        <v>63</v>
      </c>
      <c r="T507" s="345">
        <f>SUM(G506:G507)</f>
        <v>9</v>
      </c>
      <c r="U507" s="345">
        <f>SUM(K506:K507)</f>
        <v>18</v>
      </c>
      <c r="V507" s="345">
        <f>SUM(O506:O507)</f>
        <v>24</v>
      </c>
      <c r="W507" s="345">
        <f>SUM(Q506:Q507)</f>
        <v>21</v>
      </c>
      <c r="X507" s="345">
        <f>T507+U507+V507+W507</f>
        <v>72</v>
      </c>
    </row>
    <row r="508" spans="1:24" ht="12.75">
      <c r="A508" s="346" t="s">
        <v>341</v>
      </c>
      <c r="B508" s="347" t="s">
        <v>151</v>
      </c>
      <c r="C508" s="347" t="s">
        <v>785</v>
      </c>
      <c r="D508" s="347">
        <v>2019</v>
      </c>
      <c r="E508" s="347" t="s">
        <v>775</v>
      </c>
      <c r="F508" s="348">
        <v>108</v>
      </c>
      <c r="G508" s="348">
        <v>5</v>
      </c>
      <c r="H508" s="348">
        <v>0</v>
      </c>
      <c r="I508" s="348">
        <v>5</v>
      </c>
      <c r="J508" s="348">
        <v>67</v>
      </c>
      <c r="K508" s="348">
        <v>0</v>
      </c>
      <c r="L508" s="348">
        <v>0</v>
      </c>
      <c r="M508" s="348">
        <v>0</v>
      </c>
      <c r="N508" s="348">
        <v>87</v>
      </c>
      <c r="O508" s="348">
        <v>5</v>
      </c>
      <c r="P508" s="348">
        <v>205</v>
      </c>
      <c r="Q508" s="348">
        <v>5</v>
      </c>
      <c r="R508" s="350">
        <f t="shared" si="151"/>
        <v>467</v>
      </c>
      <c r="S508" s="348">
        <f t="shared" si="152"/>
        <v>15</v>
      </c>
      <c r="T508" s="348"/>
      <c r="U508" s="348"/>
      <c r="V508" s="348"/>
      <c r="W508" s="349"/>
      <c r="X508" s="349"/>
    </row>
    <row r="509" spans="1:24" ht="12.75">
      <c r="A509" s="346" t="s">
        <v>343</v>
      </c>
      <c r="B509" s="347" t="s">
        <v>151</v>
      </c>
      <c r="C509" s="347" t="s">
        <v>785</v>
      </c>
      <c r="D509" s="347">
        <v>2019</v>
      </c>
      <c r="E509" s="347" t="s">
        <v>775</v>
      </c>
      <c r="F509" s="348">
        <v>34</v>
      </c>
      <c r="G509" s="348">
        <v>0</v>
      </c>
      <c r="H509" s="348">
        <v>0</v>
      </c>
      <c r="I509" s="348">
        <v>0</v>
      </c>
      <c r="J509" s="348">
        <v>22</v>
      </c>
      <c r="K509" s="348">
        <v>0</v>
      </c>
      <c r="L509" s="348">
        <v>0</v>
      </c>
      <c r="M509" s="348">
        <v>0</v>
      </c>
      <c r="N509" s="348">
        <v>27</v>
      </c>
      <c r="O509" s="348">
        <v>0</v>
      </c>
      <c r="P509" s="348">
        <v>64</v>
      </c>
      <c r="Q509" s="348">
        <v>0</v>
      </c>
      <c r="R509" s="350">
        <f t="shared" si="151"/>
        <v>147</v>
      </c>
      <c r="S509" s="348">
        <f t="shared" si="152"/>
        <v>0</v>
      </c>
      <c r="T509" s="352">
        <f>SUM(G508:G509)</f>
        <v>5</v>
      </c>
      <c r="U509" s="352">
        <f>SUM(K508:K509)</f>
        <v>0</v>
      </c>
      <c r="V509" s="352">
        <f>SUM(O508:O509)</f>
        <v>5</v>
      </c>
      <c r="W509" s="352">
        <f>SUM(Q508:Q509)</f>
        <v>5</v>
      </c>
      <c r="X509" s="352">
        <f>T509+U509+V509+W509</f>
        <v>15</v>
      </c>
    </row>
    <row r="510" spans="1:24" ht="12.75">
      <c r="A510" s="389"/>
      <c r="B510" s="390"/>
      <c r="C510" s="390"/>
      <c r="D510" s="390"/>
      <c r="E510" s="390"/>
      <c r="F510" s="400"/>
      <c r="G510" s="400"/>
      <c r="H510" s="400"/>
      <c r="I510" s="400"/>
      <c r="J510" s="401"/>
      <c r="K510" s="391"/>
      <c r="L510" s="391"/>
      <c r="M510" s="391"/>
      <c r="N510" s="391"/>
      <c r="O510" s="391"/>
      <c r="P510" s="391"/>
      <c r="Q510" s="392"/>
      <c r="R510" s="393"/>
      <c r="S510" s="361" t="s">
        <v>783</v>
      </c>
      <c r="T510" s="356">
        <f t="shared" ref="T510:X510" si="158">SUM(T502:T509)</f>
        <v>16</v>
      </c>
      <c r="U510" s="356">
        <f t="shared" si="158"/>
        <v>19</v>
      </c>
      <c r="V510" s="356">
        <f t="shared" si="158"/>
        <v>30</v>
      </c>
      <c r="W510" s="356">
        <f t="shared" si="158"/>
        <v>31</v>
      </c>
      <c r="X510" s="356">
        <f t="shared" si="158"/>
        <v>96</v>
      </c>
    </row>
    <row r="511" spans="1:24" ht="12.75">
      <c r="A511" s="220"/>
      <c r="B511" s="221"/>
      <c r="C511" s="221"/>
      <c r="D511" s="221"/>
      <c r="E511" s="221"/>
      <c r="F511" s="400"/>
      <c r="G511" s="400"/>
      <c r="H511" s="400"/>
      <c r="I511" s="400"/>
      <c r="J511" s="401"/>
      <c r="K511" s="353"/>
      <c r="L511" s="353"/>
      <c r="M511" s="353"/>
      <c r="N511" s="353"/>
      <c r="O511" s="353"/>
      <c r="P511" s="353"/>
      <c r="Q511" s="354"/>
      <c r="R511" s="182"/>
      <c r="S511" s="362"/>
      <c r="T511" s="92"/>
      <c r="U511" s="92"/>
      <c r="V511" s="92"/>
      <c r="W511" s="92"/>
      <c r="X511" s="92"/>
    </row>
    <row r="512" spans="1:24" ht="12.75">
      <c r="A512" s="346" t="s">
        <v>345</v>
      </c>
      <c r="B512" s="347" t="s">
        <v>152</v>
      </c>
      <c r="C512" s="347" t="s">
        <v>785</v>
      </c>
      <c r="D512" s="347">
        <v>2019</v>
      </c>
      <c r="E512" s="347" t="s">
        <v>775</v>
      </c>
      <c r="F512" s="348">
        <v>8</v>
      </c>
      <c r="G512" s="348">
        <v>0</v>
      </c>
      <c r="H512" s="348">
        <v>0</v>
      </c>
      <c r="I512" s="348">
        <v>0</v>
      </c>
      <c r="J512" s="348">
        <v>4</v>
      </c>
      <c r="K512" s="348">
        <v>0</v>
      </c>
      <c r="L512" s="348">
        <v>0</v>
      </c>
      <c r="M512" s="348">
        <v>0</v>
      </c>
      <c r="N512" s="348">
        <v>6</v>
      </c>
      <c r="O512" s="348">
        <v>9</v>
      </c>
      <c r="P512" s="348">
        <v>12</v>
      </c>
      <c r="Q512" s="348">
        <v>0</v>
      </c>
      <c r="R512" s="350">
        <f t="shared" ref="R512:R513" si="159">F512+J512+N512+P512</f>
        <v>30</v>
      </c>
      <c r="S512" s="348">
        <f t="shared" ref="S512:S513" si="160">K512+O512+G512+Q512</f>
        <v>9</v>
      </c>
      <c r="T512" s="373"/>
      <c r="U512" s="373"/>
      <c r="V512" s="373"/>
      <c r="W512" s="402"/>
      <c r="X512" s="402"/>
    </row>
    <row r="513" spans="1:24" ht="12.75">
      <c r="A513" s="346" t="s">
        <v>344</v>
      </c>
      <c r="B513" s="347" t="s">
        <v>152</v>
      </c>
      <c r="C513" s="347" t="s">
        <v>785</v>
      </c>
      <c r="D513" s="347">
        <v>2019</v>
      </c>
      <c r="E513" s="347" t="s">
        <v>775</v>
      </c>
      <c r="F513" s="371">
        <v>10</v>
      </c>
      <c r="G513" s="371">
        <v>0</v>
      </c>
      <c r="H513" s="371">
        <v>0</v>
      </c>
      <c r="I513" s="371">
        <v>0</v>
      </c>
      <c r="J513" s="371">
        <v>5</v>
      </c>
      <c r="K513" s="371">
        <v>0</v>
      </c>
      <c r="L513" s="371">
        <v>0</v>
      </c>
      <c r="M513" s="371">
        <v>0</v>
      </c>
      <c r="N513" s="371">
        <v>7</v>
      </c>
      <c r="O513" s="371">
        <v>0</v>
      </c>
      <c r="P513" s="371">
        <v>18</v>
      </c>
      <c r="Q513" s="372">
        <v>0</v>
      </c>
      <c r="R513" s="350">
        <f t="shared" si="159"/>
        <v>40</v>
      </c>
      <c r="S513" s="348">
        <f t="shared" si="160"/>
        <v>0</v>
      </c>
      <c r="T513" s="403">
        <f>G512+G513</f>
        <v>0</v>
      </c>
      <c r="U513" s="403">
        <f>K512+K513</f>
        <v>0</v>
      </c>
      <c r="V513" s="403">
        <f>O512+O513</f>
        <v>9</v>
      </c>
      <c r="W513" s="403">
        <f>Q512+Q513</f>
        <v>0</v>
      </c>
      <c r="X513" s="403">
        <f>S512+S513</f>
        <v>9</v>
      </c>
    </row>
    <row r="514" spans="1:24" ht="12.75">
      <c r="A514" s="220"/>
      <c r="B514" s="221"/>
      <c r="C514" s="221"/>
      <c r="D514" s="221"/>
      <c r="E514" s="221"/>
      <c r="F514" s="353"/>
      <c r="G514" s="353"/>
      <c r="H514" s="353"/>
      <c r="I514" s="353"/>
      <c r="J514" s="353"/>
      <c r="K514" s="353"/>
      <c r="L514" s="353"/>
      <c r="M514" s="353"/>
      <c r="N514" s="353"/>
      <c r="O514" s="353"/>
      <c r="P514" s="353"/>
      <c r="Q514" s="354"/>
      <c r="R514" s="182"/>
      <c r="S514" s="361" t="s">
        <v>783</v>
      </c>
      <c r="T514" s="404">
        <f t="shared" ref="T514:X514" si="161">T513</f>
        <v>0</v>
      </c>
      <c r="U514" s="404">
        <f t="shared" si="161"/>
        <v>0</v>
      </c>
      <c r="V514" s="404">
        <f t="shared" si="161"/>
        <v>9</v>
      </c>
      <c r="W514" s="404">
        <f t="shared" si="161"/>
        <v>0</v>
      </c>
      <c r="X514" s="404">
        <f t="shared" si="161"/>
        <v>9</v>
      </c>
    </row>
    <row r="515" spans="1:24" ht="12.75">
      <c r="A515" s="220"/>
      <c r="B515" s="221"/>
      <c r="C515" s="221"/>
      <c r="D515" s="221"/>
      <c r="E515" s="221"/>
      <c r="F515" s="353"/>
      <c r="G515" s="353"/>
      <c r="H515" s="353"/>
      <c r="I515" s="353"/>
      <c r="J515" s="353"/>
      <c r="K515" s="353"/>
      <c r="L515" s="353"/>
      <c r="M515" s="353"/>
      <c r="N515" s="353"/>
      <c r="O515" s="353"/>
      <c r="P515" s="353"/>
      <c r="Q515" s="354"/>
      <c r="R515" s="182"/>
      <c r="S515" s="362"/>
      <c r="T515" s="92"/>
      <c r="U515" s="92"/>
      <c r="V515" s="92"/>
      <c r="W515" s="92"/>
      <c r="X515" s="92"/>
    </row>
    <row r="516" spans="1:24" ht="12.75">
      <c r="A516" s="307" t="s">
        <v>346</v>
      </c>
      <c r="B516" s="308" t="s">
        <v>153</v>
      </c>
      <c r="C516" s="308" t="s">
        <v>812</v>
      </c>
      <c r="D516" s="308">
        <v>2014</v>
      </c>
      <c r="E516" s="308" t="s">
        <v>775</v>
      </c>
      <c r="F516" s="309">
        <v>31</v>
      </c>
      <c r="G516" s="309">
        <v>0</v>
      </c>
      <c r="H516" s="309">
        <v>0</v>
      </c>
      <c r="I516" s="309">
        <v>0</v>
      </c>
      <c r="J516" s="309">
        <v>19</v>
      </c>
      <c r="K516" s="309">
        <v>0</v>
      </c>
      <c r="L516" s="309">
        <v>0</v>
      </c>
      <c r="M516" s="309">
        <v>0</v>
      </c>
      <c r="N516" s="309">
        <v>20</v>
      </c>
      <c r="O516" s="309">
        <v>0</v>
      </c>
      <c r="P516" s="309">
        <v>45</v>
      </c>
      <c r="Q516" s="310">
        <v>17</v>
      </c>
      <c r="R516" s="311">
        <f t="shared" ref="R516:R896" si="162">F516+J516+N516+P516</f>
        <v>115</v>
      </c>
      <c r="S516" s="363">
        <f t="shared" ref="S516:S896" si="163">K516+O516+G516+Q516</f>
        <v>17</v>
      </c>
      <c r="T516" s="311"/>
      <c r="U516" s="311"/>
      <c r="V516" s="311"/>
      <c r="W516" s="311"/>
      <c r="X516" s="311"/>
    </row>
    <row r="517" spans="1:24" ht="12.75">
      <c r="A517" s="307" t="s">
        <v>347</v>
      </c>
      <c r="B517" s="308" t="s">
        <v>153</v>
      </c>
      <c r="C517" s="308" t="s">
        <v>812</v>
      </c>
      <c r="D517" s="308">
        <v>2014</v>
      </c>
      <c r="E517" s="308" t="s">
        <v>775</v>
      </c>
      <c r="F517" s="309">
        <v>380</v>
      </c>
      <c r="G517" s="309">
        <v>0</v>
      </c>
      <c r="H517" s="310">
        <v>0</v>
      </c>
      <c r="I517" s="309">
        <v>0</v>
      </c>
      <c r="J517" s="309">
        <v>224</v>
      </c>
      <c r="K517" s="309">
        <v>0</v>
      </c>
      <c r="L517" s="309">
        <v>0</v>
      </c>
      <c r="M517" s="309">
        <v>0</v>
      </c>
      <c r="N517" s="309">
        <v>246</v>
      </c>
      <c r="O517" s="309">
        <v>3</v>
      </c>
      <c r="P517" s="309">
        <v>642</v>
      </c>
      <c r="Q517" s="310">
        <v>29</v>
      </c>
      <c r="R517" s="311">
        <f t="shared" si="162"/>
        <v>1492</v>
      </c>
      <c r="S517" s="363">
        <f t="shared" si="163"/>
        <v>32</v>
      </c>
      <c r="T517" s="311"/>
      <c r="U517" s="311"/>
      <c r="V517" s="311"/>
      <c r="W517" s="311"/>
      <c r="X517" s="311"/>
    </row>
    <row r="518" spans="1:24" ht="12.75">
      <c r="A518" s="307" t="s">
        <v>349</v>
      </c>
      <c r="B518" s="308" t="s">
        <v>153</v>
      </c>
      <c r="C518" s="308" t="s">
        <v>812</v>
      </c>
      <c r="D518" s="308">
        <v>2014</v>
      </c>
      <c r="E518" s="308" t="s">
        <v>775</v>
      </c>
      <c r="F518" s="309">
        <v>31</v>
      </c>
      <c r="G518" s="309">
        <v>0</v>
      </c>
      <c r="H518" s="310">
        <v>0</v>
      </c>
      <c r="I518" s="309">
        <v>0</v>
      </c>
      <c r="J518" s="309">
        <v>18</v>
      </c>
      <c r="K518" s="309">
        <v>0</v>
      </c>
      <c r="L518" s="309">
        <v>0</v>
      </c>
      <c r="M518" s="309">
        <v>0</v>
      </c>
      <c r="N518" s="309">
        <v>20</v>
      </c>
      <c r="O518" s="309">
        <v>0</v>
      </c>
      <c r="P518" s="309">
        <v>51</v>
      </c>
      <c r="Q518" s="310">
        <v>17</v>
      </c>
      <c r="R518" s="311">
        <f t="shared" si="162"/>
        <v>120</v>
      </c>
      <c r="S518" s="363">
        <f t="shared" si="163"/>
        <v>17</v>
      </c>
      <c r="T518" s="311"/>
      <c r="U518" s="311"/>
      <c r="V518" s="311"/>
      <c r="W518" s="311"/>
      <c r="X518" s="311"/>
    </row>
    <row r="519" spans="1:24" ht="12.75">
      <c r="A519" s="307" t="s">
        <v>350</v>
      </c>
      <c r="B519" s="308" t="s">
        <v>153</v>
      </c>
      <c r="C519" s="308" t="s">
        <v>812</v>
      </c>
      <c r="D519" s="308">
        <v>2014</v>
      </c>
      <c r="E519" s="308" t="s">
        <v>775</v>
      </c>
      <c r="F519" s="309">
        <v>20</v>
      </c>
      <c r="G519" s="309">
        <v>0</v>
      </c>
      <c r="H519" s="310">
        <v>0</v>
      </c>
      <c r="I519" s="309">
        <v>0</v>
      </c>
      <c r="J519" s="309">
        <v>12</v>
      </c>
      <c r="K519" s="309">
        <v>0</v>
      </c>
      <c r="L519" s="309">
        <v>0</v>
      </c>
      <c r="M519" s="309">
        <v>0</v>
      </c>
      <c r="N519" s="309">
        <v>14</v>
      </c>
      <c r="O519" s="309">
        <v>0</v>
      </c>
      <c r="P519" s="309">
        <v>34</v>
      </c>
      <c r="Q519" s="310">
        <v>2</v>
      </c>
      <c r="R519" s="311">
        <f t="shared" si="162"/>
        <v>80</v>
      </c>
      <c r="S519" s="363">
        <f t="shared" si="163"/>
        <v>2</v>
      </c>
      <c r="T519" s="311"/>
      <c r="U519" s="311"/>
      <c r="V519" s="311"/>
      <c r="W519" s="311"/>
      <c r="X519" s="311"/>
    </row>
    <row r="520" spans="1:24" ht="12.75">
      <c r="A520" s="307" t="s">
        <v>351</v>
      </c>
      <c r="B520" s="308" t="s">
        <v>153</v>
      </c>
      <c r="C520" s="308" t="s">
        <v>812</v>
      </c>
      <c r="D520" s="308">
        <v>2014</v>
      </c>
      <c r="E520" s="308" t="s">
        <v>775</v>
      </c>
      <c r="F520" s="309">
        <v>198</v>
      </c>
      <c r="G520" s="309">
        <v>0</v>
      </c>
      <c r="H520" s="310">
        <v>0</v>
      </c>
      <c r="I520" s="309">
        <v>0</v>
      </c>
      <c r="J520" s="309">
        <v>118</v>
      </c>
      <c r="K520" s="309">
        <v>0</v>
      </c>
      <c r="L520" s="309">
        <v>0</v>
      </c>
      <c r="M520" s="309">
        <v>0</v>
      </c>
      <c r="N520" s="309">
        <v>127</v>
      </c>
      <c r="O520" s="309">
        <v>298</v>
      </c>
      <c r="P520" s="309">
        <v>336</v>
      </c>
      <c r="Q520" s="310">
        <v>0</v>
      </c>
      <c r="R520" s="311">
        <f t="shared" si="162"/>
        <v>779</v>
      </c>
      <c r="S520" s="363">
        <f t="shared" si="163"/>
        <v>298</v>
      </c>
      <c r="T520" s="311"/>
      <c r="U520" s="311"/>
      <c r="V520" s="311"/>
      <c r="W520" s="311"/>
      <c r="X520" s="311"/>
    </row>
    <row r="521" spans="1:24" ht="12.75">
      <c r="A521" s="307" t="s">
        <v>352</v>
      </c>
      <c r="B521" s="308" t="s">
        <v>153</v>
      </c>
      <c r="C521" s="308" t="s">
        <v>812</v>
      </c>
      <c r="D521" s="308">
        <v>2014</v>
      </c>
      <c r="E521" s="308" t="s">
        <v>775</v>
      </c>
      <c r="F521" s="309">
        <v>142</v>
      </c>
      <c r="G521" s="309">
        <v>47</v>
      </c>
      <c r="H521" s="310">
        <v>47</v>
      </c>
      <c r="I521" s="309">
        <v>0</v>
      </c>
      <c r="J521" s="309">
        <v>83</v>
      </c>
      <c r="K521" s="309">
        <v>16</v>
      </c>
      <c r="L521" s="309">
        <v>16</v>
      </c>
      <c r="M521" s="309">
        <v>0</v>
      </c>
      <c r="N521" s="309">
        <v>90</v>
      </c>
      <c r="O521" s="309">
        <v>0</v>
      </c>
      <c r="P521" s="309">
        <v>242</v>
      </c>
      <c r="Q521" s="310">
        <v>19</v>
      </c>
      <c r="R521" s="311">
        <f t="shared" si="162"/>
        <v>557</v>
      </c>
      <c r="S521" s="363">
        <f t="shared" si="163"/>
        <v>82</v>
      </c>
      <c r="T521" s="311"/>
      <c r="U521" s="311"/>
      <c r="V521" s="311"/>
      <c r="W521" s="311"/>
      <c r="X521" s="311"/>
    </row>
    <row r="522" spans="1:24" ht="12.75">
      <c r="A522" s="307" t="s">
        <v>353</v>
      </c>
      <c r="B522" s="308" t="s">
        <v>153</v>
      </c>
      <c r="C522" s="308" t="s">
        <v>812</v>
      </c>
      <c r="D522" s="308">
        <v>2014</v>
      </c>
      <c r="E522" s="308" t="s">
        <v>775</v>
      </c>
      <c r="F522" s="309">
        <v>11</v>
      </c>
      <c r="G522" s="309">
        <v>0</v>
      </c>
      <c r="H522" s="310">
        <v>0</v>
      </c>
      <c r="I522" s="309">
        <v>0</v>
      </c>
      <c r="J522" s="309">
        <v>7</v>
      </c>
      <c r="K522" s="309">
        <v>0</v>
      </c>
      <c r="L522" s="309">
        <v>0</v>
      </c>
      <c r="M522" s="309">
        <v>0</v>
      </c>
      <c r="N522" s="309">
        <v>8</v>
      </c>
      <c r="O522" s="309">
        <v>0</v>
      </c>
      <c r="P522" s="309">
        <v>21</v>
      </c>
      <c r="Q522" s="310">
        <v>0</v>
      </c>
      <c r="R522" s="311">
        <f t="shared" si="162"/>
        <v>47</v>
      </c>
      <c r="S522" s="363">
        <f t="shared" si="163"/>
        <v>0</v>
      </c>
      <c r="T522" s="311"/>
      <c r="U522" s="311"/>
      <c r="V522" s="311"/>
      <c r="W522" s="311"/>
      <c r="X522" s="311"/>
    </row>
    <row r="523" spans="1:24" ht="12.75">
      <c r="A523" s="307" t="s">
        <v>354</v>
      </c>
      <c r="B523" s="308" t="s">
        <v>153</v>
      </c>
      <c r="C523" s="308" t="s">
        <v>812</v>
      </c>
      <c r="D523" s="308">
        <v>2014</v>
      </c>
      <c r="E523" s="308" t="s">
        <v>775</v>
      </c>
      <c r="F523" s="309">
        <v>11</v>
      </c>
      <c r="G523" s="309">
        <v>0</v>
      </c>
      <c r="H523" s="310">
        <v>0</v>
      </c>
      <c r="I523" s="309">
        <v>0</v>
      </c>
      <c r="J523" s="309">
        <v>7</v>
      </c>
      <c r="K523" s="309">
        <v>0</v>
      </c>
      <c r="L523" s="309">
        <v>0</v>
      </c>
      <c r="M523" s="309">
        <v>0</v>
      </c>
      <c r="N523" s="309">
        <v>8</v>
      </c>
      <c r="O523" s="309">
        <v>4</v>
      </c>
      <c r="P523" s="309">
        <v>20</v>
      </c>
      <c r="Q523" s="310">
        <v>2</v>
      </c>
      <c r="R523" s="311">
        <f t="shared" si="162"/>
        <v>46</v>
      </c>
      <c r="S523" s="363">
        <f t="shared" si="163"/>
        <v>6</v>
      </c>
      <c r="T523" s="311"/>
      <c r="U523" s="311"/>
      <c r="V523" s="311"/>
      <c r="W523" s="311"/>
      <c r="X523" s="311"/>
    </row>
    <row r="524" spans="1:24" ht="12.75">
      <c r="A524" s="307" t="s">
        <v>355</v>
      </c>
      <c r="B524" s="308" t="s">
        <v>153</v>
      </c>
      <c r="C524" s="308" t="s">
        <v>812</v>
      </c>
      <c r="D524" s="308">
        <v>2014</v>
      </c>
      <c r="E524" s="308" t="s">
        <v>775</v>
      </c>
      <c r="F524" s="309">
        <v>1</v>
      </c>
      <c r="G524" s="309">
        <v>0</v>
      </c>
      <c r="H524" s="310">
        <v>0</v>
      </c>
      <c r="I524" s="309">
        <v>0</v>
      </c>
      <c r="J524" s="309">
        <v>1</v>
      </c>
      <c r="K524" s="309">
        <v>0</v>
      </c>
      <c r="L524" s="309">
        <v>0</v>
      </c>
      <c r="M524" s="309">
        <v>0</v>
      </c>
      <c r="N524" s="309">
        <v>0</v>
      </c>
      <c r="O524" s="309">
        <v>0</v>
      </c>
      <c r="P524" s="309">
        <v>0</v>
      </c>
      <c r="Q524" s="310">
        <v>67</v>
      </c>
      <c r="R524" s="311">
        <f t="shared" si="162"/>
        <v>2</v>
      </c>
      <c r="S524" s="363">
        <f t="shared" si="163"/>
        <v>67</v>
      </c>
      <c r="T524" s="311"/>
      <c r="U524" s="311"/>
      <c r="V524" s="311"/>
      <c r="W524" s="311"/>
      <c r="X524" s="311"/>
    </row>
    <row r="525" spans="1:24" ht="12.75">
      <c r="A525" s="307" t="s">
        <v>356</v>
      </c>
      <c r="B525" s="308" t="s">
        <v>153</v>
      </c>
      <c r="C525" s="308" t="s">
        <v>812</v>
      </c>
      <c r="D525" s="308">
        <v>2014</v>
      </c>
      <c r="E525" s="308" t="s">
        <v>775</v>
      </c>
      <c r="F525" s="309">
        <v>1</v>
      </c>
      <c r="G525" s="309">
        <v>2</v>
      </c>
      <c r="H525" s="310">
        <v>0</v>
      </c>
      <c r="I525" s="309">
        <v>2</v>
      </c>
      <c r="J525" s="309">
        <v>1</v>
      </c>
      <c r="K525" s="309">
        <v>3</v>
      </c>
      <c r="L525" s="309">
        <v>3</v>
      </c>
      <c r="M525" s="309">
        <v>0</v>
      </c>
      <c r="N525" s="309">
        <v>1</v>
      </c>
      <c r="O525" s="309">
        <v>0</v>
      </c>
      <c r="P525" s="309">
        <v>0</v>
      </c>
      <c r="Q525" s="310">
        <v>38</v>
      </c>
      <c r="R525" s="311">
        <f t="shared" si="162"/>
        <v>3</v>
      </c>
      <c r="S525" s="363">
        <f t="shared" si="163"/>
        <v>43</v>
      </c>
      <c r="T525" s="311"/>
      <c r="U525" s="311"/>
      <c r="V525" s="311"/>
      <c r="W525" s="311"/>
      <c r="X525" s="311"/>
    </row>
    <row r="526" spans="1:24" ht="12.75">
      <c r="A526" s="307" t="s">
        <v>358</v>
      </c>
      <c r="B526" s="308" t="s">
        <v>153</v>
      </c>
      <c r="C526" s="308" t="s">
        <v>812</v>
      </c>
      <c r="D526" s="308">
        <v>2014</v>
      </c>
      <c r="E526" s="308" t="s">
        <v>775</v>
      </c>
      <c r="F526" s="309">
        <v>694</v>
      </c>
      <c r="G526" s="309">
        <v>0</v>
      </c>
      <c r="H526" s="310">
        <v>0</v>
      </c>
      <c r="I526" s="309">
        <v>0</v>
      </c>
      <c r="J526" s="309">
        <v>413</v>
      </c>
      <c r="K526" s="309">
        <v>0</v>
      </c>
      <c r="L526" s="309">
        <v>0</v>
      </c>
      <c r="M526" s="309">
        <v>0</v>
      </c>
      <c r="N526" s="309">
        <v>443</v>
      </c>
      <c r="O526" s="309">
        <v>0</v>
      </c>
      <c r="P526" s="309">
        <v>1134</v>
      </c>
      <c r="Q526" s="310">
        <v>19</v>
      </c>
      <c r="R526" s="311">
        <f t="shared" si="162"/>
        <v>2684</v>
      </c>
      <c r="S526" s="363">
        <f t="shared" si="163"/>
        <v>19</v>
      </c>
      <c r="T526" s="311"/>
      <c r="U526" s="311"/>
      <c r="V526" s="311"/>
      <c r="W526" s="311"/>
      <c r="X526" s="311"/>
    </row>
    <row r="527" spans="1:24" ht="12.75">
      <c r="A527" s="307" t="s">
        <v>359</v>
      </c>
      <c r="B527" s="308" t="s">
        <v>153</v>
      </c>
      <c r="C527" s="308" t="s">
        <v>812</v>
      </c>
      <c r="D527" s="308">
        <v>2014</v>
      </c>
      <c r="E527" s="308" t="s">
        <v>775</v>
      </c>
      <c r="F527" s="309">
        <v>88</v>
      </c>
      <c r="G527" s="309">
        <v>0</v>
      </c>
      <c r="H527" s="310">
        <v>0</v>
      </c>
      <c r="I527" s="309">
        <v>0</v>
      </c>
      <c r="J527" s="309">
        <v>54</v>
      </c>
      <c r="K527" s="309">
        <v>0</v>
      </c>
      <c r="L527" s="309">
        <v>0</v>
      </c>
      <c r="M527" s="309">
        <v>0</v>
      </c>
      <c r="N527" s="309">
        <v>57</v>
      </c>
      <c r="O527" s="309">
        <v>0</v>
      </c>
      <c r="P527" s="309">
        <v>131</v>
      </c>
      <c r="Q527" s="310">
        <v>15</v>
      </c>
      <c r="R527" s="311">
        <f t="shared" si="162"/>
        <v>330</v>
      </c>
      <c r="S527" s="363">
        <f t="shared" si="163"/>
        <v>15</v>
      </c>
      <c r="T527" s="311"/>
      <c r="U527" s="311"/>
      <c r="V527" s="311"/>
      <c r="W527" s="311"/>
      <c r="X527" s="311"/>
    </row>
    <row r="528" spans="1:24" ht="12.75">
      <c r="A528" s="307" t="s">
        <v>361</v>
      </c>
      <c r="B528" s="308" t="s">
        <v>153</v>
      </c>
      <c r="C528" s="308" t="s">
        <v>812</v>
      </c>
      <c r="D528" s="308">
        <v>2014</v>
      </c>
      <c r="E528" s="308" t="s">
        <v>775</v>
      </c>
      <c r="F528" s="309">
        <v>23</v>
      </c>
      <c r="G528" s="309">
        <v>0</v>
      </c>
      <c r="H528" s="310">
        <v>0</v>
      </c>
      <c r="I528" s="309">
        <v>0</v>
      </c>
      <c r="J528" s="309">
        <v>14</v>
      </c>
      <c r="K528" s="309">
        <v>0</v>
      </c>
      <c r="L528" s="309">
        <v>0</v>
      </c>
      <c r="M528" s="309">
        <v>0</v>
      </c>
      <c r="N528" s="309">
        <v>14</v>
      </c>
      <c r="O528" s="309">
        <v>0</v>
      </c>
      <c r="P528" s="309">
        <v>35</v>
      </c>
      <c r="Q528" s="310">
        <v>223</v>
      </c>
      <c r="R528" s="311">
        <f t="shared" si="162"/>
        <v>86</v>
      </c>
      <c r="S528" s="363">
        <f t="shared" si="163"/>
        <v>223</v>
      </c>
      <c r="T528" s="311"/>
      <c r="U528" s="311"/>
      <c r="V528" s="311"/>
      <c r="W528" s="311"/>
      <c r="X528" s="311"/>
    </row>
    <row r="529" spans="1:24" ht="12.75">
      <c r="A529" s="307" t="s">
        <v>366</v>
      </c>
      <c r="B529" s="308" t="s">
        <v>153</v>
      </c>
      <c r="C529" s="308" t="s">
        <v>812</v>
      </c>
      <c r="D529" s="308">
        <v>2014</v>
      </c>
      <c r="E529" s="308" t="s">
        <v>775</v>
      </c>
      <c r="F529" s="309">
        <v>80</v>
      </c>
      <c r="G529" s="309">
        <v>0</v>
      </c>
      <c r="H529" s="310">
        <v>0</v>
      </c>
      <c r="I529" s="309">
        <v>0</v>
      </c>
      <c r="J529" s="309">
        <v>46</v>
      </c>
      <c r="K529" s="309">
        <v>0</v>
      </c>
      <c r="L529" s="309">
        <v>0</v>
      </c>
      <c r="M529" s="309">
        <v>0</v>
      </c>
      <c r="N529" s="309">
        <v>51</v>
      </c>
      <c r="O529" s="309">
        <v>0</v>
      </c>
      <c r="P529" s="309">
        <v>141</v>
      </c>
      <c r="Q529" s="310">
        <v>0</v>
      </c>
      <c r="R529" s="311">
        <f t="shared" si="162"/>
        <v>318</v>
      </c>
      <c r="S529" s="363">
        <f t="shared" si="163"/>
        <v>0</v>
      </c>
      <c r="T529" s="311"/>
      <c r="U529" s="311"/>
      <c r="V529" s="311"/>
      <c r="W529" s="311"/>
      <c r="X529" s="311"/>
    </row>
    <row r="530" spans="1:24" ht="12.75">
      <c r="A530" s="307" t="s">
        <v>368</v>
      </c>
      <c r="B530" s="308" t="s">
        <v>153</v>
      </c>
      <c r="C530" s="308" t="s">
        <v>812</v>
      </c>
      <c r="D530" s="308">
        <v>2014</v>
      </c>
      <c r="E530" s="308" t="s">
        <v>775</v>
      </c>
      <c r="F530" s="309">
        <v>308</v>
      </c>
      <c r="G530" s="309">
        <v>0</v>
      </c>
      <c r="H530" s="310">
        <v>0</v>
      </c>
      <c r="I530" s="309">
        <v>0</v>
      </c>
      <c r="J530" s="309">
        <v>182</v>
      </c>
      <c r="K530" s="309">
        <v>0</v>
      </c>
      <c r="L530" s="309">
        <v>0</v>
      </c>
      <c r="M530" s="309">
        <v>0</v>
      </c>
      <c r="N530" s="309">
        <v>190</v>
      </c>
      <c r="O530" s="309">
        <v>0</v>
      </c>
      <c r="P530" s="309">
        <v>466</v>
      </c>
      <c r="Q530" s="310">
        <v>52</v>
      </c>
      <c r="R530" s="311">
        <f t="shared" si="162"/>
        <v>1146</v>
      </c>
      <c r="S530" s="363">
        <f t="shared" si="163"/>
        <v>52</v>
      </c>
      <c r="T530" s="311"/>
      <c r="U530" s="311"/>
      <c r="V530" s="311"/>
      <c r="W530" s="311"/>
      <c r="X530" s="311"/>
    </row>
    <row r="531" spans="1:24" ht="12.75">
      <c r="A531" s="307" t="s">
        <v>369</v>
      </c>
      <c r="B531" s="308" t="s">
        <v>153</v>
      </c>
      <c r="C531" s="308" t="s">
        <v>812</v>
      </c>
      <c r="D531" s="308">
        <v>2014</v>
      </c>
      <c r="E531" s="308" t="s">
        <v>775</v>
      </c>
      <c r="F531" s="309">
        <v>210</v>
      </c>
      <c r="G531" s="309">
        <v>0</v>
      </c>
      <c r="H531" s="310">
        <v>0</v>
      </c>
      <c r="I531" s="309">
        <v>0</v>
      </c>
      <c r="J531" s="309">
        <v>123</v>
      </c>
      <c r="K531" s="309">
        <v>0</v>
      </c>
      <c r="L531" s="309">
        <v>0</v>
      </c>
      <c r="M531" s="309">
        <v>0</v>
      </c>
      <c r="N531" s="309">
        <v>135</v>
      </c>
      <c r="O531" s="309">
        <v>20</v>
      </c>
      <c r="P531" s="309">
        <v>346</v>
      </c>
      <c r="Q531" s="310">
        <v>12</v>
      </c>
      <c r="R531" s="311">
        <f t="shared" si="162"/>
        <v>814</v>
      </c>
      <c r="S531" s="363">
        <f t="shared" si="163"/>
        <v>32</v>
      </c>
      <c r="T531" s="311"/>
      <c r="U531" s="311"/>
      <c r="V531" s="311"/>
      <c r="W531" s="311"/>
      <c r="X531" s="311"/>
    </row>
    <row r="532" spans="1:24" ht="12.75">
      <c r="A532" s="307" t="s">
        <v>370</v>
      </c>
      <c r="B532" s="308" t="s">
        <v>153</v>
      </c>
      <c r="C532" s="308" t="s">
        <v>812</v>
      </c>
      <c r="D532" s="308">
        <v>2014</v>
      </c>
      <c r="E532" s="308" t="s">
        <v>775</v>
      </c>
      <c r="F532" s="309">
        <v>87</v>
      </c>
      <c r="G532" s="309">
        <v>0</v>
      </c>
      <c r="H532" s="310">
        <v>0</v>
      </c>
      <c r="I532" s="309">
        <v>0</v>
      </c>
      <c r="J532" s="309">
        <v>53</v>
      </c>
      <c r="K532" s="309">
        <v>0</v>
      </c>
      <c r="L532" s="309">
        <v>0</v>
      </c>
      <c r="M532" s="309">
        <v>0</v>
      </c>
      <c r="N532" s="309">
        <v>55</v>
      </c>
      <c r="O532" s="309">
        <v>0</v>
      </c>
      <c r="P532" s="309">
        <v>142</v>
      </c>
      <c r="Q532" s="310">
        <v>0</v>
      </c>
      <c r="R532" s="311">
        <f t="shared" si="162"/>
        <v>337</v>
      </c>
      <c r="S532" s="363">
        <f t="shared" si="163"/>
        <v>0</v>
      </c>
      <c r="T532" s="311"/>
      <c r="U532" s="311"/>
      <c r="V532" s="311"/>
      <c r="W532" s="311"/>
      <c r="X532" s="311"/>
    </row>
    <row r="533" spans="1:24" ht="12.75">
      <c r="A533" s="307" t="s">
        <v>371</v>
      </c>
      <c r="B533" s="308" t="s">
        <v>153</v>
      </c>
      <c r="C533" s="308" t="s">
        <v>812</v>
      </c>
      <c r="D533" s="308">
        <v>2014</v>
      </c>
      <c r="E533" s="308" t="s">
        <v>775</v>
      </c>
      <c r="F533" s="309">
        <v>529</v>
      </c>
      <c r="G533" s="309">
        <v>41</v>
      </c>
      <c r="H533" s="310">
        <v>41</v>
      </c>
      <c r="I533" s="309">
        <v>0</v>
      </c>
      <c r="J533" s="309">
        <v>315</v>
      </c>
      <c r="K533" s="309">
        <v>0</v>
      </c>
      <c r="L533" s="309">
        <v>0</v>
      </c>
      <c r="M533" s="309">
        <v>0</v>
      </c>
      <c r="N533" s="309">
        <v>352</v>
      </c>
      <c r="O533" s="309">
        <v>2</v>
      </c>
      <c r="P533" s="309">
        <v>946</v>
      </c>
      <c r="Q533" s="310">
        <v>20</v>
      </c>
      <c r="R533" s="311">
        <f t="shared" si="162"/>
        <v>2142</v>
      </c>
      <c r="S533" s="363">
        <f t="shared" si="163"/>
        <v>63</v>
      </c>
      <c r="T533" s="311"/>
      <c r="U533" s="311"/>
      <c r="V533" s="311"/>
      <c r="W533" s="311"/>
      <c r="X533" s="311"/>
    </row>
    <row r="534" spans="1:24" ht="12.75">
      <c r="A534" s="307" t="s">
        <v>373</v>
      </c>
      <c r="B534" s="308" t="s">
        <v>153</v>
      </c>
      <c r="C534" s="308" t="s">
        <v>812</v>
      </c>
      <c r="D534" s="308">
        <v>2014</v>
      </c>
      <c r="E534" s="308" t="s">
        <v>775</v>
      </c>
      <c r="F534" s="309">
        <v>98</v>
      </c>
      <c r="G534" s="309">
        <v>0</v>
      </c>
      <c r="H534" s="310">
        <v>0</v>
      </c>
      <c r="I534" s="309">
        <v>0</v>
      </c>
      <c r="J534" s="309">
        <v>60</v>
      </c>
      <c r="K534" s="309">
        <v>0</v>
      </c>
      <c r="L534" s="309">
        <v>0</v>
      </c>
      <c r="M534" s="309">
        <v>0</v>
      </c>
      <c r="N534" s="309">
        <v>66</v>
      </c>
      <c r="O534" s="309">
        <v>6</v>
      </c>
      <c r="P534" s="309">
        <v>173</v>
      </c>
      <c r="Q534" s="310">
        <v>21</v>
      </c>
      <c r="R534" s="311">
        <f t="shared" si="162"/>
        <v>397</v>
      </c>
      <c r="S534" s="363">
        <f t="shared" si="163"/>
        <v>27</v>
      </c>
      <c r="T534" s="311"/>
      <c r="U534" s="311"/>
      <c r="V534" s="311"/>
      <c r="W534" s="311"/>
      <c r="X534" s="311"/>
    </row>
    <row r="535" spans="1:24" ht="12.75">
      <c r="A535" s="307" t="s">
        <v>374</v>
      </c>
      <c r="B535" s="308" t="s">
        <v>153</v>
      </c>
      <c r="C535" s="308" t="s">
        <v>812</v>
      </c>
      <c r="D535" s="308">
        <v>2014</v>
      </c>
      <c r="E535" s="308" t="s">
        <v>775</v>
      </c>
      <c r="F535" s="309">
        <v>508</v>
      </c>
      <c r="G535" s="309">
        <v>71</v>
      </c>
      <c r="H535" s="310">
        <v>71</v>
      </c>
      <c r="I535" s="309">
        <v>0</v>
      </c>
      <c r="J535" s="309">
        <v>310</v>
      </c>
      <c r="K535" s="309">
        <v>48</v>
      </c>
      <c r="L535" s="309">
        <v>48</v>
      </c>
      <c r="M535" s="309">
        <v>0</v>
      </c>
      <c r="N535" s="309">
        <v>337</v>
      </c>
      <c r="O535" s="309">
        <v>0</v>
      </c>
      <c r="P535" s="309">
        <v>862</v>
      </c>
      <c r="Q535" s="310">
        <v>532</v>
      </c>
      <c r="R535" s="311">
        <f t="shared" si="162"/>
        <v>2017</v>
      </c>
      <c r="S535" s="363">
        <f t="shared" si="163"/>
        <v>651</v>
      </c>
      <c r="T535" s="311"/>
      <c r="U535" s="311"/>
      <c r="V535" s="311"/>
      <c r="W535" s="311"/>
      <c r="X535" s="311"/>
    </row>
    <row r="536" spans="1:24" ht="12.75">
      <c r="A536" s="307" t="s">
        <v>375</v>
      </c>
      <c r="B536" s="308" t="s">
        <v>153</v>
      </c>
      <c r="C536" s="308" t="s">
        <v>812</v>
      </c>
      <c r="D536" s="308">
        <v>2014</v>
      </c>
      <c r="E536" s="308" t="s">
        <v>775</v>
      </c>
      <c r="F536" s="309">
        <v>171</v>
      </c>
      <c r="G536" s="309">
        <v>0</v>
      </c>
      <c r="H536" s="310">
        <v>0</v>
      </c>
      <c r="I536" s="309">
        <v>0</v>
      </c>
      <c r="J536" s="309">
        <v>100</v>
      </c>
      <c r="K536" s="309">
        <v>0</v>
      </c>
      <c r="L536" s="309">
        <v>0</v>
      </c>
      <c r="M536" s="309">
        <v>0</v>
      </c>
      <c r="N536" s="309">
        <v>108</v>
      </c>
      <c r="O536" s="309">
        <v>0</v>
      </c>
      <c r="P536" s="309">
        <v>267</v>
      </c>
      <c r="Q536" s="310">
        <v>48</v>
      </c>
      <c r="R536" s="311">
        <f t="shared" si="162"/>
        <v>646</v>
      </c>
      <c r="S536" s="363">
        <f t="shared" si="163"/>
        <v>48</v>
      </c>
      <c r="T536" s="311"/>
      <c r="U536" s="311"/>
      <c r="V536" s="311"/>
      <c r="W536" s="311"/>
      <c r="X536" s="311"/>
    </row>
    <row r="537" spans="1:24" ht="12.75">
      <c r="A537" s="307" t="s">
        <v>377</v>
      </c>
      <c r="B537" s="308" t="s">
        <v>153</v>
      </c>
      <c r="C537" s="308" t="s">
        <v>812</v>
      </c>
      <c r="D537" s="308">
        <v>2014</v>
      </c>
      <c r="E537" s="308" t="s">
        <v>775</v>
      </c>
      <c r="F537" s="309">
        <v>170</v>
      </c>
      <c r="G537" s="309">
        <v>0</v>
      </c>
      <c r="H537" s="310">
        <v>0</v>
      </c>
      <c r="I537" s="309">
        <v>0</v>
      </c>
      <c r="J537" s="309">
        <v>101</v>
      </c>
      <c r="K537" s="309">
        <v>0</v>
      </c>
      <c r="L537" s="309">
        <v>0</v>
      </c>
      <c r="M537" s="309">
        <v>0</v>
      </c>
      <c r="N537" s="309">
        <v>112</v>
      </c>
      <c r="O537" s="309">
        <v>34</v>
      </c>
      <c r="P537" s="309">
        <v>300</v>
      </c>
      <c r="Q537" s="310">
        <v>320</v>
      </c>
      <c r="R537" s="311">
        <f t="shared" si="162"/>
        <v>683</v>
      </c>
      <c r="S537" s="363">
        <f t="shared" si="163"/>
        <v>354</v>
      </c>
      <c r="T537" s="311"/>
      <c r="U537" s="311"/>
      <c r="V537" s="311"/>
      <c r="W537" s="311"/>
      <c r="X537" s="311"/>
    </row>
    <row r="538" spans="1:24" ht="12.75">
      <c r="A538" s="307" t="s">
        <v>382</v>
      </c>
      <c r="B538" s="308" t="s">
        <v>153</v>
      </c>
      <c r="C538" s="308" t="s">
        <v>812</v>
      </c>
      <c r="D538" s="308">
        <v>2014</v>
      </c>
      <c r="E538" s="308" t="s">
        <v>775</v>
      </c>
      <c r="F538" s="309">
        <v>250</v>
      </c>
      <c r="G538" s="309">
        <v>0</v>
      </c>
      <c r="H538" s="310">
        <v>0</v>
      </c>
      <c r="I538" s="309">
        <v>0</v>
      </c>
      <c r="J538" s="309">
        <v>150</v>
      </c>
      <c r="K538" s="309">
        <v>0</v>
      </c>
      <c r="L538" s="309">
        <v>0</v>
      </c>
      <c r="M538" s="309">
        <v>0</v>
      </c>
      <c r="N538" s="309">
        <v>167</v>
      </c>
      <c r="O538" s="309">
        <v>0</v>
      </c>
      <c r="P538" s="309">
        <v>446</v>
      </c>
      <c r="Q538" s="310">
        <v>3</v>
      </c>
      <c r="R538" s="311">
        <f t="shared" si="162"/>
        <v>1013</v>
      </c>
      <c r="S538" s="363">
        <f t="shared" si="163"/>
        <v>3</v>
      </c>
      <c r="T538" s="311"/>
      <c r="U538" s="311"/>
      <c r="V538" s="311"/>
      <c r="W538" s="311"/>
      <c r="X538" s="311"/>
    </row>
    <row r="539" spans="1:24" ht="12.75">
      <c r="A539" s="307" t="s">
        <v>384</v>
      </c>
      <c r="B539" s="308" t="s">
        <v>153</v>
      </c>
      <c r="C539" s="308" t="s">
        <v>812</v>
      </c>
      <c r="D539" s="308">
        <v>2014</v>
      </c>
      <c r="E539" s="308" t="s">
        <v>775</v>
      </c>
      <c r="F539" s="309">
        <v>30</v>
      </c>
      <c r="G539" s="309">
        <v>0</v>
      </c>
      <c r="H539" s="310">
        <v>0</v>
      </c>
      <c r="I539" s="309">
        <v>0</v>
      </c>
      <c r="J539" s="309">
        <v>18</v>
      </c>
      <c r="K539" s="309">
        <v>0</v>
      </c>
      <c r="L539" s="309">
        <v>0</v>
      </c>
      <c r="M539" s="309">
        <v>0</v>
      </c>
      <c r="N539" s="309">
        <v>20</v>
      </c>
      <c r="O539" s="309">
        <v>0</v>
      </c>
      <c r="P539" s="309">
        <v>44</v>
      </c>
      <c r="Q539" s="310">
        <v>5</v>
      </c>
      <c r="R539" s="311">
        <f t="shared" si="162"/>
        <v>112</v>
      </c>
      <c r="S539" s="363">
        <f t="shared" si="163"/>
        <v>5</v>
      </c>
      <c r="T539" s="311"/>
      <c r="U539" s="311"/>
      <c r="V539" s="311"/>
      <c r="W539" s="311"/>
      <c r="X539" s="311"/>
    </row>
    <row r="540" spans="1:24" ht="12.75">
      <c r="A540" s="307" t="s">
        <v>388</v>
      </c>
      <c r="B540" s="308" t="s">
        <v>153</v>
      </c>
      <c r="C540" s="308" t="s">
        <v>812</v>
      </c>
      <c r="D540" s="308">
        <v>2014</v>
      </c>
      <c r="E540" s="308" t="s">
        <v>775</v>
      </c>
      <c r="F540" s="309">
        <v>147</v>
      </c>
      <c r="G540" s="309">
        <v>35</v>
      </c>
      <c r="H540" s="310">
        <v>35</v>
      </c>
      <c r="I540" s="309">
        <v>0</v>
      </c>
      <c r="J540" s="309">
        <v>88</v>
      </c>
      <c r="K540" s="309">
        <v>2</v>
      </c>
      <c r="L540" s="309">
        <v>2</v>
      </c>
      <c r="M540" s="309">
        <v>0</v>
      </c>
      <c r="N540" s="309">
        <v>94</v>
      </c>
      <c r="O540" s="309">
        <v>0</v>
      </c>
      <c r="P540" s="309">
        <v>233</v>
      </c>
      <c r="Q540" s="310">
        <v>78</v>
      </c>
      <c r="R540" s="311">
        <f t="shared" si="162"/>
        <v>562</v>
      </c>
      <c r="S540" s="363">
        <f t="shared" si="163"/>
        <v>115</v>
      </c>
      <c r="T540" s="311"/>
      <c r="U540" s="311"/>
      <c r="V540" s="311"/>
      <c r="W540" s="311"/>
      <c r="X540" s="311"/>
    </row>
    <row r="541" spans="1:24" ht="12.75">
      <c r="A541" s="307" t="s">
        <v>389</v>
      </c>
      <c r="B541" s="308" t="s">
        <v>153</v>
      </c>
      <c r="C541" s="308" t="s">
        <v>812</v>
      </c>
      <c r="D541" s="308">
        <v>2014</v>
      </c>
      <c r="E541" s="308" t="s">
        <v>775</v>
      </c>
      <c r="F541" s="309">
        <v>107</v>
      </c>
      <c r="G541" s="309">
        <v>0</v>
      </c>
      <c r="H541" s="310">
        <v>0</v>
      </c>
      <c r="I541" s="309">
        <v>0</v>
      </c>
      <c r="J541" s="309">
        <v>63</v>
      </c>
      <c r="K541" s="309">
        <v>0</v>
      </c>
      <c r="L541" s="309">
        <v>0</v>
      </c>
      <c r="M541" s="309">
        <v>0</v>
      </c>
      <c r="N541" s="309">
        <v>67</v>
      </c>
      <c r="O541" s="309">
        <v>0</v>
      </c>
      <c r="P541" s="309">
        <v>166</v>
      </c>
      <c r="Q541" s="310">
        <v>0</v>
      </c>
      <c r="R541" s="311">
        <f t="shared" si="162"/>
        <v>403</v>
      </c>
      <c r="S541" s="363">
        <f t="shared" si="163"/>
        <v>0</v>
      </c>
      <c r="T541" s="311"/>
      <c r="U541" s="311"/>
      <c r="V541" s="311"/>
      <c r="W541" s="311"/>
      <c r="X541" s="311"/>
    </row>
    <row r="542" spans="1:24" ht="12.75">
      <c r="A542" s="307" t="s">
        <v>391</v>
      </c>
      <c r="B542" s="308" t="s">
        <v>153</v>
      </c>
      <c r="C542" s="308" t="s">
        <v>812</v>
      </c>
      <c r="D542" s="308">
        <v>2014</v>
      </c>
      <c r="E542" s="308" t="s">
        <v>775</v>
      </c>
      <c r="F542" s="309">
        <v>96</v>
      </c>
      <c r="G542" s="309">
        <v>0</v>
      </c>
      <c r="H542" s="310">
        <v>0</v>
      </c>
      <c r="I542" s="309">
        <v>0</v>
      </c>
      <c r="J542" s="309">
        <v>57</v>
      </c>
      <c r="K542" s="309">
        <v>0</v>
      </c>
      <c r="L542" s="309">
        <v>0</v>
      </c>
      <c r="M542" s="309">
        <v>0</v>
      </c>
      <c r="N542" s="309">
        <v>62</v>
      </c>
      <c r="O542" s="309">
        <v>0</v>
      </c>
      <c r="P542" s="309">
        <v>166</v>
      </c>
      <c r="Q542" s="310">
        <v>5</v>
      </c>
      <c r="R542" s="311">
        <f t="shared" si="162"/>
        <v>381</v>
      </c>
      <c r="S542" s="363">
        <f t="shared" si="163"/>
        <v>5</v>
      </c>
      <c r="T542" s="311"/>
      <c r="U542" s="311"/>
      <c r="V542" s="311"/>
      <c r="W542" s="311"/>
      <c r="X542" s="311"/>
    </row>
    <row r="543" spans="1:24" ht="12.75">
      <c r="A543" s="307" t="s">
        <v>392</v>
      </c>
      <c r="B543" s="308" t="s">
        <v>153</v>
      </c>
      <c r="C543" s="308" t="s">
        <v>812</v>
      </c>
      <c r="D543" s="308">
        <v>2014</v>
      </c>
      <c r="E543" s="308" t="s">
        <v>775</v>
      </c>
      <c r="F543" s="309">
        <v>12</v>
      </c>
      <c r="G543" s="309">
        <v>0</v>
      </c>
      <c r="H543" s="310">
        <v>0</v>
      </c>
      <c r="I543" s="309">
        <v>0</v>
      </c>
      <c r="J543" s="309">
        <v>7</v>
      </c>
      <c r="K543" s="309">
        <v>0</v>
      </c>
      <c r="L543" s="309">
        <v>0</v>
      </c>
      <c r="M543" s="309">
        <v>0</v>
      </c>
      <c r="N543" s="309">
        <v>8</v>
      </c>
      <c r="O543" s="309">
        <v>16</v>
      </c>
      <c r="P543" s="309">
        <v>20</v>
      </c>
      <c r="Q543" s="310">
        <v>0</v>
      </c>
      <c r="R543" s="311">
        <f t="shared" si="162"/>
        <v>47</v>
      </c>
      <c r="S543" s="363">
        <f t="shared" si="163"/>
        <v>16</v>
      </c>
      <c r="T543" s="311"/>
      <c r="U543" s="311"/>
      <c r="V543" s="311"/>
      <c r="W543" s="311"/>
      <c r="X543" s="311"/>
    </row>
    <row r="544" spans="1:24" ht="12.75">
      <c r="A544" s="307" t="s">
        <v>393</v>
      </c>
      <c r="B544" s="308" t="s">
        <v>153</v>
      </c>
      <c r="C544" s="308" t="s">
        <v>812</v>
      </c>
      <c r="D544" s="308">
        <v>2014</v>
      </c>
      <c r="E544" s="308" t="s">
        <v>775</v>
      </c>
      <c r="F544" s="309">
        <v>1773</v>
      </c>
      <c r="G544" s="309">
        <v>26</v>
      </c>
      <c r="H544" s="310">
        <v>26</v>
      </c>
      <c r="I544" s="309">
        <v>0</v>
      </c>
      <c r="J544" s="309">
        <v>1066</v>
      </c>
      <c r="K544" s="309">
        <v>14</v>
      </c>
      <c r="L544" s="309">
        <v>14</v>
      </c>
      <c r="M544" s="309">
        <v>0</v>
      </c>
      <c r="N544" s="309">
        <v>1170</v>
      </c>
      <c r="O544" s="309">
        <v>0</v>
      </c>
      <c r="P544" s="309">
        <v>3039</v>
      </c>
      <c r="Q544" s="310">
        <v>260</v>
      </c>
      <c r="R544" s="311">
        <f t="shared" si="162"/>
        <v>7048</v>
      </c>
      <c r="S544" s="363">
        <f t="shared" si="163"/>
        <v>300</v>
      </c>
      <c r="T544" s="311"/>
      <c r="U544" s="311"/>
      <c r="V544" s="311"/>
      <c r="W544" s="311"/>
      <c r="X544" s="311"/>
    </row>
    <row r="545" spans="1:24" ht="12.75">
      <c r="A545" s="307" t="s">
        <v>153</v>
      </c>
      <c r="B545" s="308" t="s">
        <v>153</v>
      </c>
      <c r="C545" s="308" t="s">
        <v>812</v>
      </c>
      <c r="D545" s="308">
        <v>2014</v>
      </c>
      <c r="E545" s="308" t="s">
        <v>775</v>
      </c>
      <c r="F545" s="309">
        <v>20427</v>
      </c>
      <c r="G545" s="309">
        <v>856</v>
      </c>
      <c r="H545" s="310">
        <v>856</v>
      </c>
      <c r="I545" s="309">
        <v>0</v>
      </c>
      <c r="J545" s="309">
        <v>12435</v>
      </c>
      <c r="K545" s="309">
        <v>867</v>
      </c>
      <c r="L545" s="309">
        <v>867</v>
      </c>
      <c r="M545" s="309">
        <v>0</v>
      </c>
      <c r="N545" s="309">
        <v>13728</v>
      </c>
      <c r="O545" s="309">
        <v>47</v>
      </c>
      <c r="P545" s="309">
        <v>35412</v>
      </c>
      <c r="Q545" s="310">
        <v>13047</v>
      </c>
      <c r="R545" s="311">
        <f t="shared" si="162"/>
        <v>82002</v>
      </c>
      <c r="S545" s="363">
        <f t="shared" si="163"/>
        <v>14817</v>
      </c>
      <c r="T545" s="311"/>
      <c r="U545" s="311"/>
      <c r="V545" s="311"/>
      <c r="W545" s="311"/>
      <c r="X545" s="311"/>
    </row>
    <row r="546" spans="1:24" ht="12.75">
      <c r="A546" s="307" t="s">
        <v>394</v>
      </c>
      <c r="B546" s="308" t="s">
        <v>153</v>
      </c>
      <c r="C546" s="308" t="s">
        <v>812</v>
      </c>
      <c r="D546" s="308">
        <v>2014</v>
      </c>
      <c r="E546" s="308" t="s">
        <v>775</v>
      </c>
      <c r="F546" s="309">
        <v>7417</v>
      </c>
      <c r="G546" s="309">
        <v>159</v>
      </c>
      <c r="H546" s="310">
        <v>159</v>
      </c>
      <c r="I546" s="309">
        <v>0</v>
      </c>
      <c r="J546" s="309">
        <v>4287</v>
      </c>
      <c r="K546" s="309">
        <v>0</v>
      </c>
      <c r="L546" s="309">
        <v>0</v>
      </c>
      <c r="M546" s="309">
        <v>0</v>
      </c>
      <c r="N546" s="309">
        <v>4938</v>
      </c>
      <c r="O546" s="309">
        <v>0</v>
      </c>
      <c r="P546" s="309">
        <v>10844</v>
      </c>
      <c r="Q546" s="310">
        <v>513</v>
      </c>
      <c r="R546" s="311">
        <f t="shared" si="162"/>
        <v>27486</v>
      </c>
      <c r="S546" s="363">
        <f t="shared" si="163"/>
        <v>672</v>
      </c>
      <c r="T546" s="311"/>
      <c r="U546" s="311"/>
      <c r="V546" s="311"/>
      <c r="W546" s="311"/>
      <c r="X546" s="311"/>
    </row>
    <row r="547" spans="1:24" ht="12.75">
      <c r="A547" s="307" t="s">
        <v>396</v>
      </c>
      <c r="B547" s="308" t="s">
        <v>153</v>
      </c>
      <c r="C547" s="308" t="s">
        <v>812</v>
      </c>
      <c r="D547" s="308">
        <v>2014</v>
      </c>
      <c r="E547" s="308" t="s">
        <v>775</v>
      </c>
      <c r="F547" s="309">
        <v>1</v>
      </c>
      <c r="G547" s="309">
        <v>0</v>
      </c>
      <c r="H547" s="310">
        <v>0</v>
      </c>
      <c r="I547" s="309">
        <v>0</v>
      </c>
      <c r="J547" s="309">
        <v>1</v>
      </c>
      <c r="K547" s="309">
        <v>0</v>
      </c>
      <c r="L547" s="309">
        <v>0</v>
      </c>
      <c r="M547" s="309">
        <v>0</v>
      </c>
      <c r="N547" s="309">
        <v>0</v>
      </c>
      <c r="O547" s="309">
        <v>0</v>
      </c>
      <c r="P547" s="309">
        <v>0</v>
      </c>
      <c r="Q547" s="310">
        <v>13</v>
      </c>
      <c r="R547" s="311">
        <f t="shared" si="162"/>
        <v>2</v>
      </c>
      <c r="S547" s="363">
        <f t="shared" si="163"/>
        <v>13</v>
      </c>
      <c r="T547" s="311"/>
      <c r="U547" s="311"/>
      <c r="V547" s="311"/>
      <c r="W547" s="311"/>
      <c r="X547" s="311"/>
    </row>
    <row r="548" spans="1:24" ht="12.75">
      <c r="A548" s="307" t="s">
        <v>397</v>
      </c>
      <c r="B548" s="308" t="s">
        <v>153</v>
      </c>
      <c r="C548" s="308" t="s">
        <v>812</v>
      </c>
      <c r="D548" s="308">
        <v>2014</v>
      </c>
      <c r="E548" s="308" t="s">
        <v>775</v>
      </c>
      <c r="F548" s="309">
        <v>10</v>
      </c>
      <c r="G548" s="309">
        <v>0</v>
      </c>
      <c r="H548" s="310">
        <v>0</v>
      </c>
      <c r="I548" s="309">
        <v>0</v>
      </c>
      <c r="J548" s="309">
        <v>6</v>
      </c>
      <c r="K548" s="309">
        <v>0</v>
      </c>
      <c r="L548" s="309">
        <v>0</v>
      </c>
      <c r="M548" s="309">
        <v>0</v>
      </c>
      <c r="N548" s="309">
        <v>7</v>
      </c>
      <c r="O548" s="309">
        <v>0</v>
      </c>
      <c r="P548" s="309">
        <v>15</v>
      </c>
      <c r="Q548" s="310">
        <v>73</v>
      </c>
      <c r="R548" s="311">
        <f t="shared" si="162"/>
        <v>38</v>
      </c>
      <c r="S548" s="363">
        <f t="shared" si="163"/>
        <v>73</v>
      </c>
      <c r="T548" s="311"/>
      <c r="U548" s="311"/>
      <c r="V548" s="311"/>
      <c r="W548" s="311"/>
      <c r="X548" s="311"/>
    </row>
    <row r="549" spans="1:24" ht="12.75">
      <c r="A549" s="307" t="s">
        <v>399</v>
      </c>
      <c r="B549" s="308" t="s">
        <v>153</v>
      </c>
      <c r="C549" s="308" t="s">
        <v>812</v>
      </c>
      <c r="D549" s="308">
        <v>2014</v>
      </c>
      <c r="E549" s="308" t="s">
        <v>775</v>
      </c>
      <c r="F549" s="309">
        <v>101</v>
      </c>
      <c r="G549" s="309">
        <v>0</v>
      </c>
      <c r="H549" s="310">
        <v>0</v>
      </c>
      <c r="I549" s="309">
        <v>0</v>
      </c>
      <c r="J549" s="309">
        <v>61</v>
      </c>
      <c r="K549" s="309">
        <v>0</v>
      </c>
      <c r="L549" s="309">
        <v>0</v>
      </c>
      <c r="M549" s="309">
        <v>0</v>
      </c>
      <c r="N549" s="309">
        <v>65</v>
      </c>
      <c r="O549" s="309">
        <v>2</v>
      </c>
      <c r="P549" s="309">
        <v>162</v>
      </c>
      <c r="Q549" s="310">
        <v>34</v>
      </c>
      <c r="R549" s="311">
        <f t="shared" si="162"/>
        <v>389</v>
      </c>
      <c r="S549" s="363">
        <f t="shared" si="163"/>
        <v>36</v>
      </c>
      <c r="T549" s="311"/>
      <c r="U549" s="311"/>
      <c r="V549" s="311"/>
      <c r="W549" s="311"/>
      <c r="X549" s="311"/>
    </row>
    <row r="550" spans="1:24" ht="12.75">
      <c r="A550" s="307" t="s">
        <v>402</v>
      </c>
      <c r="B550" s="308" t="s">
        <v>153</v>
      </c>
      <c r="C550" s="308" t="s">
        <v>812</v>
      </c>
      <c r="D550" s="308">
        <v>2014</v>
      </c>
      <c r="E550" s="308" t="s">
        <v>775</v>
      </c>
      <c r="F550" s="309">
        <v>52</v>
      </c>
      <c r="G550" s="309">
        <v>0</v>
      </c>
      <c r="H550" s="310">
        <v>0</v>
      </c>
      <c r="I550" s="309">
        <v>0</v>
      </c>
      <c r="J550" s="309">
        <v>31</v>
      </c>
      <c r="K550" s="309">
        <v>0</v>
      </c>
      <c r="L550" s="309">
        <v>0</v>
      </c>
      <c r="M550" s="309">
        <v>0</v>
      </c>
      <c r="N550" s="309">
        <v>33</v>
      </c>
      <c r="O550" s="309">
        <v>0</v>
      </c>
      <c r="P550" s="309">
        <v>85</v>
      </c>
      <c r="Q550" s="310">
        <v>2</v>
      </c>
      <c r="R550" s="311">
        <f t="shared" si="162"/>
        <v>201</v>
      </c>
      <c r="S550" s="363">
        <f t="shared" si="163"/>
        <v>2</v>
      </c>
      <c r="T550" s="311"/>
      <c r="U550" s="311"/>
      <c r="V550" s="311"/>
      <c r="W550" s="311"/>
      <c r="X550" s="311"/>
    </row>
    <row r="551" spans="1:24" ht="12.75">
      <c r="A551" s="307" t="s">
        <v>403</v>
      </c>
      <c r="B551" s="308" t="s">
        <v>153</v>
      </c>
      <c r="C551" s="308" t="s">
        <v>812</v>
      </c>
      <c r="D551" s="308">
        <v>2014</v>
      </c>
      <c r="E551" s="308" t="s">
        <v>775</v>
      </c>
      <c r="F551" s="309">
        <v>1395</v>
      </c>
      <c r="G551" s="309">
        <v>0</v>
      </c>
      <c r="H551" s="310">
        <v>0</v>
      </c>
      <c r="I551" s="309">
        <v>0</v>
      </c>
      <c r="J551" s="309">
        <v>827</v>
      </c>
      <c r="K551" s="309">
        <v>0</v>
      </c>
      <c r="L551" s="309">
        <v>0</v>
      </c>
      <c r="M551" s="309">
        <v>0</v>
      </c>
      <c r="N551" s="309">
        <v>898</v>
      </c>
      <c r="O551" s="309">
        <v>0</v>
      </c>
      <c r="P551" s="309">
        <v>2332</v>
      </c>
      <c r="Q551" s="310">
        <v>42</v>
      </c>
      <c r="R551" s="311">
        <f t="shared" si="162"/>
        <v>5452</v>
      </c>
      <c r="S551" s="363">
        <f t="shared" si="163"/>
        <v>42</v>
      </c>
      <c r="T551" s="311"/>
      <c r="U551" s="311"/>
      <c r="V551" s="311"/>
      <c r="W551" s="311"/>
      <c r="X551" s="311"/>
    </row>
    <row r="552" spans="1:24" ht="12.75">
      <c r="A552" s="307" t="s">
        <v>405</v>
      </c>
      <c r="B552" s="308" t="s">
        <v>153</v>
      </c>
      <c r="C552" s="308" t="s">
        <v>812</v>
      </c>
      <c r="D552" s="308">
        <v>2014</v>
      </c>
      <c r="E552" s="308" t="s">
        <v>775</v>
      </c>
      <c r="F552" s="309">
        <v>26</v>
      </c>
      <c r="G552" s="309">
        <v>0</v>
      </c>
      <c r="H552" s="310">
        <v>0</v>
      </c>
      <c r="I552" s="309">
        <v>0</v>
      </c>
      <c r="J552" s="309">
        <v>16</v>
      </c>
      <c r="K552" s="309">
        <v>0</v>
      </c>
      <c r="L552" s="309">
        <v>0</v>
      </c>
      <c r="M552" s="309">
        <v>0</v>
      </c>
      <c r="N552" s="309">
        <v>17</v>
      </c>
      <c r="O552" s="309">
        <v>0</v>
      </c>
      <c r="P552" s="309">
        <v>46</v>
      </c>
      <c r="Q552" s="310">
        <v>5</v>
      </c>
      <c r="R552" s="311">
        <f t="shared" si="162"/>
        <v>105</v>
      </c>
      <c r="S552" s="363">
        <f t="shared" si="163"/>
        <v>5</v>
      </c>
      <c r="T552" s="311"/>
      <c r="U552" s="311"/>
      <c r="V552" s="311"/>
      <c r="W552" s="311"/>
      <c r="X552" s="311"/>
    </row>
    <row r="553" spans="1:24" ht="12.75">
      <c r="A553" s="307" t="s">
        <v>406</v>
      </c>
      <c r="B553" s="308" t="s">
        <v>153</v>
      </c>
      <c r="C553" s="308" t="s">
        <v>812</v>
      </c>
      <c r="D553" s="308">
        <v>2014</v>
      </c>
      <c r="E553" s="308" t="s">
        <v>775</v>
      </c>
      <c r="F553" s="309">
        <v>340</v>
      </c>
      <c r="G553" s="309">
        <v>30</v>
      </c>
      <c r="H553" s="310">
        <v>30</v>
      </c>
      <c r="I553" s="309">
        <v>0</v>
      </c>
      <c r="J553" s="309">
        <v>207</v>
      </c>
      <c r="K553" s="309">
        <v>4</v>
      </c>
      <c r="L553" s="309">
        <v>4</v>
      </c>
      <c r="M553" s="309">
        <v>0</v>
      </c>
      <c r="N553" s="309">
        <v>224</v>
      </c>
      <c r="O553" s="309">
        <v>17</v>
      </c>
      <c r="P553" s="309">
        <v>561</v>
      </c>
      <c r="Q553" s="310">
        <v>487</v>
      </c>
      <c r="R553" s="311">
        <f t="shared" si="162"/>
        <v>1332</v>
      </c>
      <c r="S553" s="363">
        <f t="shared" si="163"/>
        <v>538</v>
      </c>
      <c r="T553" s="311"/>
      <c r="U553" s="311"/>
      <c r="V553" s="311"/>
      <c r="W553" s="311"/>
      <c r="X553" s="311"/>
    </row>
    <row r="554" spans="1:24" ht="12.75">
      <c r="A554" s="307" t="s">
        <v>409</v>
      </c>
      <c r="B554" s="308" t="s">
        <v>153</v>
      </c>
      <c r="C554" s="308" t="s">
        <v>812</v>
      </c>
      <c r="D554" s="308">
        <v>2014</v>
      </c>
      <c r="E554" s="308" t="s">
        <v>775</v>
      </c>
      <c r="F554" s="309">
        <v>8</v>
      </c>
      <c r="G554" s="309">
        <v>0</v>
      </c>
      <c r="H554" s="310">
        <v>0</v>
      </c>
      <c r="I554" s="309">
        <v>0</v>
      </c>
      <c r="J554" s="309">
        <v>5</v>
      </c>
      <c r="K554" s="309">
        <v>0</v>
      </c>
      <c r="L554" s="309">
        <v>0</v>
      </c>
      <c r="M554" s="309">
        <v>0</v>
      </c>
      <c r="N554" s="309">
        <v>5</v>
      </c>
      <c r="O554" s="309">
        <v>0</v>
      </c>
      <c r="P554" s="309">
        <v>13</v>
      </c>
      <c r="Q554" s="310">
        <v>4</v>
      </c>
      <c r="R554" s="311">
        <f t="shared" si="162"/>
        <v>31</v>
      </c>
      <c r="S554" s="363">
        <f t="shared" si="163"/>
        <v>4</v>
      </c>
      <c r="T554" s="311"/>
      <c r="U554" s="311"/>
      <c r="V554" s="311"/>
      <c r="W554" s="311"/>
      <c r="X554" s="311"/>
    </row>
    <row r="555" spans="1:24" ht="12.75">
      <c r="A555" s="307" t="s">
        <v>410</v>
      </c>
      <c r="B555" s="308" t="s">
        <v>153</v>
      </c>
      <c r="C555" s="308" t="s">
        <v>812</v>
      </c>
      <c r="D555" s="308">
        <v>2014</v>
      </c>
      <c r="E555" s="308" t="s">
        <v>775</v>
      </c>
      <c r="F555" s="309">
        <v>372</v>
      </c>
      <c r="G555" s="309">
        <v>0</v>
      </c>
      <c r="H555" s="310">
        <v>0</v>
      </c>
      <c r="I555" s="309">
        <v>0</v>
      </c>
      <c r="J555" s="309">
        <v>223</v>
      </c>
      <c r="K555" s="309">
        <v>0</v>
      </c>
      <c r="L555" s="309">
        <v>0</v>
      </c>
      <c r="M555" s="309">
        <v>0</v>
      </c>
      <c r="N555" s="309">
        <v>238</v>
      </c>
      <c r="O555" s="309">
        <v>0</v>
      </c>
      <c r="P555" s="309">
        <v>564</v>
      </c>
      <c r="Q555" s="310">
        <v>35</v>
      </c>
      <c r="R555" s="311">
        <f t="shared" si="162"/>
        <v>1397</v>
      </c>
      <c r="S555" s="363">
        <f t="shared" si="163"/>
        <v>35</v>
      </c>
      <c r="T555" s="311"/>
      <c r="U555" s="311"/>
      <c r="V555" s="311"/>
      <c r="W555" s="311"/>
      <c r="X555" s="311"/>
    </row>
    <row r="556" spans="1:24" ht="12.75">
      <c r="A556" s="307" t="s">
        <v>413</v>
      </c>
      <c r="B556" s="308" t="s">
        <v>153</v>
      </c>
      <c r="C556" s="308" t="s">
        <v>812</v>
      </c>
      <c r="D556" s="308">
        <v>2014</v>
      </c>
      <c r="E556" s="308" t="s">
        <v>775</v>
      </c>
      <c r="F556" s="309">
        <v>153</v>
      </c>
      <c r="G556" s="309">
        <v>0</v>
      </c>
      <c r="H556" s="310">
        <v>0</v>
      </c>
      <c r="I556" s="309">
        <v>0</v>
      </c>
      <c r="J556" s="309">
        <v>88</v>
      </c>
      <c r="K556" s="309">
        <v>0</v>
      </c>
      <c r="L556" s="309">
        <v>0</v>
      </c>
      <c r="M556" s="309">
        <v>0</v>
      </c>
      <c r="N556" s="309">
        <v>99</v>
      </c>
      <c r="O556" s="309">
        <v>0</v>
      </c>
      <c r="P556" s="309">
        <v>262</v>
      </c>
      <c r="Q556" s="310">
        <v>0</v>
      </c>
      <c r="R556" s="311">
        <f t="shared" si="162"/>
        <v>602</v>
      </c>
      <c r="S556" s="363">
        <f t="shared" si="163"/>
        <v>0</v>
      </c>
      <c r="T556" s="311"/>
      <c r="U556" s="311"/>
      <c r="V556" s="311"/>
      <c r="W556" s="311"/>
      <c r="X556" s="311"/>
    </row>
    <row r="557" spans="1:24" ht="12.75">
      <c r="A557" s="307" t="s">
        <v>414</v>
      </c>
      <c r="B557" s="308" t="s">
        <v>153</v>
      </c>
      <c r="C557" s="308" t="s">
        <v>812</v>
      </c>
      <c r="D557" s="308">
        <v>2014</v>
      </c>
      <c r="E557" s="308" t="s">
        <v>775</v>
      </c>
      <c r="F557" s="309">
        <v>121</v>
      </c>
      <c r="G557" s="309">
        <v>0</v>
      </c>
      <c r="H557" s="310">
        <v>0</v>
      </c>
      <c r="I557" s="309">
        <v>0</v>
      </c>
      <c r="J557" s="309">
        <v>72</v>
      </c>
      <c r="K557" s="309">
        <v>0</v>
      </c>
      <c r="L557" s="309">
        <v>0</v>
      </c>
      <c r="M557" s="309">
        <v>0</v>
      </c>
      <c r="N557" s="309">
        <v>77</v>
      </c>
      <c r="O557" s="309">
        <v>0</v>
      </c>
      <c r="P557" s="309">
        <v>193</v>
      </c>
      <c r="Q557" s="310">
        <v>3</v>
      </c>
      <c r="R557" s="311">
        <f t="shared" si="162"/>
        <v>463</v>
      </c>
      <c r="S557" s="363">
        <f t="shared" si="163"/>
        <v>3</v>
      </c>
      <c r="T557" s="311"/>
      <c r="U557" s="311"/>
      <c r="V557" s="311"/>
      <c r="W557" s="311"/>
      <c r="X557" s="311"/>
    </row>
    <row r="558" spans="1:24" ht="12.75">
      <c r="A558" s="307" t="s">
        <v>415</v>
      </c>
      <c r="B558" s="308" t="s">
        <v>153</v>
      </c>
      <c r="C558" s="308" t="s">
        <v>812</v>
      </c>
      <c r="D558" s="308">
        <v>2014</v>
      </c>
      <c r="E558" s="308" t="s">
        <v>775</v>
      </c>
      <c r="F558" s="309">
        <v>55</v>
      </c>
      <c r="G558" s="309">
        <v>28</v>
      </c>
      <c r="H558" s="310">
        <v>28</v>
      </c>
      <c r="I558" s="309">
        <v>0</v>
      </c>
      <c r="J558" s="309">
        <v>32</v>
      </c>
      <c r="K558" s="309">
        <v>4</v>
      </c>
      <c r="L558" s="309">
        <v>4</v>
      </c>
      <c r="M558" s="309">
        <v>0</v>
      </c>
      <c r="N558" s="309">
        <v>35</v>
      </c>
      <c r="O558" s="309">
        <v>0</v>
      </c>
      <c r="P558" s="309">
        <v>95</v>
      </c>
      <c r="Q558" s="310">
        <v>27</v>
      </c>
      <c r="R558" s="311">
        <f t="shared" si="162"/>
        <v>217</v>
      </c>
      <c r="S558" s="363">
        <f t="shared" si="163"/>
        <v>59</v>
      </c>
      <c r="T558" s="311"/>
      <c r="U558" s="311"/>
      <c r="V558" s="311"/>
      <c r="W558" s="311"/>
      <c r="X558" s="311"/>
    </row>
    <row r="559" spans="1:24" ht="12.75">
      <c r="A559" s="307" t="s">
        <v>416</v>
      </c>
      <c r="B559" s="308" t="s">
        <v>153</v>
      </c>
      <c r="C559" s="308" t="s">
        <v>812</v>
      </c>
      <c r="D559" s="308">
        <v>2014</v>
      </c>
      <c r="E559" s="308" t="s">
        <v>775</v>
      </c>
      <c r="F559" s="309">
        <v>236</v>
      </c>
      <c r="G559" s="309">
        <v>0</v>
      </c>
      <c r="H559" s="310">
        <v>0</v>
      </c>
      <c r="I559" s="309">
        <v>0</v>
      </c>
      <c r="J559" s="309">
        <v>142</v>
      </c>
      <c r="K559" s="309">
        <v>0</v>
      </c>
      <c r="L559" s="309">
        <v>0</v>
      </c>
      <c r="M559" s="309">
        <v>0</v>
      </c>
      <c r="N559" s="309">
        <v>154</v>
      </c>
      <c r="O559" s="309">
        <v>6</v>
      </c>
      <c r="P559" s="309">
        <v>398</v>
      </c>
      <c r="Q559" s="310">
        <v>18</v>
      </c>
      <c r="R559" s="311">
        <f t="shared" si="162"/>
        <v>930</v>
      </c>
      <c r="S559" s="363">
        <f t="shared" si="163"/>
        <v>24</v>
      </c>
      <c r="T559" s="311"/>
      <c r="U559" s="311"/>
      <c r="V559" s="311"/>
      <c r="W559" s="311"/>
      <c r="X559" s="311"/>
    </row>
    <row r="560" spans="1:24" ht="12.75">
      <c r="A560" s="307" t="s">
        <v>418</v>
      </c>
      <c r="B560" s="308" t="s">
        <v>153</v>
      </c>
      <c r="C560" s="308" t="s">
        <v>812</v>
      </c>
      <c r="D560" s="308">
        <v>2014</v>
      </c>
      <c r="E560" s="308" t="s">
        <v>775</v>
      </c>
      <c r="F560" s="309">
        <v>2645</v>
      </c>
      <c r="G560" s="309">
        <v>3</v>
      </c>
      <c r="H560" s="310">
        <v>3</v>
      </c>
      <c r="I560" s="309">
        <v>0</v>
      </c>
      <c r="J560" s="309">
        <v>1678</v>
      </c>
      <c r="K560" s="309">
        <v>32</v>
      </c>
      <c r="L560" s="309">
        <v>2</v>
      </c>
      <c r="M560" s="309">
        <v>30</v>
      </c>
      <c r="N560" s="309">
        <v>1532</v>
      </c>
      <c r="O560" s="309">
        <v>141</v>
      </c>
      <c r="P560" s="309">
        <v>5126</v>
      </c>
      <c r="Q560" s="310">
        <v>212</v>
      </c>
      <c r="R560" s="311">
        <f t="shared" si="162"/>
        <v>10981</v>
      </c>
      <c r="S560" s="363">
        <f t="shared" si="163"/>
        <v>388</v>
      </c>
      <c r="T560" s="311"/>
      <c r="U560" s="311"/>
      <c r="V560" s="311"/>
      <c r="W560" s="311"/>
      <c r="X560" s="311"/>
    </row>
    <row r="561" spans="1:24" ht="12.75">
      <c r="A561" s="307" t="s">
        <v>419</v>
      </c>
      <c r="B561" s="308" t="s">
        <v>153</v>
      </c>
      <c r="C561" s="308" t="s">
        <v>812</v>
      </c>
      <c r="D561" s="308">
        <v>2014</v>
      </c>
      <c r="E561" s="308" t="s">
        <v>775</v>
      </c>
      <c r="F561" s="309">
        <v>82</v>
      </c>
      <c r="G561" s="309">
        <v>0</v>
      </c>
      <c r="H561" s="310">
        <v>0</v>
      </c>
      <c r="I561" s="309">
        <v>0</v>
      </c>
      <c r="J561" s="309">
        <v>50</v>
      </c>
      <c r="K561" s="309">
        <v>0</v>
      </c>
      <c r="L561" s="309">
        <v>0</v>
      </c>
      <c r="M561" s="309">
        <v>0</v>
      </c>
      <c r="N561" s="309">
        <v>53</v>
      </c>
      <c r="O561" s="309">
        <v>0</v>
      </c>
      <c r="P561" s="309">
        <v>139</v>
      </c>
      <c r="Q561" s="310">
        <v>156</v>
      </c>
      <c r="R561" s="311">
        <f t="shared" si="162"/>
        <v>324</v>
      </c>
      <c r="S561" s="363">
        <f t="shared" si="163"/>
        <v>156</v>
      </c>
      <c r="T561" s="311"/>
      <c r="U561" s="311"/>
      <c r="V561" s="311"/>
      <c r="W561" s="311"/>
      <c r="X561" s="311"/>
    </row>
    <row r="562" spans="1:24" ht="12.75">
      <c r="A562" s="307" t="s">
        <v>420</v>
      </c>
      <c r="B562" s="308" t="s">
        <v>153</v>
      </c>
      <c r="C562" s="308" t="s">
        <v>812</v>
      </c>
      <c r="D562" s="308">
        <v>2014</v>
      </c>
      <c r="E562" s="308" t="s">
        <v>775</v>
      </c>
      <c r="F562" s="309">
        <v>428</v>
      </c>
      <c r="G562" s="309">
        <v>167</v>
      </c>
      <c r="H562" s="310">
        <v>167</v>
      </c>
      <c r="I562" s="309">
        <v>0</v>
      </c>
      <c r="J562" s="309">
        <v>263</v>
      </c>
      <c r="K562" s="309">
        <v>97</v>
      </c>
      <c r="L562" s="309">
        <v>97</v>
      </c>
      <c r="M562" s="309">
        <v>0</v>
      </c>
      <c r="N562" s="309">
        <v>283</v>
      </c>
      <c r="O562" s="309">
        <v>17</v>
      </c>
      <c r="P562" s="309">
        <v>700</v>
      </c>
      <c r="Q562" s="310">
        <v>301</v>
      </c>
      <c r="R562" s="311">
        <f t="shared" si="162"/>
        <v>1674</v>
      </c>
      <c r="S562" s="363">
        <f t="shared" si="163"/>
        <v>582</v>
      </c>
      <c r="T562" s="311"/>
      <c r="U562" s="311"/>
      <c r="V562" s="311"/>
      <c r="W562" s="311"/>
      <c r="X562" s="311"/>
    </row>
    <row r="563" spans="1:24" ht="12.75">
      <c r="A563" s="307" t="s">
        <v>421</v>
      </c>
      <c r="B563" s="308" t="s">
        <v>153</v>
      </c>
      <c r="C563" s="308" t="s">
        <v>812</v>
      </c>
      <c r="D563" s="308">
        <v>2014</v>
      </c>
      <c r="E563" s="308" t="s">
        <v>775</v>
      </c>
      <c r="F563" s="309">
        <v>14</v>
      </c>
      <c r="G563" s="309">
        <v>2</v>
      </c>
      <c r="H563" s="310">
        <v>0</v>
      </c>
      <c r="I563" s="309">
        <v>2</v>
      </c>
      <c r="J563" s="309">
        <v>9</v>
      </c>
      <c r="K563" s="309">
        <v>5</v>
      </c>
      <c r="L563" s="309">
        <v>0</v>
      </c>
      <c r="M563" s="309">
        <v>5</v>
      </c>
      <c r="N563" s="309">
        <v>9</v>
      </c>
      <c r="O563" s="309">
        <v>0</v>
      </c>
      <c r="P563" s="309">
        <v>23</v>
      </c>
      <c r="Q563" s="310">
        <v>5</v>
      </c>
      <c r="R563" s="311">
        <f t="shared" si="162"/>
        <v>55</v>
      </c>
      <c r="S563" s="363">
        <f t="shared" si="163"/>
        <v>12</v>
      </c>
      <c r="T563" s="311"/>
      <c r="U563" s="311"/>
      <c r="V563" s="311"/>
      <c r="W563" s="311"/>
      <c r="X563" s="311"/>
    </row>
    <row r="564" spans="1:24" ht="12.75">
      <c r="A564" s="307" t="s">
        <v>422</v>
      </c>
      <c r="B564" s="308" t="s">
        <v>153</v>
      </c>
      <c r="C564" s="308" t="s">
        <v>812</v>
      </c>
      <c r="D564" s="308">
        <v>2014</v>
      </c>
      <c r="E564" s="308" t="s">
        <v>775</v>
      </c>
      <c r="F564" s="309">
        <v>44</v>
      </c>
      <c r="G564" s="309">
        <v>0</v>
      </c>
      <c r="H564" s="310">
        <v>0</v>
      </c>
      <c r="I564" s="309">
        <v>0</v>
      </c>
      <c r="J564" s="309">
        <v>27</v>
      </c>
      <c r="K564" s="309">
        <v>0</v>
      </c>
      <c r="L564" s="309">
        <v>0</v>
      </c>
      <c r="M564" s="309">
        <v>0</v>
      </c>
      <c r="N564" s="309">
        <v>28</v>
      </c>
      <c r="O564" s="309">
        <v>17</v>
      </c>
      <c r="P564" s="309">
        <v>70</v>
      </c>
      <c r="Q564" s="310">
        <v>1</v>
      </c>
      <c r="R564" s="311">
        <f t="shared" si="162"/>
        <v>169</v>
      </c>
      <c r="S564" s="363">
        <f t="shared" si="163"/>
        <v>18</v>
      </c>
      <c r="T564" s="311"/>
      <c r="U564" s="311"/>
      <c r="V564" s="311"/>
      <c r="W564" s="311"/>
      <c r="X564" s="311"/>
    </row>
    <row r="565" spans="1:24" ht="12.75">
      <c r="A565" s="307" t="s">
        <v>423</v>
      </c>
      <c r="B565" s="308" t="s">
        <v>153</v>
      </c>
      <c r="C565" s="308" t="s">
        <v>812</v>
      </c>
      <c r="D565" s="308">
        <v>2014</v>
      </c>
      <c r="E565" s="308" t="s">
        <v>775</v>
      </c>
      <c r="F565" s="309">
        <v>43</v>
      </c>
      <c r="G565" s="309">
        <v>0</v>
      </c>
      <c r="H565" s="310">
        <v>0</v>
      </c>
      <c r="I565" s="309">
        <v>0</v>
      </c>
      <c r="J565" s="309">
        <v>25</v>
      </c>
      <c r="K565" s="309">
        <v>4</v>
      </c>
      <c r="L565" s="309">
        <v>0</v>
      </c>
      <c r="M565" s="309">
        <v>4</v>
      </c>
      <c r="N565" s="309">
        <v>28</v>
      </c>
      <c r="O565" s="309">
        <v>0</v>
      </c>
      <c r="P565" s="309">
        <v>76</v>
      </c>
      <c r="Q565" s="310">
        <v>76</v>
      </c>
      <c r="R565" s="311">
        <f t="shared" si="162"/>
        <v>172</v>
      </c>
      <c r="S565" s="363">
        <f t="shared" si="163"/>
        <v>80</v>
      </c>
      <c r="T565" s="311"/>
      <c r="U565" s="311"/>
      <c r="V565" s="311"/>
      <c r="W565" s="311"/>
      <c r="X565" s="311"/>
    </row>
    <row r="566" spans="1:24" ht="12.75">
      <c r="A566" s="307" t="s">
        <v>424</v>
      </c>
      <c r="B566" s="308" t="s">
        <v>153</v>
      </c>
      <c r="C566" s="308" t="s">
        <v>812</v>
      </c>
      <c r="D566" s="308">
        <v>2014</v>
      </c>
      <c r="E566" s="308" t="s">
        <v>775</v>
      </c>
      <c r="F566" s="309">
        <v>314</v>
      </c>
      <c r="G566" s="309">
        <v>22</v>
      </c>
      <c r="H566" s="310">
        <v>22</v>
      </c>
      <c r="I566" s="309">
        <v>0</v>
      </c>
      <c r="J566" s="309">
        <v>185</v>
      </c>
      <c r="K566" s="309">
        <v>192</v>
      </c>
      <c r="L566" s="309">
        <v>192</v>
      </c>
      <c r="M566" s="309">
        <v>0</v>
      </c>
      <c r="N566" s="309">
        <v>205</v>
      </c>
      <c r="O566" s="309">
        <v>15</v>
      </c>
      <c r="P566" s="309">
        <v>558</v>
      </c>
      <c r="Q566" s="310">
        <v>6</v>
      </c>
      <c r="R566" s="311">
        <f t="shared" si="162"/>
        <v>1262</v>
      </c>
      <c r="S566" s="363">
        <f t="shared" si="163"/>
        <v>235</v>
      </c>
      <c r="T566" s="311"/>
      <c r="U566" s="311"/>
      <c r="V566" s="311"/>
      <c r="W566" s="311"/>
      <c r="X566" s="311"/>
    </row>
    <row r="567" spans="1:24" ht="12.75">
      <c r="A567" s="307" t="s">
        <v>425</v>
      </c>
      <c r="B567" s="308" t="s">
        <v>153</v>
      </c>
      <c r="C567" s="308" t="s">
        <v>812</v>
      </c>
      <c r="D567" s="308">
        <v>2014</v>
      </c>
      <c r="E567" s="308" t="s">
        <v>775</v>
      </c>
      <c r="F567" s="309">
        <v>17</v>
      </c>
      <c r="G567" s="309">
        <v>0</v>
      </c>
      <c r="H567" s="310">
        <v>0</v>
      </c>
      <c r="I567" s="309">
        <v>0</v>
      </c>
      <c r="J567" s="309">
        <v>10</v>
      </c>
      <c r="K567" s="309">
        <v>0</v>
      </c>
      <c r="L567" s="309">
        <v>0</v>
      </c>
      <c r="M567" s="309">
        <v>0</v>
      </c>
      <c r="N567" s="309">
        <v>11</v>
      </c>
      <c r="O567" s="309">
        <v>0</v>
      </c>
      <c r="P567" s="309">
        <v>25</v>
      </c>
      <c r="Q567" s="310">
        <v>40</v>
      </c>
      <c r="R567" s="311">
        <f t="shared" si="162"/>
        <v>63</v>
      </c>
      <c r="S567" s="363">
        <f t="shared" si="163"/>
        <v>40</v>
      </c>
      <c r="T567" s="311"/>
      <c r="U567" s="311"/>
      <c r="V567" s="311"/>
      <c r="W567" s="311"/>
      <c r="X567" s="311"/>
    </row>
    <row r="568" spans="1:24" ht="12.75">
      <c r="A568" s="312" t="s">
        <v>427</v>
      </c>
      <c r="B568" s="313" t="s">
        <v>153</v>
      </c>
      <c r="C568" s="313" t="s">
        <v>812</v>
      </c>
      <c r="D568" s="313">
        <v>2014</v>
      </c>
      <c r="E568" s="313" t="s">
        <v>775</v>
      </c>
      <c r="F568" s="310">
        <v>380</v>
      </c>
      <c r="G568" s="309">
        <v>0</v>
      </c>
      <c r="H568" s="310">
        <v>0</v>
      </c>
      <c r="I568" s="310">
        <v>0</v>
      </c>
      <c r="J568" s="309">
        <v>227</v>
      </c>
      <c r="K568" s="309">
        <v>0</v>
      </c>
      <c r="L568" s="310">
        <v>0</v>
      </c>
      <c r="M568" s="310">
        <v>0</v>
      </c>
      <c r="N568" s="310">
        <v>243</v>
      </c>
      <c r="O568" s="310">
        <v>0</v>
      </c>
      <c r="P568" s="310">
        <v>600</v>
      </c>
      <c r="Q568" s="310">
        <v>12</v>
      </c>
      <c r="R568" s="311">
        <f t="shared" si="162"/>
        <v>1450</v>
      </c>
      <c r="S568" s="363">
        <f t="shared" si="163"/>
        <v>12</v>
      </c>
      <c r="T568" s="311"/>
      <c r="U568" s="311"/>
      <c r="V568" s="311"/>
      <c r="W568" s="311"/>
      <c r="X568" s="311"/>
    </row>
    <row r="569" spans="1:24" ht="12.75">
      <c r="A569" s="312" t="s">
        <v>429</v>
      </c>
      <c r="B569" s="313" t="s">
        <v>153</v>
      </c>
      <c r="C569" s="313" t="s">
        <v>812</v>
      </c>
      <c r="D569" s="313">
        <v>2014</v>
      </c>
      <c r="E569" s="313" t="s">
        <v>775</v>
      </c>
      <c r="F569" s="310">
        <v>246</v>
      </c>
      <c r="G569" s="309">
        <v>0</v>
      </c>
      <c r="H569" s="310">
        <v>0</v>
      </c>
      <c r="I569" s="310">
        <v>0</v>
      </c>
      <c r="J569" s="309">
        <v>144</v>
      </c>
      <c r="K569" s="309">
        <v>0</v>
      </c>
      <c r="L569" s="310">
        <v>0</v>
      </c>
      <c r="M569" s="310">
        <v>0</v>
      </c>
      <c r="N569" s="310">
        <v>155</v>
      </c>
      <c r="O569" s="310">
        <v>1</v>
      </c>
      <c r="P569" s="310">
        <v>363</v>
      </c>
      <c r="Q569" s="310">
        <v>325</v>
      </c>
      <c r="R569" s="311">
        <f t="shared" si="162"/>
        <v>908</v>
      </c>
      <c r="S569" s="363">
        <f t="shared" si="163"/>
        <v>326</v>
      </c>
      <c r="T569" s="311"/>
      <c r="U569" s="311"/>
      <c r="V569" s="311"/>
      <c r="W569" s="311"/>
      <c r="X569" s="311"/>
    </row>
    <row r="570" spans="1:24" ht="12.75">
      <c r="A570" s="312" t="s">
        <v>430</v>
      </c>
      <c r="B570" s="313" t="s">
        <v>153</v>
      </c>
      <c r="C570" s="313" t="s">
        <v>812</v>
      </c>
      <c r="D570" s="313">
        <v>2014</v>
      </c>
      <c r="E570" s="313" t="s">
        <v>775</v>
      </c>
      <c r="F570" s="310">
        <v>217</v>
      </c>
      <c r="G570" s="309">
        <v>0</v>
      </c>
      <c r="H570" s="310">
        <v>0</v>
      </c>
      <c r="I570" s="310">
        <v>0</v>
      </c>
      <c r="J570" s="310">
        <v>129</v>
      </c>
      <c r="K570" s="309">
        <v>0</v>
      </c>
      <c r="L570" s="310">
        <v>0</v>
      </c>
      <c r="M570" s="310">
        <v>0</v>
      </c>
      <c r="N570" s="310">
        <v>138</v>
      </c>
      <c r="O570" s="310">
        <v>0</v>
      </c>
      <c r="P570" s="310">
        <v>347</v>
      </c>
      <c r="Q570" s="310">
        <v>481</v>
      </c>
      <c r="R570" s="311">
        <f t="shared" si="162"/>
        <v>831</v>
      </c>
      <c r="S570" s="363">
        <f t="shared" si="163"/>
        <v>481</v>
      </c>
      <c r="T570" s="311"/>
      <c r="U570" s="311"/>
      <c r="V570" s="311"/>
      <c r="W570" s="311"/>
      <c r="X570" s="311"/>
    </row>
    <row r="571" spans="1:24" ht="12.75">
      <c r="A571" s="312" t="s">
        <v>431</v>
      </c>
      <c r="B571" s="313" t="s">
        <v>153</v>
      </c>
      <c r="C571" s="313" t="s">
        <v>812</v>
      </c>
      <c r="D571" s="313">
        <v>2014</v>
      </c>
      <c r="E571" s="313" t="s">
        <v>775</v>
      </c>
      <c r="F571" s="310">
        <v>19</v>
      </c>
      <c r="G571" s="309">
        <v>0</v>
      </c>
      <c r="H571" s="310">
        <v>0</v>
      </c>
      <c r="I571" s="310">
        <v>0</v>
      </c>
      <c r="J571" s="310">
        <v>12</v>
      </c>
      <c r="K571" s="309">
        <v>18</v>
      </c>
      <c r="L571" s="310">
        <v>18</v>
      </c>
      <c r="M571" s="310">
        <v>0</v>
      </c>
      <c r="N571" s="310">
        <v>13</v>
      </c>
      <c r="O571" s="310">
        <v>19</v>
      </c>
      <c r="P571" s="310">
        <v>33</v>
      </c>
      <c r="Q571" s="310">
        <v>233</v>
      </c>
      <c r="R571" s="311">
        <f t="shared" si="162"/>
        <v>77</v>
      </c>
      <c r="S571" s="363">
        <f t="shared" si="163"/>
        <v>270</v>
      </c>
      <c r="T571" s="311"/>
      <c r="U571" s="311"/>
      <c r="V571" s="311"/>
      <c r="W571" s="311"/>
      <c r="X571" s="311"/>
    </row>
    <row r="572" spans="1:24" ht="12.75">
      <c r="A572" s="312" t="s">
        <v>433</v>
      </c>
      <c r="B572" s="313" t="s">
        <v>153</v>
      </c>
      <c r="C572" s="313" t="s">
        <v>812</v>
      </c>
      <c r="D572" s="313">
        <v>2014</v>
      </c>
      <c r="E572" s="313" t="s">
        <v>775</v>
      </c>
      <c r="F572" s="310">
        <v>228</v>
      </c>
      <c r="G572" s="309">
        <v>0</v>
      </c>
      <c r="H572" s="310">
        <v>0</v>
      </c>
      <c r="I572" s="310">
        <v>0</v>
      </c>
      <c r="J572" s="310">
        <v>135</v>
      </c>
      <c r="K572" s="309">
        <v>0</v>
      </c>
      <c r="L572" s="310">
        <v>0</v>
      </c>
      <c r="M572" s="310">
        <v>0</v>
      </c>
      <c r="N572" s="310">
        <v>146</v>
      </c>
      <c r="O572" s="310">
        <v>71</v>
      </c>
      <c r="P572" s="310">
        <v>369</v>
      </c>
      <c r="Q572" s="310">
        <v>0</v>
      </c>
      <c r="R572" s="311">
        <f t="shared" si="162"/>
        <v>878</v>
      </c>
      <c r="S572" s="363">
        <f t="shared" si="163"/>
        <v>71</v>
      </c>
      <c r="T572" s="314">
        <f>SUM(G516:G572)</f>
        <v>1489</v>
      </c>
      <c r="U572" s="314">
        <f>SUM(K516:K572)</f>
        <v>1306</v>
      </c>
      <c r="V572" s="314">
        <f>SUM(O516:O572)</f>
        <v>736</v>
      </c>
      <c r="W572" s="314">
        <f>SUM(Q516:Q572)</f>
        <v>17955</v>
      </c>
      <c r="X572" s="314">
        <f>T572+U572+V572+W572</f>
        <v>21486</v>
      </c>
    </row>
    <row r="573" spans="1:24" ht="12.75">
      <c r="A573" s="315" t="s">
        <v>346</v>
      </c>
      <c r="B573" s="316" t="s">
        <v>153</v>
      </c>
      <c r="C573" s="316" t="s">
        <v>812</v>
      </c>
      <c r="D573" s="316">
        <v>2015</v>
      </c>
      <c r="E573" s="316" t="s">
        <v>775</v>
      </c>
      <c r="F573" s="317">
        <v>31</v>
      </c>
      <c r="G573" s="317">
        <v>0</v>
      </c>
      <c r="H573" s="317">
        <v>0</v>
      </c>
      <c r="I573" s="317">
        <v>0</v>
      </c>
      <c r="J573" s="317">
        <v>19</v>
      </c>
      <c r="K573" s="317">
        <v>0</v>
      </c>
      <c r="L573" s="317">
        <v>0</v>
      </c>
      <c r="M573" s="317">
        <v>0</v>
      </c>
      <c r="N573" s="317">
        <v>20</v>
      </c>
      <c r="O573" s="317">
        <v>0</v>
      </c>
      <c r="P573" s="317">
        <v>45</v>
      </c>
      <c r="Q573" s="318">
        <v>15</v>
      </c>
      <c r="R573" s="319">
        <f t="shared" si="162"/>
        <v>115</v>
      </c>
      <c r="S573" s="364">
        <f t="shared" si="163"/>
        <v>15</v>
      </c>
      <c r="T573" s="319"/>
      <c r="U573" s="319"/>
      <c r="V573" s="319"/>
      <c r="W573" s="319"/>
      <c r="X573" s="319"/>
    </row>
    <row r="574" spans="1:24" ht="12.75">
      <c r="A574" s="315" t="s">
        <v>347</v>
      </c>
      <c r="B574" s="316" t="s">
        <v>153</v>
      </c>
      <c r="C574" s="316" t="s">
        <v>812</v>
      </c>
      <c r="D574" s="316">
        <v>2015</v>
      </c>
      <c r="E574" s="316" t="s">
        <v>775</v>
      </c>
      <c r="F574" s="317">
        <v>380</v>
      </c>
      <c r="G574" s="317">
        <v>0</v>
      </c>
      <c r="H574" s="318">
        <v>0</v>
      </c>
      <c r="I574" s="317">
        <v>0</v>
      </c>
      <c r="J574" s="317">
        <v>224</v>
      </c>
      <c r="K574" s="317">
        <v>0</v>
      </c>
      <c r="L574" s="317">
        <v>0</v>
      </c>
      <c r="M574" s="317">
        <v>0</v>
      </c>
      <c r="N574" s="317">
        <v>246</v>
      </c>
      <c r="O574" s="317">
        <v>0</v>
      </c>
      <c r="P574" s="317">
        <v>642</v>
      </c>
      <c r="Q574" s="318">
        <v>0</v>
      </c>
      <c r="R574" s="319">
        <f t="shared" si="162"/>
        <v>1492</v>
      </c>
      <c r="S574" s="364">
        <f t="shared" si="163"/>
        <v>0</v>
      </c>
      <c r="T574" s="319"/>
      <c r="U574" s="319"/>
      <c r="V574" s="319"/>
      <c r="W574" s="319"/>
      <c r="X574" s="319"/>
    </row>
    <row r="575" spans="1:24" ht="12.75">
      <c r="A575" s="315" t="s">
        <v>349</v>
      </c>
      <c r="B575" s="316" t="s">
        <v>153</v>
      </c>
      <c r="C575" s="316" t="s">
        <v>812</v>
      </c>
      <c r="D575" s="316">
        <v>2015</v>
      </c>
      <c r="E575" s="316" t="s">
        <v>775</v>
      </c>
      <c r="F575" s="317">
        <v>31</v>
      </c>
      <c r="G575" s="317">
        <v>0</v>
      </c>
      <c r="H575" s="318">
        <v>0</v>
      </c>
      <c r="I575" s="317">
        <v>0</v>
      </c>
      <c r="J575" s="317">
        <v>18</v>
      </c>
      <c r="K575" s="317">
        <v>0</v>
      </c>
      <c r="L575" s="317">
        <v>0</v>
      </c>
      <c r="M575" s="317">
        <v>0</v>
      </c>
      <c r="N575" s="317">
        <v>20</v>
      </c>
      <c r="O575" s="317">
        <v>0</v>
      </c>
      <c r="P575" s="317">
        <v>51</v>
      </c>
      <c r="Q575" s="318">
        <v>8</v>
      </c>
      <c r="R575" s="319">
        <f t="shared" si="162"/>
        <v>120</v>
      </c>
      <c r="S575" s="364">
        <f t="shared" si="163"/>
        <v>8</v>
      </c>
      <c r="T575" s="319"/>
      <c r="U575" s="319"/>
      <c r="V575" s="319"/>
      <c r="W575" s="319"/>
      <c r="X575" s="319"/>
    </row>
    <row r="576" spans="1:24" ht="12.75">
      <c r="A576" s="315" t="s">
        <v>350</v>
      </c>
      <c r="B576" s="316" t="s">
        <v>153</v>
      </c>
      <c r="C576" s="316" t="s">
        <v>812</v>
      </c>
      <c r="D576" s="316">
        <v>2015</v>
      </c>
      <c r="E576" s="316" t="s">
        <v>775</v>
      </c>
      <c r="F576" s="317">
        <v>20</v>
      </c>
      <c r="G576" s="317">
        <v>0</v>
      </c>
      <c r="H576" s="318">
        <v>0</v>
      </c>
      <c r="I576" s="317">
        <v>0</v>
      </c>
      <c r="J576" s="317">
        <v>12</v>
      </c>
      <c r="K576" s="317">
        <v>0</v>
      </c>
      <c r="L576" s="317">
        <v>0</v>
      </c>
      <c r="M576" s="317">
        <v>0</v>
      </c>
      <c r="N576" s="317">
        <v>14</v>
      </c>
      <c r="O576" s="317">
        <v>0</v>
      </c>
      <c r="P576" s="317">
        <v>34</v>
      </c>
      <c r="Q576" s="318">
        <v>1</v>
      </c>
      <c r="R576" s="319">
        <f t="shared" si="162"/>
        <v>80</v>
      </c>
      <c r="S576" s="364">
        <f t="shared" si="163"/>
        <v>1</v>
      </c>
      <c r="T576" s="319"/>
      <c r="U576" s="319"/>
      <c r="V576" s="319"/>
      <c r="W576" s="319"/>
      <c r="X576" s="319"/>
    </row>
    <row r="577" spans="1:24" ht="12.75">
      <c r="A577" s="315" t="s">
        <v>351</v>
      </c>
      <c r="B577" s="316" t="s">
        <v>153</v>
      </c>
      <c r="C577" s="316" t="s">
        <v>812</v>
      </c>
      <c r="D577" s="316">
        <v>2015</v>
      </c>
      <c r="E577" s="316" t="s">
        <v>775</v>
      </c>
      <c r="F577" s="317">
        <v>198</v>
      </c>
      <c r="G577" s="317">
        <v>0</v>
      </c>
      <c r="H577" s="318">
        <v>0</v>
      </c>
      <c r="I577" s="317">
        <v>0</v>
      </c>
      <c r="J577" s="317">
        <v>118</v>
      </c>
      <c r="K577" s="317">
        <v>0</v>
      </c>
      <c r="L577" s="317">
        <v>0</v>
      </c>
      <c r="M577" s="317">
        <v>0</v>
      </c>
      <c r="N577" s="317">
        <v>127</v>
      </c>
      <c r="O577" s="317">
        <v>112</v>
      </c>
      <c r="P577" s="317">
        <v>336</v>
      </c>
      <c r="Q577" s="318">
        <v>0</v>
      </c>
      <c r="R577" s="319">
        <f t="shared" si="162"/>
        <v>779</v>
      </c>
      <c r="S577" s="364">
        <f t="shared" si="163"/>
        <v>112</v>
      </c>
      <c r="T577" s="319"/>
      <c r="U577" s="319"/>
      <c r="V577" s="319"/>
      <c r="W577" s="319"/>
      <c r="X577" s="319"/>
    </row>
    <row r="578" spans="1:24" ht="12.75">
      <c r="A578" s="315" t="s">
        <v>352</v>
      </c>
      <c r="B578" s="316" t="s">
        <v>153</v>
      </c>
      <c r="C578" s="316" t="s">
        <v>812</v>
      </c>
      <c r="D578" s="316">
        <v>2015</v>
      </c>
      <c r="E578" s="316" t="s">
        <v>775</v>
      </c>
      <c r="F578" s="317">
        <v>142</v>
      </c>
      <c r="G578" s="317">
        <v>0</v>
      </c>
      <c r="H578" s="318">
        <v>0</v>
      </c>
      <c r="I578" s="317">
        <v>0</v>
      </c>
      <c r="J578" s="317">
        <v>83</v>
      </c>
      <c r="K578" s="317">
        <v>1</v>
      </c>
      <c r="L578" s="317">
        <v>1</v>
      </c>
      <c r="M578" s="317">
        <v>0</v>
      </c>
      <c r="N578" s="317">
        <v>90</v>
      </c>
      <c r="O578" s="317">
        <v>0</v>
      </c>
      <c r="P578" s="317">
        <v>242</v>
      </c>
      <c r="Q578" s="318">
        <v>21</v>
      </c>
      <c r="R578" s="319">
        <f t="shared" si="162"/>
        <v>557</v>
      </c>
      <c r="S578" s="364">
        <f t="shared" si="163"/>
        <v>22</v>
      </c>
      <c r="T578" s="319"/>
      <c r="U578" s="319"/>
      <c r="V578" s="319"/>
      <c r="W578" s="319"/>
      <c r="X578" s="319"/>
    </row>
    <row r="579" spans="1:24" ht="12.75">
      <c r="A579" s="315" t="s">
        <v>353</v>
      </c>
      <c r="B579" s="316" t="s">
        <v>153</v>
      </c>
      <c r="C579" s="316" t="s">
        <v>812</v>
      </c>
      <c r="D579" s="316">
        <v>2015</v>
      </c>
      <c r="E579" s="316" t="s">
        <v>775</v>
      </c>
      <c r="F579" s="317">
        <v>11</v>
      </c>
      <c r="G579" s="317">
        <v>0</v>
      </c>
      <c r="H579" s="318">
        <v>0</v>
      </c>
      <c r="I579" s="317">
        <v>0</v>
      </c>
      <c r="J579" s="317">
        <v>7</v>
      </c>
      <c r="K579" s="317">
        <v>0</v>
      </c>
      <c r="L579" s="317">
        <v>0</v>
      </c>
      <c r="M579" s="317">
        <v>0</v>
      </c>
      <c r="N579" s="317">
        <v>8</v>
      </c>
      <c r="O579" s="317">
        <v>3</v>
      </c>
      <c r="P579" s="317">
        <v>21</v>
      </c>
      <c r="Q579" s="318">
        <v>0</v>
      </c>
      <c r="R579" s="319">
        <f t="shared" si="162"/>
        <v>47</v>
      </c>
      <c r="S579" s="364">
        <f t="shared" si="163"/>
        <v>3</v>
      </c>
      <c r="T579" s="319"/>
      <c r="U579" s="319"/>
      <c r="V579" s="319"/>
      <c r="W579" s="319"/>
      <c r="X579" s="319"/>
    </row>
    <row r="580" spans="1:24" ht="12.75">
      <c r="A580" s="315" t="s">
        <v>354</v>
      </c>
      <c r="B580" s="316" t="s">
        <v>153</v>
      </c>
      <c r="C580" s="316" t="s">
        <v>812</v>
      </c>
      <c r="D580" s="316">
        <v>2015</v>
      </c>
      <c r="E580" s="316" t="s">
        <v>775</v>
      </c>
      <c r="F580" s="317">
        <v>11</v>
      </c>
      <c r="G580" s="317">
        <v>0</v>
      </c>
      <c r="H580" s="318">
        <v>0</v>
      </c>
      <c r="I580" s="317">
        <v>0</v>
      </c>
      <c r="J580" s="317">
        <v>7</v>
      </c>
      <c r="K580" s="317">
        <v>0</v>
      </c>
      <c r="L580" s="317">
        <v>0</v>
      </c>
      <c r="M580" s="317">
        <v>0</v>
      </c>
      <c r="N580" s="317">
        <v>8</v>
      </c>
      <c r="O580" s="317">
        <v>1</v>
      </c>
      <c r="P580" s="317">
        <v>20</v>
      </c>
      <c r="Q580" s="318">
        <v>3</v>
      </c>
      <c r="R580" s="319">
        <f t="shared" si="162"/>
        <v>46</v>
      </c>
      <c r="S580" s="364">
        <f t="shared" si="163"/>
        <v>4</v>
      </c>
      <c r="T580" s="319"/>
      <c r="U580" s="319"/>
      <c r="V580" s="319"/>
      <c r="W580" s="319"/>
      <c r="X580" s="319"/>
    </row>
    <row r="581" spans="1:24" ht="12.75">
      <c r="A581" s="315" t="s">
        <v>355</v>
      </c>
      <c r="B581" s="316" t="s">
        <v>153</v>
      </c>
      <c r="C581" s="316" t="s">
        <v>812</v>
      </c>
      <c r="D581" s="316">
        <v>2015</v>
      </c>
      <c r="E581" s="316" t="s">
        <v>775</v>
      </c>
      <c r="F581" s="317">
        <v>1</v>
      </c>
      <c r="G581" s="317">
        <v>0</v>
      </c>
      <c r="H581" s="318">
        <v>0</v>
      </c>
      <c r="I581" s="317">
        <v>0</v>
      </c>
      <c r="J581" s="317">
        <v>1</v>
      </c>
      <c r="K581" s="317">
        <v>0</v>
      </c>
      <c r="L581" s="317">
        <v>0</v>
      </c>
      <c r="M581" s="317">
        <v>0</v>
      </c>
      <c r="N581" s="317">
        <v>0</v>
      </c>
      <c r="O581" s="317">
        <v>0</v>
      </c>
      <c r="P581" s="317">
        <v>0</v>
      </c>
      <c r="Q581" s="318">
        <v>3</v>
      </c>
      <c r="R581" s="319">
        <f t="shared" si="162"/>
        <v>2</v>
      </c>
      <c r="S581" s="364">
        <f t="shared" si="163"/>
        <v>3</v>
      </c>
      <c r="T581" s="319"/>
      <c r="U581" s="319"/>
      <c r="V581" s="319"/>
      <c r="W581" s="319"/>
      <c r="X581" s="319"/>
    </row>
    <row r="582" spans="1:24" ht="12.75">
      <c r="A582" s="315" t="s">
        <v>356</v>
      </c>
      <c r="B582" s="316" t="s">
        <v>153</v>
      </c>
      <c r="C582" s="316" t="s">
        <v>812</v>
      </c>
      <c r="D582" s="316">
        <v>2015</v>
      </c>
      <c r="E582" s="316" t="s">
        <v>775</v>
      </c>
      <c r="F582" s="317">
        <v>1</v>
      </c>
      <c r="G582" s="317">
        <v>2</v>
      </c>
      <c r="H582" s="318">
        <v>2</v>
      </c>
      <c r="I582" s="317">
        <v>0</v>
      </c>
      <c r="J582" s="317">
        <v>1</v>
      </c>
      <c r="K582" s="317">
        <v>0</v>
      </c>
      <c r="L582" s="317">
        <v>0</v>
      </c>
      <c r="M582" s="317">
        <v>0</v>
      </c>
      <c r="N582" s="317">
        <v>1</v>
      </c>
      <c r="O582" s="317">
        <v>0</v>
      </c>
      <c r="P582" s="317">
        <v>0</v>
      </c>
      <c r="Q582" s="318">
        <v>21</v>
      </c>
      <c r="R582" s="319">
        <f t="shared" si="162"/>
        <v>3</v>
      </c>
      <c r="S582" s="364">
        <f t="shared" si="163"/>
        <v>23</v>
      </c>
      <c r="T582" s="319"/>
      <c r="U582" s="319"/>
      <c r="V582" s="319"/>
      <c r="W582" s="319"/>
      <c r="X582" s="319"/>
    </row>
    <row r="583" spans="1:24" ht="12.75">
      <c r="A583" s="315" t="s">
        <v>358</v>
      </c>
      <c r="B583" s="316" t="s">
        <v>153</v>
      </c>
      <c r="C583" s="316" t="s">
        <v>812</v>
      </c>
      <c r="D583" s="316">
        <v>2015</v>
      </c>
      <c r="E583" s="316" t="s">
        <v>775</v>
      </c>
      <c r="F583" s="317">
        <v>694</v>
      </c>
      <c r="G583" s="317">
        <v>11</v>
      </c>
      <c r="H583" s="318">
        <v>11</v>
      </c>
      <c r="I583" s="317">
        <v>0</v>
      </c>
      <c r="J583" s="317">
        <v>413</v>
      </c>
      <c r="K583" s="317">
        <v>0</v>
      </c>
      <c r="L583" s="317">
        <v>0</v>
      </c>
      <c r="M583" s="317">
        <v>0</v>
      </c>
      <c r="N583" s="317">
        <v>443</v>
      </c>
      <c r="O583" s="317">
        <v>0</v>
      </c>
      <c r="P583" s="317">
        <v>1134</v>
      </c>
      <c r="Q583" s="318">
        <v>14</v>
      </c>
      <c r="R583" s="319">
        <f t="shared" si="162"/>
        <v>2684</v>
      </c>
      <c r="S583" s="364">
        <f t="shared" si="163"/>
        <v>25</v>
      </c>
      <c r="T583" s="319"/>
      <c r="U583" s="319"/>
      <c r="V583" s="319"/>
      <c r="W583" s="319"/>
      <c r="X583" s="319"/>
    </row>
    <row r="584" spans="1:24" ht="12.75">
      <c r="A584" s="315" t="s">
        <v>359</v>
      </c>
      <c r="B584" s="316" t="s">
        <v>153</v>
      </c>
      <c r="C584" s="316" t="s">
        <v>812</v>
      </c>
      <c r="D584" s="316">
        <v>2015</v>
      </c>
      <c r="E584" s="316" t="s">
        <v>775</v>
      </c>
      <c r="F584" s="317">
        <v>88</v>
      </c>
      <c r="G584" s="317">
        <v>8</v>
      </c>
      <c r="H584" s="318">
        <v>8</v>
      </c>
      <c r="I584" s="317">
        <v>0</v>
      </c>
      <c r="J584" s="317">
        <v>54</v>
      </c>
      <c r="K584" s="317">
        <v>0</v>
      </c>
      <c r="L584" s="317">
        <v>0</v>
      </c>
      <c r="M584" s="317">
        <v>0</v>
      </c>
      <c r="N584" s="317">
        <v>57</v>
      </c>
      <c r="O584" s="317">
        <v>1</v>
      </c>
      <c r="P584" s="317">
        <v>131</v>
      </c>
      <c r="Q584" s="318">
        <v>15</v>
      </c>
      <c r="R584" s="319">
        <f t="shared" si="162"/>
        <v>330</v>
      </c>
      <c r="S584" s="364">
        <f t="shared" si="163"/>
        <v>24</v>
      </c>
      <c r="T584" s="319"/>
      <c r="U584" s="319"/>
      <c r="V584" s="319"/>
      <c r="W584" s="319"/>
      <c r="X584" s="319"/>
    </row>
    <row r="585" spans="1:24" ht="12.75">
      <c r="A585" s="315" t="s">
        <v>360</v>
      </c>
      <c r="B585" s="316" t="s">
        <v>153</v>
      </c>
      <c r="C585" s="316" t="s">
        <v>812</v>
      </c>
      <c r="D585" s="316">
        <v>2015</v>
      </c>
      <c r="E585" s="316" t="s">
        <v>775</v>
      </c>
      <c r="F585" s="317">
        <v>447</v>
      </c>
      <c r="G585" s="317">
        <v>0</v>
      </c>
      <c r="H585" s="318">
        <v>0</v>
      </c>
      <c r="I585" s="317">
        <v>0</v>
      </c>
      <c r="J585" s="317">
        <v>263</v>
      </c>
      <c r="K585" s="317">
        <v>0</v>
      </c>
      <c r="L585" s="317">
        <v>0</v>
      </c>
      <c r="M585" s="317">
        <v>0</v>
      </c>
      <c r="N585" s="317">
        <v>280</v>
      </c>
      <c r="O585" s="317">
        <v>11</v>
      </c>
      <c r="P585" s="317">
        <v>708</v>
      </c>
      <c r="Q585" s="318">
        <v>83</v>
      </c>
      <c r="R585" s="319">
        <f t="shared" si="162"/>
        <v>1698</v>
      </c>
      <c r="S585" s="364">
        <f t="shared" si="163"/>
        <v>94</v>
      </c>
      <c r="T585" s="319"/>
      <c r="U585" s="319"/>
      <c r="V585" s="319"/>
      <c r="W585" s="319"/>
      <c r="X585" s="319"/>
    </row>
    <row r="586" spans="1:24" ht="12.75">
      <c r="A586" s="315" t="s">
        <v>361</v>
      </c>
      <c r="B586" s="320" t="s">
        <v>153</v>
      </c>
      <c r="C586" s="316" t="s">
        <v>812</v>
      </c>
      <c r="D586" s="316">
        <v>2015</v>
      </c>
      <c r="E586" s="316" t="s">
        <v>775</v>
      </c>
      <c r="F586" s="317">
        <v>23</v>
      </c>
      <c r="G586" s="317">
        <v>0</v>
      </c>
      <c r="H586" s="318">
        <v>0</v>
      </c>
      <c r="I586" s="317">
        <v>0</v>
      </c>
      <c r="J586" s="317">
        <v>14</v>
      </c>
      <c r="K586" s="317">
        <v>0</v>
      </c>
      <c r="L586" s="317">
        <v>0</v>
      </c>
      <c r="M586" s="317">
        <v>0</v>
      </c>
      <c r="N586" s="317">
        <v>14</v>
      </c>
      <c r="O586" s="317">
        <v>0</v>
      </c>
      <c r="P586" s="317">
        <v>35</v>
      </c>
      <c r="Q586" s="318">
        <v>0</v>
      </c>
      <c r="R586" s="319">
        <f t="shared" si="162"/>
        <v>86</v>
      </c>
      <c r="S586" s="364">
        <f t="shared" si="163"/>
        <v>0</v>
      </c>
      <c r="T586" s="319"/>
      <c r="U586" s="319"/>
      <c r="V586" s="319"/>
      <c r="W586" s="319"/>
      <c r="X586" s="319"/>
    </row>
    <row r="587" spans="1:24" ht="12.75">
      <c r="A587" s="315" t="s">
        <v>368</v>
      </c>
      <c r="B587" s="316" t="s">
        <v>153</v>
      </c>
      <c r="C587" s="316" t="s">
        <v>812</v>
      </c>
      <c r="D587" s="316">
        <v>2015</v>
      </c>
      <c r="E587" s="316" t="s">
        <v>775</v>
      </c>
      <c r="F587" s="317">
        <v>308</v>
      </c>
      <c r="G587" s="317">
        <v>0</v>
      </c>
      <c r="H587" s="318">
        <v>0</v>
      </c>
      <c r="I587" s="317">
        <v>0</v>
      </c>
      <c r="J587" s="317">
        <v>182</v>
      </c>
      <c r="K587" s="317">
        <v>0</v>
      </c>
      <c r="L587" s="317">
        <v>0</v>
      </c>
      <c r="M587" s="317">
        <v>0</v>
      </c>
      <c r="N587" s="317">
        <v>190</v>
      </c>
      <c r="O587" s="317">
        <v>0</v>
      </c>
      <c r="P587" s="317">
        <v>466</v>
      </c>
      <c r="Q587" s="318">
        <v>127</v>
      </c>
      <c r="R587" s="319">
        <f t="shared" si="162"/>
        <v>1146</v>
      </c>
      <c r="S587" s="364">
        <f t="shared" si="163"/>
        <v>127</v>
      </c>
      <c r="T587" s="319"/>
      <c r="U587" s="319"/>
      <c r="V587" s="319"/>
      <c r="W587" s="319"/>
      <c r="X587" s="319"/>
    </row>
    <row r="588" spans="1:24" ht="12.75">
      <c r="A588" s="315" t="s">
        <v>369</v>
      </c>
      <c r="B588" s="316" t="s">
        <v>153</v>
      </c>
      <c r="C588" s="316" t="s">
        <v>812</v>
      </c>
      <c r="D588" s="316">
        <v>2015</v>
      </c>
      <c r="E588" s="316" t="s">
        <v>775</v>
      </c>
      <c r="F588" s="317">
        <v>210</v>
      </c>
      <c r="G588" s="317">
        <v>0</v>
      </c>
      <c r="H588" s="318">
        <v>0</v>
      </c>
      <c r="I588" s="317">
        <v>0</v>
      </c>
      <c r="J588" s="317">
        <v>123</v>
      </c>
      <c r="K588" s="317">
        <v>0</v>
      </c>
      <c r="L588" s="317">
        <v>0</v>
      </c>
      <c r="M588" s="317">
        <v>0</v>
      </c>
      <c r="N588" s="317">
        <v>135</v>
      </c>
      <c r="O588" s="317">
        <v>50</v>
      </c>
      <c r="P588" s="317">
        <v>346</v>
      </c>
      <c r="Q588" s="318">
        <v>13</v>
      </c>
      <c r="R588" s="319">
        <f t="shared" si="162"/>
        <v>814</v>
      </c>
      <c r="S588" s="364">
        <f t="shared" si="163"/>
        <v>63</v>
      </c>
      <c r="T588" s="319"/>
      <c r="U588" s="319"/>
      <c r="V588" s="319"/>
      <c r="W588" s="319"/>
      <c r="X588" s="319"/>
    </row>
    <row r="589" spans="1:24" ht="12.75">
      <c r="A589" s="315" t="s">
        <v>370</v>
      </c>
      <c r="B589" s="316" t="s">
        <v>153</v>
      </c>
      <c r="C589" s="316" t="s">
        <v>812</v>
      </c>
      <c r="D589" s="316">
        <v>2015</v>
      </c>
      <c r="E589" s="316" t="s">
        <v>775</v>
      </c>
      <c r="F589" s="317">
        <v>87</v>
      </c>
      <c r="G589" s="317">
        <v>42</v>
      </c>
      <c r="H589" s="318">
        <v>42</v>
      </c>
      <c r="I589" s="317">
        <v>0</v>
      </c>
      <c r="J589" s="317">
        <v>53</v>
      </c>
      <c r="K589" s="317">
        <v>1</v>
      </c>
      <c r="L589" s="317">
        <v>1</v>
      </c>
      <c r="M589" s="317">
        <v>0</v>
      </c>
      <c r="N589" s="317">
        <v>55</v>
      </c>
      <c r="O589" s="317">
        <v>0</v>
      </c>
      <c r="P589" s="317">
        <v>142</v>
      </c>
      <c r="Q589" s="318">
        <v>0</v>
      </c>
      <c r="R589" s="319">
        <f t="shared" si="162"/>
        <v>337</v>
      </c>
      <c r="S589" s="364">
        <f t="shared" si="163"/>
        <v>43</v>
      </c>
      <c r="T589" s="319"/>
      <c r="U589" s="319"/>
      <c r="V589" s="319"/>
      <c r="W589" s="319"/>
      <c r="X589" s="319"/>
    </row>
    <row r="590" spans="1:24" ht="12.75">
      <c r="A590" s="315" t="s">
        <v>371</v>
      </c>
      <c r="B590" s="316" t="s">
        <v>153</v>
      </c>
      <c r="C590" s="316" t="s">
        <v>812</v>
      </c>
      <c r="D590" s="316">
        <v>2015</v>
      </c>
      <c r="E590" s="316" t="s">
        <v>775</v>
      </c>
      <c r="F590" s="317">
        <v>529</v>
      </c>
      <c r="G590" s="317">
        <v>96</v>
      </c>
      <c r="H590" s="318">
        <v>96</v>
      </c>
      <c r="I590" s="317">
        <v>0</v>
      </c>
      <c r="J590" s="317">
        <v>315</v>
      </c>
      <c r="K590" s="317">
        <v>36</v>
      </c>
      <c r="L590" s="317">
        <v>36</v>
      </c>
      <c r="M590" s="317">
        <v>0</v>
      </c>
      <c r="N590" s="317">
        <v>352</v>
      </c>
      <c r="O590" s="317">
        <v>0</v>
      </c>
      <c r="P590" s="317">
        <v>946</v>
      </c>
      <c r="Q590" s="318">
        <v>8</v>
      </c>
      <c r="R590" s="319">
        <f t="shared" si="162"/>
        <v>2142</v>
      </c>
      <c r="S590" s="364">
        <f t="shared" si="163"/>
        <v>140</v>
      </c>
      <c r="T590" s="319"/>
      <c r="U590" s="319"/>
      <c r="V590" s="319"/>
      <c r="W590" s="319"/>
      <c r="X590" s="319"/>
    </row>
    <row r="591" spans="1:24" ht="12.75">
      <c r="A591" s="315" t="s">
        <v>373</v>
      </c>
      <c r="B591" s="316" t="s">
        <v>153</v>
      </c>
      <c r="C591" s="316" t="s">
        <v>812</v>
      </c>
      <c r="D591" s="316">
        <v>2015</v>
      </c>
      <c r="E591" s="316" t="s">
        <v>775</v>
      </c>
      <c r="F591" s="317">
        <v>98</v>
      </c>
      <c r="G591" s="317">
        <v>0</v>
      </c>
      <c r="H591" s="318">
        <v>0</v>
      </c>
      <c r="I591" s="317">
        <v>0</v>
      </c>
      <c r="J591" s="317">
        <v>60</v>
      </c>
      <c r="K591" s="317">
        <v>0</v>
      </c>
      <c r="L591" s="317">
        <v>0</v>
      </c>
      <c r="M591" s="317">
        <v>0</v>
      </c>
      <c r="N591" s="317">
        <v>66</v>
      </c>
      <c r="O591" s="317">
        <v>14</v>
      </c>
      <c r="P591" s="317">
        <v>173</v>
      </c>
      <c r="Q591" s="318">
        <v>42</v>
      </c>
      <c r="R591" s="319">
        <f t="shared" si="162"/>
        <v>397</v>
      </c>
      <c r="S591" s="364">
        <f t="shared" si="163"/>
        <v>56</v>
      </c>
      <c r="T591" s="319"/>
      <c r="U591" s="319"/>
      <c r="V591" s="319"/>
      <c r="W591" s="319"/>
      <c r="X591" s="319"/>
    </row>
    <row r="592" spans="1:24" ht="12.75">
      <c r="A592" s="315" t="s">
        <v>374</v>
      </c>
      <c r="B592" s="316" t="s">
        <v>153</v>
      </c>
      <c r="C592" s="316" t="s">
        <v>812</v>
      </c>
      <c r="D592" s="316">
        <v>2015</v>
      </c>
      <c r="E592" s="316" t="s">
        <v>775</v>
      </c>
      <c r="F592" s="317">
        <v>508</v>
      </c>
      <c r="G592" s="317">
        <v>0</v>
      </c>
      <c r="H592" s="318">
        <v>0</v>
      </c>
      <c r="I592" s="317">
        <v>0</v>
      </c>
      <c r="J592" s="317">
        <v>310</v>
      </c>
      <c r="K592" s="317">
        <v>0</v>
      </c>
      <c r="L592" s="317">
        <v>0</v>
      </c>
      <c r="M592" s="317">
        <v>0</v>
      </c>
      <c r="N592" s="317">
        <v>337</v>
      </c>
      <c r="O592" s="317">
        <v>1</v>
      </c>
      <c r="P592" s="317">
        <v>862</v>
      </c>
      <c r="Q592" s="318">
        <v>776</v>
      </c>
      <c r="R592" s="319">
        <f t="shared" si="162"/>
        <v>2017</v>
      </c>
      <c r="S592" s="364">
        <f t="shared" si="163"/>
        <v>777</v>
      </c>
      <c r="T592" s="319"/>
      <c r="U592" s="319"/>
      <c r="V592" s="319"/>
      <c r="W592" s="319"/>
      <c r="X592" s="319"/>
    </row>
    <row r="593" spans="1:24" ht="12.75">
      <c r="A593" s="315" t="s">
        <v>375</v>
      </c>
      <c r="B593" s="316" t="s">
        <v>153</v>
      </c>
      <c r="C593" s="316" t="s">
        <v>812</v>
      </c>
      <c r="D593" s="316">
        <v>2015</v>
      </c>
      <c r="E593" s="316" t="s">
        <v>775</v>
      </c>
      <c r="F593" s="317">
        <v>171</v>
      </c>
      <c r="G593" s="317">
        <v>0</v>
      </c>
      <c r="H593" s="318">
        <v>0</v>
      </c>
      <c r="I593" s="317">
        <v>0</v>
      </c>
      <c r="J593" s="317">
        <v>100</v>
      </c>
      <c r="K593" s="317">
        <v>0</v>
      </c>
      <c r="L593" s="317">
        <v>0</v>
      </c>
      <c r="M593" s="317">
        <v>0</v>
      </c>
      <c r="N593" s="317">
        <v>108</v>
      </c>
      <c r="O593" s="317">
        <v>0</v>
      </c>
      <c r="P593" s="317">
        <v>267</v>
      </c>
      <c r="Q593" s="318">
        <v>22</v>
      </c>
      <c r="R593" s="319">
        <f t="shared" si="162"/>
        <v>646</v>
      </c>
      <c r="S593" s="364">
        <f t="shared" si="163"/>
        <v>22</v>
      </c>
      <c r="T593" s="319"/>
      <c r="U593" s="319"/>
      <c r="V593" s="319"/>
      <c r="W593" s="319"/>
      <c r="X593" s="319"/>
    </row>
    <row r="594" spans="1:24" ht="12.75">
      <c r="A594" s="315" t="s">
        <v>377</v>
      </c>
      <c r="B594" s="316" t="s">
        <v>153</v>
      </c>
      <c r="C594" s="316" t="s">
        <v>812</v>
      </c>
      <c r="D594" s="316">
        <v>2015</v>
      </c>
      <c r="E594" s="316" t="s">
        <v>775</v>
      </c>
      <c r="F594" s="317">
        <v>170</v>
      </c>
      <c r="G594" s="317">
        <v>0</v>
      </c>
      <c r="H594" s="318">
        <v>0</v>
      </c>
      <c r="I594" s="317">
        <v>0</v>
      </c>
      <c r="J594" s="317">
        <v>101</v>
      </c>
      <c r="K594" s="317">
        <v>127</v>
      </c>
      <c r="L594" s="317">
        <v>127</v>
      </c>
      <c r="M594" s="317">
        <v>0</v>
      </c>
      <c r="N594" s="317">
        <v>112</v>
      </c>
      <c r="O594" s="317">
        <v>0</v>
      </c>
      <c r="P594" s="317">
        <v>300</v>
      </c>
      <c r="Q594" s="318">
        <v>0</v>
      </c>
      <c r="R594" s="319">
        <f t="shared" si="162"/>
        <v>683</v>
      </c>
      <c r="S594" s="364">
        <f t="shared" si="163"/>
        <v>127</v>
      </c>
      <c r="T594" s="319"/>
      <c r="U594" s="319"/>
      <c r="V594" s="319"/>
      <c r="W594" s="319"/>
      <c r="X594" s="319"/>
    </row>
    <row r="595" spans="1:24" ht="12.75">
      <c r="A595" s="315" t="s">
        <v>382</v>
      </c>
      <c r="B595" s="316" t="s">
        <v>153</v>
      </c>
      <c r="C595" s="316" t="s">
        <v>812</v>
      </c>
      <c r="D595" s="316">
        <v>2015</v>
      </c>
      <c r="E595" s="316" t="s">
        <v>775</v>
      </c>
      <c r="F595" s="317">
        <v>250</v>
      </c>
      <c r="G595" s="317">
        <v>0</v>
      </c>
      <c r="H595" s="318">
        <v>0</v>
      </c>
      <c r="I595" s="317">
        <v>0</v>
      </c>
      <c r="J595" s="317">
        <v>150</v>
      </c>
      <c r="K595" s="317">
        <v>0</v>
      </c>
      <c r="L595" s="317">
        <v>0</v>
      </c>
      <c r="M595" s="317">
        <v>0</v>
      </c>
      <c r="N595" s="317">
        <v>167</v>
      </c>
      <c r="O595" s="317">
        <v>0</v>
      </c>
      <c r="P595" s="317">
        <v>446</v>
      </c>
      <c r="Q595" s="318">
        <v>5</v>
      </c>
      <c r="R595" s="319">
        <f t="shared" si="162"/>
        <v>1013</v>
      </c>
      <c r="S595" s="364">
        <f t="shared" si="163"/>
        <v>5</v>
      </c>
      <c r="T595" s="319"/>
      <c r="U595" s="319"/>
      <c r="V595" s="319"/>
      <c r="W595" s="319"/>
      <c r="X595" s="319"/>
    </row>
    <row r="596" spans="1:24" ht="12.75">
      <c r="A596" s="315" t="s">
        <v>384</v>
      </c>
      <c r="B596" s="316" t="s">
        <v>153</v>
      </c>
      <c r="C596" s="316" t="s">
        <v>812</v>
      </c>
      <c r="D596" s="316">
        <v>2015</v>
      </c>
      <c r="E596" s="316" t="s">
        <v>775</v>
      </c>
      <c r="F596" s="317">
        <v>30</v>
      </c>
      <c r="G596" s="317">
        <v>0</v>
      </c>
      <c r="H596" s="318">
        <v>0</v>
      </c>
      <c r="I596" s="317">
        <v>0</v>
      </c>
      <c r="J596" s="317">
        <v>18</v>
      </c>
      <c r="K596" s="317">
        <v>0</v>
      </c>
      <c r="L596" s="317">
        <v>0</v>
      </c>
      <c r="M596" s="317">
        <v>0</v>
      </c>
      <c r="N596" s="317">
        <v>20</v>
      </c>
      <c r="O596" s="317">
        <v>0</v>
      </c>
      <c r="P596" s="317">
        <v>44</v>
      </c>
      <c r="Q596" s="318">
        <v>18</v>
      </c>
      <c r="R596" s="319">
        <f t="shared" si="162"/>
        <v>112</v>
      </c>
      <c r="S596" s="364">
        <f t="shared" si="163"/>
        <v>18</v>
      </c>
      <c r="T596" s="319"/>
      <c r="U596" s="319"/>
      <c r="V596" s="319"/>
      <c r="W596" s="319"/>
      <c r="X596" s="319"/>
    </row>
    <row r="597" spans="1:24" ht="12.75">
      <c r="A597" s="315" t="s">
        <v>388</v>
      </c>
      <c r="B597" s="316" t="s">
        <v>153</v>
      </c>
      <c r="C597" s="316" t="s">
        <v>812</v>
      </c>
      <c r="D597" s="316">
        <v>2015</v>
      </c>
      <c r="E597" s="316" t="s">
        <v>775</v>
      </c>
      <c r="F597" s="317">
        <v>147</v>
      </c>
      <c r="G597" s="317">
        <v>0</v>
      </c>
      <c r="H597" s="318">
        <v>0</v>
      </c>
      <c r="I597" s="317">
        <v>0</v>
      </c>
      <c r="J597" s="317">
        <v>88</v>
      </c>
      <c r="K597" s="317">
        <v>1</v>
      </c>
      <c r="L597" s="317">
        <v>0</v>
      </c>
      <c r="M597" s="317">
        <v>1</v>
      </c>
      <c r="N597" s="317">
        <v>94</v>
      </c>
      <c r="O597" s="317">
        <v>0</v>
      </c>
      <c r="P597" s="317">
        <v>233</v>
      </c>
      <c r="Q597" s="318">
        <v>4</v>
      </c>
      <c r="R597" s="319">
        <f t="shared" si="162"/>
        <v>562</v>
      </c>
      <c r="S597" s="364">
        <f t="shared" si="163"/>
        <v>5</v>
      </c>
      <c r="T597" s="319"/>
      <c r="U597" s="319"/>
      <c r="V597" s="319"/>
      <c r="W597" s="319"/>
      <c r="X597" s="319"/>
    </row>
    <row r="598" spans="1:24" ht="12.75">
      <c r="A598" s="315" t="s">
        <v>389</v>
      </c>
      <c r="B598" s="316" t="s">
        <v>153</v>
      </c>
      <c r="C598" s="316" t="s">
        <v>812</v>
      </c>
      <c r="D598" s="316">
        <v>2015</v>
      </c>
      <c r="E598" s="316" t="s">
        <v>775</v>
      </c>
      <c r="F598" s="317">
        <v>107</v>
      </c>
      <c r="G598" s="317">
        <v>0</v>
      </c>
      <c r="H598" s="318">
        <v>0</v>
      </c>
      <c r="I598" s="317">
        <v>0</v>
      </c>
      <c r="J598" s="317">
        <v>63</v>
      </c>
      <c r="K598" s="317">
        <v>0</v>
      </c>
      <c r="L598" s="317">
        <v>0</v>
      </c>
      <c r="M598" s="317">
        <v>0</v>
      </c>
      <c r="N598" s="317">
        <v>67</v>
      </c>
      <c r="O598" s="317">
        <v>0</v>
      </c>
      <c r="P598" s="317">
        <v>166</v>
      </c>
      <c r="Q598" s="318">
        <v>52</v>
      </c>
      <c r="R598" s="319">
        <f t="shared" si="162"/>
        <v>403</v>
      </c>
      <c r="S598" s="364">
        <f t="shared" si="163"/>
        <v>52</v>
      </c>
      <c r="T598" s="319"/>
      <c r="U598" s="319"/>
      <c r="V598" s="319"/>
      <c r="W598" s="319"/>
      <c r="X598" s="319"/>
    </row>
    <row r="599" spans="1:24" ht="12.75">
      <c r="A599" s="315" t="s">
        <v>392</v>
      </c>
      <c r="B599" s="320" t="s">
        <v>153</v>
      </c>
      <c r="C599" s="316" t="s">
        <v>812</v>
      </c>
      <c r="D599" s="316">
        <v>2015</v>
      </c>
      <c r="E599" s="316" t="s">
        <v>775</v>
      </c>
      <c r="F599" s="317">
        <v>12</v>
      </c>
      <c r="G599" s="317">
        <v>0</v>
      </c>
      <c r="H599" s="318">
        <v>0</v>
      </c>
      <c r="I599" s="317">
        <v>0</v>
      </c>
      <c r="J599" s="317">
        <v>7</v>
      </c>
      <c r="K599" s="317">
        <v>2</v>
      </c>
      <c r="L599" s="317">
        <v>0</v>
      </c>
      <c r="M599" s="317">
        <v>2</v>
      </c>
      <c r="N599" s="317">
        <v>8</v>
      </c>
      <c r="O599" s="317">
        <v>0</v>
      </c>
      <c r="P599" s="317">
        <v>20</v>
      </c>
      <c r="Q599" s="318">
        <v>0</v>
      </c>
      <c r="R599" s="319">
        <f t="shared" si="162"/>
        <v>47</v>
      </c>
      <c r="S599" s="364">
        <f t="shared" si="163"/>
        <v>2</v>
      </c>
      <c r="T599" s="319"/>
      <c r="U599" s="319"/>
      <c r="V599" s="319"/>
      <c r="W599" s="319"/>
      <c r="X599" s="319"/>
    </row>
    <row r="600" spans="1:24" ht="12.75">
      <c r="A600" s="315" t="s">
        <v>393</v>
      </c>
      <c r="B600" s="320" t="s">
        <v>153</v>
      </c>
      <c r="C600" s="316" t="s">
        <v>812</v>
      </c>
      <c r="D600" s="316">
        <v>2015</v>
      </c>
      <c r="E600" s="316" t="s">
        <v>775</v>
      </c>
      <c r="F600" s="317">
        <v>1773</v>
      </c>
      <c r="G600" s="317">
        <v>111</v>
      </c>
      <c r="H600" s="318">
        <v>111</v>
      </c>
      <c r="I600" s="317">
        <v>0</v>
      </c>
      <c r="J600" s="317">
        <v>1066</v>
      </c>
      <c r="K600" s="317">
        <v>8</v>
      </c>
      <c r="L600" s="317">
        <v>8</v>
      </c>
      <c r="M600" s="317">
        <v>0</v>
      </c>
      <c r="N600" s="317">
        <v>1170</v>
      </c>
      <c r="O600" s="317">
        <v>0</v>
      </c>
      <c r="P600" s="317">
        <v>3039</v>
      </c>
      <c r="Q600" s="318">
        <v>31</v>
      </c>
      <c r="R600" s="319">
        <f t="shared" si="162"/>
        <v>7048</v>
      </c>
      <c r="S600" s="364">
        <f t="shared" si="163"/>
        <v>150</v>
      </c>
      <c r="T600" s="319"/>
      <c r="U600" s="319"/>
      <c r="V600" s="319"/>
      <c r="W600" s="319"/>
      <c r="X600" s="319"/>
    </row>
    <row r="601" spans="1:24" ht="12.75">
      <c r="A601" s="315" t="s">
        <v>153</v>
      </c>
      <c r="B601" s="316" t="s">
        <v>153</v>
      </c>
      <c r="C601" s="316" t="s">
        <v>812</v>
      </c>
      <c r="D601" s="316">
        <v>2015</v>
      </c>
      <c r="E601" s="316" t="s">
        <v>775</v>
      </c>
      <c r="F601" s="317">
        <v>20427</v>
      </c>
      <c r="G601" s="317">
        <v>893</v>
      </c>
      <c r="H601" s="318">
        <v>893</v>
      </c>
      <c r="I601" s="317">
        <v>0</v>
      </c>
      <c r="J601" s="317">
        <v>12435</v>
      </c>
      <c r="K601" s="317">
        <v>536</v>
      </c>
      <c r="L601" s="317">
        <v>536</v>
      </c>
      <c r="M601" s="317">
        <v>0</v>
      </c>
      <c r="N601" s="317">
        <v>13728</v>
      </c>
      <c r="O601" s="317">
        <v>45</v>
      </c>
      <c r="P601" s="317">
        <v>35412</v>
      </c>
      <c r="Q601" s="318">
        <v>15833</v>
      </c>
      <c r="R601" s="319">
        <f t="shared" si="162"/>
        <v>82002</v>
      </c>
      <c r="S601" s="364">
        <f t="shared" si="163"/>
        <v>17307</v>
      </c>
      <c r="T601" s="319"/>
      <c r="U601" s="319"/>
      <c r="V601" s="319"/>
      <c r="W601" s="319"/>
      <c r="X601" s="319"/>
    </row>
    <row r="602" spans="1:24" ht="12.75">
      <c r="A602" s="315" t="s">
        <v>394</v>
      </c>
      <c r="B602" s="316" t="s">
        <v>153</v>
      </c>
      <c r="C602" s="316" t="s">
        <v>812</v>
      </c>
      <c r="D602" s="316">
        <v>2015</v>
      </c>
      <c r="E602" s="316" t="s">
        <v>775</v>
      </c>
      <c r="F602" s="317">
        <v>7417</v>
      </c>
      <c r="G602" s="317">
        <v>32</v>
      </c>
      <c r="H602" s="318">
        <v>32</v>
      </c>
      <c r="I602" s="317">
        <v>0</v>
      </c>
      <c r="J602" s="317">
        <v>4287</v>
      </c>
      <c r="K602" s="317">
        <v>0</v>
      </c>
      <c r="L602" s="317">
        <v>0</v>
      </c>
      <c r="M602" s="317">
        <v>0</v>
      </c>
      <c r="N602" s="317">
        <v>4938</v>
      </c>
      <c r="O602" s="317">
        <v>0</v>
      </c>
      <c r="P602" s="317">
        <v>10844</v>
      </c>
      <c r="Q602" s="318">
        <v>1790</v>
      </c>
      <c r="R602" s="319">
        <f t="shared" si="162"/>
        <v>27486</v>
      </c>
      <c r="S602" s="364">
        <f t="shared" si="163"/>
        <v>1822</v>
      </c>
      <c r="T602" s="319"/>
      <c r="U602" s="319"/>
      <c r="V602" s="319"/>
      <c r="W602" s="319"/>
      <c r="X602" s="319"/>
    </row>
    <row r="603" spans="1:24" ht="12.75">
      <c r="A603" s="315" t="s">
        <v>396</v>
      </c>
      <c r="B603" s="316" t="s">
        <v>153</v>
      </c>
      <c r="C603" s="316" t="s">
        <v>812</v>
      </c>
      <c r="D603" s="316">
        <v>2015</v>
      </c>
      <c r="E603" s="316" t="s">
        <v>775</v>
      </c>
      <c r="F603" s="317">
        <v>1</v>
      </c>
      <c r="G603" s="317">
        <v>0</v>
      </c>
      <c r="H603" s="318">
        <v>0</v>
      </c>
      <c r="I603" s="317">
        <v>0</v>
      </c>
      <c r="J603" s="317">
        <v>1</v>
      </c>
      <c r="K603" s="317">
        <v>0</v>
      </c>
      <c r="L603" s="317">
        <v>0</v>
      </c>
      <c r="M603" s="317">
        <v>0</v>
      </c>
      <c r="N603" s="317">
        <v>0</v>
      </c>
      <c r="O603" s="317">
        <v>0</v>
      </c>
      <c r="P603" s="317">
        <v>0</v>
      </c>
      <c r="Q603" s="318">
        <v>16</v>
      </c>
      <c r="R603" s="319">
        <f t="shared" si="162"/>
        <v>2</v>
      </c>
      <c r="S603" s="364">
        <f t="shared" si="163"/>
        <v>16</v>
      </c>
      <c r="T603" s="319"/>
      <c r="U603" s="319"/>
      <c r="V603" s="319"/>
      <c r="W603" s="319"/>
      <c r="X603" s="319"/>
    </row>
    <row r="604" spans="1:24" ht="12.75">
      <c r="A604" s="315" t="s">
        <v>397</v>
      </c>
      <c r="B604" s="316" t="s">
        <v>153</v>
      </c>
      <c r="C604" s="316" t="s">
        <v>812</v>
      </c>
      <c r="D604" s="316">
        <v>2015</v>
      </c>
      <c r="E604" s="316" t="s">
        <v>775</v>
      </c>
      <c r="F604" s="317">
        <v>10</v>
      </c>
      <c r="G604" s="317">
        <v>0</v>
      </c>
      <c r="H604" s="318">
        <v>0</v>
      </c>
      <c r="I604" s="317">
        <v>0</v>
      </c>
      <c r="J604" s="317">
        <v>6</v>
      </c>
      <c r="K604" s="317">
        <v>0</v>
      </c>
      <c r="L604" s="317">
        <v>0</v>
      </c>
      <c r="M604" s="317">
        <v>0</v>
      </c>
      <c r="N604" s="317">
        <v>7</v>
      </c>
      <c r="O604" s="317">
        <v>0</v>
      </c>
      <c r="P604" s="317">
        <v>15</v>
      </c>
      <c r="Q604" s="318">
        <v>86</v>
      </c>
      <c r="R604" s="319">
        <f t="shared" si="162"/>
        <v>38</v>
      </c>
      <c r="S604" s="364">
        <f t="shared" si="163"/>
        <v>86</v>
      </c>
      <c r="T604" s="319"/>
      <c r="U604" s="319"/>
      <c r="V604" s="319"/>
      <c r="W604" s="319"/>
      <c r="X604" s="319"/>
    </row>
    <row r="605" spans="1:24" ht="12.75">
      <c r="A605" s="315" t="s">
        <v>399</v>
      </c>
      <c r="B605" s="316" t="s">
        <v>153</v>
      </c>
      <c r="C605" s="316" t="s">
        <v>812</v>
      </c>
      <c r="D605" s="316">
        <v>2015</v>
      </c>
      <c r="E605" s="316" t="s">
        <v>775</v>
      </c>
      <c r="F605" s="317">
        <v>101</v>
      </c>
      <c r="G605" s="317">
        <v>0</v>
      </c>
      <c r="H605" s="318">
        <v>0</v>
      </c>
      <c r="I605" s="317">
        <v>0</v>
      </c>
      <c r="J605" s="317">
        <v>61</v>
      </c>
      <c r="K605" s="317">
        <v>0</v>
      </c>
      <c r="L605" s="317">
        <v>0</v>
      </c>
      <c r="M605" s="317">
        <v>0</v>
      </c>
      <c r="N605" s="317">
        <v>65</v>
      </c>
      <c r="O605" s="317">
        <v>0</v>
      </c>
      <c r="P605" s="317">
        <v>162</v>
      </c>
      <c r="Q605" s="318">
        <v>9</v>
      </c>
      <c r="R605" s="319">
        <f t="shared" si="162"/>
        <v>389</v>
      </c>
      <c r="S605" s="364">
        <f t="shared" si="163"/>
        <v>9</v>
      </c>
      <c r="T605" s="319"/>
      <c r="U605" s="319"/>
      <c r="V605" s="319"/>
      <c r="W605" s="319"/>
      <c r="X605" s="319"/>
    </row>
    <row r="606" spans="1:24" ht="12.75">
      <c r="A606" s="315" t="s">
        <v>402</v>
      </c>
      <c r="B606" s="316" t="s">
        <v>153</v>
      </c>
      <c r="C606" s="316" t="s">
        <v>812</v>
      </c>
      <c r="D606" s="316">
        <v>2015</v>
      </c>
      <c r="E606" s="316" t="s">
        <v>775</v>
      </c>
      <c r="F606" s="317">
        <v>52</v>
      </c>
      <c r="G606" s="317">
        <v>0</v>
      </c>
      <c r="H606" s="318">
        <v>0</v>
      </c>
      <c r="I606" s="317">
        <v>0</v>
      </c>
      <c r="J606" s="317">
        <v>31</v>
      </c>
      <c r="K606" s="317">
        <v>0</v>
      </c>
      <c r="L606" s="317">
        <v>0</v>
      </c>
      <c r="M606" s="317">
        <v>0</v>
      </c>
      <c r="N606" s="317">
        <v>33</v>
      </c>
      <c r="O606" s="317">
        <v>0</v>
      </c>
      <c r="P606" s="317">
        <v>85</v>
      </c>
      <c r="Q606" s="318">
        <v>4</v>
      </c>
      <c r="R606" s="319">
        <f t="shared" si="162"/>
        <v>201</v>
      </c>
      <c r="S606" s="364">
        <f t="shared" si="163"/>
        <v>4</v>
      </c>
      <c r="T606" s="319"/>
      <c r="U606" s="319"/>
      <c r="V606" s="319"/>
      <c r="W606" s="319"/>
      <c r="X606" s="319"/>
    </row>
    <row r="607" spans="1:24" ht="12.75">
      <c r="A607" s="315" t="s">
        <v>403</v>
      </c>
      <c r="B607" s="316" t="s">
        <v>153</v>
      </c>
      <c r="C607" s="316" t="s">
        <v>812</v>
      </c>
      <c r="D607" s="316">
        <v>2015</v>
      </c>
      <c r="E607" s="316" t="s">
        <v>775</v>
      </c>
      <c r="F607" s="317">
        <v>1395</v>
      </c>
      <c r="G607" s="317">
        <v>0</v>
      </c>
      <c r="H607" s="318">
        <v>0</v>
      </c>
      <c r="I607" s="317">
        <v>0</v>
      </c>
      <c r="J607" s="317">
        <v>827</v>
      </c>
      <c r="K607" s="317">
        <v>0</v>
      </c>
      <c r="L607" s="317">
        <v>0</v>
      </c>
      <c r="M607" s="317">
        <v>0</v>
      </c>
      <c r="N607" s="317">
        <v>898</v>
      </c>
      <c r="O607" s="317">
        <v>0</v>
      </c>
      <c r="P607" s="317">
        <v>2332</v>
      </c>
      <c r="Q607" s="318">
        <v>95</v>
      </c>
      <c r="R607" s="319">
        <f t="shared" si="162"/>
        <v>5452</v>
      </c>
      <c r="S607" s="364">
        <f t="shared" si="163"/>
        <v>95</v>
      </c>
      <c r="T607" s="319"/>
      <c r="U607" s="319"/>
      <c r="V607" s="319"/>
      <c r="W607" s="319"/>
      <c r="X607" s="319"/>
    </row>
    <row r="608" spans="1:24" ht="12.75">
      <c r="A608" s="315" t="s">
        <v>405</v>
      </c>
      <c r="B608" s="316" t="s">
        <v>153</v>
      </c>
      <c r="C608" s="316" t="s">
        <v>812</v>
      </c>
      <c r="D608" s="316">
        <v>2015</v>
      </c>
      <c r="E608" s="316" t="s">
        <v>775</v>
      </c>
      <c r="F608" s="317">
        <v>26</v>
      </c>
      <c r="G608" s="317">
        <v>0</v>
      </c>
      <c r="H608" s="318">
        <v>0</v>
      </c>
      <c r="I608" s="317">
        <v>0</v>
      </c>
      <c r="J608" s="317">
        <v>16</v>
      </c>
      <c r="K608" s="317">
        <v>0</v>
      </c>
      <c r="L608" s="317">
        <v>0</v>
      </c>
      <c r="M608" s="317">
        <v>0</v>
      </c>
      <c r="N608" s="317">
        <v>17</v>
      </c>
      <c r="O608" s="317">
        <v>0</v>
      </c>
      <c r="P608" s="317">
        <v>46</v>
      </c>
      <c r="Q608" s="318">
        <v>4</v>
      </c>
      <c r="R608" s="319">
        <f t="shared" si="162"/>
        <v>105</v>
      </c>
      <c r="S608" s="364">
        <f t="shared" si="163"/>
        <v>4</v>
      </c>
      <c r="T608" s="319"/>
      <c r="U608" s="319"/>
      <c r="V608" s="319"/>
      <c r="W608" s="319"/>
      <c r="X608" s="319"/>
    </row>
    <row r="609" spans="1:24" ht="12.75">
      <c r="A609" s="315" t="s">
        <v>406</v>
      </c>
      <c r="B609" s="316" t="s">
        <v>153</v>
      </c>
      <c r="C609" s="316" t="s">
        <v>812</v>
      </c>
      <c r="D609" s="316">
        <v>2015</v>
      </c>
      <c r="E609" s="316" t="s">
        <v>775</v>
      </c>
      <c r="F609" s="317">
        <v>340</v>
      </c>
      <c r="G609" s="317">
        <v>104</v>
      </c>
      <c r="H609" s="318">
        <v>104</v>
      </c>
      <c r="I609" s="317">
        <v>0</v>
      </c>
      <c r="J609" s="317">
        <v>207</v>
      </c>
      <c r="K609" s="317">
        <v>0</v>
      </c>
      <c r="L609" s="317">
        <v>0</v>
      </c>
      <c r="M609" s="317">
        <v>0</v>
      </c>
      <c r="N609" s="317">
        <v>224</v>
      </c>
      <c r="O609" s="317">
        <v>10</v>
      </c>
      <c r="P609" s="317">
        <v>561</v>
      </c>
      <c r="Q609" s="318">
        <v>508</v>
      </c>
      <c r="R609" s="319">
        <f t="shared" si="162"/>
        <v>1332</v>
      </c>
      <c r="S609" s="364">
        <f t="shared" si="163"/>
        <v>622</v>
      </c>
      <c r="T609" s="319"/>
      <c r="U609" s="319"/>
      <c r="V609" s="319"/>
      <c r="W609" s="319"/>
      <c r="X609" s="319"/>
    </row>
    <row r="610" spans="1:24" ht="12.75">
      <c r="A610" s="315" t="s">
        <v>409</v>
      </c>
      <c r="B610" s="316" t="s">
        <v>153</v>
      </c>
      <c r="C610" s="316" t="s">
        <v>812</v>
      </c>
      <c r="D610" s="316">
        <v>2015</v>
      </c>
      <c r="E610" s="316" t="s">
        <v>775</v>
      </c>
      <c r="F610" s="317">
        <v>8</v>
      </c>
      <c r="G610" s="317">
        <v>0</v>
      </c>
      <c r="H610" s="318">
        <v>0</v>
      </c>
      <c r="I610" s="317">
        <v>0</v>
      </c>
      <c r="J610" s="317">
        <v>5</v>
      </c>
      <c r="K610" s="317">
        <v>0</v>
      </c>
      <c r="L610" s="317">
        <v>0</v>
      </c>
      <c r="M610" s="317">
        <v>0</v>
      </c>
      <c r="N610" s="317">
        <v>5</v>
      </c>
      <c r="O610" s="317">
        <v>0</v>
      </c>
      <c r="P610" s="317">
        <v>13</v>
      </c>
      <c r="Q610" s="318">
        <v>4</v>
      </c>
      <c r="R610" s="319">
        <f t="shared" si="162"/>
        <v>31</v>
      </c>
      <c r="S610" s="364">
        <f t="shared" si="163"/>
        <v>4</v>
      </c>
      <c r="T610" s="319"/>
      <c r="U610" s="319"/>
      <c r="V610" s="319"/>
      <c r="W610" s="319"/>
      <c r="X610" s="319"/>
    </row>
    <row r="611" spans="1:24" ht="12.75">
      <c r="A611" s="315" t="s">
        <v>410</v>
      </c>
      <c r="B611" s="316" t="s">
        <v>153</v>
      </c>
      <c r="C611" s="316" t="s">
        <v>812</v>
      </c>
      <c r="D611" s="316">
        <v>2015</v>
      </c>
      <c r="E611" s="316" t="s">
        <v>775</v>
      </c>
      <c r="F611" s="317">
        <v>372</v>
      </c>
      <c r="G611" s="317">
        <v>0</v>
      </c>
      <c r="H611" s="318">
        <v>0</v>
      </c>
      <c r="I611" s="317">
        <v>0</v>
      </c>
      <c r="J611" s="317">
        <v>223</v>
      </c>
      <c r="K611" s="317">
        <v>0</v>
      </c>
      <c r="L611" s="317">
        <v>0</v>
      </c>
      <c r="M611" s="317">
        <v>0</v>
      </c>
      <c r="N611" s="317">
        <v>238</v>
      </c>
      <c r="O611" s="317">
        <v>0</v>
      </c>
      <c r="P611" s="317">
        <v>564</v>
      </c>
      <c r="Q611" s="318">
        <v>68</v>
      </c>
      <c r="R611" s="319">
        <f t="shared" si="162"/>
        <v>1397</v>
      </c>
      <c r="S611" s="364">
        <f t="shared" si="163"/>
        <v>68</v>
      </c>
      <c r="T611" s="319"/>
      <c r="U611" s="319"/>
      <c r="V611" s="319"/>
      <c r="W611" s="319"/>
      <c r="X611" s="319"/>
    </row>
    <row r="612" spans="1:24" ht="12.75">
      <c r="A612" s="315" t="s">
        <v>413</v>
      </c>
      <c r="B612" s="316" t="s">
        <v>153</v>
      </c>
      <c r="C612" s="316" t="s">
        <v>812</v>
      </c>
      <c r="D612" s="316">
        <v>2015</v>
      </c>
      <c r="E612" s="316" t="s">
        <v>775</v>
      </c>
      <c r="F612" s="317">
        <v>153</v>
      </c>
      <c r="G612" s="317">
        <v>0</v>
      </c>
      <c r="H612" s="318">
        <v>0</v>
      </c>
      <c r="I612" s="317">
        <v>0</v>
      </c>
      <c r="J612" s="317">
        <v>88</v>
      </c>
      <c r="K612" s="317">
        <v>0</v>
      </c>
      <c r="L612" s="317">
        <v>0</v>
      </c>
      <c r="M612" s="317">
        <v>0</v>
      </c>
      <c r="N612" s="317">
        <v>99</v>
      </c>
      <c r="O612" s="317">
        <v>0</v>
      </c>
      <c r="P612" s="317">
        <v>262</v>
      </c>
      <c r="Q612" s="318">
        <v>0</v>
      </c>
      <c r="R612" s="319">
        <f t="shared" si="162"/>
        <v>602</v>
      </c>
      <c r="S612" s="364">
        <f t="shared" si="163"/>
        <v>0</v>
      </c>
      <c r="T612" s="319"/>
      <c r="U612" s="319"/>
      <c r="V612" s="319"/>
      <c r="W612" s="319"/>
      <c r="X612" s="319"/>
    </row>
    <row r="613" spans="1:24" ht="12.75">
      <c r="A613" s="315" t="s">
        <v>414</v>
      </c>
      <c r="B613" s="316" t="s">
        <v>153</v>
      </c>
      <c r="C613" s="316" t="s">
        <v>812</v>
      </c>
      <c r="D613" s="316">
        <v>2015</v>
      </c>
      <c r="E613" s="316" t="s">
        <v>775</v>
      </c>
      <c r="F613" s="317">
        <v>121</v>
      </c>
      <c r="G613" s="317">
        <v>0</v>
      </c>
      <c r="H613" s="318">
        <v>0</v>
      </c>
      <c r="I613" s="317">
        <v>0</v>
      </c>
      <c r="J613" s="317">
        <v>72</v>
      </c>
      <c r="K613" s="317">
        <v>0</v>
      </c>
      <c r="L613" s="317">
        <v>0</v>
      </c>
      <c r="M613" s="317">
        <v>0</v>
      </c>
      <c r="N613" s="317">
        <v>77</v>
      </c>
      <c r="O613" s="317">
        <v>0</v>
      </c>
      <c r="P613" s="317">
        <v>193</v>
      </c>
      <c r="Q613" s="318">
        <v>7</v>
      </c>
      <c r="R613" s="319">
        <f t="shared" si="162"/>
        <v>463</v>
      </c>
      <c r="S613" s="364">
        <f t="shared" si="163"/>
        <v>7</v>
      </c>
      <c r="T613" s="319"/>
      <c r="U613" s="319"/>
      <c r="V613" s="319"/>
      <c r="W613" s="319"/>
      <c r="X613" s="319"/>
    </row>
    <row r="614" spans="1:24" ht="12.75">
      <c r="A614" s="315" t="s">
        <v>415</v>
      </c>
      <c r="B614" s="316" t="s">
        <v>153</v>
      </c>
      <c r="C614" s="316" t="s">
        <v>812</v>
      </c>
      <c r="D614" s="316">
        <v>2015</v>
      </c>
      <c r="E614" s="316" t="s">
        <v>775</v>
      </c>
      <c r="F614" s="317">
        <v>55</v>
      </c>
      <c r="G614" s="317">
        <v>0</v>
      </c>
      <c r="H614" s="318">
        <v>0</v>
      </c>
      <c r="I614" s="317">
        <v>0</v>
      </c>
      <c r="J614" s="317">
        <v>32</v>
      </c>
      <c r="K614" s="317">
        <v>5</v>
      </c>
      <c r="L614" s="317">
        <v>0</v>
      </c>
      <c r="M614" s="317">
        <v>5</v>
      </c>
      <c r="N614" s="317">
        <v>35</v>
      </c>
      <c r="O614" s="317">
        <v>0</v>
      </c>
      <c r="P614" s="317">
        <v>95</v>
      </c>
      <c r="Q614" s="318">
        <v>0</v>
      </c>
      <c r="R614" s="319">
        <f t="shared" si="162"/>
        <v>217</v>
      </c>
      <c r="S614" s="364">
        <f t="shared" si="163"/>
        <v>5</v>
      </c>
      <c r="T614" s="319"/>
      <c r="U614" s="319"/>
      <c r="V614" s="319"/>
      <c r="W614" s="319"/>
      <c r="X614" s="319"/>
    </row>
    <row r="615" spans="1:24" ht="12.75">
      <c r="A615" s="315" t="s">
        <v>416</v>
      </c>
      <c r="B615" s="316" t="s">
        <v>153</v>
      </c>
      <c r="C615" s="316" t="s">
        <v>812</v>
      </c>
      <c r="D615" s="316">
        <v>2015</v>
      </c>
      <c r="E615" s="316" t="s">
        <v>775</v>
      </c>
      <c r="F615" s="317">
        <v>236</v>
      </c>
      <c r="G615" s="317">
        <v>1</v>
      </c>
      <c r="H615" s="318">
        <v>0</v>
      </c>
      <c r="I615" s="317">
        <v>1</v>
      </c>
      <c r="J615" s="317">
        <v>142</v>
      </c>
      <c r="K615" s="317">
        <v>0</v>
      </c>
      <c r="L615" s="317">
        <v>0</v>
      </c>
      <c r="M615" s="317">
        <v>0</v>
      </c>
      <c r="N615" s="317">
        <v>154</v>
      </c>
      <c r="O615" s="317">
        <v>54</v>
      </c>
      <c r="P615" s="317">
        <v>398</v>
      </c>
      <c r="Q615" s="318">
        <v>63</v>
      </c>
      <c r="R615" s="319">
        <f t="shared" si="162"/>
        <v>930</v>
      </c>
      <c r="S615" s="364">
        <f t="shared" si="163"/>
        <v>118</v>
      </c>
      <c r="T615" s="319"/>
      <c r="U615" s="319"/>
      <c r="V615" s="319"/>
      <c r="W615" s="319"/>
      <c r="X615" s="319"/>
    </row>
    <row r="616" spans="1:24" ht="12.75">
      <c r="A616" s="315" t="s">
        <v>417</v>
      </c>
      <c r="B616" s="316" t="s">
        <v>153</v>
      </c>
      <c r="C616" s="316" t="s">
        <v>812</v>
      </c>
      <c r="D616" s="316">
        <v>2015</v>
      </c>
      <c r="E616" s="316" t="s">
        <v>775</v>
      </c>
      <c r="F616" s="317">
        <v>1</v>
      </c>
      <c r="G616" s="317">
        <v>0</v>
      </c>
      <c r="H616" s="318">
        <v>0</v>
      </c>
      <c r="I616" s="317">
        <v>0</v>
      </c>
      <c r="J616" s="317">
        <v>1</v>
      </c>
      <c r="K616" s="317">
        <v>0</v>
      </c>
      <c r="L616" s="317">
        <v>0</v>
      </c>
      <c r="M616" s="317">
        <v>0</v>
      </c>
      <c r="N616" s="317">
        <v>0</v>
      </c>
      <c r="O616" s="317">
        <v>0</v>
      </c>
      <c r="P616" s="317">
        <v>0</v>
      </c>
      <c r="Q616" s="318">
        <v>9</v>
      </c>
      <c r="R616" s="319">
        <f t="shared" si="162"/>
        <v>2</v>
      </c>
      <c r="S616" s="364">
        <f t="shared" si="163"/>
        <v>9</v>
      </c>
      <c r="T616" s="319"/>
      <c r="U616" s="319"/>
      <c r="V616" s="319"/>
      <c r="W616" s="319"/>
      <c r="X616" s="319"/>
    </row>
    <row r="617" spans="1:24" ht="12.75">
      <c r="A617" s="315" t="s">
        <v>418</v>
      </c>
      <c r="B617" s="316" t="s">
        <v>153</v>
      </c>
      <c r="C617" s="316" t="s">
        <v>812</v>
      </c>
      <c r="D617" s="316">
        <v>2015</v>
      </c>
      <c r="E617" s="316" t="s">
        <v>775</v>
      </c>
      <c r="F617" s="317">
        <v>2645</v>
      </c>
      <c r="G617" s="317">
        <v>0</v>
      </c>
      <c r="H617" s="318">
        <v>0</v>
      </c>
      <c r="I617" s="317">
        <v>0</v>
      </c>
      <c r="J617" s="317">
        <v>1678</v>
      </c>
      <c r="K617" s="317">
        <v>73</v>
      </c>
      <c r="L617" s="317">
        <v>73</v>
      </c>
      <c r="M617" s="317">
        <v>0</v>
      </c>
      <c r="N617" s="317">
        <v>1532</v>
      </c>
      <c r="O617" s="317">
        <v>11</v>
      </c>
      <c r="P617" s="317">
        <v>5126</v>
      </c>
      <c r="Q617" s="318">
        <v>306</v>
      </c>
      <c r="R617" s="319">
        <f t="shared" si="162"/>
        <v>10981</v>
      </c>
      <c r="S617" s="364">
        <f t="shared" si="163"/>
        <v>390</v>
      </c>
      <c r="T617" s="319"/>
      <c r="U617" s="319"/>
      <c r="V617" s="319"/>
      <c r="W617" s="319"/>
      <c r="X617" s="319"/>
    </row>
    <row r="618" spans="1:24" ht="12.75">
      <c r="A618" s="315" t="s">
        <v>419</v>
      </c>
      <c r="B618" s="316" t="s">
        <v>153</v>
      </c>
      <c r="C618" s="316" t="s">
        <v>812</v>
      </c>
      <c r="D618" s="316">
        <v>2015</v>
      </c>
      <c r="E618" s="316" t="s">
        <v>775</v>
      </c>
      <c r="F618" s="317">
        <v>82</v>
      </c>
      <c r="G618" s="317">
        <v>0</v>
      </c>
      <c r="H618" s="318">
        <v>0</v>
      </c>
      <c r="I618" s="317">
        <v>0</v>
      </c>
      <c r="J618" s="317">
        <v>50</v>
      </c>
      <c r="K618" s="317">
        <v>0</v>
      </c>
      <c r="L618" s="317">
        <v>0</v>
      </c>
      <c r="M618" s="317">
        <v>0</v>
      </c>
      <c r="N618" s="317">
        <v>53</v>
      </c>
      <c r="O618" s="317">
        <v>0</v>
      </c>
      <c r="P618" s="317">
        <v>139</v>
      </c>
      <c r="Q618" s="318">
        <v>51</v>
      </c>
      <c r="R618" s="319">
        <f t="shared" si="162"/>
        <v>324</v>
      </c>
      <c r="S618" s="364">
        <f t="shared" si="163"/>
        <v>51</v>
      </c>
      <c r="T618" s="319"/>
      <c r="U618" s="319"/>
      <c r="V618" s="319"/>
      <c r="W618" s="319"/>
      <c r="X618" s="319"/>
    </row>
    <row r="619" spans="1:24" ht="12.75">
      <c r="A619" s="315" t="s">
        <v>420</v>
      </c>
      <c r="B619" s="316" t="s">
        <v>153</v>
      </c>
      <c r="C619" s="316" t="s">
        <v>812</v>
      </c>
      <c r="D619" s="316">
        <v>2015</v>
      </c>
      <c r="E619" s="316" t="s">
        <v>775</v>
      </c>
      <c r="F619" s="317">
        <v>428</v>
      </c>
      <c r="G619" s="317">
        <v>37</v>
      </c>
      <c r="H619" s="318">
        <v>37</v>
      </c>
      <c r="I619" s="317">
        <v>0</v>
      </c>
      <c r="J619" s="317">
        <v>263</v>
      </c>
      <c r="K619" s="317">
        <v>0</v>
      </c>
      <c r="L619" s="317">
        <v>0</v>
      </c>
      <c r="M619" s="317">
        <v>0</v>
      </c>
      <c r="N619" s="317">
        <v>283</v>
      </c>
      <c r="O619" s="317">
        <v>1</v>
      </c>
      <c r="P619" s="317">
        <v>700</v>
      </c>
      <c r="Q619" s="318">
        <v>108</v>
      </c>
      <c r="R619" s="319">
        <f t="shared" si="162"/>
        <v>1674</v>
      </c>
      <c r="S619" s="364">
        <f t="shared" si="163"/>
        <v>146</v>
      </c>
      <c r="T619" s="319"/>
      <c r="U619" s="319"/>
      <c r="V619" s="319"/>
      <c r="W619" s="319"/>
      <c r="X619" s="319"/>
    </row>
    <row r="620" spans="1:24" ht="12.75">
      <c r="A620" s="315" t="s">
        <v>421</v>
      </c>
      <c r="B620" s="316" t="s">
        <v>153</v>
      </c>
      <c r="C620" s="316" t="s">
        <v>812</v>
      </c>
      <c r="D620" s="316">
        <v>2015</v>
      </c>
      <c r="E620" s="316" t="s">
        <v>775</v>
      </c>
      <c r="F620" s="317">
        <v>14</v>
      </c>
      <c r="G620" s="317">
        <v>0</v>
      </c>
      <c r="H620" s="318">
        <v>0</v>
      </c>
      <c r="I620" s="317">
        <v>0</v>
      </c>
      <c r="J620" s="317">
        <v>9</v>
      </c>
      <c r="K620" s="317">
        <v>0</v>
      </c>
      <c r="L620" s="317">
        <v>0</v>
      </c>
      <c r="M620" s="317">
        <v>0</v>
      </c>
      <c r="N620" s="317">
        <v>9</v>
      </c>
      <c r="O620" s="317">
        <v>0</v>
      </c>
      <c r="P620" s="317">
        <v>23</v>
      </c>
      <c r="Q620" s="318">
        <v>77</v>
      </c>
      <c r="R620" s="319">
        <f t="shared" si="162"/>
        <v>55</v>
      </c>
      <c r="S620" s="364">
        <f t="shared" si="163"/>
        <v>77</v>
      </c>
      <c r="T620" s="319"/>
      <c r="U620" s="319"/>
      <c r="V620" s="319"/>
      <c r="W620" s="319"/>
      <c r="X620" s="319"/>
    </row>
    <row r="621" spans="1:24" ht="12.75">
      <c r="A621" s="315" t="s">
        <v>422</v>
      </c>
      <c r="B621" s="316" t="s">
        <v>153</v>
      </c>
      <c r="C621" s="316" t="s">
        <v>812</v>
      </c>
      <c r="D621" s="316">
        <v>2015</v>
      </c>
      <c r="E621" s="316" t="s">
        <v>775</v>
      </c>
      <c r="F621" s="317">
        <v>44</v>
      </c>
      <c r="G621" s="317">
        <v>44</v>
      </c>
      <c r="H621" s="318">
        <v>44</v>
      </c>
      <c r="I621" s="317">
        <v>0</v>
      </c>
      <c r="J621" s="317">
        <v>27</v>
      </c>
      <c r="K621" s="317">
        <v>27</v>
      </c>
      <c r="L621" s="317">
        <v>27</v>
      </c>
      <c r="M621" s="317">
        <v>0</v>
      </c>
      <c r="N621" s="317">
        <v>28</v>
      </c>
      <c r="O621" s="317">
        <v>2</v>
      </c>
      <c r="P621" s="317">
        <v>70</v>
      </c>
      <c r="Q621" s="318">
        <v>0</v>
      </c>
      <c r="R621" s="319">
        <f t="shared" si="162"/>
        <v>169</v>
      </c>
      <c r="S621" s="364">
        <f t="shared" si="163"/>
        <v>73</v>
      </c>
      <c r="T621" s="319"/>
      <c r="U621" s="319"/>
      <c r="V621" s="319"/>
      <c r="W621" s="319"/>
      <c r="X621" s="319"/>
    </row>
    <row r="622" spans="1:24" ht="12.75">
      <c r="A622" s="315" t="s">
        <v>423</v>
      </c>
      <c r="B622" s="316" t="s">
        <v>153</v>
      </c>
      <c r="C622" s="316" t="s">
        <v>812</v>
      </c>
      <c r="D622" s="316">
        <v>2015</v>
      </c>
      <c r="E622" s="316" t="s">
        <v>775</v>
      </c>
      <c r="F622" s="317">
        <v>43</v>
      </c>
      <c r="G622" s="317">
        <v>0</v>
      </c>
      <c r="H622" s="318">
        <v>0</v>
      </c>
      <c r="I622" s="317">
        <v>0</v>
      </c>
      <c r="J622" s="317">
        <v>25</v>
      </c>
      <c r="K622" s="317">
        <v>2</v>
      </c>
      <c r="L622" s="317">
        <v>0</v>
      </c>
      <c r="M622" s="317">
        <v>2</v>
      </c>
      <c r="N622" s="317">
        <v>28</v>
      </c>
      <c r="O622" s="317">
        <v>0</v>
      </c>
      <c r="P622" s="317">
        <v>76</v>
      </c>
      <c r="Q622" s="318">
        <v>33</v>
      </c>
      <c r="R622" s="319">
        <f t="shared" si="162"/>
        <v>172</v>
      </c>
      <c r="S622" s="364">
        <f t="shared" si="163"/>
        <v>35</v>
      </c>
      <c r="T622" s="319"/>
      <c r="U622" s="319"/>
      <c r="V622" s="319"/>
      <c r="W622" s="319"/>
      <c r="X622" s="319"/>
    </row>
    <row r="623" spans="1:24" ht="12.75">
      <c r="A623" s="315" t="s">
        <v>424</v>
      </c>
      <c r="B623" s="316" t="s">
        <v>153</v>
      </c>
      <c r="C623" s="316" t="s">
        <v>812</v>
      </c>
      <c r="D623" s="316">
        <v>2015</v>
      </c>
      <c r="E623" s="316" t="s">
        <v>775</v>
      </c>
      <c r="F623" s="317">
        <v>314</v>
      </c>
      <c r="G623" s="317">
        <v>0</v>
      </c>
      <c r="H623" s="318">
        <v>0</v>
      </c>
      <c r="I623" s="317">
        <v>0</v>
      </c>
      <c r="J623" s="317">
        <v>185</v>
      </c>
      <c r="K623" s="317">
        <v>0</v>
      </c>
      <c r="L623" s="317">
        <v>0</v>
      </c>
      <c r="M623" s="317">
        <v>0</v>
      </c>
      <c r="N623" s="317">
        <v>205</v>
      </c>
      <c r="O623" s="317">
        <v>12</v>
      </c>
      <c r="P623" s="317">
        <v>558</v>
      </c>
      <c r="Q623" s="318">
        <v>3</v>
      </c>
      <c r="R623" s="319">
        <f t="shared" si="162"/>
        <v>1262</v>
      </c>
      <c r="S623" s="364">
        <f t="shared" si="163"/>
        <v>15</v>
      </c>
      <c r="T623" s="319"/>
      <c r="U623" s="319"/>
      <c r="V623" s="319"/>
      <c r="W623" s="319"/>
      <c r="X623" s="319"/>
    </row>
    <row r="624" spans="1:24" ht="12.75">
      <c r="A624" s="315" t="s">
        <v>425</v>
      </c>
      <c r="B624" s="316" t="s">
        <v>153</v>
      </c>
      <c r="C624" s="316" t="s">
        <v>812</v>
      </c>
      <c r="D624" s="316">
        <v>2015</v>
      </c>
      <c r="E624" s="316" t="s">
        <v>775</v>
      </c>
      <c r="F624" s="317">
        <v>17</v>
      </c>
      <c r="G624" s="317">
        <v>0</v>
      </c>
      <c r="H624" s="318">
        <v>0</v>
      </c>
      <c r="I624" s="317">
        <v>0</v>
      </c>
      <c r="J624" s="317">
        <v>10</v>
      </c>
      <c r="K624" s="317">
        <v>0</v>
      </c>
      <c r="L624" s="317">
        <v>0</v>
      </c>
      <c r="M624" s="317">
        <v>0</v>
      </c>
      <c r="N624" s="317">
        <v>11</v>
      </c>
      <c r="O624" s="317">
        <v>0</v>
      </c>
      <c r="P624" s="317">
        <v>25</v>
      </c>
      <c r="Q624" s="318">
        <v>6</v>
      </c>
      <c r="R624" s="319">
        <f t="shared" si="162"/>
        <v>63</v>
      </c>
      <c r="S624" s="364">
        <f t="shared" si="163"/>
        <v>6</v>
      </c>
      <c r="T624" s="319"/>
      <c r="U624" s="319"/>
      <c r="V624" s="319"/>
      <c r="W624" s="319"/>
      <c r="X624" s="319"/>
    </row>
    <row r="625" spans="1:24" ht="12.75">
      <c r="A625" s="321" t="s">
        <v>427</v>
      </c>
      <c r="B625" s="322" t="s">
        <v>153</v>
      </c>
      <c r="C625" s="322" t="s">
        <v>812</v>
      </c>
      <c r="D625" s="322">
        <v>2015</v>
      </c>
      <c r="E625" s="322" t="s">
        <v>775</v>
      </c>
      <c r="F625" s="318">
        <v>380</v>
      </c>
      <c r="G625" s="317">
        <v>0</v>
      </c>
      <c r="H625" s="318">
        <v>0</v>
      </c>
      <c r="I625" s="318">
        <v>0</v>
      </c>
      <c r="J625" s="317">
        <v>227</v>
      </c>
      <c r="K625" s="317">
        <v>0</v>
      </c>
      <c r="L625" s="318">
        <v>0</v>
      </c>
      <c r="M625" s="318">
        <v>0</v>
      </c>
      <c r="N625" s="318">
        <v>243</v>
      </c>
      <c r="O625" s="318">
        <v>0</v>
      </c>
      <c r="P625" s="318">
        <v>600</v>
      </c>
      <c r="Q625" s="318">
        <v>21</v>
      </c>
      <c r="R625" s="319">
        <f t="shared" si="162"/>
        <v>1450</v>
      </c>
      <c r="S625" s="364">
        <f t="shared" si="163"/>
        <v>21</v>
      </c>
      <c r="T625" s="319"/>
      <c r="U625" s="319"/>
      <c r="V625" s="319"/>
      <c r="W625" s="319"/>
      <c r="X625" s="319"/>
    </row>
    <row r="626" spans="1:24" ht="12.75">
      <c r="A626" s="321" t="s">
        <v>430</v>
      </c>
      <c r="B626" s="322" t="s">
        <v>153</v>
      </c>
      <c r="C626" s="322" t="s">
        <v>812</v>
      </c>
      <c r="D626" s="322">
        <v>2015</v>
      </c>
      <c r="E626" s="322" t="s">
        <v>775</v>
      </c>
      <c r="F626" s="318">
        <v>217</v>
      </c>
      <c r="G626" s="317">
        <v>0</v>
      </c>
      <c r="H626" s="318">
        <v>0</v>
      </c>
      <c r="I626" s="318">
        <v>0</v>
      </c>
      <c r="J626" s="318">
        <v>129</v>
      </c>
      <c r="K626" s="317">
        <v>0</v>
      </c>
      <c r="L626" s="318">
        <v>0</v>
      </c>
      <c r="M626" s="318">
        <v>0</v>
      </c>
      <c r="N626" s="318">
        <v>138</v>
      </c>
      <c r="O626" s="318">
        <v>0</v>
      </c>
      <c r="P626" s="318">
        <v>347</v>
      </c>
      <c r="Q626" s="318">
        <v>140</v>
      </c>
      <c r="R626" s="319">
        <f t="shared" si="162"/>
        <v>831</v>
      </c>
      <c r="S626" s="364">
        <f t="shared" si="163"/>
        <v>140</v>
      </c>
      <c r="T626" s="319"/>
      <c r="U626" s="319"/>
      <c r="V626" s="319"/>
      <c r="W626" s="319"/>
      <c r="X626" s="319"/>
    </row>
    <row r="627" spans="1:24" ht="12.75">
      <c r="A627" s="321" t="s">
        <v>431</v>
      </c>
      <c r="B627" s="322" t="s">
        <v>153</v>
      </c>
      <c r="C627" s="322" t="s">
        <v>812</v>
      </c>
      <c r="D627" s="322">
        <v>2015</v>
      </c>
      <c r="E627" s="322" t="s">
        <v>775</v>
      </c>
      <c r="F627" s="318">
        <v>19</v>
      </c>
      <c r="G627" s="317">
        <v>42</v>
      </c>
      <c r="H627" s="318">
        <v>42</v>
      </c>
      <c r="I627" s="318">
        <v>0</v>
      </c>
      <c r="J627" s="318">
        <v>12</v>
      </c>
      <c r="K627" s="317">
        <v>43</v>
      </c>
      <c r="L627" s="318">
        <v>43</v>
      </c>
      <c r="M627" s="318">
        <v>0</v>
      </c>
      <c r="N627" s="318">
        <v>13</v>
      </c>
      <c r="O627" s="318">
        <v>0</v>
      </c>
      <c r="P627" s="318">
        <v>33</v>
      </c>
      <c r="Q627" s="318">
        <v>390</v>
      </c>
      <c r="R627" s="319">
        <f t="shared" si="162"/>
        <v>77</v>
      </c>
      <c r="S627" s="364">
        <f t="shared" si="163"/>
        <v>475</v>
      </c>
      <c r="T627" s="319"/>
      <c r="U627" s="319"/>
      <c r="V627" s="319"/>
      <c r="W627" s="319"/>
      <c r="X627" s="319"/>
    </row>
    <row r="628" spans="1:24" ht="12.75">
      <c r="A628" s="321" t="s">
        <v>433</v>
      </c>
      <c r="B628" s="322" t="s">
        <v>153</v>
      </c>
      <c r="C628" s="322" t="s">
        <v>812</v>
      </c>
      <c r="D628" s="322">
        <v>2015</v>
      </c>
      <c r="E628" s="322" t="s">
        <v>775</v>
      </c>
      <c r="F628" s="318">
        <v>228</v>
      </c>
      <c r="G628" s="317">
        <v>0</v>
      </c>
      <c r="H628" s="318">
        <v>0</v>
      </c>
      <c r="I628" s="318">
        <v>0</v>
      </c>
      <c r="J628" s="318">
        <v>135</v>
      </c>
      <c r="K628" s="317">
        <v>0</v>
      </c>
      <c r="L628" s="318">
        <v>0</v>
      </c>
      <c r="M628" s="318">
        <v>0</v>
      </c>
      <c r="N628" s="318">
        <v>146</v>
      </c>
      <c r="O628" s="318">
        <v>78</v>
      </c>
      <c r="P628" s="318">
        <v>369</v>
      </c>
      <c r="Q628" s="318">
        <v>0</v>
      </c>
      <c r="R628" s="319">
        <f t="shared" si="162"/>
        <v>878</v>
      </c>
      <c r="S628" s="364">
        <f t="shared" si="163"/>
        <v>78</v>
      </c>
      <c r="T628" s="323">
        <f>SUM(G573:G628)</f>
        <v>1423</v>
      </c>
      <c r="U628" s="323">
        <f>SUM(K573:K628)</f>
        <v>862</v>
      </c>
      <c r="V628" s="323">
        <f>SUM(O573:O628)</f>
        <v>406</v>
      </c>
      <c r="W628" s="323">
        <f>SUM(Q573:Q628)</f>
        <v>20913</v>
      </c>
      <c r="X628" s="323">
        <f>T628+U628+V628+W628</f>
        <v>23604</v>
      </c>
    </row>
    <row r="629" spans="1:24" ht="12.75">
      <c r="A629" s="324" t="s">
        <v>346</v>
      </c>
      <c r="B629" s="325" t="s">
        <v>153</v>
      </c>
      <c r="C629" s="325" t="s">
        <v>812</v>
      </c>
      <c r="D629" s="325">
        <v>2016</v>
      </c>
      <c r="E629" s="325" t="s">
        <v>775</v>
      </c>
      <c r="F629" s="326">
        <v>31</v>
      </c>
      <c r="G629" s="326">
        <v>0</v>
      </c>
      <c r="H629" s="326">
        <v>0</v>
      </c>
      <c r="I629" s="326">
        <v>0</v>
      </c>
      <c r="J629" s="326">
        <v>19</v>
      </c>
      <c r="K629" s="326">
        <v>0</v>
      </c>
      <c r="L629" s="326">
        <v>0</v>
      </c>
      <c r="M629" s="326">
        <v>0</v>
      </c>
      <c r="N629" s="326">
        <v>20</v>
      </c>
      <c r="O629" s="326">
        <v>0</v>
      </c>
      <c r="P629" s="326">
        <v>45</v>
      </c>
      <c r="Q629" s="327">
        <v>2</v>
      </c>
      <c r="R629" s="328">
        <f t="shared" si="162"/>
        <v>115</v>
      </c>
      <c r="S629" s="365">
        <f t="shared" si="163"/>
        <v>2</v>
      </c>
      <c r="T629" s="328"/>
      <c r="U629" s="328"/>
      <c r="V629" s="328"/>
      <c r="W629" s="328"/>
      <c r="X629" s="328"/>
    </row>
    <row r="630" spans="1:24" ht="12.75">
      <c r="A630" s="324" t="s">
        <v>347</v>
      </c>
      <c r="B630" s="325" t="s">
        <v>153</v>
      </c>
      <c r="C630" s="325" t="s">
        <v>812</v>
      </c>
      <c r="D630" s="325">
        <v>2016</v>
      </c>
      <c r="E630" s="325" t="s">
        <v>775</v>
      </c>
      <c r="F630" s="326">
        <v>380</v>
      </c>
      <c r="G630" s="326">
        <v>0</v>
      </c>
      <c r="H630" s="327">
        <v>0</v>
      </c>
      <c r="I630" s="326">
        <v>0</v>
      </c>
      <c r="J630" s="326">
        <v>224</v>
      </c>
      <c r="K630" s="326">
        <v>0</v>
      </c>
      <c r="L630" s="326">
        <v>0</v>
      </c>
      <c r="M630" s="326">
        <v>0</v>
      </c>
      <c r="N630" s="326">
        <v>246</v>
      </c>
      <c r="O630" s="326">
        <v>0</v>
      </c>
      <c r="P630" s="326">
        <v>642</v>
      </c>
      <c r="Q630" s="327">
        <v>38</v>
      </c>
      <c r="R630" s="328">
        <f t="shared" si="162"/>
        <v>1492</v>
      </c>
      <c r="S630" s="365">
        <f t="shared" si="163"/>
        <v>38</v>
      </c>
      <c r="T630" s="328"/>
      <c r="U630" s="328"/>
      <c r="V630" s="328"/>
      <c r="W630" s="328"/>
      <c r="X630" s="328"/>
    </row>
    <row r="631" spans="1:24" ht="12.75">
      <c r="A631" s="324" t="s">
        <v>349</v>
      </c>
      <c r="B631" s="325" t="s">
        <v>153</v>
      </c>
      <c r="C631" s="325" t="s">
        <v>812</v>
      </c>
      <c r="D631" s="325">
        <v>2016</v>
      </c>
      <c r="E631" s="325" t="s">
        <v>775</v>
      </c>
      <c r="F631" s="326">
        <v>31</v>
      </c>
      <c r="G631" s="326">
        <v>0</v>
      </c>
      <c r="H631" s="327">
        <v>0</v>
      </c>
      <c r="I631" s="326">
        <v>0</v>
      </c>
      <c r="J631" s="326">
        <v>18</v>
      </c>
      <c r="K631" s="326">
        <v>0</v>
      </c>
      <c r="L631" s="326">
        <v>0</v>
      </c>
      <c r="M631" s="326">
        <v>0</v>
      </c>
      <c r="N631" s="326">
        <v>20</v>
      </c>
      <c r="O631" s="326">
        <v>0</v>
      </c>
      <c r="P631" s="326">
        <v>51</v>
      </c>
      <c r="Q631" s="327">
        <v>22</v>
      </c>
      <c r="R631" s="328">
        <f t="shared" si="162"/>
        <v>120</v>
      </c>
      <c r="S631" s="365">
        <f t="shared" si="163"/>
        <v>22</v>
      </c>
      <c r="T631" s="328"/>
      <c r="U631" s="328"/>
      <c r="V631" s="328"/>
      <c r="W631" s="328"/>
      <c r="X631" s="328"/>
    </row>
    <row r="632" spans="1:24" ht="12.75">
      <c r="A632" s="324" t="s">
        <v>350</v>
      </c>
      <c r="B632" s="325" t="s">
        <v>153</v>
      </c>
      <c r="C632" s="325" t="s">
        <v>812</v>
      </c>
      <c r="D632" s="325">
        <v>2016</v>
      </c>
      <c r="E632" s="325" t="s">
        <v>775</v>
      </c>
      <c r="F632" s="326">
        <v>20</v>
      </c>
      <c r="G632" s="326">
        <v>0</v>
      </c>
      <c r="H632" s="327">
        <v>0</v>
      </c>
      <c r="I632" s="326">
        <v>0</v>
      </c>
      <c r="J632" s="326">
        <v>12</v>
      </c>
      <c r="K632" s="326">
        <v>0</v>
      </c>
      <c r="L632" s="326">
        <v>0</v>
      </c>
      <c r="M632" s="326">
        <v>0</v>
      </c>
      <c r="N632" s="326">
        <v>14</v>
      </c>
      <c r="O632" s="326">
        <v>0</v>
      </c>
      <c r="P632" s="326">
        <v>34</v>
      </c>
      <c r="Q632" s="327">
        <v>0</v>
      </c>
      <c r="R632" s="328">
        <f t="shared" si="162"/>
        <v>80</v>
      </c>
      <c r="S632" s="365">
        <f t="shared" si="163"/>
        <v>0</v>
      </c>
      <c r="T632" s="328"/>
      <c r="U632" s="328"/>
      <c r="V632" s="328"/>
      <c r="W632" s="328"/>
      <c r="X632" s="328"/>
    </row>
    <row r="633" spans="1:24" ht="12.75">
      <c r="A633" s="324" t="s">
        <v>351</v>
      </c>
      <c r="B633" s="325" t="s">
        <v>153</v>
      </c>
      <c r="C633" s="325" t="s">
        <v>812</v>
      </c>
      <c r="D633" s="325">
        <v>2016</v>
      </c>
      <c r="E633" s="325" t="s">
        <v>775</v>
      </c>
      <c r="F633" s="326">
        <v>198</v>
      </c>
      <c r="G633" s="326">
        <v>0</v>
      </c>
      <c r="H633" s="327">
        <v>0</v>
      </c>
      <c r="I633" s="326">
        <v>0</v>
      </c>
      <c r="J633" s="326">
        <v>118</v>
      </c>
      <c r="K633" s="326">
        <v>0</v>
      </c>
      <c r="L633" s="326">
        <v>0</v>
      </c>
      <c r="M633" s="326">
        <v>0</v>
      </c>
      <c r="N633" s="326">
        <v>127</v>
      </c>
      <c r="O633" s="326">
        <v>110</v>
      </c>
      <c r="P633" s="326">
        <v>336</v>
      </c>
      <c r="Q633" s="327">
        <v>0</v>
      </c>
      <c r="R633" s="328">
        <f t="shared" si="162"/>
        <v>779</v>
      </c>
      <c r="S633" s="365">
        <f t="shared" si="163"/>
        <v>110</v>
      </c>
      <c r="T633" s="328"/>
      <c r="U633" s="328"/>
      <c r="V633" s="328"/>
      <c r="W633" s="328"/>
      <c r="X633" s="328"/>
    </row>
    <row r="634" spans="1:24" ht="12.75">
      <c r="A634" s="324" t="s">
        <v>352</v>
      </c>
      <c r="B634" s="325" t="s">
        <v>153</v>
      </c>
      <c r="C634" s="325" t="s">
        <v>812</v>
      </c>
      <c r="D634" s="325">
        <v>2016</v>
      </c>
      <c r="E634" s="325" t="s">
        <v>775</v>
      </c>
      <c r="F634" s="326">
        <v>142</v>
      </c>
      <c r="G634" s="326">
        <v>0</v>
      </c>
      <c r="H634" s="327">
        <v>0</v>
      </c>
      <c r="I634" s="326">
        <v>0</v>
      </c>
      <c r="J634" s="326">
        <v>83</v>
      </c>
      <c r="K634" s="326">
        <v>0</v>
      </c>
      <c r="L634" s="326">
        <v>0</v>
      </c>
      <c r="M634" s="326">
        <v>0</v>
      </c>
      <c r="N634" s="326">
        <v>90</v>
      </c>
      <c r="O634" s="326">
        <v>0</v>
      </c>
      <c r="P634" s="326">
        <v>242</v>
      </c>
      <c r="Q634" s="327">
        <v>31</v>
      </c>
      <c r="R634" s="328">
        <f t="shared" si="162"/>
        <v>557</v>
      </c>
      <c r="S634" s="365">
        <f t="shared" si="163"/>
        <v>31</v>
      </c>
      <c r="T634" s="328"/>
      <c r="U634" s="328"/>
      <c r="V634" s="328"/>
      <c r="W634" s="328"/>
      <c r="X634" s="328"/>
    </row>
    <row r="635" spans="1:24" ht="12.75">
      <c r="A635" s="324" t="s">
        <v>353</v>
      </c>
      <c r="B635" s="325" t="s">
        <v>153</v>
      </c>
      <c r="C635" s="325" t="s">
        <v>812</v>
      </c>
      <c r="D635" s="325">
        <v>2016</v>
      </c>
      <c r="E635" s="325" t="s">
        <v>775</v>
      </c>
      <c r="F635" s="326">
        <v>11</v>
      </c>
      <c r="G635" s="326">
        <v>0</v>
      </c>
      <c r="H635" s="327">
        <v>0</v>
      </c>
      <c r="I635" s="326">
        <v>0</v>
      </c>
      <c r="J635" s="326">
        <v>7</v>
      </c>
      <c r="K635" s="326">
        <v>0</v>
      </c>
      <c r="L635" s="326">
        <v>0</v>
      </c>
      <c r="M635" s="326">
        <v>0</v>
      </c>
      <c r="N635" s="326">
        <v>8</v>
      </c>
      <c r="O635" s="326">
        <v>0</v>
      </c>
      <c r="P635" s="326">
        <v>21</v>
      </c>
      <c r="Q635" s="327">
        <v>10</v>
      </c>
      <c r="R635" s="328">
        <f t="shared" si="162"/>
        <v>47</v>
      </c>
      <c r="S635" s="365">
        <f t="shared" si="163"/>
        <v>10</v>
      </c>
      <c r="T635" s="328"/>
      <c r="U635" s="328"/>
      <c r="V635" s="328"/>
      <c r="W635" s="328"/>
      <c r="X635" s="328"/>
    </row>
    <row r="636" spans="1:24" ht="12.75">
      <c r="A636" s="324" t="s">
        <v>354</v>
      </c>
      <c r="B636" s="325" t="s">
        <v>153</v>
      </c>
      <c r="C636" s="325" t="s">
        <v>812</v>
      </c>
      <c r="D636" s="325">
        <v>2016</v>
      </c>
      <c r="E636" s="325" t="s">
        <v>775</v>
      </c>
      <c r="F636" s="326">
        <v>11</v>
      </c>
      <c r="G636" s="326">
        <v>0</v>
      </c>
      <c r="H636" s="327">
        <v>0</v>
      </c>
      <c r="I636" s="326">
        <v>0</v>
      </c>
      <c r="J636" s="326">
        <v>7</v>
      </c>
      <c r="K636" s="326">
        <v>0</v>
      </c>
      <c r="L636" s="326">
        <v>0</v>
      </c>
      <c r="M636" s="326">
        <v>0</v>
      </c>
      <c r="N636" s="326">
        <v>8</v>
      </c>
      <c r="O636" s="326">
        <v>0</v>
      </c>
      <c r="P636" s="326">
        <v>20</v>
      </c>
      <c r="Q636" s="327">
        <v>5</v>
      </c>
      <c r="R636" s="328">
        <f t="shared" si="162"/>
        <v>46</v>
      </c>
      <c r="S636" s="365">
        <f t="shared" si="163"/>
        <v>5</v>
      </c>
      <c r="T636" s="328"/>
      <c r="U636" s="328"/>
      <c r="V636" s="328"/>
      <c r="W636" s="328"/>
      <c r="X636" s="328"/>
    </row>
    <row r="637" spans="1:24" ht="12.75">
      <c r="A637" s="324" t="s">
        <v>355</v>
      </c>
      <c r="B637" s="325" t="s">
        <v>153</v>
      </c>
      <c r="C637" s="325" t="s">
        <v>812</v>
      </c>
      <c r="D637" s="325">
        <v>2016</v>
      </c>
      <c r="E637" s="325" t="s">
        <v>775</v>
      </c>
      <c r="F637" s="326">
        <v>1</v>
      </c>
      <c r="G637" s="326">
        <v>0</v>
      </c>
      <c r="H637" s="327">
        <v>0</v>
      </c>
      <c r="I637" s="326">
        <v>0</v>
      </c>
      <c r="J637" s="326">
        <v>1</v>
      </c>
      <c r="K637" s="326">
        <v>6</v>
      </c>
      <c r="L637" s="326">
        <v>6</v>
      </c>
      <c r="M637" s="326">
        <v>0</v>
      </c>
      <c r="N637" s="326">
        <v>0</v>
      </c>
      <c r="O637" s="326">
        <v>6</v>
      </c>
      <c r="P637" s="326">
        <v>0</v>
      </c>
      <c r="Q637" s="327">
        <v>108</v>
      </c>
      <c r="R637" s="328">
        <f t="shared" si="162"/>
        <v>2</v>
      </c>
      <c r="S637" s="365">
        <f t="shared" si="163"/>
        <v>120</v>
      </c>
      <c r="T637" s="328"/>
      <c r="U637" s="328"/>
      <c r="V637" s="328"/>
      <c r="W637" s="328"/>
      <c r="X637" s="328"/>
    </row>
    <row r="638" spans="1:24" ht="12.75">
      <c r="A638" s="324" t="s">
        <v>356</v>
      </c>
      <c r="B638" s="325" t="s">
        <v>153</v>
      </c>
      <c r="C638" s="325" t="s">
        <v>812</v>
      </c>
      <c r="D638" s="325">
        <v>2016</v>
      </c>
      <c r="E638" s="325" t="s">
        <v>775</v>
      </c>
      <c r="F638" s="326">
        <v>1</v>
      </c>
      <c r="G638" s="326">
        <v>0</v>
      </c>
      <c r="H638" s="327">
        <v>0</v>
      </c>
      <c r="I638" s="326">
        <v>0</v>
      </c>
      <c r="J638" s="326">
        <v>1</v>
      </c>
      <c r="K638" s="326">
        <v>0</v>
      </c>
      <c r="L638" s="326">
        <v>0</v>
      </c>
      <c r="M638" s="326">
        <v>0</v>
      </c>
      <c r="N638" s="326">
        <v>1</v>
      </c>
      <c r="O638" s="326">
        <v>2</v>
      </c>
      <c r="P638" s="326">
        <v>0</v>
      </c>
      <c r="Q638" s="327">
        <v>16</v>
      </c>
      <c r="R638" s="328">
        <f t="shared" si="162"/>
        <v>3</v>
      </c>
      <c r="S638" s="365">
        <f t="shared" si="163"/>
        <v>18</v>
      </c>
      <c r="T638" s="328"/>
      <c r="U638" s="328"/>
      <c r="V638" s="328"/>
      <c r="W638" s="328"/>
      <c r="X638" s="328"/>
    </row>
    <row r="639" spans="1:24" ht="12.75">
      <c r="A639" s="324" t="s">
        <v>358</v>
      </c>
      <c r="B639" s="325" t="s">
        <v>153</v>
      </c>
      <c r="C639" s="325" t="s">
        <v>812</v>
      </c>
      <c r="D639" s="325">
        <v>2016</v>
      </c>
      <c r="E639" s="325" t="s">
        <v>775</v>
      </c>
      <c r="F639" s="326">
        <v>694</v>
      </c>
      <c r="G639" s="326">
        <v>0</v>
      </c>
      <c r="H639" s="327">
        <v>0</v>
      </c>
      <c r="I639" s="326">
        <v>0</v>
      </c>
      <c r="J639" s="326">
        <v>413</v>
      </c>
      <c r="K639" s="326">
        <v>0</v>
      </c>
      <c r="L639" s="326">
        <v>0</v>
      </c>
      <c r="M639" s="326">
        <v>0</v>
      </c>
      <c r="N639" s="326">
        <v>443</v>
      </c>
      <c r="O639" s="326">
        <v>0</v>
      </c>
      <c r="P639" s="326">
        <v>1134</v>
      </c>
      <c r="Q639" s="327">
        <v>275</v>
      </c>
      <c r="R639" s="328">
        <f t="shared" si="162"/>
        <v>2684</v>
      </c>
      <c r="S639" s="365">
        <f t="shared" si="163"/>
        <v>275</v>
      </c>
      <c r="T639" s="328"/>
      <c r="U639" s="328"/>
      <c r="V639" s="328"/>
      <c r="W639" s="328"/>
      <c r="X639" s="328"/>
    </row>
    <row r="640" spans="1:24" ht="12.75">
      <c r="A640" s="324" t="s">
        <v>359</v>
      </c>
      <c r="B640" s="325" t="s">
        <v>153</v>
      </c>
      <c r="C640" s="325" t="s">
        <v>812</v>
      </c>
      <c r="D640" s="325">
        <v>2016</v>
      </c>
      <c r="E640" s="325" t="s">
        <v>775</v>
      </c>
      <c r="F640" s="326">
        <v>88</v>
      </c>
      <c r="G640" s="326">
        <v>0</v>
      </c>
      <c r="H640" s="327">
        <v>0</v>
      </c>
      <c r="I640" s="326">
        <v>0</v>
      </c>
      <c r="J640" s="326">
        <v>54</v>
      </c>
      <c r="K640" s="326">
        <v>0</v>
      </c>
      <c r="L640" s="326">
        <v>0</v>
      </c>
      <c r="M640" s="326">
        <v>0</v>
      </c>
      <c r="N640" s="326">
        <v>57</v>
      </c>
      <c r="O640" s="326">
        <v>2</v>
      </c>
      <c r="P640" s="326">
        <v>131</v>
      </c>
      <c r="Q640" s="327">
        <v>43</v>
      </c>
      <c r="R640" s="328">
        <f t="shared" si="162"/>
        <v>330</v>
      </c>
      <c r="S640" s="365">
        <f t="shared" si="163"/>
        <v>45</v>
      </c>
      <c r="T640" s="328"/>
      <c r="U640" s="328"/>
      <c r="V640" s="328"/>
      <c r="W640" s="328"/>
      <c r="X640" s="328"/>
    </row>
    <row r="641" spans="1:24" ht="12.75">
      <c r="A641" s="324" t="s">
        <v>360</v>
      </c>
      <c r="B641" s="325" t="s">
        <v>153</v>
      </c>
      <c r="C641" s="325" t="s">
        <v>812</v>
      </c>
      <c r="D641" s="325">
        <v>2016</v>
      </c>
      <c r="E641" s="325" t="s">
        <v>775</v>
      </c>
      <c r="F641" s="326">
        <v>447</v>
      </c>
      <c r="G641" s="326">
        <v>0</v>
      </c>
      <c r="H641" s="327">
        <v>0</v>
      </c>
      <c r="I641" s="326">
        <v>0</v>
      </c>
      <c r="J641" s="326">
        <v>263</v>
      </c>
      <c r="K641" s="326">
        <v>0</v>
      </c>
      <c r="L641" s="326">
        <v>0</v>
      </c>
      <c r="M641" s="326">
        <v>0</v>
      </c>
      <c r="N641" s="326">
        <v>280</v>
      </c>
      <c r="O641" s="326">
        <v>35</v>
      </c>
      <c r="P641" s="326">
        <v>708</v>
      </c>
      <c r="Q641" s="327">
        <v>0</v>
      </c>
      <c r="R641" s="328">
        <f t="shared" si="162"/>
        <v>1698</v>
      </c>
      <c r="S641" s="365">
        <f t="shared" si="163"/>
        <v>35</v>
      </c>
      <c r="T641" s="328"/>
      <c r="U641" s="328"/>
      <c r="V641" s="328"/>
      <c r="W641" s="328"/>
      <c r="X641" s="328"/>
    </row>
    <row r="642" spans="1:24" ht="12.75">
      <c r="A642" s="324" t="s">
        <v>361</v>
      </c>
      <c r="B642" s="325" t="s">
        <v>153</v>
      </c>
      <c r="C642" s="325" t="s">
        <v>812</v>
      </c>
      <c r="D642" s="325">
        <v>2016</v>
      </c>
      <c r="E642" s="325" t="s">
        <v>775</v>
      </c>
      <c r="F642" s="326">
        <v>23</v>
      </c>
      <c r="G642" s="326">
        <v>0</v>
      </c>
      <c r="H642" s="327">
        <v>0</v>
      </c>
      <c r="I642" s="326">
        <v>0</v>
      </c>
      <c r="J642" s="326">
        <v>14</v>
      </c>
      <c r="K642" s="326">
        <v>0</v>
      </c>
      <c r="L642" s="326">
        <v>0</v>
      </c>
      <c r="M642" s="326">
        <v>0</v>
      </c>
      <c r="N642" s="326">
        <v>14</v>
      </c>
      <c r="O642" s="326">
        <v>0</v>
      </c>
      <c r="P642" s="326">
        <v>35</v>
      </c>
      <c r="Q642" s="327">
        <v>132</v>
      </c>
      <c r="R642" s="328">
        <f t="shared" si="162"/>
        <v>86</v>
      </c>
      <c r="S642" s="365">
        <f t="shared" si="163"/>
        <v>132</v>
      </c>
      <c r="T642" s="328"/>
      <c r="U642" s="328"/>
      <c r="V642" s="328"/>
      <c r="W642" s="328"/>
      <c r="X642" s="328"/>
    </row>
    <row r="643" spans="1:24" ht="12.75">
      <c r="A643" s="324" t="s">
        <v>366</v>
      </c>
      <c r="B643" s="325" t="s">
        <v>153</v>
      </c>
      <c r="C643" s="325" t="s">
        <v>812</v>
      </c>
      <c r="D643" s="325">
        <v>2016</v>
      </c>
      <c r="E643" s="325" t="s">
        <v>775</v>
      </c>
      <c r="F643" s="326">
        <v>80</v>
      </c>
      <c r="G643" s="326">
        <v>0</v>
      </c>
      <c r="H643" s="327">
        <v>0</v>
      </c>
      <c r="I643" s="326">
        <v>0</v>
      </c>
      <c r="J643" s="326">
        <v>46</v>
      </c>
      <c r="K643" s="326">
        <v>0</v>
      </c>
      <c r="L643" s="326">
        <v>0</v>
      </c>
      <c r="M643" s="326">
        <v>0</v>
      </c>
      <c r="N643" s="326">
        <v>51</v>
      </c>
      <c r="O643" s="326">
        <v>0</v>
      </c>
      <c r="P643" s="326">
        <v>141</v>
      </c>
      <c r="Q643" s="327">
        <v>0</v>
      </c>
      <c r="R643" s="328">
        <f t="shared" si="162"/>
        <v>318</v>
      </c>
      <c r="S643" s="365">
        <f t="shared" si="163"/>
        <v>0</v>
      </c>
      <c r="T643" s="328"/>
      <c r="U643" s="328"/>
      <c r="V643" s="328"/>
      <c r="W643" s="328"/>
      <c r="X643" s="328"/>
    </row>
    <row r="644" spans="1:24" ht="12.75">
      <c r="A644" s="324" t="s">
        <v>368</v>
      </c>
      <c r="B644" s="325" t="s">
        <v>153</v>
      </c>
      <c r="C644" s="325" t="s">
        <v>812</v>
      </c>
      <c r="D644" s="325">
        <v>2016</v>
      </c>
      <c r="E644" s="325" t="s">
        <v>775</v>
      </c>
      <c r="F644" s="326">
        <v>308</v>
      </c>
      <c r="G644" s="326">
        <v>0</v>
      </c>
      <c r="H644" s="327">
        <v>0</v>
      </c>
      <c r="I644" s="326">
        <v>0</v>
      </c>
      <c r="J644" s="326">
        <v>182</v>
      </c>
      <c r="K644" s="326">
        <v>0</v>
      </c>
      <c r="L644" s="326">
        <v>0</v>
      </c>
      <c r="M644" s="326">
        <v>0</v>
      </c>
      <c r="N644" s="326">
        <v>190</v>
      </c>
      <c r="O644" s="326">
        <v>0</v>
      </c>
      <c r="P644" s="326">
        <v>466</v>
      </c>
      <c r="Q644" s="327">
        <v>15</v>
      </c>
      <c r="R644" s="328">
        <f t="shared" si="162"/>
        <v>1146</v>
      </c>
      <c r="S644" s="365">
        <f t="shared" si="163"/>
        <v>15</v>
      </c>
      <c r="T644" s="328"/>
      <c r="U644" s="328"/>
      <c r="V644" s="328"/>
      <c r="W644" s="328"/>
      <c r="X644" s="328"/>
    </row>
    <row r="645" spans="1:24" ht="12.75">
      <c r="A645" s="324" t="s">
        <v>369</v>
      </c>
      <c r="B645" s="325" t="s">
        <v>153</v>
      </c>
      <c r="C645" s="325" t="s">
        <v>812</v>
      </c>
      <c r="D645" s="325">
        <v>2016</v>
      </c>
      <c r="E645" s="325" t="s">
        <v>775</v>
      </c>
      <c r="F645" s="326">
        <v>210</v>
      </c>
      <c r="G645" s="326">
        <v>0</v>
      </c>
      <c r="H645" s="327">
        <v>0</v>
      </c>
      <c r="I645" s="326">
        <v>0</v>
      </c>
      <c r="J645" s="326">
        <v>123</v>
      </c>
      <c r="K645" s="326">
        <v>6</v>
      </c>
      <c r="L645" s="326">
        <v>6</v>
      </c>
      <c r="M645" s="326">
        <v>0</v>
      </c>
      <c r="N645" s="326">
        <v>135</v>
      </c>
      <c r="O645" s="326">
        <v>0</v>
      </c>
      <c r="P645" s="326">
        <v>346</v>
      </c>
      <c r="Q645" s="327">
        <v>44</v>
      </c>
      <c r="R645" s="328">
        <f t="shared" si="162"/>
        <v>814</v>
      </c>
      <c r="S645" s="365">
        <f t="shared" si="163"/>
        <v>50</v>
      </c>
      <c r="T645" s="328"/>
      <c r="U645" s="328"/>
      <c r="V645" s="328"/>
      <c r="W645" s="328"/>
      <c r="X645" s="328"/>
    </row>
    <row r="646" spans="1:24" ht="12.75">
      <c r="A646" s="324" t="s">
        <v>370</v>
      </c>
      <c r="B646" s="325" t="s">
        <v>153</v>
      </c>
      <c r="C646" s="325" t="s">
        <v>812</v>
      </c>
      <c r="D646" s="325">
        <v>2016</v>
      </c>
      <c r="E646" s="325" t="s">
        <v>775</v>
      </c>
      <c r="F646" s="326">
        <v>87</v>
      </c>
      <c r="G646" s="326">
        <v>0</v>
      </c>
      <c r="H646" s="327">
        <v>0</v>
      </c>
      <c r="I646" s="326">
        <v>0</v>
      </c>
      <c r="J646" s="326">
        <v>53</v>
      </c>
      <c r="K646" s="326">
        <v>0</v>
      </c>
      <c r="L646" s="326">
        <v>0</v>
      </c>
      <c r="M646" s="326">
        <v>0</v>
      </c>
      <c r="N646" s="326">
        <v>55</v>
      </c>
      <c r="O646" s="326">
        <v>2</v>
      </c>
      <c r="P646" s="326">
        <v>142</v>
      </c>
      <c r="Q646" s="327">
        <v>0</v>
      </c>
      <c r="R646" s="328">
        <f t="shared" si="162"/>
        <v>337</v>
      </c>
      <c r="S646" s="365">
        <f t="shared" si="163"/>
        <v>2</v>
      </c>
      <c r="T646" s="328"/>
      <c r="U646" s="328"/>
      <c r="V646" s="328"/>
      <c r="W646" s="328"/>
      <c r="X646" s="328"/>
    </row>
    <row r="647" spans="1:24" ht="12.75">
      <c r="A647" s="324" t="s">
        <v>371</v>
      </c>
      <c r="B647" s="325" t="s">
        <v>153</v>
      </c>
      <c r="C647" s="325" t="s">
        <v>812</v>
      </c>
      <c r="D647" s="325">
        <v>2016</v>
      </c>
      <c r="E647" s="325" t="s">
        <v>775</v>
      </c>
      <c r="F647" s="326">
        <v>529</v>
      </c>
      <c r="G647" s="326">
        <v>0</v>
      </c>
      <c r="H647" s="327">
        <v>0</v>
      </c>
      <c r="I647" s="326">
        <v>0</v>
      </c>
      <c r="J647" s="326">
        <v>315</v>
      </c>
      <c r="K647" s="326">
        <v>0</v>
      </c>
      <c r="L647" s="326">
        <v>0</v>
      </c>
      <c r="M647" s="326">
        <v>0</v>
      </c>
      <c r="N647" s="326">
        <v>352</v>
      </c>
      <c r="O647" s="326">
        <v>0</v>
      </c>
      <c r="P647" s="326">
        <v>946</v>
      </c>
      <c r="Q647" s="327">
        <v>35</v>
      </c>
      <c r="R647" s="328">
        <f t="shared" si="162"/>
        <v>2142</v>
      </c>
      <c r="S647" s="365">
        <f t="shared" si="163"/>
        <v>35</v>
      </c>
      <c r="T647" s="328"/>
      <c r="U647" s="328"/>
      <c r="V647" s="328"/>
      <c r="W647" s="328"/>
      <c r="X647" s="328"/>
    </row>
    <row r="648" spans="1:24" ht="12.75">
      <c r="A648" s="324" t="s">
        <v>373</v>
      </c>
      <c r="B648" s="325" t="s">
        <v>153</v>
      </c>
      <c r="C648" s="325" t="s">
        <v>812</v>
      </c>
      <c r="D648" s="325">
        <v>2016</v>
      </c>
      <c r="E648" s="325" t="s">
        <v>775</v>
      </c>
      <c r="F648" s="326">
        <v>98</v>
      </c>
      <c r="G648" s="326">
        <v>0</v>
      </c>
      <c r="H648" s="327">
        <v>0</v>
      </c>
      <c r="I648" s="326">
        <v>0</v>
      </c>
      <c r="J648" s="326">
        <v>60</v>
      </c>
      <c r="K648" s="326">
        <v>0</v>
      </c>
      <c r="L648" s="326">
        <v>0</v>
      </c>
      <c r="M648" s="326">
        <v>0</v>
      </c>
      <c r="N648" s="326">
        <v>66</v>
      </c>
      <c r="O648" s="326">
        <v>28</v>
      </c>
      <c r="P648" s="326">
        <v>173</v>
      </c>
      <c r="Q648" s="327">
        <v>74</v>
      </c>
      <c r="R648" s="328">
        <f t="shared" si="162"/>
        <v>397</v>
      </c>
      <c r="S648" s="365">
        <f t="shared" si="163"/>
        <v>102</v>
      </c>
      <c r="T648" s="328"/>
      <c r="U648" s="328"/>
      <c r="V648" s="328"/>
      <c r="W648" s="328"/>
      <c r="X648" s="328"/>
    </row>
    <row r="649" spans="1:24" ht="12.75">
      <c r="A649" s="324" t="s">
        <v>374</v>
      </c>
      <c r="B649" s="325" t="s">
        <v>153</v>
      </c>
      <c r="C649" s="325" t="s">
        <v>812</v>
      </c>
      <c r="D649" s="325">
        <v>2016</v>
      </c>
      <c r="E649" s="325" t="s">
        <v>775</v>
      </c>
      <c r="F649" s="326">
        <v>508</v>
      </c>
      <c r="G649" s="326">
        <v>12</v>
      </c>
      <c r="H649" s="327">
        <v>12</v>
      </c>
      <c r="I649" s="326">
        <v>0</v>
      </c>
      <c r="J649" s="326">
        <v>310</v>
      </c>
      <c r="K649" s="326">
        <v>12</v>
      </c>
      <c r="L649" s="326">
        <v>12</v>
      </c>
      <c r="M649" s="326">
        <v>0</v>
      </c>
      <c r="N649" s="326">
        <v>337</v>
      </c>
      <c r="O649" s="326">
        <v>0</v>
      </c>
      <c r="P649" s="326">
        <v>862</v>
      </c>
      <c r="Q649" s="327">
        <v>1187</v>
      </c>
      <c r="R649" s="328">
        <f t="shared" si="162"/>
        <v>2017</v>
      </c>
      <c r="S649" s="365">
        <f t="shared" si="163"/>
        <v>1211</v>
      </c>
      <c r="T649" s="328"/>
      <c r="U649" s="328"/>
      <c r="V649" s="328"/>
      <c r="W649" s="328"/>
      <c r="X649" s="328"/>
    </row>
    <row r="650" spans="1:24" ht="12.75">
      <c r="A650" s="324" t="s">
        <v>375</v>
      </c>
      <c r="B650" s="325" t="s">
        <v>153</v>
      </c>
      <c r="C650" s="325" t="s">
        <v>812</v>
      </c>
      <c r="D650" s="325">
        <v>2016</v>
      </c>
      <c r="E650" s="325" t="s">
        <v>775</v>
      </c>
      <c r="F650" s="326">
        <v>171</v>
      </c>
      <c r="G650" s="326">
        <v>0</v>
      </c>
      <c r="H650" s="327">
        <v>0</v>
      </c>
      <c r="I650" s="326">
        <v>0</v>
      </c>
      <c r="J650" s="326">
        <v>100</v>
      </c>
      <c r="K650" s="326">
        <v>0</v>
      </c>
      <c r="L650" s="326">
        <v>0</v>
      </c>
      <c r="M650" s="326">
        <v>0</v>
      </c>
      <c r="N650" s="326">
        <v>108</v>
      </c>
      <c r="O650" s="326">
        <v>0</v>
      </c>
      <c r="P650" s="326">
        <v>267</v>
      </c>
      <c r="Q650" s="327">
        <v>329</v>
      </c>
      <c r="R650" s="328">
        <f t="shared" si="162"/>
        <v>646</v>
      </c>
      <c r="S650" s="365">
        <f t="shared" si="163"/>
        <v>329</v>
      </c>
      <c r="T650" s="328"/>
      <c r="U650" s="328"/>
      <c r="V650" s="328"/>
      <c r="W650" s="328"/>
      <c r="X650" s="328"/>
    </row>
    <row r="651" spans="1:24" ht="12.75">
      <c r="A651" s="324" t="s">
        <v>377</v>
      </c>
      <c r="B651" s="325" t="s">
        <v>153</v>
      </c>
      <c r="C651" s="325" t="s">
        <v>812</v>
      </c>
      <c r="D651" s="325">
        <v>2016</v>
      </c>
      <c r="E651" s="325" t="s">
        <v>775</v>
      </c>
      <c r="F651" s="326">
        <v>170</v>
      </c>
      <c r="G651" s="326">
        <v>0</v>
      </c>
      <c r="H651" s="327">
        <v>0</v>
      </c>
      <c r="I651" s="326">
        <v>0</v>
      </c>
      <c r="J651" s="326">
        <v>101</v>
      </c>
      <c r="K651" s="326">
        <v>0</v>
      </c>
      <c r="L651" s="326">
        <v>0</v>
      </c>
      <c r="M651" s="326">
        <v>0</v>
      </c>
      <c r="N651" s="326">
        <v>112</v>
      </c>
      <c r="O651" s="326">
        <v>0</v>
      </c>
      <c r="P651" s="326">
        <v>300</v>
      </c>
      <c r="Q651" s="327">
        <v>4</v>
      </c>
      <c r="R651" s="328">
        <f t="shared" si="162"/>
        <v>683</v>
      </c>
      <c r="S651" s="365">
        <f t="shared" si="163"/>
        <v>4</v>
      </c>
      <c r="T651" s="328"/>
      <c r="U651" s="328"/>
      <c r="V651" s="328"/>
      <c r="W651" s="328"/>
      <c r="X651" s="328"/>
    </row>
    <row r="652" spans="1:24" ht="12.75">
      <c r="A652" s="324" t="s">
        <v>382</v>
      </c>
      <c r="B652" s="325" t="s">
        <v>153</v>
      </c>
      <c r="C652" s="325" t="s">
        <v>812</v>
      </c>
      <c r="D652" s="325">
        <v>2016</v>
      </c>
      <c r="E652" s="325" t="s">
        <v>775</v>
      </c>
      <c r="F652" s="326">
        <v>250</v>
      </c>
      <c r="G652" s="326">
        <v>0</v>
      </c>
      <c r="H652" s="327">
        <v>0</v>
      </c>
      <c r="I652" s="326">
        <v>0</v>
      </c>
      <c r="J652" s="326">
        <v>150</v>
      </c>
      <c r="K652" s="326">
        <v>0</v>
      </c>
      <c r="L652" s="326">
        <v>0</v>
      </c>
      <c r="M652" s="326">
        <v>0</v>
      </c>
      <c r="N652" s="326">
        <v>167</v>
      </c>
      <c r="O652" s="326">
        <v>0</v>
      </c>
      <c r="P652" s="326">
        <v>446</v>
      </c>
      <c r="Q652" s="327">
        <v>12</v>
      </c>
      <c r="R652" s="328">
        <f t="shared" si="162"/>
        <v>1013</v>
      </c>
      <c r="S652" s="365">
        <f t="shared" si="163"/>
        <v>12</v>
      </c>
      <c r="T652" s="328"/>
      <c r="U652" s="328"/>
      <c r="V652" s="328"/>
      <c r="W652" s="328"/>
      <c r="X652" s="328"/>
    </row>
    <row r="653" spans="1:24" ht="12.75">
      <c r="A653" s="324" t="s">
        <v>384</v>
      </c>
      <c r="B653" s="325" t="s">
        <v>153</v>
      </c>
      <c r="C653" s="325" t="s">
        <v>812</v>
      </c>
      <c r="D653" s="325">
        <v>2016</v>
      </c>
      <c r="E653" s="325" t="s">
        <v>775</v>
      </c>
      <c r="F653" s="326">
        <v>30</v>
      </c>
      <c r="G653" s="326">
        <v>0</v>
      </c>
      <c r="H653" s="327">
        <v>0</v>
      </c>
      <c r="I653" s="326">
        <v>0</v>
      </c>
      <c r="J653" s="326">
        <v>18</v>
      </c>
      <c r="K653" s="326">
        <v>0</v>
      </c>
      <c r="L653" s="326">
        <v>0</v>
      </c>
      <c r="M653" s="326">
        <v>0</v>
      </c>
      <c r="N653" s="326">
        <v>20</v>
      </c>
      <c r="O653" s="326">
        <v>0</v>
      </c>
      <c r="P653" s="326">
        <v>44</v>
      </c>
      <c r="Q653" s="327">
        <v>0</v>
      </c>
      <c r="R653" s="328">
        <f t="shared" si="162"/>
        <v>112</v>
      </c>
      <c r="S653" s="365">
        <f t="shared" si="163"/>
        <v>0</v>
      </c>
      <c r="T653" s="328"/>
      <c r="U653" s="328"/>
      <c r="V653" s="328"/>
      <c r="W653" s="328"/>
      <c r="X653" s="328"/>
    </row>
    <row r="654" spans="1:24" ht="12.75">
      <c r="A654" s="324" t="s">
        <v>388</v>
      </c>
      <c r="B654" s="325" t="s">
        <v>153</v>
      </c>
      <c r="C654" s="325" t="s">
        <v>812</v>
      </c>
      <c r="D654" s="325">
        <v>2016</v>
      </c>
      <c r="E654" s="325" t="s">
        <v>775</v>
      </c>
      <c r="F654" s="326">
        <v>147</v>
      </c>
      <c r="G654" s="326">
        <v>0</v>
      </c>
      <c r="H654" s="327">
        <v>0</v>
      </c>
      <c r="I654" s="326">
        <v>0</v>
      </c>
      <c r="J654" s="326">
        <v>88</v>
      </c>
      <c r="K654" s="326">
        <v>0</v>
      </c>
      <c r="L654" s="326">
        <v>0</v>
      </c>
      <c r="M654" s="326">
        <v>0</v>
      </c>
      <c r="N654" s="326">
        <v>94</v>
      </c>
      <c r="O654" s="326">
        <v>0</v>
      </c>
      <c r="P654" s="326">
        <v>233</v>
      </c>
      <c r="Q654" s="327">
        <v>10</v>
      </c>
      <c r="R654" s="328">
        <f t="shared" si="162"/>
        <v>562</v>
      </c>
      <c r="S654" s="365">
        <f t="shared" si="163"/>
        <v>10</v>
      </c>
      <c r="T654" s="328"/>
      <c r="U654" s="328"/>
      <c r="V654" s="328"/>
      <c r="W654" s="328"/>
      <c r="X654" s="328"/>
    </row>
    <row r="655" spans="1:24" ht="12.75">
      <c r="A655" s="324" t="s">
        <v>389</v>
      </c>
      <c r="B655" s="325" t="s">
        <v>153</v>
      </c>
      <c r="C655" s="325" t="s">
        <v>812</v>
      </c>
      <c r="D655" s="325">
        <v>2016</v>
      </c>
      <c r="E655" s="325" t="s">
        <v>775</v>
      </c>
      <c r="F655" s="326">
        <v>107</v>
      </c>
      <c r="G655" s="326">
        <v>0</v>
      </c>
      <c r="H655" s="327">
        <v>0</v>
      </c>
      <c r="I655" s="326">
        <v>0</v>
      </c>
      <c r="J655" s="326">
        <v>63</v>
      </c>
      <c r="K655" s="326">
        <v>0</v>
      </c>
      <c r="L655" s="326">
        <v>0</v>
      </c>
      <c r="M655" s="326">
        <v>0</v>
      </c>
      <c r="N655" s="326">
        <v>67</v>
      </c>
      <c r="O655" s="326">
        <v>0</v>
      </c>
      <c r="P655" s="326">
        <v>166</v>
      </c>
      <c r="Q655" s="327">
        <v>20</v>
      </c>
      <c r="R655" s="328">
        <f t="shared" si="162"/>
        <v>403</v>
      </c>
      <c r="S655" s="365">
        <f t="shared" si="163"/>
        <v>20</v>
      </c>
      <c r="T655" s="328"/>
      <c r="U655" s="328"/>
      <c r="V655" s="328"/>
      <c r="W655" s="328"/>
      <c r="X655" s="328"/>
    </row>
    <row r="656" spans="1:24" ht="12.75">
      <c r="A656" s="324" t="s">
        <v>391</v>
      </c>
      <c r="B656" s="325" t="s">
        <v>153</v>
      </c>
      <c r="C656" s="325" t="s">
        <v>812</v>
      </c>
      <c r="D656" s="325">
        <v>2016</v>
      </c>
      <c r="E656" s="325" t="s">
        <v>775</v>
      </c>
      <c r="F656" s="326">
        <v>96</v>
      </c>
      <c r="G656" s="326">
        <v>0</v>
      </c>
      <c r="H656" s="327">
        <v>0</v>
      </c>
      <c r="I656" s="326">
        <v>0</v>
      </c>
      <c r="J656" s="326">
        <v>57</v>
      </c>
      <c r="K656" s="326">
        <v>0</v>
      </c>
      <c r="L656" s="326">
        <v>0</v>
      </c>
      <c r="M656" s="326">
        <v>0</v>
      </c>
      <c r="N656" s="326">
        <v>62</v>
      </c>
      <c r="O656" s="326">
        <v>0</v>
      </c>
      <c r="P656" s="326">
        <v>166</v>
      </c>
      <c r="Q656" s="327">
        <v>3</v>
      </c>
      <c r="R656" s="328">
        <f t="shared" si="162"/>
        <v>381</v>
      </c>
      <c r="S656" s="365">
        <f t="shared" si="163"/>
        <v>3</v>
      </c>
      <c r="T656" s="328"/>
      <c r="U656" s="328"/>
      <c r="V656" s="328"/>
      <c r="W656" s="328"/>
      <c r="X656" s="328"/>
    </row>
    <row r="657" spans="1:24" ht="12.75">
      <c r="A657" s="324" t="s">
        <v>392</v>
      </c>
      <c r="B657" s="325" t="s">
        <v>153</v>
      </c>
      <c r="C657" s="325" t="s">
        <v>812</v>
      </c>
      <c r="D657" s="325">
        <v>2016</v>
      </c>
      <c r="E657" s="325" t="s">
        <v>775</v>
      </c>
      <c r="F657" s="326">
        <v>12</v>
      </c>
      <c r="G657" s="326">
        <v>0</v>
      </c>
      <c r="H657" s="327">
        <v>0</v>
      </c>
      <c r="I657" s="326">
        <v>0</v>
      </c>
      <c r="J657" s="326">
        <v>7</v>
      </c>
      <c r="K657" s="326">
        <v>2</v>
      </c>
      <c r="L657" s="326">
        <v>0</v>
      </c>
      <c r="M657" s="326">
        <v>2</v>
      </c>
      <c r="N657" s="326">
        <v>8</v>
      </c>
      <c r="O657" s="326">
        <v>13</v>
      </c>
      <c r="P657" s="326">
        <v>20</v>
      </c>
      <c r="Q657" s="327">
        <v>6</v>
      </c>
      <c r="R657" s="328">
        <f t="shared" si="162"/>
        <v>47</v>
      </c>
      <c r="S657" s="365">
        <f t="shared" si="163"/>
        <v>21</v>
      </c>
      <c r="T657" s="328"/>
      <c r="U657" s="328"/>
      <c r="V657" s="328"/>
      <c r="W657" s="328"/>
      <c r="X657" s="328"/>
    </row>
    <row r="658" spans="1:24" ht="12.75">
      <c r="A658" s="324" t="s">
        <v>393</v>
      </c>
      <c r="B658" s="405" t="s">
        <v>153</v>
      </c>
      <c r="C658" s="325" t="s">
        <v>812</v>
      </c>
      <c r="D658" s="325">
        <v>2016</v>
      </c>
      <c r="E658" s="325" t="s">
        <v>775</v>
      </c>
      <c r="F658" s="326">
        <v>1773</v>
      </c>
      <c r="G658" s="326">
        <v>0</v>
      </c>
      <c r="H658" s="327">
        <v>0</v>
      </c>
      <c r="I658" s="326">
        <v>0</v>
      </c>
      <c r="J658" s="326">
        <v>1066</v>
      </c>
      <c r="K658" s="326">
        <v>0</v>
      </c>
      <c r="L658" s="326">
        <v>0</v>
      </c>
      <c r="M658" s="326">
        <v>0</v>
      </c>
      <c r="N658" s="326">
        <v>1170</v>
      </c>
      <c r="O658" s="326">
        <v>0</v>
      </c>
      <c r="P658" s="326">
        <v>3039</v>
      </c>
      <c r="Q658" s="327">
        <v>675</v>
      </c>
      <c r="R658" s="328">
        <f t="shared" si="162"/>
        <v>7048</v>
      </c>
      <c r="S658" s="365">
        <f t="shared" si="163"/>
        <v>675</v>
      </c>
      <c r="T658" s="328"/>
      <c r="U658" s="328"/>
      <c r="V658" s="328"/>
      <c r="W658" s="328"/>
      <c r="X658" s="328"/>
    </row>
    <row r="659" spans="1:24" ht="12.75">
      <c r="A659" s="324" t="s">
        <v>153</v>
      </c>
      <c r="B659" s="325" t="s">
        <v>153</v>
      </c>
      <c r="C659" s="325" t="s">
        <v>812</v>
      </c>
      <c r="D659" s="325">
        <v>2016</v>
      </c>
      <c r="E659" s="325" t="s">
        <v>775</v>
      </c>
      <c r="F659" s="326">
        <v>20427</v>
      </c>
      <c r="G659" s="326">
        <v>718</v>
      </c>
      <c r="H659" s="327">
        <v>718</v>
      </c>
      <c r="I659" s="326">
        <v>0</v>
      </c>
      <c r="J659" s="326">
        <v>12435</v>
      </c>
      <c r="K659" s="326">
        <v>604</v>
      </c>
      <c r="L659" s="326">
        <v>604</v>
      </c>
      <c r="M659" s="326">
        <v>0</v>
      </c>
      <c r="N659" s="326">
        <v>13728</v>
      </c>
      <c r="O659" s="326">
        <v>143</v>
      </c>
      <c r="P659" s="326">
        <v>35412</v>
      </c>
      <c r="Q659" s="327">
        <v>12231</v>
      </c>
      <c r="R659" s="328">
        <f t="shared" si="162"/>
        <v>82002</v>
      </c>
      <c r="S659" s="365">
        <f t="shared" si="163"/>
        <v>13696</v>
      </c>
      <c r="T659" s="328"/>
      <c r="U659" s="328"/>
      <c r="V659" s="328"/>
      <c r="W659" s="328"/>
      <c r="X659" s="328"/>
    </row>
    <row r="660" spans="1:24" ht="12.75">
      <c r="A660" s="324" t="s">
        <v>394</v>
      </c>
      <c r="B660" s="325" t="s">
        <v>153</v>
      </c>
      <c r="C660" s="325" t="s">
        <v>812</v>
      </c>
      <c r="D660" s="325">
        <v>2016</v>
      </c>
      <c r="E660" s="325" t="s">
        <v>775</v>
      </c>
      <c r="F660" s="326">
        <v>7417</v>
      </c>
      <c r="G660" s="326">
        <v>35</v>
      </c>
      <c r="H660" s="327">
        <v>35</v>
      </c>
      <c r="I660" s="326">
        <v>0</v>
      </c>
      <c r="J660" s="326">
        <v>4287</v>
      </c>
      <c r="K660" s="326">
        <v>0</v>
      </c>
      <c r="L660" s="326">
        <v>0</v>
      </c>
      <c r="M660" s="326">
        <v>0</v>
      </c>
      <c r="N660" s="326">
        <v>4938</v>
      </c>
      <c r="O660" s="326">
        <v>0</v>
      </c>
      <c r="P660" s="326">
        <v>10844</v>
      </c>
      <c r="Q660" s="327">
        <v>620</v>
      </c>
      <c r="R660" s="328">
        <f t="shared" si="162"/>
        <v>27486</v>
      </c>
      <c r="S660" s="365">
        <f t="shared" si="163"/>
        <v>655</v>
      </c>
      <c r="T660" s="328"/>
      <c r="U660" s="328"/>
      <c r="V660" s="328"/>
      <c r="W660" s="328"/>
      <c r="X660" s="328"/>
    </row>
    <row r="661" spans="1:24" ht="12.75">
      <c r="A661" s="324" t="s">
        <v>396</v>
      </c>
      <c r="B661" s="325" t="s">
        <v>153</v>
      </c>
      <c r="C661" s="325" t="s">
        <v>812</v>
      </c>
      <c r="D661" s="325">
        <v>2016</v>
      </c>
      <c r="E661" s="325" t="s">
        <v>775</v>
      </c>
      <c r="F661" s="326">
        <v>1</v>
      </c>
      <c r="G661" s="326">
        <v>0</v>
      </c>
      <c r="H661" s="327">
        <v>0</v>
      </c>
      <c r="I661" s="326">
        <v>0</v>
      </c>
      <c r="J661" s="326">
        <v>1</v>
      </c>
      <c r="K661" s="326">
        <v>0</v>
      </c>
      <c r="L661" s="326">
        <v>0</v>
      </c>
      <c r="M661" s="326">
        <v>0</v>
      </c>
      <c r="N661" s="326">
        <v>0</v>
      </c>
      <c r="O661" s="326">
        <v>0</v>
      </c>
      <c r="P661" s="326">
        <v>0</v>
      </c>
      <c r="Q661" s="327">
        <v>3</v>
      </c>
      <c r="R661" s="328">
        <f t="shared" si="162"/>
        <v>2</v>
      </c>
      <c r="S661" s="365">
        <f t="shared" si="163"/>
        <v>3</v>
      </c>
      <c r="T661" s="328"/>
      <c r="U661" s="328"/>
      <c r="V661" s="328"/>
      <c r="W661" s="328"/>
      <c r="X661" s="328"/>
    </row>
    <row r="662" spans="1:24" ht="12.75">
      <c r="A662" s="324" t="s">
        <v>397</v>
      </c>
      <c r="B662" s="325" t="s">
        <v>153</v>
      </c>
      <c r="C662" s="325" t="s">
        <v>812</v>
      </c>
      <c r="D662" s="325">
        <v>2016</v>
      </c>
      <c r="E662" s="325" t="s">
        <v>775</v>
      </c>
      <c r="F662" s="326">
        <v>10</v>
      </c>
      <c r="G662" s="326">
        <v>0</v>
      </c>
      <c r="H662" s="327">
        <v>0</v>
      </c>
      <c r="I662" s="326">
        <v>0</v>
      </c>
      <c r="J662" s="326">
        <v>6</v>
      </c>
      <c r="K662" s="326">
        <v>0</v>
      </c>
      <c r="L662" s="326">
        <v>0</v>
      </c>
      <c r="M662" s="326">
        <v>0</v>
      </c>
      <c r="N662" s="326">
        <v>7</v>
      </c>
      <c r="O662" s="326">
        <v>0</v>
      </c>
      <c r="P662" s="326">
        <v>15</v>
      </c>
      <c r="Q662" s="327">
        <v>40</v>
      </c>
      <c r="R662" s="328">
        <f t="shared" si="162"/>
        <v>38</v>
      </c>
      <c r="S662" s="365">
        <f t="shared" si="163"/>
        <v>40</v>
      </c>
      <c r="T662" s="328"/>
      <c r="U662" s="328"/>
      <c r="V662" s="328"/>
      <c r="W662" s="328"/>
      <c r="X662" s="328"/>
    </row>
    <row r="663" spans="1:24" ht="12.75">
      <c r="A663" s="324" t="s">
        <v>399</v>
      </c>
      <c r="B663" s="325" t="s">
        <v>153</v>
      </c>
      <c r="C663" s="325" t="s">
        <v>812</v>
      </c>
      <c r="D663" s="325">
        <v>2016</v>
      </c>
      <c r="E663" s="325" t="s">
        <v>775</v>
      </c>
      <c r="F663" s="326">
        <v>101</v>
      </c>
      <c r="G663" s="326">
        <v>0</v>
      </c>
      <c r="H663" s="327">
        <v>0</v>
      </c>
      <c r="I663" s="326">
        <v>0</v>
      </c>
      <c r="J663" s="326">
        <v>61</v>
      </c>
      <c r="K663" s="326">
        <v>0</v>
      </c>
      <c r="L663" s="326">
        <v>0</v>
      </c>
      <c r="M663" s="326">
        <v>0</v>
      </c>
      <c r="N663" s="326">
        <v>65</v>
      </c>
      <c r="O663" s="326">
        <v>0</v>
      </c>
      <c r="P663" s="326">
        <v>162</v>
      </c>
      <c r="Q663" s="327">
        <v>445</v>
      </c>
      <c r="R663" s="328">
        <f t="shared" si="162"/>
        <v>389</v>
      </c>
      <c r="S663" s="365">
        <f t="shared" si="163"/>
        <v>445</v>
      </c>
      <c r="T663" s="328"/>
      <c r="U663" s="328"/>
      <c r="V663" s="328"/>
      <c r="W663" s="328"/>
      <c r="X663" s="328"/>
    </row>
    <row r="664" spans="1:24" ht="12.75">
      <c r="A664" s="324" t="s">
        <v>402</v>
      </c>
      <c r="B664" s="325" t="s">
        <v>153</v>
      </c>
      <c r="C664" s="325" t="s">
        <v>812</v>
      </c>
      <c r="D664" s="325">
        <v>2016</v>
      </c>
      <c r="E664" s="325" t="s">
        <v>775</v>
      </c>
      <c r="F664" s="326">
        <v>52</v>
      </c>
      <c r="G664" s="326">
        <v>0</v>
      </c>
      <c r="H664" s="327">
        <v>0</v>
      </c>
      <c r="I664" s="326">
        <v>0</v>
      </c>
      <c r="J664" s="326">
        <v>31</v>
      </c>
      <c r="K664" s="326">
        <v>0</v>
      </c>
      <c r="L664" s="326">
        <v>0</v>
      </c>
      <c r="M664" s="326">
        <v>0</v>
      </c>
      <c r="N664" s="326">
        <v>33</v>
      </c>
      <c r="O664" s="326">
        <v>8</v>
      </c>
      <c r="P664" s="326">
        <v>85</v>
      </c>
      <c r="Q664" s="327">
        <v>5</v>
      </c>
      <c r="R664" s="328">
        <f t="shared" si="162"/>
        <v>201</v>
      </c>
      <c r="S664" s="365">
        <f t="shared" si="163"/>
        <v>13</v>
      </c>
      <c r="T664" s="328"/>
      <c r="U664" s="328"/>
      <c r="V664" s="328"/>
      <c r="W664" s="328"/>
      <c r="X664" s="328"/>
    </row>
    <row r="665" spans="1:24" ht="12.75">
      <c r="A665" s="324" t="s">
        <v>405</v>
      </c>
      <c r="B665" s="325" t="s">
        <v>153</v>
      </c>
      <c r="C665" s="325" t="s">
        <v>812</v>
      </c>
      <c r="D665" s="325">
        <v>2016</v>
      </c>
      <c r="E665" s="325" t="s">
        <v>775</v>
      </c>
      <c r="F665" s="326">
        <v>26</v>
      </c>
      <c r="G665" s="326">
        <v>0</v>
      </c>
      <c r="H665" s="327">
        <v>0</v>
      </c>
      <c r="I665" s="326">
        <v>0</v>
      </c>
      <c r="J665" s="326">
        <v>16</v>
      </c>
      <c r="K665" s="326">
        <v>0</v>
      </c>
      <c r="L665" s="326">
        <v>0</v>
      </c>
      <c r="M665" s="326">
        <v>0</v>
      </c>
      <c r="N665" s="326">
        <v>17</v>
      </c>
      <c r="O665" s="326">
        <v>0</v>
      </c>
      <c r="P665" s="326">
        <v>46</v>
      </c>
      <c r="Q665" s="327">
        <v>1</v>
      </c>
      <c r="R665" s="328">
        <f t="shared" si="162"/>
        <v>105</v>
      </c>
      <c r="S665" s="365">
        <f t="shared" si="163"/>
        <v>1</v>
      </c>
      <c r="T665" s="328"/>
      <c r="U665" s="328"/>
      <c r="V665" s="328"/>
      <c r="W665" s="328"/>
      <c r="X665" s="328"/>
    </row>
    <row r="666" spans="1:24" ht="12.75">
      <c r="A666" s="324" t="s">
        <v>406</v>
      </c>
      <c r="B666" s="325" t="s">
        <v>153</v>
      </c>
      <c r="C666" s="325" t="s">
        <v>812</v>
      </c>
      <c r="D666" s="325">
        <v>2016</v>
      </c>
      <c r="E666" s="325" t="s">
        <v>775</v>
      </c>
      <c r="F666" s="326">
        <v>340</v>
      </c>
      <c r="G666" s="326">
        <v>1</v>
      </c>
      <c r="H666" s="327">
        <v>1</v>
      </c>
      <c r="I666" s="326">
        <v>0</v>
      </c>
      <c r="J666" s="326">
        <v>207</v>
      </c>
      <c r="K666" s="326">
        <v>34</v>
      </c>
      <c r="L666" s="326">
        <v>34</v>
      </c>
      <c r="M666" s="326">
        <v>0</v>
      </c>
      <c r="N666" s="326">
        <v>224</v>
      </c>
      <c r="O666" s="326">
        <v>18</v>
      </c>
      <c r="P666" s="326">
        <v>561</v>
      </c>
      <c r="Q666" s="327">
        <v>357</v>
      </c>
      <c r="R666" s="328">
        <f t="shared" si="162"/>
        <v>1332</v>
      </c>
      <c r="S666" s="365">
        <f t="shared" si="163"/>
        <v>410</v>
      </c>
      <c r="T666" s="328"/>
      <c r="U666" s="328"/>
      <c r="V666" s="328"/>
      <c r="W666" s="328"/>
      <c r="X666" s="328"/>
    </row>
    <row r="667" spans="1:24" ht="12.75">
      <c r="A667" s="324" t="s">
        <v>409</v>
      </c>
      <c r="B667" s="325" t="s">
        <v>153</v>
      </c>
      <c r="C667" s="325" t="s">
        <v>812</v>
      </c>
      <c r="D667" s="325">
        <v>2016</v>
      </c>
      <c r="E667" s="325" t="s">
        <v>775</v>
      </c>
      <c r="F667" s="326">
        <v>8</v>
      </c>
      <c r="G667" s="326">
        <v>4</v>
      </c>
      <c r="H667" s="327">
        <v>4</v>
      </c>
      <c r="I667" s="326">
        <v>0</v>
      </c>
      <c r="J667" s="326">
        <v>5</v>
      </c>
      <c r="K667" s="326">
        <v>0</v>
      </c>
      <c r="L667" s="326">
        <v>0</v>
      </c>
      <c r="M667" s="326">
        <v>0</v>
      </c>
      <c r="N667" s="326">
        <v>5</v>
      </c>
      <c r="O667" s="326">
        <v>0</v>
      </c>
      <c r="P667" s="326">
        <v>13</v>
      </c>
      <c r="Q667" s="327">
        <v>48</v>
      </c>
      <c r="R667" s="328">
        <f t="shared" si="162"/>
        <v>31</v>
      </c>
      <c r="S667" s="365">
        <f t="shared" si="163"/>
        <v>52</v>
      </c>
      <c r="T667" s="328"/>
      <c r="U667" s="328"/>
      <c r="V667" s="328"/>
      <c r="W667" s="328"/>
      <c r="X667" s="328"/>
    </row>
    <row r="668" spans="1:24" ht="12.75">
      <c r="A668" s="324" t="s">
        <v>410</v>
      </c>
      <c r="B668" s="325" t="s">
        <v>153</v>
      </c>
      <c r="C668" s="325" t="s">
        <v>812</v>
      </c>
      <c r="D668" s="325">
        <v>2016</v>
      </c>
      <c r="E668" s="325" t="s">
        <v>775</v>
      </c>
      <c r="F668" s="326">
        <v>372</v>
      </c>
      <c r="G668" s="326">
        <v>0</v>
      </c>
      <c r="H668" s="327">
        <v>0</v>
      </c>
      <c r="I668" s="326">
        <v>0</v>
      </c>
      <c r="J668" s="326">
        <v>223</v>
      </c>
      <c r="K668" s="326">
        <v>0</v>
      </c>
      <c r="L668" s="326">
        <v>0</v>
      </c>
      <c r="M668" s="326">
        <v>0</v>
      </c>
      <c r="N668" s="326">
        <v>238</v>
      </c>
      <c r="O668" s="326">
        <v>0</v>
      </c>
      <c r="P668" s="326">
        <v>564</v>
      </c>
      <c r="Q668" s="327">
        <v>21</v>
      </c>
      <c r="R668" s="328">
        <f t="shared" si="162"/>
        <v>1397</v>
      </c>
      <c r="S668" s="365">
        <f t="shared" si="163"/>
        <v>21</v>
      </c>
      <c r="T668" s="328"/>
      <c r="U668" s="328"/>
      <c r="V668" s="328"/>
      <c r="W668" s="328"/>
      <c r="X668" s="328"/>
    </row>
    <row r="669" spans="1:24" ht="12.75">
      <c r="A669" s="324" t="s">
        <v>413</v>
      </c>
      <c r="B669" s="325" t="s">
        <v>153</v>
      </c>
      <c r="C669" s="325" t="s">
        <v>812</v>
      </c>
      <c r="D669" s="325">
        <v>2016</v>
      </c>
      <c r="E669" s="325" t="s">
        <v>775</v>
      </c>
      <c r="F669" s="326">
        <v>153</v>
      </c>
      <c r="G669" s="326">
        <v>0</v>
      </c>
      <c r="H669" s="327">
        <v>0</v>
      </c>
      <c r="I669" s="326">
        <v>0</v>
      </c>
      <c r="J669" s="326">
        <v>88</v>
      </c>
      <c r="K669" s="326">
        <v>0</v>
      </c>
      <c r="L669" s="326">
        <v>0</v>
      </c>
      <c r="M669" s="326">
        <v>0</v>
      </c>
      <c r="N669" s="326">
        <v>99</v>
      </c>
      <c r="O669" s="326">
        <v>0</v>
      </c>
      <c r="P669" s="326">
        <v>262</v>
      </c>
      <c r="Q669" s="327">
        <v>0</v>
      </c>
      <c r="R669" s="328">
        <f t="shared" si="162"/>
        <v>602</v>
      </c>
      <c r="S669" s="365">
        <f t="shared" si="163"/>
        <v>0</v>
      </c>
      <c r="T669" s="328"/>
      <c r="U669" s="328"/>
      <c r="V669" s="328"/>
      <c r="W669" s="328"/>
      <c r="X669" s="328"/>
    </row>
    <row r="670" spans="1:24" ht="12.75">
      <c r="A670" s="324" t="s">
        <v>414</v>
      </c>
      <c r="B670" s="325" t="s">
        <v>153</v>
      </c>
      <c r="C670" s="325" t="s">
        <v>812</v>
      </c>
      <c r="D670" s="325">
        <v>2016</v>
      </c>
      <c r="E670" s="325" t="s">
        <v>775</v>
      </c>
      <c r="F670" s="326">
        <v>121</v>
      </c>
      <c r="G670" s="326">
        <v>0</v>
      </c>
      <c r="H670" s="327">
        <v>0</v>
      </c>
      <c r="I670" s="326">
        <v>0</v>
      </c>
      <c r="J670" s="326">
        <v>72</v>
      </c>
      <c r="K670" s="326">
        <v>0</v>
      </c>
      <c r="L670" s="326">
        <v>0</v>
      </c>
      <c r="M670" s="326">
        <v>0</v>
      </c>
      <c r="N670" s="326">
        <v>77</v>
      </c>
      <c r="O670" s="326">
        <v>0</v>
      </c>
      <c r="P670" s="326">
        <v>193</v>
      </c>
      <c r="Q670" s="327">
        <v>18</v>
      </c>
      <c r="R670" s="328">
        <f t="shared" si="162"/>
        <v>463</v>
      </c>
      <c r="S670" s="365">
        <f t="shared" si="163"/>
        <v>18</v>
      </c>
      <c r="T670" s="328"/>
      <c r="U670" s="328"/>
      <c r="V670" s="328"/>
      <c r="W670" s="328"/>
      <c r="X670" s="328"/>
    </row>
    <row r="671" spans="1:24" ht="12.75">
      <c r="A671" s="324" t="s">
        <v>415</v>
      </c>
      <c r="B671" s="325" t="s">
        <v>153</v>
      </c>
      <c r="C671" s="325" t="s">
        <v>812</v>
      </c>
      <c r="D671" s="325">
        <v>2016</v>
      </c>
      <c r="E671" s="325" t="s">
        <v>775</v>
      </c>
      <c r="F671" s="326">
        <v>55</v>
      </c>
      <c r="G671" s="326">
        <v>0</v>
      </c>
      <c r="H671" s="327">
        <v>0</v>
      </c>
      <c r="I671" s="326">
        <v>0</v>
      </c>
      <c r="J671" s="326">
        <v>32</v>
      </c>
      <c r="K671" s="326">
        <v>5</v>
      </c>
      <c r="L671" s="326">
        <v>0</v>
      </c>
      <c r="M671" s="326">
        <v>5</v>
      </c>
      <c r="N671" s="326">
        <v>35</v>
      </c>
      <c r="O671" s="326">
        <v>0</v>
      </c>
      <c r="P671" s="326">
        <v>95</v>
      </c>
      <c r="Q671" s="327">
        <v>9</v>
      </c>
      <c r="R671" s="328">
        <f t="shared" si="162"/>
        <v>217</v>
      </c>
      <c r="S671" s="365">
        <f t="shared" si="163"/>
        <v>14</v>
      </c>
      <c r="T671" s="328"/>
      <c r="U671" s="328"/>
      <c r="V671" s="328"/>
      <c r="W671" s="328"/>
      <c r="X671" s="328"/>
    </row>
    <row r="672" spans="1:24" ht="12.75">
      <c r="A672" s="324" t="s">
        <v>416</v>
      </c>
      <c r="B672" s="325" t="s">
        <v>153</v>
      </c>
      <c r="C672" s="325" t="s">
        <v>812</v>
      </c>
      <c r="D672" s="325">
        <v>2016</v>
      </c>
      <c r="E672" s="325" t="s">
        <v>775</v>
      </c>
      <c r="F672" s="326">
        <v>236</v>
      </c>
      <c r="G672" s="326">
        <v>0</v>
      </c>
      <c r="H672" s="327">
        <v>0</v>
      </c>
      <c r="I672" s="326">
        <v>0</v>
      </c>
      <c r="J672" s="326">
        <v>142</v>
      </c>
      <c r="K672" s="326">
        <v>2</v>
      </c>
      <c r="L672" s="326">
        <v>0</v>
      </c>
      <c r="M672" s="326">
        <v>2</v>
      </c>
      <c r="N672" s="326">
        <v>154</v>
      </c>
      <c r="O672" s="326">
        <v>31</v>
      </c>
      <c r="P672" s="326">
        <v>398</v>
      </c>
      <c r="Q672" s="327">
        <v>37</v>
      </c>
      <c r="R672" s="328">
        <f t="shared" si="162"/>
        <v>930</v>
      </c>
      <c r="S672" s="365">
        <f t="shared" si="163"/>
        <v>70</v>
      </c>
      <c r="T672" s="328"/>
      <c r="U672" s="328"/>
      <c r="V672" s="328"/>
      <c r="W672" s="328"/>
      <c r="X672" s="328"/>
    </row>
    <row r="673" spans="1:24" ht="12.75">
      <c r="A673" s="324" t="s">
        <v>417</v>
      </c>
      <c r="B673" s="325" t="s">
        <v>153</v>
      </c>
      <c r="C673" s="325" t="s">
        <v>812</v>
      </c>
      <c r="D673" s="325">
        <v>2016</v>
      </c>
      <c r="E673" s="325" t="s">
        <v>775</v>
      </c>
      <c r="F673" s="326">
        <v>1</v>
      </c>
      <c r="G673" s="326">
        <v>0</v>
      </c>
      <c r="H673" s="327">
        <v>0</v>
      </c>
      <c r="I673" s="326">
        <v>0</v>
      </c>
      <c r="J673" s="326">
        <v>1</v>
      </c>
      <c r="K673" s="326">
        <v>0</v>
      </c>
      <c r="L673" s="326">
        <v>0</v>
      </c>
      <c r="M673" s="326">
        <v>0</v>
      </c>
      <c r="N673" s="326">
        <v>0</v>
      </c>
      <c r="O673" s="326">
        <v>2</v>
      </c>
      <c r="P673" s="326">
        <v>0</v>
      </c>
      <c r="Q673" s="327">
        <v>8</v>
      </c>
      <c r="R673" s="328">
        <f t="shared" si="162"/>
        <v>2</v>
      </c>
      <c r="S673" s="365">
        <f t="shared" si="163"/>
        <v>10</v>
      </c>
      <c r="T673" s="328"/>
      <c r="U673" s="328"/>
      <c r="V673" s="328"/>
      <c r="W673" s="328"/>
      <c r="X673" s="328"/>
    </row>
    <row r="674" spans="1:24" ht="12.75">
      <c r="A674" s="324" t="s">
        <v>418</v>
      </c>
      <c r="B674" s="325" t="s">
        <v>153</v>
      </c>
      <c r="C674" s="325" t="s">
        <v>812</v>
      </c>
      <c r="D674" s="325">
        <v>2016</v>
      </c>
      <c r="E674" s="325" t="s">
        <v>775</v>
      </c>
      <c r="F674" s="326">
        <v>2645</v>
      </c>
      <c r="G674" s="326">
        <v>10</v>
      </c>
      <c r="H674" s="327">
        <v>10</v>
      </c>
      <c r="I674" s="326">
        <v>0</v>
      </c>
      <c r="J674" s="326">
        <v>1678</v>
      </c>
      <c r="K674" s="326">
        <v>19</v>
      </c>
      <c r="L674" s="326">
        <v>19</v>
      </c>
      <c r="M674" s="326">
        <v>0</v>
      </c>
      <c r="N674" s="326">
        <v>1532</v>
      </c>
      <c r="O674" s="326">
        <v>0</v>
      </c>
      <c r="P674" s="326">
        <v>5126</v>
      </c>
      <c r="Q674" s="327">
        <v>433</v>
      </c>
      <c r="R674" s="328">
        <f t="shared" si="162"/>
        <v>10981</v>
      </c>
      <c r="S674" s="365">
        <f t="shared" si="163"/>
        <v>462</v>
      </c>
      <c r="T674" s="328"/>
      <c r="U674" s="328"/>
      <c r="V674" s="328"/>
      <c r="W674" s="328"/>
      <c r="X674" s="328"/>
    </row>
    <row r="675" spans="1:24" ht="12.75">
      <c r="A675" s="324" t="s">
        <v>419</v>
      </c>
      <c r="B675" s="325" t="s">
        <v>153</v>
      </c>
      <c r="C675" s="325" t="s">
        <v>812</v>
      </c>
      <c r="D675" s="325">
        <v>2016</v>
      </c>
      <c r="E675" s="325" t="s">
        <v>775</v>
      </c>
      <c r="F675" s="326">
        <v>82</v>
      </c>
      <c r="G675" s="326">
        <v>0</v>
      </c>
      <c r="H675" s="327">
        <v>0</v>
      </c>
      <c r="I675" s="326">
        <v>0</v>
      </c>
      <c r="J675" s="326">
        <v>50</v>
      </c>
      <c r="K675" s="326">
        <v>0</v>
      </c>
      <c r="L675" s="326">
        <v>0</v>
      </c>
      <c r="M675" s="326">
        <v>0</v>
      </c>
      <c r="N675" s="326">
        <v>53</v>
      </c>
      <c r="O675" s="326">
        <v>0</v>
      </c>
      <c r="P675" s="326">
        <v>139</v>
      </c>
      <c r="Q675" s="327">
        <v>0</v>
      </c>
      <c r="R675" s="328">
        <f t="shared" si="162"/>
        <v>324</v>
      </c>
      <c r="S675" s="365">
        <f t="shared" si="163"/>
        <v>0</v>
      </c>
      <c r="T675" s="328"/>
      <c r="U675" s="328"/>
      <c r="V675" s="328"/>
      <c r="W675" s="328"/>
      <c r="X675" s="328"/>
    </row>
    <row r="676" spans="1:24" ht="12.75">
      <c r="A676" s="324" t="s">
        <v>420</v>
      </c>
      <c r="B676" s="325" t="s">
        <v>153</v>
      </c>
      <c r="C676" s="325" t="s">
        <v>812</v>
      </c>
      <c r="D676" s="325">
        <v>2016</v>
      </c>
      <c r="E676" s="325" t="s">
        <v>775</v>
      </c>
      <c r="F676" s="326">
        <v>428</v>
      </c>
      <c r="G676" s="326">
        <v>6</v>
      </c>
      <c r="H676" s="327">
        <v>6</v>
      </c>
      <c r="I676" s="326">
        <v>0</v>
      </c>
      <c r="J676" s="326">
        <v>263</v>
      </c>
      <c r="K676" s="326">
        <v>6</v>
      </c>
      <c r="L676" s="326">
        <v>6</v>
      </c>
      <c r="M676" s="326">
        <v>0</v>
      </c>
      <c r="N676" s="326">
        <v>283</v>
      </c>
      <c r="O676" s="326">
        <v>0</v>
      </c>
      <c r="P676" s="326">
        <v>700</v>
      </c>
      <c r="Q676" s="327">
        <v>244</v>
      </c>
      <c r="R676" s="328">
        <f t="shared" si="162"/>
        <v>1674</v>
      </c>
      <c r="S676" s="365">
        <f t="shared" si="163"/>
        <v>256</v>
      </c>
      <c r="T676" s="328"/>
      <c r="U676" s="328"/>
      <c r="V676" s="328"/>
      <c r="W676" s="328"/>
      <c r="X676" s="328"/>
    </row>
    <row r="677" spans="1:24" ht="12.75">
      <c r="A677" s="324" t="s">
        <v>421</v>
      </c>
      <c r="B677" s="325" t="s">
        <v>153</v>
      </c>
      <c r="C677" s="325" t="s">
        <v>812</v>
      </c>
      <c r="D677" s="325">
        <v>2016</v>
      </c>
      <c r="E677" s="325" t="s">
        <v>775</v>
      </c>
      <c r="F677" s="326">
        <v>14</v>
      </c>
      <c r="G677" s="326">
        <v>0</v>
      </c>
      <c r="H677" s="327">
        <v>0</v>
      </c>
      <c r="I677" s="326">
        <v>0</v>
      </c>
      <c r="J677" s="326">
        <v>9</v>
      </c>
      <c r="K677" s="326">
        <v>1</v>
      </c>
      <c r="L677" s="326">
        <v>0</v>
      </c>
      <c r="M677" s="326">
        <v>1</v>
      </c>
      <c r="N677" s="326">
        <v>9</v>
      </c>
      <c r="O677" s="326">
        <v>0</v>
      </c>
      <c r="P677" s="326">
        <v>23</v>
      </c>
      <c r="Q677" s="327">
        <v>0</v>
      </c>
      <c r="R677" s="328">
        <f t="shared" si="162"/>
        <v>55</v>
      </c>
      <c r="S677" s="365">
        <f t="shared" si="163"/>
        <v>1</v>
      </c>
      <c r="T677" s="328"/>
      <c r="U677" s="328"/>
      <c r="V677" s="328"/>
      <c r="W677" s="328"/>
      <c r="X677" s="328"/>
    </row>
    <row r="678" spans="1:24" ht="12.75">
      <c r="A678" s="324" t="s">
        <v>422</v>
      </c>
      <c r="B678" s="325" t="s">
        <v>153</v>
      </c>
      <c r="C678" s="325" t="s">
        <v>812</v>
      </c>
      <c r="D678" s="325">
        <v>2016</v>
      </c>
      <c r="E678" s="325" t="s">
        <v>775</v>
      </c>
      <c r="F678" s="326">
        <v>44</v>
      </c>
      <c r="G678" s="326">
        <v>0</v>
      </c>
      <c r="H678" s="327">
        <v>0</v>
      </c>
      <c r="I678" s="326">
        <v>0</v>
      </c>
      <c r="J678" s="326">
        <v>27</v>
      </c>
      <c r="K678" s="326">
        <v>0</v>
      </c>
      <c r="L678" s="326">
        <v>0</v>
      </c>
      <c r="M678" s="326">
        <v>0</v>
      </c>
      <c r="N678" s="326">
        <v>28</v>
      </c>
      <c r="O678" s="326">
        <v>0</v>
      </c>
      <c r="P678" s="326">
        <v>70</v>
      </c>
      <c r="Q678" s="327">
        <v>3</v>
      </c>
      <c r="R678" s="328">
        <f t="shared" si="162"/>
        <v>169</v>
      </c>
      <c r="S678" s="365">
        <f t="shared" si="163"/>
        <v>3</v>
      </c>
      <c r="T678" s="328"/>
      <c r="U678" s="328"/>
      <c r="V678" s="328"/>
      <c r="W678" s="328"/>
      <c r="X678" s="328"/>
    </row>
    <row r="679" spans="1:24" ht="12.75">
      <c r="A679" s="324" t="s">
        <v>423</v>
      </c>
      <c r="B679" s="325" t="s">
        <v>153</v>
      </c>
      <c r="C679" s="325" t="s">
        <v>812</v>
      </c>
      <c r="D679" s="325">
        <v>2016</v>
      </c>
      <c r="E679" s="325" t="s">
        <v>775</v>
      </c>
      <c r="F679" s="326">
        <v>43</v>
      </c>
      <c r="G679" s="326">
        <v>0</v>
      </c>
      <c r="H679" s="327">
        <v>0</v>
      </c>
      <c r="I679" s="326">
        <v>0</v>
      </c>
      <c r="J679" s="326">
        <v>25</v>
      </c>
      <c r="K679" s="326">
        <v>6</v>
      </c>
      <c r="L679" s="326">
        <v>0</v>
      </c>
      <c r="M679" s="326">
        <v>6</v>
      </c>
      <c r="N679" s="326">
        <v>28</v>
      </c>
      <c r="O679" s="326">
        <v>0</v>
      </c>
      <c r="P679" s="326">
        <v>76</v>
      </c>
      <c r="Q679" s="327">
        <v>25</v>
      </c>
      <c r="R679" s="328">
        <f t="shared" si="162"/>
        <v>172</v>
      </c>
      <c r="S679" s="365">
        <f t="shared" si="163"/>
        <v>31</v>
      </c>
      <c r="T679" s="328"/>
      <c r="U679" s="328"/>
      <c r="V679" s="328"/>
      <c r="W679" s="328"/>
      <c r="X679" s="328"/>
    </row>
    <row r="680" spans="1:24" ht="12.75">
      <c r="A680" s="324" t="s">
        <v>424</v>
      </c>
      <c r="B680" s="325" t="s">
        <v>153</v>
      </c>
      <c r="C680" s="325" t="s">
        <v>812</v>
      </c>
      <c r="D680" s="325">
        <v>2016</v>
      </c>
      <c r="E680" s="325" t="s">
        <v>775</v>
      </c>
      <c r="F680" s="326">
        <v>314</v>
      </c>
      <c r="G680" s="326">
        <v>0</v>
      </c>
      <c r="H680" s="327">
        <v>0</v>
      </c>
      <c r="I680" s="326">
        <v>0</v>
      </c>
      <c r="J680" s="326">
        <v>185</v>
      </c>
      <c r="K680" s="326">
        <v>0</v>
      </c>
      <c r="L680" s="326">
        <v>0</v>
      </c>
      <c r="M680" s="326">
        <v>0</v>
      </c>
      <c r="N680" s="326">
        <v>205</v>
      </c>
      <c r="O680" s="326">
        <v>15</v>
      </c>
      <c r="P680" s="326">
        <v>558</v>
      </c>
      <c r="Q680" s="327">
        <v>4</v>
      </c>
      <c r="R680" s="328">
        <f t="shared" si="162"/>
        <v>1262</v>
      </c>
      <c r="S680" s="365">
        <f t="shared" si="163"/>
        <v>19</v>
      </c>
      <c r="T680" s="328"/>
      <c r="U680" s="328"/>
      <c r="V680" s="328"/>
      <c r="W680" s="328"/>
      <c r="X680" s="328"/>
    </row>
    <row r="681" spans="1:24" ht="12.75">
      <c r="A681" s="324" t="s">
        <v>425</v>
      </c>
      <c r="B681" s="325" t="s">
        <v>153</v>
      </c>
      <c r="C681" s="325" t="s">
        <v>812</v>
      </c>
      <c r="D681" s="325">
        <v>2016</v>
      </c>
      <c r="E681" s="325" t="s">
        <v>775</v>
      </c>
      <c r="F681" s="326">
        <v>17</v>
      </c>
      <c r="G681" s="326">
        <v>0</v>
      </c>
      <c r="H681" s="327">
        <v>0</v>
      </c>
      <c r="I681" s="326">
        <v>0</v>
      </c>
      <c r="J681" s="326">
        <v>10</v>
      </c>
      <c r="K681" s="326">
        <v>0</v>
      </c>
      <c r="L681" s="326">
        <v>0</v>
      </c>
      <c r="M681" s="326">
        <v>0</v>
      </c>
      <c r="N681" s="326">
        <v>11</v>
      </c>
      <c r="O681" s="326">
        <v>0</v>
      </c>
      <c r="P681" s="326">
        <v>25</v>
      </c>
      <c r="Q681" s="327">
        <v>11</v>
      </c>
      <c r="R681" s="328">
        <f t="shared" si="162"/>
        <v>63</v>
      </c>
      <c r="S681" s="365">
        <f t="shared" si="163"/>
        <v>11</v>
      </c>
      <c r="T681" s="328"/>
      <c r="U681" s="328"/>
      <c r="V681" s="328"/>
      <c r="W681" s="328"/>
      <c r="X681" s="328"/>
    </row>
    <row r="682" spans="1:24" ht="12.75">
      <c r="A682" s="329" t="s">
        <v>427</v>
      </c>
      <c r="B682" s="330" t="s">
        <v>153</v>
      </c>
      <c r="C682" s="330" t="s">
        <v>812</v>
      </c>
      <c r="D682" s="330">
        <v>2016</v>
      </c>
      <c r="E682" s="330" t="s">
        <v>775</v>
      </c>
      <c r="F682" s="327">
        <v>380</v>
      </c>
      <c r="G682" s="326">
        <v>0</v>
      </c>
      <c r="H682" s="327">
        <v>0</v>
      </c>
      <c r="I682" s="327">
        <v>0</v>
      </c>
      <c r="J682" s="326">
        <v>227</v>
      </c>
      <c r="K682" s="326">
        <v>0</v>
      </c>
      <c r="L682" s="327">
        <v>0</v>
      </c>
      <c r="M682" s="327">
        <v>0</v>
      </c>
      <c r="N682" s="327">
        <v>243</v>
      </c>
      <c r="O682" s="327">
        <v>1</v>
      </c>
      <c r="P682" s="327">
        <v>600</v>
      </c>
      <c r="Q682" s="327">
        <v>49</v>
      </c>
      <c r="R682" s="328">
        <f t="shared" si="162"/>
        <v>1450</v>
      </c>
      <c r="S682" s="365">
        <f t="shared" si="163"/>
        <v>50</v>
      </c>
      <c r="T682" s="328"/>
      <c r="U682" s="328"/>
      <c r="V682" s="328"/>
      <c r="W682" s="328"/>
      <c r="X682" s="328"/>
    </row>
    <row r="683" spans="1:24" ht="12.75">
      <c r="A683" s="329" t="s">
        <v>429</v>
      </c>
      <c r="B683" s="330" t="s">
        <v>153</v>
      </c>
      <c r="C683" s="330" t="s">
        <v>812</v>
      </c>
      <c r="D683" s="330">
        <v>2016</v>
      </c>
      <c r="E683" s="330" t="s">
        <v>775</v>
      </c>
      <c r="F683" s="327">
        <v>246</v>
      </c>
      <c r="G683" s="326">
        <v>0</v>
      </c>
      <c r="H683" s="327">
        <v>0</v>
      </c>
      <c r="I683" s="327">
        <v>0</v>
      </c>
      <c r="J683" s="326">
        <v>144</v>
      </c>
      <c r="K683" s="326">
        <v>0</v>
      </c>
      <c r="L683" s="327">
        <v>0</v>
      </c>
      <c r="M683" s="327">
        <v>0</v>
      </c>
      <c r="N683" s="327">
        <v>155</v>
      </c>
      <c r="O683" s="327">
        <v>0</v>
      </c>
      <c r="P683" s="327">
        <v>363</v>
      </c>
      <c r="Q683" s="327">
        <v>12</v>
      </c>
      <c r="R683" s="328">
        <f t="shared" si="162"/>
        <v>908</v>
      </c>
      <c r="S683" s="365">
        <f t="shared" si="163"/>
        <v>12</v>
      </c>
      <c r="T683" s="328"/>
      <c r="U683" s="328"/>
      <c r="V683" s="328"/>
      <c r="W683" s="328"/>
      <c r="X683" s="328"/>
    </row>
    <row r="684" spans="1:24" ht="12.75">
      <c r="A684" s="329" t="s">
        <v>430</v>
      </c>
      <c r="B684" s="330" t="s">
        <v>153</v>
      </c>
      <c r="C684" s="330" t="s">
        <v>812</v>
      </c>
      <c r="D684" s="330">
        <v>2016</v>
      </c>
      <c r="E684" s="330" t="s">
        <v>775</v>
      </c>
      <c r="F684" s="327">
        <v>217</v>
      </c>
      <c r="G684" s="326">
        <v>0</v>
      </c>
      <c r="H684" s="327">
        <v>0</v>
      </c>
      <c r="I684" s="327">
        <v>0</v>
      </c>
      <c r="J684" s="327">
        <v>129</v>
      </c>
      <c r="K684" s="326">
        <v>0</v>
      </c>
      <c r="L684" s="327">
        <v>0</v>
      </c>
      <c r="M684" s="327">
        <v>0</v>
      </c>
      <c r="N684" s="327">
        <v>138</v>
      </c>
      <c r="O684" s="327">
        <v>0</v>
      </c>
      <c r="P684" s="327">
        <v>347</v>
      </c>
      <c r="Q684" s="327">
        <v>37</v>
      </c>
      <c r="R684" s="328">
        <f t="shared" si="162"/>
        <v>831</v>
      </c>
      <c r="S684" s="365">
        <f t="shared" si="163"/>
        <v>37</v>
      </c>
      <c r="T684" s="328"/>
      <c r="U684" s="328"/>
      <c r="V684" s="328"/>
      <c r="W684" s="328"/>
      <c r="X684" s="328"/>
    </row>
    <row r="685" spans="1:24" ht="12.75">
      <c r="A685" s="329" t="s">
        <v>431</v>
      </c>
      <c r="B685" s="330" t="s">
        <v>153</v>
      </c>
      <c r="C685" s="330" t="s">
        <v>812</v>
      </c>
      <c r="D685" s="330">
        <v>2016</v>
      </c>
      <c r="E685" s="330" t="s">
        <v>775</v>
      </c>
      <c r="F685" s="327">
        <v>19</v>
      </c>
      <c r="G685" s="326">
        <v>27</v>
      </c>
      <c r="H685" s="327">
        <v>27</v>
      </c>
      <c r="I685" s="327">
        <v>0</v>
      </c>
      <c r="J685" s="327">
        <v>12</v>
      </c>
      <c r="K685" s="326">
        <v>13</v>
      </c>
      <c r="L685" s="327">
        <v>13</v>
      </c>
      <c r="M685" s="327">
        <v>0</v>
      </c>
      <c r="N685" s="327">
        <v>13</v>
      </c>
      <c r="O685" s="327">
        <v>20</v>
      </c>
      <c r="P685" s="327">
        <v>33</v>
      </c>
      <c r="Q685" s="327">
        <v>589</v>
      </c>
      <c r="R685" s="328">
        <f t="shared" si="162"/>
        <v>77</v>
      </c>
      <c r="S685" s="365">
        <f t="shared" si="163"/>
        <v>649</v>
      </c>
      <c r="T685" s="328"/>
      <c r="U685" s="328"/>
      <c r="V685" s="328"/>
      <c r="W685" s="328"/>
      <c r="X685" s="328"/>
    </row>
    <row r="686" spans="1:24" ht="12.75">
      <c r="A686" s="329" t="s">
        <v>433</v>
      </c>
      <c r="B686" s="330" t="s">
        <v>153</v>
      </c>
      <c r="C686" s="330" t="s">
        <v>812</v>
      </c>
      <c r="D686" s="330">
        <v>2016</v>
      </c>
      <c r="E686" s="330" t="s">
        <v>775</v>
      </c>
      <c r="F686" s="327">
        <v>228</v>
      </c>
      <c r="G686" s="326">
        <v>0</v>
      </c>
      <c r="H686" s="327">
        <v>0</v>
      </c>
      <c r="I686" s="327">
        <v>0</v>
      </c>
      <c r="J686" s="327">
        <v>135</v>
      </c>
      <c r="K686" s="326">
        <v>0</v>
      </c>
      <c r="L686" s="327">
        <v>0</v>
      </c>
      <c r="M686" s="327">
        <v>0</v>
      </c>
      <c r="N686" s="327">
        <v>146</v>
      </c>
      <c r="O686" s="327">
        <v>13</v>
      </c>
      <c r="P686" s="327">
        <v>369</v>
      </c>
      <c r="Q686" s="327">
        <v>38</v>
      </c>
      <c r="R686" s="328">
        <f t="shared" si="162"/>
        <v>878</v>
      </c>
      <c r="S686" s="365">
        <f t="shared" si="163"/>
        <v>51</v>
      </c>
      <c r="T686" s="331">
        <f>SUM(G629:G686)</f>
        <v>813</v>
      </c>
      <c r="U686" s="331">
        <f>SUM(K629:K686)</f>
        <v>716</v>
      </c>
      <c r="V686" s="331">
        <f>SUM(O629:O686)</f>
        <v>449</v>
      </c>
      <c r="W686" s="331">
        <f>SUM(Q629:Q686)</f>
        <v>18384</v>
      </c>
      <c r="X686" s="331">
        <f>T686+U686+V686+W686</f>
        <v>20362</v>
      </c>
    </row>
    <row r="687" spans="1:24" ht="12.75">
      <c r="A687" s="332" t="s">
        <v>346</v>
      </c>
      <c r="B687" s="333" t="s">
        <v>153</v>
      </c>
      <c r="C687" s="333" t="s">
        <v>812</v>
      </c>
      <c r="D687" s="333">
        <v>2017</v>
      </c>
      <c r="E687" s="333" t="s">
        <v>775</v>
      </c>
      <c r="F687" s="334">
        <v>31</v>
      </c>
      <c r="G687" s="334">
        <v>0</v>
      </c>
      <c r="H687" s="334">
        <v>0</v>
      </c>
      <c r="I687" s="334">
        <v>0</v>
      </c>
      <c r="J687" s="334">
        <v>19</v>
      </c>
      <c r="K687" s="334">
        <v>0</v>
      </c>
      <c r="L687" s="334">
        <v>0</v>
      </c>
      <c r="M687" s="334">
        <v>0</v>
      </c>
      <c r="N687" s="334">
        <v>20</v>
      </c>
      <c r="O687" s="334">
        <v>0</v>
      </c>
      <c r="P687" s="334">
        <v>45</v>
      </c>
      <c r="Q687" s="335">
        <v>7</v>
      </c>
      <c r="R687" s="336">
        <f t="shared" si="162"/>
        <v>115</v>
      </c>
      <c r="S687" s="366">
        <f t="shared" si="163"/>
        <v>7</v>
      </c>
      <c r="T687" s="336"/>
      <c r="U687" s="336"/>
      <c r="V687" s="336"/>
      <c r="W687" s="336"/>
      <c r="X687" s="336"/>
    </row>
    <row r="688" spans="1:24" ht="12.75">
      <c r="A688" s="332" t="s">
        <v>347</v>
      </c>
      <c r="B688" s="333" t="s">
        <v>153</v>
      </c>
      <c r="C688" s="333" t="s">
        <v>812</v>
      </c>
      <c r="D688" s="333">
        <v>2017</v>
      </c>
      <c r="E688" s="333" t="s">
        <v>775</v>
      </c>
      <c r="F688" s="334">
        <v>380</v>
      </c>
      <c r="G688" s="334">
        <v>0</v>
      </c>
      <c r="H688" s="335">
        <v>0</v>
      </c>
      <c r="I688" s="334">
        <v>0</v>
      </c>
      <c r="J688" s="334">
        <v>224</v>
      </c>
      <c r="K688" s="334">
        <v>0</v>
      </c>
      <c r="L688" s="334">
        <v>0</v>
      </c>
      <c r="M688" s="334">
        <v>0</v>
      </c>
      <c r="N688" s="334">
        <v>246</v>
      </c>
      <c r="O688" s="334">
        <v>0</v>
      </c>
      <c r="P688" s="334">
        <v>642</v>
      </c>
      <c r="Q688" s="335">
        <v>74</v>
      </c>
      <c r="R688" s="336">
        <f t="shared" si="162"/>
        <v>1492</v>
      </c>
      <c r="S688" s="366">
        <f t="shared" si="163"/>
        <v>74</v>
      </c>
      <c r="T688" s="336"/>
      <c r="U688" s="336"/>
      <c r="V688" s="336"/>
      <c r="W688" s="336"/>
      <c r="X688" s="336"/>
    </row>
    <row r="689" spans="1:24" ht="12.75">
      <c r="A689" s="332" t="s">
        <v>348</v>
      </c>
      <c r="B689" s="333" t="s">
        <v>153</v>
      </c>
      <c r="C689" s="333" t="s">
        <v>812</v>
      </c>
      <c r="D689" s="333">
        <v>2017</v>
      </c>
      <c r="E689" s="333" t="s">
        <v>775</v>
      </c>
      <c r="F689" s="334">
        <v>276</v>
      </c>
      <c r="G689" s="334">
        <v>0</v>
      </c>
      <c r="H689" s="335">
        <v>0</v>
      </c>
      <c r="I689" s="334">
        <v>0</v>
      </c>
      <c r="J689" s="334">
        <v>167</v>
      </c>
      <c r="K689" s="334">
        <v>0</v>
      </c>
      <c r="L689" s="334">
        <v>0</v>
      </c>
      <c r="M689" s="334">
        <v>0</v>
      </c>
      <c r="N689" s="334">
        <v>177</v>
      </c>
      <c r="O689" s="334">
        <v>38</v>
      </c>
      <c r="P689" s="334">
        <v>434</v>
      </c>
      <c r="Q689" s="335">
        <v>101</v>
      </c>
      <c r="R689" s="336">
        <f t="shared" si="162"/>
        <v>1054</v>
      </c>
      <c r="S689" s="366">
        <f t="shared" si="163"/>
        <v>139</v>
      </c>
      <c r="T689" s="336"/>
      <c r="U689" s="336"/>
      <c r="V689" s="336"/>
      <c r="W689" s="336"/>
      <c r="X689" s="336"/>
    </row>
    <row r="690" spans="1:24" ht="12.75">
      <c r="A690" s="332" t="s">
        <v>349</v>
      </c>
      <c r="B690" s="333" t="s">
        <v>153</v>
      </c>
      <c r="C690" s="333" t="s">
        <v>812</v>
      </c>
      <c r="D690" s="333">
        <v>2017</v>
      </c>
      <c r="E690" s="333" t="s">
        <v>775</v>
      </c>
      <c r="F690" s="334">
        <v>31</v>
      </c>
      <c r="G690" s="334">
        <v>0</v>
      </c>
      <c r="H690" s="335">
        <v>0</v>
      </c>
      <c r="I690" s="334">
        <v>0</v>
      </c>
      <c r="J690" s="334">
        <v>18</v>
      </c>
      <c r="K690" s="334">
        <v>0</v>
      </c>
      <c r="L690" s="334">
        <v>0</v>
      </c>
      <c r="M690" s="334">
        <v>0</v>
      </c>
      <c r="N690" s="334">
        <v>20</v>
      </c>
      <c r="O690" s="334">
        <v>0</v>
      </c>
      <c r="P690" s="334">
        <v>51</v>
      </c>
      <c r="Q690" s="335">
        <v>8</v>
      </c>
      <c r="R690" s="336">
        <f t="shared" si="162"/>
        <v>120</v>
      </c>
      <c r="S690" s="366">
        <f t="shared" si="163"/>
        <v>8</v>
      </c>
      <c r="T690" s="336"/>
      <c r="U690" s="336"/>
      <c r="V690" s="336"/>
      <c r="W690" s="336"/>
      <c r="X690" s="336"/>
    </row>
    <row r="691" spans="1:24" ht="12.75">
      <c r="A691" s="332" t="s">
        <v>350</v>
      </c>
      <c r="B691" s="333" t="s">
        <v>153</v>
      </c>
      <c r="C691" s="333" t="s">
        <v>812</v>
      </c>
      <c r="D691" s="333">
        <v>2017</v>
      </c>
      <c r="E691" s="333" t="s">
        <v>775</v>
      </c>
      <c r="F691" s="334">
        <v>20</v>
      </c>
      <c r="G691" s="334">
        <v>0</v>
      </c>
      <c r="H691" s="335">
        <v>0</v>
      </c>
      <c r="I691" s="334">
        <v>0</v>
      </c>
      <c r="J691" s="334">
        <v>12</v>
      </c>
      <c r="K691" s="334">
        <v>0</v>
      </c>
      <c r="L691" s="334">
        <v>0</v>
      </c>
      <c r="M691" s="334">
        <v>0</v>
      </c>
      <c r="N691" s="334">
        <v>14</v>
      </c>
      <c r="O691" s="334">
        <v>0</v>
      </c>
      <c r="P691" s="334">
        <v>34</v>
      </c>
      <c r="Q691" s="335">
        <v>1</v>
      </c>
      <c r="R691" s="336">
        <f t="shared" si="162"/>
        <v>80</v>
      </c>
      <c r="S691" s="366">
        <f t="shared" si="163"/>
        <v>1</v>
      </c>
      <c r="T691" s="336"/>
      <c r="U691" s="336"/>
      <c r="V691" s="336"/>
      <c r="W691" s="336"/>
      <c r="X691" s="336"/>
    </row>
    <row r="692" spans="1:24" ht="12.75">
      <c r="A692" s="332" t="s">
        <v>351</v>
      </c>
      <c r="B692" s="333" t="s">
        <v>153</v>
      </c>
      <c r="C692" s="333" t="s">
        <v>812</v>
      </c>
      <c r="D692" s="333">
        <v>2017</v>
      </c>
      <c r="E692" s="333" t="s">
        <v>775</v>
      </c>
      <c r="F692" s="334">
        <v>198</v>
      </c>
      <c r="G692" s="334">
        <v>0</v>
      </c>
      <c r="H692" s="335">
        <v>0</v>
      </c>
      <c r="I692" s="334">
        <v>0</v>
      </c>
      <c r="J692" s="334">
        <v>118</v>
      </c>
      <c r="K692" s="334">
        <v>0</v>
      </c>
      <c r="L692" s="334">
        <v>0</v>
      </c>
      <c r="M692" s="334">
        <v>0</v>
      </c>
      <c r="N692" s="334">
        <v>127</v>
      </c>
      <c r="O692" s="334">
        <v>158</v>
      </c>
      <c r="P692" s="334">
        <v>336</v>
      </c>
      <c r="Q692" s="335">
        <v>0</v>
      </c>
      <c r="R692" s="336">
        <f t="shared" si="162"/>
        <v>779</v>
      </c>
      <c r="S692" s="366">
        <f t="shared" si="163"/>
        <v>158</v>
      </c>
      <c r="T692" s="336"/>
      <c r="U692" s="336"/>
      <c r="V692" s="336"/>
      <c r="W692" s="336"/>
      <c r="X692" s="336"/>
    </row>
    <row r="693" spans="1:24" ht="12.75">
      <c r="A693" s="332" t="s">
        <v>352</v>
      </c>
      <c r="B693" s="333" t="s">
        <v>153</v>
      </c>
      <c r="C693" s="333" t="s">
        <v>812</v>
      </c>
      <c r="D693" s="333">
        <v>2017</v>
      </c>
      <c r="E693" s="333" t="s">
        <v>775</v>
      </c>
      <c r="F693" s="334">
        <v>142</v>
      </c>
      <c r="G693" s="334">
        <v>0</v>
      </c>
      <c r="H693" s="335">
        <v>0</v>
      </c>
      <c r="I693" s="334">
        <v>0</v>
      </c>
      <c r="J693" s="334">
        <v>83</v>
      </c>
      <c r="K693" s="334">
        <v>0</v>
      </c>
      <c r="L693" s="334">
        <v>0</v>
      </c>
      <c r="M693" s="334">
        <v>0</v>
      </c>
      <c r="N693" s="334">
        <v>90</v>
      </c>
      <c r="O693" s="334">
        <v>1</v>
      </c>
      <c r="P693" s="334">
        <v>242</v>
      </c>
      <c r="Q693" s="335">
        <v>56</v>
      </c>
      <c r="R693" s="336">
        <f t="shared" si="162"/>
        <v>557</v>
      </c>
      <c r="S693" s="366">
        <f t="shared" si="163"/>
        <v>57</v>
      </c>
      <c r="T693" s="336"/>
      <c r="U693" s="336"/>
      <c r="V693" s="336"/>
      <c r="W693" s="336"/>
      <c r="X693" s="336"/>
    </row>
    <row r="694" spans="1:24" ht="12.75">
      <c r="A694" s="332" t="s">
        <v>353</v>
      </c>
      <c r="B694" s="333" t="s">
        <v>153</v>
      </c>
      <c r="C694" s="333" t="s">
        <v>812</v>
      </c>
      <c r="D694" s="333">
        <v>2017</v>
      </c>
      <c r="E694" s="333" t="s">
        <v>775</v>
      </c>
      <c r="F694" s="334">
        <v>11</v>
      </c>
      <c r="G694" s="334">
        <v>65</v>
      </c>
      <c r="H694" s="335">
        <v>65</v>
      </c>
      <c r="I694" s="334">
        <v>0</v>
      </c>
      <c r="J694" s="334">
        <v>7</v>
      </c>
      <c r="K694" s="334">
        <v>0</v>
      </c>
      <c r="L694" s="334">
        <v>0</v>
      </c>
      <c r="M694" s="334">
        <v>0</v>
      </c>
      <c r="N694" s="334">
        <v>8</v>
      </c>
      <c r="O694" s="334">
        <v>0</v>
      </c>
      <c r="P694" s="334">
        <v>21</v>
      </c>
      <c r="Q694" s="335">
        <v>62</v>
      </c>
      <c r="R694" s="336">
        <f t="shared" si="162"/>
        <v>47</v>
      </c>
      <c r="S694" s="366">
        <f t="shared" si="163"/>
        <v>127</v>
      </c>
      <c r="T694" s="336"/>
      <c r="U694" s="336"/>
      <c r="V694" s="336"/>
      <c r="W694" s="336"/>
      <c r="X694" s="336"/>
    </row>
    <row r="695" spans="1:24" ht="12.75">
      <c r="A695" s="332" t="s">
        <v>354</v>
      </c>
      <c r="B695" s="386" t="s">
        <v>153</v>
      </c>
      <c r="C695" s="333" t="s">
        <v>812</v>
      </c>
      <c r="D695" s="333">
        <v>2017</v>
      </c>
      <c r="E695" s="333" t="s">
        <v>775</v>
      </c>
      <c r="F695" s="334">
        <v>11</v>
      </c>
      <c r="G695" s="334">
        <v>0</v>
      </c>
      <c r="H695" s="335">
        <v>0</v>
      </c>
      <c r="I695" s="334">
        <v>0</v>
      </c>
      <c r="J695" s="334">
        <v>7</v>
      </c>
      <c r="K695" s="334">
        <v>0</v>
      </c>
      <c r="L695" s="334">
        <v>0</v>
      </c>
      <c r="M695" s="334">
        <v>0</v>
      </c>
      <c r="N695" s="334">
        <v>8</v>
      </c>
      <c r="O695" s="334">
        <v>5</v>
      </c>
      <c r="P695" s="334">
        <v>20</v>
      </c>
      <c r="Q695" s="335">
        <v>7</v>
      </c>
      <c r="R695" s="336">
        <f t="shared" si="162"/>
        <v>46</v>
      </c>
      <c r="S695" s="366">
        <f t="shared" si="163"/>
        <v>12</v>
      </c>
      <c r="T695" s="336"/>
      <c r="U695" s="336"/>
      <c r="V695" s="336"/>
      <c r="W695" s="336"/>
      <c r="X695" s="336"/>
    </row>
    <row r="696" spans="1:24" ht="12.75">
      <c r="A696" s="332" t="s">
        <v>355</v>
      </c>
      <c r="B696" s="333" t="s">
        <v>153</v>
      </c>
      <c r="C696" s="333" t="s">
        <v>812</v>
      </c>
      <c r="D696" s="333">
        <v>2017</v>
      </c>
      <c r="E696" s="333" t="s">
        <v>775</v>
      </c>
      <c r="F696" s="334">
        <v>1</v>
      </c>
      <c r="G696" s="334">
        <v>0</v>
      </c>
      <c r="H696" s="335">
        <v>0</v>
      </c>
      <c r="I696" s="334">
        <v>0</v>
      </c>
      <c r="J696" s="334">
        <v>1</v>
      </c>
      <c r="K696" s="334">
        <v>0</v>
      </c>
      <c r="L696" s="334">
        <v>0</v>
      </c>
      <c r="M696" s="334">
        <v>0</v>
      </c>
      <c r="N696" s="334">
        <v>0</v>
      </c>
      <c r="O696" s="334">
        <v>0</v>
      </c>
      <c r="P696" s="334">
        <v>0</v>
      </c>
      <c r="Q696" s="335">
        <v>64</v>
      </c>
      <c r="R696" s="336">
        <f t="shared" si="162"/>
        <v>2</v>
      </c>
      <c r="S696" s="366">
        <f t="shared" si="163"/>
        <v>64</v>
      </c>
      <c r="T696" s="336"/>
      <c r="U696" s="336"/>
      <c r="V696" s="336"/>
      <c r="W696" s="336"/>
      <c r="X696" s="336"/>
    </row>
    <row r="697" spans="1:24" ht="12.75">
      <c r="A697" s="332" t="s">
        <v>356</v>
      </c>
      <c r="B697" s="333" t="s">
        <v>153</v>
      </c>
      <c r="C697" s="333" t="s">
        <v>812</v>
      </c>
      <c r="D697" s="333">
        <v>2017</v>
      </c>
      <c r="E697" s="333" t="s">
        <v>775</v>
      </c>
      <c r="F697" s="334">
        <v>1</v>
      </c>
      <c r="G697" s="334">
        <v>0</v>
      </c>
      <c r="H697" s="335">
        <v>0</v>
      </c>
      <c r="I697" s="334">
        <v>0</v>
      </c>
      <c r="J697" s="334">
        <v>1</v>
      </c>
      <c r="K697" s="334">
        <v>0</v>
      </c>
      <c r="L697" s="334">
        <v>0</v>
      </c>
      <c r="M697" s="334">
        <v>0</v>
      </c>
      <c r="N697" s="334">
        <v>1</v>
      </c>
      <c r="O697" s="334">
        <v>0</v>
      </c>
      <c r="P697" s="334">
        <v>0</v>
      </c>
      <c r="Q697" s="335">
        <v>16</v>
      </c>
      <c r="R697" s="336">
        <f t="shared" si="162"/>
        <v>3</v>
      </c>
      <c r="S697" s="366">
        <f t="shared" si="163"/>
        <v>16</v>
      </c>
      <c r="T697" s="336"/>
      <c r="U697" s="336"/>
      <c r="V697" s="336"/>
      <c r="W697" s="336"/>
      <c r="X697" s="336"/>
    </row>
    <row r="698" spans="1:24" ht="12.75">
      <c r="A698" s="332" t="s">
        <v>358</v>
      </c>
      <c r="B698" s="333" t="s">
        <v>153</v>
      </c>
      <c r="C698" s="333" t="s">
        <v>812</v>
      </c>
      <c r="D698" s="333">
        <v>2017</v>
      </c>
      <c r="E698" s="333" t="s">
        <v>775</v>
      </c>
      <c r="F698" s="334">
        <v>694</v>
      </c>
      <c r="G698" s="334">
        <v>0</v>
      </c>
      <c r="H698" s="335">
        <v>0</v>
      </c>
      <c r="I698" s="334">
        <v>0</v>
      </c>
      <c r="J698" s="334">
        <v>413</v>
      </c>
      <c r="K698" s="334">
        <v>0</v>
      </c>
      <c r="L698" s="334">
        <v>0</v>
      </c>
      <c r="M698" s="334">
        <v>0</v>
      </c>
      <c r="N698" s="334">
        <v>443</v>
      </c>
      <c r="O698" s="334">
        <v>0</v>
      </c>
      <c r="P698" s="334">
        <v>1134</v>
      </c>
      <c r="Q698" s="335">
        <v>17</v>
      </c>
      <c r="R698" s="336">
        <f t="shared" si="162"/>
        <v>2684</v>
      </c>
      <c r="S698" s="366">
        <f t="shared" si="163"/>
        <v>17</v>
      </c>
      <c r="T698" s="336"/>
      <c r="U698" s="336"/>
      <c r="V698" s="336"/>
      <c r="W698" s="336"/>
      <c r="X698" s="336"/>
    </row>
    <row r="699" spans="1:24" ht="12.75">
      <c r="A699" s="332" t="s">
        <v>359</v>
      </c>
      <c r="B699" s="333" t="s">
        <v>153</v>
      </c>
      <c r="C699" s="333" t="s">
        <v>812</v>
      </c>
      <c r="D699" s="333">
        <v>2017</v>
      </c>
      <c r="E699" s="333" t="s">
        <v>775</v>
      </c>
      <c r="F699" s="334">
        <v>88</v>
      </c>
      <c r="G699" s="334">
        <v>0</v>
      </c>
      <c r="H699" s="335">
        <v>0</v>
      </c>
      <c r="I699" s="334">
        <v>0</v>
      </c>
      <c r="J699" s="334">
        <v>54</v>
      </c>
      <c r="K699" s="334">
        <v>0</v>
      </c>
      <c r="L699" s="334">
        <v>0</v>
      </c>
      <c r="M699" s="334">
        <v>0</v>
      </c>
      <c r="N699" s="334">
        <v>57</v>
      </c>
      <c r="O699" s="334">
        <v>4</v>
      </c>
      <c r="P699" s="334">
        <v>131</v>
      </c>
      <c r="Q699" s="335">
        <v>18</v>
      </c>
      <c r="R699" s="336">
        <f t="shared" si="162"/>
        <v>330</v>
      </c>
      <c r="S699" s="366">
        <f t="shared" si="163"/>
        <v>22</v>
      </c>
      <c r="T699" s="336"/>
      <c r="U699" s="336"/>
      <c r="V699" s="336"/>
      <c r="W699" s="336"/>
      <c r="X699" s="336"/>
    </row>
    <row r="700" spans="1:24" ht="12.75">
      <c r="A700" s="332" t="s">
        <v>360</v>
      </c>
      <c r="B700" s="333" t="s">
        <v>153</v>
      </c>
      <c r="C700" s="333" t="s">
        <v>812</v>
      </c>
      <c r="D700" s="333">
        <v>2017</v>
      </c>
      <c r="E700" s="333" t="s">
        <v>775</v>
      </c>
      <c r="F700" s="334">
        <v>447</v>
      </c>
      <c r="G700" s="334">
        <v>39</v>
      </c>
      <c r="H700" s="335">
        <v>39</v>
      </c>
      <c r="I700" s="334">
        <v>0</v>
      </c>
      <c r="J700" s="334">
        <v>263</v>
      </c>
      <c r="K700" s="334">
        <v>56</v>
      </c>
      <c r="L700" s="334">
        <v>56</v>
      </c>
      <c r="M700" s="334">
        <v>0</v>
      </c>
      <c r="N700" s="334">
        <v>280</v>
      </c>
      <c r="O700" s="334">
        <v>84</v>
      </c>
      <c r="P700" s="334">
        <v>708</v>
      </c>
      <c r="Q700" s="335">
        <v>0</v>
      </c>
      <c r="R700" s="336">
        <f t="shared" si="162"/>
        <v>1698</v>
      </c>
      <c r="S700" s="366">
        <f t="shared" si="163"/>
        <v>179</v>
      </c>
      <c r="T700" s="336"/>
      <c r="U700" s="336"/>
      <c r="V700" s="336"/>
      <c r="W700" s="336"/>
      <c r="X700" s="336"/>
    </row>
    <row r="701" spans="1:24" ht="12.75">
      <c r="A701" s="332" t="s">
        <v>361</v>
      </c>
      <c r="B701" s="333" t="s">
        <v>153</v>
      </c>
      <c r="C701" s="333" t="s">
        <v>812</v>
      </c>
      <c r="D701" s="333">
        <v>2017</v>
      </c>
      <c r="E701" s="333" t="s">
        <v>775</v>
      </c>
      <c r="F701" s="334">
        <v>23</v>
      </c>
      <c r="G701" s="334">
        <v>0</v>
      </c>
      <c r="H701" s="335">
        <v>0</v>
      </c>
      <c r="I701" s="334">
        <v>0</v>
      </c>
      <c r="J701" s="334">
        <v>14</v>
      </c>
      <c r="K701" s="334">
        <v>0</v>
      </c>
      <c r="L701" s="334">
        <v>0</v>
      </c>
      <c r="M701" s="334">
        <v>0</v>
      </c>
      <c r="N701" s="334">
        <v>14</v>
      </c>
      <c r="O701" s="334">
        <v>0</v>
      </c>
      <c r="P701" s="334">
        <v>35</v>
      </c>
      <c r="Q701" s="335">
        <v>0</v>
      </c>
      <c r="R701" s="336">
        <f t="shared" si="162"/>
        <v>86</v>
      </c>
      <c r="S701" s="366">
        <f t="shared" si="163"/>
        <v>0</v>
      </c>
      <c r="T701" s="336"/>
      <c r="U701" s="336"/>
      <c r="V701" s="336"/>
      <c r="W701" s="336"/>
      <c r="X701" s="336"/>
    </row>
    <row r="702" spans="1:24" ht="12.75">
      <c r="A702" s="332" t="s">
        <v>362</v>
      </c>
      <c r="B702" s="333" t="s">
        <v>153</v>
      </c>
      <c r="C702" s="333" t="s">
        <v>812</v>
      </c>
      <c r="D702" s="333">
        <v>2017</v>
      </c>
      <c r="E702" s="333" t="s">
        <v>775</v>
      </c>
      <c r="F702" s="334">
        <v>98</v>
      </c>
      <c r="G702" s="334">
        <v>0</v>
      </c>
      <c r="H702" s="335">
        <v>0</v>
      </c>
      <c r="I702" s="334">
        <v>0</v>
      </c>
      <c r="J702" s="334">
        <v>59</v>
      </c>
      <c r="K702" s="334">
        <v>0</v>
      </c>
      <c r="L702" s="334">
        <v>0</v>
      </c>
      <c r="M702" s="334">
        <v>0</v>
      </c>
      <c r="N702" s="334">
        <v>64</v>
      </c>
      <c r="O702" s="334">
        <v>16</v>
      </c>
      <c r="P702" s="334">
        <v>152</v>
      </c>
      <c r="Q702" s="335">
        <v>316</v>
      </c>
      <c r="R702" s="336">
        <f t="shared" si="162"/>
        <v>373</v>
      </c>
      <c r="S702" s="366">
        <f t="shared" si="163"/>
        <v>332</v>
      </c>
      <c r="T702" s="336"/>
      <c r="U702" s="336"/>
      <c r="V702" s="336"/>
      <c r="W702" s="336"/>
      <c r="X702" s="336"/>
    </row>
    <row r="703" spans="1:24" ht="12.75">
      <c r="A703" s="332" t="s">
        <v>367</v>
      </c>
      <c r="B703" s="333" t="s">
        <v>153</v>
      </c>
      <c r="C703" s="333" t="s">
        <v>812</v>
      </c>
      <c r="D703" s="333">
        <v>2017</v>
      </c>
      <c r="E703" s="333" t="s">
        <v>775</v>
      </c>
      <c r="F703" s="334">
        <v>48</v>
      </c>
      <c r="G703" s="334">
        <v>6</v>
      </c>
      <c r="H703" s="335">
        <v>6</v>
      </c>
      <c r="I703" s="334">
        <v>0</v>
      </c>
      <c r="J703" s="334">
        <v>29</v>
      </c>
      <c r="K703" s="334">
        <v>0</v>
      </c>
      <c r="L703" s="334">
        <v>0</v>
      </c>
      <c r="M703" s="334">
        <v>0</v>
      </c>
      <c r="N703" s="334">
        <v>31</v>
      </c>
      <c r="O703" s="334">
        <v>0</v>
      </c>
      <c r="P703" s="334">
        <v>77</v>
      </c>
      <c r="Q703" s="335">
        <v>83</v>
      </c>
      <c r="R703" s="336">
        <f t="shared" si="162"/>
        <v>185</v>
      </c>
      <c r="S703" s="366">
        <f t="shared" si="163"/>
        <v>89</v>
      </c>
      <c r="T703" s="336"/>
      <c r="U703" s="336"/>
      <c r="V703" s="336"/>
      <c r="W703" s="336"/>
      <c r="X703" s="336"/>
    </row>
    <row r="704" spans="1:24" ht="12.75">
      <c r="A704" s="332" t="s">
        <v>368</v>
      </c>
      <c r="B704" s="333" t="s">
        <v>153</v>
      </c>
      <c r="C704" s="333" t="s">
        <v>812</v>
      </c>
      <c r="D704" s="333">
        <v>2017</v>
      </c>
      <c r="E704" s="333" t="s">
        <v>775</v>
      </c>
      <c r="F704" s="334">
        <v>308</v>
      </c>
      <c r="G704" s="334">
        <v>0</v>
      </c>
      <c r="H704" s="335">
        <v>0</v>
      </c>
      <c r="I704" s="334">
        <v>0</v>
      </c>
      <c r="J704" s="334">
        <v>182</v>
      </c>
      <c r="K704" s="334">
        <v>0</v>
      </c>
      <c r="L704" s="334">
        <v>0</v>
      </c>
      <c r="M704" s="334">
        <v>0</v>
      </c>
      <c r="N704" s="334">
        <v>190</v>
      </c>
      <c r="O704" s="334">
        <v>0</v>
      </c>
      <c r="P704" s="334">
        <v>466</v>
      </c>
      <c r="Q704" s="335">
        <v>77</v>
      </c>
      <c r="R704" s="336">
        <f t="shared" si="162"/>
        <v>1146</v>
      </c>
      <c r="S704" s="366">
        <f t="shared" si="163"/>
        <v>77</v>
      </c>
      <c r="T704" s="336"/>
      <c r="U704" s="336"/>
      <c r="V704" s="336"/>
      <c r="W704" s="336"/>
      <c r="X704" s="336"/>
    </row>
    <row r="705" spans="1:24" ht="12.75">
      <c r="A705" s="332" t="s">
        <v>369</v>
      </c>
      <c r="B705" s="333" t="s">
        <v>153</v>
      </c>
      <c r="C705" s="333" t="s">
        <v>812</v>
      </c>
      <c r="D705" s="333">
        <v>2017</v>
      </c>
      <c r="E705" s="333" t="s">
        <v>775</v>
      </c>
      <c r="F705" s="334">
        <v>210</v>
      </c>
      <c r="G705" s="334">
        <v>0</v>
      </c>
      <c r="H705" s="335">
        <v>0</v>
      </c>
      <c r="I705" s="334">
        <v>0</v>
      </c>
      <c r="J705" s="334">
        <v>123</v>
      </c>
      <c r="K705" s="334">
        <v>0</v>
      </c>
      <c r="L705" s="334">
        <v>0</v>
      </c>
      <c r="M705" s="334">
        <v>0</v>
      </c>
      <c r="N705" s="334">
        <v>135</v>
      </c>
      <c r="O705" s="334">
        <v>0</v>
      </c>
      <c r="P705" s="334">
        <v>346</v>
      </c>
      <c r="Q705" s="335">
        <v>135</v>
      </c>
      <c r="R705" s="336">
        <f t="shared" si="162"/>
        <v>814</v>
      </c>
      <c r="S705" s="366">
        <f t="shared" si="163"/>
        <v>135</v>
      </c>
      <c r="T705" s="336"/>
      <c r="U705" s="336"/>
      <c r="V705" s="336"/>
      <c r="W705" s="336"/>
      <c r="X705" s="336"/>
    </row>
    <row r="706" spans="1:24" ht="12.75">
      <c r="A706" s="332" t="s">
        <v>370</v>
      </c>
      <c r="B706" s="333" t="s">
        <v>153</v>
      </c>
      <c r="C706" s="333" t="s">
        <v>812</v>
      </c>
      <c r="D706" s="333">
        <v>2017</v>
      </c>
      <c r="E706" s="333" t="s">
        <v>775</v>
      </c>
      <c r="F706" s="334">
        <v>87</v>
      </c>
      <c r="G706" s="334">
        <v>0</v>
      </c>
      <c r="H706" s="335">
        <v>0</v>
      </c>
      <c r="I706" s="334">
        <v>0</v>
      </c>
      <c r="J706" s="334">
        <v>53</v>
      </c>
      <c r="K706" s="334">
        <v>0</v>
      </c>
      <c r="L706" s="334">
        <v>0</v>
      </c>
      <c r="M706" s="334">
        <v>0</v>
      </c>
      <c r="N706" s="334">
        <v>55</v>
      </c>
      <c r="O706" s="334">
        <v>1</v>
      </c>
      <c r="P706" s="334">
        <v>142</v>
      </c>
      <c r="Q706" s="335">
        <v>1</v>
      </c>
      <c r="R706" s="336">
        <f t="shared" si="162"/>
        <v>337</v>
      </c>
      <c r="S706" s="366">
        <f t="shared" si="163"/>
        <v>2</v>
      </c>
      <c r="T706" s="336"/>
      <c r="U706" s="336"/>
      <c r="V706" s="336"/>
      <c r="W706" s="336"/>
      <c r="X706" s="336"/>
    </row>
    <row r="707" spans="1:24" ht="12.75">
      <c r="A707" s="332" t="s">
        <v>371</v>
      </c>
      <c r="B707" s="333" t="s">
        <v>153</v>
      </c>
      <c r="C707" s="333" t="s">
        <v>812</v>
      </c>
      <c r="D707" s="333">
        <v>2017</v>
      </c>
      <c r="E707" s="333" t="s">
        <v>775</v>
      </c>
      <c r="F707" s="334">
        <v>529</v>
      </c>
      <c r="G707" s="334">
        <v>104</v>
      </c>
      <c r="H707" s="335">
        <v>104</v>
      </c>
      <c r="I707" s="334">
        <v>0</v>
      </c>
      <c r="J707" s="334">
        <v>315</v>
      </c>
      <c r="K707" s="334">
        <v>0</v>
      </c>
      <c r="L707" s="334">
        <v>0</v>
      </c>
      <c r="M707" s="334">
        <v>0</v>
      </c>
      <c r="N707" s="334">
        <v>352</v>
      </c>
      <c r="O707" s="334">
        <v>0</v>
      </c>
      <c r="P707" s="334">
        <v>946</v>
      </c>
      <c r="Q707" s="335">
        <v>191</v>
      </c>
      <c r="R707" s="336">
        <f t="shared" si="162"/>
        <v>2142</v>
      </c>
      <c r="S707" s="366">
        <f t="shared" si="163"/>
        <v>295</v>
      </c>
      <c r="T707" s="336"/>
      <c r="U707" s="336"/>
      <c r="V707" s="336"/>
      <c r="W707" s="336"/>
      <c r="X707" s="336"/>
    </row>
    <row r="708" spans="1:24" ht="12.75">
      <c r="A708" s="332" t="s">
        <v>373</v>
      </c>
      <c r="B708" s="333" t="s">
        <v>153</v>
      </c>
      <c r="C708" s="333" t="s">
        <v>812</v>
      </c>
      <c r="D708" s="333">
        <v>2017</v>
      </c>
      <c r="E708" s="333" t="s">
        <v>775</v>
      </c>
      <c r="F708" s="334">
        <v>98</v>
      </c>
      <c r="G708" s="334">
        <v>0</v>
      </c>
      <c r="H708" s="335">
        <v>0</v>
      </c>
      <c r="I708" s="334">
        <v>0</v>
      </c>
      <c r="J708" s="334">
        <v>60</v>
      </c>
      <c r="K708" s="334">
        <v>0</v>
      </c>
      <c r="L708" s="334">
        <v>0</v>
      </c>
      <c r="M708" s="334">
        <v>0</v>
      </c>
      <c r="N708" s="334">
        <v>66</v>
      </c>
      <c r="O708" s="334">
        <v>6</v>
      </c>
      <c r="P708" s="334">
        <v>173</v>
      </c>
      <c r="Q708" s="335">
        <v>44</v>
      </c>
      <c r="R708" s="336">
        <f t="shared" si="162"/>
        <v>397</v>
      </c>
      <c r="S708" s="366">
        <f t="shared" si="163"/>
        <v>50</v>
      </c>
      <c r="T708" s="336"/>
      <c r="U708" s="336"/>
      <c r="V708" s="336"/>
      <c r="W708" s="336"/>
      <c r="X708" s="336"/>
    </row>
    <row r="709" spans="1:24" ht="12.75">
      <c r="A709" s="332" t="s">
        <v>374</v>
      </c>
      <c r="B709" s="333" t="s">
        <v>153</v>
      </c>
      <c r="C709" s="333" t="s">
        <v>812</v>
      </c>
      <c r="D709" s="333">
        <v>2017</v>
      </c>
      <c r="E709" s="333" t="s">
        <v>775</v>
      </c>
      <c r="F709" s="334">
        <v>508</v>
      </c>
      <c r="G709" s="334">
        <v>5</v>
      </c>
      <c r="H709" s="335">
        <v>5</v>
      </c>
      <c r="I709" s="334">
        <v>0</v>
      </c>
      <c r="J709" s="334">
        <v>310</v>
      </c>
      <c r="K709" s="334">
        <v>37</v>
      </c>
      <c r="L709" s="334">
        <v>37</v>
      </c>
      <c r="M709" s="334">
        <v>0</v>
      </c>
      <c r="N709" s="334">
        <v>337</v>
      </c>
      <c r="O709" s="334">
        <v>0</v>
      </c>
      <c r="P709" s="334">
        <v>862</v>
      </c>
      <c r="Q709" s="335">
        <v>610</v>
      </c>
      <c r="R709" s="336">
        <f t="shared" si="162"/>
        <v>2017</v>
      </c>
      <c r="S709" s="366">
        <f t="shared" si="163"/>
        <v>652</v>
      </c>
      <c r="T709" s="336"/>
      <c r="U709" s="336"/>
      <c r="V709" s="336"/>
      <c r="W709" s="336"/>
      <c r="X709" s="336"/>
    </row>
    <row r="710" spans="1:24" ht="12.75">
      <c r="A710" s="332" t="s">
        <v>375</v>
      </c>
      <c r="B710" s="333" t="s">
        <v>153</v>
      </c>
      <c r="C710" s="333" t="s">
        <v>812</v>
      </c>
      <c r="D710" s="333">
        <v>2017</v>
      </c>
      <c r="E710" s="333" t="s">
        <v>775</v>
      </c>
      <c r="F710" s="334">
        <v>171</v>
      </c>
      <c r="G710" s="334">
        <v>0</v>
      </c>
      <c r="H710" s="335">
        <v>0</v>
      </c>
      <c r="I710" s="334">
        <v>0</v>
      </c>
      <c r="J710" s="334">
        <v>100</v>
      </c>
      <c r="K710" s="334">
        <v>0</v>
      </c>
      <c r="L710" s="334">
        <v>0</v>
      </c>
      <c r="M710" s="334">
        <v>0</v>
      </c>
      <c r="N710" s="334">
        <v>108</v>
      </c>
      <c r="O710" s="334">
        <v>0</v>
      </c>
      <c r="P710" s="334">
        <v>267</v>
      </c>
      <c r="Q710" s="335">
        <v>84</v>
      </c>
      <c r="R710" s="336">
        <f t="shared" si="162"/>
        <v>646</v>
      </c>
      <c r="S710" s="366">
        <f t="shared" si="163"/>
        <v>84</v>
      </c>
      <c r="T710" s="336"/>
      <c r="U710" s="336"/>
      <c r="V710" s="336"/>
      <c r="W710" s="336"/>
      <c r="X710" s="336"/>
    </row>
    <row r="711" spans="1:24" ht="12.75">
      <c r="A711" s="332" t="s">
        <v>377</v>
      </c>
      <c r="B711" s="333" t="s">
        <v>153</v>
      </c>
      <c r="C711" s="333" t="s">
        <v>812</v>
      </c>
      <c r="D711" s="333">
        <v>2017</v>
      </c>
      <c r="E711" s="333" t="s">
        <v>775</v>
      </c>
      <c r="F711" s="334">
        <v>170</v>
      </c>
      <c r="G711" s="334">
        <v>0</v>
      </c>
      <c r="H711" s="335">
        <v>0</v>
      </c>
      <c r="I711" s="334">
        <v>0</v>
      </c>
      <c r="J711" s="334">
        <v>101</v>
      </c>
      <c r="K711" s="334">
        <v>0</v>
      </c>
      <c r="L711" s="334">
        <v>0</v>
      </c>
      <c r="M711" s="334">
        <v>0</v>
      </c>
      <c r="N711" s="334">
        <v>112</v>
      </c>
      <c r="O711" s="334">
        <v>5</v>
      </c>
      <c r="P711" s="334">
        <v>300</v>
      </c>
      <c r="Q711" s="335">
        <v>37</v>
      </c>
      <c r="R711" s="336">
        <f t="shared" si="162"/>
        <v>683</v>
      </c>
      <c r="S711" s="366">
        <f t="shared" si="163"/>
        <v>42</v>
      </c>
      <c r="T711" s="336"/>
      <c r="U711" s="336"/>
      <c r="V711" s="336"/>
      <c r="W711" s="336"/>
      <c r="X711" s="336"/>
    </row>
    <row r="712" spans="1:24" ht="12.75">
      <c r="A712" s="332" t="s">
        <v>381</v>
      </c>
      <c r="B712" s="333" t="s">
        <v>153</v>
      </c>
      <c r="C712" s="333" t="s">
        <v>812</v>
      </c>
      <c r="D712" s="333">
        <v>2017</v>
      </c>
      <c r="E712" s="333" t="s">
        <v>775</v>
      </c>
      <c r="F712" s="334">
        <v>0</v>
      </c>
      <c r="G712" s="334">
        <v>0</v>
      </c>
      <c r="H712" s="335">
        <v>0</v>
      </c>
      <c r="I712" s="334">
        <v>0</v>
      </c>
      <c r="J712" s="334">
        <v>0</v>
      </c>
      <c r="K712" s="334">
        <v>0</v>
      </c>
      <c r="L712" s="334">
        <v>0</v>
      </c>
      <c r="M712" s="334">
        <v>0</v>
      </c>
      <c r="N712" s="334">
        <v>0</v>
      </c>
      <c r="O712" s="334">
        <v>0</v>
      </c>
      <c r="P712" s="334">
        <v>0</v>
      </c>
      <c r="Q712" s="335">
        <v>0</v>
      </c>
      <c r="R712" s="336">
        <f t="shared" si="162"/>
        <v>0</v>
      </c>
      <c r="S712" s="366">
        <f t="shared" si="163"/>
        <v>0</v>
      </c>
      <c r="T712" s="336"/>
      <c r="U712" s="336"/>
      <c r="V712" s="336"/>
      <c r="W712" s="336"/>
      <c r="X712" s="336"/>
    </row>
    <row r="713" spans="1:24" ht="12.75">
      <c r="A713" s="332" t="s">
        <v>382</v>
      </c>
      <c r="B713" s="333" t="s">
        <v>153</v>
      </c>
      <c r="C713" s="333" t="s">
        <v>812</v>
      </c>
      <c r="D713" s="333">
        <v>2017</v>
      </c>
      <c r="E713" s="333" t="s">
        <v>775</v>
      </c>
      <c r="F713" s="334">
        <v>250</v>
      </c>
      <c r="G713" s="334">
        <v>39</v>
      </c>
      <c r="H713" s="335">
        <v>39</v>
      </c>
      <c r="I713" s="334">
        <v>0</v>
      </c>
      <c r="J713" s="334">
        <v>150</v>
      </c>
      <c r="K713" s="334">
        <v>1</v>
      </c>
      <c r="L713" s="334">
        <v>1</v>
      </c>
      <c r="M713" s="334">
        <v>0</v>
      </c>
      <c r="N713" s="334">
        <v>167</v>
      </c>
      <c r="O713" s="334">
        <v>0</v>
      </c>
      <c r="P713" s="334">
        <v>446</v>
      </c>
      <c r="Q713" s="335">
        <v>13</v>
      </c>
      <c r="R713" s="336">
        <f t="shared" si="162"/>
        <v>1013</v>
      </c>
      <c r="S713" s="366">
        <f t="shared" si="163"/>
        <v>53</v>
      </c>
      <c r="T713" s="336"/>
      <c r="U713" s="336"/>
      <c r="V713" s="336"/>
      <c r="W713" s="336"/>
      <c r="X713" s="336"/>
    </row>
    <row r="714" spans="1:24" ht="12.75">
      <c r="A714" s="332" t="s">
        <v>383</v>
      </c>
      <c r="B714" s="333" t="s">
        <v>153</v>
      </c>
      <c r="C714" s="333" t="s">
        <v>812</v>
      </c>
      <c r="D714" s="333">
        <v>2017</v>
      </c>
      <c r="E714" s="333" t="s">
        <v>775</v>
      </c>
      <c r="F714" s="334">
        <v>4</v>
      </c>
      <c r="G714" s="334">
        <v>3</v>
      </c>
      <c r="H714" s="335">
        <v>3</v>
      </c>
      <c r="I714" s="334">
        <v>0</v>
      </c>
      <c r="J714" s="334">
        <v>2</v>
      </c>
      <c r="K714" s="334">
        <v>2</v>
      </c>
      <c r="L714" s="334">
        <v>2</v>
      </c>
      <c r="M714" s="334">
        <v>0</v>
      </c>
      <c r="N714" s="334">
        <v>2</v>
      </c>
      <c r="O714" s="334">
        <v>4</v>
      </c>
      <c r="P714" s="334">
        <v>7</v>
      </c>
      <c r="Q714" s="335">
        <v>0</v>
      </c>
      <c r="R714" s="336">
        <f t="shared" si="162"/>
        <v>15</v>
      </c>
      <c r="S714" s="366">
        <f t="shared" si="163"/>
        <v>9</v>
      </c>
      <c r="T714" s="336"/>
      <c r="U714" s="336"/>
      <c r="V714" s="336"/>
      <c r="W714" s="336"/>
      <c r="X714" s="336"/>
    </row>
    <row r="715" spans="1:24" ht="12.75">
      <c r="A715" s="332" t="s">
        <v>384</v>
      </c>
      <c r="B715" s="333" t="s">
        <v>153</v>
      </c>
      <c r="C715" s="333" t="s">
        <v>812</v>
      </c>
      <c r="D715" s="333">
        <v>2017</v>
      </c>
      <c r="E715" s="333" t="s">
        <v>775</v>
      </c>
      <c r="F715" s="334">
        <v>30</v>
      </c>
      <c r="G715" s="334">
        <v>0</v>
      </c>
      <c r="H715" s="335">
        <v>0</v>
      </c>
      <c r="I715" s="334">
        <v>0</v>
      </c>
      <c r="J715" s="334">
        <v>18</v>
      </c>
      <c r="K715" s="334">
        <v>0</v>
      </c>
      <c r="L715" s="334">
        <v>0</v>
      </c>
      <c r="M715" s="334">
        <v>0</v>
      </c>
      <c r="N715" s="334">
        <v>20</v>
      </c>
      <c r="O715" s="334">
        <v>0</v>
      </c>
      <c r="P715" s="334">
        <v>44</v>
      </c>
      <c r="Q715" s="335">
        <v>11</v>
      </c>
      <c r="R715" s="336">
        <f t="shared" si="162"/>
        <v>112</v>
      </c>
      <c r="S715" s="366">
        <f t="shared" si="163"/>
        <v>11</v>
      </c>
      <c r="T715" s="336"/>
      <c r="U715" s="336"/>
      <c r="V715" s="336"/>
      <c r="W715" s="336"/>
      <c r="X715" s="336"/>
    </row>
    <row r="716" spans="1:24" ht="12.75">
      <c r="A716" s="332" t="s">
        <v>386</v>
      </c>
      <c r="B716" s="333" t="s">
        <v>153</v>
      </c>
      <c r="C716" s="333" t="s">
        <v>812</v>
      </c>
      <c r="D716" s="333">
        <v>2017</v>
      </c>
      <c r="E716" s="333" t="s">
        <v>775</v>
      </c>
      <c r="F716" s="334">
        <v>62</v>
      </c>
      <c r="G716" s="334">
        <v>0</v>
      </c>
      <c r="H716" s="335">
        <v>0</v>
      </c>
      <c r="I716" s="334">
        <v>0</v>
      </c>
      <c r="J716" s="334">
        <v>37</v>
      </c>
      <c r="K716" s="334">
        <v>0</v>
      </c>
      <c r="L716" s="334">
        <v>0</v>
      </c>
      <c r="M716" s="334">
        <v>0</v>
      </c>
      <c r="N716" s="334">
        <v>40</v>
      </c>
      <c r="O716" s="334">
        <v>1</v>
      </c>
      <c r="P716" s="334">
        <v>96</v>
      </c>
      <c r="Q716" s="335">
        <v>31</v>
      </c>
      <c r="R716" s="336">
        <f t="shared" si="162"/>
        <v>235</v>
      </c>
      <c r="S716" s="366">
        <f t="shared" si="163"/>
        <v>32</v>
      </c>
      <c r="T716" s="336"/>
      <c r="U716" s="336"/>
      <c r="V716" s="336"/>
      <c r="W716" s="336"/>
      <c r="X716" s="336"/>
    </row>
    <row r="717" spans="1:24" ht="12.75">
      <c r="A717" s="332" t="s">
        <v>388</v>
      </c>
      <c r="B717" s="333" t="s">
        <v>153</v>
      </c>
      <c r="C717" s="333" t="s">
        <v>812</v>
      </c>
      <c r="D717" s="333">
        <v>2017</v>
      </c>
      <c r="E717" s="333" t="s">
        <v>775</v>
      </c>
      <c r="F717" s="334">
        <v>147</v>
      </c>
      <c r="G717" s="334">
        <v>1</v>
      </c>
      <c r="H717" s="335">
        <v>1</v>
      </c>
      <c r="I717" s="334">
        <v>0</v>
      </c>
      <c r="J717" s="334">
        <v>88</v>
      </c>
      <c r="K717" s="334">
        <v>0</v>
      </c>
      <c r="L717" s="334">
        <v>0</v>
      </c>
      <c r="M717" s="334">
        <v>0</v>
      </c>
      <c r="N717" s="334">
        <v>94</v>
      </c>
      <c r="O717" s="334">
        <v>0</v>
      </c>
      <c r="P717" s="334">
        <v>233</v>
      </c>
      <c r="Q717" s="335">
        <v>20</v>
      </c>
      <c r="R717" s="336">
        <f t="shared" si="162"/>
        <v>562</v>
      </c>
      <c r="S717" s="366">
        <f t="shared" si="163"/>
        <v>21</v>
      </c>
      <c r="T717" s="336"/>
      <c r="U717" s="336"/>
      <c r="V717" s="336"/>
      <c r="W717" s="336"/>
      <c r="X717" s="336"/>
    </row>
    <row r="718" spans="1:24" ht="12.75">
      <c r="A718" s="332" t="s">
        <v>389</v>
      </c>
      <c r="B718" s="333" t="s">
        <v>153</v>
      </c>
      <c r="C718" s="333" t="s">
        <v>812</v>
      </c>
      <c r="D718" s="333">
        <v>2017</v>
      </c>
      <c r="E718" s="333" t="s">
        <v>775</v>
      </c>
      <c r="F718" s="334">
        <v>107</v>
      </c>
      <c r="G718" s="334">
        <v>2</v>
      </c>
      <c r="H718" s="335">
        <v>0</v>
      </c>
      <c r="I718" s="334">
        <v>2</v>
      </c>
      <c r="J718" s="334">
        <v>63</v>
      </c>
      <c r="K718" s="334">
        <v>0</v>
      </c>
      <c r="L718" s="334">
        <v>0</v>
      </c>
      <c r="M718" s="334">
        <v>0</v>
      </c>
      <c r="N718" s="334">
        <v>67</v>
      </c>
      <c r="O718" s="334">
        <v>0</v>
      </c>
      <c r="P718" s="334">
        <v>166</v>
      </c>
      <c r="Q718" s="335">
        <v>48</v>
      </c>
      <c r="R718" s="336">
        <f t="shared" si="162"/>
        <v>403</v>
      </c>
      <c r="S718" s="366">
        <f t="shared" si="163"/>
        <v>50</v>
      </c>
      <c r="T718" s="336"/>
      <c r="U718" s="336"/>
      <c r="V718" s="336"/>
      <c r="W718" s="336"/>
      <c r="X718" s="336"/>
    </row>
    <row r="719" spans="1:24" ht="12.75">
      <c r="A719" s="332" t="s">
        <v>391</v>
      </c>
      <c r="B719" s="333" t="s">
        <v>153</v>
      </c>
      <c r="C719" s="333" t="s">
        <v>812</v>
      </c>
      <c r="D719" s="333">
        <v>2017</v>
      </c>
      <c r="E719" s="333" t="s">
        <v>775</v>
      </c>
      <c r="F719" s="334">
        <v>96</v>
      </c>
      <c r="G719" s="334">
        <v>0</v>
      </c>
      <c r="H719" s="335">
        <v>0</v>
      </c>
      <c r="I719" s="334">
        <v>0</v>
      </c>
      <c r="J719" s="334">
        <v>57</v>
      </c>
      <c r="K719" s="334">
        <v>0</v>
      </c>
      <c r="L719" s="334">
        <v>0</v>
      </c>
      <c r="M719" s="334">
        <v>0</v>
      </c>
      <c r="N719" s="334">
        <v>62</v>
      </c>
      <c r="O719" s="334">
        <v>0</v>
      </c>
      <c r="P719" s="334">
        <v>166</v>
      </c>
      <c r="Q719" s="335">
        <v>13</v>
      </c>
      <c r="R719" s="336">
        <f t="shared" si="162"/>
        <v>381</v>
      </c>
      <c r="S719" s="366">
        <f t="shared" si="163"/>
        <v>13</v>
      </c>
      <c r="T719" s="336"/>
      <c r="U719" s="336"/>
      <c r="V719" s="336"/>
      <c r="W719" s="336"/>
      <c r="X719" s="336"/>
    </row>
    <row r="720" spans="1:24" ht="12.75">
      <c r="A720" s="332" t="s">
        <v>392</v>
      </c>
      <c r="B720" s="333" t="s">
        <v>153</v>
      </c>
      <c r="C720" s="333" t="s">
        <v>812</v>
      </c>
      <c r="D720" s="333">
        <v>2017</v>
      </c>
      <c r="E720" s="333" t="s">
        <v>775</v>
      </c>
      <c r="F720" s="334">
        <v>12</v>
      </c>
      <c r="G720" s="334">
        <v>0</v>
      </c>
      <c r="H720" s="335">
        <v>0</v>
      </c>
      <c r="I720" s="334">
        <v>0</v>
      </c>
      <c r="J720" s="334">
        <v>7</v>
      </c>
      <c r="K720" s="334">
        <v>2</v>
      </c>
      <c r="L720" s="334">
        <v>0</v>
      </c>
      <c r="M720" s="334">
        <v>2</v>
      </c>
      <c r="N720" s="334">
        <v>8</v>
      </c>
      <c r="O720" s="334">
        <v>5</v>
      </c>
      <c r="P720" s="334">
        <v>20</v>
      </c>
      <c r="Q720" s="335">
        <v>11</v>
      </c>
      <c r="R720" s="336">
        <f t="shared" si="162"/>
        <v>47</v>
      </c>
      <c r="S720" s="366">
        <f t="shared" si="163"/>
        <v>18</v>
      </c>
      <c r="T720" s="336"/>
      <c r="U720" s="336"/>
      <c r="V720" s="336"/>
      <c r="W720" s="336"/>
      <c r="X720" s="336"/>
    </row>
    <row r="721" spans="1:24" ht="12.75">
      <c r="A721" s="332" t="s">
        <v>393</v>
      </c>
      <c r="B721" s="333" t="s">
        <v>153</v>
      </c>
      <c r="C721" s="333" t="s">
        <v>812</v>
      </c>
      <c r="D721" s="333">
        <v>2017</v>
      </c>
      <c r="E721" s="333" t="s">
        <v>775</v>
      </c>
      <c r="F721" s="334">
        <v>1773</v>
      </c>
      <c r="G721" s="334">
        <v>158</v>
      </c>
      <c r="H721" s="335">
        <v>158</v>
      </c>
      <c r="I721" s="334">
        <v>0</v>
      </c>
      <c r="J721" s="334">
        <v>1066</v>
      </c>
      <c r="K721" s="334">
        <v>4</v>
      </c>
      <c r="L721" s="334">
        <v>4</v>
      </c>
      <c r="M721" s="334">
        <v>0</v>
      </c>
      <c r="N721" s="334">
        <v>1170</v>
      </c>
      <c r="O721" s="334">
        <v>0</v>
      </c>
      <c r="P721" s="334">
        <v>3039</v>
      </c>
      <c r="Q721" s="335">
        <v>363</v>
      </c>
      <c r="R721" s="336">
        <f t="shared" si="162"/>
        <v>7048</v>
      </c>
      <c r="S721" s="366">
        <f t="shared" si="163"/>
        <v>525</v>
      </c>
      <c r="T721" s="336"/>
      <c r="U721" s="336"/>
      <c r="V721" s="336"/>
      <c r="W721" s="336"/>
      <c r="X721" s="336"/>
    </row>
    <row r="722" spans="1:24" ht="12.75">
      <c r="A722" s="332" t="s">
        <v>153</v>
      </c>
      <c r="B722" s="333" t="s">
        <v>153</v>
      </c>
      <c r="C722" s="333" t="s">
        <v>812</v>
      </c>
      <c r="D722" s="333">
        <v>2017</v>
      </c>
      <c r="E722" s="333" t="s">
        <v>775</v>
      </c>
      <c r="F722" s="334">
        <v>20427</v>
      </c>
      <c r="G722" s="334">
        <v>697</v>
      </c>
      <c r="H722" s="335">
        <v>697</v>
      </c>
      <c r="I722" s="334">
        <v>0</v>
      </c>
      <c r="J722" s="334">
        <v>12435</v>
      </c>
      <c r="K722" s="334">
        <v>255</v>
      </c>
      <c r="L722" s="334">
        <v>255</v>
      </c>
      <c r="M722" s="334">
        <v>0</v>
      </c>
      <c r="N722" s="334">
        <v>13728</v>
      </c>
      <c r="O722" s="334">
        <v>27</v>
      </c>
      <c r="P722" s="334">
        <v>35412</v>
      </c>
      <c r="Q722" s="335">
        <v>13040</v>
      </c>
      <c r="R722" s="336">
        <f t="shared" si="162"/>
        <v>82002</v>
      </c>
      <c r="S722" s="366">
        <f t="shared" si="163"/>
        <v>14019</v>
      </c>
      <c r="T722" s="336"/>
      <c r="U722" s="336"/>
      <c r="V722" s="336"/>
      <c r="W722" s="336"/>
      <c r="X722" s="336"/>
    </row>
    <row r="723" spans="1:24" ht="12.75">
      <c r="A723" s="332" t="s">
        <v>394</v>
      </c>
      <c r="B723" s="333" t="s">
        <v>153</v>
      </c>
      <c r="C723" s="333" t="s">
        <v>812</v>
      </c>
      <c r="D723" s="333">
        <v>2017</v>
      </c>
      <c r="E723" s="333" t="s">
        <v>775</v>
      </c>
      <c r="F723" s="334">
        <v>7417</v>
      </c>
      <c r="G723" s="334">
        <v>354</v>
      </c>
      <c r="H723" s="335">
        <v>354</v>
      </c>
      <c r="I723" s="334">
        <v>0</v>
      </c>
      <c r="J723" s="334">
        <v>4287</v>
      </c>
      <c r="K723" s="334">
        <v>108</v>
      </c>
      <c r="L723" s="334">
        <v>108</v>
      </c>
      <c r="M723" s="334">
        <v>0</v>
      </c>
      <c r="N723" s="334">
        <v>4938</v>
      </c>
      <c r="O723" s="334">
        <v>0</v>
      </c>
      <c r="P723" s="334">
        <v>10844</v>
      </c>
      <c r="Q723" s="335">
        <v>622</v>
      </c>
      <c r="R723" s="336">
        <f t="shared" si="162"/>
        <v>27486</v>
      </c>
      <c r="S723" s="366">
        <f t="shared" si="163"/>
        <v>1084</v>
      </c>
      <c r="T723" s="336"/>
      <c r="U723" s="336"/>
      <c r="V723" s="336"/>
      <c r="W723" s="336"/>
      <c r="X723" s="336"/>
    </row>
    <row r="724" spans="1:24" ht="12.75">
      <c r="A724" s="332" t="s">
        <v>396</v>
      </c>
      <c r="B724" s="333" t="s">
        <v>153</v>
      </c>
      <c r="C724" s="333" t="s">
        <v>812</v>
      </c>
      <c r="D724" s="333">
        <v>2017</v>
      </c>
      <c r="E724" s="333" t="s">
        <v>775</v>
      </c>
      <c r="F724" s="334">
        <v>1</v>
      </c>
      <c r="G724" s="334">
        <v>0</v>
      </c>
      <c r="H724" s="335">
        <v>0</v>
      </c>
      <c r="I724" s="334">
        <v>0</v>
      </c>
      <c r="J724" s="334">
        <v>1</v>
      </c>
      <c r="K724" s="334">
        <v>0</v>
      </c>
      <c r="L724" s="334">
        <v>0</v>
      </c>
      <c r="M724" s="334">
        <v>0</v>
      </c>
      <c r="N724" s="334">
        <v>0</v>
      </c>
      <c r="O724" s="334">
        <v>0</v>
      </c>
      <c r="P724" s="334">
        <v>0</v>
      </c>
      <c r="Q724" s="335">
        <v>17</v>
      </c>
      <c r="R724" s="336">
        <f t="shared" si="162"/>
        <v>2</v>
      </c>
      <c r="S724" s="366">
        <f t="shared" si="163"/>
        <v>17</v>
      </c>
      <c r="T724" s="336"/>
      <c r="U724" s="336"/>
      <c r="V724" s="336"/>
      <c r="W724" s="336"/>
      <c r="X724" s="336"/>
    </row>
    <row r="725" spans="1:24" ht="12.75">
      <c r="A725" s="332" t="s">
        <v>397</v>
      </c>
      <c r="B725" s="333" t="s">
        <v>153</v>
      </c>
      <c r="C725" s="333" t="s">
        <v>812</v>
      </c>
      <c r="D725" s="333">
        <v>2017</v>
      </c>
      <c r="E725" s="333" t="s">
        <v>775</v>
      </c>
      <c r="F725" s="334">
        <v>10</v>
      </c>
      <c r="G725" s="334">
        <v>0</v>
      </c>
      <c r="H725" s="335">
        <v>0</v>
      </c>
      <c r="I725" s="334">
        <v>0</v>
      </c>
      <c r="J725" s="334">
        <v>6</v>
      </c>
      <c r="K725" s="334">
        <v>0</v>
      </c>
      <c r="L725" s="334">
        <v>0</v>
      </c>
      <c r="M725" s="334">
        <v>0</v>
      </c>
      <c r="N725" s="334">
        <v>7</v>
      </c>
      <c r="O725" s="334">
        <v>0</v>
      </c>
      <c r="P725" s="334">
        <v>15</v>
      </c>
      <c r="Q725" s="335">
        <v>81</v>
      </c>
      <c r="R725" s="336">
        <f t="shared" si="162"/>
        <v>38</v>
      </c>
      <c r="S725" s="366">
        <f t="shared" si="163"/>
        <v>81</v>
      </c>
      <c r="T725" s="336"/>
      <c r="U725" s="336"/>
      <c r="V725" s="336"/>
      <c r="W725" s="336"/>
      <c r="X725" s="336"/>
    </row>
    <row r="726" spans="1:24" ht="12.75">
      <c r="A726" s="332" t="s">
        <v>399</v>
      </c>
      <c r="B726" s="333" t="s">
        <v>153</v>
      </c>
      <c r="C726" s="333" t="s">
        <v>812</v>
      </c>
      <c r="D726" s="333">
        <v>2017</v>
      </c>
      <c r="E726" s="333" t="s">
        <v>775</v>
      </c>
      <c r="F726" s="334">
        <v>101</v>
      </c>
      <c r="G726" s="334">
        <v>0</v>
      </c>
      <c r="H726" s="335">
        <v>0</v>
      </c>
      <c r="I726" s="334">
        <v>0</v>
      </c>
      <c r="J726" s="334">
        <v>61</v>
      </c>
      <c r="K726" s="334">
        <v>0</v>
      </c>
      <c r="L726" s="334">
        <v>0</v>
      </c>
      <c r="M726" s="334">
        <v>0</v>
      </c>
      <c r="N726" s="334">
        <v>65</v>
      </c>
      <c r="O726" s="334">
        <v>2</v>
      </c>
      <c r="P726" s="334">
        <v>162</v>
      </c>
      <c r="Q726" s="335">
        <v>22</v>
      </c>
      <c r="R726" s="336">
        <f t="shared" si="162"/>
        <v>389</v>
      </c>
      <c r="S726" s="366">
        <f t="shared" si="163"/>
        <v>24</v>
      </c>
      <c r="T726" s="336"/>
      <c r="U726" s="336"/>
      <c r="V726" s="336"/>
      <c r="W726" s="336"/>
      <c r="X726" s="336"/>
    </row>
    <row r="727" spans="1:24" ht="12.75">
      <c r="A727" s="332" t="s">
        <v>401</v>
      </c>
      <c r="B727" s="333" t="s">
        <v>153</v>
      </c>
      <c r="C727" s="333" t="s">
        <v>812</v>
      </c>
      <c r="D727" s="333">
        <v>2017</v>
      </c>
      <c r="E727" s="333" t="s">
        <v>775</v>
      </c>
      <c r="F727" s="334">
        <v>205</v>
      </c>
      <c r="G727" s="334">
        <v>0</v>
      </c>
      <c r="H727" s="335">
        <v>0</v>
      </c>
      <c r="I727" s="334">
        <v>0</v>
      </c>
      <c r="J727" s="334">
        <v>123</v>
      </c>
      <c r="K727" s="334">
        <v>0</v>
      </c>
      <c r="L727" s="334">
        <v>0</v>
      </c>
      <c r="M727" s="334">
        <v>0</v>
      </c>
      <c r="N727" s="334">
        <v>137</v>
      </c>
      <c r="O727" s="334">
        <v>0</v>
      </c>
      <c r="P727" s="334">
        <v>350</v>
      </c>
      <c r="Q727" s="335">
        <v>14</v>
      </c>
      <c r="R727" s="336">
        <f t="shared" si="162"/>
        <v>815</v>
      </c>
      <c r="S727" s="366">
        <f t="shared" si="163"/>
        <v>14</v>
      </c>
      <c r="T727" s="336"/>
      <c r="U727" s="336"/>
      <c r="V727" s="336"/>
      <c r="W727" s="336"/>
      <c r="X727" s="336"/>
    </row>
    <row r="728" spans="1:24" ht="12.75">
      <c r="A728" s="332" t="s">
        <v>402</v>
      </c>
      <c r="B728" s="333" t="s">
        <v>153</v>
      </c>
      <c r="C728" s="333" t="s">
        <v>812</v>
      </c>
      <c r="D728" s="333">
        <v>2017</v>
      </c>
      <c r="E728" s="333" t="s">
        <v>775</v>
      </c>
      <c r="F728" s="334">
        <v>52</v>
      </c>
      <c r="G728" s="334">
        <v>1</v>
      </c>
      <c r="H728" s="335">
        <v>0</v>
      </c>
      <c r="I728" s="334">
        <v>1</v>
      </c>
      <c r="J728" s="334">
        <v>31</v>
      </c>
      <c r="K728" s="334">
        <v>0</v>
      </c>
      <c r="L728" s="334">
        <v>0</v>
      </c>
      <c r="M728" s="334">
        <v>0</v>
      </c>
      <c r="N728" s="334">
        <v>33</v>
      </c>
      <c r="O728" s="334">
        <v>7</v>
      </c>
      <c r="P728" s="334">
        <v>85</v>
      </c>
      <c r="Q728" s="335">
        <v>49</v>
      </c>
      <c r="R728" s="336">
        <f t="shared" si="162"/>
        <v>201</v>
      </c>
      <c r="S728" s="366">
        <f t="shared" si="163"/>
        <v>57</v>
      </c>
      <c r="T728" s="336"/>
      <c r="U728" s="336"/>
      <c r="V728" s="336"/>
      <c r="W728" s="336"/>
      <c r="X728" s="336"/>
    </row>
    <row r="729" spans="1:24" ht="12.75">
      <c r="A729" s="332" t="s">
        <v>403</v>
      </c>
      <c r="B729" s="333" t="s">
        <v>153</v>
      </c>
      <c r="C729" s="333" t="s">
        <v>812</v>
      </c>
      <c r="D729" s="333">
        <v>2017</v>
      </c>
      <c r="E729" s="333" t="s">
        <v>775</v>
      </c>
      <c r="F729" s="334">
        <v>1395</v>
      </c>
      <c r="G729" s="334">
        <v>91</v>
      </c>
      <c r="H729" s="335">
        <v>91</v>
      </c>
      <c r="I729" s="334">
        <v>0</v>
      </c>
      <c r="J729" s="334">
        <v>827</v>
      </c>
      <c r="K729" s="334">
        <v>70</v>
      </c>
      <c r="L729" s="334">
        <v>70</v>
      </c>
      <c r="M729" s="334">
        <v>0</v>
      </c>
      <c r="N729" s="334">
        <v>898</v>
      </c>
      <c r="O729" s="334">
        <v>86</v>
      </c>
      <c r="P729" s="334">
        <v>2332</v>
      </c>
      <c r="Q729" s="335">
        <v>0</v>
      </c>
      <c r="R729" s="336">
        <f t="shared" si="162"/>
        <v>5452</v>
      </c>
      <c r="S729" s="366">
        <f t="shared" si="163"/>
        <v>247</v>
      </c>
      <c r="T729" s="336"/>
      <c r="U729" s="336"/>
      <c r="V729" s="336"/>
      <c r="W729" s="336"/>
      <c r="X729" s="336"/>
    </row>
    <row r="730" spans="1:24" ht="12.75">
      <c r="A730" s="332" t="s">
        <v>405</v>
      </c>
      <c r="B730" s="333" t="s">
        <v>153</v>
      </c>
      <c r="C730" s="333" t="s">
        <v>812</v>
      </c>
      <c r="D730" s="333">
        <v>2017</v>
      </c>
      <c r="E730" s="333" t="s">
        <v>775</v>
      </c>
      <c r="F730" s="334">
        <v>26</v>
      </c>
      <c r="G730" s="334">
        <v>0</v>
      </c>
      <c r="H730" s="335">
        <v>0</v>
      </c>
      <c r="I730" s="334">
        <v>0</v>
      </c>
      <c r="J730" s="334">
        <v>16</v>
      </c>
      <c r="K730" s="334">
        <v>0</v>
      </c>
      <c r="L730" s="334">
        <v>0</v>
      </c>
      <c r="M730" s="334">
        <v>0</v>
      </c>
      <c r="N730" s="334">
        <v>17</v>
      </c>
      <c r="O730" s="334">
        <v>0</v>
      </c>
      <c r="P730" s="334">
        <v>46</v>
      </c>
      <c r="Q730" s="335">
        <v>1</v>
      </c>
      <c r="R730" s="336">
        <f t="shared" si="162"/>
        <v>105</v>
      </c>
      <c r="S730" s="366">
        <f t="shared" si="163"/>
        <v>1</v>
      </c>
      <c r="T730" s="336"/>
      <c r="U730" s="336"/>
      <c r="V730" s="336"/>
      <c r="W730" s="336"/>
      <c r="X730" s="336"/>
    </row>
    <row r="731" spans="1:24" ht="12.75">
      <c r="A731" s="332" t="s">
        <v>406</v>
      </c>
      <c r="B731" s="333" t="s">
        <v>153</v>
      </c>
      <c r="C731" s="333" t="s">
        <v>812</v>
      </c>
      <c r="D731" s="333">
        <v>2017</v>
      </c>
      <c r="E731" s="333" t="s">
        <v>775</v>
      </c>
      <c r="F731" s="334">
        <v>340</v>
      </c>
      <c r="G731" s="334">
        <v>9</v>
      </c>
      <c r="H731" s="335">
        <v>9</v>
      </c>
      <c r="I731" s="334">
        <v>0</v>
      </c>
      <c r="J731" s="334">
        <v>207</v>
      </c>
      <c r="K731" s="334">
        <v>0</v>
      </c>
      <c r="L731" s="334">
        <v>0</v>
      </c>
      <c r="M731" s="334">
        <v>0</v>
      </c>
      <c r="N731" s="334">
        <v>224</v>
      </c>
      <c r="O731" s="334">
        <v>0</v>
      </c>
      <c r="P731" s="334">
        <v>561</v>
      </c>
      <c r="Q731" s="335">
        <v>213</v>
      </c>
      <c r="R731" s="336">
        <f t="shared" si="162"/>
        <v>1332</v>
      </c>
      <c r="S731" s="366">
        <f t="shared" si="163"/>
        <v>222</v>
      </c>
      <c r="T731" s="336"/>
      <c r="U731" s="336"/>
      <c r="V731" s="336"/>
      <c r="W731" s="336"/>
      <c r="X731" s="336"/>
    </row>
    <row r="732" spans="1:24" ht="12.75">
      <c r="A732" s="332" t="s">
        <v>409</v>
      </c>
      <c r="B732" s="333" t="s">
        <v>153</v>
      </c>
      <c r="C732" s="333" t="s">
        <v>812</v>
      </c>
      <c r="D732" s="333">
        <v>2017</v>
      </c>
      <c r="E732" s="333" t="s">
        <v>775</v>
      </c>
      <c r="F732" s="334">
        <v>8</v>
      </c>
      <c r="G732" s="334">
        <v>1</v>
      </c>
      <c r="H732" s="335">
        <v>1</v>
      </c>
      <c r="I732" s="334">
        <v>0</v>
      </c>
      <c r="J732" s="334">
        <v>5</v>
      </c>
      <c r="K732" s="334">
        <v>0</v>
      </c>
      <c r="L732" s="334">
        <v>0</v>
      </c>
      <c r="M732" s="334">
        <v>0</v>
      </c>
      <c r="N732" s="334">
        <v>5</v>
      </c>
      <c r="O732" s="334">
        <v>0</v>
      </c>
      <c r="P732" s="334">
        <v>13</v>
      </c>
      <c r="Q732" s="335">
        <v>26</v>
      </c>
      <c r="R732" s="336">
        <f t="shared" si="162"/>
        <v>31</v>
      </c>
      <c r="S732" s="366">
        <f t="shared" si="163"/>
        <v>27</v>
      </c>
      <c r="T732" s="336"/>
      <c r="U732" s="336"/>
      <c r="V732" s="336"/>
      <c r="W732" s="336"/>
      <c r="X732" s="336"/>
    </row>
    <row r="733" spans="1:24" ht="12.75">
      <c r="A733" s="332" t="s">
        <v>410</v>
      </c>
      <c r="B733" s="333" t="s">
        <v>153</v>
      </c>
      <c r="C733" s="333" t="s">
        <v>812</v>
      </c>
      <c r="D733" s="333">
        <v>2017</v>
      </c>
      <c r="E733" s="333" t="s">
        <v>775</v>
      </c>
      <c r="F733" s="334">
        <v>372</v>
      </c>
      <c r="G733" s="334">
        <v>0</v>
      </c>
      <c r="H733" s="335">
        <v>0</v>
      </c>
      <c r="I733" s="334">
        <v>0</v>
      </c>
      <c r="J733" s="334">
        <v>223</v>
      </c>
      <c r="K733" s="334">
        <v>0</v>
      </c>
      <c r="L733" s="334">
        <v>0</v>
      </c>
      <c r="M733" s="334">
        <v>0</v>
      </c>
      <c r="N733" s="334">
        <v>238</v>
      </c>
      <c r="O733" s="334">
        <v>0</v>
      </c>
      <c r="P733" s="334">
        <v>564</v>
      </c>
      <c r="Q733" s="335">
        <v>0</v>
      </c>
      <c r="R733" s="336">
        <f t="shared" si="162"/>
        <v>1397</v>
      </c>
      <c r="S733" s="366">
        <f t="shared" si="163"/>
        <v>0</v>
      </c>
      <c r="T733" s="336"/>
      <c r="U733" s="336"/>
      <c r="V733" s="336"/>
      <c r="W733" s="336"/>
      <c r="X733" s="336"/>
    </row>
    <row r="734" spans="1:24" ht="12.75">
      <c r="A734" s="332" t="s">
        <v>412</v>
      </c>
      <c r="B734" s="333" t="s">
        <v>153</v>
      </c>
      <c r="C734" s="333" t="s">
        <v>812</v>
      </c>
      <c r="D734" s="333">
        <v>2017</v>
      </c>
      <c r="E734" s="333" t="s">
        <v>775</v>
      </c>
      <c r="F734" s="334">
        <v>1</v>
      </c>
      <c r="G734" s="334">
        <v>0</v>
      </c>
      <c r="H734" s="335">
        <v>0</v>
      </c>
      <c r="I734" s="334">
        <v>0</v>
      </c>
      <c r="J734" s="334">
        <v>1</v>
      </c>
      <c r="K734" s="334">
        <v>0</v>
      </c>
      <c r="L734" s="334">
        <v>0</v>
      </c>
      <c r="M734" s="334">
        <v>0</v>
      </c>
      <c r="N734" s="334">
        <v>1</v>
      </c>
      <c r="O734" s="334">
        <v>1</v>
      </c>
      <c r="P734" s="334">
        <v>2</v>
      </c>
      <c r="Q734" s="335">
        <v>4</v>
      </c>
      <c r="R734" s="336">
        <f t="shared" si="162"/>
        <v>5</v>
      </c>
      <c r="S734" s="366">
        <f t="shared" si="163"/>
        <v>5</v>
      </c>
      <c r="T734" s="336"/>
      <c r="U734" s="336"/>
      <c r="V734" s="336"/>
      <c r="W734" s="336"/>
      <c r="X734" s="336"/>
    </row>
    <row r="735" spans="1:24" ht="12.75">
      <c r="A735" s="332" t="s">
        <v>413</v>
      </c>
      <c r="B735" s="333" t="s">
        <v>153</v>
      </c>
      <c r="C735" s="333" t="s">
        <v>812</v>
      </c>
      <c r="D735" s="333">
        <v>2017</v>
      </c>
      <c r="E735" s="333" t="s">
        <v>775</v>
      </c>
      <c r="F735" s="334">
        <v>153</v>
      </c>
      <c r="G735" s="334">
        <v>0</v>
      </c>
      <c r="H735" s="335">
        <v>0</v>
      </c>
      <c r="I735" s="334">
        <v>0</v>
      </c>
      <c r="J735" s="334">
        <v>88</v>
      </c>
      <c r="K735" s="334">
        <v>0</v>
      </c>
      <c r="L735" s="334">
        <v>0</v>
      </c>
      <c r="M735" s="334">
        <v>0</v>
      </c>
      <c r="N735" s="334">
        <v>99</v>
      </c>
      <c r="O735" s="334">
        <v>0</v>
      </c>
      <c r="P735" s="334">
        <v>262</v>
      </c>
      <c r="Q735" s="335">
        <v>0</v>
      </c>
      <c r="R735" s="336">
        <f t="shared" si="162"/>
        <v>602</v>
      </c>
      <c r="S735" s="366">
        <f t="shared" si="163"/>
        <v>0</v>
      </c>
      <c r="T735" s="336"/>
      <c r="U735" s="336"/>
      <c r="V735" s="336"/>
      <c r="W735" s="336"/>
      <c r="X735" s="336"/>
    </row>
    <row r="736" spans="1:24" ht="12.75">
      <c r="A736" s="332" t="s">
        <v>414</v>
      </c>
      <c r="B736" s="333" t="s">
        <v>153</v>
      </c>
      <c r="C736" s="333" t="s">
        <v>812</v>
      </c>
      <c r="D736" s="333">
        <v>2017</v>
      </c>
      <c r="E736" s="333" t="s">
        <v>775</v>
      </c>
      <c r="F736" s="334">
        <v>121</v>
      </c>
      <c r="G736" s="334">
        <v>0</v>
      </c>
      <c r="H736" s="335">
        <v>0</v>
      </c>
      <c r="I736" s="334">
        <v>0</v>
      </c>
      <c r="J736" s="334">
        <v>72</v>
      </c>
      <c r="K736" s="334">
        <v>0</v>
      </c>
      <c r="L736" s="334">
        <v>0</v>
      </c>
      <c r="M736" s="334">
        <v>0</v>
      </c>
      <c r="N736" s="334">
        <v>77</v>
      </c>
      <c r="O736" s="334">
        <v>0</v>
      </c>
      <c r="P736" s="334">
        <v>193</v>
      </c>
      <c r="Q736" s="335">
        <v>7</v>
      </c>
      <c r="R736" s="336">
        <f t="shared" si="162"/>
        <v>463</v>
      </c>
      <c r="S736" s="366">
        <f t="shared" si="163"/>
        <v>7</v>
      </c>
      <c r="T736" s="336"/>
      <c r="U736" s="336"/>
      <c r="V736" s="336"/>
      <c r="W736" s="336"/>
      <c r="X736" s="336"/>
    </row>
    <row r="737" spans="1:24" ht="12.75">
      <c r="A737" s="332" t="s">
        <v>415</v>
      </c>
      <c r="B737" s="333" t="s">
        <v>153</v>
      </c>
      <c r="C737" s="333" t="s">
        <v>812</v>
      </c>
      <c r="D737" s="333">
        <v>2017</v>
      </c>
      <c r="E737" s="333" t="s">
        <v>775</v>
      </c>
      <c r="F737" s="334">
        <v>55</v>
      </c>
      <c r="G737" s="334">
        <v>0</v>
      </c>
      <c r="H737" s="335">
        <v>0</v>
      </c>
      <c r="I737" s="334">
        <v>0</v>
      </c>
      <c r="J737" s="334">
        <v>32</v>
      </c>
      <c r="K737" s="334">
        <v>24</v>
      </c>
      <c r="L737" s="334">
        <v>0</v>
      </c>
      <c r="M737" s="334">
        <v>24</v>
      </c>
      <c r="N737" s="334">
        <v>35</v>
      </c>
      <c r="O737" s="334">
        <v>3</v>
      </c>
      <c r="P737" s="334">
        <v>95</v>
      </c>
      <c r="Q737" s="335">
        <v>2</v>
      </c>
      <c r="R737" s="336">
        <f t="shared" si="162"/>
        <v>217</v>
      </c>
      <c r="S737" s="366">
        <f t="shared" si="163"/>
        <v>29</v>
      </c>
      <c r="T737" s="336"/>
      <c r="U737" s="336"/>
      <c r="V737" s="336"/>
      <c r="W737" s="336"/>
      <c r="X737" s="336"/>
    </row>
    <row r="738" spans="1:24" ht="12.75">
      <c r="A738" s="332" t="s">
        <v>416</v>
      </c>
      <c r="B738" s="333" t="s">
        <v>153</v>
      </c>
      <c r="C738" s="333" t="s">
        <v>812</v>
      </c>
      <c r="D738" s="333">
        <v>2017</v>
      </c>
      <c r="E738" s="333" t="s">
        <v>775</v>
      </c>
      <c r="F738" s="334">
        <v>236</v>
      </c>
      <c r="G738" s="334">
        <v>0</v>
      </c>
      <c r="H738" s="335">
        <v>0</v>
      </c>
      <c r="I738" s="334">
        <v>0</v>
      </c>
      <c r="J738" s="334">
        <v>142</v>
      </c>
      <c r="K738" s="334">
        <v>0</v>
      </c>
      <c r="L738" s="334">
        <v>0</v>
      </c>
      <c r="M738" s="334">
        <v>0</v>
      </c>
      <c r="N738" s="334">
        <v>154</v>
      </c>
      <c r="O738" s="334">
        <v>2</v>
      </c>
      <c r="P738" s="334">
        <v>398</v>
      </c>
      <c r="Q738" s="335">
        <v>102</v>
      </c>
      <c r="R738" s="336">
        <f t="shared" si="162"/>
        <v>930</v>
      </c>
      <c r="S738" s="366">
        <f t="shared" si="163"/>
        <v>104</v>
      </c>
      <c r="T738" s="336"/>
      <c r="U738" s="336"/>
      <c r="V738" s="336"/>
      <c r="W738" s="336"/>
      <c r="X738" s="336"/>
    </row>
    <row r="739" spans="1:24" ht="12.75">
      <c r="A739" s="332" t="s">
        <v>417</v>
      </c>
      <c r="B739" s="333" t="s">
        <v>153</v>
      </c>
      <c r="C739" s="333" t="s">
        <v>812</v>
      </c>
      <c r="D739" s="333">
        <v>2017</v>
      </c>
      <c r="E739" s="333" t="s">
        <v>775</v>
      </c>
      <c r="F739" s="334">
        <v>1</v>
      </c>
      <c r="G739" s="334">
        <v>1</v>
      </c>
      <c r="H739" s="335">
        <v>1</v>
      </c>
      <c r="I739" s="334">
        <v>0</v>
      </c>
      <c r="J739" s="334">
        <v>1</v>
      </c>
      <c r="K739" s="334">
        <v>0</v>
      </c>
      <c r="L739" s="334">
        <v>0</v>
      </c>
      <c r="M739" s="334">
        <v>0</v>
      </c>
      <c r="N739" s="334">
        <v>0</v>
      </c>
      <c r="O739" s="334">
        <v>2</v>
      </c>
      <c r="P739" s="334">
        <v>0</v>
      </c>
      <c r="Q739" s="335">
        <v>7</v>
      </c>
      <c r="R739" s="336">
        <f t="shared" si="162"/>
        <v>2</v>
      </c>
      <c r="S739" s="366">
        <f t="shared" si="163"/>
        <v>10</v>
      </c>
      <c r="T739" s="336"/>
      <c r="U739" s="336"/>
      <c r="V739" s="336"/>
      <c r="W739" s="336"/>
      <c r="X739" s="336"/>
    </row>
    <row r="740" spans="1:24" ht="12.75">
      <c r="A740" s="332" t="s">
        <v>418</v>
      </c>
      <c r="B740" s="333" t="s">
        <v>153</v>
      </c>
      <c r="C740" s="333" t="s">
        <v>812</v>
      </c>
      <c r="D740" s="333">
        <v>2017</v>
      </c>
      <c r="E740" s="333" t="s">
        <v>775</v>
      </c>
      <c r="F740" s="334">
        <v>2645</v>
      </c>
      <c r="G740" s="334">
        <v>0</v>
      </c>
      <c r="H740" s="335">
        <v>0</v>
      </c>
      <c r="I740" s="334">
        <v>0</v>
      </c>
      <c r="J740" s="334">
        <v>1678</v>
      </c>
      <c r="K740" s="334">
        <v>0</v>
      </c>
      <c r="L740" s="334">
        <v>0</v>
      </c>
      <c r="M740" s="334">
        <v>0</v>
      </c>
      <c r="N740" s="334">
        <v>1532</v>
      </c>
      <c r="O740" s="334">
        <v>0</v>
      </c>
      <c r="P740" s="334">
        <v>5126</v>
      </c>
      <c r="Q740" s="335">
        <v>578</v>
      </c>
      <c r="R740" s="336">
        <f t="shared" si="162"/>
        <v>10981</v>
      </c>
      <c r="S740" s="366">
        <f t="shared" si="163"/>
        <v>578</v>
      </c>
      <c r="T740" s="336"/>
      <c r="U740" s="336"/>
      <c r="V740" s="336"/>
      <c r="W740" s="336"/>
      <c r="X740" s="336"/>
    </row>
    <row r="741" spans="1:24" ht="12.75">
      <c r="A741" s="332" t="s">
        <v>419</v>
      </c>
      <c r="B741" s="333" t="s">
        <v>153</v>
      </c>
      <c r="C741" s="333" t="s">
        <v>812</v>
      </c>
      <c r="D741" s="333">
        <v>2017</v>
      </c>
      <c r="E741" s="333" t="s">
        <v>775</v>
      </c>
      <c r="F741" s="334">
        <v>82</v>
      </c>
      <c r="G741" s="334">
        <v>0</v>
      </c>
      <c r="H741" s="335">
        <v>0</v>
      </c>
      <c r="I741" s="334">
        <v>0</v>
      </c>
      <c r="J741" s="334">
        <v>50</v>
      </c>
      <c r="K741" s="334">
        <v>1</v>
      </c>
      <c r="L741" s="334">
        <v>0</v>
      </c>
      <c r="M741" s="334">
        <v>1</v>
      </c>
      <c r="N741" s="334">
        <v>53</v>
      </c>
      <c r="O741" s="334">
        <v>0</v>
      </c>
      <c r="P741" s="334">
        <v>139</v>
      </c>
      <c r="Q741" s="335">
        <v>14</v>
      </c>
      <c r="R741" s="336">
        <f t="shared" si="162"/>
        <v>324</v>
      </c>
      <c r="S741" s="366">
        <f t="shared" si="163"/>
        <v>15</v>
      </c>
      <c r="T741" s="336"/>
      <c r="U741" s="336"/>
      <c r="V741" s="336"/>
      <c r="W741" s="336"/>
      <c r="X741" s="336"/>
    </row>
    <row r="742" spans="1:24" ht="12.75">
      <c r="A742" s="332" t="s">
        <v>420</v>
      </c>
      <c r="B742" s="333" t="s">
        <v>153</v>
      </c>
      <c r="C742" s="333" t="s">
        <v>812</v>
      </c>
      <c r="D742" s="333">
        <v>2017</v>
      </c>
      <c r="E742" s="333" t="s">
        <v>775</v>
      </c>
      <c r="F742" s="334">
        <v>428</v>
      </c>
      <c r="G742" s="334">
        <v>93</v>
      </c>
      <c r="H742" s="335">
        <v>93</v>
      </c>
      <c r="I742" s="334">
        <v>0</v>
      </c>
      <c r="J742" s="334">
        <v>263</v>
      </c>
      <c r="K742" s="334">
        <v>21</v>
      </c>
      <c r="L742" s="334">
        <v>21</v>
      </c>
      <c r="M742" s="334">
        <v>0</v>
      </c>
      <c r="N742" s="334">
        <v>283</v>
      </c>
      <c r="O742" s="334">
        <v>8</v>
      </c>
      <c r="P742" s="334">
        <v>700</v>
      </c>
      <c r="Q742" s="335">
        <v>569</v>
      </c>
      <c r="R742" s="336">
        <f t="shared" si="162"/>
        <v>1674</v>
      </c>
      <c r="S742" s="366">
        <f t="shared" si="163"/>
        <v>691</v>
      </c>
      <c r="T742" s="336"/>
      <c r="U742" s="336"/>
      <c r="V742" s="336"/>
      <c r="W742" s="336"/>
      <c r="X742" s="336"/>
    </row>
    <row r="743" spans="1:24" ht="12.75">
      <c r="A743" s="332" t="s">
        <v>421</v>
      </c>
      <c r="B743" s="333" t="s">
        <v>153</v>
      </c>
      <c r="C743" s="333" t="s">
        <v>812</v>
      </c>
      <c r="D743" s="333">
        <v>2017</v>
      </c>
      <c r="E743" s="333" t="s">
        <v>775</v>
      </c>
      <c r="F743" s="334">
        <v>14</v>
      </c>
      <c r="G743" s="334">
        <v>0</v>
      </c>
      <c r="H743" s="335">
        <v>0</v>
      </c>
      <c r="I743" s="334">
        <v>0</v>
      </c>
      <c r="J743" s="334">
        <v>9</v>
      </c>
      <c r="K743" s="334">
        <v>1</v>
      </c>
      <c r="L743" s="334">
        <v>0</v>
      </c>
      <c r="M743" s="334">
        <v>1</v>
      </c>
      <c r="N743" s="334">
        <v>9</v>
      </c>
      <c r="O743" s="334">
        <v>3</v>
      </c>
      <c r="P743" s="334">
        <v>23</v>
      </c>
      <c r="Q743" s="335">
        <v>0</v>
      </c>
      <c r="R743" s="336">
        <f t="shared" si="162"/>
        <v>55</v>
      </c>
      <c r="S743" s="366">
        <f t="shared" si="163"/>
        <v>4</v>
      </c>
      <c r="T743" s="336"/>
      <c r="U743" s="336"/>
      <c r="V743" s="336"/>
      <c r="W743" s="336"/>
      <c r="X743" s="336"/>
    </row>
    <row r="744" spans="1:24" ht="12.75">
      <c r="A744" s="332" t="s">
        <v>422</v>
      </c>
      <c r="B744" s="333" t="s">
        <v>153</v>
      </c>
      <c r="C744" s="333" t="s">
        <v>812</v>
      </c>
      <c r="D744" s="333">
        <v>2017</v>
      </c>
      <c r="E744" s="333" t="s">
        <v>775</v>
      </c>
      <c r="F744" s="334">
        <v>44</v>
      </c>
      <c r="G744" s="334">
        <v>0</v>
      </c>
      <c r="H744" s="335">
        <v>0</v>
      </c>
      <c r="I744" s="334">
        <v>0</v>
      </c>
      <c r="J744" s="334">
        <v>27</v>
      </c>
      <c r="K744" s="334">
        <v>0</v>
      </c>
      <c r="L744" s="334">
        <v>0</v>
      </c>
      <c r="M744" s="334">
        <v>0</v>
      </c>
      <c r="N744" s="334">
        <v>28</v>
      </c>
      <c r="O744" s="334">
        <v>0</v>
      </c>
      <c r="P744" s="334">
        <v>70</v>
      </c>
      <c r="Q744" s="335">
        <v>24</v>
      </c>
      <c r="R744" s="336">
        <f t="shared" si="162"/>
        <v>169</v>
      </c>
      <c r="S744" s="366">
        <f t="shared" si="163"/>
        <v>24</v>
      </c>
      <c r="T744" s="336"/>
      <c r="U744" s="336"/>
      <c r="V744" s="336"/>
      <c r="W744" s="336"/>
      <c r="X744" s="336"/>
    </row>
    <row r="745" spans="1:24" ht="12.75">
      <c r="A745" s="332" t="s">
        <v>423</v>
      </c>
      <c r="B745" s="333" t="s">
        <v>153</v>
      </c>
      <c r="C745" s="333" t="s">
        <v>812</v>
      </c>
      <c r="D745" s="333">
        <v>2017</v>
      </c>
      <c r="E745" s="333" t="s">
        <v>775</v>
      </c>
      <c r="F745" s="334">
        <v>43</v>
      </c>
      <c r="G745" s="334">
        <v>0</v>
      </c>
      <c r="H745" s="335">
        <v>0</v>
      </c>
      <c r="I745" s="334">
        <v>0</v>
      </c>
      <c r="J745" s="334">
        <v>25</v>
      </c>
      <c r="K745" s="334">
        <v>1</v>
      </c>
      <c r="L745" s="334">
        <v>0</v>
      </c>
      <c r="M745" s="334">
        <v>1</v>
      </c>
      <c r="N745" s="334">
        <v>28</v>
      </c>
      <c r="O745" s="334">
        <v>0</v>
      </c>
      <c r="P745" s="334">
        <v>76</v>
      </c>
      <c r="Q745" s="335">
        <v>1</v>
      </c>
      <c r="R745" s="336">
        <f t="shared" si="162"/>
        <v>172</v>
      </c>
      <c r="S745" s="366">
        <f t="shared" si="163"/>
        <v>2</v>
      </c>
      <c r="T745" s="336"/>
      <c r="U745" s="336"/>
      <c r="V745" s="336"/>
      <c r="W745" s="336"/>
      <c r="X745" s="336"/>
    </row>
    <row r="746" spans="1:24" ht="12.75">
      <c r="A746" s="332" t="s">
        <v>424</v>
      </c>
      <c r="B746" s="333" t="s">
        <v>153</v>
      </c>
      <c r="C746" s="333" t="s">
        <v>812</v>
      </c>
      <c r="D746" s="333">
        <v>2017</v>
      </c>
      <c r="E746" s="333" t="s">
        <v>775</v>
      </c>
      <c r="F746" s="334">
        <v>314</v>
      </c>
      <c r="G746" s="334">
        <v>0</v>
      </c>
      <c r="H746" s="335">
        <v>0</v>
      </c>
      <c r="I746" s="334">
        <v>0</v>
      </c>
      <c r="J746" s="334">
        <v>185</v>
      </c>
      <c r="K746" s="334">
        <v>0</v>
      </c>
      <c r="L746" s="334">
        <v>0</v>
      </c>
      <c r="M746" s="334">
        <v>0</v>
      </c>
      <c r="N746" s="334">
        <v>205</v>
      </c>
      <c r="O746" s="334">
        <v>14</v>
      </c>
      <c r="P746" s="334">
        <v>558</v>
      </c>
      <c r="Q746" s="335">
        <v>4</v>
      </c>
      <c r="R746" s="336">
        <f t="shared" si="162"/>
        <v>1262</v>
      </c>
      <c r="S746" s="366">
        <f t="shared" si="163"/>
        <v>18</v>
      </c>
      <c r="T746" s="336"/>
      <c r="U746" s="336"/>
      <c r="V746" s="336"/>
      <c r="W746" s="336"/>
      <c r="X746" s="336"/>
    </row>
    <row r="747" spans="1:24" ht="12.75">
      <c r="A747" s="332" t="s">
        <v>425</v>
      </c>
      <c r="B747" s="333" t="s">
        <v>153</v>
      </c>
      <c r="C747" s="333" t="s">
        <v>812</v>
      </c>
      <c r="D747" s="333">
        <v>2017</v>
      </c>
      <c r="E747" s="333" t="s">
        <v>775</v>
      </c>
      <c r="F747" s="334">
        <v>17</v>
      </c>
      <c r="G747" s="334">
        <v>0</v>
      </c>
      <c r="H747" s="335">
        <v>0</v>
      </c>
      <c r="I747" s="334">
        <v>0</v>
      </c>
      <c r="J747" s="334">
        <v>10</v>
      </c>
      <c r="K747" s="334">
        <v>0</v>
      </c>
      <c r="L747" s="334">
        <v>0</v>
      </c>
      <c r="M747" s="334">
        <v>0</v>
      </c>
      <c r="N747" s="334">
        <v>11</v>
      </c>
      <c r="O747" s="334">
        <v>1</v>
      </c>
      <c r="P747" s="334">
        <v>25</v>
      </c>
      <c r="Q747" s="335">
        <v>18</v>
      </c>
      <c r="R747" s="336">
        <f t="shared" si="162"/>
        <v>63</v>
      </c>
      <c r="S747" s="366">
        <f t="shared" si="163"/>
        <v>19</v>
      </c>
      <c r="T747" s="336"/>
      <c r="U747" s="336"/>
      <c r="V747" s="336"/>
      <c r="W747" s="336"/>
      <c r="X747" s="336"/>
    </row>
    <row r="748" spans="1:24" ht="12.75">
      <c r="A748" s="337" t="s">
        <v>426</v>
      </c>
      <c r="B748" s="338" t="s">
        <v>153</v>
      </c>
      <c r="C748" s="338" t="s">
        <v>812</v>
      </c>
      <c r="D748" s="338">
        <v>2017</v>
      </c>
      <c r="E748" s="338" t="s">
        <v>775</v>
      </c>
      <c r="F748" s="335">
        <v>159</v>
      </c>
      <c r="G748" s="334">
        <v>0</v>
      </c>
      <c r="H748" s="335">
        <v>0</v>
      </c>
      <c r="I748" s="335">
        <v>0</v>
      </c>
      <c r="J748" s="334">
        <v>93</v>
      </c>
      <c r="K748" s="334">
        <v>1</v>
      </c>
      <c r="L748" s="335">
        <v>1</v>
      </c>
      <c r="M748" s="335">
        <v>0</v>
      </c>
      <c r="N748" s="335">
        <v>99</v>
      </c>
      <c r="O748" s="335">
        <v>5</v>
      </c>
      <c r="P748" s="335">
        <v>252</v>
      </c>
      <c r="Q748" s="335">
        <v>92</v>
      </c>
      <c r="R748" s="336">
        <f t="shared" si="162"/>
        <v>603</v>
      </c>
      <c r="S748" s="366">
        <f t="shared" si="163"/>
        <v>98</v>
      </c>
      <c r="T748" s="336"/>
      <c r="U748" s="336"/>
      <c r="V748" s="336"/>
      <c r="W748" s="336"/>
      <c r="X748" s="336"/>
    </row>
    <row r="749" spans="1:24" ht="12.75">
      <c r="A749" s="337" t="s">
        <v>427</v>
      </c>
      <c r="B749" s="338" t="s">
        <v>153</v>
      </c>
      <c r="C749" s="338" t="s">
        <v>812</v>
      </c>
      <c r="D749" s="338">
        <v>2017</v>
      </c>
      <c r="E749" s="338" t="s">
        <v>775</v>
      </c>
      <c r="F749" s="335">
        <v>380</v>
      </c>
      <c r="G749" s="334">
        <v>0</v>
      </c>
      <c r="H749" s="335">
        <v>0</v>
      </c>
      <c r="I749" s="335">
        <v>0</v>
      </c>
      <c r="J749" s="334">
        <v>227</v>
      </c>
      <c r="K749" s="334">
        <v>0</v>
      </c>
      <c r="L749" s="335">
        <v>0</v>
      </c>
      <c r="M749" s="335">
        <v>0</v>
      </c>
      <c r="N749" s="335">
        <v>243</v>
      </c>
      <c r="O749" s="335">
        <v>4</v>
      </c>
      <c r="P749" s="335">
        <v>600</v>
      </c>
      <c r="Q749" s="335">
        <v>9</v>
      </c>
      <c r="R749" s="336">
        <f t="shared" si="162"/>
        <v>1450</v>
      </c>
      <c r="S749" s="366">
        <f t="shared" si="163"/>
        <v>13</v>
      </c>
      <c r="T749" s="336"/>
      <c r="U749" s="336"/>
      <c r="V749" s="336"/>
      <c r="W749" s="336"/>
      <c r="X749" s="336"/>
    </row>
    <row r="750" spans="1:24" ht="12.75">
      <c r="A750" s="337" t="s">
        <v>429</v>
      </c>
      <c r="B750" s="338" t="s">
        <v>153</v>
      </c>
      <c r="C750" s="338" t="s">
        <v>812</v>
      </c>
      <c r="D750" s="338">
        <v>2017</v>
      </c>
      <c r="E750" s="338" t="s">
        <v>775</v>
      </c>
      <c r="F750" s="335">
        <v>246</v>
      </c>
      <c r="G750" s="334">
        <v>0</v>
      </c>
      <c r="H750" s="335">
        <v>0</v>
      </c>
      <c r="I750" s="335">
        <v>0</v>
      </c>
      <c r="J750" s="334">
        <v>144</v>
      </c>
      <c r="K750" s="334">
        <v>0</v>
      </c>
      <c r="L750" s="335">
        <v>0</v>
      </c>
      <c r="M750" s="335">
        <v>0</v>
      </c>
      <c r="N750" s="335">
        <v>155</v>
      </c>
      <c r="O750" s="335">
        <v>0</v>
      </c>
      <c r="P750" s="335">
        <v>363</v>
      </c>
      <c r="Q750" s="335">
        <v>87</v>
      </c>
      <c r="R750" s="336">
        <f t="shared" si="162"/>
        <v>908</v>
      </c>
      <c r="S750" s="366">
        <f t="shared" si="163"/>
        <v>87</v>
      </c>
      <c r="T750" s="336"/>
      <c r="U750" s="336"/>
      <c r="V750" s="336"/>
      <c r="W750" s="336"/>
      <c r="X750" s="336"/>
    </row>
    <row r="751" spans="1:24" ht="12.75">
      <c r="A751" s="337" t="s">
        <v>430</v>
      </c>
      <c r="B751" s="338" t="s">
        <v>153</v>
      </c>
      <c r="C751" s="338" t="s">
        <v>812</v>
      </c>
      <c r="D751" s="338">
        <v>2017</v>
      </c>
      <c r="E751" s="338" t="s">
        <v>775</v>
      </c>
      <c r="F751" s="335">
        <v>217</v>
      </c>
      <c r="G751" s="334">
        <v>0</v>
      </c>
      <c r="H751" s="335">
        <v>0</v>
      </c>
      <c r="I751" s="335">
        <v>0</v>
      </c>
      <c r="J751" s="335">
        <v>129</v>
      </c>
      <c r="K751" s="334">
        <v>0</v>
      </c>
      <c r="L751" s="335">
        <v>0</v>
      </c>
      <c r="M751" s="335">
        <v>0</v>
      </c>
      <c r="N751" s="335">
        <v>138</v>
      </c>
      <c r="O751" s="335">
        <v>0</v>
      </c>
      <c r="P751" s="335">
        <v>347</v>
      </c>
      <c r="Q751" s="335">
        <v>2</v>
      </c>
      <c r="R751" s="336">
        <f t="shared" si="162"/>
        <v>831</v>
      </c>
      <c r="S751" s="366">
        <f t="shared" si="163"/>
        <v>2</v>
      </c>
      <c r="T751" s="336"/>
      <c r="U751" s="336"/>
      <c r="V751" s="336"/>
      <c r="W751" s="336"/>
      <c r="X751" s="336"/>
    </row>
    <row r="752" spans="1:24" ht="12.75">
      <c r="A752" s="337" t="s">
        <v>431</v>
      </c>
      <c r="B752" s="338" t="s">
        <v>153</v>
      </c>
      <c r="C752" s="338" t="s">
        <v>812</v>
      </c>
      <c r="D752" s="338">
        <v>2017</v>
      </c>
      <c r="E752" s="338" t="s">
        <v>775</v>
      </c>
      <c r="F752" s="335">
        <v>19</v>
      </c>
      <c r="G752" s="334">
        <v>0</v>
      </c>
      <c r="H752" s="335">
        <v>0</v>
      </c>
      <c r="I752" s="335">
        <v>0</v>
      </c>
      <c r="J752" s="335">
        <v>12</v>
      </c>
      <c r="K752" s="334">
        <v>15</v>
      </c>
      <c r="L752" s="335">
        <v>15</v>
      </c>
      <c r="M752" s="335">
        <v>0</v>
      </c>
      <c r="N752" s="335">
        <v>13</v>
      </c>
      <c r="O752" s="335">
        <v>8</v>
      </c>
      <c r="P752" s="335">
        <v>33</v>
      </c>
      <c r="Q752" s="335">
        <v>161</v>
      </c>
      <c r="R752" s="336">
        <f t="shared" si="162"/>
        <v>77</v>
      </c>
      <c r="S752" s="366">
        <f t="shared" si="163"/>
        <v>184</v>
      </c>
      <c r="T752" s="336"/>
      <c r="U752" s="336"/>
      <c r="V752" s="336"/>
      <c r="W752" s="336"/>
      <c r="X752" s="336"/>
    </row>
    <row r="753" spans="1:24" ht="12.75">
      <c r="A753" s="337" t="s">
        <v>432</v>
      </c>
      <c r="B753" s="338" t="s">
        <v>153</v>
      </c>
      <c r="C753" s="338" t="s">
        <v>812</v>
      </c>
      <c r="D753" s="338">
        <v>2017</v>
      </c>
      <c r="E753" s="338" t="s">
        <v>775</v>
      </c>
      <c r="F753" s="335">
        <v>12</v>
      </c>
      <c r="G753" s="334">
        <v>0</v>
      </c>
      <c r="H753" s="335">
        <v>0</v>
      </c>
      <c r="I753" s="335">
        <v>0</v>
      </c>
      <c r="J753" s="335">
        <v>7</v>
      </c>
      <c r="K753" s="334">
        <v>0</v>
      </c>
      <c r="L753" s="335">
        <v>0</v>
      </c>
      <c r="M753" s="335">
        <v>0</v>
      </c>
      <c r="N753" s="335">
        <v>8</v>
      </c>
      <c r="O753" s="335">
        <v>0</v>
      </c>
      <c r="P753" s="335">
        <v>18</v>
      </c>
      <c r="Q753" s="335">
        <v>0</v>
      </c>
      <c r="R753" s="336">
        <f t="shared" si="162"/>
        <v>45</v>
      </c>
      <c r="S753" s="366">
        <f t="shared" si="163"/>
        <v>0</v>
      </c>
      <c r="T753" s="336"/>
      <c r="U753" s="336"/>
      <c r="V753" s="336"/>
      <c r="W753" s="336"/>
      <c r="X753" s="336"/>
    </row>
    <row r="754" spans="1:24" ht="12.75">
      <c r="A754" s="337" t="s">
        <v>433</v>
      </c>
      <c r="B754" s="338" t="s">
        <v>153</v>
      </c>
      <c r="C754" s="338" t="s">
        <v>812</v>
      </c>
      <c r="D754" s="338">
        <v>2017</v>
      </c>
      <c r="E754" s="338" t="s">
        <v>775</v>
      </c>
      <c r="F754" s="335">
        <v>228</v>
      </c>
      <c r="G754" s="334">
        <v>0</v>
      </c>
      <c r="H754" s="335">
        <v>0</v>
      </c>
      <c r="I754" s="335">
        <v>0</v>
      </c>
      <c r="J754" s="335">
        <v>135</v>
      </c>
      <c r="K754" s="334">
        <v>0</v>
      </c>
      <c r="L754" s="335">
        <v>0</v>
      </c>
      <c r="M754" s="335">
        <v>0</v>
      </c>
      <c r="N754" s="335">
        <v>146</v>
      </c>
      <c r="O754" s="335">
        <v>52</v>
      </c>
      <c r="P754" s="335">
        <v>369</v>
      </c>
      <c r="Q754" s="335">
        <v>3</v>
      </c>
      <c r="R754" s="336">
        <f t="shared" si="162"/>
        <v>878</v>
      </c>
      <c r="S754" s="366">
        <f t="shared" si="163"/>
        <v>55</v>
      </c>
      <c r="T754" s="339">
        <f>SUM(G687:G754)</f>
        <v>1669</v>
      </c>
      <c r="U754" s="339">
        <f>SUM(K687:K754)</f>
        <v>599</v>
      </c>
      <c r="V754" s="339">
        <f>SUM(O687:O754)</f>
        <v>553</v>
      </c>
      <c r="W754" s="339">
        <f>SUM(Q687:Q754)</f>
        <v>18288</v>
      </c>
      <c r="X754" s="339">
        <f>T754+U754+V754+W754</f>
        <v>21109</v>
      </c>
    </row>
    <row r="755" spans="1:24" ht="12.75">
      <c r="A755" s="340" t="s">
        <v>346</v>
      </c>
      <c r="B755" s="341" t="s">
        <v>153</v>
      </c>
      <c r="C755" s="341" t="s">
        <v>812</v>
      </c>
      <c r="D755" s="341">
        <v>2018</v>
      </c>
      <c r="E755" s="341" t="s">
        <v>775</v>
      </c>
      <c r="F755" s="342">
        <v>31</v>
      </c>
      <c r="G755" s="343">
        <v>0</v>
      </c>
      <c r="H755" s="342">
        <v>0</v>
      </c>
      <c r="I755" s="342">
        <v>0</v>
      </c>
      <c r="J755" s="342">
        <v>19</v>
      </c>
      <c r="K755" s="343">
        <v>0</v>
      </c>
      <c r="L755" s="342">
        <v>0</v>
      </c>
      <c r="M755" s="342">
        <v>0</v>
      </c>
      <c r="N755" s="342">
        <v>20</v>
      </c>
      <c r="O755" s="342">
        <v>0</v>
      </c>
      <c r="P755" s="342">
        <v>45</v>
      </c>
      <c r="Q755" s="342">
        <v>4</v>
      </c>
      <c r="R755" s="344">
        <f t="shared" si="162"/>
        <v>115</v>
      </c>
      <c r="S755" s="367">
        <f t="shared" si="163"/>
        <v>4</v>
      </c>
      <c r="T755" s="344"/>
      <c r="U755" s="344"/>
      <c r="V755" s="344"/>
      <c r="W755" s="344"/>
      <c r="X755" s="344"/>
    </row>
    <row r="756" spans="1:24" ht="12.75">
      <c r="A756" s="340" t="s">
        <v>347</v>
      </c>
      <c r="B756" s="341" t="s">
        <v>153</v>
      </c>
      <c r="C756" s="341" t="s">
        <v>812</v>
      </c>
      <c r="D756" s="341">
        <v>2018</v>
      </c>
      <c r="E756" s="341" t="s">
        <v>775</v>
      </c>
      <c r="F756" s="342">
        <v>380</v>
      </c>
      <c r="G756" s="343">
        <v>0</v>
      </c>
      <c r="H756" s="342">
        <v>0</v>
      </c>
      <c r="I756" s="342">
        <v>0</v>
      </c>
      <c r="J756" s="342">
        <v>224</v>
      </c>
      <c r="K756" s="343">
        <v>2</v>
      </c>
      <c r="L756" s="342">
        <v>2</v>
      </c>
      <c r="M756" s="342">
        <v>0</v>
      </c>
      <c r="N756" s="342">
        <v>246</v>
      </c>
      <c r="O756" s="342">
        <v>0</v>
      </c>
      <c r="P756" s="342">
        <v>642</v>
      </c>
      <c r="Q756" s="342">
        <v>11</v>
      </c>
      <c r="R756" s="344">
        <f t="shared" si="162"/>
        <v>1492</v>
      </c>
      <c r="S756" s="367">
        <f t="shared" si="163"/>
        <v>13</v>
      </c>
      <c r="T756" s="344"/>
      <c r="U756" s="344"/>
      <c r="V756" s="344"/>
      <c r="W756" s="344"/>
      <c r="X756" s="344"/>
    </row>
    <row r="757" spans="1:24" ht="12.75">
      <c r="A757" s="340" t="s">
        <v>348</v>
      </c>
      <c r="B757" s="341" t="s">
        <v>153</v>
      </c>
      <c r="C757" s="341" t="s">
        <v>812</v>
      </c>
      <c r="D757" s="341">
        <v>2018</v>
      </c>
      <c r="E757" s="341" t="s">
        <v>775</v>
      </c>
      <c r="F757" s="342">
        <v>276</v>
      </c>
      <c r="G757" s="343">
        <v>0</v>
      </c>
      <c r="H757" s="342">
        <v>0</v>
      </c>
      <c r="I757" s="342">
        <v>0</v>
      </c>
      <c r="J757" s="342">
        <v>167</v>
      </c>
      <c r="K757" s="343">
        <v>0</v>
      </c>
      <c r="L757" s="342">
        <v>0</v>
      </c>
      <c r="M757" s="342">
        <v>0</v>
      </c>
      <c r="N757" s="342">
        <v>177</v>
      </c>
      <c r="O757" s="342">
        <v>0</v>
      </c>
      <c r="P757" s="342">
        <v>434</v>
      </c>
      <c r="Q757" s="342">
        <v>69</v>
      </c>
      <c r="R757" s="344">
        <f t="shared" si="162"/>
        <v>1054</v>
      </c>
      <c r="S757" s="367">
        <f t="shared" si="163"/>
        <v>69</v>
      </c>
      <c r="T757" s="344"/>
      <c r="U757" s="344"/>
      <c r="V757" s="344"/>
      <c r="W757" s="344"/>
      <c r="X757" s="344"/>
    </row>
    <row r="758" spans="1:24" ht="12.75">
      <c r="A758" s="340" t="s">
        <v>349</v>
      </c>
      <c r="B758" s="341" t="s">
        <v>153</v>
      </c>
      <c r="C758" s="341" t="s">
        <v>812</v>
      </c>
      <c r="D758" s="341">
        <v>2018</v>
      </c>
      <c r="E758" s="341" t="s">
        <v>775</v>
      </c>
      <c r="F758" s="342">
        <v>31</v>
      </c>
      <c r="G758" s="343">
        <v>0</v>
      </c>
      <c r="H758" s="342">
        <v>0</v>
      </c>
      <c r="I758" s="342">
        <v>0</v>
      </c>
      <c r="J758" s="342">
        <v>18</v>
      </c>
      <c r="K758" s="343">
        <v>0</v>
      </c>
      <c r="L758" s="342">
        <v>0</v>
      </c>
      <c r="M758" s="342">
        <v>0</v>
      </c>
      <c r="N758" s="342">
        <v>20</v>
      </c>
      <c r="O758" s="342">
        <v>0</v>
      </c>
      <c r="P758" s="342">
        <v>51</v>
      </c>
      <c r="Q758" s="342">
        <v>7</v>
      </c>
      <c r="R758" s="344">
        <f t="shared" si="162"/>
        <v>120</v>
      </c>
      <c r="S758" s="367">
        <f t="shared" si="163"/>
        <v>7</v>
      </c>
      <c r="T758" s="344"/>
      <c r="U758" s="344"/>
      <c r="V758" s="344"/>
      <c r="W758" s="344"/>
      <c r="X758" s="344"/>
    </row>
    <row r="759" spans="1:24" ht="12.75">
      <c r="A759" s="340" t="s">
        <v>350</v>
      </c>
      <c r="B759" s="341" t="s">
        <v>153</v>
      </c>
      <c r="C759" s="341" t="s">
        <v>812</v>
      </c>
      <c r="D759" s="341">
        <v>2018</v>
      </c>
      <c r="E759" s="341" t="s">
        <v>775</v>
      </c>
      <c r="F759" s="342">
        <v>20</v>
      </c>
      <c r="G759" s="375"/>
      <c r="H759" s="376"/>
      <c r="I759" s="376"/>
      <c r="J759" s="342">
        <v>12</v>
      </c>
      <c r="K759" s="375"/>
      <c r="L759" s="376"/>
      <c r="M759" s="376"/>
      <c r="N759" s="342">
        <v>14</v>
      </c>
      <c r="O759" s="376"/>
      <c r="P759" s="342">
        <v>34</v>
      </c>
      <c r="Q759" s="376"/>
      <c r="R759" s="344">
        <f t="shared" si="162"/>
        <v>80</v>
      </c>
      <c r="S759" s="367">
        <f t="shared" si="163"/>
        <v>0</v>
      </c>
      <c r="T759" s="344"/>
      <c r="U759" s="344"/>
      <c r="V759" s="344"/>
      <c r="W759" s="344"/>
      <c r="X759" s="344"/>
    </row>
    <row r="760" spans="1:24" ht="12.75">
      <c r="A760" s="340" t="s">
        <v>351</v>
      </c>
      <c r="B760" s="341" t="s">
        <v>153</v>
      </c>
      <c r="C760" s="341" t="s">
        <v>812</v>
      </c>
      <c r="D760" s="341">
        <v>2018</v>
      </c>
      <c r="E760" s="341" t="s">
        <v>775</v>
      </c>
      <c r="F760" s="342">
        <v>198</v>
      </c>
      <c r="G760" s="343">
        <v>0</v>
      </c>
      <c r="H760" s="342">
        <v>0</v>
      </c>
      <c r="I760" s="342">
        <v>0</v>
      </c>
      <c r="J760" s="342">
        <v>118</v>
      </c>
      <c r="K760" s="343">
        <v>6</v>
      </c>
      <c r="L760" s="342">
        <v>6</v>
      </c>
      <c r="M760" s="342">
        <v>0</v>
      </c>
      <c r="N760" s="342">
        <v>127</v>
      </c>
      <c r="O760" s="342">
        <v>183</v>
      </c>
      <c r="P760" s="342">
        <v>336</v>
      </c>
      <c r="Q760" s="342">
        <v>0</v>
      </c>
      <c r="R760" s="344">
        <f t="shared" si="162"/>
        <v>779</v>
      </c>
      <c r="S760" s="367">
        <f t="shared" si="163"/>
        <v>189</v>
      </c>
      <c r="T760" s="344"/>
      <c r="U760" s="344"/>
      <c r="V760" s="344"/>
      <c r="W760" s="344"/>
      <c r="X760" s="344"/>
    </row>
    <row r="761" spans="1:24" ht="12.75">
      <c r="A761" s="340" t="s">
        <v>352</v>
      </c>
      <c r="B761" s="341" t="s">
        <v>153</v>
      </c>
      <c r="C761" s="341" t="s">
        <v>812</v>
      </c>
      <c r="D761" s="341">
        <v>2018</v>
      </c>
      <c r="E761" s="341" t="s">
        <v>775</v>
      </c>
      <c r="F761" s="342">
        <v>142</v>
      </c>
      <c r="G761" s="343">
        <v>0</v>
      </c>
      <c r="H761" s="342">
        <v>0</v>
      </c>
      <c r="I761" s="342">
        <v>0</v>
      </c>
      <c r="J761" s="342">
        <v>83</v>
      </c>
      <c r="K761" s="343">
        <v>0</v>
      </c>
      <c r="L761" s="342">
        <v>0</v>
      </c>
      <c r="M761" s="342">
        <v>0</v>
      </c>
      <c r="N761" s="342">
        <v>90</v>
      </c>
      <c r="O761" s="342">
        <v>1</v>
      </c>
      <c r="P761" s="342">
        <v>242</v>
      </c>
      <c r="Q761" s="342">
        <v>86</v>
      </c>
      <c r="R761" s="344">
        <f t="shared" si="162"/>
        <v>557</v>
      </c>
      <c r="S761" s="367">
        <f t="shared" si="163"/>
        <v>87</v>
      </c>
      <c r="T761" s="344"/>
      <c r="U761" s="344"/>
      <c r="V761" s="344"/>
      <c r="W761" s="344"/>
      <c r="X761" s="344"/>
    </row>
    <row r="762" spans="1:24" ht="12.75">
      <c r="A762" s="340" t="s">
        <v>355</v>
      </c>
      <c r="B762" s="341" t="s">
        <v>153</v>
      </c>
      <c r="C762" s="341" t="s">
        <v>812</v>
      </c>
      <c r="D762" s="341">
        <v>2018</v>
      </c>
      <c r="E762" s="341" t="s">
        <v>775</v>
      </c>
      <c r="F762" s="342">
        <v>1</v>
      </c>
      <c r="G762" s="343">
        <v>0</v>
      </c>
      <c r="H762" s="342">
        <v>0</v>
      </c>
      <c r="I762" s="342">
        <v>0</v>
      </c>
      <c r="J762" s="342">
        <v>1</v>
      </c>
      <c r="K762" s="343">
        <v>0</v>
      </c>
      <c r="L762" s="342">
        <v>0</v>
      </c>
      <c r="M762" s="342">
        <v>0</v>
      </c>
      <c r="N762" s="342">
        <v>0</v>
      </c>
      <c r="O762" s="342">
        <v>0</v>
      </c>
      <c r="P762" s="342">
        <v>0</v>
      </c>
      <c r="Q762" s="342">
        <v>49</v>
      </c>
      <c r="R762" s="344">
        <f t="shared" si="162"/>
        <v>2</v>
      </c>
      <c r="S762" s="367">
        <f t="shared" si="163"/>
        <v>49</v>
      </c>
      <c r="T762" s="344"/>
      <c r="U762" s="344"/>
      <c r="V762" s="344"/>
      <c r="W762" s="344"/>
      <c r="X762" s="344"/>
    </row>
    <row r="763" spans="1:24" ht="12.75">
      <c r="A763" s="340" t="s">
        <v>356</v>
      </c>
      <c r="B763" s="341" t="s">
        <v>153</v>
      </c>
      <c r="C763" s="341" t="s">
        <v>812</v>
      </c>
      <c r="D763" s="341">
        <v>2018</v>
      </c>
      <c r="E763" s="341" t="s">
        <v>775</v>
      </c>
      <c r="F763" s="342">
        <v>1</v>
      </c>
      <c r="G763" s="343">
        <v>0</v>
      </c>
      <c r="H763" s="342">
        <v>0</v>
      </c>
      <c r="I763" s="342">
        <v>0</v>
      </c>
      <c r="J763" s="342">
        <v>1</v>
      </c>
      <c r="K763" s="343">
        <v>0</v>
      </c>
      <c r="L763" s="342">
        <v>0</v>
      </c>
      <c r="M763" s="342">
        <v>0</v>
      </c>
      <c r="N763" s="342">
        <v>1</v>
      </c>
      <c r="O763" s="342">
        <v>0</v>
      </c>
      <c r="P763" s="342">
        <v>0</v>
      </c>
      <c r="Q763" s="342">
        <v>7</v>
      </c>
      <c r="R763" s="344">
        <f t="shared" si="162"/>
        <v>3</v>
      </c>
      <c r="S763" s="367">
        <f t="shared" si="163"/>
        <v>7</v>
      </c>
      <c r="T763" s="344"/>
      <c r="U763" s="344"/>
      <c r="V763" s="344"/>
      <c r="W763" s="344"/>
      <c r="X763" s="344"/>
    </row>
    <row r="764" spans="1:24" ht="12.75">
      <c r="A764" s="340" t="s">
        <v>358</v>
      </c>
      <c r="B764" s="341" t="s">
        <v>153</v>
      </c>
      <c r="C764" s="341" t="s">
        <v>812</v>
      </c>
      <c r="D764" s="341">
        <v>2018</v>
      </c>
      <c r="E764" s="341" t="s">
        <v>775</v>
      </c>
      <c r="F764" s="342">
        <v>694</v>
      </c>
      <c r="G764" s="343">
        <v>0</v>
      </c>
      <c r="H764" s="342">
        <v>0</v>
      </c>
      <c r="I764" s="342">
        <v>0</v>
      </c>
      <c r="J764" s="342">
        <v>413</v>
      </c>
      <c r="K764" s="343">
        <v>20</v>
      </c>
      <c r="L764" s="342">
        <v>0</v>
      </c>
      <c r="M764" s="342">
        <v>20</v>
      </c>
      <c r="N764" s="342">
        <v>443</v>
      </c>
      <c r="O764" s="342">
        <v>6</v>
      </c>
      <c r="P764" s="342">
        <v>1134</v>
      </c>
      <c r="Q764" s="342">
        <v>35</v>
      </c>
      <c r="R764" s="344">
        <f t="shared" si="162"/>
        <v>2684</v>
      </c>
      <c r="S764" s="367">
        <f t="shared" si="163"/>
        <v>61</v>
      </c>
      <c r="T764" s="344"/>
      <c r="U764" s="344"/>
      <c r="V764" s="344"/>
      <c r="W764" s="344"/>
      <c r="X764" s="344"/>
    </row>
    <row r="765" spans="1:24" ht="12.75">
      <c r="A765" s="340" t="s">
        <v>359</v>
      </c>
      <c r="B765" s="341" t="s">
        <v>153</v>
      </c>
      <c r="C765" s="341" t="s">
        <v>812</v>
      </c>
      <c r="D765" s="341">
        <v>2018</v>
      </c>
      <c r="E765" s="341" t="s">
        <v>775</v>
      </c>
      <c r="F765" s="342">
        <v>88</v>
      </c>
      <c r="G765" s="343">
        <v>4</v>
      </c>
      <c r="H765" s="342">
        <v>4</v>
      </c>
      <c r="I765" s="342">
        <v>0</v>
      </c>
      <c r="J765" s="342">
        <v>54</v>
      </c>
      <c r="K765" s="343">
        <v>0</v>
      </c>
      <c r="L765" s="342">
        <v>0</v>
      </c>
      <c r="M765" s="342">
        <v>0</v>
      </c>
      <c r="N765" s="342">
        <v>57</v>
      </c>
      <c r="O765" s="342">
        <v>1</v>
      </c>
      <c r="P765" s="342">
        <v>131</v>
      </c>
      <c r="Q765" s="342">
        <v>78</v>
      </c>
      <c r="R765" s="344">
        <f t="shared" si="162"/>
        <v>330</v>
      </c>
      <c r="S765" s="367">
        <f t="shared" si="163"/>
        <v>83</v>
      </c>
      <c r="T765" s="344"/>
      <c r="U765" s="344"/>
      <c r="V765" s="344"/>
      <c r="W765" s="344"/>
      <c r="X765" s="344"/>
    </row>
    <row r="766" spans="1:24" ht="12.75">
      <c r="A766" s="340" t="s">
        <v>360</v>
      </c>
      <c r="B766" s="341" t="s">
        <v>153</v>
      </c>
      <c r="C766" s="341" t="s">
        <v>812</v>
      </c>
      <c r="D766" s="341">
        <v>2018</v>
      </c>
      <c r="E766" s="341" t="s">
        <v>775</v>
      </c>
      <c r="F766" s="342">
        <v>447</v>
      </c>
      <c r="G766" s="343">
        <v>0</v>
      </c>
      <c r="H766" s="342">
        <v>0</v>
      </c>
      <c r="I766" s="342">
        <v>0</v>
      </c>
      <c r="J766" s="342">
        <v>263</v>
      </c>
      <c r="K766" s="343">
        <v>1</v>
      </c>
      <c r="L766" s="342">
        <v>0</v>
      </c>
      <c r="M766" s="342">
        <v>1</v>
      </c>
      <c r="N766" s="342">
        <v>280</v>
      </c>
      <c r="O766" s="342">
        <v>0</v>
      </c>
      <c r="P766" s="342">
        <v>708</v>
      </c>
      <c r="Q766" s="342">
        <v>6</v>
      </c>
      <c r="R766" s="344">
        <f t="shared" si="162"/>
        <v>1698</v>
      </c>
      <c r="S766" s="367">
        <f t="shared" si="163"/>
        <v>7</v>
      </c>
      <c r="T766" s="344"/>
      <c r="U766" s="344"/>
      <c r="V766" s="344"/>
      <c r="W766" s="344"/>
      <c r="X766" s="344"/>
    </row>
    <row r="767" spans="1:24" ht="12.75">
      <c r="A767" s="340" t="s">
        <v>361</v>
      </c>
      <c r="B767" s="341" t="s">
        <v>153</v>
      </c>
      <c r="C767" s="341" t="s">
        <v>812</v>
      </c>
      <c r="D767" s="341">
        <v>2018</v>
      </c>
      <c r="E767" s="341" t="s">
        <v>775</v>
      </c>
      <c r="F767" s="342">
        <v>23</v>
      </c>
      <c r="G767" s="375"/>
      <c r="H767" s="376"/>
      <c r="I767" s="376"/>
      <c r="J767" s="342">
        <v>14</v>
      </c>
      <c r="K767" s="375"/>
      <c r="L767" s="376"/>
      <c r="M767" s="376"/>
      <c r="N767" s="342">
        <v>14</v>
      </c>
      <c r="O767" s="376"/>
      <c r="P767" s="342">
        <v>35</v>
      </c>
      <c r="Q767" s="376"/>
      <c r="R767" s="344">
        <f t="shared" si="162"/>
        <v>86</v>
      </c>
      <c r="S767" s="367">
        <f t="shared" si="163"/>
        <v>0</v>
      </c>
      <c r="T767" s="344"/>
      <c r="U767" s="344"/>
      <c r="V767" s="344"/>
      <c r="W767" s="344"/>
      <c r="X767" s="344"/>
    </row>
    <row r="768" spans="1:24" ht="12.75">
      <c r="A768" s="340" t="s">
        <v>362</v>
      </c>
      <c r="B768" s="341" t="s">
        <v>153</v>
      </c>
      <c r="C768" s="341" t="s">
        <v>812</v>
      </c>
      <c r="D768" s="341">
        <v>2018</v>
      </c>
      <c r="E768" s="341" t="s">
        <v>775</v>
      </c>
      <c r="F768" s="342">
        <v>98</v>
      </c>
      <c r="G768" s="343">
        <v>0</v>
      </c>
      <c r="H768" s="342">
        <v>0</v>
      </c>
      <c r="I768" s="342">
        <v>0</v>
      </c>
      <c r="J768" s="342">
        <v>59</v>
      </c>
      <c r="K768" s="343">
        <v>0</v>
      </c>
      <c r="L768" s="342">
        <v>0</v>
      </c>
      <c r="M768" s="342">
        <v>0</v>
      </c>
      <c r="N768" s="342">
        <v>64</v>
      </c>
      <c r="O768" s="342">
        <v>7</v>
      </c>
      <c r="P768" s="342">
        <v>152</v>
      </c>
      <c r="Q768" s="342">
        <v>30</v>
      </c>
      <c r="R768" s="344">
        <f t="shared" si="162"/>
        <v>373</v>
      </c>
      <c r="S768" s="367">
        <f t="shared" si="163"/>
        <v>37</v>
      </c>
      <c r="T768" s="344"/>
      <c r="U768" s="344"/>
      <c r="V768" s="344"/>
      <c r="W768" s="344"/>
      <c r="X768" s="344"/>
    </row>
    <row r="769" spans="1:24" ht="12.75">
      <c r="A769" s="340" t="s">
        <v>365</v>
      </c>
      <c r="B769" s="341" t="s">
        <v>153</v>
      </c>
      <c r="C769" s="341" t="s">
        <v>812</v>
      </c>
      <c r="D769" s="341">
        <v>2018</v>
      </c>
      <c r="E769" s="341" t="s">
        <v>775</v>
      </c>
      <c r="F769" s="342">
        <v>60</v>
      </c>
      <c r="G769" s="343">
        <v>0</v>
      </c>
      <c r="H769" s="342">
        <v>0</v>
      </c>
      <c r="I769" s="342">
        <v>0</v>
      </c>
      <c r="J769" s="342">
        <v>35</v>
      </c>
      <c r="K769" s="343">
        <v>0</v>
      </c>
      <c r="L769" s="342">
        <v>0</v>
      </c>
      <c r="M769" s="342">
        <v>0</v>
      </c>
      <c r="N769" s="342">
        <v>38</v>
      </c>
      <c r="O769" s="342">
        <v>0</v>
      </c>
      <c r="P769" s="342">
        <v>97</v>
      </c>
      <c r="Q769" s="342">
        <v>16</v>
      </c>
      <c r="R769" s="344">
        <f t="shared" si="162"/>
        <v>230</v>
      </c>
      <c r="S769" s="367">
        <f t="shared" si="163"/>
        <v>16</v>
      </c>
      <c r="T769" s="344"/>
      <c r="U769" s="344"/>
      <c r="V769" s="344"/>
      <c r="W769" s="344"/>
      <c r="X769" s="344"/>
    </row>
    <row r="770" spans="1:24" ht="12.75">
      <c r="A770" s="340" t="s">
        <v>367</v>
      </c>
      <c r="B770" s="341" t="s">
        <v>153</v>
      </c>
      <c r="C770" s="341" t="s">
        <v>812</v>
      </c>
      <c r="D770" s="341">
        <v>2018</v>
      </c>
      <c r="E770" s="341" t="s">
        <v>775</v>
      </c>
      <c r="F770" s="342">
        <v>48</v>
      </c>
      <c r="G770" s="343">
        <v>0</v>
      </c>
      <c r="H770" s="342">
        <v>0</v>
      </c>
      <c r="I770" s="342">
        <v>0</v>
      </c>
      <c r="J770" s="342">
        <v>29</v>
      </c>
      <c r="K770" s="343">
        <v>4</v>
      </c>
      <c r="L770" s="342">
        <v>4</v>
      </c>
      <c r="M770" s="342">
        <v>0</v>
      </c>
      <c r="N770" s="342">
        <v>31</v>
      </c>
      <c r="O770" s="342">
        <v>4</v>
      </c>
      <c r="P770" s="342">
        <v>77</v>
      </c>
      <c r="Q770" s="342">
        <v>271</v>
      </c>
      <c r="R770" s="344">
        <f t="shared" si="162"/>
        <v>185</v>
      </c>
      <c r="S770" s="367">
        <f t="shared" si="163"/>
        <v>279</v>
      </c>
      <c r="T770" s="344"/>
      <c r="U770" s="344"/>
      <c r="V770" s="344"/>
      <c r="W770" s="344"/>
      <c r="X770" s="344"/>
    </row>
    <row r="771" spans="1:24" ht="12.75">
      <c r="A771" s="340" t="s">
        <v>368</v>
      </c>
      <c r="B771" s="341" t="s">
        <v>153</v>
      </c>
      <c r="C771" s="341" t="s">
        <v>812</v>
      </c>
      <c r="D771" s="341">
        <v>2018</v>
      </c>
      <c r="E771" s="341" t="s">
        <v>775</v>
      </c>
      <c r="F771" s="342">
        <v>308</v>
      </c>
      <c r="G771" s="343">
        <v>0</v>
      </c>
      <c r="H771" s="342">
        <v>0</v>
      </c>
      <c r="I771" s="342">
        <v>0</v>
      </c>
      <c r="J771" s="342">
        <v>182</v>
      </c>
      <c r="K771" s="343">
        <v>0</v>
      </c>
      <c r="L771" s="342">
        <v>0</v>
      </c>
      <c r="M771" s="342">
        <v>0</v>
      </c>
      <c r="N771" s="342">
        <v>190</v>
      </c>
      <c r="O771" s="342">
        <v>0</v>
      </c>
      <c r="P771" s="342">
        <v>466</v>
      </c>
      <c r="Q771" s="342">
        <v>33</v>
      </c>
      <c r="R771" s="344">
        <f t="shared" si="162"/>
        <v>1146</v>
      </c>
      <c r="S771" s="367">
        <f t="shared" si="163"/>
        <v>33</v>
      </c>
      <c r="T771" s="344"/>
      <c r="U771" s="344"/>
      <c r="V771" s="344"/>
      <c r="W771" s="344"/>
      <c r="X771" s="344"/>
    </row>
    <row r="772" spans="1:24" ht="12.75">
      <c r="A772" s="340" t="s">
        <v>369</v>
      </c>
      <c r="B772" s="341" t="s">
        <v>153</v>
      </c>
      <c r="C772" s="341" t="s">
        <v>812</v>
      </c>
      <c r="D772" s="341">
        <v>2018</v>
      </c>
      <c r="E772" s="341" t="s">
        <v>775</v>
      </c>
      <c r="F772" s="342">
        <v>210</v>
      </c>
      <c r="G772" s="343">
        <v>0</v>
      </c>
      <c r="H772" s="342">
        <v>0</v>
      </c>
      <c r="I772" s="342">
        <v>0</v>
      </c>
      <c r="J772" s="342">
        <v>123</v>
      </c>
      <c r="K772" s="343">
        <v>0</v>
      </c>
      <c r="L772" s="342">
        <v>0</v>
      </c>
      <c r="M772" s="342">
        <v>0</v>
      </c>
      <c r="N772" s="342">
        <v>135</v>
      </c>
      <c r="O772" s="342">
        <v>0</v>
      </c>
      <c r="P772" s="342">
        <v>346</v>
      </c>
      <c r="Q772" s="342">
        <v>87</v>
      </c>
      <c r="R772" s="344">
        <f t="shared" si="162"/>
        <v>814</v>
      </c>
      <c r="S772" s="367">
        <f t="shared" si="163"/>
        <v>87</v>
      </c>
      <c r="T772" s="344"/>
      <c r="U772" s="344"/>
      <c r="V772" s="344"/>
      <c r="W772" s="344"/>
      <c r="X772" s="344"/>
    </row>
    <row r="773" spans="1:24" ht="12.75">
      <c r="A773" s="340" t="s">
        <v>370</v>
      </c>
      <c r="B773" s="341" t="s">
        <v>153</v>
      </c>
      <c r="C773" s="341" t="s">
        <v>812</v>
      </c>
      <c r="D773" s="341">
        <v>2018</v>
      </c>
      <c r="E773" s="341" t="s">
        <v>775</v>
      </c>
      <c r="F773" s="342">
        <v>87</v>
      </c>
      <c r="G773" s="343">
        <v>0</v>
      </c>
      <c r="H773" s="342">
        <v>0</v>
      </c>
      <c r="I773" s="342">
        <v>0</v>
      </c>
      <c r="J773" s="342">
        <v>53</v>
      </c>
      <c r="K773" s="343">
        <v>6</v>
      </c>
      <c r="L773" s="342">
        <v>0</v>
      </c>
      <c r="M773" s="342">
        <v>6</v>
      </c>
      <c r="N773" s="342">
        <v>55</v>
      </c>
      <c r="O773" s="342">
        <v>0</v>
      </c>
      <c r="P773" s="342">
        <v>142</v>
      </c>
      <c r="Q773" s="342">
        <v>18</v>
      </c>
      <c r="R773" s="344">
        <f t="shared" si="162"/>
        <v>337</v>
      </c>
      <c r="S773" s="367">
        <f t="shared" si="163"/>
        <v>24</v>
      </c>
      <c r="T773" s="344"/>
      <c r="U773" s="344"/>
      <c r="V773" s="344"/>
      <c r="W773" s="344"/>
      <c r="X773" s="344"/>
    </row>
    <row r="774" spans="1:24" ht="12.75">
      <c r="A774" s="340" t="s">
        <v>371</v>
      </c>
      <c r="B774" s="341" t="s">
        <v>153</v>
      </c>
      <c r="C774" s="341" t="s">
        <v>812</v>
      </c>
      <c r="D774" s="341">
        <v>2018</v>
      </c>
      <c r="E774" s="341" t="s">
        <v>775</v>
      </c>
      <c r="F774" s="342">
        <v>529</v>
      </c>
      <c r="G774" s="343">
        <v>0</v>
      </c>
      <c r="H774" s="342">
        <v>0</v>
      </c>
      <c r="I774" s="342">
        <v>0</v>
      </c>
      <c r="J774" s="342">
        <v>315</v>
      </c>
      <c r="K774" s="343">
        <v>0</v>
      </c>
      <c r="L774" s="342">
        <v>0</v>
      </c>
      <c r="M774" s="342">
        <v>0</v>
      </c>
      <c r="N774" s="342">
        <v>352</v>
      </c>
      <c r="O774" s="342">
        <v>0</v>
      </c>
      <c r="P774" s="342">
        <v>946</v>
      </c>
      <c r="Q774" s="342">
        <v>281</v>
      </c>
      <c r="R774" s="344">
        <f t="shared" si="162"/>
        <v>2142</v>
      </c>
      <c r="S774" s="367">
        <f t="shared" si="163"/>
        <v>281</v>
      </c>
      <c r="T774" s="344"/>
      <c r="U774" s="344"/>
      <c r="V774" s="344"/>
      <c r="W774" s="344"/>
      <c r="X774" s="344"/>
    </row>
    <row r="775" spans="1:24" ht="12.75">
      <c r="A775" s="340" t="s">
        <v>372</v>
      </c>
      <c r="B775" s="341" t="s">
        <v>153</v>
      </c>
      <c r="C775" s="341" t="s">
        <v>812</v>
      </c>
      <c r="D775" s="341">
        <v>2018</v>
      </c>
      <c r="E775" s="341" t="s">
        <v>775</v>
      </c>
      <c r="F775" s="342">
        <v>18</v>
      </c>
      <c r="G775" s="343">
        <v>4</v>
      </c>
      <c r="H775" s="342">
        <v>4</v>
      </c>
      <c r="I775" s="342">
        <v>0</v>
      </c>
      <c r="J775" s="342">
        <v>11</v>
      </c>
      <c r="K775" s="343">
        <v>2</v>
      </c>
      <c r="L775" s="342">
        <v>2</v>
      </c>
      <c r="M775" s="342">
        <v>0</v>
      </c>
      <c r="N775" s="342">
        <v>12</v>
      </c>
      <c r="O775" s="342">
        <v>0</v>
      </c>
      <c r="P775" s="342">
        <v>28</v>
      </c>
      <c r="Q775" s="342">
        <v>39</v>
      </c>
      <c r="R775" s="344">
        <f t="shared" si="162"/>
        <v>69</v>
      </c>
      <c r="S775" s="367">
        <f t="shared" si="163"/>
        <v>45</v>
      </c>
      <c r="T775" s="344"/>
      <c r="U775" s="344"/>
      <c r="V775" s="344"/>
      <c r="W775" s="344"/>
      <c r="X775" s="344"/>
    </row>
    <row r="776" spans="1:24" ht="12.75">
      <c r="A776" s="340" t="s">
        <v>373</v>
      </c>
      <c r="B776" s="341" t="s">
        <v>153</v>
      </c>
      <c r="C776" s="341" t="s">
        <v>812</v>
      </c>
      <c r="D776" s="341">
        <v>2018</v>
      </c>
      <c r="E776" s="341" t="s">
        <v>775</v>
      </c>
      <c r="F776" s="342">
        <v>98</v>
      </c>
      <c r="G776" s="343">
        <v>0</v>
      </c>
      <c r="H776" s="342">
        <v>0</v>
      </c>
      <c r="I776" s="342">
        <v>0</v>
      </c>
      <c r="J776" s="342">
        <v>60</v>
      </c>
      <c r="K776" s="343">
        <v>0</v>
      </c>
      <c r="L776" s="342">
        <v>0</v>
      </c>
      <c r="M776" s="342">
        <v>0</v>
      </c>
      <c r="N776" s="342">
        <v>66</v>
      </c>
      <c r="O776" s="342">
        <v>0</v>
      </c>
      <c r="P776" s="342">
        <v>173</v>
      </c>
      <c r="Q776" s="342">
        <v>124</v>
      </c>
      <c r="R776" s="344">
        <f t="shared" si="162"/>
        <v>397</v>
      </c>
      <c r="S776" s="367">
        <f t="shared" si="163"/>
        <v>124</v>
      </c>
      <c r="T776" s="344"/>
      <c r="U776" s="344"/>
      <c r="V776" s="344"/>
      <c r="W776" s="344"/>
      <c r="X776" s="344"/>
    </row>
    <row r="777" spans="1:24" ht="12.75">
      <c r="A777" s="340" t="s">
        <v>375</v>
      </c>
      <c r="B777" s="341" t="s">
        <v>153</v>
      </c>
      <c r="C777" s="341" t="s">
        <v>812</v>
      </c>
      <c r="D777" s="341">
        <v>2018</v>
      </c>
      <c r="E777" s="341" t="s">
        <v>775</v>
      </c>
      <c r="F777" s="342">
        <v>171</v>
      </c>
      <c r="G777" s="343">
        <v>0</v>
      </c>
      <c r="H777" s="342">
        <v>0</v>
      </c>
      <c r="I777" s="342">
        <v>0</v>
      </c>
      <c r="J777" s="342">
        <v>100</v>
      </c>
      <c r="K777" s="343">
        <v>0</v>
      </c>
      <c r="L777" s="342">
        <v>0</v>
      </c>
      <c r="M777" s="342">
        <v>0</v>
      </c>
      <c r="N777" s="342">
        <v>108</v>
      </c>
      <c r="O777" s="342">
        <v>0</v>
      </c>
      <c r="P777" s="342">
        <v>267</v>
      </c>
      <c r="Q777" s="342">
        <v>51</v>
      </c>
      <c r="R777" s="344">
        <f t="shared" si="162"/>
        <v>646</v>
      </c>
      <c r="S777" s="367">
        <f t="shared" si="163"/>
        <v>51</v>
      </c>
      <c r="T777" s="344"/>
      <c r="U777" s="344"/>
      <c r="V777" s="344"/>
      <c r="W777" s="344"/>
      <c r="X777" s="344"/>
    </row>
    <row r="778" spans="1:24" ht="12.75">
      <c r="A778" s="340" t="s">
        <v>376</v>
      </c>
      <c r="B778" s="341" t="s">
        <v>153</v>
      </c>
      <c r="C778" s="341" t="s">
        <v>812</v>
      </c>
      <c r="D778" s="341">
        <v>2018</v>
      </c>
      <c r="E778" s="341" t="s">
        <v>775</v>
      </c>
      <c r="F778" s="342">
        <v>32</v>
      </c>
      <c r="G778" s="343">
        <v>0</v>
      </c>
      <c r="H778" s="342">
        <v>0</v>
      </c>
      <c r="I778" s="342">
        <v>0</v>
      </c>
      <c r="J778" s="342">
        <v>19</v>
      </c>
      <c r="K778" s="343">
        <v>0</v>
      </c>
      <c r="L778" s="342">
        <v>0</v>
      </c>
      <c r="M778" s="342">
        <v>0</v>
      </c>
      <c r="N778" s="342">
        <v>21</v>
      </c>
      <c r="O778" s="342">
        <v>0</v>
      </c>
      <c r="P778" s="342">
        <v>57</v>
      </c>
      <c r="Q778" s="342">
        <v>1</v>
      </c>
      <c r="R778" s="344">
        <f t="shared" si="162"/>
        <v>129</v>
      </c>
      <c r="S778" s="367">
        <f t="shared" si="163"/>
        <v>1</v>
      </c>
      <c r="T778" s="344"/>
      <c r="U778" s="344"/>
      <c r="V778" s="344"/>
      <c r="W778" s="344"/>
      <c r="X778" s="344"/>
    </row>
    <row r="779" spans="1:24" ht="12.75">
      <c r="A779" s="340" t="s">
        <v>377</v>
      </c>
      <c r="B779" s="341" t="s">
        <v>153</v>
      </c>
      <c r="C779" s="341" t="s">
        <v>812</v>
      </c>
      <c r="D779" s="341">
        <v>2018</v>
      </c>
      <c r="E779" s="341" t="s">
        <v>775</v>
      </c>
      <c r="F779" s="342">
        <v>170</v>
      </c>
      <c r="G779" s="343">
        <v>9</v>
      </c>
      <c r="H779" s="342">
        <v>9</v>
      </c>
      <c r="I779" s="342">
        <v>0</v>
      </c>
      <c r="J779" s="342">
        <v>101</v>
      </c>
      <c r="K779" s="343">
        <v>0</v>
      </c>
      <c r="L779" s="342">
        <v>0</v>
      </c>
      <c r="M779" s="342">
        <v>0</v>
      </c>
      <c r="N779" s="342">
        <v>112</v>
      </c>
      <c r="O779" s="342">
        <v>3</v>
      </c>
      <c r="P779" s="342">
        <v>300</v>
      </c>
      <c r="Q779" s="342">
        <v>282</v>
      </c>
      <c r="R779" s="344">
        <f t="shared" si="162"/>
        <v>683</v>
      </c>
      <c r="S779" s="367">
        <f t="shared" si="163"/>
        <v>294</v>
      </c>
      <c r="T779" s="344"/>
      <c r="U779" s="344"/>
      <c r="V779" s="344"/>
      <c r="W779" s="344"/>
      <c r="X779" s="344"/>
    </row>
    <row r="780" spans="1:24" ht="12.75">
      <c r="A780" s="340" t="s">
        <v>378</v>
      </c>
      <c r="B780" s="341" t="s">
        <v>153</v>
      </c>
      <c r="C780" s="341" t="s">
        <v>812</v>
      </c>
      <c r="D780" s="341">
        <v>2018</v>
      </c>
      <c r="E780" s="341" t="s">
        <v>775</v>
      </c>
      <c r="F780" s="342">
        <v>1</v>
      </c>
      <c r="G780" s="343">
        <v>0</v>
      </c>
      <c r="H780" s="342">
        <v>0</v>
      </c>
      <c r="I780" s="342">
        <v>0</v>
      </c>
      <c r="J780" s="342">
        <v>1</v>
      </c>
      <c r="K780" s="343">
        <v>0</v>
      </c>
      <c r="L780" s="342">
        <v>0</v>
      </c>
      <c r="M780" s="342">
        <v>0</v>
      </c>
      <c r="N780" s="342">
        <v>0</v>
      </c>
      <c r="O780" s="342">
        <v>1</v>
      </c>
      <c r="P780" s="342">
        <v>0</v>
      </c>
      <c r="Q780" s="342">
        <v>10</v>
      </c>
      <c r="R780" s="344">
        <f t="shared" si="162"/>
        <v>2</v>
      </c>
      <c r="S780" s="367">
        <f t="shared" si="163"/>
        <v>11</v>
      </c>
      <c r="T780" s="344"/>
      <c r="U780" s="344"/>
      <c r="V780" s="344"/>
      <c r="W780" s="344"/>
      <c r="X780" s="344"/>
    </row>
    <row r="781" spans="1:24" ht="12.75">
      <c r="A781" s="340" t="s">
        <v>379</v>
      </c>
      <c r="B781" s="341" t="s">
        <v>153</v>
      </c>
      <c r="C781" s="341" t="s">
        <v>812</v>
      </c>
      <c r="D781" s="341">
        <v>2018</v>
      </c>
      <c r="E781" s="341" t="s">
        <v>775</v>
      </c>
      <c r="F781" s="342">
        <v>5</v>
      </c>
      <c r="G781" s="387">
        <v>0</v>
      </c>
      <c r="H781" s="388">
        <v>0</v>
      </c>
      <c r="I781" s="388">
        <v>0</v>
      </c>
      <c r="J781" s="342">
        <v>3</v>
      </c>
      <c r="K781" s="387">
        <v>0</v>
      </c>
      <c r="L781" s="388">
        <v>0</v>
      </c>
      <c r="M781" s="388">
        <v>0</v>
      </c>
      <c r="N781" s="342">
        <v>3</v>
      </c>
      <c r="O781" s="388">
        <v>0</v>
      </c>
      <c r="P781" s="342">
        <v>7</v>
      </c>
      <c r="Q781" s="388">
        <v>0</v>
      </c>
      <c r="R781" s="344">
        <f t="shared" si="162"/>
        <v>18</v>
      </c>
      <c r="S781" s="367">
        <f t="shared" si="163"/>
        <v>0</v>
      </c>
      <c r="T781" s="344"/>
      <c r="U781" s="344"/>
      <c r="V781" s="344"/>
      <c r="W781" s="344"/>
      <c r="X781" s="344"/>
    </row>
    <row r="782" spans="1:24" ht="12.75">
      <c r="A782" s="340" t="s">
        <v>381</v>
      </c>
      <c r="B782" s="341" t="s">
        <v>153</v>
      </c>
      <c r="C782" s="341" t="s">
        <v>812</v>
      </c>
      <c r="D782" s="341">
        <v>2018</v>
      </c>
      <c r="E782" s="341" t="s">
        <v>775</v>
      </c>
      <c r="F782" s="342">
        <v>0</v>
      </c>
      <c r="G782" s="387">
        <v>0</v>
      </c>
      <c r="H782" s="388">
        <v>0</v>
      </c>
      <c r="I782" s="388">
        <v>0</v>
      </c>
      <c r="J782" s="342">
        <v>0</v>
      </c>
      <c r="K782" s="387">
        <v>0</v>
      </c>
      <c r="L782" s="388">
        <v>0</v>
      </c>
      <c r="M782" s="388">
        <v>0</v>
      </c>
      <c r="N782" s="342">
        <v>0</v>
      </c>
      <c r="O782" s="388">
        <v>0</v>
      </c>
      <c r="P782" s="342">
        <v>0</v>
      </c>
      <c r="Q782" s="388">
        <v>0</v>
      </c>
      <c r="R782" s="344">
        <f t="shared" si="162"/>
        <v>0</v>
      </c>
      <c r="S782" s="367">
        <f t="shared" si="163"/>
        <v>0</v>
      </c>
      <c r="T782" s="344"/>
      <c r="U782" s="344"/>
      <c r="V782" s="344"/>
      <c r="W782" s="344"/>
      <c r="X782" s="344"/>
    </row>
    <row r="783" spans="1:24" ht="12.75">
      <c r="A783" s="340" t="s">
        <v>383</v>
      </c>
      <c r="B783" s="341" t="s">
        <v>153</v>
      </c>
      <c r="C783" s="341" t="s">
        <v>812</v>
      </c>
      <c r="D783" s="341">
        <v>2018</v>
      </c>
      <c r="E783" s="341" t="s">
        <v>775</v>
      </c>
      <c r="F783" s="342">
        <v>4</v>
      </c>
      <c r="G783" s="375"/>
      <c r="H783" s="376"/>
      <c r="I783" s="376"/>
      <c r="J783" s="342">
        <v>2</v>
      </c>
      <c r="K783" s="375"/>
      <c r="L783" s="376"/>
      <c r="M783" s="376"/>
      <c r="N783" s="342">
        <v>2</v>
      </c>
      <c r="O783" s="376"/>
      <c r="P783" s="342">
        <v>7</v>
      </c>
      <c r="Q783" s="376"/>
      <c r="R783" s="344">
        <f t="shared" si="162"/>
        <v>15</v>
      </c>
      <c r="S783" s="367">
        <f t="shared" si="163"/>
        <v>0</v>
      </c>
      <c r="T783" s="344"/>
      <c r="U783" s="344"/>
      <c r="V783" s="344"/>
      <c r="W783" s="344"/>
      <c r="X783" s="344"/>
    </row>
    <row r="784" spans="1:24" ht="12.75">
      <c r="A784" s="340" t="s">
        <v>384</v>
      </c>
      <c r="B784" s="341" t="s">
        <v>153</v>
      </c>
      <c r="C784" s="341" t="s">
        <v>812</v>
      </c>
      <c r="D784" s="341">
        <v>2018</v>
      </c>
      <c r="E784" s="341" t="s">
        <v>775</v>
      </c>
      <c r="F784" s="342">
        <v>30</v>
      </c>
      <c r="G784" s="343">
        <v>0</v>
      </c>
      <c r="H784" s="342">
        <v>0</v>
      </c>
      <c r="I784" s="342">
        <v>0</v>
      </c>
      <c r="J784" s="342">
        <v>18</v>
      </c>
      <c r="K784" s="343">
        <v>0</v>
      </c>
      <c r="L784" s="342">
        <v>0</v>
      </c>
      <c r="M784" s="342">
        <v>0</v>
      </c>
      <c r="N784" s="342">
        <v>20</v>
      </c>
      <c r="O784" s="342">
        <v>0</v>
      </c>
      <c r="P784" s="342">
        <v>44</v>
      </c>
      <c r="Q784" s="342">
        <v>19</v>
      </c>
      <c r="R784" s="344">
        <f t="shared" si="162"/>
        <v>112</v>
      </c>
      <c r="S784" s="367">
        <f t="shared" si="163"/>
        <v>19</v>
      </c>
      <c r="T784" s="344"/>
      <c r="U784" s="344"/>
      <c r="V784" s="344"/>
      <c r="W784" s="344"/>
      <c r="X784" s="344"/>
    </row>
    <row r="785" spans="1:24" ht="12.75">
      <c r="A785" s="340" t="s">
        <v>385</v>
      </c>
      <c r="B785" s="341" t="s">
        <v>153</v>
      </c>
      <c r="C785" s="341" t="s">
        <v>812</v>
      </c>
      <c r="D785" s="341">
        <v>2018</v>
      </c>
      <c r="E785" s="341" t="s">
        <v>775</v>
      </c>
      <c r="F785" s="342">
        <v>32</v>
      </c>
      <c r="G785" s="375"/>
      <c r="H785" s="376"/>
      <c r="I785" s="376"/>
      <c r="J785" s="342">
        <v>19</v>
      </c>
      <c r="K785" s="375"/>
      <c r="L785" s="376"/>
      <c r="M785" s="376"/>
      <c r="N785" s="342">
        <v>21</v>
      </c>
      <c r="O785" s="376"/>
      <c r="P785" s="342">
        <v>47</v>
      </c>
      <c r="Q785" s="376"/>
      <c r="R785" s="344">
        <f t="shared" si="162"/>
        <v>119</v>
      </c>
      <c r="S785" s="367">
        <f t="shared" si="163"/>
        <v>0</v>
      </c>
      <c r="T785" s="344"/>
      <c r="U785" s="344"/>
      <c r="V785" s="344"/>
      <c r="W785" s="344"/>
      <c r="X785" s="344"/>
    </row>
    <row r="786" spans="1:24" ht="12.75">
      <c r="A786" s="340" t="s">
        <v>389</v>
      </c>
      <c r="B786" s="341" t="s">
        <v>153</v>
      </c>
      <c r="C786" s="341" t="s">
        <v>812</v>
      </c>
      <c r="D786" s="341">
        <v>2018</v>
      </c>
      <c r="E786" s="341" t="s">
        <v>775</v>
      </c>
      <c r="F786" s="342">
        <v>107</v>
      </c>
      <c r="G786" s="343">
        <v>9</v>
      </c>
      <c r="H786" s="342">
        <v>0</v>
      </c>
      <c r="I786" s="342">
        <v>9</v>
      </c>
      <c r="J786" s="342">
        <v>63</v>
      </c>
      <c r="K786" s="343">
        <v>0</v>
      </c>
      <c r="L786" s="342">
        <v>0</v>
      </c>
      <c r="M786" s="342">
        <v>0</v>
      </c>
      <c r="N786" s="342">
        <v>67</v>
      </c>
      <c r="O786" s="342">
        <v>1</v>
      </c>
      <c r="P786" s="342">
        <v>166</v>
      </c>
      <c r="Q786" s="342">
        <v>0</v>
      </c>
      <c r="R786" s="344">
        <f t="shared" si="162"/>
        <v>403</v>
      </c>
      <c r="S786" s="367">
        <f t="shared" si="163"/>
        <v>10</v>
      </c>
      <c r="T786" s="344"/>
      <c r="U786" s="344"/>
      <c r="V786" s="344"/>
      <c r="W786" s="344"/>
      <c r="X786" s="344"/>
    </row>
    <row r="787" spans="1:24" ht="12.75">
      <c r="A787" s="340" t="s">
        <v>390</v>
      </c>
      <c r="B787" s="341" t="s">
        <v>153</v>
      </c>
      <c r="C787" s="341" t="s">
        <v>812</v>
      </c>
      <c r="D787" s="341">
        <v>2018</v>
      </c>
      <c r="E787" s="341" t="s">
        <v>775</v>
      </c>
      <c r="F787" s="342">
        <v>627</v>
      </c>
      <c r="G787" s="343">
        <v>135</v>
      </c>
      <c r="H787" s="342">
        <v>135</v>
      </c>
      <c r="I787" s="342">
        <v>0</v>
      </c>
      <c r="J787" s="342">
        <v>384</v>
      </c>
      <c r="K787" s="343">
        <v>40</v>
      </c>
      <c r="L787" s="342">
        <v>40</v>
      </c>
      <c r="M787" s="342">
        <v>0</v>
      </c>
      <c r="N787" s="342">
        <v>413</v>
      </c>
      <c r="O787" s="342">
        <v>0</v>
      </c>
      <c r="P787" s="342">
        <v>1086</v>
      </c>
      <c r="Q787" s="342">
        <v>33</v>
      </c>
      <c r="R787" s="344">
        <f t="shared" si="162"/>
        <v>2510</v>
      </c>
      <c r="S787" s="367">
        <f t="shared" si="163"/>
        <v>208</v>
      </c>
      <c r="T787" s="344"/>
      <c r="U787" s="344"/>
      <c r="V787" s="344"/>
      <c r="W787" s="344"/>
      <c r="X787" s="344"/>
    </row>
    <row r="788" spans="1:24" ht="12.75">
      <c r="A788" s="340" t="s">
        <v>391</v>
      </c>
      <c r="B788" s="341" t="s">
        <v>153</v>
      </c>
      <c r="C788" s="341" t="s">
        <v>812</v>
      </c>
      <c r="D788" s="341">
        <v>2018</v>
      </c>
      <c r="E788" s="341" t="s">
        <v>775</v>
      </c>
      <c r="F788" s="342">
        <v>96</v>
      </c>
      <c r="G788" s="343">
        <v>0</v>
      </c>
      <c r="H788" s="342">
        <v>0</v>
      </c>
      <c r="I788" s="342">
        <v>0</v>
      </c>
      <c r="J788" s="342">
        <v>57</v>
      </c>
      <c r="K788" s="343">
        <v>0</v>
      </c>
      <c r="L788" s="342">
        <v>0</v>
      </c>
      <c r="M788" s="342">
        <v>0</v>
      </c>
      <c r="N788" s="342">
        <v>62</v>
      </c>
      <c r="O788" s="342">
        <v>0</v>
      </c>
      <c r="P788" s="342">
        <v>166</v>
      </c>
      <c r="Q788" s="342">
        <v>20</v>
      </c>
      <c r="R788" s="344">
        <f t="shared" si="162"/>
        <v>381</v>
      </c>
      <c r="S788" s="367">
        <f t="shared" si="163"/>
        <v>20</v>
      </c>
      <c r="T788" s="344"/>
      <c r="U788" s="344"/>
      <c r="V788" s="344"/>
      <c r="W788" s="344"/>
      <c r="X788" s="344"/>
    </row>
    <row r="789" spans="1:24" ht="12.75">
      <c r="A789" s="340" t="s">
        <v>392</v>
      </c>
      <c r="B789" s="341" t="s">
        <v>153</v>
      </c>
      <c r="C789" s="341" t="s">
        <v>812</v>
      </c>
      <c r="D789" s="341">
        <v>2018</v>
      </c>
      <c r="E789" s="341" t="s">
        <v>775</v>
      </c>
      <c r="F789" s="342">
        <v>12</v>
      </c>
      <c r="G789" s="343">
        <v>0</v>
      </c>
      <c r="H789" s="342">
        <v>0</v>
      </c>
      <c r="I789" s="342">
        <v>0</v>
      </c>
      <c r="J789" s="342">
        <v>7</v>
      </c>
      <c r="K789" s="343">
        <v>3</v>
      </c>
      <c r="L789" s="342">
        <v>0</v>
      </c>
      <c r="M789" s="342">
        <v>3</v>
      </c>
      <c r="N789" s="342">
        <v>8</v>
      </c>
      <c r="O789" s="342">
        <v>0</v>
      </c>
      <c r="P789" s="342">
        <v>20</v>
      </c>
      <c r="Q789" s="342">
        <v>20</v>
      </c>
      <c r="R789" s="344">
        <f t="shared" si="162"/>
        <v>47</v>
      </c>
      <c r="S789" s="367">
        <f t="shared" si="163"/>
        <v>23</v>
      </c>
      <c r="T789" s="344"/>
      <c r="U789" s="344"/>
      <c r="V789" s="344"/>
      <c r="W789" s="344"/>
      <c r="X789" s="344"/>
    </row>
    <row r="790" spans="1:24" ht="12.75">
      <c r="A790" s="340" t="s">
        <v>393</v>
      </c>
      <c r="B790" s="341" t="s">
        <v>153</v>
      </c>
      <c r="C790" s="341" t="s">
        <v>812</v>
      </c>
      <c r="D790" s="341">
        <v>2018</v>
      </c>
      <c r="E790" s="341" t="s">
        <v>775</v>
      </c>
      <c r="F790" s="342">
        <v>1773</v>
      </c>
      <c r="G790" s="343">
        <v>11</v>
      </c>
      <c r="H790" s="342">
        <v>11</v>
      </c>
      <c r="I790" s="342">
        <v>0</v>
      </c>
      <c r="J790" s="342">
        <v>1066</v>
      </c>
      <c r="K790" s="343">
        <v>36</v>
      </c>
      <c r="L790" s="342">
        <v>36</v>
      </c>
      <c r="M790" s="342">
        <v>0</v>
      </c>
      <c r="N790" s="342">
        <v>1170</v>
      </c>
      <c r="O790" s="342">
        <v>0</v>
      </c>
      <c r="P790" s="342">
        <v>3039</v>
      </c>
      <c r="Q790" s="342">
        <v>222</v>
      </c>
      <c r="R790" s="344">
        <f t="shared" si="162"/>
        <v>7048</v>
      </c>
      <c r="S790" s="367">
        <f t="shared" si="163"/>
        <v>269</v>
      </c>
      <c r="T790" s="344"/>
      <c r="U790" s="344"/>
      <c r="V790" s="344"/>
      <c r="W790" s="344"/>
      <c r="X790" s="344"/>
    </row>
    <row r="791" spans="1:24" ht="12.75">
      <c r="A791" s="340" t="s">
        <v>153</v>
      </c>
      <c r="B791" s="341" t="s">
        <v>153</v>
      </c>
      <c r="C791" s="341" t="s">
        <v>812</v>
      </c>
      <c r="D791" s="341">
        <v>2018</v>
      </c>
      <c r="E791" s="341" t="s">
        <v>775</v>
      </c>
      <c r="F791" s="342">
        <v>20427</v>
      </c>
      <c r="G791" s="343">
        <v>1101</v>
      </c>
      <c r="H791" s="342">
        <v>1101</v>
      </c>
      <c r="I791" s="342">
        <v>0</v>
      </c>
      <c r="J791" s="342">
        <v>12435</v>
      </c>
      <c r="K791" s="343">
        <v>326</v>
      </c>
      <c r="L791" s="342">
        <v>326</v>
      </c>
      <c r="M791" s="342">
        <v>0</v>
      </c>
      <c r="N791" s="342">
        <v>13728</v>
      </c>
      <c r="O791" s="342">
        <v>168</v>
      </c>
      <c r="P791" s="342">
        <v>35412</v>
      </c>
      <c r="Q791" s="342">
        <v>19236</v>
      </c>
      <c r="R791" s="344">
        <f t="shared" si="162"/>
        <v>82002</v>
      </c>
      <c r="S791" s="367">
        <f t="shared" si="163"/>
        <v>20831</v>
      </c>
      <c r="T791" s="344"/>
      <c r="U791" s="344"/>
      <c r="V791" s="344"/>
      <c r="W791" s="344"/>
      <c r="X791" s="344"/>
    </row>
    <row r="792" spans="1:24" ht="12.75">
      <c r="A792" s="340" t="s">
        <v>394</v>
      </c>
      <c r="B792" s="341" t="s">
        <v>153</v>
      </c>
      <c r="C792" s="341" t="s">
        <v>812</v>
      </c>
      <c r="D792" s="341">
        <v>2018</v>
      </c>
      <c r="E792" s="341" t="s">
        <v>775</v>
      </c>
      <c r="F792" s="342">
        <v>7417</v>
      </c>
      <c r="G792" s="343">
        <v>38</v>
      </c>
      <c r="H792" s="342">
        <v>38</v>
      </c>
      <c r="I792" s="342">
        <v>0</v>
      </c>
      <c r="J792" s="342">
        <v>4287</v>
      </c>
      <c r="K792" s="343">
        <v>14</v>
      </c>
      <c r="L792" s="342">
        <v>14</v>
      </c>
      <c r="M792" s="342">
        <v>0</v>
      </c>
      <c r="N792" s="342">
        <v>4938</v>
      </c>
      <c r="O792" s="342">
        <v>19</v>
      </c>
      <c r="P792" s="342">
        <v>10844</v>
      </c>
      <c r="Q792" s="342">
        <v>562</v>
      </c>
      <c r="R792" s="344">
        <f t="shared" si="162"/>
        <v>27486</v>
      </c>
      <c r="S792" s="367">
        <f t="shared" si="163"/>
        <v>633</v>
      </c>
      <c r="T792" s="344"/>
      <c r="U792" s="344"/>
      <c r="V792" s="344"/>
      <c r="W792" s="344"/>
      <c r="X792" s="344"/>
    </row>
    <row r="793" spans="1:24" ht="12.75">
      <c r="A793" s="340" t="s">
        <v>395</v>
      </c>
      <c r="B793" s="341" t="s">
        <v>153</v>
      </c>
      <c r="C793" s="341" t="s">
        <v>812</v>
      </c>
      <c r="D793" s="341">
        <v>2018</v>
      </c>
      <c r="E793" s="341" t="s">
        <v>775</v>
      </c>
      <c r="F793" s="342">
        <v>123</v>
      </c>
      <c r="G793" s="375"/>
      <c r="H793" s="376"/>
      <c r="I793" s="376"/>
      <c r="J793" s="342">
        <v>72</v>
      </c>
      <c r="K793" s="375"/>
      <c r="L793" s="376"/>
      <c r="M793" s="376"/>
      <c r="N793" s="342">
        <v>81</v>
      </c>
      <c r="O793" s="376"/>
      <c r="P793" s="342">
        <v>218</v>
      </c>
      <c r="Q793" s="376"/>
      <c r="R793" s="344">
        <f t="shared" si="162"/>
        <v>494</v>
      </c>
      <c r="S793" s="367">
        <f t="shared" si="163"/>
        <v>0</v>
      </c>
      <c r="T793" s="344"/>
      <c r="U793" s="344"/>
      <c r="V793" s="344"/>
      <c r="W793" s="344"/>
      <c r="X793" s="344"/>
    </row>
    <row r="794" spans="1:24" ht="12.75">
      <c r="A794" s="340" t="s">
        <v>396</v>
      </c>
      <c r="B794" s="341" t="s">
        <v>153</v>
      </c>
      <c r="C794" s="341" t="s">
        <v>812</v>
      </c>
      <c r="D794" s="341">
        <v>2018</v>
      </c>
      <c r="E794" s="341" t="s">
        <v>775</v>
      </c>
      <c r="F794" s="342">
        <v>1</v>
      </c>
      <c r="G794" s="343">
        <v>0</v>
      </c>
      <c r="H794" s="342">
        <v>0</v>
      </c>
      <c r="I794" s="342">
        <v>0</v>
      </c>
      <c r="J794" s="342">
        <v>1</v>
      </c>
      <c r="K794" s="343">
        <v>0</v>
      </c>
      <c r="L794" s="342">
        <v>0</v>
      </c>
      <c r="M794" s="342">
        <v>0</v>
      </c>
      <c r="N794" s="342">
        <v>0</v>
      </c>
      <c r="O794" s="342">
        <v>0</v>
      </c>
      <c r="P794" s="342">
        <v>0</v>
      </c>
      <c r="Q794" s="342">
        <v>17</v>
      </c>
      <c r="R794" s="344">
        <f t="shared" si="162"/>
        <v>2</v>
      </c>
      <c r="S794" s="367">
        <f t="shared" si="163"/>
        <v>17</v>
      </c>
      <c r="T794" s="344"/>
      <c r="U794" s="344"/>
      <c r="V794" s="344"/>
      <c r="W794" s="344"/>
      <c r="X794" s="344"/>
    </row>
    <row r="795" spans="1:24" ht="12.75">
      <c r="A795" s="340" t="s">
        <v>397</v>
      </c>
      <c r="B795" s="341" t="s">
        <v>153</v>
      </c>
      <c r="C795" s="341" t="s">
        <v>812</v>
      </c>
      <c r="D795" s="341">
        <v>2018</v>
      </c>
      <c r="E795" s="341" t="s">
        <v>775</v>
      </c>
      <c r="F795" s="342">
        <v>10</v>
      </c>
      <c r="G795" s="343">
        <v>0</v>
      </c>
      <c r="H795" s="342">
        <v>0</v>
      </c>
      <c r="I795" s="342">
        <v>0</v>
      </c>
      <c r="J795" s="342">
        <v>6</v>
      </c>
      <c r="K795" s="343">
        <v>0</v>
      </c>
      <c r="L795" s="342">
        <v>0</v>
      </c>
      <c r="M795" s="342">
        <v>0</v>
      </c>
      <c r="N795" s="342">
        <v>7</v>
      </c>
      <c r="O795" s="342">
        <v>0</v>
      </c>
      <c r="P795" s="342">
        <v>15</v>
      </c>
      <c r="Q795" s="342">
        <v>43</v>
      </c>
      <c r="R795" s="344">
        <f t="shared" si="162"/>
        <v>38</v>
      </c>
      <c r="S795" s="367">
        <f t="shared" si="163"/>
        <v>43</v>
      </c>
      <c r="T795" s="344"/>
      <c r="U795" s="344"/>
      <c r="V795" s="344"/>
      <c r="W795" s="344"/>
      <c r="X795" s="344"/>
    </row>
    <row r="796" spans="1:24" ht="12.75">
      <c r="A796" s="340" t="s">
        <v>399</v>
      </c>
      <c r="B796" s="341" t="s">
        <v>153</v>
      </c>
      <c r="C796" s="341" t="s">
        <v>812</v>
      </c>
      <c r="D796" s="341">
        <v>2018</v>
      </c>
      <c r="E796" s="341" t="s">
        <v>775</v>
      </c>
      <c r="F796" s="342">
        <v>101</v>
      </c>
      <c r="G796" s="343">
        <v>0</v>
      </c>
      <c r="H796" s="342">
        <v>0</v>
      </c>
      <c r="I796" s="342">
        <v>0</v>
      </c>
      <c r="J796" s="342">
        <v>61</v>
      </c>
      <c r="K796" s="343">
        <v>0</v>
      </c>
      <c r="L796" s="342">
        <v>0</v>
      </c>
      <c r="M796" s="342">
        <v>0</v>
      </c>
      <c r="N796" s="342">
        <v>65</v>
      </c>
      <c r="O796" s="342">
        <v>0</v>
      </c>
      <c r="P796" s="342">
        <v>162</v>
      </c>
      <c r="Q796" s="342">
        <v>26</v>
      </c>
      <c r="R796" s="344">
        <f t="shared" si="162"/>
        <v>389</v>
      </c>
      <c r="S796" s="367">
        <f t="shared" si="163"/>
        <v>26</v>
      </c>
      <c r="T796" s="344"/>
      <c r="U796" s="344"/>
      <c r="V796" s="344"/>
      <c r="W796" s="344"/>
      <c r="X796" s="344"/>
    </row>
    <row r="797" spans="1:24" ht="12.75">
      <c r="A797" s="340" t="s">
        <v>402</v>
      </c>
      <c r="B797" s="341" t="s">
        <v>153</v>
      </c>
      <c r="C797" s="341" t="s">
        <v>812</v>
      </c>
      <c r="D797" s="341">
        <v>2018</v>
      </c>
      <c r="E797" s="341" t="s">
        <v>775</v>
      </c>
      <c r="F797" s="342">
        <v>52</v>
      </c>
      <c r="G797" s="343">
        <v>0</v>
      </c>
      <c r="H797" s="342">
        <v>0</v>
      </c>
      <c r="I797" s="342">
        <v>0</v>
      </c>
      <c r="J797" s="342">
        <v>31</v>
      </c>
      <c r="K797" s="343">
        <v>3</v>
      </c>
      <c r="L797" s="342">
        <v>0</v>
      </c>
      <c r="M797" s="342">
        <v>3</v>
      </c>
      <c r="N797" s="342">
        <v>33</v>
      </c>
      <c r="O797" s="342">
        <v>3</v>
      </c>
      <c r="P797" s="342">
        <v>85</v>
      </c>
      <c r="Q797" s="342">
        <v>26</v>
      </c>
      <c r="R797" s="344">
        <f t="shared" si="162"/>
        <v>201</v>
      </c>
      <c r="S797" s="367">
        <f t="shared" si="163"/>
        <v>32</v>
      </c>
      <c r="T797" s="344"/>
      <c r="U797" s="344"/>
      <c r="V797" s="344"/>
      <c r="W797" s="344"/>
      <c r="X797" s="344"/>
    </row>
    <row r="798" spans="1:24" ht="12.75">
      <c r="A798" s="340" t="s">
        <v>405</v>
      </c>
      <c r="B798" s="341" t="s">
        <v>153</v>
      </c>
      <c r="C798" s="341" t="s">
        <v>812</v>
      </c>
      <c r="D798" s="341">
        <v>2018</v>
      </c>
      <c r="E798" s="341" t="s">
        <v>775</v>
      </c>
      <c r="F798" s="342">
        <v>26</v>
      </c>
      <c r="G798" s="343">
        <v>0</v>
      </c>
      <c r="H798" s="342">
        <v>0</v>
      </c>
      <c r="I798" s="342">
        <v>0</v>
      </c>
      <c r="J798" s="342">
        <v>16</v>
      </c>
      <c r="K798" s="343">
        <v>0</v>
      </c>
      <c r="L798" s="342">
        <v>0</v>
      </c>
      <c r="M798" s="342">
        <v>0</v>
      </c>
      <c r="N798" s="342">
        <v>17</v>
      </c>
      <c r="O798" s="342">
        <v>0</v>
      </c>
      <c r="P798" s="342">
        <v>46</v>
      </c>
      <c r="Q798" s="342">
        <v>43</v>
      </c>
      <c r="R798" s="344">
        <f t="shared" si="162"/>
        <v>105</v>
      </c>
      <c r="S798" s="367">
        <f t="shared" si="163"/>
        <v>43</v>
      </c>
      <c r="T798" s="344"/>
      <c r="U798" s="344"/>
      <c r="V798" s="344"/>
      <c r="W798" s="344"/>
      <c r="X798" s="344"/>
    </row>
    <row r="799" spans="1:24" ht="12.75">
      <c r="A799" s="340" t="s">
        <v>406</v>
      </c>
      <c r="B799" s="341" t="s">
        <v>153</v>
      </c>
      <c r="C799" s="341" t="s">
        <v>812</v>
      </c>
      <c r="D799" s="341">
        <v>2018</v>
      </c>
      <c r="E799" s="341" t="s">
        <v>775</v>
      </c>
      <c r="F799" s="342">
        <v>340</v>
      </c>
      <c r="G799" s="343">
        <v>1</v>
      </c>
      <c r="H799" s="342">
        <v>1</v>
      </c>
      <c r="I799" s="342">
        <v>0</v>
      </c>
      <c r="J799" s="342">
        <v>207</v>
      </c>
      <c r="K799" s="343">
        <v>0</v>
      </c>
      <c r="L799" s="342">
        <v>0</v>
      </c>
      <c r="M799" s="342">
        <v>0</v>
      </c>
      <c r="N799" s="342">
        <v>224</v>
      </c>
      <c r="O799" s="342">
        <v>0</v>
      </c>
      <c r="P799" s="342">
        <v>561</v>
      </c>
      <c r="Q799" s="342">
        <v>535</v>
      </c>
      <c r="R799" s="344">
        <f t="shared" si="162"/>
        <v>1332</v>
      </c>
      <c r="S799" s="367">
        <f t="shared" si="163"/>
        <v>536</v>
      </c>
      <c r="T799" s="344"/>
      <c r="U799" s="344"/>
      <c r="V799" s="344"/>
      <c r="W799" s="344"/>
      <c r="X799" s="344"/>
    </row>
    <row r="800" spans="1:24" ht="12.75">
      <c r="A800" s="340" t="s">
        <v>409</v>
      </c>
      <c r="B800" s="341" t="s">
        <v>153</v>
      </c>
      <c r="C800" s="341" t="s">
        <v>812</v>
      </c>
      <c r="D800" s="341">
        <v>2018</v>
      </c>
      <c r="E800" s="341" t="s">
        <v>775</v>
      </c>
      <c r="F800" s="342">
        <v>8</v>
      </c>
      <c r="G800" s="343">
        <v>0</v>
      </c>
      <c r="H800" s="342">
        <v>0</v>
      </c>
      <c r="I800" s="342">
        <v>0</v>
      </c>
      <c r="J800" s="342">
        <v>5</v>
      </c>
      <c r="K800" s="343">
        <v>0</v>
      </c>
      <c r="L800" s="342">
        <v>0</v>
      </c>
      <c r="M800" s="342">
        <v>0</v>
      </c>
      <c r="N800" s="342">
        <v>5</v>
      </c>
      <c r="O800" s="342">
        <v>1</v>
      </c>
      <c r="P800" s="342">
        <v>13</v>
      </c>
      <c r="Q800" s="342">
        <v>21</v>
      </c>
      <c r="R800" s="344">
        <f t="shared" si="162"/>
        <v>31</v>
      </c>
      <c r="S800" s="367">
        <f t="shared" si="163"/>
        <v>22</v>
      </c>
      <c r="T800" s="344"/>
      <c r="U800" s="344"/>
      <c r="V800" s="344"/>
      <c r="W800" s="344"/>
      <c r="X800" s="344"/>
    </row>
    <row r="801" spans="1:24" ht="12.75">
      <c r="A801" s="340" t="s">
        <v>410</v>
      </c>
      <c r="B801" s="341" t="s">
        <v>153</v>
      </c>
      <c r="C801" s="341" t="s">
        <v>812</v>
      </c>
      <c r="D801" s="341">
        <v>2018</v>
      </c>
      <c r="E801" s="341" t="s">
        <v>775</v>
      </c>
      <c r="F801" s="342">
        <v>372</v>
      </c>
      <c r="G801" s="343">
        <v>0</v>
      </c>
      <c r="H801" s="342">
        <v>0</v>
      </c>
      <c r="I801" s="342">
        <v>0</v>
      </c>
      <c r="J801" s="342">
        <v>223</v>
      </c>
      <c r="K801" s="343">
        <v>13</v>
      </c>
      <c r="L801" s="342">
        <v>0</v>
      </c>
      <c r="M801" s="342">
        <v>13</v>
      </c>
      <c r="N801" s="342">
        <v>238</v>
      </c>
      <c r="O801" s="342">
        <v>0</v>
      </c>
      <c r="P801" s="342">
        <v>564</v>
      </c>
      <c r="Q801" s="342">
        <v>115</v>
      </c>
      <c r="R801" s="344">
        <f t="shared" si="162"/>
        <v>1397</v>
      </c>
      <c r="S801" s="367">
        <f t="shared" si="163"/>
        <v>128</v>
      </c>
      <c r="T801" s="344"/>
      <c r="U801" s="344"/>
      <c r="V801" s="344"/>
      <c r="W801" s="344"/>
      <c r="X801" s="344"/>
    </row>
    <row r="802" spans="1:24" ht="12.75">
      <c r="A802" s="340" t="s">
        <v>412</v>
      </c>
      <c r="B802" s="341" t="s">
        <v>153</v>
      </c>
      <c r="C802" s="341" t="s">
        <v>812</v>
      </c>
      <c r="D802" s="341">
        <v>2018</v>
      </c>
      <c r="E802" s="341" t="s">
        <v>775</v>
      </c>
      <c r="F802" s="342">
        <v>1</v>
      </c>
      <c r="G802" s="343">
        <v>0</v>
      </c>
      <c r="H802" s="342">
        <v>0</v>
      </c>
      <c r="I802" s="342">
        <v>0</v>
      </c>
      <c r="J802" s="342">
        <v>1</v>
      </c>
      <c r="K802" s="343">
        <v>0</v>
      </c>
      <c r="L802" s="342">
        <v>0</v>
      </c>
      <c r="M802" s="342">
        <v>0</v>
      </c>
      <c r="N802" s="342">
        <v>1</v>
      </c>
      <c r="O802" s="342">
        <v>0</v>
      </c>
      <c r="P802" s="342">
        <v>2</v>
      </c>
      <c r="Q802" s="342">
        <v>276</v>
      </c>
      <c r="R802" s="344">
        <f t="shared" si="162"/>
        <v>5</v>
      </c>
      <c r="S802" s="367">
        <f t="shared" si="163"/>
        <v>276</v>
      </c>
      <c r="T802" s="344"/>
      <c r="U802" s="344"/>
      <c r="V802" s="344"/>
      <c r="W802" s="344"/>
      <c r="X802" s="344"/>
    </row>
    <row r="803" spans="1:24" ht="12.75">
      <c r="A803" s="340" t="s">
        <v>413</v>
      </c>
      <c r="B803" s="341" t="s">
        <v>153</v>
      </c>
      <c r="C803" s="341" t="s">
        <v>812</v>
      </c>
      <c r="D803" s="341">
        <v>2018</v>
      </c>
      <c r="E803" s="341" t="s">
        <v>775</v>
      </c>
      <c r="F803" s="342">
        <v>153</v>
      </c>
      <c r="G803" s="343">
        <v>0</v>
      </c>
      <c r="H803" s="342">
        <v>0</v>
      </c>
      <c r="I803" s="342">
        <v>0</v>
      </c>
      <c r="J803" s="342">
        <v>88</v>
      </c>
      <c r="K803" s="343">
        <v>9</v>
      </c>
      <c r="L803" s="342">
        <v>9</v>
      </c>
      <c r="M803" s="342">
        <v>0</v>
      </c>
      <c r="N803" s="342">
        <v>99</v>
      </c>
      <c r="O803" s="342">
        <v>51</v>
      </c>
      <c r="P803" s="342">
        <v>262</v>
      </c>
      <c r="Q803" s="342">
        <v>82</v>
      </c>
      <c r="R803" s="344">
        <f t="shared" si="162"/>
        <v>602</v>
      </c>
      <c r="S803" s="367">
        <f t="shared" si="163"/>
        <v>142</v>
      </c>
      <c r="T803" s="344"/>
      <c r="U803" s="344"/>
      <c r="V803" s="344"/>
      <c r="W803" s="344"/>
      <c r="X803" s="344"/>
    </row>
    <row r="804" spans="1:24" ht="12.75">
      <c r="A804" s="340" t="s">
        <v>414</v>
      </c>
      <c r="B804" s="341" t="s">
        <v>153</v>
      </c>
      <c r="C804" s="341" t="s">
        <v>812</v>
      </c>
      <c r="D804" s="341">
        <v>2018</v>
      </c>
      <c r="E804" s="341" t="s">
        <v>775</v>
      </c>
      <c r="F804" s="342">
        <v>121</v>
      </c>
      <c r="G804" s="343">
        <v>0</v>
      </c>
      <c r="H804" s="342">
        <v>0</v>
      </c>
      <c r="I804" s="342">
        <v>0</v>
      </c>
      <c r="J804" s="342">
        <v>72</v>
      </c>
      <c r="K804" s="343">
        <v>0</v>
      </c>
      <c r="L804" s="342">
        <v>0</v>
      </c>
      <c r="M804" s="342">
        <v>0</v>
      </c>
      <c r="N804" s="342">
        <v>77</v>
      </c>
      <c r="O804" s="342">
        <v>1</v>
      </c>
      <c r="P804" s="342">
        <v>193</v>
      </c>
      <c r="Q804" s="342">
        <v>1</v>
      </c>
      <c r="R804" s="344">
        <f t="shared" si="162"/>
        <v>463</v>
      </c>
      <c r="S804" s="367">
        <f t="shared" si="163"/>
        <v>2</v>
      </c>
      <c r="T804" s="344"/>
      <c r="U804" s="344"/>
      <c r="V804" s="344"/>
      <c r="W804" s="344"/>
      <c r="X804" s="344"/>
    </row>
    <row r="805" spans="1:24" ht="12.75">
      <c r="A805" s="340" t="s">
        <v>415</v>
      </c>
      <c r="B805" s="341" t="s">
        <v>153</v>
      </c>
      <c r="C805" s="341" t="s">
        <v>812</v>
      </c>
      <c r="D805" s="341">
        <v>2018</v>
      </c>
      <c r="E805" s="341" t="s">
        <v>775</v>
      </c>
      <c r="F805" s="342">
        <v>55</v>
      </c>
      <c r="G805" s="343">
        <v>0</v>
      </c>
      <c r="H805" s="342">
        <v>0</v>
      </c>
      <c r="I805" s="342">
        <v>0</v>
      </c>
      <c r="J805" s="342">
        <v>32</v>
      </c>
      <c r="K805" s="343">
        <v>67</v>
      </c>
      <c r="L805" s="342">
        <v>0</v>
      </c>
      <c r="M805" s="342">
        <v>67</v>
      </c>
      <c r="N805" s="342">
        <v>35</v>
      </c>
      <c r="O805" s="342">
        <v>27</v>
      </c>
      <c r="P805" s="342">
        <v>95</v>
      </c>
      <c r="Q805" s="342">
        <v>2</v>
      </c>
      <c r="R805" s="344">
        <f t="shared" si="162"/>
        <v>217</v>
      </c>
      <c r="S805" s="367">
        <f t="shared" si="163"/>
        <v>96</v>
      </c>
      <c r="T805" s="344"/>
      <c r="U805" s="344"/>
      <c r="V805" s="344"/>
      <c r="W805" s="344"/>
      <c r="X805" s="344"/>
    </row>
    <row r="806" spans="1:24" ht="12.75">
      <c r="A806" s="340" t="s">
        <v>416</v>
      </c>
      <c r="B806" s="341" t="s">
        <v>153</v>
      </c>
      <c r="C806" s="341" t="s">
        <v>812</v>
      </c>
      <c r="D806" s="341">
        <v>2018</v>
      </c>
      <c r="E806" s="341" t="s">
        <v>775</v>
      </c>
      <c r="F806" s="342">
        <v>236</v>
      </c>
      <c r="G806" s="343">
        <v>0</v>
      </c>
      <c r="H806" s="342">
        <v>0</v>
      </c>
      <c r="I806" s="342">
        <v>0</v>
      </c>
      <c r="J806" s="342">
        <v>142</v>
      </c>
      <c r="K806" s="343">
        <v>0</v>
      </c>
      <c r="L806" s="342">
        <v>0</v>
      </c>
      <c r="M806" s="342">
        <v>0</v>
      </c>
      <c r="N806" s="342">
        <v>154</v>
      </c>
      <c r="O806" s="342">
        <v>10</v>
      </c>
      <c r="P806" s="342">
        <v>398</v>
      </c>
      <c r="Q806" s="342">
        <v>12</v>
      </c>
      <c r="R806" s="344">
        <f t="shared" si="162"/>
        <v>930</v>
      </c>
      <c r="S806" s="367">
        <f t="shared" si="163"/>
        <v>22</v>
      </c>
      <c r="T806" s="344"/>
      <c r="U806" s="344"/>
      <c r="V806" s="344"/>
      <c r="W806" s="344"/>
      <c r="X806" s="344"/>
    </row>
    <row r="807" spans="1:24" ht="12.75">
      <c r="A807" s="340" t="s">
        <v>417</v>
      </c>
      <c r="B807" s="341" t="s">
        <v>153</v>
      </c>
      <c r="C807" s="341" t="s">
        <v>812</v>
      </c>
      <c r="D807" s="341">
        <v>2018</v>
      </c>
      <c r="E807" s="341" t="s">
        <v>775</v>
      </c>
      <c r="F807" s="342">
        <v>1</v>
      </c>
      <c r="G807" s="343">
        <v>2</v>
      </c>
      <c r="H807" s="342">
        <v>2</v>
      </c>
      <c r="I807" s="342">
        <v>0</v>
      </c>
      <c r="J807" s="342">
        <v>1</v>
      </c>
      <c r="K807" s="343">
        <v>1</v>
      </c>
      <c r="L807" s="342">
        <v>1</v>
      </c>
      <c r="M807" s="342">
        <v>0</v>
      </c>
      <c r="N807" s="342">
        <v>0</v>
      </c>
      <c r="O807" s="342">
        <v>1</v>
      </c>
      <c r="P807" s="342">
        <v>0</v>
      </c>
      <c r="Q807" s="342">
        <v>6</v>
      </c>
      <c r="R807" s="344">
        <f t="shared" si="162"/>
        <v>2</v>
      </c>
      <c r="S807" s="367">
        <f t="shared" si="163"/>
        <v>10</v>
      </c>
      <c r="T807" s="344"/>
      <c r="U807" s="344"/>
      <c r="V807" s="344"/>
      <c r="W807" s="344"/>
      <c r="X807" s="344"/>
    </row>
    <row r="808" spans="1:24" ht="12.75">
      <c r="A808" s="340" t="s">
        <v>418</v>
      </c>
      <c r="B808" s="341" t="s">
        <v>153</v>
      </c>
      <c r="C808" s="341" t="s">
        <v>812</v>
      </c>
      <c r="D808" s="341">
        <v>2018</v>
      </c>
      <c r="E808" s="341" t="s">
        <v>775</v>
      </c>
      <c r="F808" s="342">
        <v>2645</v>
      </c>
      <c r="G808" s="343">
        <v>0</v>
      </c>
      <c r="H808" s="342">
        <v>0</v>
      </c>
      <c r="I808" s="342">
        <v>0</v>
      </c>
      <c r="J808" s="342">
        <v>1678</v>
      </c>
      <c r="K808" s="343">
        <v>0</v>
      </c>
      <c r="L808" s="342">
        <v>0</v>
      </c>
      <c r="M808" s="342">
        <v>0</v>
      </c>
      <c r="N808" s="342">
        <v>1532</v>
      </c>
      <c r="O808" s="342">
        <v>3</v>
      </c>
      <c r="P808" s="342">
        <v>5126</v>
      </c>
      <c r="Q808" s="342">
        <v>415</v>
      </c>
      <c r="R808" s="344">
        <f t="shared" si="162"/>
        <v>10981</v>
      </c>
      <c r="S808" s="367">
        <f t="shared" si="163"/>
        <v>418</v>
      </c>
      <c r="T808" s="344"/>
      <c r="U808" s="344"/>
      <c r="V808" s="344"/>
      <c r="W808" s="344"/>
      <c r="X808" s="344"/>
    </row>
    <row r="809" spans="1:24" ht="12.75">
      <c r="A809" s="340" t="s">
        <v>419</v>
      </c>
      <c r="B809" s="341" t="s">
        <v>153</v>
      </c>
      <c r="C809" s="341" t="s">
        <v>812</v>
      </c>
      <c r="D809" s="341">
        <v>2018</v>
      </c>
      <c r="E809" s="341" t="s">
        <v>775</v>
      </c>
      <c r="F809" s="342">
        <v>82</v>
      </c>
      <c r="G809" s="343">
        <v>0</v>
      </c>
      <c r="H809" s="342">
        <v>0</v>
      </c>
      <c r="I809" s="342">
        <v>0</v>
      </c>
      <c r="J809" s="342">
        <v>50</v>
      </c>
      <c r="K809" s="343">
        <v>2</v>
      </c>
      <c r="L809" s="342">
        <v>0</v>
      </c>
      <c r="M809" s="342">
        <v>2</v>
      </c>
      <c r="N809" s="342">
        <v>53</v>
      </c>
      <c r="O809" s="342">
        <v>0</v>
      </c>
      <c r="P809" s="342">
        <v>139</v>
      </c>
      <c r="Q809" s="342">
        <v>0</v>
      </c>
      <c r="R809" s="344">
        <f t="shared" si="162"/>
        <v>324</v>
      </c>
      <c r="S809" s="367">
        <f t="shared" si="163"/>
        <v>2</v>
      </c>
      <c r="T809" s="344"/>
      <c r="U809" s="344"/>
      <c r="V809" s="344"/>
      <c r="W809" s="344"/>
      <c r="X809" s="344"/>
    </row>
    <row r="810" spans="1:24" ht="12.75">
      <c r="A810" s="340" t="s">
        <v>420</v>
      </c>
      <c r="B810" s="341" t="s">
        <v>153</v>
      </c>
      <c r="C810" s="341" t="s">
        <v>812</v>
      </c>
      <c r="D810" s="341">
        <v>2018</v>
      </c>
      <c r="E810" s="341" t="s">
        <v>775</v>
      </c>
      <c r="F810" s="342">
        <v>428</v>
      </c>
      <c r="G810" s="343">
        <v>53</v>
      </c>
      <c r="H810" s="342">
        <v>53</v>
      </c>
      <c r="I810" s="342">
        <v>0</v>
      </c>
      <c r="J810" s="342">
        <v>263</v>
      </c>
      <c r="K810" s="343">
        <v>9</v>
      </c>
      <c r="L810" s="342">
        <v>9</v>
      </c>
      <c r="M810" s="342">
        <v>0</v>
      </c>
      <c r="N810" s="342">
        <v>283</v>
      </c>
      <c r="O810" s="342">
        <v>25</v>
      </c>
      <c r="P810" s="342">
        <v>700</v>
      </c>
      <c r="Q810" s="342">
        <v>312</v>
      </c>
      <c r="R810" s="344">
        <f t="shared" si="162"/>
        <v>1674</v>
      </c>
      <c r="S810" s="367">
        <f t="shared" si="163"/>
        <v>399</v>
      </c>
      <c r="T810" s="344"/>
      <c r="U810" s="344"/>
      <c r="V810" s="344"/>
      <c r="W810" s="344"/>
      <c r="X810" s="344"/>
    </row>
    <row r="811" spans="1:24" ht="12.75">
      <c r="A811" s="340" t="s">
        <v>421</v>
      </c>
      <c r="B811" s="341" t="s">
        <v>153</v>
      </c>
      <c r="C811" s="341" t="s">
        <v>812</v>
      </c>
      <c r="D811" s="341">
        <v>2018</v>
      </c>
      <c r="E811" s="341" t="s">
        <v>775</v>
      </c>
      <c r="F811" s="342">
        <v>14</v>
      </c>
      <c r="G811" s="343">
        <v>0</v>
      </c>
      <c r="H811" s="342">
        <v>0</v>
      </c>
      <c r="I811" s="342">
        <v>0</v>
      </c>
      <c r="J811" s="342">
        <v>9</v>
      </c>
      <c r="K811" s="343">
        <v>1</v>
      </c>
      <c r="L811" s="342">
        <v>0</v>
      </c>
      <c r="M811" s="342">
        <v>1</v>
      </c>
      <c r="N811" s="342">
        <v>9</v>
      </c>
      <c r="O811" s="342">
        <v>0</v>
      </c>
      <c r="P811" s="342">
        <v>23</v>
      </c>
      <c r="Q811" s="342">
        <v>0</v>
      </c>
      <c r="R811" s="344">
        <f t="shared" si="162"/>
        <v>55</v>
      </c>
      <c r="S811" s="367">
        <f t="shared" si="163"/>
        <v>1</v>
      </c>
      <c r="T811" s="344"/>
      <c r="U811" s="344"/>
      <c r="V811" s="344"/>
      <c r="W811" s="344"/>
      <c r="X811" s="344"/>
    </row>
    <row r="812" spans="1:24" ht="12.75">
      <c r="A812" s="340" t="s">
        <v>423</v>
      </c>
      <c r="B812" s="341" t="s">
        <v>153</v>
      </c>
      <c r="C812" s="341" t="s">
        <v>812</v>
      </c>
      <c r="D812" s="341">
        <v>2018</v>
      </c>
      <c r="E812" s="341" t="s">
        <v>775</v>
      </c>
      <c r="F812" s="342">
        <v>43</v>
      </c>
      <c r="G812" s="343">
        <v>0</v>
      </c>
      <c r="H812" s="342">
        <v>0</v>
      </c>
      <c r="I812" s="342">
        <v>0</v>
      </c>
      <c r="J812" s="342">
        <v>25</v>
      </c>
      <c r="K812" s="343">
        <v>6</v>
      </c>
      <c r="L812" s="342">
        <v>6</v>
      </c>
      <c r="M812" s="342">
        <v>0</v>
      </c>
      <c r="N812" s="342">
        <v>28</v>
      </c>
      <c r="O812" s="342">
        <v>0</v>
      </c>
      <c r="P812" s="342">
        <v>76</v>
      </c>
      <c r="Q812" s="342">
        <v>2</v>
      </c>
      <c r="R812" s="344">
        <f t="shared" si="162"/>
        <v>172</v>
      </c>
      <c r="S812" s="367">
        <f t="shared" si="163"/>
        <v>8</v>
      </c>
      <c r="T812" s="344"/>
      <c r="U812" s="344"/>
      <c r="V812" s="344"/>
      <c r="W812" s="344"/>
      <c r="X812" s="344"/>
    </row>
    <row r="813" spans="1:24" ht="12.75">
      <c r="A813" s="340" t="s">
        <v>424</v>
      </c>
      <c r="B813" s="341" t="s">
        <v>153</v>
      </c>
      <c r="C813" s="341" t="s">
        <v>812</v>
      </c>
      <c r="D813" s="341">
        <v>2018</v>
      </c>
      <c r="E813" s="341" t="s">
        <v>775</v>
      </c>
      <c r="F813" s="342">
        <v>314</v>
      </c>
      <c r="G813" s="343">
        <v>0</v>
      </c>
      <c r="H813" s="342">
        <v>0</v>
      </c>
      <c r="I813" s="342">
        <v>0</v>
      </c>
      <c r="J813" s="342">
        <v>185</v>
      </c>
      <c r="K813" s="343">
        <v>0</v>
      </c>
      <c r="L813" s="342">
        <v>0</v>
      </c>
      <c r="M813" s="342">
        <v>0</v>
      </c>
      <c r="N813" s="342">
        <v>205</v>
      </c>
      <c r="O813" s="342">
        <v>26</v>
      </c>
      <c r="P813" s="342">
        <v>558</v>
      </c>
      <c r="Q813" s="342">
        <v>2</v>
      </c>
      <c r="R813" s="344">
        <f t="shared" si="162"/>
        <v>1262</v>
      </c>
      <c r="S813" s="367">
        <f t="shared" si="163"/>
        <v>28</v>
      </c>
      <c r="T813" s="344"/>
      <c r="U813" s="344"/>
      <c r="V813" s="344"/>
      <c r="W813" s="344"/>
      <c r="X813" s="344"/>
    </row>
    <row r="814" spans="1:24" ht="12.75">
      <c r="A814" s="340" t="s">
        <v>425</v>
      </c>
      <c r="B814" s="341" t="s">
        <v>153</v>
      </c>
      <c r="C814" s="341" t="s">
        <v>812</v>
      </c>
      <c r="D814" s="341">
        <v>2018</v>
      </c>
      <c r="E814" s="341" t="s">
        <v>775</v>
      </c>
      <c r="F814" s="342">
        <v>17</v>
      </c>
      <c r="G814" s="343">
        <v>1</v>
      </c>
      <c r="H814" s="342">
        <v>0</v>
      </c>
      <c r="I814" s="342">
        <v>1</v>
      </c>
      <c r="J814" s="342">
        <v>10</v>
      </c>
      <c r="K814" s="343">
        <v>3</v>
      </c>
      <c r="L814" s="342">
        <v>0</v>
      </c>
      <c r="M814" s="342">
        <v>3</v>
      </c>
      <c r="N814" s="342">
        <v>11</v>
      </c>
      <c r="O814" s="342">
        <v>0</v>
      </c>
      <c r="P814" s="342">
        <v>25</v>
      </c>
      <c r="Q814" s="342">
        <v>3</v>
      </c>
      <c r="R814" s="344">
        <f t="shared" si="162"/>
        <v>63</v>
      </c>
      <c r="S814" s="367">
        <f t="shared" si="163"/>
        <v>7</v>
      </c>
      <c r="T814" s="344"/>
      <c r="U814" s="344"/>
      <c r="V814" s="344"/>
      <c r="W814" s="344"/>
      <c r="X814" s="344"/>
    </row>
    <row r="815" spans="1:24" ht="12.75">
      <c r="A815" s="340" t="s">
        <v>426</v>
      </c>
      <c r="B815" s="341" t="s">
        <v>153</v>
      </c>
      <c r="C815" s="341" t="s">
        <v>812</v>
      </c>
      <c r="D815" s="341">
        <v>2018</v>
      </c>
      <c r="E815" s="341" t="s">
        <v>775</v>
      </c>
      <c r="F815" s="342">
        <v>159</v>
      </c>
      <c r="G815" s="343">
        <v>7</v>
      </c>
      <c r="H815" s="342">
        <v>0</v>
      </c>
      <c r="I815" s="342">
        <v>7</v>
      </c>
      <c r="J815" s="342">
        <v>93</v>
      </c>
      <c r="K815" s="343">
        <v>0</v>
      </c>
      <c r="L815" s="342">
        <v>0</v>
      </c>
      <c r="M815" s="342">
        <v>0</v>
      </c>
      <c r="N815" s="342">
        <v>99</v>
      </c>
      <c r="O815" s="342">
        <v>0</v>
      </c>
      <c r="P815" s="342">
        <v>252</v>
      </c>
      <c r="Q815" s="342">
        <v>4</v>
      </c>
      <c r="R815" s="344">
        <f t="shared" si="162"/>
        <v>603</v>
      </c>
      <c r="S815" s="367">
        <f t="shared" si="163"/>
        <v>11</v>
      </c>
      <c r="T815" s="344"/>
      <c r="U815" s="344"/>
      <c r="V815" s="344"/>
      <c r="W815" s="344"/>
      <c r="X815" s="344"/>
    </row>
    <row r="816" spans="1:24" ht="12.75">
      <c r="A816" s="340" t="s">
        <v>427</v>
      </c>
      <c r="B816" s="341" t="s">
        <v>153</v>
      </c>
      <c r="C816" s="341" t="s">
        <v>812</v>
      </c>
      <c r="D816" s="341">
        <v>2018</v>
      </c>
      <c r="E816" s="341" t="s">
        <v>775</v>
      </c>
      <c r="F816" s="342">
        <v>380</v>
      </c>
      <c r="G816" s="343">
        <v>0</v>
      </c>
      <c r="H816" s="342">
        <v>0</v>
      </c>
      <c r="I816" s="342">
        <v>0</v>
      </c>
      <c r="J816" s="342">
        <v>227</v>
      </c>
      <c r="K816" s="343">
        <v>0</v>
      </c>
      <c r="L816" s="342">
        <v>0</v>
      </c>
      <c r="M816" s="342">
        <v>0</v>
      </c>
      <c r="N816" s="342">
        <v>243</v>
      </c>
      <c r="O816" s="342">
        <v>0</v>
      </c>
      <c r="P816" s="342">
        <v>600</v>
      </c>
      <c r="Q816" s="342">
        <v>23</v>
      </c>
      <c r="R816" s="344">
        <f t="shared" si="162"/>
        <v>1450</v>
      </c>
      <c r="S816" s="367">
        <f t="shared" si="163"/>
        <v>23</v>
      </c>
      <c r="T816" s="344"/>
      <c r="U816" s="344"/>
      <c r="V816" s="344"/>
      <c r="W816" s="344"/>
      <c r="X816" s="344"/>
    </row>
    <row r="817" spans="1:24" ht="12.75">
      <c r="A817" s="340" t="s">
        <v>429</v>
      </c>
      <c r="B817" s="341" t="s">
        <v>153</v>
      </c>
      <c r="C817" s="341" t="s">
        <v>812</v>
      </c>
      <c r="D817" s="341">
        <v>2018</v>
      </c>
      <c r="E817" s="341" t="s">
        <v>775</v>
      </c>
      <c r="F817" s="342">
        <v>246</v>
      </c>
      <c r="G817" s="343">
        <v>0</v>
      </c>
      <c r="H817" s="342">
        <v>0</v>
      </c>
      <c r="I817" s="342">
        <v>0</v>
      </c>
      <c r="J817" s="342">
        <v>144</v>
      </c>
      <c r="K817" s="343">
        <v>0</v>
      </c>
      <c r="L817" s="342">
        <v>0</v>
      </c>
      <c r="M817" s="342">
        <v>0</v>
      </c>
      <c r="N817" s="342">
        <v>155</v>
      </c>
      <c r="O817" s="342">
        <v>0</v>
      </c>
      <c r="P817" s="342">
        <v>363</v>
      </c>
      <c r="Q817" s="342">
        <v>15</v>
      </c>
      <c r="R817" s="344">
        <f t="shared" si="162"/>
        <v>908</v>
      </c>
      <c r="S817" s="367">
        <f t="shared" si="163"/>
        <v>15</v>
      </c>
      <c r="T817" s="344"/>
      <c r="U817" s="344"/>
      <c r="V817" s="344"/>
      <c r="W817" s="344"/>
      <c r="X817" s="344"/>
    </row>
    <row r="818" spans="1:24" ht="12.75">
      <c r="A818" s="340" t="s">
        <v>430</v>
      </c>
      <c r="B818" s="341" t="s">
        <v>153</v>
      </c>
      <c r="C818" s="341" t="s">
        <v>812</v>
      </c>
      <c r="D818" s="341">
        <v>2018</v>
      </c>
      <c r="E818" s="341" t="s">
        <v>775</v>
      </c>
      <c r="F818" s="342">
        <v>217</v>
      </c>
      <c r="G818" s="375"/>
      <c r="H818" s="376"/>
      <c r="I818" s="376"/>
      <c r="J818" s="342">
        <v>129</v>
      </c>
      <c r="K818" s="375"/>
      <c r="L818" s="376"/>
      <c r="M818" s="376"/>
      <c r="N818" s="342">
        <v>138</v>
      </c>
      <c r="O818" s="376"/>
      <c r="P818" s="342">
        <v>347</v>
      </c>
      <c r="Q818" s="376"/>
      <c r="R818" s="344">
        <f t="shared" si="162"/>
        <v>831</v>
      </c>
      <c r="S818" s="367">
        <f t="shared" si="163"/>
        <v>0</v>
      </c>
      <c r="T818" s="344"/>
      <c r="U818" s="344"/>
      <c r="V818" s="344"/>
      <c r="W818" s="344"/>
      <c r="X818" s="344"/>
    </row>
    <row r="819" spans="1:24" ht="12.75">
      <c r="A819" s="340" t="s">
        <v>432</v>
      </c>
      <c r="B819" s="341" t="s">
        <v>153</v>
      </c>
      <c r="C819" s="341" t="s">
        <v>812</v>
      </c>
      <c r="D819" s="341">
        <v>2018</v>
      </c>
      <c r="E819" s="341" t="s">
        <v>775</v>
      </c>
      <c r="F819" s="342">
        <v>12</v>
      </c>
      <c r="G819" s="343">
        <v>0</v>
      </c>
      <c r="H819" s="342">
        <v>0</v>
      </c>
      <c r="I819" s="342">
        <v>0</v>
      </c>
      <c r="J819" s="342">
        <v>7</v>
      </c>
      <c r="K819" s="343">
        <v>0</v>
      </c>
      <c r="L819" s="342">
        <v>0</v>
      </c>
      <c r="M819" s="342">
        <v>0</v>
      </c>
      <c r="N819" s="342">
        <v>8</v>
      </c>
      <c r="O819" s="342">
        <v>0</v>
      </c>
      <c r="P819" s="342">
        <v>18</v>
      </c>
      <c r="Q819" s="342">
        <v>2</v>
      </c>
      <c r="R819" s="344">
        <f t="shared" si="162"/>
        <v>45</v>
      </c>
      <c r="S819" s="367">
        <f t="shared" si="163"/>
        <v>2</v>
      </c>
      <c r="T819" s="345">
        <f>SUM(G755:G819)</f>
        <v>1375</v>
      </c>
      <c r="U819" s="345">
        <f>SUM(K755:K819)</f>
        <v>574</v>
      </c>
      <c r="V819" s="345">
        <f>SUM(O755:O819)</f>
        <v>542</v>
      </c>
      <c r="W819" s="345">
        <f>SUM(Q755:Q819)</f>
        <v>23690</v>
      </c>
      <c r="X819" s="345">
        <f>T819+U819+V819+W819</f>
        <v>26181</v>
      </c>
    </row>
    <row r="820" spans="1:24" ht="12.75">
      <c r="A820" s="346" t="s">
        <v>346</v>
      </c>
      <c r="B820" s="347" t="s">
        <v>153</v>
      </c>
      <c r="C820" s="347" t="s">
        <v>813</v>
      </c>
      <c r="D820" s="347">
        <v>2019</v>
      </c>
      <c r="E820" s="347" t="s">
        <v>775</v>
      </c>
      <c r="F820" s="348">
        <v>31</v>
      </c>
      <c r="G820" s="348">
        <v>0</v>
      </c>
      <c r="H820" s="348">
        <v>0</v>
      </c>
      <c r="I820" s="348">
        <v>0</v>
      </c>
      <c r="J820" s="348">
        <v>19</v>
      </c>
      <c r="K820" s="348">
        <v>0</v>
      </c>
      <c r="L820" s="348">
        <v>0</v>
      </c>
      <c r="M820" s="348">
        <v>0</v>
      </c>
      <c r="N820" s="348">
        <v>20</v>
      </c>
      <c r="O820" s="348">
        <v>0</v>
      </c>
      <c r="P820" s="348">
        <v>45</v>
      </c>
      <c r="Q820" s="348">
        <v>8</v>
      </c>
      <c r="R820" s="350">
        <f t="shared" si="162"/>
        <v>115</v>
      </c>
      <c r="S820" s="348">
        <f t="shared" si="163"/>
        <v>8</v>
      </c>
      <c r="T820" s="348"/>
      <c r="U820" s="348"/>
      <c r="V820" s="348"/>
      <c r="W820" s="349"/>
      <c r="X820" s="349"/>
    </row>
    <row r="821" spans="1:24" ht="12.75">
      <c r="A821" s="346" t="s">
        <v>347</v>
      </c>
      <c r="B821" s="347" t="s">
        <v>153</v>
      </c>
      <c r="C821" s="347" t="s">
        <v>813</v>
      </c>
      <c r="D821" s="347">
        <v>2019</v>
      </c>
      <c r="E821" s="347" t="s">
        <v>775</v>
      </c>
      <c r="F821" s="348">
        <v>380</v>
      </c>
      <c r="G821" s="348">
        <v>0</v>
      </c>
      <c r="H821" s="348">
        <v>0</v>
      </c>
      <c r="I821" s="348">
        <v>0</v>
      </c>
      <c r="J821" s="348">
        <v>224</v>
      </c>
      <c r="K821" s="348">
        <v>0</v>
      </c>
      <c r="L821" s="348">
        <v>0</v>
      </c>
      <c r="M821" s="348">
        <v>0</v>
      </c>
      <c r="N821" s="348">
        <v>246</v>
      </c>
      <c r="O821" s="348">
        <v>0</v>
      </c>
      <c r="P821" s="348">
        <v>642</v>
      </c>
      <c r="Q821" s="348">
        <v>127</v>
      </c>
      <c r="R821" s="350">
        <f t="shared" si="162"/>
        <v>1492</v>
      </c>
      <c r="S821" s="348">
        <f t="shared" si="163"/>
        <v>127</v>
      </c>
      <c r="T821" s="348"/>
      <c r="U821" s="348"/>
      <c r="V821" s="348"/>
      <c r="W821" s="349"/>
      <c r="X821" s="349"/>
    </row>
    <row r="822" spans="1:24" ht="12.75">
      <c r="A822" s="346" t="s">
        <v>348</v>
      </c>
      <c r="B822" s="347" t="s">
        <v>153</v>
      </c>
      <c r="C822" s="347" t="s">
        <v>813</v>
      </c>
      <c r="D822" s="347">
        <v>2019</v>
      </c>
      <c r="E822" s="347" t="s">
        <v>775</v>
      </c>
      <c r="F822" s="348">
        <v>276</v>
      </c>
      <c r="G822" s="348">
        <v>0</v>
      </c>
      <c r="H822" s="348">
        <v>0</v>
      </c>
      <c r="I822" s="348">
        <v>0</v>
      </c>
      <c r="J822" s="348">
        <v>167</v>
      </c>
      <c r="K822" s="348">
        <v>0</v>
      </c>
      <c r="L822" s="348">
        <v>0</v>
      </c>
      <c r="M822" s="348">
        <v>0</v>
      </c>
      <c r="N822" s="348">
        <v>177</v>
      </c>
      <c r="O822" s="348">
        <v>0</v>
      </c>
      <c r="P822" s="348">
        <v>434</v>
      </c>
      <c r="Q822" s="348">
        <v>98</v>
      </c>
      <c r="R822" s="350">
        <f t="shared" si="162"/>
        <v>1054</v>
      </c>
      <c r="S822" s="348">
        <f t="shared" si="163"/>
        <v>98</v>
      </c>
      <c r="T822" s="348"/>
      <c r="U822" s="348"/>
      <c r="V822" s="348"/>
      <c r="W822" s="349"/>
      <c r="X822" s="349"/>
    </row>
    <row r="823" spans="1:24" ht="12.75">
      <c r="A823" s="346" t="s">
        <v>349</v>
      </c>
      <c r="B823" s="347" t="s">
        <v>153</v>
      </c>
      <c r="C823" s="347" t="s">
        <v>813</v>
      </c>
      <c r="D823" s="347">
        <v>2019</v>
      </c>
      <c r="E823" s="347" t="s">
        <v>775</v>
      </c>
      <c r="F823" s="348">
        <v>31</v>
      </c>
      <c r="G823" s="348">
        <v>0</v>
      </c>
      <c r="H823" s="348">
        <v>0</v>
      </c>
      <c r="I823" s="348">
        <v>0</v>
      </c>
      <c r="J823" s="348">
        <v>18</v>
      </c>
      <c r="K823" s="348">
        <v>0</v>
      </c>
      <c r="L823" s="348">
        <v>0</v>
      </c>
      <c r="M823" s="348">
        <v>0</v>
      </c>
      <c r="N823" s="348">
        <v>20</v>
      </c>
      <c r="O823" s="348">
        <v>0</v>
      </c>
      <c r="P823" s="348">
        <v>51</v>
      </c>
      <c r="Q823" s="348">
        <v>9</v>
      </c>
      <c r="R823" s="350">
        <f t="shared" si="162"/>
        <v>120</v>
      </c>
      <c r="S823" s="348">
        <f t="shared" si="163"/>
        <v>9</v>
      </c>
      <c r="T823" s="348"/>
      <c r="U823" s="348"/>
      <c r="V823" s="348"/>
      <c r="W823" s="349"/>
      <c r="X823" s="349"/>
    </row>
    <row r="824" spans="1:24" ht="12.75">
      <c r="A824" s="346" t="s">
        <v>350</v>
      </c>
      <c r="B824" s="347" t="s">
        <v>153</v>
      </c>
      <c r="C824" s="347" t="s">
        <v>813</v>
      </c>
      <c r="D824" s="347">
        <v>2019</v>
      </c>
      <c r="E824" s="347" t="s">
        <v>775</v>
      </c>
      <c r="F824" s="348">
        <v>20</v>
      </c>
      <c r="G824" s="348">
        <v>0</v>
      </c>
      <c r="H824" s="348">
        <v>0</v>
      </c>
      <c r="I824" s="348">
        <v>0</v>
      </c>
      <c r="J824" s="348">
        <v>12</v>
      </c>
      <c r="K824" s="348">
        <v>0</v>
      </c>
      <c r="L824" s="348">
        <v>0</v>
      </c>
      <c r="M824" s="348">
        <v>0</v>
      </c>
      <c r="N824" s="348">
        <v>14</v>
      </c>
      <c r="O824" s="348">
        <v>0</v>
      </c>
      <c r="P824" s="348">
        <v>34</v>
      </c>
      <c r="Q824" s="348">
        <v>0</v>
      </c>
      <c r="R824" s="350">
        <f t="shared" si="162"/>
        <v>80</v>
      </c>
      <c r="S824" s="348">
        <f t="shared" si="163"/>
        <v>0</v>
      </c>
      <c r="T824" s="348"/>
      <c r="U824" s="348"/>
      <c r="V824" s="348"/>
      <c r="W824" s="349"/>
      <c r="X824" s="349"/>
    </row>
    <row r="825" spans="1:24" ht="12.75">
      <c r="A825" s="346" t="s">
        <v>351</v>
      </c>
      <c r="B825" s="347" t="s">
        <v>153</v>
      </c>
      <c r="C825" s="347" t="s">
        <v>813</v>
      </c>
      <c r="D825" s="347">
        <v>2019</v>
      </c>
      <c r="E825" s="347" t="s">
        <v>775</v>
      </c>
      <c r="F825" s="348">
        <v>198</v>
      </c>
      <c r="G825" s="348">
        <v>0</v>
      </c>
      <c r="H825" s="348">
        <v>0</v>
      </c>
      <c r="I825" s="348">
        <v>0</v>
      </c>
      <c r="J825" s="348">
        <v>118</v>
      </c>
      <c r="K825" s="348">
        <v>0</v>
      </c>
      <c r="L825" s="348">
        <v>0</v>
      </c>
      <c r="M825" s="348">
        <v>0</v>
      </c>
      <c r="N825" s="348">
        <v>127</v>
      </c>
      <c r="O825" s="348">
        <v>0</v>
      </c>
      <c r="P825" s="348">
        <v>336</v>
      </c>
      <c r="Q825" s="348">
        <v>179</v>
      </c>
      <c r="R825" s="350">
        <f t="shared" si="162"/>
        <v>779</v>
      </c>
      <c r="S825" s="348">
        <f t="shared" si="163"/>
        <v>179</v>
      </c>
      <c r="T825" s="348"/>
      <c r="U825" s="348"/>
      <c r="V825" s="348"/>
      <c r="W825" s="349"/>
      <c r="X825" s="349"/>
    </row>
    <row r="826" spans="1:24" ht="12.75">
      <c r="A826" s="346" t="s">
        <v>352</v>
      </c>
      <c r="B826" s="347" t="s">
        <v>153</v>
      </c>
      <c r="C826" s="347" t="s">
        <v>813</v>
      </c>
      <c r="D826" s="347">
        <v>2019</v>
      </c>
      <c r="E826" s="347" t="s">
        <v>775</v>
      </c>
      <c r="F826" s="348">
        <v>142</v>
      </c>
      <c r="G826" s="348">
        <v>0</v>
      </c>
      <c r="H826" s="348">
        <v>0</v>
      </c>
      <c r="I826" s="348">
        <v>0</v>
      </c>
      <c r="J826" s="348">
        <v>83</v>
      </c>
      <c r="K826" s="348">
        <v>0</v>
      </c>
      <c r="L826" s="348">
        <v>0</v>
      </c>
      <c r="M826" s="348">
        <v>0</v>
      </c>
      <c r="N826" s="348">
        <v>90</v>
      </c>
      <c r="O826" s="348">
        <v>0</v>
      </c>
      <c r="P826" s="348">
        <v>242</v>
      </c>
      <c r="Q826" s="348">
        <v>20</v>
      </c>
      <c r="R826" s="350">
        <f t="shared" si="162"/>
        <v>557</v>
      </c>
      <c r="S826" s="348">
        <f t="shared" si="163"/>
        <v>20</v>
      </c>
      <c r="T826" s="348"/>
      <c r="U826" s="348"/>
      <c r="V826" s="348"/>
      <c r="W826" s="349"/>
      <c r="X826" s="349"/>
    </row>
    <row r="827" spans="1:24" ht="12.75">
      <c r="A827" s="346" t="s">
        <v>353</v>
      </c>
      <c r="B827" s="347" t="s">
        <v>153</v>
      </c>
      <c r="C827" s="347" t="s">
        <v>813</v>
      </c>
      <c r="D827" s="347">
        <v>2019</v>
      </c>
      <c r="E827" s="347" t="s">
        <v>775</v>
      </c>
      <c r="F827" s="348">
        <v>11</v>
      </c>
      <c r="G827" s="348">
        <v>0</v>
      </c>
      <c r="H827" s="348">
        <v>0</v>
      </c>
      <c r="I827" s="348">
        <v>0</v>
      </c>
      <c r="J827" s="348">
        <v>7</v>
      </c>
      <c r="K827" s="348">
        <v>0</v>
      </c>
      <c r="L827" s="348">
        <v>0</v>
      </c>
      <c r="M827" s="348">
        <v>0</v>
      </c>
      <c r="N827" s="348">
        <v>8</v>
      </c>
      <c r="O827" s="348">
        <v>0</v>
      </c>
      <c r="P827" s="348">
        <v>21</v>
      </c>
      <c r="Q827" s="348">
        <v>12</v>
      </c>
      <c r="R827" s="350">
        <f t="shared" si="162"/>
        <v>47</v>
      </c>
      <c r="S827" s="348">
        <f t="shared" si="163"/>
        <v>12</v>
      </c>
      <c r="T827" s="348"/>
      <c r="U827" s="348"/>
      <c r="V827" s="348"/>
      <c r="W827" s="349"/>
      <c r="X827" s="349"/>
    </row>
    <row r="828" spans="1:24" ht="12.75">
      <c r="A828" s="346" t="s">
        <v>355</v>
      </c>
      <c r="B828" s="347" t="s">
        <v>153</v>
      </c>
      <c r="C828" s="347" t="s">
        <v>813</v>
      </c>
      <c r="D828" s="347">
        <v>2019</v>
      </c>
      <c r="E828" s="347" t="s">
        <v>775</v>
      </c>
      <c r="F828" s="348">
        <v>1</v>
      </c>
      <c r="G828" s="348">
        <v>0</v>
      </c>
      <c r="H828" s="348">
        <v>0</v>
      </c>
      <c r="I828" s="348">
        <v>0</v>
      </c>
      <c r="J828" s="348">
        <v>1</v>
      </c>
      <c r="K828" s="348">
        <v>0</v>
      </c>
      <c r="L828" s="348">
        <v>0</v>
      </c>
      <c r="M828" s="348">
        <v>0</v>
      </c>
      <c r="N828" s="348">
        <v>0</v>
      </c>
      <c r="O828" s="348">
        <v>0</v>
      </c>
      <c r="P828" s="348">
        <v>0</v>
      </c>
      <c r="Q828" s="348">
        <v>28</v>
      </c>
      <c r="R828" s="350">
        <f t="shared" si="162"/>
        <v>2</v>
      </c>
      <c r="S828" s="348">
        <f t="shared" si="163"/>
        <v>28</v>
      </c>
      <c r="T828" s="348"/>
      <c r="U828" s="348"/>
      <c r="V828" s="348"/>
      <c r="W828" s="349"/>
      <c r="X828" s="349"/>
    </row>
    <row r="829" spans="1:24" ht="12.75">
      <c r="A829" s="346" t="s">
        <v>356</v>
      </c>
      <c r="B829" s="347" t="s">
        <v>153</v>
      </c>
      <c r="C829" s="347" t="s">
        <v>813</v>
      </c>
      <c r="D829" s="347">
        <v>2019</v>
      </c>
      <c r="E829" s="347" t="s">
        <v>775</v>
      </c>
      <c r="F829" s="348">
        <v>1</v>
      </c>
      <c r="G829" s="348">
        <v>5</v>
      </c>
      <c r="H829" s="348">
        <v>1</v>
      </c>
      <c r="I829" s="348">
        <v>4</v>
      </c>
      <c r="J829" s="348">
        <v>1</v>
      </c>
      <c r="K829" s="348">
        <v>0</v>
      </c>
      <c r="L829" s="348">
        <v>0</v>
      </c>
      <c r="M829" s="348">
        <v>0</v>
      </c>
      <c r="N829" s="348">
        <v>1</v>
      </c>
      <c r="O829" s="348">
        <v>0</v>
      </c>
      <c r="P829" s="348">
        <v>0</v>
      </c>
      <c r="Q829" s="348">
        <v>83</v>
      </c>
      <c r="R829" s="350">
        <f t="shared" si="162"/>
        <v>3</v>
      </c>
      <c r="S829" s="348">
        <f t="shared" si="163"/>
        <v>88</v>
      </c>
      <c r="T829" s="348"/>
      <c r="U829" s="348"/>
      <c r="V829" s="348"/>
      <c r="W829" s="349"/>
      <c r="X829" s="349"/>
    </row>
    <row r="830" spans="1:24" ht="12.75">
      <c r="A830" s="346" t="s">
        <v>358</v>
      </c>
      <c r="B830" s="347" t="s">
        <v>153</v>
      </c>
      <c r="C830" s="347" t="s">
        <v>813</v>
      </c>
      <c r="D830" s="347">
        <v>2019</v>
      </c>
      <c r="E830" s="347" t="s">
        <v>775</v>
      </c>
      <c r="F830" s="348">
        <v>694</v>
      </c>
      <c r="G830" s="348">
        <v>0</v>
      </c>
      <c r="H830" s="348">
        <v>0</v>
      </c>
      <c r="I830" s="348">
        <v>0</v>
      </c>
      <c r="J830" s="348">
        <v>413</v>
      </c>
      <c r="K830" s="348">
        <v>51</v>
      </c>
      <c r="L830" s="348">
        <v>0</v>
      </c>
      <c r="M830" s="348">
        <v>51</v>
      </c>
      <c r="N830" s="348">
        <v>443</v>
      </c>
      <c r="O830" s="348">
        <v>11</v>
      </c>
      <c r="P830" s="348">
        <v>1134</v>
      </c>
      <c r="Q830" s="348">
        <v>53</v>
      </c>
      <c r="R830" s="350">
        <f t="shared" si="162"/>
        <v>2684</v>
      </c>
      <c r="S830" s="348">
        <f t="shared" si="163"/>
        <v>115</v>
      </c>
      <c r="T830" s="348"/>
      <c r="U830" s="348"/>
      <c r="V830" s="348"/>
      <c r="W830" s="349"/>
      <c r="X830" s="349"/>
    </row>
    <row r="831" spans="1:24" ht="12.75">
      <c r="A831" s="346" t="s">
        <v>359</v>
      </c>
      <c r="B831" s="347" t="s">
        <v>153</v>
      </c>
      <c r="C831" s="347" t="s">
        <v>813</v>
      </c>
      <c r="D831" s="347">
        <v>2019</v>
      </c>
      <c r="E831" s="347" t="s">
        <v>775</v>
      </c>
      <c r="F831" s="348">
        <v>88</v>
      </c>
      <c r="G831" s="348">
        <v>0</v>
      </c>
      <c r="H831" s="348">
        <v>0</v>
      </c>
      <c r="I831" s="348">
        <v>0</v>
      </c>
      <c r="J831" s="348">
        <v>54</v>
      </c>
      <c r="K831" s="348">
        <v>0</v>
      </c>
      <c r="L831" s="348">
        <v>0</v>
      </c>
      <c r="M831" s="348">
        <v>0</v>
      </c>
      <c r="N831" s="348">
        <v>57</v>
      </c>
      <c r="O831" s="348">
        <v>0</v>
      </c>
      <c r="P831" s="348">
        <v>131</v>
      </c>
      <c r="Q831" s="348">
        <v>10</v>
      </c>
      <c r="R831" s="350">
        <f t="shared" si="162"/>
        <v>330</v>
      </c>
      <c r="S831" s="348">
        <f t="shared" si="163"/>
        <v>10</v>
      </c>
      <c r="T831" s="348"/>
      <c r="U831" s="348"/>
      <c r="V831" s="348"/>
      <c r="W831" s="349"/>
      <c r="X831" s="349"/>
    </row>
    <row r="832" spans="1:24" ht="12.75">
      <c r="A832" s="346" t="s">
        <v>361</v>
      </c>
      <c r="B832" s="347" t="s">
        <v>153</v>
      </c>
      <c r="C832" s="347" t="s">
        <v>813</v>
      </c>
      <c r="D832" s="347">
        <v>2019</v>
      </c>
      <c r="E832" s="347" t="s">
        <v>775</v>
      </c>
      <c r="F832" s="348">
        <v>23</v>
      </c>
      <c r="G832" s="348">
        <v>2</v>
      </c>
      <c r="H832" s="348">
        <v>0</v>
      </c>
      <c r="I832" s="348">
        <v>2</v>
      </c>
      <c r="J832" s="348">
        <v>14</v>
      </c>
      <c r="K832" s="348">
        <v>0</v>
      </c>
      <c r="L832" s="348">
        <v>0</v>
      </c>
      <c r="M832" s="348">
        <v>0</v>
      </c>
      <c r="N832" s="348">
        <v>14</v>
      </c>
      <c r="O832" s="348">
        <v>1</v>
      </c>
      <c r="P832" s="348">
        <v>35</v>
      </c>
      <c r="Q832" s="348">
        <v>0</v>
      </c>
      <c r="R832" s="350">
        <f t="shared" si="162"/>
        <v>86</v>
      </c>
      <c r="S832" s="348">
        <f t="shared" si="163"/>
        <v>3</v>
      </c>
      <c r="T832" s="348"/>
      <c r="U832" s="348"/>
      <c r="V832" s="348"/>
      <c r="W832" s="349"/>
      <c r="X832" s="349"/>
    </row>
    <row r="833" spans="1:24" ht="12.75">
      <c r="A833" s="346" t="s">
        <v>362</v>
      </c>
      <c r="B833" s="347" t="s">
        <v>153</v>
      </c>
      <c r="C833" s="347" t="s">
        <v>813</v>
      </c>
      <c r="D833" s="347">
        <v>2019</v>
      </c>
      <c r="E833" s="347" t="s">
        <v>775</v>
      </c>
      <c r="F833" s="348">
        <v>98</v>
      </c>
      <c r="G833" s="348">
        <v>3</v>
      </c>
      <c r="H833" s="348">
        <v>0</v>
      </c>
      <c r="I833" s="348">
        <v>3</v>
      </c>
      <c r="J833" s="348">
        <v>59</v>
      </c>
      <c r="K833" s="348">
        <v>2</v>
      </c>
      <c r="L833" s="348">
        <v>0</v>
      </c>
      <c r="M833" s="348">
        <v>2</v>
      </c>
      <c r="N833" s="348">
        <v>64</v>
      </c>
      <c r="O833" s="348">
        <v>18</v>
      </c>
      <c r="P833" s="348">
        <v>152</v>
      </c>
      <c r="Q833" s="348">
        <v>43</v>
      </c>
      <c r="R833" s="350">
        <f t="shared" si="162"/>
        <v>373</v>
      </c>
      <c r="S833" s="348">
        <f t="shared" si="163"/>
        <v>66</v>
      </c>
      <c r="T833" s="348"/>
      <c r="U833" s="348"/>
      <c r="V833" s="348"/>
      <c r="W833" s="349"/>
      <c r="X833" s="349"/>
    </row>
    <row r="834" spans="1:24" ht="12.75">
      <c r="A834" s="346" t="s">
        <v>364</v>
      </c>
      <c r="B834" s="347" t="s">
        <v>153</v>
      </c>
      <c r="C834" s="347" t="s">
        <v>813</v>
      </c>
      <c r="D834" s="347">
        <v>2019</v>
      </c>
      <c r="E834" s="347" t="s">
        <v>775</v>
      </c>
      <c r="F834" s="348">
        <v>1</v>
      </c>
      <c r="G834" s="348">
        <v>0</v>
      </c>
      <c r="H834" s="348">
        <v>0</v>
      </c>
      <c r="I834" s="348">
        <v>0</v>
      </c>
      <c r="J834" s="348">
        <v>1</v>
      </c>
      <c r="K834" s="348">
        <v>0</v>
      </c>
      <c r="L834" s="348">
        <v>0</v>
      </c>
      <c r="M834" s="348">
        <v>0</v>
      </c>
      <c r="N834" s="348">
        <v>0</v>
      </c>
      <c r="O834" s="348">
        <v>0</v>
      </c>
      <c r="P834" s="348">
        <v>0</v>
      </c>
      <c r="Q834" s="348">
        <v>73</v>
      </c>
      <c r="R834" s="350">
        <f t="shared" si="162"/>
        <v>2</v>
      </c>
      <c r="S834" s="348">
        <f t="shared" si="163"/>
        <v>73</v>
      </c>
      <c r="T834" s="348"/>
      <c r="U834" s="348"/>
      <c r="V834" s="348"/>
      <c r="W834" s="349"/>
      <c r="X834" s="349"/>
    </row>
    <row r="835" spans="1:24" ht="12.75">
      <c r="A835" s="346" t="s">
        <v>366</v>
      </c>
      <c r="B835" s="347" t="s">
        <v>153</v>
      </c>
      <c r="C835" s="347" t="s">
        <v>813</v>
      </c>
      <c r="D835" s="347">
        <v>2019</v>
      </c>
      <c r="E835" s="347" t="s">
        <v>775</v>
      </c>
      <c r="F835" s="348">
        <v>80</v>
      </c>
      <c r="G835" s="348">
        <v>2</v>
      </c>
      <c r="H835" s="348">
        <v>2</v>
      </c>
      <c r="I835" s="348">
        <v>0</v>
      </c>
      <c r="J835" s="348">
        <v>46</v>
      </c>
      <c r="K835" s="348">
        <v>0</v>
      </c>
      <c r="L835" s="348">
        <v>0</v>
      </c>
      <c r="M835" s="348">
        <v>0</v>
      </c>
      <c r="N835" s="348">
        <v>51</v>
      </c>
      <c r="O835" s="348">
        <v>0</v>
      </c>
      <c r="P835" s="348">
        <v>141</v>
      </c>
      <c r="Q835" s="348">
        <v>10</v>
      </c>
      <c r="R835" s="350">
        <f t="shared" si="162"/>
        <v>318</v>
      </c>
      <c r="S835" s="348">
        <f t="shared" si="163"/>
        <v>12</v>
      </c>
      <c r="T835" s="348"/>
      <c r="U835" s="348"/>
      <c r="V835" s="348"/>
      <c r="W835" s="349"/>
      <c r="X835" s="349"/>
    </row>
    <row r="836" spans="1:24" ht="12.75">
      <c r="A836" s="346" t="s">
        <v>367</v>
      </c>
      <c r="B836" s="347" t="s">
        <v>153</v>
      </c>
      <c r="C836" s="347" t="s">
        <v>813</v>
      </c>
      <c r="D836" s="347">
        <v>2019</v>
      </c>
      <c r="E836" s="347" t="s">
        <v>775</v>
      </c>
      <c r="F836" s="348">
        <v>48</v>
      </c>
      <c r="G836" s="348">
        <v>0</v>
      </c>
      <c r="H836" s="348">
        <v>0</v>
      </c>
      <c r="I836" s="348">
        <v>0</v>
      </c>
      <c r="J836" s="348">
        <v>29</v>
      </c>
      <c r="K836" s="348">
        <v>0</v>
      </c>
      <c r="L836" s="348">
        <v>0</v>
      </c>
      <c r="M836" s="348">
        <v>0</v>
      </c>
      <c r="N836" s="348">
        <v>31</v>
      </c>
      <c r="O836" s="348">
        <v>0</v>
      </c>
      <c r="P836" s="348">
        <v>77</v>
      </c>
      <c r="Q836" s="348">
        <v>63</v>
      </c>
      <c r="R836" s="350">
        <f t="shared" si="162"/>
        <v>185</v>
      </c>
      <c r="S836" s="348">
        <f t="shared" si="163"/>
        <v>63</v>
      </c>
      <c r="T836" s="348"/>
      <c r="U836" s="348"/>
      <c r="V836" s="348"/>
      <c r="W836" s="349"/>
      <c r="X836" s="349"/>
    </row>
    <row r="837" spans="1:24" ht="12.75">
      <c r="A837" s="346" t="s">
        <v>368</v>
      </c>
      <c r="B837" s="347" t="s">
        <v>153</v>
      </c>
      <c r="C837" s="347" t="s">
        <v>813</v>
      </c>
      <c r="D837" s="347">
        <v>2019</v>
      </c>
      <c r="E837" s="347" t="s">
        <v>775</v>
      </c>
      <c r="F837" s="348">
        <v>308</v>
      </c>
      <c r="G837" s="348">
        <v>1</v>
      </c>
      <c r="H837" s="348">
        <v>0</v>
      </c>
      <c r="I837" s="348">
        <v>1</v>
      </c>
      <c r="J837" s="348">
        <v>182</v>
      </c>
      <c r="K837" s="348">
        <v>5</v>
      </c>
      <c r="L837" s="348">
        <v>0</v>
      </c>
      <c r="M837" s="348">
        <v>5</v>
      </c>
      <c r="N837" s="348">
        <v>190</v>
      </c>
      <c r="O837" s="348">
        <v>0</v>
      </c>
      <c r="P837" s="348">
        <v>466</v>
      </c>
      <c r="Q837" s="348">
        <v>5</v>
      </c>
      <c r="R837" s="350">
        <f t="shared" si="162"/>
        <v>1146</v>
      </c>
      <c r="S837" s="348">
        <f t="shared" si="163"/>
        <v>11</v>
      </c>
      <c r="T837" s="348"/>
      <c r="U837" s="348"/>
      <c r="V837" s="348"/>
      <c r="W837" s="349"/>
      <c r="X837" s="349"/>
    </row>
    <row r="838" spans="1:24" ht="12.75">
      <c r="A838" s="346" t="s">
        <v>369</v>
      </c>
      <c r="B838" s="347" t="s">
        <v>153</v>
      </c>
      <c r="C838" s="347" t="s">
        <v>813</v>
      </c>
      <c r="D838" s="347">
        <v>2019</v>
      </c>
      <c r="E838" s="347" t="s">
        <v>775</v>
      </c>
      <c r="F838" s="348">
        <v>210</v>
      </c>
      <c r="G838" s="348">
        <v>0</v>
      </c>
      <c r="H838" s="348">
        <v>0</v>
      </c>
      <c r="I838" s="348">
        <v>0</v>
      </c>
      <c r="J838" s="348">
        <v>123</v>
      </c>
      <c r="K838" s="348">
        <v>0</v>
      </c>
      <c r="L838" s="348">
        <v>0</v>
      </c>
      <c r="M838" s="348">
        <v>0</v>
      </c>
      <c r="N838" s="348">
        <v>135</v>
      </c>
      <c r="O838" s="348">
        <v>0</v>
      </c>
      <c r="P838" s="348">
        <v>346</v>
      </c>
      <c r="Q838" s="348">
        <v>41</v>
      </c>
      <c r="R838" s="350">
        <f t="shared" si="162"/>
        <v>814</v>
      </c>
      <c r="S838" s="348">
        <f t="shared" si="163"/>
        <v>41</v>
      </c>
      <c r="T838" s="348"/>
      <c r="U838" s="348"/>
      <c r="V838" s="348"/>
      <c r="W838" s="349"/>
      <c r="X838" s="349"/>
    </row>
    <row r="839" spans="1:24" ht="12.75">
      <c r="A839" s="346" t="s">
        <v>370</v>
      </c>
      <c r="B839" s="347" t="s">
        <v>153</v>
      </c>
      <c r="C839" s="347" t="s">
        <v>813</v>
      </c>
      <c r="D839" s="347">
        <v>2019</v>
      </c>
      <c r="E839" s="347" t="s">
        <v>775</v>
      </c>
      <c r="F839" s="348">
        <v>87</v>
      </c>
      <c r="G839" s="348">
        <v>0</v>
      </c>
      <c r="H839" s="348">
        <v>0</v>
      </c>
      <c r="I839" s="348">
        <v>0</v>
      </c>
      <c r="J839" s="348">
        <v>53</v>
      </c>
      <c r="K839" s="348">
        <v>0</v>
      </c>
      <c r="L839" s="348">
        <v>0</v>
      </c>
      <c r="M839" s="348">
        <v>0</v>
      </c>
      <c r="N839" s="348">
        <v>55</v>
      </c>
      <c r="O839" s="348">
        <v>0</v>
      </c>
      <c r="P839" s="348">
        <v>142</v>
      </c>
      <c r="Q839" s="348">
        <v>186</v>
      </c>
      <c r="R839" s="350">
        <f t="shared" si="162"/>
        <v>337</v>
      </c>
      <c r="S839" s="348">
        <f t="shared" si="163"/>
        <v>186</v>
      </c>
      <c r="T839" s="348"/>
      <c r="U839" s="348"/>
      <c r="V839" s="348"/>
      <c r="W839" s="349"/>
      <c r="X839" s="349"/>
    </row>
    <row r="840" spans="1:24" ht="12.75">
      <c r="A840" s="346" t="s">
        <v>371</v>
      </c>
      <c r="B840" s="347" t="s">
        <v>153</v>
      </c>
      <c r="C840" s="347" t="s">
        <v>813</v>
      </c>
      <c r="D840" s="347">
        <v>2019</v>
      </c>
      <c r="E840" s="347" t="s">
        <v>775</v>
      </c>
      <c r="F840" s="348">
        <v>529</v>
      </c>
      <c r="G840" s="348">
        <v>0</v>
      </c>
      <c r="H840" s="348">
        <v>0</v>
      </c>
      <c r="I840" s="348">
        <v>0</v>
      </c>
      <c r="J840" s="348">
        <v>315</v>
      </c>
      <c r="K840" s="348">
        <v>0</v>
      </c>
      <c r="L840" s="348">
        <v>0</v>
      </c>
      <c r="M840" s="348">
        <v>0</v>
      </c>
      <c r="N840" s="348">
        <v>352</v>
      </c>
      <c r="O840" s="348">
        <v>0</v>
      </c>
      <c r="P840" s="348">
        <v>946</v>
      </c>
      <c r="Q840" s="348">
        <v>113</v>
      </c>
      <c r="R840" s="350">
        <f t="shared" si="162"/>
        <v>2142</v>
      </c>
      <c r="S840" s="348">
        <f t="shared" si="163"/>
        <v>113</v>
      </c>
      <c r="T840" s="348"/>
      <c r="U840" s="348"/>
      <c r="V840" s="348"/>
      <c r="W840" s="349"/>
      <c r="X840" s="349"/>
    </row>
    <row r="841" spans="1:24" ht="12.75">
      <c r="A841" s="346" t="s">
        <v>372</v>
      </c>
      <c r="B841" s="347" t="s">
        <v>153</v>
      </c>
      <c r="C841" s="347" t="s">
        <v>813</v>
      </c>
      <c r="D841" s="347">
        <v>2019</v>
      </c>
      <c r="E841" s="347" t="s">
        <v>775</v>
      </c>
      <c r="F841" s="348">
        <v>18</v>
      </c>
      <c r="G841" s="348">
        <v>0</v>
      </c>
      <c r="H841" s="348">
        <v>0</v>
      </c>
      <c r="I841" s="348">
        <v>0</v>
      </c>
      <c r="J841" s="348">
        <v>11</v>
      </c>
      <c r="K841" s="348">
        <v>0</v>
      </c>
      <c r="L841" s="348">
        <v>0</v>
      </c>
      <c r="M841" s="348">
        <v>0</v>
      </c>
      <c r="N841" s="348">
        <v>12</v>
      </c>
      <c r="O841" s="348">
        <v>0</v>
      </c>
      <c r="P841" s="348">
        <v>28</v>
      </c>
      <c r="Q841" s="348">
        <v>19</v>
      </c>
      <c r="R841" s="350">
        <f t="shared" si="162"/>
        <v>69</v>
      </c>
      <c r="S841" s="348">
        <f t="shared" si="163"/>
        <v>19</v>
      </c>
      <c r="T841" s="348"/>
      <c r="U841" s="348"/>
      <c r="V841" s="348"/>
      <c r="W841" s="349"/>
      <c r="X841" s="349"/>
    </row>
    <row r="842" spans="1:24" ht="12.75">
      <c r="A842" s="346" t="s">
        <v>373</v>
      </c>
      <c r="B842" s="347" t="s">
        <v>153</v>
      </c>
      <c r="C842" s="347" t="s">
        <v>813</v>
      </c>
      <c r="D842" s="347">
        <v>2019</v>
      </c>
      <c r="E842" s="347" t="s">
        <v>775</v>
      </c>
      <c r="F842" s="348">
        <v>98</v>
      </c>
      <c r="G842" s="348">
        <v>0</v>
      </c>
      <c r="H842" s="348">
        <v>0</v>
      </c>
      <c r="I842" s="348">
        <v>0</v>
      </c>
      <c r="J842" s="348">
        <v>60</v>
      </c>
      <c r="K842" s="348">
        <v>0</v>
      </c>
      <c r="L842" s="348">
        <v>0</v>
      </c>
      <c r="M842" s="348">
        <v>0</v>
      </c>
      <c r="N842" s="348">
        <v>66</v>
      </c>
      <c r="O842" s="348">
        <v>0</v>
      </c>
      <c r="P842" s="348">
        <v>173</v>
      </c>
      <c r="Q842" s="348">
        <v>40</v>
      </c>
      <c r="R842" s="350">
        <f t="shared" si="162"/>
        <v>397</v>
      </c>
      <c r="S842" s="348">
        <f t="shared" si="163"/>
        <v>40</v>
      </c>
      <c r="T842" s="348"/>
      <c r="U842" s="348"/>
      <c r="V842" s="348"/>
      <c r="W842" s="349"/>
      <c r="X842" s="349"/>
    </row>
    <row r="843" spans="1:24" ht="12.75">
      <c r="A843" s="346" t="s">
        <v>374</v>
      </c>
      <c r="B843" s="347" t="s">
        <v>153</v>
      </c>
      <c r="C843" s="347" t="s">
        <v>813</v>
      </c>
      <c r="D843" s="347">
        <v>2019</v>
      </c>
      <c r="E843" s="347" t="s">
        <v>775</v>
      </c>
      <c r="F843" s="348">
        <v>508</v>
      </c>
      <c r="G843" s="348">
        <v>4</v>
      </c>
      <c r="H843" s="348">
        <v>4</v>
      </c>
      <c r="I843" s="348">
        <v>0</v>
      </c>
      <c r="J843" s="348">
        <v>310</v>
      </c>
      <c r="K843" s="348">
        <v>0</v>
      </c>
      <c r="L843" s="348">
        <v>0</v>
      </c>
      <c r="M843" s="348">
        <v>0</v>
      </c>
      <c r="N843" s="348">
        <v>337</v>
      </c>
      <c r="O843" s="348">
        <v>0</v>
      </c>
      <c r="P843" s="348">
        <v>862</v>
      </c>
      <c r="Q843" s="348">
        <v>299</v>
      </c>
      <c r="R843" s="350">
        <f t="shared" si="162"/>
        <v>2017</v>
      </c>
      <c r="S843" s="348">
        <f t="shared" si="163"/>
        <v>303</v>
      </c>
      <c r="T843" s="348"/>
      <c r="U843" s="348"/>
      <c r="V843" s="348"/>
      <c r="W843" s="349"/>
      <c r="X843" s="349"/>
    </row>
    <row r="844" spans="1:24" ht="12.75">
      <c r="A844" s="346" t="s">
        <v>375</v>
      </c>
      <c r="B844" s="347" t="s">
        <v>153</v>
      </c>
      <c r="C844" s="347" t="s">
        <v>813</v>
      </c>
      <c r="D844" s="347">
        <v>2019</v>
      </c>
      <c r="E844" s="347" t="s">
        <v>775</v>
      </c>
      <c r="F844" s="348">
        <v>181</v>
      </c>
      <c r="G844" s="348">
        <v>0</v>
      </c>
      <c r="H844" s="348">
        <v>0</v>
      </c>
      <c r="I844" s="348">
        <v>0</v>
      </c>
      <c r="J844" s="348">
        <v>106</v>
      </c>
      <c r="K844" s="348">
        <v>0</v>
      </c>
      <c r="L844" s="348">
        <v>0</v>
      </c>
      <c r="M844" s="348">
        <v>0</v>
      </c>
      <c r="N844" s="348">
        <v>115</v>
      </c>
      <c r="O844" s="348">
        <v>0</v>
      </c>
      <c r="P844" s="348">
        <v>284</v>
      </c>
      <c r="Q844" s="348">
        <v>42</v>
      </c>
      <c r="R844" s="350">
        <f t="shared" si="162"/>
        <v>686</v>
      </c>
      <c r="S844" s="348">
        <f t="shared" si="163"/>
        <v>42</v>
      </c>
      <c r="T844" s="348"/>
      <c r="U844" s="348"/>
      <c r="V844" s="348"/>
      <c r="W844" s="349"/>
      <c r="X844" s="349"/>
    </row>
    <row r="845" spans="1:24" ht="12.75">
      <c r="A845" s="346" t="s">
        <v>376</v>
      </c>
      <c r="B845" s="347" t="s">
        <v>153</v>
      </c>
      <c r="C845" s="347" t="s">
        <v>813</v>
      </c>
      <c r="D845" s="347">
        <v>2019</v>
      </c>
      <c r="E845" s="347" t="s">
        <v>775</v>
      </c>
      <c r="F845" s="348">
        <v>32</v>
      </c>
      <c r="G845" s="348">
        <v>0</v>
      </c>
      <c r="H845" s="348">
        <v>0</v>
      </c>
      <c r="I845" s="348">
        <v>0</v>
      </c>
      <c r="J845" s="348">
        <v>19</v>
      </c>
      <c r="K845" s="348">
        <v>0</v>
      </c>
      <c r="L845" s="348">
        <v>0</v>
      </c>
      <c r="M845" s="348">
        <v>0</v>
      </c>
      <c r="N845" s="348">
        <v>21</v>
      </c>
      <c r="O845" s="348">
        <v>0</v>
      </c>
      <c r="P845" s="348">
        <v>57</v>
      </c>
      <c r="Q845" s="348">
        <v>3</v>
      </c>
      <c r="R845" s="350">
        <f t="shared" si="162"/>
        <v>129</v>
      </c>
      <c r="S845" s="348">
        <f t="shared" si="163"/>
        <v>3</v>
      </c>
      <c r="T845" s="348"/>
      <c r="U845" s="348"/>
      <c r="V845" s="348"/>
      <c r="W845" s="349"/>
      <c r="X845" s="349"/>
    </row>
    <row r="846" spans="1:24" ht="12.75">
      <c r="A846" s="346" t="s">
        <v>377</v>
      </c>
      <c r="B846" s="347" t="s">
        <v>153</v>
      </c>
      <c r="C846" s="347" t="s">
        <v>813</v>
      </c>
      <c r="D846" s="347">
        <v>2019</v>
      </c>
      <c r="E846" s="347" t="s">
        <v>775</v>
      </c>
      <c r="F846" s="348">
        <v>170</v>
      </c>
      <c r="G846" s="348">
        <v>0</v>
      </c>
      <c r="H846" s="348">
        <v>0</v>
      </c>
      <c r="I846" s="348">
        <v>0</v>
      </c>
      <c r="J846" s="348">
        <v>101</v>
      </c>
      <c r="K846" s="348">
        <v>0</v>
      </c>
      <c r="L846" s="348">
        <v>0</v>
      </c>
      <c r="M846" s="348">
        <v>0</v>
      </c>
      <c r="N846" s="348">
        <v>112</v>
      </c>
      <c r="O846" s="348">
        <v>13</v>
      </c>
      <c r="P846" s="348">
        <v>300</v>
      </c>
      <c r="Q846" s="348">
        <v>0</v>
      </c>
      <c r="R846" s="350">
        <f t="shared" si="162"/>
        <v>683</v>
      </c>
      <c r="S846" s="348">
        <f t="shared" si="163"/>
        <v>13</v>
      </c>
      <c r="T846" s="348"/>
      <c r="U846" s="348"/>
      <c r="V846" s="348"/>
      <c r="W846" s="349"/>
      <c r="X846" s="349"/>
    </row>
    <row r="847" spans="1:24" ht="12.75">
      <c r="A847" s="346" t="s">
        <v>381</v>
      </c>
      <c r="B847" s="347" t="s">
        <v>153</v>
      </c>
      <c r="C847" s="347" t="s">
        <v>813</v>
      </c>
      <c r="D847" s="347">
        <v>2019</v>
      </c>
      <c r="E847" s="347" t="s">
        <v>775</v>
      </c>
      <c r="F847" s="348">
        <v>0</v>
      </c>
      <c r="G847" s="348">
        <v>0</v>
      </c>
      <c r="H847" s="348">
        <v>0</v>
      </c>
      <c r="I847" s="348">
        <v>0</v>
      </c>
      <c r="J847" s="348">
        <v>0</v>
      </c>
      <c r="K847" s="348">
        <v>0</v>
      </c>
      <c r="L847" s="348">
        <v>0</v>
      </c>
      <c r="M847" s="348">
        <v>0</v>
      </c>
      <c r="N847" s="348">
        <v>0</v>
      </c>
      <c r="O847" s="348">
        <v>0</v>
      </c>
      <c r="P847" s="348">
        <v>0</v>
      </c>
      <c r="Q847" s="348">
        <v>0</v>
      </c>
      <c r="R847" s="350">
        <f t="shared" si="162"/>
        <v>0</v>
      </c>
      <c r="S847" s="348">
        <f t="shared" si="163"/>
        <v>0</v>
      </c>
      <c r="T847" s="348"/>
      <c r="U847" s="348"/>
      <c r="V847" s="348"/>
      <c r="W847" s="349"/>
      <c r="X847" s="349"/>
    </row>
    <row r="848" spans="1:24" ht="12.75">
      <c r="A848" s="346" t="s">
        <v>383</v>
      </c>
      <c r="B848" s="347" t="s">
        <v>153</v>
      </c>
      <c r="C848" s="347" t="s">
        <v>813</v>
      </c>
      <c r="D848" s="347">
        <v>2019</v>
      </c>
      <c r="E848" s="347" t="s">
        <v>775</v>
      </c>
      <c r="F848" s="348">
        <v>4</v>
      </c>
      <c r="G848" s="348">
        <v>2</v>
      </c>
      <c r="H848" s="348">
        <v>2</v>
      </c>
      <c r="I848" s="348">
        <v>0</v>
      </c>
      <c r="J848" s="348">
        <v>2</v>
      </c>
      <c r="K848" s="348">
        <v>2</v>
      </c>
      <c r="L848" s="348">
        <v>2</v>
      </c>
      <c r="M848" s="348">
        <v>0</v>
      </c>
      <c r="N848" s="348">
        <v>2</v>
      </c>
      <c r="O848" s="348">
        <v>0</v>
      </c>
      <c r="P848" s="348">
        <v>7</v>
      </c>
      <c r="Q848" s="348">
        <v>0</v>
      </c>
      <c r="R848" s="350">
        <f t="shared" si="162"/>
        <v>15</v>
      </c>
      <c r="S848" s="348">
        <f t="shared" si="163"/>
        <v>4</v>
      </c>
      <c r="T848" s="348"/>
      <c r="U848" s="348"/>
      <c r="V848" s="348"/>
      <c r="W848" s="349"/>
      <c r="X848" s="349"/>
    </row>
    <row r="849" spans="1:24" ht="12.75">
      <c r="A849" s="346" t="s">
        <v>384</v>
      </c>
      <c r="B849" s="347" t="s">
        <v>153</v>
      </c>
      <c r="C849" s="347" t="s">
        <v>813</v>
      </c>
      <c r="D849" s="347">
        <v>2019</v>
      </c>
      <c r="E849" s="347" t="s">
        <v>775</v>
      </c>
      <c r="F849" s="348">
        <v>30</v>
      </c>
      <c r="G849" s="348">
        <v>0</v>
      </c>
      <c r="H849" s="348">
        <v>0</v>
      </c>
      <c r="I849" s="348">
        <v>0</v>
      </c>
      <c r="J849" s="348">
        <v>18</v>
      </c>
      <c r="K849" s="348">
        <v>0</v>
      </c>
      <c r="L849" s="348">
        <v>0</v>
      </c>
      <c r="M849" s="348">
        <v>0</v>
      </c>
      <c r="N849" s="348">
        <v>20</v>
      </c>
      <c r="O849" s="348">
        <v>0</v>
      </c>
      <c r="P849" s="348">
        <v>44</v>
      </c>
      <c r="Q849" s="348">
        <v>8</v>
      </c>
      <c r="R849" s="350">
        <f t="shared" si="162"/>
        <v>112</v>
      </c>
      <c r="S849" s="348">
        <f t="shared" si="163"/>
        <v>8</v>
      </c>
      <c r="T849" s="348"/>
      <c r="U849" s="348"/>
      <c r="V849" s="348"/>
      <c r="W849" s="349"/>
      <c r="X849" s="349"/>
    </row>
    <row r="850" spans="1:24" ht="12.75">
      <c r="A850" s="346" t="s">
        <v>385</v>
      </c>
      <c r="B850" s="347" t="s">
        <v>153</v>
      </c>
      <c r="C850" s="347" t="s">
        <v>813</v>
      </c>
      <c r="D850" s="347">
        <v>2019</v>
      </c>
      <c r="E850" s="347" t="s">
        <v>775</v>
      </c>
      <c r="F850" s="348">
        <v>32</v>
      </c>
      <c r="G850" s="348">
        <v>0</v>
      </c>
      <c r="H850" s="348">
        <v>0</v>
      </c>
      <c r="I850" s="348">
        <v>0</v>
      </c>
      <c r="J850" s="348">
        <v>19</v>
      </c>
      <c r="K850" s="348">
        <v>0</v>
      </c>
      <c r="L850" s="348">
        <v>0</v>
      </c>
      <c r="M850" s="348">
        <v>0</v>
      </c>
      <c r="N850" s="348">
        <v>21</v>
      </c>
      <c r="O850" s="348">
        <v>0</v>
      </c>
      <c r="P850" s="348">
        <v>47</v>
      </c>
      <c r="Q850" s="348">
        <v>2</v>
      </c>
      <c r="R850" s="350">
        <f t="shared" si="162"/>
        <v>119</v>
      </c>
      <c r="S850" s="348">
        <f t="shared" si="163"/>
        <v>2</v>
      </c>
      <c r="T850" s="348"/>
      <c r="U850" s="348"/>
      <c r="V850" s="348"/>
      <c r="W850" s="349"/>
      <c r="X850" s="349"/>
    </row>
    <row r="851" spans="1:24" ht="12.75">
      <c r="A851" s="346" t="s">
        <v>387</v>
      </c>
      <c r="B851" s="347" t="s">
        <v>153</v>
      </c>
      <c r="C851" s="347" t="s">
        <v>813</v>
      </c>
      <c r="D851" s="347">
        <v>2019</v>
      </c>
      <c r="E851" s="347" t="s">
        <v>775</v>
      </c>
      <c r="F851" s="348">
        <v>208</v>
      </c>
      <c r="G851" s="348">
        <v>0</v>
      </c>
      <c r="H851" s="348">
        <v>0</v>
      </c>
      <c r="I851" s="348">
        <v>0</v>
      </c>
      <c r="J851" s="348">
        <v>121</v>
      </c>
      <c r="K851" s="348">
        <v>0</v>
      </c>
      <c r="L851" s="348">
        <v>0</v>
      </c>
      <c r="M851" s="348">
        <v>0</v>
      </c>
      <c r="N851" s="348">
        <v>135</v>
      </c>
      <c r="O851" s="348">
        <v>0</v>
      </c>
      <c r="P851" s="348">
        <v>354</v>
      </c>
      <c r="Q851" s="348">
        <v>42</v>
      </c>
      <c r="R851" s="350">
        <f t="shared" si="162"/>
        <v>818</v>
      </c>
      <c r="S851" s="348">
        <f t="shared" si="163"/>
        <v>42</v>
      </c>
      <c r="T851" s="348"/>
      <c r="U851" s="348"/>
      <c r="V851" s="348"/>
      <c r="W851" s="349"/>
      <c r="X851" s="349"/>
    </row>
    <row r="852" spans="1:24" ht="12.75">
      <c r="A852" s="346" t="s">
        <v>388</v>
      </c>
      <c r="B852" s="347" t="s">
        <v>153</v>
      </c>
      <c r="C852" s="347" t="s">
        <v>813</v>
      </c>
      <c r="D852" s="347">
        <v>2019</v>
      </c>
      <c r="E852" s="347" t="s">
        <v>775</v>
      </c>
      <c r="F852" s="348">
        <v>147</v>
      </c>
      <c r="G852" s="348">
        <v>0</v>
      </c>
      <c r="H852" s="348">
        <v>0</v>
      </c>
      <c r="I852" s="348">
        <v>0</v>
      </c>
      <c r="J852" s="348">
        <v>88</v>
      </c>
      <c r="K852" s="348">
        <v>0</v>
      </c>
      <c r="L852" s="348">
        <v>0</v>
      </c>
      <c r="M852" s="348">
        <v>0</v>
      </c>
      <c r="N852" s="348">
        <v>94</v>
      </c>
      <c r="O852" s="348">
        <v>0</v>
      </c>
      <c r="P852" s="348">
        <v>233</v>
      </c>
      <c r="Q852" s="348">
        <v>10</v>
      </c>
      <c r="R852" s="350">
        <f t="shared" si="162"/>
        <v>562</v>
      </c>
      <c r="S852" s="348">
        <f t="shared" si="163"/>
        <v>10</v>
      </c>
      <c r="T852" s="348"/>
      <c r="U852" s="348"/>
      <c r="V852" s="348"/>
      <c r="W852" s="349"/>
      <c r="X852" s="349"/>
    </row>
    <row r="853" spans="1:24" ht="12.75">
      <c r="A853" s="346" t="s">
        <v>389</v>
      </c>
      <c r="B853" s="347" t="s">
        <v>153</v>
      </c>
      <c r="C853" s="347" t="s">
        <v>813</v>
      </c>
      <c r="D853" s="347">
        <v>2019</v>
      </c>
      <c r="E853" s="347" t="s">
        <v>775</v>
      </c>
      <c r="F853" s="348">
        <v>107</v>
      </c>
      <c r="G853" s="348">
        <v>13</v>
      </c>
      <c r="H853" s="348">
        <v>0</v>
      </c>
      <c r="I853" s="348">
        <v>13</v>
      </c>
      <c r="J853" s="348">
        <v>63</v>
      </c>
      <c r="K853" s="348">
        <v>4</v>
      </c>
      <c r="L853" s="348">
        <v>0</v>
      </c>
      <c r="M853" s="348">
        <v>4</v>
      </c>
      <c r="N853" s="348">
        <v>67</v>
      </c>
      <c r="O853" s="348">
        <v>0</v>
      </c>
      <c r="P853" s="348">
        <v>166</v>
      </c>
      <c r="Q853" s="348">
        <v>0</v>
      </c>
      <c r="R853" s="350">
        <f t="shared" si="162"/>
        <v>403</v>
      </c>
      <c r="S853" s="348">
        <f t="shared" si="163"/>
        <v>17</v>
      </c>
      <c r="T853" s="348"/>
      <c r="U853" s="348"/>
      <c r="V853" s="348"/>
      <c r="W853" s="349"/>
      <c r="X853" s="349"/>
    </row>
    <row r="854" spans="1:24" ht="12.75">
      <c r="A854" s="346" t="s">
        <v>390</v>
      </c>
      <c r="B854" s="347" t="s">
        <v>153</v>
      </c>
      <c r="C854" s="347" t="s">
        <v>813</v>
      </c>
      <c r="D854" s="347">
        <v>2019</v>
      </c>
      <c r="E854" s="347" t="s">
        <v>775</v>
      </c>
      <c r="F854" s="348">
        <v>627</v>
      </c>
      <c r="G854" s="348">
        <v>0</v>
      </c>
      <c r="H854" s="348">
        <v>0</v>
      </c>
      <c r="I854" s="348">
        <v>0</v>
      </c>
      <c r="J854" s="348">
        <v>384</v>
      </c>
      <c r="K854" s="348">
        <v>0</v>
      </c>
      <c r="L854" s="348">
        <v>0</v>
      </c>
      <c r="M854" s="348">
        <v>0</v>
      </c>
      <c r="N854" s="348">
        <v>413</v>
      </c>
      <c r="O854" s="348">
        <v>0</v>
      </c>
      <c r="P854" s="348">
        <v>1086</v>
      </c>
      <c r="Q854" s="348">
        <v>202</v>
      </c>
      <c r="R854" s="350">
        <f t="shared" si="162"/>
        <v>2510</v>
      </c>
      <c r="S854" s="348">
        <f t="shared" si="163"/>
        <v>202</v>
      </c>
      <c r="T854" s="348"/>
      <c r="U854" s="348"/>
      <c r="V854" s="348"/>
      <c r="W854" s="349"/>
      <c r="X854" s="349"/>
    </row>
    <row r="855" spans="1:24" ht="12.75">
      <c r="A855" s="346" t="s">
        <v>391</v>
      </c>
      <c r="B855" s="347" t="s">
        <v>153</v>
      </c>
      <c r="C855" s="347" t="s">
        <v>813</v>
      </c>
      <c r="D855" s="347">
        <v>2019</v>
      </c>
      <c r="E855" s="347" t="s">
        <v>775</v>
      </c>
      <c r="F855" s="348">
        <v>96</v>
      </c>
      <c r="G855" s="348">
        <v>0</v>
      </c>
      <c r="H855" s="348">
        <v>0</v>
      </c>
      <c r="I855" s="348">
        <v>0</v>
      </c>
      <c r="J855" s="348">
        <v>57</v>
      </c>
      <c r="K855" s="348">
        <v>0</v>
      </c>
      <c r="L855" s="348">
        <v>0</v>
      </c>
      <c r="M855" s="348">
        <v>0</v>
      </c>
      <c r="N855" s="348">
        <v>62</v>
      </c>
      <c r="O855" s="348">
        <v>0</v>
      </c>
      <c r="P855" s="348">
        <v>166</v>
      </c>
      <c r="Q855" s="348">
        <v>51</v>
      </c>
      <c r="R855" s="350">
        <f t="shared" si="162"/>
        <v>381</v>
      </c>
      <c r="S855" s="348">
        <f t="shared" si="163"/>
        <v>51</v>
      </c>
      <c r="T855" s="348"/>
      <c r="U855" s="348"/>
      <c r="V855" s="348"/>
      <c r="W855" s="349"/>
      <c r="X855" s="349"/>
    </row>
    <row r="856" spans="1:24" ht="12.75">
      <c r="A856" s="346" t="s">
        <v>392</v>
      </c>
      <c r="B856" s="347" t="s">
        <v>153</v>
      </c>
      <c r="C856" s="347" t="s">
        <v>813</v>
      </c>
      <c r="D856" s="347">
        <v>2019</v>
      </c>
      <c r="E856" s="347" t="s">
        <v>775</v>
      </c>
      <c r="F856" s="348">
        <v>12</v>
      </c>
      <c r="G856" s="348">
        <v>0</v>
      </c>
      <c r="H856" s="348">
        <v>0</v>
      </c>
      <c r="I856" s="348">
        <v>0</v>
      </c>
      <c r="J856" s="348">
        <v>7</v>
      </c>
      <c r="K856" s="348">
        <v>0</v>
      </c>
      <c r="L856" s="348">
        <v>0</v>
      </c>
      <c r="M856" s="348">
        <v>0</v>
      </c>
      <c r="N856" s="348">
        <v>8</v>
      </c>
      <c r="O856" s="348">
        <v>1</v>
      </c>
      <c r="P856" s="348">
        <v>20</v>
      </c>
      <c r="Q856" s="348">
        <v>24</v>
      </c>
      <c r="R856" s="350">
        <f t="shared" si="162"/>
        <v>47</v>
      </c>
      <c r="S856" s="348">
        <f t="shared" si="163"/>
        <v>25</v>
      </c>
      <c r="T856" s="348"/>
      <c r="U856" s="348"/>
      <c r="V856" s="348"/>
      <c r="W856" s="349"/>
      <c r="X856" s="349"/>
    </row>
    <row r="857" spans="1:24" ht="12.75">
      <c r="A857" s="346" t="s">
        <v>393</v>
      </c>
      <c r="B857" s="347" t="s">
        <v>153</v>
      </c>
      <c r="C857" s="347" t="s">
        <v>813</v>
      </c>
      <c r="D857" s="347">
        <v>2019</v>
      </c>
      <c r="E857" s="347" t="s">
        <v>775</v>
      </c>
      <c r="F857" s="348">
        <v>1773</v>
      </c>
      <c r="G857" s="348">
        <v>87</v>
      </c>
      <c r="H857" s="348">
        <v>87</v>
      </c>
      <c r="I857" s="348">
        <v>0</v>
      </c>
      <c r="J857" s="348">
        <v>1066</v>
      </c>
      <c r="K857" s="348">
        <v>108</v>
      </c>
      <c r="L857" s="348">
        <v>108</v>
      </c>
      <c r="M857" s="348">
        <v>0</v>
      </c>
      <c r="N857" s="348">
        <v>1170</v>
      </c>
      <c r="O857" s="348">
        <v>28</v>
      </c>
      <c r="P857" s="348">
        <v>3039</v>
      </c>
      <c r="Q857" s="348">
        <v>1038</v>
      </c>
      <c r="R857" s="350">
        <f t="shared" si="162"/>
        <v>7048</v>
      </c>
      <c r="S857" s="348">
        <f t="shared" si="163"/>
        <v>1261</v>
      </c>
      <c r="T857" s="348"/>
      <c r="U857" s="348"/>
      <c r="V857" s="348"/>
      <c r="W857" s="349"/>
      <c r="X857" s="349"/>
    </row>
    <row r="858" spans="1:24" ht="12.75">
      <c r="A858" s="346" t="s">
        <v>153</v>
      </c>
      <c r="B858" s="347" t="s">
        <v>153</v>
      </c>
      <c r="C858" s="347" t="s">
        <v>813</v>
      </c>
      <c r="D858" s="347">
        <v>2019</v>
      </c>
      <c r="E858" s="347" t="s">
        <v>775</v>
      </c>
      <c r="F858" s="348">
        <v>20427</v>
      </c>
      <c r="G858" s="348">
        <v>864</v>
      </c>
      <c r="H858" s="348">
        <v>864</v>
      </c>
      <c r="I858" s="348">
        <v>0</v>
      </c>
      <c r="J858" s="348">
        <v>12435</v>
      </c>
      <c r="K858" s="348">
        <v>391</v>
      </c>
      <c r="L858" s="348">
        <v>391</v>
      </c>
      <c r="M858" s="348">
        <v>0</v>
      </c>
      <c r="N858" s="348">
        <v>13728</v>
      </c>
      <c r="O858" s="348">
        <v>72</v>
      </c>
      <c r="P858" s="348">
        <v>35412</v>
      </c>
      <c r="Q858" s="348">
        <v>19002</v>
      </c>
      <c r="R858" s="350">
        <f t="shared" si="162"/>
        <v>82002</v>
      </c>
      <c r="S858" s="348">
        <f t="shared" si="163"/>
        <v>20329</v>
      </c>
      <c r="T858" s="348"/>
      <c r="U858" s="348"/>
      <c r="V858" s="348"/>
      <c r="W858" s="349"/>
      <c r="X858" s="349"/>
    </row>
    <row r="859" spans="1:24" ht="12.75">
      <c r="A859" s="346" t="s">
        <v>394</v>
      </c>
      <c r="B859" s="347" t="s">
        <v>153</v>
      </c>
      <c r="C859" s="347" t="s">
        <v>813</v>
      </c>
      <c r="D859" s="347">
        <v>2019</v>
      </c>
      <c r="E859" s="347" t="s">
        <v>775</v>
      </c>
      <c r="F859" s="348">
        <v>7359</v>
      </c>
      <c r="G859" s="348">
        <v>54</v>
      </c>
      <c r="H859" s="348">
        <v>54</v>
      </c>
      <c r="I859" s="348">
        <v>0</v>
      </c>
      <c r="J859" s="348">
        <v>4251</v>
      </c>
      <c r="K859" s="348">
        <v>107</v>
      </c>
      <c r="L859" s="348">
        <v>107</v>
      </c>
      <c r="M859" s="348">
        <v>0</v>
      </c>
      <c r="N859" s="348">
        <v>4898</v>
      </c>
      <c r="O859" s="348">
        <v>0</v>
      </c>
      <c r="P859" s="348">
        <v>10749</v>
      </c>
      <c r="Q859" s="348">
        <v>1130</v>
      </c>
      <c r="R859" s="350">
        <f t="shared" si="162"/>
        <v>27257</v>
      </c>
      <c r="S859" s="348">
        <f t="shared" si="163"/>
        <v>1291</v>
      </c>
      <c r="T859" s="348"/>
      <c r="U859" s="348"/>
      <c r="V859" s="348"/>
      <c r="W859" s="349"/>
      <c r="X859" s="349"/>
    </row>
    <row r="860" spans="1:24" ht="12.75">
      <c r="A860" s="346" t="s">
        <v>395</v>
      </c>
      <c r="B860" s="347" t="s">
        <v>153</v>
      </c>
      <c r="C860" s="347" t="s">
        <v>813</v>
      </c>
      <c r="D860" s="347">
        <v>2019</v>
      </c>
      <c r="E860" s="347" t="s">
        <v>775</v>
      </c>
      <c r="F860" s="348">
        <v>123</v>
      </c>
      <c r="G860" s="348">
        <v>0</v>
      </c>
      <c r="H860" s="348">
        <v>0</v>
      </c>
      <c r="I860" s="348">
        <v>0</v>
      </c>
      <c r="J860" s="348">
        <v>72</v>
      </c>
      <c r="K860" s="348">
        <v>0</v>
      </c>
      <c r="L860" s="348">
        <v>0</v>
      </c>
      <c r="M860" s="348">
        <v>0</v>
      </c>
      <c r="N860" s="348">
        <v>81</v>
      </c>
      <c r="O860" s="348">
        <v>0</v>
      </c>
      <c r="P860" s="348">
        <v>218</v>
      </c>
      <c r="Q860" s="348">
        <v>10</v>
      </c>
      <c r="R860" s="350">
        <f t="shared" si="162"/>
        <v>494</v>
      </c>
      <c r="S860" s="348">
        <f t="shared" si="163"/>
        <v>10</v>
      </c>
      <c r="T860" s="348"/>
      <c r="U860" s="348"/>
      <c r="V860" s="348"/>
      <c r="W860" s="349"/>
      <c r="X860" s="349"/>
    </row>
    <row r="861" spans="1:24" ht="12.75">
      <c r="A861" s="346" t="s">
        <v>396</v>
      </c>
      <c r="B861" s="347" t="s">
        <v>153</v>
      </c>
      <c r="C861" s="347" t="s">
        <v>813</v>
      </c>
      <c r="D861" s="347">
        <v>2019</v>
      </c>
      <c r="E861" s="347" t="s">
        <v>775</v>
      </c>
      <c r="F861" s="348">
        <v>1</v>
      </c>
      <c r="G861" s="348">
        <v>0</v>
      </c>
      <c r="H861" s="348">
        <v>0</v>
      </c>
      <c r="I861" s="348">
        <v>0</v>
      </c>
      <c r="J861" s="348">
        <v>1</v>
      </c>
      <c r="K861" s="348">
        <v>0</v>
      </c>
      <c r="L861" s="348">
        <v>0</v>
      </c>
      <c r="M861" s="348">
        <v>0</v>
      </c>
      <c r="N861" s="348">
        <v>0</v>
      </c>
      <c r="O861" s="348">
        <v>0</v>
      </c>
      <c r="P861" s="348">
        <v>0</v>
      </c>
      <c r="Q861" s="348">
        <v>18</v>
      </c>
      <c r="R861" s="350">
        <f t="shared" si="162"/>
        <v>2</v>
      </c>
      <c r="S861" s="348">
        <f t="shared" si="163"/>
        <v>18</v>
      </c>
      <c r="T861" s="348"/>
      <c r="U861" s="348"/>
      <c r="V861" s="348"/>
      <c r="W861" s="349"/>
      <c r="X861" s="349"/>
    </row>
    <row r="862" spans="1:24" ht="12.75">
      <c r="A862" s="346" t="s">
        <v>397</v>
      </c>
      <c r="B862" s="347" t="s">
        <v>153</v>
      </c>
      <c r="C862" s="347" t="s">
        <v>813</v>
      </c>
      <c r="D862" s="347">
        <v>2019</v>
      </c>
      <c r="E862" s="347" t="s">
        <v>775</v>
      </c>
      <c r="F862" s="348">
        <v>10</v>
      </c>
      <c r="G862" s="348">
        <v>0</v>
      </c>
      <c r="H862" s="348">
        <v>0</v>
      </c>
      <c r="I862" s="348">
        <v>0</v>
      </c>
      <c r="J862" s="348">
        <v>6</v>
      </c>
      <c r="K862" s="348">
        <v>0</v>
      </c>
      <c r="L862" s="348">
        <v>0</v>
      </c>
      <c r="M862" s="348">
        <v>0</v>
      </c>
      <c r="N862" s="348">
        <v>7</v>
      </c>
      <c r="O862" s="348">
        <v>0</v>
      </c>
      <c r="P862" s="348">
        <v>15</v>
      </c>
      <c r="Q862" s="348">
        <v>96</v>
      </c>
      <c r="R862" s="350">
        <f t="shared" si="162"/>
        <v>38</v>
      </c>
      <c r="S862" s="348">
        <f t="shared" si="163"/>
        <v>96</v>
      </c>
      <c r="T862" s="348"/>
      <c r="U862" s="348"/>
      <c r="V862" s="348"/>
      <c r="W862" s="349"/>
      <c r="X862" s="349"/>
    </row>
    <row r="863" spans="1:24" ht="12.75">
      <c r="A863" s="346" t="s">
        <v>398</v>
      </c>
      <c r="B863" s="347" t="s">
        <v>153</v>
      </c>
      <c r="C863" s="347" t="s">
        <v>813</v>
      </c>
      <c r="D863" s="347">
        <v>2019</v>
      </c>
      <c r="E863" s="347" t="s">
        <v>775</v>
      </c>
      <c r="F863" s="348">
        <v>13</v>
      </c>
      <c r="G863" s="348">
        <v>0</v>
      </c>
      <c r="H863" s="348">
        <v>0</v>
      </c>
      <c r="I863" s="348">
        <v>0</v>
      </c>
      <c r="J863" s="348">
        <v>8</v>
      </c>
      <c r="K863" s="348">
        <v>0</v>
      </c>
      <c r="L863" s="348">
        <v>0</v>
      </c>
      <c r="M863" s="348">
        <v>0</v>
      </c>
      <c r="N863" s="348">
        <v>9</v>
      </c>
      <c r="O863" s="348">
        <v>16</v>
      </c>
      <c r="P863" s="348">
        <v>23</v>
      </c>
      <c r="Q863" s="348">
        <v>5</v>
      </c>
      <c r="R863" s="350">
        <f t="shared" si="162"/>
        <v>53</v>
      </c>
      <c r="S863" s="348">
        <f t="shared" si="163"/>
        <v>21</v>
      </c>
      <c r="T863" s="348"/>
      <c r="U863" s="348"/>
      <c r="V863" s="348"/>
      <c r="W863" s="349"/>
      <c r="X863" s="349"/>
    </row>
    <row r="864" spans="1:24" ht="12.75">
      <c r="A864" s="346" t="s">
        <v>399</v>
      </c>
      <c r="B864" s="347" t="s">
        <v>153</v>
      </c>
      <c r="C864" s="347" t="s">
        <v>813</v>
      </c>
      <c r="D864" s="347">
        <v>2019</v>
      </c>
      <c r="E864" s="347" t="s">
        <v>775</v>
      </c>
      <c r="F864" s="348">
        <v>101</v>
      </c>
      <c r="G864" s="348">
        <v>0</v>
      </c>
      <c r="H864" s="348">
        <v>0</v>
      </c>
      <c r="I864" s="348">
        <v>0</v>
      </c>
      <c r="J864" s="348">
        <v>61</v>
      </c>
      <c r="K864" s="348">
        <v>0</v>
      </c>
      <c r="L864" s="348">
        <v>0</v>
      </c>
      <c r="M864" s="348">
        <v>0</v>
      </c>
      <c r="N864" s="348">
        <v>65</v>
      </c>
      <c r="O864" s="348">
        <v>0</v>
      </c>
      <c r="P864" s="348">
        <v>162</v>
      </c>
      <c r="Q864" s="348">
        <v>18</v>
      </c>
      <c r="R864" s="350">
        <f t="shared" si="162"/>
        <v>389</v>
      </c>
      <c r="S864" s="348">
        <f t="shared" si="163"/>
        <v>18</v>
      </c>
      <c r="T864" s="348"/>
      <c r="U864" s="348"/>
      <c r="V864" s="348"/>
      <c r="W864" s="349"/>
      <c r="X864" s="349"/>
    </row>
    <row r="865" spans="1:24" ht="12.75">
      <c r="A865" s="346" t="s">
        <v>400</v>
      </c>
      <c r="B865" s="347" t="s">
        <v>153</v>
      </c>
      <c r="C865" s="347" t="s">
        <v>813</v>
      </c>
      <c r="D865" s="347">
        <v>2019</v>
      </c>
      <c r="E865" s="347" t="s">
        <v>775</v>
      </c>
      <c r="F865" s="348">
        <v>269</v>
      </c>
      <c r="G865" s="348">
        <v>0</v>
      </c>
      <c r="H865" s="348">
        <v>0</v>
      </c>
      <c r="I865" s="348">
        <v>0</v>
      </c>
      <c r="J865" s="348">
        <v>161</v>
      </c>
      <c r="K865" s="348">
        <v>0</v>
      </c>
      <c r="L865" s="348">
        <v>0</v>
      </c>
      <c r="M865" s="348">
        <v>0</v>
      </c>
      <c r="N865" s="348">
        <v>175</v>
      </c>
      <c r="O865" s="348">
        <v>0</v>
      </c>
      <c r="P865" s="348">
        <v>461</v>
      </c>
      <c r="Q865" s="348">
        <v>0</v>
      </c>
      <c r="R865" s="350">
        <f t="shared" si="162"/>
        <v>1066</v>
      </c>
      <c r="S865" s="348">
        <f t="shared" si="163"/>
        <v>0</v>
      </c>
      <c r="T865" s="348"/>
      <c r="U865" s="348"/>
      <c r="V865" s="348"/>
      <c r="W865" s="349"/>
      <c r="X865" s="349"/>
    </row>
    <row r="866" spans="1:24" ht="12.75">
      <c r="A866" s="346" t="s">
        <v>401</v>
      </c>
      <c r="B866" s="347" t="s">
        <v>153</v>
      </c>
      <c r="C866" s="347" t="s">
        <v>813</v>
      </c>
      <c r="D866" s="347">
        <v>2019</v>
      </c>
      <c r="E866" s="347" t="s">
        <v>775</v>
      </c>
      <c r="F866" s="348">
        <v>205</v>
      </c>
      <c r="G866" s="348">
        <v>0</v>
      </c>
      <c r="H866" s="348">
        <v>0</v>
      </c>
      <c r="I866" s="348">
        <v>0</v>
      </c>
      <c r="J866" s="348">
        <v>123</v>
      </c>
      <c r="K866" s="348">
        <v>0</v>
      </c>
      <c r="L866" s="348">
        <v>0</v>
      </c>
      <c r="M866" s="348">
        <v>0</v>
      </c>
      <c r="N866" s="348">
        <v>137</v>
      </c>
      <c r="O866" s="348">
        <v>0</v>
      </c>
      <c r="P866" s="348">
        <v>350</v>
      </c>
      <c r="Q866" s="348">
        <v>0</v>
      </c>
      <c r="R866" s="350">
        <f t="shared" si="162"/>
        <v>815</v>
      </c>
      <c r="S866" s="348">
        <f t="shared" si="163"/>
        <v>0</v>
      </c>
      <c r="T866" s="348"/>
      <c r="U866" s="348"/>
      <c r="V866" s="348"/>
      <c r="W866" s="349"/>
      <c r="X866" s="349"/>
    </row>
    <row r="867" spans="1:24" ht="12.75">
      <c r="A867" s="346" t="s">
        <v>402</v>
      </c>
      <c r="B867" s="347" t="s">
        <v>153</v>
      </c>
      <c r="C867" s="347" t="s">
        <v>813</v>
      </c>
      <c r="D867" s="347">
        <v>2019</v>
      </c>
      <c r="E867" s="347" t="s">
        <v>775</v>
      </c>
      <c r="F867" s="348">
        <v>52</v>
      </c>
      <c r="G867" s="348">
        <v>0</v>
      </c>
      <c r="H867" s="348">
        <v>0</v>
      </c>
      <c r="I867" s="348">
        <v>0</v>
      </c>
      <c r="J867" s="348">
        <v>31</v>
      </c>
      <c r="K867" s="348">
        <v>2</v>
      </c>
      <c r="L867" s="348">
        <v>0</v>
      </c>
      <c r="M867" s="348">
        <v>2</v>
      </c>
      <c r="N867" s="348">
        <v>33</v>
      </c>
      <c r="O867" s="348">
        <v>16</v>
      </c>
      <c r="P867" s="348">
        <v>85</v>
      </c>
      <c r="Q867" s="348">
        <v>4</v>
      </c>
      <c r="R867" s="350">
        <f t="shared" si="162"/>
        <v>201</v>
      </c>
      <c r="S867" s="348">
        <f t="shared" si="163"/>
        <v>22</v>
      </c>
      <c r="T867" s="348"/>
      <c r="U867" s="348"/>
      <c r="V867" s="348"/>
      <c r="W867" s="349"/>
      <c r="X867" s="349"/>
    </row>
    <row r="868" spans="1:24" ht="12.75">
      <c r="A868" s="346" t="s">
        <v>403</v>
      </c>
      <c r="B868" s="347" t="s">
        <v>153</v>
      </c>
      <c r="C868" s="347" t="s">
        <v>813</v>
      </c>
      <c r="D868" s="347">
        <v>2019</v>
      </c>
      <c r="E868" s="347" t="s">
        <v>775</v>
      </c>
      <c r="F868" s="348">
        <v>1397</v>
      </c>
      <c r="G868" s="348">
        <v>0</v>
      </c>
      <c r="H868" s="348">
        <v>0</v>
      </c>
      <c r="I868" s="348">
        <v>0</v>
      </c>
      <c r="J868" s="348">
        <v>828</v>
      </c>
      <c r="K868" s="348">
        <v>0</v>
      </c>
      <c r="L868" s="348">
        <v>0</v>
      </c>
      <c r="M868" s="348">
        <v>0</v>
      </c>
      <c r="N868" s="348">
        <v>899</v>
      </c>
      <c r="O868" s="348">
        <v>149</v>
      </c>
      <c r="P868" s="348">
        <v>2334</v>
      </c>
      <c r="Q868" s="348">
        <v>0</v>
      </c>
      <c r="R868" s="350">
        <f t="shared" si="162"/>
        <v>5458</v>
      </c>
      <c r="S868" s="348">
        <f t="shared" si="163"/>
        <v>149</v>
      </c>
      <c r="T868" s="348"/>
      <c r="U868" s="348"/>
      <c r="V868" s="348"/>
      <c r="W868" s="349"/>
      <c r="X868" s="349"/>
    </row>
    <row r="869" spans="1:24" ht="12.75">
      <c r="A869" s="346" t="s">
        <v>404</v>
      </c>
      <c r="B869" s="347" t="s">
        <v>153</v>
      </c>
      <c r="C869" s="347" t="s">
        <v>813</v>
      </c>
      <c r="D869" s="347">
        <v>2019</v>
      </c>
      <c r="E869" s="347" t="s">
        <v>775</v>
      </c>
      <c r="F869" s="348">
        <v>4</v>
      </c>
      <c r="G869" s="348">
        <v>0</v>
      </c>
      <c r="H869" s="348">
        <v>0</v>
      </c>
      <c r="I869" s="348">
        <v>0</v>
      </c>
      <c r="J869" s="348">
        <v>3</v>
      </c>
      <c r="K869" s="348">
        <v>0</v>
      </c>
      <c r="L869" s="348">
        <v>0</v>
      </c>
      <c r="M869" s="348">
        <v>0</v>
      </c>
      <c r="N869" s="348">
        <v>3</v>
      </c>
      <c r="O869" s="348">
        <v>0</v>
      </c>
      <c r="P869" s="348">
        <v>6</v>
      </c>
      <c r="Q869" s="348">
        <v>10</v>
      </c>
      <c r="R869" s="350">
        <f t="shared" si="162"/>
        <v>16</v>
      </c>
      <c r="S869" s="348">
        <f t="shared" si="163"/>
        <v>10</v>
      </c>
      <c r="T869" s="348"/>
      <c r="U869" s="348"/>
      <c r="V869" s="348"/>
      <c r="W869" s="349"/>
      <c r="X869" s="349"/>
    </row>
    <row r="870" spans="1:24" ht="12.75">
      <c r="A870" s="346" t="s">
        <v>405</v>
      </c>
      <c r="B870" s="347" t="s">
        <v>153</v>
      </c>
      <c r="C870" s="347" t="s">
        <v>813</v>
      </c>
      <c r="D870" s="347">
        <v>2019</v>
      </c>
      <c r="E870" s="347" t="s">
        <v>775</v>
      </c>
      <c r="F870" s="348">
        <v>26</v>
      </c>
      <c r="G870" s="348">
        <v>0</v>
      </c>
      <c r="H870" s="348">
        <v>0</v>
      </c>
      <c r="I870" s="348">
        <v>0</v>
      </c>
      <c r="J870" s="348">
        <v>16</v>
      </c>
      <c r="K870" s="348">
        <v>0</v>
      </c>
      <c r="L870" s="348">
        <v>0</v>
      </c>
      <c r="M870" s="348">
        <v>0</v>
      </c>
      <c r="N870" s="348">
        <v>17</v>
      </c>
      <c r="O870" s="348">
        <v>0</v>
      </c>
      <c r="P870" s="348">
        <v>46</v>
      </c>
      <c r="Q870" s="348">
        <v>26</v>
      </c>
      <c r="R870" s="350">
        <f t="shared" si="162"/>
        <v>105</v>
      </c>
      <c r="S870" s="348">
        <f t="shared" si="163"/>
        <v>26</v>
      </c>
      <c r="T870" s="348"/>
      <c r="U870" s="348"/>
      <c r="V870" s="348"/>
      <c r="W870" s="349"/>
      <c r="X870" s="349"/>
    </row>
    <row r="871" spans="1:24" ht="12.75">
      <c r="A871" s="346" t="s">
        <v>406</v>
      </c>
      <c r="B871" s="347" t="s">
        <v>153</v>
      </c>
      <c r="C871" s="347" t="s">
        <v>813</v>
      </c>
      <c r="D871" s="347">
        <v>2019</v>
      </c>
      <c r="E871" s="347" t="s">
        <v>775</v>
      </c>
      <c r="F871" s="348">
        <v>340</v>
      </c>
      <c r="G871" s="348">
        <v>3</v>
      </c>
      <c r="H871" s="348">
        <v>3</v>
      </c>
      <c r="I871" s="348">
        <v>0</v>
      </c>
      <c r="J871" s="348">
        <v>207</v>
      </c>
      <c r="K871" s="348">
        <v>16</v>
      </c>
      <c r="L871" s="348">
        <v>16</v>
      </c>
      <c r="M871" s="348">
        <v>0</v>
      </c>
      <c r="N871" s="348">
        <v>224</v>
      </c>
      <c r="O871" s="348">
        <v>0</v>
      </c>
      <c r="P871" s="348">
        <v>561</v>
      </c>
      <c r="Q871" s="348">
        <v>242</v>
      </c>
      <c r="R871" s="350">
        <f t="shared" si="162"/>
        <v>1332</v>
      </c>
      <c r="S871" s="348">
        <f t="shared" si="163"/>
        <v>261</v>
      </c>
      <c r="T871" s="348"/>
      <c r="U871" s="348"/>
      <c r="V871" s="348"/>
      <c r="W871" s="349"/>
      <c r="X871" s="349"/>
    </row>
    <row r="872" spans="1:24" ht="12.75">
      <c r="A872" s="346" t="s">
        <v>407</v>
      </c>
      <c r="B872" s="347" t="s">
        <v>153</v>
      </c>
      <c r="C872" s="347" t="s">
        <v>813</v>
      </c>
      <c r="D872" s="347">
        <v>2019</v>
      </c>
      <c r="E872" s="347" t="s">
        <v>775</v>
      </c>
      <c r="F872" s="348">
        <v>217</v>
      </c>
      <c r="G872" s="348">
        <v>0</v>
      </c>
      <c r="H872" s="348">
        <v>0</v>
      </c>
      <c r="I872" s="348">
        <v>0</v>
      </c>
      <c r="J872" s="348">
        <v>131</v>
      </c>
      <c r="K872" s="348">
        <v>21</v>
      </c>
      <c r="L872" s="348">
        <v>0</v>
      </c>
      <c r="M872" s="348">
        <v>21</v>
      </c>
      <c r="N872" s="348">
        <v>140</v>
      </c>
      <c r="O872" s="348">
        <v>2</v>
      </c>
      <c r="P872" s="348">
        <v>362</v>
      </c>
      <c r="Q872" s="348">
        <v>0</v>
      </c>
      <c r="R872" s="350">
        <f t="shared" si="162"/>
        <v>850</v>
      </c>
      <c r="S872" s="348">
        <f t="shared" si="163"/>
        <v>23</v>
      </c>
      <c r="T872" s="348"/>
      <c r="U872" s="348"/>
      <c r="V872" s="348"/>
      <c r="W872" s="349"/>
      <c r="X872" s="349"/>
    </row>
    <row r="873" spans="1:24" ht="12.75">
      <c r="A873" s="346" t="s">
        <v>408</v>
      </c>
      <c r="B873" s="347" t="s">
        <v>153</v>
      </c>
      <c r="C873" s="347" t="s">
        <v>813</v>
      </c>
      <c r="D873" s="347">
        <v>2019</v>
      </c>
      <c r="E873" s="347" t="s">
        <v>775</v>
      </c>
      <c r="F873" s="348">
        <v>919</v>
      </c>
      <c r="G873" s="348">
        <v>0</v>
      </c>
      <c r="H873" s="348">
        <v>0</v>
      </c>
      <c r="I873" s="348">
        <v>0</v>
      </c>
      <c r="J873" s="348">
        <v>543</v>
      </c>
      <c r="K873" s="348">
        <v>61</v>
      </c>
      <c r="L873" s="348">
        <v>0</v>
      </c>
      <c r="M873" s="348">
        <v>61</v>
      </c>
      <c r="N873" s="348">
        <v>592</v>
      </c>
      <c r="O873" s="348">
        <v>0</v>
      </c>
      <c r="P873" s="348">
        <v>1572</v>
      </c>
      <c r="Q873" s="348">
        <v>144</v>
      </c>
      <c r="R873" s="350">
        <f t="shared" si="162"/>
        <v>3626</v>
      </c>
      <c r="S873" s="348">
        <f t="shared" si="163"/>
        <v>205</v>
      </c>
      <c r="T873" s="348"/>
      <c r="U873" s="348"/>
      <c r="V873" s="348"/>
      <c r="W873" s="349"/>
      <c r="X873" s="349"/>
    </row>
    <row r="874" spans="1:24" ht="12.75">
      <c r="A874" s="346" t="s">
        <v>409</v>
      </c>
      <c r="B874" s="347" t="s">
        <v>153</v>
      </c>
      <c r="C874" s="347" t="s">
        <v>813</v>
      </c>
      <c r="D874" s="347">
        <v>2019</v>
      </c>
      <c r="E874" s="347" t="s">
        <v>775</v>
      </c>
      <c r="F874" s="348">
        <v>8</v>
      </c>
      <c r="G874" s="348">
        <v>0</v>
      </c>
      <c r="H874" s="348">
        <v>0</v>
      </c>
      <c r="I874" s="348">
        <v>0</v>
      </c>
      <c r="J874" s="348">
        <v>5</v>
      </c>
      <c r="K874" s="348">
        <v>0</v>
      </c>
      <c r="L874" s="348">
        <v>0</v>
      </c>
      <c r="M874" s="348">
        <v>0</v>
      </c>
      <c r="N874" s="348">
        <v>5</v>
      </c>
      <c r="O874" s="348">
        <v>1</v>
      </c>
      <c r="P874" s="348">
        <v>13</v>
      </c>
      <c r="Q874" s="348">
        <v>9</v>
      </c>
      <c r="R874" s="350">
        <f t="shared" si="162"/>
        <v>31</v>
      </c>
      <c r="S874" s="348">
        <f t="shared" si="163"/>
        <v>10</v>
      </c>
      <c r="T874" s="348"/>
      <c r="U874" s="348"/>
      <c r="V874" s="348"/>
      <c r="W874" s="349"/>
      <c r="X874" s="349"/>
    </row>
    <row r="875" spans="1:24" ht="12.75">
      <c r="A875" s="346" t="s">
        <v>410</v>
      </c>
      <c r="B875" s="347" t="s">
        <v>153</v>
      </c>
      <c r="C875" s="347" t="s">
        <v>813</v>
      </c>
      <c r="D875" s="347">
        <v>2019</v>
      </c>
      <c r="E875" s="347" t="s">
        <v>775</v>
      </c>
      <c r="F875" s="348">
        <v>372</v>
      </c>
      <c r="G875" s="348">
        <v>0</v>
      </c>
      <c r="H875" s="348">
        <v>0</v>
      </c>
      <c r="I875" s="348">
        <v>0</v>
      </c>
      <c r="J875" s="348">
        <v>223</v>
      </c>
      <c r="K875" s="348">
        <v>16</v>
      </c>
      <c r="L875" s="348">
        <v>0</v>
      </c>
      <c r="M875" s="348">
        <v>16</v>
      </c>
      <c r="N875" s="348">
        <v>238</v>
      </c>
      <c r="O875" s="348">
        <v>0</v>
      </c>
      <c r="P875" s="348">
        <v>564</v>
      </c>
      <c r="Q875" s="348">
        <v>127</v>
      </c>
      <c r="R875" s="350">
        <f t="shared" si="162"/>
        <v>1397</v>
      </c>
      <c r="S875" s="348">
        <f t="shared" si="163"/>
        <v>143</v>
      </c>
      <c r="T875" s="348"/>
      <c r="U875" s="348"/>
      <c r="V875" s="348"/>
      <c r="W875" s="349"/>
      <c r="X875" s="349"/>
    </row>
    <row r="876" spans="1:24" ht="12.75">
      <c r="A876" s="346" t="s">
        <v>412</v>
      </c>
      <c r="B876" s="347" t="s">
        <v>153</v>
      </c>
      <c r="C876" s="347" t="s">
        <v>813</v>
      </c>
      <c r="D876" s="347">
        <v>2019</v>
      </c>
      <c r="E876" s="347" t="s">
        <v>775</v>
      </c>
      <c r="F876" s="348">
        <v>1</v>
      </c>
      <c r="G876" s="348">
        <v>0</v>
      </c>
      <c r="H876" s="348">
        <v>0</v>
      </c>
      <c r="I876" s="348">
        <v>0</v>
      </c>
      <c r="J876" s="348">
        <v>1</v>
      </c>
      <c r="K876" s="348">
        <v>0</v>
      </c>
      <c r="L876" s="348">
        <v>0</v>
      </c>
      <c r="M876" s="348">
        <v>0</v>
      </c>
      <c r="N876" s="348">
        <v>1</v>
      </c>
      <c r="O876" s="348">
        <v>1</v>
      </c>
      <c r="P876" s="348">
        <v>2</v>
      </c>
      <c r="Q876" s="348">
        <v>104</v>
      </c>
      <c r="R876" s="350">
        <f t="shared" si="162"/>
        <v>5</v>
      </c>
      <c r="S876" s="348">
        <f t="shared" si="163"/>
        <v>105</v>
      </c>
      <c r="T876" s="348"/>
      <c r="U876" s="348"/>
      <c r="V876" s="348"/>
      <c r="W876" s="349"/>
      <c r="X876" s="349"/>
    </row>
    <row r="877" spans="1:24" ht="12.75">
      <c r="A877" s="346" t="s">
        <v>413</v>
      </c>
      <c r="B877" s="347" t="s">
        <v>153</v>
      </c>
      <c r="C877" s="347" t="s">
        <v>813</v>
      </c>
      <c r="D877" s="347">
        <v>2019</v>
      </c>
      <c r="E877" s="347" t="s">
        <v>775</v>
      </c>
      <c r="F877" s="348">
        <v>153</v>
      </c>
      <c r="G877" s="348">
        <v>0</v>
      </c>
      <c r="H877" s="348">
        <v>0</v>
      </c>
      <c r="I877" s="348">
        <v>0</v>
      </c>
      <c r="J877" s="348">
        <v>88</v>
      </c>
      <c r="K877" s="348">
        <v>0</v>
      </c>
      <c r="L877" s="348">
        <v>0</v>
      </c>
      <c r="M877" s="348">
        <v>0</v>
      </c>
      <c r="N877" s="348">
        <v>99</v>
      </c>
      <c r="O877" s="348">
        <v>0</v>
      </c>
      <c r="P877" s="348">
        <v>262</v>
      </c>
      <c r="Q877" s="348">
        <v>66</v>
      </c>
      <c r="R877" s="350">
        <f t="shared" si="162"/>
        <v>602</v>
      </c>
      <c r="S877" s="348">
        <f t="shared" si="163"/>
        <v>66</v>
      </c>
      <c r="T877" s="348"/>
      <c r="U877" s="348"/>
      <c r="V877" s="348"/>
      <c r="W877" s="349"/>
      <c r="X877" s="349"/>
    </row>
    <row r="878" spans="1:24" ht="12.75">
      <c r="A878" s="346" t="s">
        <v>414</v>
      </c>
      <c r="B878" s="347" t="s">
        <v>153</v>
      </c>
      <c r="C878" s="347" t="s">
        <v>813</v>
      </c>
      <c r="D878" s="347">
        <v>2019</v>
      </c>
      <c r="E878" s="347" t="s">
        <v>775</v>
      </c>
      <c r="F878" s="348">
        <v>121</v>
      </c>
      <c r="G878" s="348">
        <v>0</v>
      </c>
      <c r="H878" s="348">
        <v>0</v>
      </c>
      <c r="I878" s="348">
        <v>0</v>
      </c>
      <c r="J878" s="348">
        <v>72</v>
      </c>
      <c r="K878" s="348">
        <v>0</v>
      </c>
      <c r="L878" s="348">
        <v>0</v>
      </c>
      <c r="M878" s="348">
        <v>0</v>
      </c>
      <c r="N878" s="348">
        <v>77</v>
      </c>
      <c r="O878" s="348">
        <v>0</v>
      </c>
      <c r="P878" s="348">
        <v>193</v>
      </c>
      <c r="Q878" s="348">
        <v>15</v>
      </c>
      <c r="R878" s="350">
        <f t="shared" si="162"/>
        <v>463</v>
      </c>
      <c r="S878" s="348">
        <f t="shared" si="163"/>
        <v>15</v>
      </c>
      <c r="T878" s="348"/>
      <c r="U878" s="348"/>
      <c r="V878" s="348"/>
      <c r="W878" s="349"/>
      <c r="X878" s="349"/>
    </row>
    <row r="879" spans="1:24" ht="12.75">
      <c r="A879" s="346" t="s">
        <v>415</v>
      </c>
      <c r="B879" s="347" t="s">
        <v>153</v>
      </c>
      <c r="C879" s="347" t="s">
        <v>813</v>
      </c>
      <c r="D879" s="347">
        <v>2019</v>
      </c>
      <c r="E879" s="347" t="s">
        <v>775</v>
      </c>
      <c r="F879" s="348">
        <v>55</v>
      </c>
      <c r="G879" s="348">
        <v>0</v>
      </c>
      <c r="H879" s="348">
        <v>0</v>
      </c>
      <c r="I879" s="348">
        <v>0</v>
      </c>
      <c r="J879" s="348">
        <v>32</v>
      </c>
      <c r="K879" s="348">
        <v>46</v>
      </c>
      <c r="L879" s="348">
        <v>0</v>
      </c>
      <c r="M879" s="348">
        <v>46</v>
      </c>
      <c r="N879" s="348">
        <v>35</v>
      </c>
      <c r="O879" s="348">
        <v>16</v>
      </c>
      <c r="P879" s="348">
        <v>95</v>
      </c>
      <c r="Q879" s="348">
        <v>4</v>
      </c>
      <c r="R879" s="350">
        <f t="shared" si="162"/>
        <v>217</v>
      </c>
      <c r="S879" s="348">
        <f t="shared" si="163"/>
        <v>66</v>
      </c>
      <c r="T879" s="348"/>
      <c r="U879" s="348"/>
      <c r="V879" s="348"/>
      <c r="W879" s="349"/>
      <c r="X879" s="349"/>
    </row>
    <row r="880" spans="1:24" ht="12.75">
      <c r="A880" s="346" t="s">
        <v>416</v>
      </c>
      <c r="B880" s="347" t="s">
        <v>153</v>
      </c>
      <c r="C880" s="347" t="s">
        <v>813</v>
      </c>
      <c r="D880" s="347">
        <v>2019</v>
      </c>
      <c r="E880" s="347" t="s">
        <v>775</v>
      </c>
      <c r="F880" s="348">
        <v>236</v>
      </c>
      <c r="G880" s="348">
        <v>0</v>
      </c>
      <c r="H880" s="348">
        <v>0</v>
      </c>
      <c r="I880" s="348">
        <v>0</v>
      </c>
      <c r="J880" s="348">
        <v>142</v>
      </c>
      <c r="K880" s="348">
        <v>21</v>
      </c>
      <c r="L880" s="348">
        <v>0</v>
      </c>
      <c r="M880" s="348">
        <v>21</v>
      </c>
      <c r="N880" s="348">
        <v>154</v>
      </c>
      <c r="O880" s="348">
        <v>0</v>
      </c>
      <c r="P880" s="348">
        <v>398</v>
      </c>
      <c r="Q880" s="348">
        <v>13</v>
      </c>
      <c r="R880" s="350">
        <f t="shared" si="162"/>
        <v>930</v>
      </c>
      <c r="S880" s="348">
        <f t="shared" si="163"/>
        <v>34</v>
      </c>
      <c r="T880" s="348"/>
      <c r="U880" s="348"/>
      <c r="V880" s="348"/>
      <c r="W880" s="349"/>
      <c r="X880" s="349"/>
    </row>
    <row r="881" spans="1:24" ht="12.75">
      <c r="A881" s="346" t="s">
        <v>417</v>
      </c>
      <c r="B881" s="347" t="s">
        <v>153</v>
      </c>
      <c r="C881" s="347" t="s">
        <v>813</v>
      </c>
      <c r="D881" s="347">
        <v>2019</v>
      </c>
      <c r="E881" s="347" t="s">
        <v>775</v>
      </c>
      <c r="F881" s="348">
        <v>1</v>
      </c>
      <c r="G881" s="348">
        <v>0</v>
      </c>
      <c r="H881" s="348">
        <v>0</v>
      </c>
      <c r="I881" s="348">
        <v>0</v>
      </c>
      <c r="J881" s="348">
        <v>1</v>
      </c>
      <c r="K881" s="348">
        <v>8</v>
      </c>
      <c r="L881" s="348">
        <v>8</v>
      </c>
      <c r="M881" s="348">
        <v>0</v>
      </c>
      <c r="N881" s="348">
        <v>0</v>
      </c>
      <c r="O881" s="348">
        <v>0</v>
      </c>
      <c r="P881" s="348">
        <v>0</v>
      </c>
      <c r="Q881" s="348">
        <v>4</v>
      </c>
      <c r="R881" s="350">
        <f t="shared" si="162"/>
        <v>2</v>
      </c>
      <c r="S881" s="348">
        <f t="shared" si="163"/>
        <v>12</v>
      </c>
      <c r="T881" s="348"/>
      <c r="U881" s="348"/>
      <c r="V881" s="348"/>
      <c r="W881" s="349"/>
      <c r="X881" s="349"/>
    </row>
    <row r="882" spans="1:24" ht="12.75">
      <c r="A882" s="346" t="s">
        <v>418</v>
      </c>
      <c r="B882" s="347" t="s">
        <v>153</v>
      </c>
      <c r="C882" s="347" t="s">
        <v>813</v>
      </c>
      <c r="D882" s="347">
        <v>2019</v>
      </c>
      <c r="E882" s="347" t="s">
        <v>775</v>
      </c>
      <c r="F882" s="348">
        <v>2645</v>
      </c>
      <c r="G882" s="348">
        <v>0</v>
      </c>
      <c r="H882" s="348">
        <v>0</v>
      </c>
      <c r="I882" s="348">
        <v>0</v>
      </c>
      <c r="J882" s="348">
        <v>1678</v>
      </c>
      <c r="K882" s="348">
        <v>0</v>
      </c>
      <c r="L882" s="348">
        <v>0</v>
      </c>
      <c r="M882" s="348">
        <v>0</v>
      </c>
      <c r="N882" s="348">
        <v>1532</v>
      </c>
      <c r="O882" s="348">
        <v>0</v>
      </c>
      <c r="P882" s="348">
        <v>5126</v>
      </c>
      <c r="Q882" s="348">
        <v>925</v>
      </c>
      <c r="R882" s="350">
        <f t="shared" si="162"/>
        <v>10981</v>
      </c>
      <c r="S882" s="348">
        <f t="shared" si="163"/>
        <v>925</v>
      </c>
      <c r="T882" s="348"/>
      <c r="U882" s="348"/>
      <c r="V882" s="348"/>
      <c r="W882" s="349"/>
      <c r="X882" s="349"/>
    </row>
    <row r="883" spans="1:24" ht="12.75">
      <c r="A883" s="346" t="s">
        <v>419</v>
      </c>
      <c r="B883" s="347" t="s">
        <v>153</v>
      </c>
      <c r="C883" s="347" t="s">
        <v>813</v>
      </c>
      <c r="D883" s="347">
        <v>2019</v>
      </c>
      <c r="E883" s="347" t="s">
        <v>775</v>
      </c>
      <c r="F883" s="348">
        <v>82</v>
      </c>
      <c r="G883" s="348">
        <v>0</v>
      </c>
      <c r="H883" s="348">
        <v>0</v>
      </c>
      <c r="I883" s="348">
        <v>0</v>
      </c>
      <c r="J883" s="348">
        <v>50</v>
      </c>
      <c r="K883" s="348">
        <v>10</v>
      </c>
      <c r="L883" s="348">
        <v>0</v>
      </c>
      <c r="M883" s="348">
        <v>10</v>
      </c>
      <c r="N883" s="348">
        <v>53</v>
      </c>
      <c r="O883" s="348">
        <v>0</v>
      </c>
      <c r="P883" s="348">
        <v>139</v>
      </c>
      <c r="Q883" s="348">
        <v>0</v>
      </c>
      <c r="R883" s="350">
        <f t="shared" si="162"/>
        <v>324</v>
      </c>
      <c r="S883" s="348">
        <f t="shared" si="163"/>
        <v>10</v>
      </c>
      <c r="T883" s="348"/>
      <c r="U883" s="348"/>
      <c r="V883" s="348"/>
      <c r="W883" s="349"/>
      <c r="X883" s="349"/>
    </row>
    <row r="884" spans="1:24" ht="12.75">
      <c r="A884" s="346" t="s">
        <v>420</v>
      </c>
      <c r="B884" s="347" t="s">
        <v>153</v>
      </c>
      <c r="C884" s="347" t="s">
        <v>813</v>
      </c>
      <c r="D884" s="347">
        <v>2019</v>
      </c>
      <c r="E884" s="347" t="s">
        <v>775</v>
      </c>
      <c r="F884" s="348">
        <v>428</v>
      </c>
      <c r="G884" s="348">
        <v>9</v>
      </c>
      <c r="H884" s="348">
        <v>9</v>
      </c>
      <c r="I884" s="348">
        <v>0</v>
      </c>
      <c r="J884" s="348">
        <v>263</v>
      </c>
      <c r="K884" s="348">
        <v>39</v>
      </c>
      <c r="L884" s="348">
        <v>39</v>
      </c>
      <c r="M884" s="348">
        <v>0</v>
      </c>
      <c r="N884" s="348">
        <v>283</v>
      </c>
      <c r="O884" s="348">
        <v>0</v>
      </c>
      <c r="P884" s="348">
        <v>700</v>
      </c>
      <c r="Q884" s="348">
        <v>450</v>
      </c>
      <c r="R884" s="350">
        <f t="shared" si="162"/>
        <v>1674</v>
      </c>
      <c r="S884" s="348">
        <f t="shared" si="163"/>
        <v>498</v>
      </c>
      <c r="T884" s="348"/>
      <c r="U884" s="348"/>
      <c r="V884" s="348"/>
      <c r="W884" s="349"/>
      <c r="X884" s="349"/>
    </row>
    <row r="885" spans="1:24" ht="12.75">
      <c r="A885" s="346" t="s">
        <v>421</v>
      </c>
      <c r="B885" s="347" t="s">
        <v>153</v>
      </c>
      <c r="C885" s="347" t="s">
        <v>813</v>
      </c>
      <c r="D885" s="347">
        <v>2019</v>
      </c>
      <c r="E885" s="347" t="s">
        <v>775</v>
      </c>
      <c r="F885" s="348">
        <v>14</v>
      </c>
      <c r="G885" s="348">
        <v>0</v>
      </c>
      <c r="H885" s="348">
        <v>0</v>
      </c>
      <c r="I885" s="348">
        <v>0</v>
      </c>
      <c r="J885" s="348">
        <v>9</v>
      </c>
      <c r="K885" s="348">
        <v>8</v>
      </c>
      <c r="L885" s="348">
        <v>0</v>
      </c>
      <c r="M885" s="348">
        <v>8</v>
      </c>
      <c r="N885" s="348">
        <v>9</v>
      </c>
      <c r="O885" s="348">
        <v>0</v>
      </c>
      <c r="P885" s="348">
        <v>23</v>
      </c>
      <c r="Q885" s="348">
        <v>0</v>
      </c>
      <c r="R885" s="350">
        <f t="shared" si="162"/>
        <v>55</v>
      </c>
      <c r="S885" s="348">
        <f t="shared" si="163"/>
        <v>8</v>
      </c>
      <c r="T885" s="348"/>
      <c r="U885" s="348"/>
      <c r="V885" s="348"/>
      <c r="W885" s="349"/>
      <c r="X885" s="349"/>
    </row>
    <row r="886" spans="1:24" ht="12.75">
      <c r="A886" s="346" t="s">
        <v>422</v>
      </c>
      <c r="B886" s="347" t="s">
        <v>153</v>
      </c>
      <c r="C886" s="347" t="s">
        <v>813</v>
      </c>
      <c r="D886" s="347">
        <v>2019</v>
      </c>
      <c r="E886" s="347" t="s">
        <v>775</v>
      </c>
      <c r="F886" s="348">
        <v>44</v>
      </c>
      <c r="G886" s="348">
        <v>0</v>
      </c>
      <c r="H886" s="348">
        <v>0</v>
      </c>
      <c r="I886" s="348">
        <v>0</v>
      </c>
      <c r="J886" s="348">
        <v>27</v>
      </c>
      <c r="K886" s="348">
        <v>0</v>
      </c>
      <c r="L886" s="348">
        <v>0</v>
      </c>
      <c r="M886" s="348">
        <v>0</v>
      </c>
      <c r="N886" s="348">
        <v>28</v>
      </c>
      <c r="O886" s="348">
        <v>1</v>
      </c>
      <c r="P886" s="348">
        <v>70</v>
      </c>
      <c r="Q886" s="348">
        <v>3</v>
      </c>
      <c r="R886" s="350">
        <f t="shared" si="162"/>
        <v>169</v>
      </c>
      <c r="S886" s="348">
        <f t="shared" si="163"/>
        <v>4</v>
      </c>
      <c r="T886" s="348"/>
      <c r="U886" s="348"/>
      <c r="V886" s="348"/>
      <c r="W886" s="349"/>
      <c r="X886" s="349"/>
    </row>
    <row r="887" spans="1:24" ht="12.75">
      <c r="A887" s="346" t="s">
        <v>423</v>
      </c>
      <c r="B887" s="347" t="s">
        <v>153</v>
      </c>
      <c r="C887" s="347" t="s">
        <v>813</v>
      </c>
      <c r="D887" s="347">
        <v>2019</v>
      </c>
      <c r="E887" s="347" t="s">
        <v>775</v>
      </c>
      <c r="F887" s="348">
        <v>43</v>
      </c>
      <c r="G887" s="348">
        <v>0</v>
      </c>
      <c r="H887" s="348">
        <v>0</v>
      </c>
      <c r="I887" s="348">
        <v>0</v>
      </c>
      <c r="J887" s="348">
        <v>25</v>
      </c>
      <c r="K887" s="348">
        <v>0</v>
      </c>
      <c r="L887" s="348">
        <v>0</v>
      </c>
      <c r="M887" s="348">
        <v>0</v>
      </c>
      <c r="N887" s="348">
        <v>28</v>
      </c>
      <c r="O887" s="348">
        <v>0</v>
      </c>
      <c r="P887" s="348">
        <v>76</v>
      </c>
      <c r="Q887" s="348">
        <v>11</v>
      </c>
      <c r="R887" s="350">
        <f t="shared" si="162"/>
        <v>172</v>
      </c>
      <c r="S887" s="348">
        <f t="shared" si="163"/>
        <v>11</v>
      </c>
      <c r="T887" s="348"/>
      <c r="U887" s="348"/>
      <c r="V887" s="348"/>
      <c r="W887" s="349"/>
      <c r="X887" s="349"/>
    </row>
    <row r="888" spans="1:24" ht="12.75">
      <c r="A888" s="346" t="s">
        <v>424</v>
      </c>
      <c r="B888" s="347" t="s">
        <v>153</v>
      </c>
      <c r="C888" s="347" t="s">
        <v>813</v>
      </c>
      <c r="D888" s="347">
        <v>2019</v>
      </c>
      <c r="E888" s="347" t="s">
        <v>775</v>
      </c>
      <c r="F888" s="348">
        <v>314</v>
      </c>
      <c r="G888" s="348">
        <v>0</v>
      </c>
      <c r="H888" s="348">
        <v>0</v>
      </c>
      <c r="I888" s="348">
        <v>0</v>
      </c>
      <c r="J888" s="348">
        <v>185</v>
      </c>
      <c r="K888" s="348">
        <v>0</v>
      </c>
      <c r="L888" s="348">
        <v>0</v>
      </c>
      <c r="M888" s="348">
        <v>0</v>
      </c>
      <c r="N888" s="348">
        <v>205</v>
      </c>
      <c r="O888" s="348">
        <v>493</v>
      </c>
      <c r="P888" s="348">
        <v>558</v>
      </c>
      <c r="Q888" s="348">
        <v>7</v>
      </c>
      <c r="R888" s="350">
        <f t="shared" si="162"/>
        <v>1262</v>
      </c>
      <c r="S888" s="348">
        <f t="shared" si="163"/>
        <v>500</v>
      </c>
      <c r="T888" s="348"/>
      <c r="U888" s="348"/>
      <c r="V888" s="348"/>
      <c r="W888" s="349"/>
      <c r="X888" s="349"/>
    </row>
    <row r="889" spans="1:24" ht="12.75">
      <c r="A889" s="346" t="s">
        <v>425</v>
      </c>
      <c r="B889" s="347" t="s">
        <v>153</v>
      </c>
      <c r="C889" s="347" t="s">
        <v>813</v>
      </c>
      <c r="D889" s="347">
        <v>2019</v>
      </c>
      <c r="E889" s="347" t="s">
        <v>775</v>
      </c>
      <c r="F889" s="348">
        <v>17</v>
      </c>
      <c r="G889" s="348">
        <v>0</v>
      </c>
      <c r="H889" s="348">
        <v>0</v>
      </c>
      <c r="I889" s="348">
        <v>0</v>
      </c>
      <c r="J889" s="348">
        <v>10</v>
      </c>
      <c r="K889" s="348">
        <v>0</v>
      </c>
      <c r="L889" s="348">
        <v>0</v>
      </c>
      <c r="M889" s="348">
        <v>0</v>
      </c>
      <c r="N889" s="348">
        <v>11</v>
      </c>
      <c r="O889" s="348">
        <v>0</v>
      </c>
      <c r="P889" s="348">
        <v>25</v>
      </c>
      <c r="Q889" s="348">
        <v>10</v>
      </c>
      <c r="R889" s="350">
        <f t="shared" si="162"/>
        <v>63</v>
      </c>
      <c r="S889" s="348">
        <f t="shared" si="163"/>
        <v>10</v>
      </c>
      <c r="T889" s="348"/>
      <c r="U889" s="348"/>
      <c r="V889" s="348"/>
      <c r="W889" s="349"/>
      <c r="X889" s="349"/>
    </row>
    <row r="890" spans="1:24" ht="12.75">
      <c r="A890" s="346" t="s">
        <v>426</v>
      </c>
      <c r="B890" s="347" t="s">
        <v>153</v>
      </c>
      <c r="C890" s="347" t="s">
        <v>813</v>
      </c>
      <c r="D890" s="347">
        <v>2019</v>
      </c>
      <c r="E890" s="347" t="s">
        <v>775</v>
      </c>
      <c r="F890" s="348">
        <v>159</v>
      </c>
      <c r="G890" s="348">
        <v>33</v>
      </c>
      <c r="H890" s="348">
        <v>0</v>
      </c>
      <c r="I890" s="348">
        <v>33</v>
      </c>
      <c r="J890" s="348">
        <v>93</v>
      </c>
      <c r="K890" s="348">
        <v>0</v>
      </c>
      <c r="L890" s="348">
        <v>0</v>
      </c>
      <c r="M890" s="348">
        <v>0</v>
      </c>
      <c r="N890" s="348">
        <v>99</v>
      </c>
      <c r="O890" s="348">
        <v>0</v>
      </c>
      <c r="P890" s="348">
        <v>252</v>
      </c>
      <c r="Q890" s="348">
        <v>42</v>
      </c>
      <c r="R890" s="350">
        <f t="shared" si="162"/>
        <v>603</v>
      </c>
      <c r="S890" s="348">
        <f t="shared" si="163"/>
        <v>75</v>
      </c>
      <c r="T890" s="348"/>
      <c r="U890" s="348"/>
      <c r="V890" s="348"/>
      <c r="W890" s="349"/>
      <c r="X890" s="349"/>
    </row>
    <row r="891" spans="1:24" ht="12.75">
      <c r="A891" s="346" t="s">
        <v>427</v>
      </c>
      <c r="B891" s="347" t="s">
        <v>153</v>
      </c>
      <c r="C891" s="347" t="s">
        <v>813</v>
      </c>
      <c r="D891" s="347">
        <v>2019</v>
      </c>
      <c r="E891" s="347" t="s">
        <v>775</v>
      </c>
      <c r="F891" s="348">
        <v>380</v>
      </c>
      <c r="G891" s="348">
        <v>0</v>
      </c>
      <c r="H891" s="348">
        <v>0</v>
      </c>
      <c r="I891" s="348">
        <v>0</v>
      </c>
      <c r="J891" s="348">
        <v>227</v>
      </c>
      <c r="K891" s="348">
        <v>0</v>
      </c>
      <c r="L891" s="348">
        <v>0</v>
      </c>
      <c r="M891" s="348">
        <v>0</v>
      </c>
      <c r="N891" s="348">
        <v>243</v>
      </c>
      <c r="O891" s="348">
        <v>0</v>
      </c>
      <c r="P891" s="348">
        <v>600</v>
      </c>
      <c r="Q891" s="348">
        <v>65</v>
      </c>
      <c r="R891" s="350">
        <f t="shared" si="162"/>
        <v>1450</v>
      </c>
      <c r="S891" s="348">
        <f t="shared" si="163"/>
        <v>65</v>
      </c>
      <c r="T891" s="348"/>
      <c r="U891" s="348"/>
      <c r="V891" s="348"/>
      <c r="W891" s="349"/>
      <c r="X891" s="349"/>
    </row>
    <row r="892" spans="1:24" ht="12.75">
      <c r="A892" s="346" t="s">
        <v>428</v>
      </c>
      <c r="B892" s="347" t="s">
        <v>153</v>
      </c>
      <c r="C892" s="347" t="s">
        <v>813</v>
      </c>
      <c r="D892" s="347">
        <v>2019</v>
      </c>
      <c r="E892" s="347" t="s">
        <v>775</v>
      </c>
      <c r="F892" s="348">
        <v>1</v>
      </c>
      <c r="G892" s="348">
        <v>0</v>
      </c>
      <c r="H892" s="348">
        <v>0</v>
      </c>
      <c r="I892" s="348">
        <v>0</v>
      </c>
      <c r="J892" s="348">
        <v>1</v>
      </c>
      <c r="K892" s="348">
        <v>0</v>
      </c>
      <c r="L892" s="348">
        <v>0</v>
      </c>
      <c r="M892" s="348">
        <v>0</v>
      </c>
      <c r="N892" s="348">
        <v>0</v>
      </c>
      <c r="O892" s="348">
        <v>0</v>
      </c>
      <c r="P892" s="348">
        <v>0</v>
      </c>
      <c r="Q892" s="348">
        <v>0</v>
      </c>
      <c r="R892" s="350">
        <f t="shared" si="162"/>
        <v>2</v>
      </c>
      <c r="S892" s="348">
        <f t="shared" si="163"/>
        <v>0</v>
      </c>
      <c r="T892" s="348"/>
      <c r="U892" s="348"/>
      <c r="V892" s="348"/>
      <c r="W892" s="349"/>
      <c r="X892" s="349"/>
    </row>
    <row r="893" spans="1:24" ht="12.75">
      <c r="A893" s="346" t="s">
        <v>429</v>
      </c>
      <c r="B893" s="347" t="s">
        <v>153</v>
      </c>
      <c r="C893" s="347" t="s">
        <v>813</v>
      </c>
      <c r="D893" s="347">
        <v>2019</v>
      </c>
      <c r="E893" s="347" t="s">
        <v>775</v>
      </c>
      <c r="F893" s="348">
        <v>246</v>
      </c>
      <c r="G893" s="348">
        <v>0</v>
      </c>
      <c r="H893" s="348">
        <v>0</v>
      </c>
      <c r="I893" s="348">
        <v>0</v>
      </c>
      <c r="J893" s="348">
        <v>144</v>
      </c>
      <c r="K893" s="348">
        <v>0</v>
      </c>
      <c r="L893" s="348">
        <v>0</v>
      </c>
      <c r="M893" s="348">
        <v>0</v>
      </c>
      <c r="N893" s="348">
        <v>155</v>
      </c>
      <c r="O893" s="348">
        <v>0</v>
      </c>
      <c r="P893" s="348">
        <v>363</v>
      </c>
      <c r="Q893" s="348">
        <v>19</v>
      </c>
      <c r="R893" s="350">
        <f t="shared" si="162"/>
        <v>908</v>
      </c>
      <c r="S893" s="348">
        <f t="shared" si="163"/>
        <v>19</v>
      </c>
      <c r="T893" s="348"/>
      <c r="U893" s="348"/>
      <c r="V893" s="348"/>
      <c r="W893" s="349"/>
      <c r="X893" s="349"/>
    </row>
    <row r="894" spans="1:24" ht="12.75">
      <c r="A894" s="346" t="s">
        <v>430</v>
      </c>
      <c r="B894" s="347" t="s">
        <v>153</v>
      </c>
      <c r="C894" s="347" t="s">
        <v>813</v>
      </c>
      <c r="D894" s="347">
        <v>2019</v>
      </c>
      <c r="E894" s="347" t="s">
        <v>775</v>
      </c>
      <c r="F894" s="348">
        <v>217</v>
      </c>
      <c r="G894" s="348">
        <v>0</v>
      </c>
      <c r="H894" s="348">
        <v>0</v>
      </c>
      <c r="I894" s="348">
        <v>0</v>
      </c>
      <c r="J894" s="348">
        <v>129</v>
      </c>
      <c r="K894" s="348">
        <v>0</v>
      </c>
      <c r="L894" s="348">
        <v>0</v>
      </c>
      <c r="M894" s="348">
        <v>0</v>
      </c>
      <c r="N894" s="348">
        <v>138</v>
      </c>
      <c r="O894" s="348">
        <v>0</v>
      </c>
      <c r="P894" s="348">
        <v>347</v>
      </c>
      <c r="Q894" s="348">
        <v>48</v>
      </c>
      <c r="R894" s="350">
        <f t="shared" si="162"/>
        <v>831</v>
      </c>
      <c r="S894" s="348">
        <f t="shared" si="163"/>
        <v>48</v>
      </c>
      <c r="T894" s="348"/>
      <c r="U894" s="348"/>
      <c r="V894" s="348"/>
      <c r="W894" s="349"/>
      <c r="X894" s="349"/>
    </row>
    <row r="895" spans="1:24" ht="12.75">
      <c r="A895" s="346" t="s">
        <v>431</v>
      </c>
      <c r="B895" s="347" t="s">
        <v>153</v>
      </c>
      <c r="C895" s="347" t="s">
        <v>813</v>
      </c>
      <c r="D895" s="347">
        <v>2019</v>
      </c>
      <c r="E895" s="347" t="s">
        <v>775</v>
      </c>
      <c r="F895" s="348">
        <v>19</v>
      </c>
      <c r="G895" s="348">
        <v>0</v>
      </c>
      <c r="H895" s="348">
        <v>0</v>
      </c>
      <c r="I895" s="348">
        <v>0</v>
      </c>
      <c r="J895" s="348">
        <v>12</v>
      </c>
      <c r="K895" s="348">
        <v>0</v>
      </c>
      <c r="L895" s="348">
        <v>0</v>
      </c>
      <c r="M895" s="348">
        <v>0</v>
      </c>
      <c r="N895" s="348">
        <v>13</v>
      </c>
      <c r="O895" s="348">
        <v>0</v>
      </c>
      <c r="P895" s="348">
        <v>33</v>
      </c>
      <c r="Q895" s="348">
        <v>9</v>
      </c>
      <c r="R895" s="350">
        <f t="shared" si="162"/>
        <v>77</v>
      </c>
      <c r="S895" s="348">
        <f t="shared" si="163"/>
        <v>9</v>
      </c>
      <c r="T895" s="348"/>
      <c r="U895" s="348"/>
      <c r="V895" s="348"/>
      <c r="W895" s="349"/>
      <c r="X895" s="349"/>
    </row>
    <row r="896" spans="1:24" ht="12.75">
      <c r="A896" s="346" t="s">
        <v>432</v>
      </c>
      <c r="B896" s="347" t="s">
        <v>153</v>
      </c>
      <c r="C896" s="347" t="s">
        <v>813</v>
      </c>
      <c r="D896" s="347">
        <v>2019</v>
      </c>
      <c r="E896" s="347" t="s">
        <v>775</v>
      </c>
      <c r="F896" s="348">
        <v>12</v>
      </c>
      <c r="G896" s="348">
        <v>0</v>
      </c>
      <c r="H896" s="348">
        <v>0</v>
      </c>
      <c r="I896" s="348">
        <v>0</v>
      </c>
      <c r="J896" s="348">
        <v>7</v>
      </c>
      <c r="K896" s="348">
        <v>0</v>
      </c>
      <c r="L896" s="348">
        <v>0</v>
      </c>
      <c r="M896" s="348">
        <v>0</v>
      </c>
      <c r="N896" s="348">
        <v>8</v>
      </c>
      <c r="O896" s="348">
        <v>0</v>
      </c>
      <c r="P896" s="348">
        <v>18</v>
      </c>
      <c r="Q896" s="348">
        <v>0</v>
      </c>
      <c r="R896" s="350">
        <f t="shared" si="162"/>
        <v>45</v>
      </c>
      <c r="S896" s="348">
        <f t="shared" si="163"/>
        <v>0</v>
      </c>
      <c r="T896" s="352">
        <f>SUM(G820:G896)</f>
        <v>1082</v>
      </c>
      <c r="U896" s="352">
        <f>SUM(K820:K896)</f>
        <v>918</v>
      </c>
      <c r="V896" s="352">
        <f>SUM(O820:O896)</f>
        <v>839</v>
      </c>
      <c r="W896" s="352">
        <f>SUM(Q820:Q896)</f>
        <v>25577</v>
      </c>
      <c r="X896" s="352">
        <f>T896+U896+V896+W896</f>
        <v>28416</v>
      </c>
    </row>
    <row r="897" spans="1:24" ht="12.75">
      <c r="A897" s="406"/>
      <c r="B897" s="407"/>
      <c r="C897" s="407"/>
      <c r="D897" s="407"/>
      <c r="E897" s="407"/>
      <c r="F897" s="408"/>
      <c r="G897" s="408"/>
      <c r="H897" s="409"/>
      <c r="I897" s="408"/>
      <c r="J897" s="408"/>
      <c r="K897" s="408"/>
      <c r="L897" s="408"/>
      <c r="M897" s="408"/>
      <c r="N897" s="408"/>
      <c r="O897" s="408"/>
      <c r="P897" s="408"/>
      <c r="Q897" s="409"/>
      <c r="R897" s="359"/>
      <c r="S897" s="361" t="s">
        <v>783</v>
      </c>
      <c r="T897" s="356">
        <f t="shared" ref="T897:X897" si="164">SUM(T516:T896)</f>
        <v>7851</v>
      </c>
      <c r="U897" s="356">
        <f t="shared" si="164"/>
        <v>4975</v>
      </c>
      <c r="V897" s="356">
        <f t="shared" si="164"/>
        <v>3525</v>
      </c>
      <c r="W897" s="356">
        <f t="shared" si="164"/>
        <v>124807</v>
      </c>
      <c r="X897" s="356">
        <f t="shared" si="164"/>
        <v>141158</v>
      </c>
    </row>
    <row r="898" spans="1:24" ht="12.75">
      <c r="A898" s="220"/>
      <c r="B898" s="221"/>
      <c r="C898" s="221"/>
      <c r="D898" s="221"/>
      <c r="E898" s="221"/>
      <c r="F898" s="353"/>
      <c r="G898" s="353"/>
      <c r="H898" s="354"/>
      <c r="I898" s="353"/>
      <c r="J898" s="353"/>
      <c r="K898" s="353"/>
      <c r="L898" s="353"/>
      <c r="M898" s="353"/>
      <c r="N898" s="353"/>
      <c r="O898" s="353"/>
      <c r="P898" s="353"/>
      <c r="Q898" s="354"/>
      <c r="R898" s="182"/>
      <c r="S898" s="362"/>
      <c r="T898" s="92"/>
      <c r="U898" s="92"/>
      <c r="V898" s="92"/>
      <c r="W898" s="92"/>
      <c r="X898" s="92"/>
    </row>
    <row r="899" spans="1:24" ht="12.75">
      <c r="A899" s="307" t="s">
        <v>156</v>
      </c>
      <c r="B899" s="308" t="s">
        <v>156</v>
      </c>
      <c r="C899" s="308" t="s">
        <v>784</v>
      </c>
      <c r="D899" s="308">
        <v>2014</v>
      </c>
      <c r="E899" s="308" t="s">
        <v>775</v>
      </c>
      <c r="F899" s="309">
        <v>1352</v>
      </c>
      <c r="G899" s="309">
        <v>15</v>
      </c>
      <c r="H899" s="310">
        <v>15</v>
      </c>
      <c r="I899" s="309">
        <v>0</v>
      </c>
      <c r="J899" s="309">
        <v>1056</v>
      </c>
      <c r="K899" s="309">
        <v>113</v>
      </c>
      <c r="L899" s="309">
        <v>113</v>
      </c>
      <c r="M899" s="309">
        <v>0</v>
      </c>
      <c r="N899" s="309">
        <v>1091</v>
      </c>
      <c r="O899" s="309">
        <v>21</v>
      </c>
      <c r="P899" s="309">
        <v>2600</v>
      </c>
      <c r="Q899" s="310">
        <v>1</v>
      </c>
      <c r="R899" s="311">
        <f t="shared" ref="R899:R911" si="165">F899+J899+N899+P899</f>
        <v>6099</v>
      </c>
      <c r="S899" s="363">
        <f t="shared" ref="S899:S911" si="166">K899+O899+G899+Q899</f>
        <v>150</v>
      </c>
      <c r="T899" s="314">
        <f>G899</f>
        <v>15</v>
      </c>
      <c r="U899" s="314">
        <f>K899</f>
        <v>113</v>
      </c>
      <c r="V899" s="314">
        <f>O899</f>
        <v>21</v>
      </c>
      <c r="W899" s="314">
        <f>Q899</f>
        <v>1</v>
      </c>
      <c r="X899" s="314">
        <f>T899+U899+V899+W899</f>
        <v>150</v>
      </c>
    </row>
    <row r="900" spans="1:24" ht="12.75">
      <c r="A900" s="315" t="s">
        <v>156</v>
      </c>
      <c r="B900" s="316" t="s">
        <v>156</v>
      </c>
      <c r="C900" s="316" t="s">
        <v>784</v>
      </c>
      <c r="D900" s="316">
        <v>2015</v>
      </c>
      <c r="E900" s="316" t="s">
        <v>775</v>
      </c>
      <c r="F900" s="317">
        <v>1352</v>
      </c>
      <c r="G900" s="317">
        <v>2</v>
      </c>
      <c r="H900" s="318">
        <v>2</v>
      </c>
      <c r="I900" s="317">
        <v>0</v>
      </c>
      <c r="J900" s="317">
        <v>1056</v>
      </c>
      <c r="K900" s="317">
        <v>140</v>
      </c>
      <c r="L900" s="317">
        <v>140</v>
      </c>
      <c r="M900" s="317">
        <v>0</v>
      </c>
      <c r="N900" s="317">
        <v>1091</v>
      </c>
      <c r="O900" s="317">
        <v>17</v>
      </c>
      <c r="P900" s="317">
        <v>2600</v>
      </c>
      <c r="Q900" s="318">
        <v>1</v>
      </c>
      <c r="R900" s="319">
        <f t="shared" si="165"/>
        <v>6099</v>
      </c>
      <c r="S900" s="364">
        <f t="shared" si="166"/>
        <v>160</v>
      </c>
      <c r="T900" s="319"/>
      <c r="U900" s="319"/>
      <c r="V900" s="319"/>
      <c r="W900" s="319"/>
      <c r="X900" s="319"/>
    </row>
    <row r="901" spans="1:24" ht="12.75">
      <c r="A901" s="315" t="s">
        <v>435</v>
      </c>
      <c r="B901" s="316" t="s">
        <v>156</v>
      </c>
      <c r="C901" s="316" t="s">
        <v>784</v>
      </c>
      <c r="D901" s="316">
        <v>2015</v>
      </c>
      <c r="E901" s="316" t="s">
        <v>775</v>
      </c>
      <c r="F901" s="317">
        <v>1285</v>
      </c>
      <c r="G901" s="317">
        <v>0</v>
      </c>
      <c r="H901" s="318">
        <v>0</v>
      </c>
      <c r="I901" s="317">
        <v>0</v>
      </c>
      <c r="J901" s="317">
        <v>984</v>
      </c>
      <c r="K901" s="317">
        <v>0</v>
      </c>
      <c r="L901" s="317">
        <v>0</v>
      </c>
      <c r="M901" s="317">
        <v>0</v>
      </c>
      <c r="N901" s="317">
        <v>1015</v>
      </c>
      <c r="O901" s="317">
        <v>0</v>
      </c>
      <c r="P901" s="317">
        <v>2398</v>
      </c>
      <c r="Q901" s="318">
        <v>0</v>
      </c>
      <c r="R901" s="319">
        <f t="shared" si="165"/>
        <v>5682</v>
      </c>
      <c r="S901" s="364">
        <f t="shared" si="166"/>
        <v>0</v>
      </c>
      <c r="T901" s="323">
        <f>SUM(G900:G901)</f>
        <v>2</v>
      </c>
      <c r="U901" s="323">
        <f>SUM(K900:K901)</f>
        <v>140</v>
      </c>
      <c r="V901" s="323">
        <f>SUM(O900:O901)</f>
        <v>17</v>
      </c>
      <c r="W901" s="323">
        <f>SUM(Q900:Q901)</f>
        <v>1</v>
      </c>
      <c r="X901" s="323">
        <f>T901+U901+V901+W901</f>
        <v>160</v>
      </c>
    </row>
    <row r="902" spans="1:24" ht="12.75">
      <c r="A902" s="324" t="s">
        <v>156</v>
      </c>
      <c r="B902" s="325" t="s">
        <v>156</v>
      </c>
      <c r="C902" s="325" t="s">
        <v>784</v>
      </c>
      <c r="D902" s="325">
        <v>2016</v>
      </c>
      <c r="E902" s="325" t="s">
        <v>775</v>
      </c>
      <c r="F902" s="326">
        <v>1352</v>
      </c>
      <c r="G902" s="326">
        <v>0</v>
      </c>
      <c r="H902" s="327">
        <v>0</v>
      </c>
      <c r="I902" s="326">
        <v>0</v>
      </c>
      <c r="J902" s="326">
        <v>1056</v>
      </c>
      <c r="K902" s="326">
        <v>0</v>
      </c>
      <c r="L902" s="326">
        <v>0</v>
      </c>
      <c r="M902" s="326">
        <v>0</v>
      </c>
      <c r="N902" s="326">
        <v>1091</v>
      </c>
      <c r="O902" s="326">
        <v>55</v>
      </c>
      <c r="P902" s="326">
        <v>2600</v>
      </c>
      <c r="Q902" s="327">
        <v>4</v>
      </c>
      <c r="R902" s="328">
        <f t="shared" si="165"/>
        <v>6099</v>
      </c>
      <c r="S902" s="365">
        <f t="shared" si="166"/>
        <v>59</v>
      </c>
      <c r="T902" s="328"/>
      <c r="U902" s="328"/>
      <c r="V902" s="328"/>
      <c r="W902" s="328"/>
      <c r="X902" s="328"/>
    </row>
    <row r="903" spans="1:24" ht="12.75">
      <c r="A903" s="324" t="s">
        <v>435</v>
      </c>
      <c r="B903" s="325" t="s">
        <v>156</v>
      </c>
      <c r="C903" s="325" t="s">
        <v>819</v>
      </c>
      <c r="D903" s="325">
        <v>2016</v>
      </c>
      <c r="E903" s="325" t="s">
        <v>775</v>
      </c>
      <c r="F903" s="326">
        <v>1285</v>
      </c>
      <c r="G903" s="326">
        <v>0</v>
      </c>
      <c r="H903" s="327">
        <v>0</v>
      </c>
      <c r="I903" s="326">
        <v>0</v>
      </c>
      <c r="J903" s="326">
        <v>984</v>
      </c>
      <c r="K903" s="326">
        <v>20</v>
      </c>
      <c r="L903" s="326">
        <v>20</v>
      </c>
      <c r="M903" s="326">
        <v>0</v>
      </c>
      <c r="N903" s="326">
        <v>1015</v>
      </c>
      <c r="O903" s="326">
        <v>0</v>
      </c>
      <c r="P903" s="326">
        <v>2398</v>
      </c>
      <c r="Q903" s="327">
        <v>0</v>
      </c>
      <c r="R903" s="328">
        <f t="shared" si="165"/>
        <v>5682</v>
      </c>
      <c r="S903" s="365">
        <f t="shared" si="166"/>
        <v>20</v>
      </c>
      <c r="T903" s="331">
        <f>SUM(G902:G903)</f>
        <v>0</v>
      </c>
      <c r="U903" s="331">
        <f>SUM(K902:K903)</f>
        <v>20</v>
      </c>
      <c r="V903" s="331">
        <f>SUM(O902:O903)</f>
        <v>55</v>
      </c>
      <c r="W903" s="331">
        <f>SUM(Q902:Q903)</f>
        <v>4</v>
      </c>
      <c r="X903" s="331">
        <f>T903+U903+V903+W903</f>
        <v>79</v>
      </c>
    </row>
    <row r="904" spans="1:24" ht="12.75">
      <c r="A904" s="332" t="s">
        <v>156</v>
      </c>
      <c r="B904" s="333" t="s">
        <v>156</v>
      </c>
      <c r="C904" s="333" t="s">
        <v>784</v>
      </c>
      <c r="D904" s="333">
        <v>2017</v>
      </c>
      <c r="E904" s="333" t="s">
        <v>775</v>
      </c>
      <c r="F904" s="334">
        <v>1352</v>
      </c>
      <c r="G904" s="334">
        <v>6</v>
      </c>
      <c r="H904" s="335">
        <v>0</v>
      </c>
      <c r="I904" s="334">
        <v>6</v>
      </c>
      <c r="J904" s="334">
        <v>1056</v>
      </c>
      <c r="K904" s="334">
        <v>56</v>
      </c>
      <c r="L904" s="334">
        <v>0</v>
      </c>
      <c r="M904" s="334">
        <v>56</v>
      </c>
      <c r="N904" s="334">
        <v>1091</v>
      </c>
      <c r="O904" s="334">
        <v>88</v>
      </c>
      <c r="P904" s="334">
        <v>2600</v>
      </c>
      <c r="Q904" s="335">
        <v>0</v>
      </c>
      <c r="R904" s="336">
        <f t="shared" si="165"/>
        <v>6099</v>
      </c>
      <c r="S904" s="366">
        <f t="shared" si="166"/>
        <v>150</v>
      </c>
      <c r="T904" s="336"/>
      <c r="U904" s="336"/>
      <c r="V904" s="336"/>
      <c r="W904" s="336"/>
      <c r="X904" s="336"/>
    </row>
    <row r="905" spans="1:24" ht="12.75">
      <c r="A905" s="332" t="s">
        <v>435</v>
      </c>
      <c r="B905" s="333" t="s">
        <v>156</v>
      </c>
      <c r="C905" s="333" t="s">
        <v>819</v>
      </c>
      <c r="D905" s="333">
        <v>2017</v>
      </c>
      <c r="E905" s="333" t="s">
        <v>775</v>
      </c>
      <c r="F905" s="334">
        <v>1285</v>
      </c>
      <c r="G905" s="334">
        <v>0</v>
      </c>
      <c r="H905" s="335">
        <v>0</v>
      </c>
      <c r="I905" s="334">
        <v>0</v>
      </c>
      <c r="J905" s="334">
        <v>984</v>
      </c>
      <c r="K905" s="334">
        <v>11</v>
      </c>
      <c r="L905" s="334">
        <v>0</v>
      </c>
      <c r="M905" s="334">
        <v>11</v>
      </c>
      <c r="N905" s="334">
        <v>1015</v>
      </c>
      <c r="O905" s="334">
        <v>0</v>
      </c>
      <c r="P905" s="334">
        <v>2398</v>
      </c>
      <c r="Q905" s="335">
        <v>148</v>
      </c>
      <c r="R905" s="336">
        <f t="shared" si="165"/>
        <v>5682</v>
      </c>
      <c r="S905" s="366">
        <f t="shared" si="166"/>
        <v>159</v>
      </c>
      <c r="T905" s="339">
        <f>SUM(G904:G905)</f>
        <v>6</v>
      </c>
      <c r="U905" s="339">
        <f>SUM(K904:K905)</f>
        <v>67</v>
      </c>
      <c r="V905" s="339">
        <f>SUM(O904:O905)</f>
        <v>88</v>
      </c>
      <c r="W905" s="339">
        <f>SUM(Q904:Q905)</f>
        <v>148</v>
      </c>
      <c r="X905" s="339">
        <f>T905+U905+V905+W905</f>
        <v>309</v>
      </c>
    </row>
    <row r="906" spans="1:24" ht="12.75">
      <c r="A906" s="340" t="s">
        <v>434</v>
      </c>
      <c r="B906" s="341" t="s">
        <v>156</v>
      </c>
      <c r="C906" s="341" t="s">
        <v>784</v>
      </c>
      <c r="D906" s="341">
        <v>2018</v>
      </c>
      <c r="E906" s="341" t="s">
        <v>775</v>
      </c>
      <c r="F906" s="342">
        <v>253</v>
      </c>
      <c r="G906" s="343">
        <v>0</v>
      </c>
      <c r="H906" s="342">
        <v>0</v>
      </c>
      <c r="I906" s="342">
        <v>0</v>
      </c>
      <c r="J906" s="342">
        <v>190</v>
      </c>
      <c r="K906" s="343">
        <v>0</v>
      </c>
      <c r="L906" s="342">
        <v>0</v>
      </c>
      <c r="M906" s="342">
        <v>0</v>
      </c>
      <c r="N906" s="342">
        <v>204</v>
      </c>
      <c r="O906" s="342">
        <v>20</v>
      </c>
      <c r="P906" s="342">
        <v>467</v>
      </c>
      <c r="Q906" s="342">
        <v>0</v>
      </c>
      <c r="R906" s="344">
        <f t="shared" si="165"/>
        <v>1114</v>
      </c>
      <c r="S906" s="367">
        <f t="shared" si="166"/>
        <v>20</v>
      </c>
      <c r="T906" s="344"/>
      <c r="U906" s="344"/>
      <c r="V906" s="344"/>
      <c r="W906" s="344"/>
      <c r="X906" s="344"/>
    </row>
    <row r="907" spans="1:24" ht="12.75">
      <c r="A907" s="340" t="s">
        <v>156</v>
      </c>
      <c r="B907" s="341" t="s">
        <v>156</v>
      </c>
      <c r="C907" s="341" t="s">
        <v>784</v>
      </c>
      <c r="D907" s="341">
        <v>2018</v>
      </c>
      <c r="E907" s="341" t="s">
        <v>775</v>
      </c>
      <c r="F907" s="342">
        <v>1352</v>
      </c>
      <c r="G907" s="343">
        <v>0</v>
      </c>
      <c r="H907" s="342">
        <v>0</v>
      </c>
      <c r="I907" s="342">
        <v>0</v>
      </c>
      <c r="J907" s="342">
        <v>1056</v>
      </c>
      <c r="K907" s="343">
        <v>0</v>
      </c>
      <c r="L907" s="342">
        <v>0</v>
      </c>
      <c r="M907" s="342">
        <v>0</v>
      </c>
      <c r="N907" s="342">
        <v>1091</v>
      </c>
      <c r="O907" s="342">
        <v>0</v>
      </c>
      <c r="P907" s="342">
        <v>2600</v>
      </c>
      <c r="Q907" s="342">
        <v>69</v>
      </c>
      <c r="R907" s="344">
        <f t="shared" si="165"/>
        <v>6099</v>
      </c>
      <c r="S907" s="367">
        <f t="shared" si="166"/>
        <v>69</v>
      </c>
      <c r="T907" s="344"/>
      <c r="U907" s="344"/>
      <c r="V907" s="344"/>
      <c r="W907" s="344"/>
      <c r="X907" s="344"/>
    </row>
    <row r="908" spans="1:24" ht="12.75">
      <c r="A908" s="340" t="s">
        <v>435</v>
      </c>
      <c r="B908" s="341" t="s">
        <v>156</v>
      </c>
      <c r="C908" s="341" t="s">
        <v>819</v>
      </c>
      <c r="D908" s="341">
        <v>2018</v>
      </c>
      <c r="E908" s="341" t="s">
        <v>775</v>
      </c>
      <c r="F908" s="342">
        <v>1285</v>
      </c>
      <c r="G908" s="343">
        <v>0</v>
      </c>
      <c r="H908" s="342">
        <v>0</v>
      </c>
      <c r="I908" s="342">
        <v>0</v>
      </c>
      <c r="J908" s="342">
        <v>984</v>
      </c>
      <c r="K908" s="343">
        <v>10</v>
      </c>
      <c r="L908" s="342">
        <v>0</v>
      </c>
      <c r="M908" s="342">
        <v>10</v>
      </c>
      <c r="N908" s="342">
        <v>1015</v>
      </c>
      <c r="O908" s="342">
        <v>0</v>
      </c>
      <c r="P908" s="342">
        <v>2398</v>
      </c>
      <c r="Q908" s="342">
        <v>295</v>
      </c>
      <c r="R908" s="344">
        <f t="shared" si="165"/>
        <v>5682</v>
      </c>
      <c r="S908" s="367">
        <f t="shared" si="166"/>
        <v>305</v>
      </c>
      <c r="T908" s="345">
        <f>SUM(G906:G908)</f>
        <v>0</v>
      </c>
      <c r="U908" s="345">
        <f>SUM(K906:K908)</f>
        <v>10</v>
      </c>
      <c r="V908" s="345">
        <f>SUM(O906:O908)</f>
        <v>20</v>
      </c>
      <c r="W908" s="345">
        <f>SUM(Q906:Q908)</f>
        <v>364</v>
      </c>
      <c r="X908" s="345">
        <f>T908+U908+V908+W908</f>
        <v>394</v>
      </c>
    </row>
    <row r="909" spans="1:24" ht="12.75">
      <c r="A909" s="346" t="s">
        <v>434</v>
      </c>
      <c r="B909" s="347" t="s">
        <v>156</v>
      </c>
      <c r="C909" s="347" t="s">
        <v>820</v>
      </c>
      <c r="D909" s="347">
        <v>2019</v>
      </c>
      <c r="E909" s="347" t="s">
        <v>775</v>
      </c>
      <c r="F909" s="348">
        <v>0</v>
      </c>
      <c r="G909" s="348">
        <v>0</v>
      </c>
      <c r="H909" s="348">
        <v>0</v>
      </c>
      <c r="I909" s="348">
        <v>0</v>
      </c>
      <c r="J909" s="348">
        <v>0</v>
      </c>
      <c r="K909" s="348">
        <v>0</v>
      </c>
      <c r="L909" s="348">
        <v>0</v>
      </c>
      <c r="M909" s="348">
        <v>0</v>
      </c>
      <c r="N909" s="348">
        <v>0</v>
      </c>
      <c r="O909" s="348">
        <v>4</v>
      </c>
      <c r="P909" s="348">
        <v>0</v>
      </c>
      <c r="Q909" s="348">
        <v>5</v>
      </c>
      <c r="R909" s="350">
        <f t="shared" si="165"/>
        <v>0</v>
      </c>
      <c r="S909" s="348">
        <f t="shared" si="166"/>
        <v>9</v>
      </c>
      <c r="T909" s="348"/>
      <c r="U909" s="348"/>
      <c r="V909" s="348"/>
      <c r="W909" s="349"/>
      <c r="X909" s="349"/>
    </row>
    <row r="910" spans="1:24" ht="12.75">
      <c r="A910" s="346" t="s">
        <v>156</v>
      </c>
      <c r="B910" s="347" t="s">
        <v>156</v>
      </c>
      <c r="C910" s="347" t="s">
        <v>820</v>
      </c>
      <c r="D910" s="347">
        <v>2019</v>
      </c>
      <c r="E910" s="347" t="s">
        <v>775</v>
      </c>
      <c r="F910" s="348">
        <v>1352</v>
      </c>
      <c r="G910" s="348">
        <v>0</v>
      </c>
      <c r="H910" s="348">
        <v>0</v>
      </c>
      <c r="I910" s="348">
        <v>0</v>
      </c>
      <c r="J910" s="348">
        <v>1056</v>
      </c>
      <c r="K910" s="348">
        <v>0</v>
      </c>
      <c r="L910" s="348">
        <v>0</v>
      </c>
      <c r="M910" s="348">
        <v>0</v>
      </c>
      <c r="N910" s="348">
        <v>1091</v>
      </c>
      <c r="O910" s="348">
        <v>0</v>
      </c>
      <c r="P910" s="348">
        <v>2600</v>
      </c>
      <c r="Q910" s="348">
        <v>148</v>
      </c>
      <c r="R910" s="350">
        <f t="shared" si="165"/>
        <v>6099</v>
      </c>
      <c r="S910" s="348">
        <f t="shared" si="166"/>
        <v>148</v>
      </c>
      <c r="T910" s="348"/>
      <c r="U910" s="348"/>
      <c r="V910" s="348"/>
      <c r="W910" s="349"/>
      <c r="X910" s="349"/>
    </row>
    <row r="911" spans="1:24" ht="12.75">
      <c r="A911" s="346" t="s">
        <v>435</v>
      </c>
      <c r="B911" s="347" t="s">
        <v>156</v>
      </c>
      <c r="C911" s="347" t="s">
        <v>820</v>
      </c>
      <c r="D911" s="347">
        <v>2019</v>
      </c>
      <c r="E911" s="347" t="s">
        <v>775</v>
      </c>
      <c r="F911" s="348">
        <v>1285</v>
      </c>
      <c r="G911" s="348">
        <v>0</v>
      </c>
      <c r="H911" s="348">
        <v>0</v>
      </c>
      <c r="I911" s="348">
        <v>0</v>
      </c>
      <c r="J911" s="348">
        <v>984</v>
      </c>
      <c r="K911" s="348">
        <v>0</v>
      </c>
      <c r="L911" s="348">
        <v>0</v>
      </c>
      <c r="M911" s="348">
        <v>0</v>
      </c>
      <c r="N911" s="348">
        <v>1015</v>
      </c>
      <c r="O911" s="348">
        <v>0</v>
      </c>
      <c r="P911" s="348">
        <v>2398</v>
      </c>
      <c r="Q911" s="348">
        <v>480</v>
      </c>
      <c r="R911" s="350">
        <f t="shared" si="165"/>
        <v>5682</v>
      </c>
      <c r="S911" s="348">
        <f t="shared" si="166"/>
        <v>480</v>
      </c>
      <c r="T911" s="352">
        <f>SUM(G909:G911)</f>
        <v>0</v>
      </c>
      <c r="U911" s="352">
        <f>SUM(K909:K911)</f>
        <v>0</v>
      </c>
      <c r="V911" s="352">
        <f>SUM(O909:O911)</f>
        <v>4</v>
      </c>
      <c r="W911" s="352">
        <f>SUM(Q909:Q911)</f>
        <v>633</v>
      </c>
      <c r="X911" s="352">
        <f>T911+U911+V911+W911</f>
        <v>637</v>
      </c>
    </row>
    <row r="912" spans="1:24" ht="12.75">
      <c r="A912" s="389"/>
      <c r="B912" s="390"/>
      <c r="C912" s="390"/>
      <c r="D912" s="390"/>
      <c r="E912" s="390"/>
      <c r="F912" s="391"/>
      <c r="G912" s="391"/>
      <c r="H912" s="392"/>
      <c r="I912" s="391"/>
      <c r="J912" s="391"/>
      <c r="K912" s="391"/>
      <c r="L912" s="391"/>
      <c r="M912" s="391"/>
      <c r="N912" s="391"/>
      <c r="O912" s="391"/>
      <c r="P912" s="391"/>
      <c r="Q912" s="392"/>
      <c r="R912" s="393"/>
      <c r="S912" s="361" t="s">
        <v>783</v>
      </c>
      <c r="T912" s="356">
        <f t="shared" ref="T912:X912" si="167">SUM(T899:T911)</f>
        <v>23</v>
      </c>
      <c r="U912" s="356">
        <f t="shared" si="167"/>
        <v>350</v>
      </c>
      <c r="V912" s="356">
        <f t="shared" si="167"/>
        <v>205</v>
      </c>
      <c r="W912" s="356">
        <f t="shared" si="167"/>
        <v>1151</v>
      </c>
      <c r="X912" s="356">
        <f t="shared" si="167"/>
        <v>1729</v>
      </c>
    </row>
    <row r="913" spans="1:24" ht="12.75">
      <c r="A913" s="220"/>
      <c r="B913" s="221"/>
      <c r="C913" s="221"/>
      <c r="D913" s="221"/>
      <c r="E913" s="221"/>
      <c r="F913" s="353"/>
      <c r="G913" s="353"/>
      <c r="H913" s="354"/>
      <c r="I913" s="353"/>
      <c r="J913" s="353"/>
      <c r="K913" s="353"/>
      <c r="L913" s="353"/>
      <c r="M913" s="353"/>
      <c r="N913" s="353"/>
      <c r="O913" s="353"/>
      <c r="P913" s="353"/>
      <c r="Q913" s="354"/>
      <c r="R913" s="182"/>
      <c r="S913" s="362"/>
      <c r="T913" s="92"/>
      <c r="U913" s="92"/>
      <c r="V913" s="92"/>
      <c r="W913" s="92"/>
      <c r="X913" s="92"/>
    </row>
    <row r="914" spans="1:24" ht="12.75">
      <c r="A914" s="307" t="s">
        <v>821</v>
      </c>
      <c r="B914" s="308" t="s">
        <v>157</v>
      </c>
      <c r="C914" s="308" t="s">
        <v>774</v>
      </c>
      <c r="D914" s="308">
        <v>2014</v>
      </c>
      <c r="E914" s="308" t="s">
        <v>775</v>
      </c>
      <c r="F914" s="309">
        <v>40</v>
      </c>
      <c r="G914" s="309">
        <v>3</v>
      </c>
      <c r="H914" s="310">
        <v>3</v>
      </c>
      <c r="I914" s="309">
        <v>0</v>
      </c>
      <c r="J914" s="309">
        <v>20</v>
      </c>
      <c r="K914" s="309">
        <v>9</v>
      </c>
      <c r="L914" s="309">
        <v>9</v>
      </c>
      <c r="M914" s="309">
        <v>0</v>
      </c>
      <c r="N914" s="309">
        <v>21</v>
      </c>
      <c r="O914" s="309">
        <v>8</v>
      </c>
      <c r="P914" s="309">
        <v>51</v>
      </c>
      <c r="Q914" s="310">
        <v>76</v>
      </c>
      <c r="R914" s="311">
        <f t="shared" ref="R914:R980" si="168">F914+J914+N914+P914</f>
        <v>132</v>
      </c>
      <c r="S914" s="363">
        <f t="shared" ref="S914:S980" si="169">K914+O914+G914+Q914</f>
        <v>96</v>
      </c>
      <c r="T914" s="311"/>
      <c r="U914" s="311"/>
      <c r="V914" s="311"/>
      <c r="W914" s="311"/>
      <c r="X914" s="311"/>
    </row>
    <row r="915" spans="1:24" ht="12.75">
      <c r="A915" s="307" t="s">
        <v>822</v>
      </c>
      <c r="B915" s="308" t="s">
        <v>157</v>
      </c>
      <c r="C915" s="308" t="s">
        <v>774</v>
      </c>
      <c r="D915" s="308">
        <v>2014</v>
      </c>
      <c r="E915" s="308" t="s">
        <v>775</v>
      </c>
      <c r="F915" s="309">
        <v>55</v>
      </c>
      <c r="G915" s="309">
        <v>1</v>
      </c>
      <c r="H915" s="310">
        <v>0</v>
      </c>
      <c r="I915" s="309">
        <v>1</v>
      </c>
      <c r="J915" s="309">
        <v>32</v>
      </c>
      <c r="K915" s="309">
        <v>3</v>
      </c>
      <c r="L915" s="309">
        <v>0</v>
      </c>
      <c r="M915" s="309">
        <v>3</v>
      </c>
      <c r="N915" s="309">
        <v>37</v>
      </c>
      <c r="O915" s="309">
        <v>10</v>
      </c>
      <c r="P915" s="309">
        <v>61</v>
      </c>
      <c r="Q915" s="310">
        <v>29</v>
      </c>
      <c r="R915" s="311">
        <f t="shared" si="168"/>
        <v>185</v>
      </c>
      <c r="S915" s="363">
        <f t="shared" si="169"/>
        <v>43</v>
      </c>
      <c r="T915" s="311"/>
      <c r="U915" s="311"/>
      <c r="V915" s="311"/>
      <c r="W915" s="311"/>
      <c r="X915" s="311"/>
    </row>
    <row r="916" spans="1:24" ht="12.75">
      <c r="A916" s="307" t="s">
        <v>823</v>
      </c>
      <c r="B916" s="308" t="s">
        <v>157</v>
      </c>
      <c r="C916" s="308" t="s">
        <v>774</v>
      </c>
      <c r="D916" s="308">
        <v>2014</v>
      </c>
      <c r="E916" s="308" t="s">
        <v>775</v>
      </c>
      <c r="F916" s="309">
        <v>111</v>
      </c>
      <c r="G916" s="309">
        <v>1</v>
      </c>
      <c r="H916" s="310">
        <v>1</v>
      </c>
      <c r="I916" s="309">
        <v>0</v>
      </c>
      <c r="J916" s="309">
        <v>65</v>
      </c>
      <c r="K916" s="309">
        <v>10</v>
      </c>
      <c r="L916" s="309">
        <v>10</v>
      </c>
      <c r="M916" s="309">
        <v>0</v>
      </c>
      <c r="N916" s="309">
        <v>72</v>
      </c>
      <c r="O916" s="309">
        <v>1</v>
      </c>
      <c r="P916" s="309">
        <v>167</v>
      </c>
      <c r="Q916" s="310">
        <v>19</v>
      </c>
      <c r="R916" s="311">
        <f t="shared" si="168"/>
        <v>415</v>
      </c>
      <c r="S916" s="363">
        <f t="shared" si="169"/>
        <v>31</v>
      </c>
      <c r="T916" s="311"/>
      <c r="U916" s="311"/>
      <c r="V916" s="311"/>
      <c r="W916" s="311"/>
      <c r="X916" s="311"/>
    </row>
    <row r="917" spans="1:24" ht="12.75">
      <c r="A917" s="307" t="s">
        <v>824</v>
      </c>
      <c r="B917" s="308" t="s">
        <v>157</v>
      </c>
      <c r="C917" s="308" t="s">
        <v>774</v>
      </c>
      <c r="D917" s="308">
        <v>2014</v>
      </c>
      <c r="E917" s="308" t="s">
        <v>775</v>
      </c>
      <c r="F917" s="309">
        <v>33</v>
      </c>
      <c r="G917" s="309">
        <v>9</v>
      </c>
      <c r="H917" s="310">
        <v>9</v>
      </c>
      <c r="I917" s="309">
        <v>0</v>
      </c>
      <c r="J917" s="309">
        <v>17</v>
      </c>
      <c r="K917" s="309">
        <v>16</v>
      </c>
      <c r="L917" s="309">
        <v>16</v>
      </c>
      <c r="M917" s="309">
        <v>0</v>
      </c>
      <c r="N917" s="309">
        <v>19</v>
      </c>
      <c r="O917" s="309">
        <v>2</v>
      </c>
      <c r="P917" s="309">
        <v>37</v>
      </c>
      <c r="Q917" s="310">
        <v>1</v>
      </c>
      <c r="R917" s="311">
        <f t="shared" si="168"/>
        <v>106</v>
      </c>
      <c r="S917" s="363">
        <f t="shared" si="169"/>
        <v>28</v>
      </c>
      <c r="T917" s="311"/>
      <c r="U917" s="311"/>
      <c r="V917" s="311"/>
      <c r="W917" s="311"/>
      <c r="X917" s="311"/>
    </row>
    <row r="918" spans="1:24" ht="12.75">
      <c r="A918" s="307" t="s">
        <v>825</v>
      </c>
      <c r="B918" s="308" t="s">
        <v>157</v>
      </c>
      <c r="C918" s="308" t="s">
        <v>774</v>
      </c>
      <c r="D918" s="308">
        <v>2014</v>
      </c>
      <c r="E918" s="308" t="s">
        <v>775</v>
      </c>
      <c r="F918" s="309">
        <v>240</v>
      </c>
      <c r="G918" s="309">
        <v>1</v>
      </c>
      <c r="H918" s="310">
        <v>1</v>
      </c>
      <c r="I918" s="309">
        <v>0</v>
      </c>
      <c r="J918" s="309">
        <v>148</v>
      </c>
      <c r="K918" s="309">
        <v>1</v>
      </c>
      <c r="L918" s="309">
        <v>1</v>
      </c>
      <c r="M918" s="309">
        <v>0</v>
      </c>
      <c r="N918" s="309">
        <v>181</v>
      </c>
      <c r="O918" s="309">
        <v>0</v>
      </c>
      <c r="P918" s="309">
        <v>438</v>
      </c>
      <c r="Q918" s="310">
        <v>16</v>
      </c>
      <c r="R918" s="311">
        <f t="shared" si="168"/>
        <v>1007</v>
      </c>
      <c r="S918" s="363">
        <f t="shared" si="169"/>
        <v>18</v>
      </c>
      <c r="T918" s="311"/>
      <c r="U918" s="311"/>
      <c r="V918" s="311"/>
      <c r="W918" s="311"/>
      <c r="X918" s="311"/>
    </row>
    <row r="919" spans="1:24" ht="12.75">
      <c r="A919" s="307" t="s">
        <v>826</v>
      </c>
      <c r="B919" s="308" t="s">
        <v>157</v>
      </c>
      <c r="C919" s="308" t="s">
        <v>774</v>
      </c>
      <c r="D919" s="308">
        <v>2014</v>
      </c>
      <c r="E919" s="308" t="s">
        <v>775</v>
      </c>
      <c r="F919" s="309">
        <v>26</v>
      </c>
      <c r="G919" s="309">
        <v>6</v>
      </c>
      <c r="H919" s="310">
        <v>0</v>
      </c>
      <c r="I919" s="309">
        <v>6</v>
      </c>
      <c r="J919" s="309">
        <v>14</v>
      </c>
      <c r="K919" s="309">
        <v>11</v>
      </c>
      <c r="L919" s="309">
        <v>0</v>
      </c>
      <c r="M919" s="309">
        <v>11</v>
      </c>
      <c r="N919" s="309">
        <v>16</v>
      </c>
      <c r="O919" s="309">
        <v>3</v>
      </c>
      <c r="P919" s="309">
        <v>23</v>
      </c>
      <c r="Q919" s="310">
        <v>1</v>
      </c>
      <c r="R919" s="311">
        <f t="shared" si="168"/>
        <v>79</v>
      </c>
      <c r="S919" s="363">
        <f t="shared" si="169"/>
        <v>21</v>
      </c>
      <c r="T919" s="311"/>
      <c r="U919" s="311"/>
      <c r="V919" s="311"/>
      <c r="W919" s="311"/>
      <c r="X919" s="311"/>
    </row>
    <row r="920" spans="1:24" ht="12.75">
      <c r="A920" s="312" t="s">
        <v>827</v>
      </c>
      <c r="B920" s="313" t="s">
        <v>157</v>
      </c>
      <c r="C920" s="313" t="s">
        <v>774</v>
      </c>
      <c r="D920" s="313">
        <v>2014</v>
      </c>
      <c r="E920" s="313" t="s">
        <v>775</v>
      </c>
      <c r="F920" s="310">
        <v>24</v>
      </c>
      <c r="G920" s="309">
        <v>0</v>
      </c>
      <c r="H920" s="310">
        <v>0</v>
      </c>
      <c r="I920" s="310">
        <v>0</v>
      </c>
      <c r="J920" s="309">
        <v>16</v>
      </c>
      <c r="K920" s="309">
        <v>0</v>
      </c>
      <c r="L920" s="310">
        <v>0</v>
      </c>
      <c r="M920" s="310">
        <v>0</v>
      </c>
      <c r="N920" s="310">
        <v>19</v>
      </c>
      <c r="O920" s="310">
        <v>0</v>
      </c>
      <c r="P920" s="310">
        <v>19</v>
      </c>
      <c r="Q920" s="310">
        <v>2</v>
      </c>
      <c r="R920" s="311">
        <f t="shared" si="168"/>
        <v>78</v>
      </c>
      <c r="S920" s="363">
        <f t="shared" si="169"/>
        <v>2</v>
      </c>
      <c r="T920" s="314">
        <f>SUM(G914:G920)</f>
        <v>21</v>
      </c>
      <c r="U920" s="314">
        <f>SUM(K914:K920)</f>
        <v>50</v>
      </c>
      <c r="V920" s="314">
        <f>SUM(O914:O920)</f>
        <v>24</v>
      </c>
      <c r="W920" s="314">
        <f>SUM(Q914:Q920)</f>
        <v>144</v>
      </c>
      <c r="X920" s="314">
        <f>T920+U920+V920+W920</f>
        <v>239</v>
      </c>
    </row>
    <row r="921" spans="1:24" ht="12.75">
      <c r="A921" s="315" t="s">
        <v>436</v>
      </c>
      <c r="B921" s="316" t="s">
        <v>157</v>
      </c>
      <c r="C921" s="316" t="s">
        <v>774</v>
      </c>
      <c r="D921" s="316">
        <v>2015</v>
      </c>
      <c r="E921" s="316" t="s">
        <v>775</v>
      </c>
      <c r="F921" s="317">
        <v>4</v>
      </c>
      <c r="G921" s="317">
        <v>0</v>
      </c>
      <c r="H921" s="318">
        <v>0</v>
      </c>
      <c r="I921" s="317">
        <v>0</v>
      </c>
      <c r="J921" s="317">
        <v>3</v>
      </c>
      <c r="K921" s="317">
        <v>0</v>
      </c>
      <c r="L921" s="317">
        <v>0</v>
      </c>
      <c r="M921" s="317">
        <v>0</v>
      </c>
      <c r="N921" s="317">
        <v>4</v>
      </c>
      <c r="O921" s="317">
        <v>0</v>
      </c>
      <c r="P921" s="317">
        <v>5</v>
      </c>
      <c r="Q921" s="318">
        <v>0</v>
      </c>
      <c r="R921" s="319">
        <f t="shared" si="168"/>
        <v>16</v>
      </c>
      <c r="S921" s="364">
        <f t="shared" si="169"/>
        <v>0</v>
      </c>
      <c r="T921" s="319"/>
      <c r="U921" s="319"/>
      <c r="V921" s="319"/>
      <c r="W921" s="319"/>
      <c r="X921" s="319"/>
    </row>
    <row r="922" spans="1:24" ht="12.75">
      <c r="A922" s="315" t="s">
        <v>437</v>
      </c>
      <c r="B922" s="316" t="s">
        <v>157</v>
      </c>
      <c r="C922" s="316" t="s">
        <v>774</v>
      </c>
      <c r="D922" s="316">
        <v>2015</v>
      </c>
      <c r="E922" s="316" t="s">
        <v>775</v>
      </c>
      <c r="F922" s="317">
        <v>22</v>
      </c>
      <c r="G922" s="317">
        <v>5</v>
      </c>
      <c r="H922" s="318">
        <v>4</v>
      </c>
      <c r="I922" s="317">
        <v>1</v>
      </c>
      <c r="J922" s="317">
        <v>13</v>
      </c>
      <c r="K922" s="317">
        <v>12</v>
      </c>
      <c r="L922" s="317">
        <v>12</v>
      </c>
      <c r="M922" s="317">
        <v>0</v>
      </c>
      <c r="N922" s="317">
        <v>13</v>
      </c>
      <c r="O922" s="317">
        <v>2</v>
      </c>
      <c r="P922" s="317">
        <v>24</v>
      </c>
      <c r="Q922" s="318">
        <v>164</v>
      </c>
      <c r="R922" s="319">
        <f t="shared" si="168"/>
        <v>72</v>
      </c>
      <c r="S922" s="364">
        <f t="shared" si="169"/>
        <v>183</v>
      </c>
      <c r="T922" s="319"/>
      <c r="U922" s="319"/>
      <c r="V922" s="319"/>
      <c r="W922" s="319"/>
      <c r="X922" s="319"/>
    </row>
    <row r="923" spans="1:24" ht="12.75">
      <c r="A923" s="315" t="s">
        <v>438</v>
      </c>
      <c r="B923" s="316" t="s">
        <v>157</v>
      </c>
      <c r="C923" s="316" t="s">
        <v>774</v>
      </c>
      <c r="D923" s="316">
        <v>2015</v>
      </c>
      <c r="E923" s="316" t="s">
        <v>775</v>
      </c>
      <c r="F923" s="317">
        <v>16</v>
      </c>
      <c r="G923" s="317">
        <v>0</v>
      </c>
      <c r="H923" s="318">
        <v>0</v>
      </c>
      <c r="I923" s="317">
        <v>0</v>
      </c>
      <c r="J923" s="317">
        <v>11</v>
      </c>
      <c r="K923" s="317">
        <v>0</v>
      </c>
      <c r="L923" s="317">
        <v>0</v>
      </c>
      <c r="M923" s="317">
        <v>0</v>
      </c>
      <c r="N923" s="317">
        <v>11</v>
      </c>
      <c r="O923" s="317">
        <v>0</v>
      </c>
      <c r="P923" s="317">
        <v>23</v>
      </c>
      <c r="Q923" s="318">
        <v>0</v>
      </c>
      <c r="R923" s="319">
        <f t="shared" si="168"/>
        <v>61</v>
      </c>
      <c r="S923" s="364">
        <f t="shared" si="169"/>
        <v>0</v>
      </c>
      <c r="T923" s="319"/>
      <c r="U923" s="319"/>
      <c r="V923" s="319"/>
      <c r="W923" s="319"/>
      <c r="X923" s="319"/>
    </row>
    <row r="924" spans="1:24" ht="12.75">
      <c r="A924" s="315" t="s">
        <v>439</v>
      </c>
      <c r="B924" s="316" t="s">
        <v>157</v>
      </c>
      <c r="C924" s="316" t="s">
        <v>774</v>
      </c>
      <c r="D924" s="316">
        <v>2015</v>
      </c>
      <c r="E924" s="316" t="s">
        <v>775</v>
      </c>
      <c r="F924" s="317">
        <v>40</v>
      </c>
      <c r="G924" s="317">
        <v>0</v>
      </c>
      <c r="H924" s="318">
        <v>0</v>
      </c>
      <c r="I924" s="317">
        <v>0</v>
      </c>
      <c r="J924" s="317">
        <v>20</v>
      </c>
      <c r="K924" s="317">
        <v>0</v>
      </c>
      <c r="L924" s="317">
        <v>0</v>
      </c>
      <c r="M924" s="317">
        <v>0</v>
      </c>
      <c r="N924" s="317">
        <v>21</v>
      </c>
      <c r="O924" s="317">
        <v>0</v>
      </c>
      <c r="P924" s="317">
        <v>51</v>
      </c>
      <c r="Q924" s="318">
        <v>7</v>
      </c>
      <c r="R924" s="319">
        <f t="shared" si="168"/>
        <v>132</v>
      </c>
      <c r="S924" s="364">
        <f t="shared" si="169"/>
        <v>7</v>
      </c>
      <c r="T924" s="319"/>
      <c r="U924" s="319"/>
      <c r="V924" s="319"/>
      <c r="W924" s="319"/>
      <c r="X924" s="319"/>
    </row>
    <row r="925" spans="1:24" ht="12.75">
      <c r="A925" s="315" t="s">
        <v>440</v>
      </c>
      <c r="B925" s="316" t="s">
        <v>157</v>
      </c>
      <c r="C925" s="316" t="s">
        <v>774</v>
      </c>
      <c r="D925" s="316">
        <v>2015</v>
      </c>
      <c r="E925" s="316" t="s">
        <v>775</v>
      </c>
      <c r="F925" s="317">
        <v>55</v>
      </c>
      <c r="G925" s="317">
        <v>7</v>
      </c>
      <c r="H925" s="318">
        <v>6</v>
      </c>
      <c r="I925" s="317">
        <v>1</v>
      </c>
      <c r="J925" s="317">
        <v>32</v>
      </c>
      <c r="K925" s="317">
        <v>6</v>
      </c>
      <c r="L925" s="317">
        <v>3</v>
      </c>
      <c r="M925" s="317">
        <v>3</v>
      </c>
      <c r="N925" s="317">
        <v>37</v>
      </c>
      <c r="O925" s="317">
        <v>3</v>
      </c>
      <c r="P925" s="317">
        <v>61</v>
      </c>
      <c r="Q925" s="318">
        <v>23</v>
      </c>
      <c r="R925" s="319">
        <f t="shared" si="168"/>
        <v>185</v>
      </c>
      <c r="S925" s="364">
        <f t="shared" si="169"/>
        <v>39</v>
      </c>
      <c r="T925" s="319"/>
      <c r="U925" s="319"/>
      <c r="V925" s="319"/>
      <c r="W925" s="319"/>
      <c r="X925" s="319"/>
    </row>
    <row r="926" spans="1:24" ht="12.75">
      <c r="A926" s="315" t="s">
        <v>441</v>
      </c>
      <c r="B926" s="316" t="s">
        <v>157</v>
      </c>
      <c r="C926" s="316" t="s">
        <v>774</v>
      </c>
      <c r="D926" s="316">
        <v>2015</v>
      </c>
      <c r="E926" s="316" t="s">
        <v>775</v>
      </c>
      <c r="F926" s="317">
        <v>41</v>
      </c>
      <c r="G926" s="317">
        <v>6</v>
      </c>
      <c r="H926" s="318">
        <v>0</v>
      </c>
      <c r="I926" s="317">
        <v>6</v>
      </c>
      <c r="J926" s="317">
        <v>24</v>
      </c>
      <c r="K926" s="317">
        <v>8</v>
      </c>
      <c r="L926" s="317">
        <v>0</v>
      </c>
      <c r="M926" s="317">
        <v>8</v>
      </c>
      <c r="N926" s="317">
        <v>26</v>
      </c>
      <c r="O926" s="317">
        <v>3</v>
      </c>
      <c r="P926" s="317">
        <v>38</v>
      </c>
      <c r="Q926" s="318">
        <v>9</v>
      </c>
      <c r="R926" s="319">
        <f t="shared" si="168"/>
        <v>129</v>
      </c>
      <c r="S926" s="364">
        <f t="shared" si="169"/>
        <v>26</v>
      </c>
      <c r="T926" s="319"/>
      <c r="U926" s="319"/>
      <c r="V926" s="319"/>
      <c r="W926" s="319"/>
      <c r="X926" s="319"/>
    </row>
    <row r="927" spans="1:24" ht="12.75">
      <c r="A927" s="315" t="s">
        <v>442</v>
      </c>
      <c r="B927" s="316" t="s">
        <v>157</v>
      </c>
      <c r="C927" s="316" t="s">
        <v>774</v>
      </c>
      <c r="D927" s="316">
        <v>2015</v>
      </c>
      <c r="E927" s="316" t="s">
        <v>775</v>
      </c>
      <c r="F927" s="317">
        <v>111</v>
      </c>
      <c r="G927" s="317">
        <v>16</v>
      </c>
      <c r="H927" s="318">
        <v>16</v>
      </c>
      <c r="I927" s="317">
        <v>0</v>
      </c>
      <c r="J927" s="317">
        <v>65</v>
      </c>
      <c r="K927" s="317">
        <v>0</v>
      </c>
      <c r="L927" s="317">
        <v>0</v>
      </c>
      <c r="M927" s="317">
        <v>0</v>
      </c>
      <c r="N927" s="317">
        <v>72</v>
      </c>
      <c r="O927" s="317">
        <v>1</v>
      </c>
      <c r="P927" s="317">
        <v>167</v>
      </c>
      <c r="Q927" s="318">
        <v>15</v>
      </c>
      <c r="R927" s="319">
        <f t="shared" si="168"/>
        <v>415</v>
      </c>
      <c r="S927" s="364">
        <f t="shared" si="169"/>
        <v>32</v>
      </c>
      <c r="T927" s="319"/>
      <c r="U927" s="319"/>
      <c r="V927" s="319"/>
      <c r="W927" s="319"/>
      <c r="X927" s="319"/>
    </row>
    <row r="928" spans="1:24" ht="12.75">
      <c r="A928" s="315" t="s">
        <v>443</v>
      </c>
      <c r="B928" s="316" t="s">
        <v>157</v>
      </c>
      <c r="C928" s="316" t="s">
        <v>774</v>
      </c>
      <c r="D928" s="316">
        <v>2015</v>
      </c>
      <c r="E928" s="316" t="s">
        <v>775</v>
      </c>
      <c r="F928" s="317">
        <v>6</v>
      </c>
      <c r="G928" s="317">
        <v>1</v>
      </c>
      <c r="H928" s="318">
        <v>1</v>
      </c>
      <c r="I928" s="317">
        <v>0</v>
      </c>
      <c r="J928" s="317">
        <v>4</v>
      </c>
      <c r="K928" s="317">
        <v>0</v>
      </c>
      <c r="L928" s="317">
        <v>0</v>
      </c>
      <c r="M928" s="317">
        <v>0</v>
      </c>
      <c r="N928" s="317">
        <v>4</v>
      </c>
      <c r="O928" s="317">
        <v>1</v>
      </c>
      <c r="P928" s="317">
        <v>4</v>
      </c>
      <c r="Q928" s="318">
        <v>0</v>
      </c>
      <c r="R928" s="319">
        <f t="shared" si="168"/>
        <v>18</v>
      </c>
      <c r="S928" s="364">
        <f t="shared" si="169"/>
        <v>2</v>
      </c>
      <c r="T928" s="319"/>
      <c r="U928" s="319"/>
      <c r="V928" s="319"/>
      <c r="W928" s="319"/>
      <c r="X928" s="319"/>
    </row>
    <row r="929" spans="1:24" ht="12.75">
      <c r="A929" s="315" t="s">
        <v>444</v>
      </c>
      <c r="B929" s="316" t="s">
        <v>157</v>
      </c>
      <c r="C929" s="316" t="s">
        <v>774</v>
      </c>
      <c r="D929" s="316">
        <v>2015</v>
      </c>
      <c r="E929" s="316" t="s">
        <v>775</v>
      </c>
      <c r="F929" s="317">
        <v>33</v>
      </c>
      <c r="G929" s="317">
        <v>2</v>
      </c>
      <c r="H929" s="318">
        <v>0</v>
      </c>
      <c r="I929" s="317">
        <v>2</v>
      </c>
      <c r="J929" s="317">
        <v>17</v>
      </c>
      <c r="K929" s="317">
        <v>0</v>
      </c>
      <c r="L929" s="317">
        <v>0</v>
      </c>
      <c r="M929" s="317">
        <v>0</v>
      </c>
      <c r="N929" s="317">
        <v>19</v>
      </c>
      <c r="O929" s="317">
        <v>2</v>
      </c>
      <c r="P929" s="317">
        <v>37</v>
      </c>
      <c r="Q929" s="318">
        <v>1</v>
      </c>
      <c r="R929" s="319">
        <f t="shared" si="168"/>
        <v>106</v>
      </c>
      <c r="S929" s="364">
        <f t="shared" si="169"/>
        <v>5</v>
      </c>
      <c r="T929" s="319"/>
      <c r="U929" s="319"/>
      <c r="V929" s="319"/>
      <c r="W929" s="319"/>
      <c r="X929" s="319"/>
    </row>
    <row r="930" spans="1:24" ht="12.75">
      <c r="A930" s="315" t="s">
        <v>445</v>
      </c>
      <c r="B930" s="316" t="s">
        <v>157</v>
      </c>
      <c r="C930" s="316" t="s">
        <v>774</v>
      </c>
      <c r="D930" s="316">
        <v>2015</v>
      </c>
      <c r="E930" s="316" t="s">
        <v>775</v>
      </c>
      <c r="F930" s="317">
        <v>240</v>
      </c>
      <c r="G930" s="317">
        <v>2</v>
      </c>
      <c r="H930" s="318">
        <v>2</v>
      </c>
      <c r="I930" s="317">
        <v>0</v>
      </c>
      <c r="J930" s="317">
        <v>148</v>
      </c>
      <c r="K930" s="317">
        <v>14</v>
      </c>
      <c r="L930" s="317">
        <v>10</v>
      </c>
      <c r="M930" s="317">
        <v>4</v>
      </c>
      <c r="N930" s="317">
        <v>181</v>
      </c>
      <c r="O930" s="317">
        <v>10</v>
      </c>
      <c r="P930" s="317">
        <v>438</v>
      </c>
      <c r="Q930" s="318">
        <v>94</v>
      </c>
      <c r="R930" s="319">
        <f t="shared" si="168"/>
        <v>1007</v>
      </c>
      <c r="S930" s="364">
        <f t="shared" si="169"/>
        <v>120</v>
      </c>
      <c r="T930" s="319"/>
      <c r="U930" s="319"/>
      <c r="V930" s="319"/>
      <c r="W930" s="319"/>
      <c r="X930" s="319"/>
    </row>
    <row r="931" spans="1:24" ht="12.75">
      <c r="A931" s="315" t="s">
        <v>446</v>
      </c>
      <c r="B931" s="316" t="s">
        <v>157</v>
      </c>
      <c r="C931" s="316" t="s">
        <v>774</v>
      </c>
      <c r="D931" s="316">
        <v>2015</v>
      </c>
      <c r="E931" s="316" t="s">
        <v>775</v>
      </c>
      <c r="F931" s="317">
        <v>26</v>
      </c>
      <c r="G931" s="317">
        <v>2</v>
      </c>
      <c r="H931" s="318">
        <v>0</v>
      </c>
      <c r="I931" s="317">
        <v>2</v>
      </c>
      <c r="J931" s="317">
        <v>14</v>
      </c>
      <c r="K931" s="317">
        <v>3</v>
      </c>
      <c r="L931" s="317">
        <v>0</v>
      </c>
      <c r="M931" s="317">
        <v>3</v>
      </c>
      <c r="N931" s="317">
        <v>16</v>
      </c>
      <c r="O931" s="317">
        <v>0</v>
      </c>
      <c r="P931" s="317">
        <v>23</v>
      </c>
      <c r="Q931" s="318">
        <v>0</v>
      </c>
      <c r="R931" s="319">
        <f t="shared" si="168"/>
        <v>79</v>
      </c>
      <c r="S931" s="364">
        <f t="shared" si="169"/>
        <v>5</v>
      </c>
      <c r="T931" s="319"/>
      <c r="U931" s="319"/>
      <c r="V931" s="319"/>
      <c r="W931" s="319"/>
      <c r="X931" s="319"/>
    </row>
    <row r="932" spans="1:24" ht="12.75">
      <c r="A932" s="321" t="s">
        <v>447</v>
      </c>
      <c r="B932" s="322" t="s">
        <v>157</v>
      </c>
      <c r="C932" s="322" t="s">
        <v>774</v>
      </c>
      <c r="D932" s="322">
        <v>2015</v>
      </c>
      <c r="E932" s="322" t="s">
        <v>775</v>
      </c>
      <c r="F932" s="318">
        <v>24</v>
      </c>
      <c r="G932" s="317">
        <v>0</v>
      </c>
      <c r="H932" s="318">
        <v>0</v>
      </c>
      <c r="I932" s="318">
        <v>0</v>
      </c>
      <c r="J932" s="317">
        <v>16</v>
      </c>
      <c r="K932" s="317">
        <v>0</v>
      </c>
      <c r="L932" s="318">
        <v>0</v>
      </c>
      <c r="M932" s="318">
        <v>0</v>
      </c>
      <c r="N932" s="318">
        <v>19</v>
      </c>
      <c r="O932" s="318">
        <v>0</v>
      </c>
      <c r="P932" s="318">
        <v>19</v>
      </c>
      <c r="Q932" s="318">
        <v>0</v>
      </c>
      <c r="R932" s="319">
        <f t="shared" si="168"/>
        <v>78</v>
      </c>
      <c r="S932" s="364">
        <f t="shared" si="169"/>
        <v>0</v>
      </c>
      <c r="T932" s="323">
        <f>SUM(G921:G932)</f>
        <v>41</v>
      </c>
      <c r="U932" s="323">
        <f>SUM(K921:K932)</f>
        <v>43</v>
      </c>
      <c r="V932" s="323">
        <f>SUM(O921:O932)</f>
        <v>22</v>
      </c>
      <c r="W932" s="323">
        <f>SUM(Q921:Q932)</f>
        <v>313</v>
      </c>
      <c r="X932" s="323">
        <f>T932+U932+V932+W932</f>
        <v>419</v>
      </c>
    </row>
    <row r="933" spans="1:24" ht="12.75">
      <c r="A933" s="324" t="s">
        <v>436</v>
      </c>
      <c r="B933" s="325" t="s">
        <v>157</v>
      </c>
      <c r="C933" s="325" t="s">
        <v>774</v>
      </c>
      <c r="D933" s="325">
        <v>2016</v>
      </c>
      <c r="E933" s="325" t="s">
        <v>775</v>
      </c>
      <c r="F933" s="326">
        <v>4</v>
      </c>
      <c r="G933" s="326">
        <v>0</v>
      </c>
      <c r="H933" s="327">
        <v>0</v>
      </c>
      <c r="I933" s="326">
        <v>0</v>
      </c>
      <c r="J933" s="326">
        <v>3</v>
      </c>
      <c r="K933" s="326">
        <v>0</v>
      </c>
      <c r="L933" s="326">
        <v>0</v>
      </c>
      <c r="M933" s="326">
        <v>0</v>
      </c>
      <c r="N933" s="326">
        <v>4</v>
      </c>
      <c r="O933" s="326">
        <v>0</v>
      </c>
      <c r="P933" s="326">
        <v>5</v>
      </c>
      <c r="Q933" s="327">
        <v>0</v>
      </c>
      <c r="R933" s="328">
        <f t="shared" si="168"/>
        <v>16</v>
      </c>
      <c r="S933" s="365">
        <f t="shared" si="169"/>
        <v>0</v>
      </c>
      <c r="T933" s="328"/>
      <c r="U933" s="328"/>
      <c r="V933" s="328"/>
      <c r="W933" s="328"/>
      <c r="X933" s="328"/>
    </row>
    <row r="934" spans="1:24" ht="12.75">
      <c r="A934" s="324" t="s">
        <v>437</v>
      </c>
      <c r="B934" s="325" t="s">
        <v>157</v>
      </c>
      <c r="C934" s="325" t="s">
        <v>774</v>
      </c>
      <c r="D934" s="325">
        <v>2016</v>
      </c>
      <c r="E934" s="325" t="s">
        <v>775</v>
      </c>
      <c r="F934" s="326">
        <v>22</v>
      </c>
      <c r="G934" s="326">
        <v>2</v>
      </c>
      <c r="H934" s="327">
        <v>1</v>
      </c>
      <c r="I934" s="326">
        <v>1</v>
      </c>
      <c r="J934" s="326">
        <v>13</v>
      </c>
      <c r="K934" s="326">
        <v>1</v>
      </c>
      <c r="L934" s="326">
        <v>1</v>
      </c>
      <c r="M934" s="326">
        <v>0</v>
      </c>
      <c r="N934" s="326">
        <v>13</v>
      </c>
      <c r="O934" s="326">
        <v>1</v>
      </c>
      <c r="P934" s="326">
        <v>24</v>
      </c>
      <c r="Q934" s="327">
        <v>13</v>
      </c>
      <c r="R934" s="328">
        <f t="shared" si="168"/>
        <v>72</v>
      </c>
      <c r="S934" s="365">
        <f t="shared" si="169"/>
        <v>17</v>
      </c>
      <c r="T934" s="328"/>
      <c r="U934" s="328"/>
      <c r="V934" s="328"/>
      <c r="W934" s="328"/>
      <c r="X934" s="328"/>
    </row>
    <row r="935" spans="1:24" ht="12.75">
      <c r="A935" s="324" t="s">
        <v>438</v>
      </c>
      <c r="B935" s="325" t="s">
        <v>157</v>
      </c>
      <c r="C935" s="325" t="s">
        <v>774</v>
      </c>
      <c r="D935" s="325">
        <v>2016</v>
      </c>
      <c r="E935" s="325" t="s">
        <v>775</v>
      </c>
      <c r="F935" s="326">
        <v>16</v>
      </c>
      <c r="G935" s="326">
        <v>0</v>
      </c>
      <c r="H935" s="327">
        <v>0</v>
      </c>
      <c r="I935" s="326">
        <v>0</v>
      </c>
      <c r="J935" s="326">
        <v>11</v>
      </c>
      <c r="K935" s="326">
        <v>0</v>
      </c>
      <c r="L935" s="326">
        <v>0</v>
      </c>
      <c r="M935" s="326">
        <v>0</v>
      </c>
      <c r="N935" s="326">
        <v>11</v>
      </c>
      <c r="O935" s="326">
        <v>0</v>
      </c>
      <c r="P935" s="326">
        <v>23</v>
      </c>
      <c r="Q935" s="327">
        <v>5</v>
      </c>
      <c r="R935" s="328">
        <f t="shared" si="168"/>
        <v>61</v>
      </c>
      <c r="S935" s="365">
        <f t="shared" si="169"/>
        <v>5</v>
      </c>
      <c r="T935" s="328"/>
      <c r="U935" s="328"/>
      <c r="V935" s="328"/>
      <c r="W935" s="328"/>
      <c r="X935" s="328"/>
    </row>
    <row r="936" spans="1:24" ht="12.75">
      <c r="A936" s="324" t="s">
        <v>439</v>
      </c>
      <c r="B936" s="325" t="s">
        <v>157</v>
      </c>
      <c r="C936" s="325" t="s">
        <v>774</v>
      </c>
      <c r="D936" s="325">
        <v>2016</v>
      </c>
      <c r="E936" s="325" t="s">
        <v>775</v>
      </c>
      <c r="F936" s="326">
        <v>40</v>
      </c>
      <c r="G936" s="326">
        <v>0</v>
      </c>
      <c r="H936" s="327">
        <v>0</v>
      </c>
      <c r="I936" s="326">
        <v>0</v>
      </c>
      <c r="J936" s="326">
        <v>20</v>
      </c>
      <c r="K936" s="326">
        <v>0</v>
      </c>
      <c r="L936" s="326">
        <v>0</v>
      </c>
      <c r="M936" s="326">
        <v>0</v>
      </c>
      <c r="N936" s="326">
        <v>21</v>
      </c>
      <c r="O936" s="326">
        <v>1</v>
      </c>
      <c r="P936" s="326">
        <v>51</v>
      </c>
      <c r="Q936" s="327">
        <v>3</v>
      </c>
      <c r="R936" s="328">
        <f t="shared" si="168"/>
        <v>132</v>
      </c>
      <c r="S936" s="365">
        <f t="shared" si="169"/>
        <v>4</v>
      </c>
      <c r="T936" s="328"/>
      <c r="U936" s="328"/>
      <c r="V936" s="328"/>
      <c r="W936" s="328"/>
      <c r="X936" s="328"/>
    </row>
    <row r="937" spans="1:24" ht="12.75">
      <c r="A937" s="324" t="s">
        <v>440</v>
      </c>
      <c r="B937" s="325" t="s">
        <v>157</v>
      </c>
      <c r="C937" s="325" t="s">
        <v>774</v>
      </c>
      <c r="D937" s="325">
        <v>2016</v>
      </c>
      <c r="E937" s="325" t="s">
        <v>775</v>
      </c>
      <c r="F937" s="326">
        <v>55</v>
      </c>
      <c r="G937" s="326">
        <v>2</v>
      </c>
      <c r="H937" s="327">
        <v>1</v>
      </c>
      <c r="I937" s="326">
        <v>1</v>
      </c>
      <c r="J937" s="326">
        <v>32</v>
      </c>
      <c r="K937" s="326">
        <v>5</v>
      </c>
      <c r="L937" s="326">
        <v>2</v>
      </c>
      <c r="M937" s="326">
        <v>3</v>
      </c>
      <c r="N937" s="326">
        <v>37</v>
      </c>
      <c r="O937" s="326">
        <v>2</v>
      </c>
      <c r="P937" s="326">
        <v>61</v>
      </c>
      <c r="Q937" s="327">
        <v>21</v>
      </c>
      <c r="R937" s="328">
        <f t="shared" si="168"/>
        <v>185</v>
      </c>
      <c r="S937" s="365">
        <f t="shared" si="169"/>
        <v>30</v>
      </c>
      <c r="T937" s="328"/>
      <c r="U937" s="328"/>
      <c r="V937" s="328"/>
      <c r="W937" s="328"/>
      <c r="X937" s="328"/>
    </row>
    <row r="938" spans="1:24" ht="12.75">
      <c r="A938" s="324" t="s">
        <v>441</v>
      </c>
      <c r="B938" s="325" t="s">
        <v>157</v>
      </c>
      <c r="C938" s="325" t="s">
        <v>774</v>
      </c>
      <c r="D938" s="325">
        <v>2016</v>
      </c>
      <c r="E938" s="325" t="s">
        <v>775</v>
      </c>
      <c r="F938" s="326">
        <v>41</v>
      </c>
      <c r="G938" s="326">
        <v>4</v>
      </c>
      <c r="H938" s="327">
        <v>0</v>
      </c>
      <c r="I938" s="326">
        <v>4</v>
      </c>
      <c r="J938" s="326">
        <v>24</v>
      </c>
      <c r="K938" s="326">
        <v>3</v>
      </c>
      <c r="L938" s="326">
        <v>0</v>
      </c>
      <c r="M938" s="326">
        <v>3</v>
      </c>
      <c r="N938" s="326">
        <v>26</v>
      </c>
      <c r="O938" s="326">
        <v>2</v>
      </c>
      <c r="P938" s="326">
        <v>38</v>
      </c>
      <c r="Q938" s="327">
        <v>2</v>
      </c>
      <c r="R938" s="328">
        <f t="shared" si="168"/>
        <v>129</v>
      </c>
      <c r="S938" s="365">
        <f t="shared" si="169"/>
        <v>11</v>
      </c>
      <c r="T938" s="328"/>
      <c r="U938" s="328"/>
      <c r="V938" s="328"/>
      <c r="W938" s="328"/>
      <c r="X938" s="328"/>
    </row>
    <row r="939" spans="1:24" ht="12.75">
      <c r="A939" s="324" t="s">
        <v>442</v>
      </c>
      <c r="B939" s="325" t="s">
        <v>157</v>
      </c>
      <c r="C939" s="325" t="s">
        <v>774</v>
      </c>
      <c r="D939" s="325">
        <v>2016</v>
      </c>
      <c r="E939" s="325" t="s">
        <v>775</v>
      </c>
      <c r="F939" s="326">
        <v>111</v>
      </c>
      <c r="G939" s="326">
        <v>1</v>
      </c>
      <c r="H939" s="327">
        <v>1</v>
      </c>
      <c r="I939" s="326">
        <v>0</v>
      </c>
      <c r="J939" s="326">
        <v>65</v>
      </c>
      <c r="K939" s="326">
        <v>2</v>
      </c>
      <c r="L939" s="326">
        <v>2</v>
      </c>
      <c r="M939" s="326">
        <v>0</v>
      </c>
      <c r="N939" s="326">
        <v>72</v>
      </c>
      <c r="O939" s="326">
        <v>0</v>
      </c>
      <c r="P939" s="326">
        <v>167</v>
      </c>
      <c r="Q939" s="327">
        <v>5</v>
      </c>
      <c r="R939" s="328">
        <f t="shared" si="168"/>
        <v>415</v>
      </c>
      <c r="S939" s="365">
        <f t="shared" si="169"/>
        <v>8</v>
      </c>
      <c r="T939" s="328"/>
      <c r="U939" s="328"/>
      <c r="V939" s="328"/>
      <c r="W939" s="328"/>
      <c r="X939" s="328"/>
    </row>
    <row r="940" spans="1:24" ht="12.75">
      <c r="A940" s="324" t="s">
        <v>443</v>
      </c>
      <c r="B940" s="325" t="s">
        <v>157</v>
      </c>
      <c r="C940" s="325" t="s">
        <v>774</v>
      </c>
      <c r="D940" s="325">
        <v>2016</v>
      </c>
      <c r="E940" s="325" t="s">
        <v>775</v>
      </c>
      <c r="F940" s="326">
        <v>6</v>
      </c>
      <c r="G940" s="326">
        <v>1</v>
      </c>
      <c r="H940" s="327">
        <v>1</v>
      </c>
      <c r="I940" s="326">
        <v>0</v>
      </c>
      <c r="J940" s="326">
        <v>4</v>
      </c>
      <c r="K940" s="326">
        <v>0</v>
      </c>
      <c r="L940" s="326">
        <v>0</v>
      </c>
      <c r="M940" s="326">
        <v>0</v>
      </c>
      <c r="N940" s="326">
        <v>4</v>
      </c>
      <c r="O940" s="326">
        <v>0</v>
      </c>
      <c r="P940" s="326">
        <v>4</v>
      </c>
      <c r="Q940" s="327">
        <v>1</v>
      </c>
      <c r="R940" s="328">
        <f t="shared" si="168"/>
        <v>18</v>
      </c>
      <c r="S940" s="365">
        <f t="shared" si="169"/>
        <v>2</v>
      </c>
      <c r="T940" s="328"/>
      <c r="U940" s="328"/>
      <c r="V940" s="328"/>
      <c r="W940" s="328"/>
      <c r="X940" s="328"/>
    </row>
    <row r="941" spans="1:24" ht="12.75">
      <c r="A941" s="324" t="s">
        <v>444</v>
      </c>
      <c r="B941" s="325" t="s">
        <v>157</v>
      </c>
      <c r="C941" s="325" t="s">
        <v>774</v>
      </c>
      <c r="D941" s="325">
        <v>2016</v>
      </c>
      <c r="E941" s="325" t="s">
        <v>775</v>
      </c>
      <c r="F941" s="326">
        <v>33</v>
      </c>
      <c r="G941" s="326">
        <v>1</v>
      </c>
      <c r="H941" s="327">
        <v>1</v>
      </c>
      <c r="I941" s="326">
        <v>0</v>
      </c>
      <c r="J941" s="326">
        <v>17</v>
      </c>
      <c r="K941" s="326">
        <v>0</v>
      </c>
      <c r="L941" s="326">
        <v>0</v>
      </c>
      <c r="M941" s="326">
        <v>0</v>
      </c>
      <c r="N941" s="326">
        <v>19</v>
      </c>
      <c r="O941" s="326">
        <v>1</v>
      </c>
      <c r="P941" s="326">
        <v>37</v>
      </c>
      <c r="Q941" s="327">
        <v>4</v>
      </c>
      <c r="R941" s="328">
        <f t="shared" si="168"/>
        <v>106</v>
      </c>
      <c r="S941" s="365">
        <f t="shared" si="169"/>
        <v>6</v>
      </c>
      <c r="T941" s="328"/>
      <c r="U941" s="328"/>
      <c r="V941" s="328"/>
      <c r="W941" s="328"/>
      <c r="X941" s="328"/>
    </row>
    <row r="942" spans="1:24" ht="12.75">
      <c r="A942" s="324" t="s">
        <v>445</v>
      </c>
      <c r="B942" s="325" t="s">
        <v>157</v>
      </c>
      <c r="C942" s="325" t="s">
        <v>774</v>
      </c>
      <c r="D942" s="325">
        <v>2016</v>
      </c>
      <c r="E942" s="325" t="s">
        <v>775</v>
      </c>
      <c r="F942" s="326">
        <v>240</v>
      </c>
      <c r="G942" s="326">
        <v>0</v>
      </c>
      <c r="H942" s="327">
        <v>0</v>
      </c>
      <c r="I942" s="326">
        <v>0</v>
      </c>
      <c r="J942" s="326">
        <v>148</v>
      </c>
      <c r="K942" s="326">
        <v>5</v>
      </c>
      <c r="L942" s="326">
        <v>5</v>
      </c>
      <c r="M942" s="326">
        <v>0</v>
      </c>
      <c r="N942" s="326">
        <v>181</v>
      </c>
      <c r="O942" s="326">
        <v>0</v>
      </c>
      <c r="P942" s="326">
        <v>438</v>
      </c>
      <c r="Q942" s="327">
        <v>21</v>
      </c>
      <c r="R942" s="328">
        <f t="shared" si="168"/>
        <v>1007</v>
      </c>
      <c r="S942" s="365">
        <f t="shared" si="169"/>
        <v>26</v>
      </c>
      <c r="T942" s="328"/>
      <c r="U942" s="328"/>
      <c r="V942" s="328"/>
      <c r="W942" s="328"/>
      <c r="X942" s="328"/>
    </row>
    <row r="943" spans="1:24" ht="12.75">
      <c r="A943" s="324" t="s">
        <v>446</v>
      </c>
      <c r="B943" s="325" t="s">
        <v>157</v>
      </c>
      <c r="C943" s="325" t="s">
        <v>774</v>
      </c>
      <c r="D943" s="325">
        <v>2016</v>
      </c>
      <c r="E943" s="325" t="s">
        <v>775</v>
      </c>
      <c r="F943" s="326">
        <v>26</v>
      </c>
      <c r="G943" s="326">
        <v>1</v>
      </c>
      <c r="H943" s="327">
        <v>1</v>
      </c>
      <c r="I943" s="326">
        <v>0</v>
      </c>
      <c r="J943" s="326">
        <v>14</v>
      </c>
      <c r="K943" s="326">
        <v>1</v>
      </c>
      <c r="L943" s="326">
        <v>1</v>
      </c>
      <c r="M943" s="326">
        <v>0</v>
      </c>
      <c r="N943" s="326">
        <v>16</v>
      </c>
      <c r="O943" s="326">
        <v>0</v>
      </c>
      <c r="P943" s="326">
        <v>23</v>
      </c>
      <c r="Q943" s="327">
        <v>3</v>
      </c>
      <c r="R943" s="328">
        <f t="shared" si="168"/>
        <v>79</v>
      </c>
      <c r="S943" s="365">
        <f t="shared" si="169"/>
        <v>5</v>
      </c>
      <c r="T943" s="328"/>
      <c r="U943" s="328"/>
      <c r="V943" s="328"/>
      <c r="W943" s="328"/>
      <c r="X943" s="328"/>
    </row>
    <row r="944" spans="1:24" ht="12.75">
      <c r="A944" s="329" t="s">
        <v>447</v>
      </c>
      <c r="B944" s="330" t="s">
        <v>157</v>
      </c>
      <c r="C944" s="330" t="s">
        <v>774</v>
      </c>
      <c r="D944" s="330">
        <v>2016</v>
      </c>
      <c r="E944" s="330" t="s">
        <v>775</v>
      </c>
      <c r="F944" s="327">
        <v>24</v>
      </c>
      <c r="G944" s="326">
        <v>0</v>
      </c>
      <c r="H944" s="327">
        <v>0</v>
      </c>
      <c r="I944" s="327">
        <v>0</v>
      </c>
      <c r="J944" s="326">
        <v>16</v>
      </c>
      <c r="K944" s="326">
        <v>0</v>
      </c>
      <c r="L944" s="327">
        <v>0</v>
      </c>
      <c r="M944" s="327">
        <v>0</v>
      </c>
      <c r="N944" s="327">
        <v>19</v>
      </c>
      <c r="O944" s="327">
        <v>0</v>
      </c>
      <c r="P944" s="327">
        <v>19</v>
      </c>
      <c r="Q944" s="327">
        <v>2</v>
      </c>
      <c r="R944" s="328">
        <f t="shared" si="168"/>
        <v>78</v>
      </c>
      <c r="S944" s="365">
        <f t="shared" si="169"/>
        <v>2</v>
      </c>
      <c r="T944" s="331">
        <f>SUM(G933:G944)</f>
        <v>12</v>
      </c>
      <c r="U944" s="331">
        <f>SUM(K933:K944)</f>
        <v>17</v>
      </c>
      <c r="V944" s="331">
        <f>SUM(O933:O944)</f>
        <v>7</v>
      </c>
      <c r="W944" s="331">
        <f>SUM(Q933:Q944)</f>
        <v>80</v>
      </c>
      <c r="X944" s="331">
        <f>T944+U944+V944+W944</f>
        <v>116</v>
      </c>
    </row>
    <row r="945" spans="1:24" ht="12.75">
      <c r="A945" s="332" t="s">
        <v>436</v>
      </c>
      <c r="B945" s="333" t="s">
        <v>157</v>
      </c>
      <c r="C945" s="333" t="s">
        <v>774</v>
      </c>
      <c r="D945" s="333">
        <v>2017</v>
      </c>
      <c r="E945" s="333" t="s">
        <v>775</v>
      </c>
      <c r="F945" s="334">
        <v>4</v>
      </c>
      <c r="G945" s="334">
        <v>0</v>
      </c>
      <c r="H945" s="335">
        <v>0</v>
      </c>
      <c r="I945" s="334">
        <v>0</v>
      </c>
      <c r="J945" s="334">
        <v>3</v>
      </c>
      <c r="K945" s="334">
        <v>0</v>
      </c>
      <c r="L945" s="334">
        <v>0</v>
      </c>
      <c r="M945" s="334">
        <v>0</v>
      </c>
      <c r="N945" s="334">
        <v>4</v>
      </c>
      <c r="O945" s="334">
        <v>2</v>
      </c>
      <c r="P945" s="334">
        <v>5</v>
      </c>
      <c r="Q945" s="335">
        <v>0</v>
      </c>
      <c r="R945" s="336">
        <f t="shared" si="168"/>
        <v>16</v>
      </c>
      <c r="S945" s="366">
        <f t="shared" si="169"/>
        <v>2</v>
      </c>
      <c r="T945" s="336"/>
      <c r="U945" s="336"/>
      <c r="V945" s="336"/>
      <c r="W945" s="336"/>
      <c r="X945" s="336"/>
    </row>
    <row r="946" spans="1:24" ht="12.75">
      <c r="A946" s="332" t="s">
        <v>437</v>
      </c>
      <c r="B946" s="333" t="s">
        <v>157</v>
      </c>
      <c r="C946" s="333" t="s">
        <v>774</v>
      </c>
      <c r="D946" s="333">
        <v>2017</v>
      </c>
      <c r="E946" s="333" t="s">
        <v>775</v>
      </c>
      <c r="F946" s="334">
        <v>22</v>
      </c>
      <c r="G946" s="334">
        <v>1</v>
      </c>
      <c r="H946" s="335">
        <v>0</v>
      </c>
      <c r="I946" s="334">
        <v>1</v>
      </c>
      <c r="J946" s="334">
        <v>13</v>
      </c>
      <c r="K946" s="334">
        <v>0</v>
      </c>
      <c r="L946" s="334">
        <v>0</v>
      </c>
      <c r="M946" s="334">
        <v>0</v>
      </c>
      <c r="N946" s="334">
        <v>13</v>
      </c>
      <c r="O946" s="334">
        <v>2</v>
      </c>
      <c r="P946" s="334">
        <v>24</v>
      </c>
      <c r="Q946" s="335">
        <v>2</v>
      </c>
      <c r="R946" s="336">
        <f t="shared" si="168"/>
        <v>72</v>
      </c>
      <c r="S946" s="366">
        <f t="shared" si="169"/>
        <v>5</v>
      </c>
      <c r="T946" s="336"/>
      <c r="U946" s="336"/>
      <c r="V946" s="336"/>
      <c r="W946" s="336"/>
      <c r="X946" s="336"/>
    </row>
    <row r="947" spans="1:24" ht="12.75">
      <c r="A947" s="332" t="s">
        <v>438</v>
      </c>
      <c r="B947" s="333" t="s">
        <v>157</v>
      </c>
      <c r="C947" s="333" t="s">
        <v>774</v>
      </c>
      <c r="D947" s="333">
        <v>2017</v>
      </c>
      <c r="E947" s="333" t="s">
        <v>775</v>
      </c>
      <c r="F947" s="334">
        <v>16</v>
      </c>
      <c r="G947" s="334">
        <v>1</v>
      </c>
      <c r="H947" s="335">
        <v>1</v>
      </c>
      <c r="I947" s="334">
        <v>0</v>
      </c>
      <c r="J947" s="334">
        <v>11</v>
      </c>
      <c r="K947" s="334">
        <v>1</v>
      </c>
      <c r="L947" s="334">
        <v>1</v>
      </c>
      <c r="M947" s="334">
        <v>0</v>
      </c>
      <c r="N947" s="334">
        <v>11</v>
      </c>
      <c r="O947" s="334">
        <v>1</v>
      </c>
      <c r="P947" s="334">
        <v>23</v>
      </c>
      <c r="Q947" s="335">
        <v>5</v>
      </c>
      <c r="R947" s="336">
        <f t="shared" si="168"/>
        <v>61</v>
      </c>
      <c r="S947" s="366">
        <f t="shared" si="169"/>
        <v>8</v>
      </c>
      <c r="T947" s="336"/>
      <c r="U947" s="336"/>
      <c r="V947" s="336"/>
      <c r="W947" s="336"/>
      <c r="X947" s="336"/>
    </row>
    <row r="948" spans="1:24" ht="12.75">
      <c r="A948" s="332" t="s">
        <v>439</v>
      </c>
      <c r="B948" s="333" t="s">
        <v>157</v>
      </c>
      <c r="C948" s="333" t="s">
        <v>774</v>
      </c>
      <c r="D948" s="333">
        <v>2017</v>
      </c>
      <c r="E948" s="333" t="s">
        <v>775</v>
      </c>
      <c r="F948" s="334">
        <v>40</v>
      </c>
      <c r="G948" s="334">
        <v>0</v>
      </c>
      <c r="H948" s="335">
        <v>0</v>
      </c>
      <c r="I948" s="334">
        <v>0</v>
      </c>
      <c r="J948" s="334">
        <v>20</v>
      </c>
      <c r="K948" s="334">
        <v>1</v>
      </c>
      <c r="L948" s="334">
        <v>0</v>
      </c>
      <c r="M948" s="334">
        <v>1</v>
      </c>
      <c r="N948" s="334">
        <v>21</v>
      </c>
      <c r="O948" s="334">
        <v>0</v>
      </c>
      <c r="P948" s="334">
        <v>51</v>
      </c>
      <c r="Q948" s="335">
        <v>0</v>
      </c>
      <c r="R948" s="336">
        <f t="shared" si="168"/>
        <v>132</v>
      </c>
      <c r="S948" s="366">
        <f t="shared" si="169"/>
        <v>1</v>
      </c>
      <c r="T948" s="336"/>
      <c r="U948" s="336"/>
      <c r="V948" s="336"/>
      <c r="W948" s="336"/>
      <c r="X948" s="336"/>
    </row>
    <row r="949" spans="1:24" ht="12.75">
      <c r="A949" s="332" t="s">
        <v>440</v>
      </c>
      <c r="B949" s="333" t="s">
        <v>157</v>
      </c>
      <c r="C949" s="333" t="s">
        <v>774</v>
      </c>
      <c r="D949" s="333">
        <v>2017</v>
      </c>
      <c r="E949" s="333" t="s">
        <v>775</v>
      </c>
      <c r="F949" s="334">
        <v>55</v>
      </c>
      <c r="G949" s="334">
        <v>1</v>
      </c>
      <c r="H949" s="335">
        <v>0</v>
      </c>
      <c r="I949" s="334">
        <v>1</v>
      </c>
      <c r="J949" s="334">
        <v>32</v>
      </c>
      <c r="K949" s="334">
        <v>5</v>
      </c>
      <c r="L949" s="334">
        <v>2</v>
      </c>
      <c r="M949" s="334">
        <v>3</v>
      </c>
      <c r="N949" s="334">
        <v>37</v>
      </c>
      <c r="O949" s="334">
        <v>1</v>
      </c>
      <c r="P949" s="334">
        <v>61</v>
      </c>
      <c r="Q949" s="335">
        <v>26</v>
      </c>
      <c r="R949" s="336">
        <f t="shared" si="168"/>
        <v>185</v>
      </c>
      <c r="S949" s="366">
        <f t="shared" si="169"/>
        <v>33</v>
      </c>
      <c r="T949" s="336"/>
      <c r="U949" s="336"/>
      <c r="V949" s="336"/>
      <c r="W949" s="336"/>
      <c r="X949" s="336"/>
    </row>
    <row r="950" spans="1:24" ht="12.75">
      <c r="A950" s="332" t="s">
        <v>441</v>
      </c>
      <c r="B950" s="333" t="s">
        <v>157</v>
      </c>
      <c r="C950" s="333" t="s">
        <v>774</v>
      </c>
      <c r="D950" s="333">
        <v>2017</v>
      </c>
      <c r="E950" s="333" t="s">
        <v>775</v>
      </c>
      <c r="F950" s="334">
        <v>41</v>
      </c>
      <c r="G950" s="334">
        <v>6</v>
      </c>
      <c r="H950" s="335">
        <v>0</v>
      </c>
      <c r="I950" s="334">
        <v>6</v>
      </c>
      <c r="J950" s="334">
        <v>24</v>
      </c>
      <c r="K950" s="334">
        <v>5</v>
      </c>
      <c r="L950" s="334">
        <v>0</v>
      </c>
      <c r="M950" s="334">
        <v>5</v>
      </c>
      <c r="N950" s="334">
        <v>26</v>
      </c>
      <c r="O950" s="334">
        <v>5</v>
      </c>
      <c r="P950" s="334">
        <v>38</v>
      </c>
      <c r="Q950" s="335">
        <v>4</v>
      </c>
      <c r="R950" s="336">
        <f t="shared" si="168"/>
        <v>129</v>
      </c>
      <c r="S950" s="366">
        <f t="shared" si="169"/>
        <v>20</v>
      </c>
      <c r="T950" s="336"/>
      <c r="U950" s="336"/>
      <c r="V950" s="336"/>
      <c r="W950" s="336"/>
      <c r="X950" s="336"/>
    </row>
    <row r="951" spans="1:24" ht="12.75">
      <c r="A951" s="332" t="s">
        <v>442</v>
      </c>
      <c r="B951" s="333" t="s">
        <v>157</v>
      </c>
      <c r="C951" s="333" t="s">
        <v>774</v>
      </c>
      <c r="D951" s="333">
        <v>2017</v>
      </c>
      <c r="E951" s="333" t="s">
        <v>775</v>
      </c>
      <c r="F951" s="334">
        <v>111</v>
      </c>
      <c r="G951" s="334">
        <v>2</v>
      </c>
      <c r="H951" s="335">
        <v>0</v>
      </c>
      <c r="I951" s="334">
        <v>2</v>
      </c>
      <c r="J951" s="334">
        <v>65</v>
      </c>
      <c r="K951" s="334">
        <v>1</v>
      </c>
      <c r="L951" s="334">
        <v>0</v>
      </c>
      <c r="M951" s="334">
        <v>1</v>
      </c>
      <c r="N951" s="334">
        <v>72</v>
      </c>
      <c r="O951" s="334">
        <v>0</v>
      </c>
      <c r="P951" s="334">
        <v>167</v>
      </c>
      <c r="Q951" s="335">
        <v>6</v>
      </c>
      <c r="R951" s="336">
        <f t="shared" si="168"/>
        <v>415</v>
      </c>
      <c r="S951" s="366">
        <f t="shared" si="169"/>
        <v>9</v>
      </c>
      <c r="T951" s="336"/>
      <c r="U951" s="336"/>
      <c r="V951" s="336"/>
      <c r="W951" s="336"/>
      <c r="X951" s="336"/>
    </row>
    <row r="952" spans="1:24" ht="12.75">
      <c r="A952" s="332" t="s">
        <v>443</v>
      </c>
      <c r="B952" s="333" t="s">
        <v>157</v>
      </c>
      <c r="C952" s="333" t="s">
        <v>774</v>
      </c>
      <c r="D952" s="333">
        <v>2017</v>
      </c>
      <c r="E952" s="333" t="s">
        <v>775</v>
      </c>
      <c r="F952" s="334">
        <v>6</v>
      </c>
      <c r="G952" s="334">
        <v>0</v>
      </c>
      <c r="H952" s="335">
        <v>0</v>
      </c>
      <c r="I952" s="334">
        <v>0</v>
      </c>
      <c r="J952" s="334">
        <v>4</v>
      </c>
      <c r="K952" s="334">
        <v>0</v>
      </c>
      <c r="L952" s="334">
        <v>0</v>
      </c>
      <c r="M952" s="334">
        <v>0</v>
      </c>
      <c r="N952" s="334">
        <v>4</v>
      </c>
      <c r="O952" s="334">
        <v>1</v>
      </c>
      <c r="P952" s="334">
        <v>4</v>
      </c>
      <c r="Q952" s="335">
        <v>0</v>
      </c>
      <c r="R952" s="336">
        <f t="shared" si="168"/>
        <v>18</v>
      </c>
      <c r="S952" s="366">
        <f t="shared" si="169"/>
        <v>1</v>
      </c>
      <c r="T952" s="336"/>
      <c r="U952" s="336"/>
      <c r="V952" s="336"/>
      <c r="W952" s="336"/>
      <c r="X952" s="336"/>
    </row>
    <row r="953" spans="1:24" ht="12.75">
      <c r="A953" s="332" t="s">
        <v>444</v>
      </c>
      <c r="B953" s="333" t="s">
        <v>157</v>
      </c>
      <c r="C953" s="333" t="s">
        <v>774</v>
      </c>
      <c r="D953" s="333">
        <v>2017</v>
      </c>
      <c r="E953" s="333" t="s">
        <v>775</v>
      </c>
      <c r="F953" s="334">
        <v>33</v>
      </c>
      <c r="G953" s="334">
        <v>1</v>
      </c>
      <c r="H953" s="335">
        <v>0</v>
      </c>
      <c r="I953" s="334">
        <v>1</v>
      </c>
      <c r="J953" s="334">
        <v>17</v>
      </c>
      <c r="K953" s="334">
        <v>2</v>
      </c>
      <c r="L953" s="334">
        <v>2</v>
      </c>
      <c r="M953" s="334">
        <v>0</v>
      </c>
      <c r="N953" s="334">
        <v>19</v>
      </c>
      <c r="O953" s="334">
        <v>4</v>
      </c>
      <c r="P953" s="334">
        <v>37</v>
      </c>
      <c r="Q953" s="335">
        <v>5</v>
      </c>
      <c r="R953" s="336">
        <f t="shared" si="168"/>
        <v>106</v>
      </c>
      <c r="S953" s="366">
        <f t="shared" si="169"/>
        <v>12</v>
      </c>
      <c r="T953" s="336"/>
      <c r="U953" s="336"/>
      <c r="V953" s="336"/>
      <c r="W953" s="336"/>
      <c r="X953" s="336"/>
    </row>
    <row r="954" spans="1:24" ht="12.75">
      <c r="A954" s="332" t="s">
        <v>445</v>
      </c>
      <c r="B954" s="333" t="s">
        <v>157</v>
      </c>
      <c r="C954" s="333" t="s">
        <v>774</v>
      </c>
      <c r="D954" s="333">
        <v>2017</v>
      </c>
      <c r="E954" s="333" t="s">
        <v>775</v>
      </c>
      <c r="F954" s="334">
        <v>240</v>
      </c>
      <c r="G954" s="334">
        <v>0</v>
      </c>
      <c r="H954" s="335">
        <v>0</v>
      </c>
      <c r="I954" s="334">
        <v>0</v>
      </c>
      <c r="J954" s="334">
        <v>148</v>
      </c>
      <c r="K954" s="334">
        <v>7</v>
      </c>
      <c r="L954" s="334">
        <v>0</v>
      </c>
      <c r="M954" s="334">
        <v>7</v>
      </c>
      <c r="N954" s="334">
        <v>181</v>
      </c>
      <c r="O954" s="334">
        <v>0</v>
      </c>
      <c r="P954" s="334">
        <v>438</v>
      </c>
      <c r="Q954" s="335">
        <v>20</v>
      </c>
      <c r="R954" s="336">
        <f t="shared" si="168"/>
        <v>1007</v>
      </c>
      <c r="S954" s="366">
        <f t="shared" si="169"/>
        <v>27</v>
      </c>
      <c r="T954" s="336"/>
      <c r="U954" s="336"/>
      <c r="V954" s="336"/>
      <c r="W954" s="336"/>
      <c r="X954" s="336"/>
    </row>
    <row r="955" spans="1:24" ht="12.75">
      <c r="A955" s="332" t="s">
        <v>446</v>
      </c>
      <c r="B955" s="333" t="s">
        <v>157</v>
      </c>
      <c r="C955" s="333" t="s">
        <v>774</v>
      </c>
      <c r="D955" s="333">
        <v>2017</v>
      </c>
      <c r="E955" s="333" t="s">
        <v>775</v>
      </c>
      <c r="F955" s="334">
        <v>26</v>
      </c>
      <c r="G955" s="334">
        <v>1</v>
      </c>
      <c r="H955" s="335">
        <v>1</v>
      </c>
      <c r="I955" s="334">
        <v>0</v>
      </c>
      <c r="J955" s="334">
        <v>14</v>
      </c>
      <c r="K955" s="334">
        <v>2</v>
      </c>
      <c r="L955" s="334">
        <v>0</v>
      </c>
      <c r="M955" s="334">
        <v>2</v>
      </c>
      <c r="N955" s="334">
        <v>16</v>
      </c>
      <c r="O955" s="334">
        <v>1</v>
      </c>
      <c r="P955" s="334">
        <v>23</v>
      </c>
      <c r="Q955" s="335">
        <v>1</v>
      </c>
      <c r="R955" s="336">
        <f t="shared" si="168"/>
        <v>79</v>
      </c>
      <c r="S955" s="366">
        <f t="shared" si="169"/>
        <v>5</v>
      </c>
      <c r="T955" s="336"/>
      <c r="U955" s="336"/>
      <c r="V955" s="336"/>
      <c r="W955" s="336"/>
      <c r="X955" s="336"/>
    </row>
    <row r="956" spans="1:24" ht="12.75">
      <c r="A956" s="337" t="s">
        <v>447</v>
      </c>
      <c r="B956" s="338" t="s">
        <v>157</v>
      </c>
      <c r="C956" s="338" t="s">
        <v>774</v>
      </c>
      <c r="D956" s="338">
        <v>2017</v>
      </c>
      <c r="E956" s="338" t="s">
        <v>775</v>
      </c>
      <c r="F956" s="335">
        <v>24</v>
      </c>
      <c r="G956" s="334">
        <v>0</v>
      </c>
      <c r="H956" s="335">
        <v>0</v>
      </c>
      <c r="I956" s="335">
        <v>0</v>
      </c>
      <c r="J956" s="334">
        <v>16</v>
      </c>
      <c r="K956" s="334">
        <v>0</v>
      </c>
      <c r="L956" s="335">
        <v>0</v>
      </c>
      <c r="M956" s="335">
        <v>0</v>
      </c>
      <c r="N956" s="335">
        <v>19</v>
      </c>
      <c r="O956" s="335">
        <v>0</v>
      </c>
      <c r="P956" s="335">
        <v>19</v>
      </c>
      <c r="Q956" s="335">
        <v>7</v>
      </c>
      <c r="R956" s="336">
        <f t="shared" si="168"/>
        <v>78</v>
      </c>
      <c r="S956" s="366">
        <f t="shared" si="169"/>
        <v>7</v>
      </c>
      <c r="T956" s="339">
        <f>SUM(G945:G956)</f>
        <v>13</v>
      </c>
      <c r="U956" s="339">
        <f>SUM(K945:K956)</f>
        <v>24</v>
      </c>
      <c r="V956" s="339">
        <f>SUM(O945:O956)</f>
        <v>17</v>
      </c>
      <c r="W956" s="339">
        <f>SUM(Q945:Q956)</f>
        <v>76</v>
      </c>
      <c r="X956" s="339">
        <f>T956+U956+V956+W956</f>
        <v>130</v>
      </c>
    </row>
    <row r="957" spans="1:24" ht="12.75">
      <c r="A957" s="340" t="s">
        <v>436</v>
      </c>
      <c r="B957" s="341" t="s">
        <v>157</v>
      </c>
      <c r="C957" s="341" t="s">
        <v>774</v>
      </c>
      <c r="D957" s="341">
        <v>2018</v>
      </c>
      <c r="E957" s="341" t="s">
        <v>775</v>
      </c>
      <c r="F957" s="342">
        <v>4</v>
      </c>
      <c r="G957" s="375"/>
      <c r="H957" s="376"/>
      <c r="I957" s="376"/>
      <c r="J957" s="342">
        <v>3</v>
      </c>
      <c r="K957" s="375"/>
      <c r="L957" s="376"/>
      <c r="M957" s="376"/>
      <c r="N957" s="342">
        <v>4</v>
      </c>
      <c r="O957" s="376"/>
      <c r="P957" s="342">
        <v>5</v>
      </c>
      <c r="Q957" s="376"/>
      <c r="R957" s="344">
        <f t="shared" si="168"/>
        <v>16</v>
      </c>
      <c r="S957" s="367">
        <f t="shared" si="169"/>
        <v>0</v>
      </c>
      <c r="T957" s="344"/>
      <c r="U957" s="344"/>
      <c r="V957" s="344"/>
      <c r="W957" s="344"/>
      <c r="X957" s="344"/>
    </row>
    <row r="958" spans="1:24" ht="12.75">
      <c r="A958" s="340" t="s">
        <v>437</v>
      </c>
      <c r="B958" s="341" t="s">
        <v>157</v>
      </c>
      <c r="C958" s="341" t="s">
        <v>774</v>
      </c>
      <c r="D958" s="341">
        <v>2018</v>
      </c>
      <c r="E958" s="341" t="s">
        <v>775</v>
      </c>
      <c r="F958" s="342">
        <v>22</v>
      </c>
      <c r="G958" s="343">
        <v>5</v>
      </c>
      <c r="H958" s="342">
        <v>0</v>
      </c>
      <c r="I958" s="342">
        <v>5</v>
      </c>
      <c r="J958" s="342">
        <v>13</v>
      </c>
      <c r="K958" s="343">
        <v>0</v>
      </c>
      <c r="L958" s="342">
        <v>0</v>
      </c>
      <c r="M958" s="342">
        <v>0</v>
      </c>
      <c r="N958" s="342">
        <v>13</v>
      </c>
      <c r="O958" s="342">
        <v>2</v>
      </c>
      <c r="P958" s="342">
        <v>24</v>
      </c>
      <c r="Q958" s="342">
        <v>0</v>
      </c>
      <c r="R958" s="344">
        <f t="shared" si="168"/>
        <v>72</v>
      </c>
      <c r="S958" s="367">
        <f t="shared" si="169"/>
        <v>7</v>
      </c>
      <c r="T958" s="344"/>
      <c r="U958" s="344"/>
      <c r="V958" s="344"/>
      <c r="W958" s="344"/>
      <c r="X958" s="344"/>
    </row>
    <row r="959" spans="1:24" ht="12.75">
      <c r="A959" s="340" t="s">
        <v>438</v>
      </c>
      <c r="B959" s="341" t="s">
        <v>157</v>
      </c>
      <c r="C959" s="341" t="s">
        <v>774</v>
      </c>
      <c r="D959" s="341">
        <v>2018</v>
      </c>
      <c r="E959" s="341" t="s">
        <v>775</v>
      </c>
      <c r="F959" s="342">
        <v>16</v>
      </c>
      <c r="G959" s="343">
        <v>12</v>
      </c>
      <c r="H959" s="342">
        <v>6</v>
      </c>
      <c r="I959" s="342">
        <v>6</v>
      </c>
      <c r="J959" s="342">
        <v>11</v>
      </c>
      <c r="K959" s="343">
        <v>55</v>
      </c>
      <c r="L959" s="342">
        <v>47</v>
      </c>
      <c r="M959" s="342">
        <v>8</v>
      </c>
      <c r="N959" s="342">
        <v>11</v>
      </c>
      <c r="O959" s="342">
        <v>1</v>
      </c>
      <c r="P959" s="342">
        <v>23</v>
      </c>
      <c r="Q959" s="342">
        <v>0</v>
      </c>
      <c r="R959" s="344">
        <f t="shared" si="168"/>
        <v>61</v>
      </c>
      <c r="S959" s="367">
        <f t="shared" si="169"/>
        <v>68</v>
      </c>
      <c r="T959" s="344"/>
      <c r="U959" s="344"/>
      <c r="V959" s="344"/>
      <c r="W959" s="344"/>
      <c r="X959" s="344"/>
    </row>
    <row r="960" spans="1:24" ht="12.75">
      <c r="A960" s="340" t="s">
        <v>439</v>
      </c>
      <c r="B960" s="341" t="s">
        <v>157</v>
      </c>
      <c r="C960" s="341" t="s">
        <v>774</v>
      </c>
      <c r="D960" s="341">
        <v>2018</v>
      </c>
      <c r="E960" s="341" t="s">
        <v>775</v>
      </c>
      <c r="F960" s="342">
        <v>40</v>
      </c>
      <c r="G960" s="343">
        <v>1</v>
      </c>
      <c r="H960" s="342">
        <v>0</v>
      </c>
      <c r="I960" s="342">
        <v>1</v>
      </c>
      <c r="J960" s="342">
        <v>20</v>
      </c>
      <c r="K960" s="343">
        <v>0</v>
      </c>
      <c r="L960" s="342">
        <v>0</v>
      </c>
      <c r="M960" s="342">
        <v>0</v>
      </c>
      <c r="N960" s="342">
        <v>21</v>
      </c>
      <c r="O960" s="342">
        <v>0</v>
      </c>
      <c r="P960" s="342">
        <v>51</v>
      </c>
      <c r="Q960" s="342">
        <v>3</v>
      </c>
      <c r="R960" s="344">
        <f t="shared" si="168"/>
        <v>132</v>
      </c>
      <c r="S960" s="367">
        <f t="shared" si="169"/>
        <v>4</v>
      </c>
      <c r="T960" s="344"/>
      <c r="U960" s="344"/>
      <c r="V960" s="344"/>
      <c r="W960" s="344"/>
      <c r="X960" s="344"/>
    </row>
    <row r="961" spans="1:24" ht="12.75">
      <c r="A961" s="340" t="s">
        <v>440</v>
      </c>
      <c r="B961" s="341" t="s">
        <v>157</v>
      </c>
      <c r="C961" s="341" t="s">
        <v>774</v>
      </c>
      <c r="D961" s="341">
        <v>2018</v>
      </c>
      <c r="E961" s="341" t="s">
        <v>775</v>
      </c>
      <c r="F961" s="342">
        <v>55</v>
      </c>
      <c r="G961" s="343">
        <v>8</v>
      </c>
      <c r="H961" s="342">
        <v>1</v>
      </c>
      <c r="I961" s="342">
        <v>7</v>
      </c>
      <c r="J961" s="342">
        <v>32</v>
      </c>
      <c r="K961" s="343">
        <v>0</v>
      </c>
      <c r="L961" s="342">
        <v>0</v>
      </c>
      <c r="M961" s="342">
        <v>0</v>
      </c>
      <c r="N961" s="342">
        <v>37</v>
      </c>
      <c r="O961" s="342">
        <v>3</v>
      </c>
      <c r="P961" s="342">
        <v>61</v>
      </c>
      <c r="Q961" s="342">
        <v>36</v>
      </c>
      <c r="R961" s="344">
        <f t="shared" si="168"/>
        <v>185</v>
      </c>
      <c r="S961" s="367">
        <f t="shared" si="169"/>
        <v>47</v>
      </c>
      <c r="T961" s="344"/>
      <c r="U961" s="344"/>
      <c r="V961" s="344"/>
      <c r="W961" s="344"/>
      <c r="X961" s="344"/>
    </row>
    <row r="962" spans="1:24" ht="12.75">
      <c r="A962" s="340" t="s">
        <v>441</v>
      </c>
      <c r="B962" s="341" t="s">
        <v>157</v>
      </c>
      <c r="C962" s="341" t="s">
        <v>774</v>
      </c>
      <c r="D962" s="341">
        <v>2018</v>
      </c>
      <c r="E962" s="341" t="s">
        <v>775</v>
      </c>
      <c r="F962" s="342">
        <v>41</v>
      </c>
      <c r="G962" s="343">
        <v>5</v>
      </c>
      <c r="H962" s="342">
        <v>0</v>
      </c>
      <c r="I962" s="342">
        <v>5</v>
      </c>
      <c r="J962" s="342">
        <v>24</v>
      </c>
      <c r="K962" s="343">
        <v>3</v>
      </c>
      <c r="L962" s="342">
        <v>0</v>
      </c>
      <c r="M962" s="342">
        <v>3</v>
      </c>
      <c r="N962" s="342">
        <v>26</v>
      </c>
      <c r="O962" s="342">
        <v>3</v>
      </c>
      <c r="P962" s="342">
        <v>38</v>
      </c>
      <c r="Q962" s="342">
        <v>4</v>
      </c>
      <c r="R962" s="344">
        <f t="shared" si="168"/>
        <v>129</v>
      </c>
      <c r="S962" s="367">
        <f t="shared" si="169"/>
        <v>15</v>
      </c>
      <c r="T962" s="344"/>
      <c r="U962" s="344"/>
      <c r="V962" s="344"/>
      <c r="W962" s="344"/>
      <c r="X962" s="344"/>
    </row>
    <row r="963" spans="1:24" ht="12.75">
      <c r="A963" s="340" t="s">
        <v>442</v>
      </c>
      <c r="B963" s="341" t="s">
        <v>157</v>
      </c>
      <c r="C963" s="341" t="s">
        <v>774</v>
      </c>
      <c r="D963" s="341">
        <v>2018</v>
      </c>
      <c r="E963" s="341" t="s">
        <v>775</v>
      </c>
      <c r="F963" s="342">
        <v>111</v>
      </c>
      <c r="G963" s="343">
        <v>9</v>
      </c>
      <c r="H963" s="342">
        <v>5</v>
      </c>
      <c r="I963" s="342">
        <v>4</v>
      </c>
      <c r="J963" s="342">
        <v>65</v>
      </c>
      <c r="K963" s="343">
        <v>6</v>
      </c>
      <c r="L963" s="342">
        <v>4</v>
      </c>
      <c r="M963" s="342">
        <v>2</v>
      </c>
      <c r="N963" s="342">
        <v>72</v>
      </c>
      <c r="O963" s="342">
        <v>39</v>
      </c>
      <c r="P963" s="342">
        <v>167</v>
      </c>
      <c r="Q963" s="342">
        <v>8</v>
      </c>
      <c r="R963" s="344">
        <f t="shared" si="168"/>
        <v>415</v>
      </c>
      <c r="S963" s="367">
        <f t="shared" si="169"/>
        <v>62</v>
      </c>
      <c r="T963" s="344"/>
      <c r="U963" s="344"/>
      <c r="V963" s="344"/>
      <c r="W963" s="344"/>
      <c r="X963" s="344"/>
    </row>
    <row r="964" spans="1:24" ht="12.75">
      <c r="A964" s="340" t="s">
        <v>443</v>
      </c>
      <c r="B964" s="341" t="s">
        <v>157</v>
      </c>
      <c r="C964" s="341" t="s">
        <v>774</v>
      </c>
      <c r="D964" s="341">
        <v>2018</v>
      </c>
      <c r="E964" s="341" t="s">
        <v>775</v>
      </c>
      <c r="F964" s="342">
        <v>6</v>
      </c>
      <c r="G964" s="343">
        <v>0</v>
      </c>
      <c r="H964" s="342">
        <v>0</v>
      </c>
      <c r="I964" s="342">
        <v>0</v>
      </c>
      <c r="J964" s="342">
        <v>4</v>
      </c>
      <c r="K964" s="343">
        <v>0</v>
      </c>
      <c r="L964" s="342">
        <v>0</v>
      </c>
      <c r="M964" s="342">
        <v>0</v>
      </c>
      <c r="N964" s="342">
        <v>4</v>
      </c>
      <c r="O964" s="342">
        <v>1</v>
      </c>
      <c r="P964" s="342">
        <v>4</v>
      </c>
      <c r="Q964" s="342">
        <v>0</v>
      </c>
      <c r="R964" s="344">
        <f t="shared" si="168"/>
        <v>18</v>
      </c>
      <c r="S964" s="367">
        <f t="shared" si="169"/>
        <v>1</v>
      </c>
      <c r="T964" s="344"/>
      <c r="U964" s="344"/>
      <c r="V964" s="344"/>
      <c r="W964" s="344"/>
      <c r="X964" s="344"/>
    </row>
    <row r="965" spans="1:24" ht="12.75">
      <c r="A965" s="340" t="s">
        <v>444</v>
      </c>
      <c r="B965" s="341" t="s">
        <v>157</v>
      </c>
      <c r="C965" s="341" t="s">
        <v>774</v>
      </c>
      <c r="D965" s="341">
        <v>2018</v>
      </c>
      <c r="E965" s="341" t="s">
        <v>775</v>
      </c>
      <c r="F965" s="342">
        <v>33</v>
      </c>
      <c r="G965" s="343">
        <v>2</v>
      </c>
      <c r="H965" s="342">
        <v>2</v>
      </c>
      <c r="I965" s="342">
        <v>0</v>
      </c>
      <c r="J965" s="342">
        <v>17</v>
      </c>
      <c r="K965" s="343">
        <v>3</v>
      </c>
      <c r="L965" s="342">
        <v>2</v>
      </c>
      <c r="M965" s="342">
        <v>1</v>
      </c>
      <c r="N965" s="342">
        <v>19</v>
      </c>
      <c r="O965" s="342">
        <v>7</v>
      </c>
      <c r="P965" s="342">
        <v>37</v>
      </c>
      <c r="Q965" s="342">
        <v>25</v>
      </c>
      <c r="R965" s="344">
        <f t="shared" si="168"/>
        <v>106</v>
      </c>
      <c r="S965" s="367">
        <f t="shared" si="169"/>
        <v>37</v>
      </c>
      <c r="T965" s="344"/>
      <c r="U965" s="344"/>
      <c r="V965" s="344"/>
      <c r="W965" s="344"/>
      <c r="X965" s="344"/>
    </row>
    <row r="966" spans="1:24" ht="12.75">
      <c r="A966" s="340" t="s">
        <v>445</v>
      </c>
      <c r="B966" s="341" t="s">
        <v>157</v>
      </c>
      <c r="C966" s="341" t="s">
        <v>774</v>
      </c>
      <c r="D966" s="341">
        <v>2018</v>
      </c>
      <c r="E966" s="341" t="s">
        <v>775</v>
      </c>
      <c r="F966" s="342">
        <v>240</v>
      </c>
      <c r="G966" s="343">
        <v>1</v>
      </c>
      <c r="H966" s="342">
        <v>1</v>
      </c>
      <c r="I966" s="342">
        <v>0</v>
      </c>
      <c r="J966" s="342">
        <v>148</v>
      </c>
      <c r="K966" s="343">
        <v>23</v>
      </c>
      <c r="L966" s="342">
        <v>1</v>
      </c>
      <c r="M966" s="342">
        <v>22</v>
      </c>
      <c r="N966" s="342">
        <v>181</v>
      </c>
      <c r="O966" s="342">
        <v>1</v>
      </c>
      <c r="P966" s="342">
        <v>438</v>
      </c>
      <c r="Q966" s="342">
        <v>14</v>
      </c>
      <c r="R966" s="344">
        <f t="shared" si="168"/>
        <v>1007</v>
      </c>
      <c r="S966" s="367">
        <f t="shared" si="169"/>
        <v>39</v>
      </c>
      <c r="T966" s="344"/>
      <c r="U966" s="344"/>
      <c r="V966" s="344"/>
      <c r="W966" s="344"/>
      <c r="X966" s="344"/>
    </row>
    <row r="967" spans="1:24" ht="12.75">
      <c r="A967" s="340" t="s">
        <v>445</v>
      </c>
      <c r="B967" s="341" t="s">
        <v>157</v>
      </c>
      <c r="C967" s="341" t="s">
        <v>774</v>
      </c>
      <c r="D967" s="341">
        <v>2018</v>
      </c>
      <c r="E967" s="341" t="s">
        <v>775</v>
      </c>
      <c r="F967" s="342">
        <v>240</v>
      </c>
      <c r="G967" s="343">
        <v>1</v>
      </c>
      <c r="H967" s="342">
        <v>1</v>
      </c>
      <c r="I967" s="342">
        <v>0</v>
      </c>
      <c r="J967" s="342">
        <v>148</v>
      </c>
      <c r="K967" s="343">
        <v>23</v>
      </c>
      <c r="L967" s="342">
        <v>1</v>
      </c>
      <c r="M967" s="342">
        <v>22</v>
      </c>
      <c r="N967" s="342">
        <v>181</v>
      </c>
      <c r="O967" s="342">
        <v>1</v>
      </c>
      <c r="P967" s="342">
        <v>438</v>
      </c>
      <c r="Q967" s="342">
        <v>14</v>
      </c>
      <c r="R967" s="344">
        <f t="shared" si="168"/>
        <v>1007</v>
      </c>
      <c r="S967" s="367">
        <f t="shared" si="169"/>
        <v>39</v>
      </c>
      <c r="T967" s="344"/>
      <c r="U967" s="344"/>
      <c r="V967" s="344"/>
      <c r="W967" s="344"/>
      <c r="X967" s="344"/>
    </row>
    <row r="968" spans="1:24" ht="12.75">
      <c r="A968" s="340" t="s">
        <v>446</v>
      </c>
      <c r="B968" s="341" t="s">
        <v>157</v>
      </c>
      <c r="C968" s="341" t="s">
        <v>774</v>
      </c>
      <c r="D968" s="341">
        <v>2018</v>
      </c>
      <c r="E968" s="341" t="s">
        <v>775</v>
      </c>
      <c r="F968" s="342">
        <v>26</v>
      </c>
      <c r="G968" s="343">
        <v>0</v>
      </c>
      <c r="H968" s="342">
        <v>0</v>
      </c>
      <c r="I968" s="342">
        <v>0</v>
      </c>
      <c r="J968" s="342">
        <v>14</v>
      </c>
      <c r="K968" s="343">
        <v>0</v>
      </c>
      <c r="L968" s="342">
        <v>0</v>
      </c>
      <c r="M968" s="342">
        <v>0</v>
      </c>
      <c r="N968" s="342">
        <v>16</v>
      </c>
      <c r="O968" s="342">
        <v>1</v>
      </c>
      <c r="P968" s="342">
        <v>23</v>
      </c>
      <c r="Q968" s="342">
        <v>2</v>
      </c>
      <c r="R968" s="344">
        <f t="shared" si="168"/>
        <v>79</v>
      </c>
      <c r="S968" s="367">
        <f t="shared" si="169"/>
        <v>3</v>
      </c>
      <c r="T968" s="344"/>
      <c r="U968" s="344"/>
      <c r="V968" s="344"/>
      <c r="W968" s="344"/>
      <c r="X968" s="344"/>
    </row>
    <row r="969" spans="1:24" ht="12.75">
      <c r="A969" s="340" t="s">
        <v>447</v>
      </c>
      <c r="B969" s="341" t="s">
        <v>157</v>
      </c>
      <c r="C969" s="341" t="s">
        <v>774</v>
      </c>
      <c r="D969" s="341">
        <v>2018</v>
      </c>
      <c r="E969" s="341" t="s">
        <v>775</v>
      </c>
      <c r="F969" s="342">
        <v>24</v>
      </c>
      <c r="G969" s="343">
        <v>0</v>
      </c>
      <c r="H969" s="342">
        <v>0</v>
      </c>
      <c r="I969" s="342">
        <v>0</v>
      </c>
      <c r="J969" s="342">
        <v>16</v>
      </c>
      <c r="K969" s="343">
        <v>1</v>
      </c>
      <c r="L969" s="342">
        <v>0</v>
      </c>
      <c r="M969" s="342">
        <v>1</v>
      </c>
      <c r="N969" s="342">
        <v>19</v>
      </c>
      <c r="O969" s="342">
        <v>0</v>
      </c>
      <c r="P969" s="342">
        <v>19</v>
      </c>
      <c r="Q969" s="342">
        <v>4</v>
      </c>
      <c r="R969" s="344">
        <f t="shared" si="168"/>
        <v>78</v>
      </c>
      <c r="S969" s="367">
        <f t="shared" si="169"/>
        <v>5</v>
      </c>
      <c r="T969" s="345">
        <f>SUM(G957:G969)</f>
        <v>44</v>
      </c>
      <c r="U969" s="345">
        <f>SUM(K957:K969)</f>
        <v>114</v>
      </c>
      <c r="V969" s="345">
        <f>SUM(O957:O969)</f>
        <v>59</v>
      </c>
      <c r="W969" s="345">
        <f>SUM(Q957:Q969)</f>
        <v>110</v>
      </c>
      <c r="X969" s="345">
        <f>T969+U969+V969+W969</f>
        <v>327</v>
      </c>
    </row>
    <row r="970" spans="1:24" ht="12.75">
      <c r="A970" s="346" t="s">
        <v>436</v>
      </c>
      <c r="B970" s="347" t="s">
        <v>157</v>
      </c>
      <c r="C970" s="347" t="s">
        <v>782</v>
      </c>
      <c r="D970" s="347">
        <v>2019</v>
      </c>
      <c r="E970" s="347" t="s">
        <v>775</v>
      </c>
      <c r="F970" s="348">
        <v>4</v>
      </c>
      <c r="G970" s="348">
        <v>0</v>
      </c>
      <c r="H970" s="348">
        <v>0</v>
      </c>
      <c r="I970" s="348">
        <v>0</v>
      </c>
      <c r="J970" s="348">
        <v>3</v>
      </c>
      <c r="K970" s="348">
        <v>0</v>
      </c>
      <c r="L970" s="348">
        <v>0</v>
      </c>
      <c r="M970" s="348">
        <v>0</v>
      </c>
      <c r="N970" s="348">
        <v>4</v>
      </c>
      <c r="O970" s="348">
        <v>1</v>
      </c>
      <c r="P970" s="348">
        <v>5</v>
      </c>
      <c r="Q970" s="348">
        <v>1</v>
      </c>
      <c r="R970" s="350">
        <f t="shared" si="168"/>
        <v>16</v>
      </c>
      <c r="S970" s="348">
        <f t="shared" si="169"/>
        <v>2</v>
      </c>
      <c r="T970" s="348"/>
      <c r="U970" s="348"/>
      <c r="V970" s="348"/>
      <c r="W970" s="349"/>
      <c r="X970" s="349"/>
    </row>
    <row r="971" spans="1:24" ht="12.75">
      <c r="A971" s="346" t="s">
        <v>437</v>
      </c>
      <c r="B971" s="347" t="s">
        <v>157</v>
      </c>
      <c r="C971" s="347" t="s">
        <v>782</v>
      </c>
      <c r="D971" s="347">
        <v>2019</v>
      </c>
      <c r="E971" s="347" t="s">
        <v>775</v>
      </c>
      <c r="F971" s="348">
        <v>22</v>
      </c>
      <c r="G971" s="348">
        <v>3</v>
      </c>
      <c r="H971" s="348">
        <v>0</v>
      </c>
      <c r="I971" s="348">
        <v>3</v>
      </c>
      <c r="J971" s="348">
        <v>13</v>
      </c>
      <c r="K971" s="348">
        <v>0</v>
      </c>
      <c r="L971" s="348">
        <v>0</v>
      </c>
      <c r="M971" s="348">
        <v>0</v>
      </c>
      <c r="N971" s="348">
        <v>13</v>
      </c>
      <c r="O971" s="348">
        <v>1</v>
      </c>
      <c r="P971" s="348">
        <v>24</v>
      </c>
      <c r="Q971" s="348">
        <v>0</v>
      </c>
      <c r="R971" s="350">
        <f t="shared" si="168"/>
        <v>72</v>
      </c>
      <c r="S971" s="348">
        <f t="shared" si="169"/>
        <v>4</v>
      </c>
      <c r="T971" s="348"/>
      <c r="U971" s="348"/>
      <c r="V971" s="348"/>
      <c r="W971" s="349"/>
      <c r="X971" s="349"/>
    </row>
    <row r="972" spans="1:24" ht="12.75">
      <c r="A972" s="346" t="s">
        <v>438</v>
      </c>
      <c r="B972" s="347" t="s">
        <v>157</v>
      </c>
      <c r="C972" s="347" t="s">
        <v>782</v>
      </c>
      <c r="D972" s="347">
        <v>2019</v>
      </c>
      <c r="E972" s="347" t="s">
        <v>775</v>
      </c>
      <c r="F972" s="348">
        <v>16</v>
      </c>
      <c r="G972" s="348">
        <v>0</v>
      </c>
      <c r="H972" s="348">
        <v>0</v>
      </c>
      <c r="I972" s="348">
        <v>0</v>
      </c>
      <c r="J972" s="348">
        <v>11</v>
      </c>
      <c r="K972" s="348">
        <v>4</v>
      </c>
      <c r="L972" s="348">
        <v>0</v>
      </c>
      <c r="M972" s="348">
        <v>4</v>
      </c>
      <c r="N972" s="348">
        <v>11</v>
      </c>
      <c r="O972" s="348">
        <v>2</v>
      </c>
      <c r="P972" s="348">
        <v>23</v>
      </c>
      <c r="Q972" s="348">
        <v>0</v>
      </c>
      <c r="R972" s="350">
        <f t="shared" si="168"/>
        <v>61</v>
      </c>
      <c r="S972" s="348">
        <f t="shared" si="169"/>
        <v>6</v>
      </c>
      <c r="T972" s="348"/>
      <c r="U972" s="348"/>
      <c r="V972" s="348"/>
      <c r="W972" s="349"/>
      <c r="X972" s="349"/>
    </row>
    <row r="973" spans="1:24" ht="12.75">
      <c r="A973" s="346" t="s">
        <v>439</v>
      </c>
      <c r="B973" s="347" t="s">
        <v>157</v>
      </c>
      <c r="C973" s="347" t="s">
        <v>782</v>
      </c>
      <c r="D973" s="347">
        <v>2019</v>
      </c>
      <c r="E973" s="347" t="s">
        <v>775</v>
      </c>
      <c r="F973" s="348">
        <v>40</v>
      </c>
      <c r="G973" s="348">
        <v>2</v>
      </c>
      <c r="H973" s="348">
        <v>0</v>
      </c>
      <c r="I973" s="348">
        <v>2</v>
      </c>
      <c r="J973" s="348">
        <v>20</v>
      </c>
      <c r="K973" s="348">
        <v>1</v>
      </c>
      <c r="L973" s="348">
        <v>0</v>
      </c>
      <c r="M973" s="348">
        <v>1</v>
      </c>
      <c r="N973" s="348">
        <v>21</v>
      </c>
      <c r="O973" s="348">
        <v>0</v>
      </c>
      <c r="P973" s="348">
        <v>51</v>
      </c>
      <c r="Q973" s="348">
        <v>1</v>
      </c>
      <c r="R973" s="350">
        <f t="shared" si="168"/>
        <v>132</v>
      </c>
      <c r="S973" s="348">
        <f t="shared" si="169"/>
        <v>4</v>
      </c>
      <c r="T973" s="348"/>
      <c r="U973" s="348"/>
      <c r="V973" s="348"/>
      <c r="W973" s="349"/>
      <c r="X973" s="349"/>
    </row>
    <row r="974" spans="1:24" ht="12.75">
      <c r="A974" s="346" t="s">
        <v>440</v>
      </c>
      <c r="B974" s="347" t="s">
        <v>157</v>
      </c>
      <c r="C974" s="347" t="s">
        <v>782</v>
      </c>
      <c r="D974" s="347">
        <v>2019</v>
      </c>
      <c r="E974" s="347" t="s">
        <v>775</v>
      </c>
      <c r="F974" s="348">
        <v>55</v>
      </c>
      <c r="G974" s="348">
        <v>7</v>
      </c>
      <c r="H974" s="348">
        <v>1</v>
      </c>
      <c r="I974" s="348">
        <v>6</v>
      </c>
      <c r="J974" s="348">
        <v>32</v>
      </c>
      <c r="K974" s="348">
        <v>8</v>
      </c>
      <c r="L974" s="348">
        <v>0</v>
      </c>
      <c r="M974" s="348">
        <v>8</v>
      </c>
      <c r="N974" s="348">
        <v>37</v>
      </c>
      <c r="O974" s="348">
        <v>9</v>
      </c>
      <c r="P974" s="348">
        <v>61</v>
      </c>
      <c r="Q974" s="348">
        <v>39</v>
      </c>
      <c r="R974" s="350">
        <f t="shared" si="168"/>
        <v>185</v>
      </c>
      <c r="S974" s="348">
        <f t="shared" si="169"/>
        <v>63</v>
      </c>
      <c r="T974" s="348"/>
      <c r="U974" s="348"/>
      <c r="V974" s="348"/>
      <c r="W974" s="349"/>
      <c r="X974" s="349"/>
    </row>
    <row r="975" spans="1:24" ht="12.75">
      <c r="A975" s="346" t="s">
        <v>441</v>
      </c>
      <c r="B975" s="347" t="s">
        <v>157</v>
      </c>
      <c r="C975" s="347" t="s">
        <v>782</v>
      </c>
      <c r="D975" s="347">
        <v>2019</v>
      </c>
      <c r="E975" s="347" t="s">
        <v>775</v>
      </c>
      <c r="F975" s="348">
        <v>41</v>
      </c>
      <c r="G975" s="348">
        <v>5</v>
      </c>
      <c r="H975" s="348">
        <v>0</v>
      </c>
      <c r="I975" s="348">
        <v>5</v>
      </c>
      <c r="J975" s="348">
        <v>24</v>
      </c>
      <c r="K975" s="348">
        <v>6</v>
      </c>
      <c r="L975" s="348">
        <v>2</v>
      </c>
      <c r="M975" s="348">
        <v>4</v>
      </c>
      <c r="N975" s="348">
        <v>26</v>
      </c>
      <c r="O975" s="348">
        <v>4</v>
      </c>
      <c r="P975" s="348">
        <v>38</v>
      </c>
      <c r="Q975" s="348">
        <v>11</v>
      </c>
      <c r="R975" s="350">
        <f t="shared" si="168"/>
        <v>129</v>
      </c>
      <c r="S975" s="348">
        <f t="shared" si="169"/>
        <v>26</v>
      </c>
      <c r="T975" s="348"/>
      <c r="U975" s="348"/>
      <c r="V975" s="348"/>
      <c r="W975" s="349"/>
      <c r="X975" s="349"/>
    </row>
    <row r="976" spans="1:24" ht="12.75">
      <c r="A976" s="346" t="s">
        <v>442</v>
      </c>
      <c r="B976" s="347" t="s">
        <v>157</v>
      </c>
      <c r="C976" s="347" t="s">
        <v>782</v>
      </c>
      <c r="D976" s="347">
        <v>2019</v>
      </c>
      <c r="E976" s="347" t="s">
        <v>775</v>
      </c>
      <c r="F976" s="348">
        <v>111</v>
      </c>
      <c r="G976" s="348">
        <v>12</v>
      </c>
      <c r="H976" s="348">
        <v>3</v>
      </c>
      <c r="I976" s="348">
        <v>9</v>
      </c>
      <c r="J976" s="348">
        <v>65</v>
      </c>
      <c r="K976" s="348">
        <v>4</v>
      </c>
      <c r="L976" s="348">
        <v>3</v>
      </c>
      <c r="M976" s="348">
        <v>1</v>
      </c>
      <c r="N976" s="348">
        <v>72</v>
      </c>
      <c r="O976" s="348">
        <v>5</v>
      </c>
      <c r="P976" s="348">
        <v>167</v>
      </c>
      <c r="Q976" s="348">
        <v>103</v>
      </c>
      <c r="R976" s="350">
        <f t="shared" si="168"/>
        <v>415</v>
      </c>
      <c r="S976" s="348">
        <f t="shared" si="169"/>
        <v>124</v>
      </c>
      <c r="T976" s="348"/>
      <c r="U976" s="348"/>
      <c r="V976" s="348"/>
      <c r="W976" s="349"/>
      <c r="X976" s="349"/>
    </row>
    <row r="977" spans="1:24" ht="12.75">
      <c r="A977" s="346" t="s">
        <v>443</v>
      </c>
      <c r="B977" s="347" t="s">
        <v>157</v>
      </c>
      <c r="C977" s="347" t="s">
        <v>782</v>
      </c>
      <c r="D977" s="347">
        <v>2019</v>
      </c>
      <c r="E977" s="347" t="s">
        <v>775</v>
      </c>
      <c r="F977" s="348">
        <v>6</v>
      </c>
      <c r="G977" s="348">
        <v>1</v>
      </c>
      <c r="H977" s="348">
        <v>1</v>
      </c>
      <c r="I977" s="348">
        <v>0</v>
      </c>
      <c r="J977" s="348">
        <v>4</v>
      </c>
      <c r="K977" s="348">
        <v>2</v>
      </c>
      <c r="L977" s="348">
        <v>0</v>
      </c>
      <c r="M977" s="348">
        <v>2</v>
      </c>
      <c r="N977" s="348">
        <v>4</v>
      </c>
      <c r="O977" s="348">
        <v>2</v>
      </c>
      <c r="P977" s="348">
        <v>4</v>
      </c>
      <c r="Q977" s="348">
        <v>0</v>
      </c>
      <c r="R977" s="350">
        <f t="shared" si="168"/>
        <v>18</v>
      </c>
      <c r="S977" s="348">
        <f t="shared" si="169"/>
        <v>5</v>
      </c>
      <c r="T977" s="348"/>
      <c r="U977" s="348"/>
      <c r="V977" s="348"/>
      <c r="W977" s="349"/>
      <c r="X977" s="349"/>
    </row>
    <row r="978" spans="1:24" ht="12.75">
      <c r="A978" s="346" t="s">
        <v>444</v>
      </c>
      <c r="B978" s="347" t="s">
        <v>157</v>
      </c>
      <c r="C978" s="347" t="s">
        <v>782</v>
      </c>
      <c r="D978" s="347">
        <v>2019</v>
      </c>
      <c r="E978" s="347" t="s">
        <v>775</v>
      </c>
      <c r="F978" s="348">
        <v>33</v>
      </c>
      <c r="G978" s="348">
        <v>0</v>
      </c>
      <c r="H978" s="348">
        <v>0</v>
      </c>
      <c r="I978" s="348">
        <v>0</v>
      </c>
      <c r="J978" s="348">
        <v>17</v>
      </c>
      <c r="K978" s="348">
        <v>0</v>
      </c>
      <c r="L978" s="348">
        <v>0</v>
      </c>
      <c r="M978" s="348">
        <v>0</v>
      </c>
      <c r="N978" s="348">
        <v>19</v>
      </c>
      <c r="O978" s="348">
        <v>7</v>
      </c>
      <c r="P978" s="348">
        <v>37</v>
      </c>
      <c r="Q978" s="348">
        <v>3</v>
      </c>
      <c r="R978" s="350">
        <f t="shared" si="168"/>
        <v>106</v>
      </c>
      <c r="S978" s="348">
        <f t="shared" si="169"/>
        <v>10</v>
      </c>
      <c r="T978" s="348"/>
      <c r="U978" s="348"/>
      <c r="V978" s="348"/>
      <c r="W978" s="349"/>
      <c r="X978" s="349"/>
    </row>
    <row r="979" spans="1:24" ht="12.75">
      <c r="A979" s="346" t="s">
        <v>445</v>
      </c>
      <c r="B979" s="347" t="s">
        <v>157</v>
      </c>
      <c r="C979" s="347" t="s">
        <v>782</v>
      </c>
      <c r="D979" s="347">
        <v>2019</v>
      </c>
      <c r="E979" s="347" t="s">
        <v>775</v>
      </c>
      <c r="F979" s="348">
        <v>240</v>
      </c>
      <c r="G979" s="348">
        <v>0</v>
      </c>
      <c r="H979" s="348">
        <v>0</v>
      </c>
      <c r="I979" s="348">
        <v>0</v>
      </c>
      <c r="J979" s="348">
        <v>148</v>
      </c>
      <c r="K979" s="348">
        <v>6</v>
      </c>
      <c r="L979" s="348">
        <v>0</v>
      </c>
      <c r="M979" s="348">
        <v>6</v>
      </c>
      <c r="N979" s="348">
        <v>181</v>
      </c>
      <c r="O979" s="348">
        <v>0</v>
      </c>
      <c r="P979" s="348">
        <v>438</v>
      </c>
      <c r="Q979" s="348">
        <v>22</v>
      </c>
      <c r="R979" s="350">
        <f t="shared" si="168"/>
        <v>1007</v>
      </c>
      <c r="S979" s="348">
        <f t="shared" si="169"/>
        <v>28</v>
      </c>
      <c r="T979" s="348"/>
      <c r="U979" s="348"/>
      <c r="V979" s="348"/>
      <c r="W979" s="349"/>
      <c r="X979" s="349"/>
    </row>
    <row r="980" spans="1:24" ht="12.75">
      <c r="A980" s="346" t="s">
        <v>446</v>
      </c>
      <c r="B980" s="347" t="s">
        <v>157</v>
      </c>
      <c r="C980" s="347" t="s">
        <v>782</v>
      </c>
      <c r="D980" s="347">
        <v>2019</v>
      </c>
      <c r="E980" s="347" t="s">
        <v>775</v>
      </c>
      <c r="F980" s="348">
        <v>26</v>
      </c>
      <c r="G980" s="348">
        <v>2</v>
      </c>
      <c r="H980" s="348">
        <v>0</v>
      </c>
      <c r="I980" s="348">
        <v>2</v>
      </c>
      <c r="J980" s="348">
        <v>14</v>
      </c>
      <c r="K980" s="348">
        <v>3</v>
      </c>
      <c r="L980" s="348">
        <v>0</v>
      </c>
      <c r="M980" s="348">
        <v>3</v>
      </c>
      <c r="N980" s="348">
        <v>16</v>
      </c>
      <c r="O980" s="348">
        <v>1</v>
      </c>
      <c r="P980" s="348">
        <v>23</v>
      </c>
      <c r="Q980" s="348">
        <v>0</v>
      </c>
      <c r="R980" s="350">
        <f t="shared" si="168"/>
        <v>79</v>
      </c>
      <c r="S980" s="348">
        <f t="shared" si="169"/>
        <v>6</v>
      </c>
      <c r="T980" s="410">
        <f>SUM(G970:G980)</f>
        <v>32</v>
      </c>
      <c r="U980" s="410">
        <f>SUM(K970:K980)</f>
        <v>34</v>
      </c>
      <c r="V980" s="410">
        <f>SUM(O970:O980)</f>
        <v>32</v>
      </c>
      <c r="W980" s="410">
        <f>SUM(Q970:Q980)</f>
        <v>180</v>
      </c>
      <c r="X980" s="410">
        <f>T980+U980+V980+W980</f>
        <v>278</v>
      </c>
    </row>
    <row r="981" spans="1:24" ht="12.75">
      <c r="A981" s="389"/>
      <c r="B981" s="390"/>
      <c r="C981" s="390"/>
      <c r="D981" s="390"/>
      <c r="E981" s="390"/>
      <c r="F981" s="391"/>
      <c r="G981" s="391"/>
      <c r="H981" s="392"/>
      <c r="I981" s="391"/>
      <c r="J981" s="391"/>
      <c r="K981" s="391"/>
      <c r="L981" s="391"/>
      <c r="M981" s="391"/>
      <c r="N981" s="391"/>
      <c r="O981" s="391"/>
      <c r="P981" s="391"/>
      <c r="Q981" s="392"/>
      <c r="R981" s="393"/>
      <c r="S981" s="361" t="s">
        <v>783</v>
      </c>
      <c r="T981" s="356">
        <f t="shared" ref="T981:X981" si="170">SUM(T914:T980)</f>
        <v>163</v>
      </c>
      <c r="U981" s="356">
        <f t="shared" si="170"/>
        <v>282</v>
      </c>
      <c r="V981" s="356">
        <f t="shared" si="170"/>
        <v>161</v>
      </c>
      <c r="W981" s="356">
        <f t="shared" si="170"/>
        <v>903</v>
      </c>
      <c r="X981" s="356">
        <f t="shared" si="170"/>
        <v>1509</v>
      </c>
    </row>
    <row r="982" spans="1:24" ht="12.75">
      <c r="A982" s="220"/>
      <c r="B982" s="221"/>
      <c r="C982" s="221"/>
      <c r="D982" s="221"/>
      <c r="E982" s="221"/>
      <c r="F982" s="353"/>
      <c r="G982" s="353"/>
      <c r="H982" s="354"/>
      <c r="I982" s="353"/>
      <c r="J982" s="353"/>
      <c r="K982" s="353"/>
      <c r="L982" s="353"/>
      <c r="M982" s="353"/>
      <c r="N982" s="353"/>
      <c r="O982" s="353"/>
      <c r="P982" s="353"/>
      <c r="Q982" s="354"/>
      <c r="R982" s="182"/>
      <c r="S982" s="362"/>
      <c r="T982" s="92"/>
      <c r="U982" s="92"/>
      <c r="V982" s="92"/>
      <c r="W982" s="92"/>
      <c r="X982" s="92"/>
    </row>
    <row r="983" spans="1:24" ht="12.75">
      <c r="A983" s="307" t="s">
        <v>448</v>
      </c>
      <c r="B983" s="308" t="s">
        <v>158</v>
      </c>
      <c r="C983" s="308" t="s">
        <v>784</v>
      </c>
      <c r="D983" s="308">
        <v>2014</v>
      </c>
      <c r="E983" s="308" t="s">
        <v>775</v>
      </c>
      <c r="F983" s="309">
        <v>265</v>
      </c>
      <c r="G983" s="309">
        <v>0</v>
      </c>
      <c r="H983" s="310">
        <v>0</v>
      </c>
      <c r="I983" s="309">
        <v>0</v>
      </c>
      <c r="J983" s="309">
        <v>130</v>
      </c>
      <c r="K983" s="309">
        <v>0</v>
      </c>
      <c r="L983" s="309">
        <v>0</v>
      </c>
      <c r="M983" s="309">
        <v>0</v>
      </c>
      <c r="N983" s="309">
        <v>180</v>
      </c>
      <c r="O983" s="309">
        <v>35</v>
      </c>
      <c r="P983" s="309">
        <v>420</v>
      </c>
      <c r="Q983" s="310">
        <v>14</v>
      </c>
      <c r="R983" s="311">
        <f t="shared" ref="R983:R988" si="171">F983+J983+N983+P983</f>
        <v>995</v>
      </c>
      <c r="S983" s="363">
        <f t="shared" ref="S983:S988" si="172">K983+O983+G983+Q983</f>
        <v>49</v>
      </c>
      <c r="T983" s="314">
        <f t="shared" ref="T983:T988" si="173">G983</f>
        <v>0</v>
      </c>
      <c r="U983" s="314">
        <f t="shared" ref="U983:U988" si="174">K983</f>
        <v>0</v>
      </c>
      <c r="V983" s="314">
        <f t="shared" ref="V983:V988" si="175">O983</f>
        <v>35</v>
      </c>
      <c r="W983" s="314">
        <f t="shared" ref="W983:W988" si="176">Q983</f>
        <v>14</v>
      </c>
      <c r="X983" s="314">
        <f t="shared" ref="X983:X988" si="177">T983+U983+V983+W983</f>
        <v>49</v>
      </c>
    </row>
    <row r="984" spans="1:24" ht="12.75">
      <c r="A984" s="315" t="s">
        <v>448</v>
      </c>
      <c r="B984" s="316" t="s">
        <v>158</v>
      </c>
      <c r="C984" s="316" t="s">
        <v>784</v>
      </c>
      <c r="D984" s="316">
        <v>2015</v>
      </c>
      <c r="E984" s="316" t="s">
        <v>775</v>
      </c>
      <c r="F984" s="317">
        <v>265</v>
      </c>
      <c r="G984" s="317">
        <v>0</v>
      </c>
      <c r="H984" s="318">
        <v>0</v>
      </c>
      <c r="I984" s="317">
        <v>0</v>
      </c>
      <c r="J984" s="317">
        <v>130</v>
      </c>
      <c r="K984" s="317">
        <v>0</v>
      </c>
      <c r="L984" s="317">
        <v>0</v>
      </c>
      <c r="M984" s="317">
        <v>0</v>
      </c>
      <c r="N984" s="317">
        <v>180</v>
      </c>
      <c r="O984" s="317">
        <v>44</v>
      </c>
      <c r="P984" s="317">
        <v>420</v>
      </c>
      <c r="Q984" s="318">
        <v>10</v>
      </c>
      <c r="R984" s="319">
        <f t="shared" si="171"/>
        <v>995</v>
      </c>
      <c r="S984" s="364">
        <f t="shared" si="172"/>
        <v>54</v>
      </c>
      <c r="T984" s="323">
        <f t="shared" si="173"/>
        <v>0</v>
      </c>
      <c r="U984" s="323">
        <f t="shared" si="174"/>
        <v>0</v>
      </c>
      <c r="V984" s="323">
        <f t="shared" si="175"/>
        <v>44</v>
      </c>
      <c r="W984" s="323">
        <f t="shared" si="176"/>
        <v>10</v>
      </c>
      <c r="X984" s="323">
        <f t="shared" si="177"/>
        <v>54</v>
      </c>
    </row>
    <row r="985" spans="1:24" ht="12.75">
      <c r="A985" s="324" t="s">
        <v>448</v>
      </c>
      <c r="B985" s="325" t="s">
        <v>158</v>
      </c>
      <c r="C985" s="325" t="s">
        <v>784</v>
      </c>
      <c r="D985" s="325">
        <v>2016</v>
      </c>
      <c r="E985" s="325" t="s">
        <v>775</v>
      </c>
      <c r="F985" s="326">
        <v>265</v>
      </c>
      <c r="G985" s="326">
        <v>0</v>
      </c>
      <c r="H985" s="327">
        <v>0</v>
      </c>
      <c r="I985" s="326">
        <v>0</v>
      </c>
      <c r="J985" s="326">
        <v>130</v>
      </c>
      <c r="K985" s="326">
        <v>0</v>
      </c>
      <c r="L985" s="326">
        <v>0</v>
      </c>
      <c r="M985" s="326">
        <v>0</v>
      </c>
      <c r="N985" s="326">
        <v>180</v>
      </c>
      <c r="O985" s="326">
        <v>19</v>
      </c>
      <c r="P985" s="326">
        <v>420</v>
      </c>
      <c r="Q985" s="327">
        <v>28</v>
      </c>
      <c r="R985" s="328">
        <f t="shared" si="171"/>
        <v>995</v>
      </c>
      <c r="S985" s="365">
        <f t="shared" si="172"/>
        <v>47</v>
      </c>
      <c r="T985" s="331">
        <f t="shared" si="173"/>
        <v>0</v>
      </c>
      <c r="U985" s="331">
        <f t="shared" si="174"/>
        <v>0</v>
      </c>
      <c r="V985" s="331">
        <f t="shared" si="175"/>
        <v>19</v>
      </c>
      <c r="W985" s="331">
        <f t="shared" si="176"/>
        <v>28</v>
      </c>
      <c r="X985" s="331">
        <f t="shared" si="177"/>
        <v>47</v>
      </c>
    </row>
    <row r="986" spans="1:24" ht="12.75">
      <c r="A986" s="332" t="s">
        <v>448</v>
      </c>
      <c r="B986" s="333" t="s">
        <v>158</v>
      </c>
      <c r="C986" s="333" t="s">
        <v>784</v>
      </c>
      <c r="D986" s="333">
        <v>2017</v>
      </c>
      <c r="E986" s="333" t="s">
        <v>775</v>
      </c>
      <c r="F986" s="334">
        <v>265</v>
      </c>
      <c r="G986" s="334">
        <v>0</v>
      </c>
      <c r="H986" s="335">
        <v>0</v>
      </c>
      <c r="I986" s="334">
        <v>0</v>
      </c>
      <c r="J986" s="334">
        <v>130</v>
      </c>
      <c r="K986" s="334">
        <v>0</v>
      </c>
      <c r="L986" s="334">
        <v>0</v>
      </c>
      <c r="M986" s="334">
        <v>0</v>
      </c>
      <c r="N986" s="334">
        <v>180</v>
      </c>
      <c r="O986" s="334">
        <v>28</v>
      </c>
      <c r="P986" s="334">
        <v>420</v>
      </c>
      <c r="Q986" s="335">
        <v>9</v>
      </c>
      <c r="R986" s="336">
        <f t="shared" si="171"/>
        <v>995</v>
      </c>
      <c r="S986" s="366">
        <f t="shared" si="172"/>
        <v>37</v>
      </c>
      <c r="T986" s="339">
        <f t="shared" si="173"/>
        <v>0</v>
      </c>
      <c r="U986" s="339">
        <f t="shared" si="174"/>
        <v>0</v>
      </c>
      <c r="V986" s="339">
        <f t="shared" si="175"/>
        <v>28</v>
      </c>
      <c r="W986" s="339">
        <f t="shared" si="176"/>
        <v>9</v>
      </c>
      <c r="X986" s="339">
        <f t="shared" si="177"/>
        <v>37</v>
      </c>
    </row>
    <row r="987" spans="1:24" ht="12.75">
      <c r="A987" s="340" t="s">
        <v>448</v>
      </c>
      <c r="B987" s="341" t="s">
        <v>158</v>
      </c>
      <c r="C987" s="341" t="s">
        <v>784</v>
      </c>
      <c r="D987" s="341">
        <v>2018</v>
      </c>
      <c r="E987" s="341" t="s">
        <v>775</v>
      </c>
      <c r="F987" s="342">
        <v>265</v>
      </c>
      <c r="G987" s="343">
        <v>0</v>
      </c>
      <c r="H987" s="342">
        <v>0</v>
      </c>
      <c r="I987" s="342">
        <v>0</v>
      </c>
      <c r="J987" s="342">
        <v>130</v>
      </c>
      <c r="K987" s="343">
        <v>0</v>
      </c>
      <c r="L987" s="342">
        <v>0</v>
      </c>
      <c r="M987" s="342">
        <v>0</v>
      </c>
      <c r="N987" s="342">
        <v>180</v>
      </c>
      <c r="O987" s="342">
        <v>0</v>
      </c>
      <c r="P987" s="342">
        <v>420</v>
      </c>
      <c r="Q987" s="342">
        <v>56</v>
      </c>
      <c r="R987" s="344">
        <f t="shared" si="171"/>
        <v>995</v>
      </c>
      <c r="S987" s="367">
        <f t="shared" si="172"/>
        <v>56</v>
      </c>
      <c r="T987" s="345">
        <f t="shared" si="173"/>
        <v>0</v>
      </c>
      <c r="U987" s="345">
        <f t="shared" si="174"/>
        <v>0</v>
      </c>
      <c r="V987" s="345">
        <f t="shared" si="175"/>
        <v>0</v>
      </c>
      <c r="W987" s="345">
        <f t="shared" si="176"/>
        <v>56</v>
      </c>
      <c r="X987" s="345">
        <f t="shared" si="177"/>
        <v>56</v>
      </c>
    </row>
    <row r="988" spans="1:24" ht="12.75">
      <c r="A988" s="346" t="s">
        <v>448</v>
      </c>
      <c r="B988" s="347" t="s">
        <v>158</v>
      </c>
      <c r="C988" s="347" t="s">
        <v>785</v>
      </c>
      <c r="D988" s="347">
        <v>2019</v>
      </c>
      <c r="E988" s="347" t="s">
        <v>775</v>
      </c>
      <c r="F988" s="348">
        <v>265</v>
      </c>
      <c r="G988" s="348">
        <v>0</v>
      </c>
      <c r="H988" s="348">
        <v>0</v>
      </c>
      <c r="I988" s="348">
        <v>0</v>
      </c>
      <c r="J988" s="348">
        <v>130</v>
      </c>
      <c r="K988" s="348">
        <v>0</v>
      </c>
      <c r="L988" s="348">
        <v>0</v>
      </c>
      <c r="M988" s="348">
        <v>0</v>
      </c>
      <c r="N988" s="348">
        <v>180</v>
      </c>
      <c r="O988" s="348">
        <v>0</v>
      </c>
      <c r="P988" s="348">
        <v>420</v>
      </c>
      <c r="Q988" s="348">
        <v>63</v>
      </c>
      <c r="R988" s="350">
        <f t="shared" si="171"/>
        <v>995</v>
      </c>
      <c r="S988" s="348">
        <f t="shared" si="172"/>
        <v>63</v>
      </c>
      <c r="T988" s="352">
        <f t="shared" si="173"/>
        <v>0</v>
      </c>
      <c r="U988" s="352">
        <f t="shared" si="174"/>
        <v>0</v>
      </c>
      <c r="V988" s="352">
        <f t="shared" si="175"/>
        <v>0</v>
      </c>
      <c r="W988" s="352">
        <f t="shared" si="176"/>
        <v>63</v>
      </c>
      <c r="X988" s="352">
        <f t="shared" si="177"/>
        <v>63</v>
      </c>
    </row>
    <row r="989" spans="1:24" ht="12.75">
      <c r="A989" s="394"/>
      <c r="B989" s="395"/>
      <c r="C989" s="395"/>
      <c r="D989" s="395"/>
      <c r="E989" s="395"/>
      <c r="F989" s="396"/>
      <c r="G989" s="396"/>
      <c r="H989" s="397"/>
      <c r="I989" s="396"/>
      <c r="J989" s="396"/>
      <c r="K989" s="396"/>
      <c r="L989" s="396"/>
      <c r="M989" s="396"/>
      <c r="N989" s="396"/>
      <c r="O989" s="396"/>
      <c r="P989" s="396"/>
      <c r="Q989" s="397"/>
      <c r="R989" s="398"/>
      <c r="S989" s="361" t="s">
        <v>783</v>
      </c>
      <c r="T989" s="356">
        <f t="shared" ref="T989:X989" si="178">SUM(T983:T988)</f>
        <v>0</v>
      </c>
      <c r="U989" s="356">
        <f t="shared" si="178"/>
        <v>0</v>
      </c>
      <c r="V989" s="356">
        <f t="shared" si="178"/>
        <v>126</v>
      </c>
      <c r="W989" s="356">
        <f t="shared" si="178"/>
        <v>180</v>
      </c>
      <c r="X989" s="356">
        <f t="shared" si="178"/>
        <v>306</v>
      </c>
    </row>
    <row r="990" spans="1:24" ht="12.75">
      <c r="A990" s="220"/>
      <c r="B990" s="221"/>
      <c r="C990" s="221"/>
      <c r="D990" s="221"/>
      <c r="E990" s="221"/>
      <c r="F990" s="353"/>
      <c r="G990" s="353"/>
      <c r="H990" s="354"/>
      <c r="I990" s="353"/>
      <c r="J990" s="353"/>
      <c r="K990" s="353"/>
      <c r="L990" s="353"/>
      <c r="M990" s="353"/>
      <c r="N990" s="353"/>
      <c r="O990" s="353"/>
      <c r="P990" s="353"/>
      <c r="Q990" s="354"/>
      <c r="R990" s="182"/>
      <c r="S990" s="362"/>
      <c r="T990" s="92"/>
      <c r="U990" s="92"/>
      <c r="V990" s="92"/>
      <c r="W990" s="92"/>
      <c r="X990" s="92"/>
    </row>
    <row r="991" spans="1:24" ht="12.75">
      <c r="A991" s="307" t="s">
        <v>451</v>
      </c>
      <c r="B991" s="308" t="s">
        <v>159</v>
      </c>
      <c r="C991" s="308" t="s">
        <v>784</v>
      </c>
      <c r="D991" s="308">
        <v>2014</v>
      </c>
      <c r="E991" s="308" t="s">
        <v>775</v>
      </c>
      <c r="F991" s="309">
        <v>1</v>
      </c>
      <c r="G991" s="309">
        <v>0</v>
      </c>
      <c r="H991" s="310">
        <v>0</v>
      </c>
      <c r="I991" s="309">
        <v>0</v>
      </c>
      <c r="J991" s="309">
        <v>1</v>
      </c>
      <c r="K991" s="309">
        <v>0</v>
      </c>
      <c r="L991" s="309">
        <v>0</v>
      </c>
      <c r="M991" s="309">
        <v>0</v>
      </c>
      <c r="N991" s="309">
        <v>1</v>
      </c>
      <c r="O991" s="309">
        <v>1</v>
      </c>
      <c r="P991" s="309">
        <v>1</v>
      </c>
      <c r="Q991" s="310">
        <v>0</v>
      </c>
      <c r="R991" s="311">
        <f t="shared" ref="R991:R1009" si="179">F991+J991+N991+P991</f>
        <v>4</v>
      </c>
      <c r="S991" s="363">
        <f t="shared" ref="S991:S1009" si="180">K991+O991+G991+Q991</f>
        <v>1</v>
      </c>
      <c r="T991" s="311"/>
      <c r="U991" s="311"/>
      <c r="V991" s="311"/>
      <c r="W991" s="311"/>
      <c r="X991" s="311"/>
    </row>
    <row r="992" spans="1:24" ht="12.75">
      <c r="A992" s="312" t="s">
        <v>452</v>
      </c>
      <c r="B992" s="313" t="s">
        <v>159</v>
      </c>
      <c r="C992" s="313" t="s">
        <v>784</v>
      </c>
      <c r="D992" s="313">
        <v>2014</v>
      </c>
      <c r="E992" s="313" t="s">
        <v>775</v>
      </c>
      <c r="F992" s="310">
        <v>11</v>
      </c>
      <c r="G992" s="309">
        <v>0</v>
      </c>
      <c r="H992" s="310">
        <v>0</v>
      </c>
      <c r="I992" s="310">
        <v>0</v>
      </c>
      <c r="J992" s="309">
        <v>7</v>
      </c>
      <c r="K992" s="309">
        <v>0</v>
      </c>
      <c r="L992" s="310">
        <v>0</v>
      </c>
      <c r="M992" s="310">
        <v>0</v>
      </c>
      <c r="N992" s="310">
        <v>7</v>
      </c>
      <c r="O992" s="310">
        <v>0</v>
      </c>
      <c r="P992" s="310">
        <v>20</v>
      </c>
      <c r="Q992" s="310">
        <v>0</v>
      </c>
      <c r="R992" s="311">
        <f t="shared" si="179"/>
        <v>45</v>
      </c>
      <c r="S992" s="363">
        <f t="shared" si="180"/>
        <v>0</v>
      </c>
      <c r="T992" s="411">
        <f>SUM(G991:G992)</f>
        <v>0</v>
      </c>
      <c r="U992" s="411">
        <f>SUM(K991:K992)</f>
        <v>0</v>
      </c>
      <c r="V992" s="411">
        <f>SUM(O991:O992)</f>
        <v>1</v>
      </c>
      <c r="W992" s="411">
        <f>SUM(Q991:Q992)</f>
        <v>0</v>
      </c>
      <c r="X992" s="411">
        <f>T992+U992+V992+W992</f>
        <v>1</v>
      </c>
    </row>
    <row r="993" spans="1:24" ht="12.75">
      <c r="A993" s="315" t="s">
        <v>449</v>
      </c>
      <c r="B993" s="316" t="s">
        <v>159</v>
      </c>
      <c r="C993" s="316" t="s">
        <v>784</v>
      </c>
      <c r="D993" s="316">
        <v>2015</v>
      </c>
      <c r="E993" s="316" t="s">
        <v>775</v>
      </c>
      <c r="F993" s="317">
        <v>5</v>
      </c>
      <c r="G993" s="317">
        <v>0</v>
      </c>
      <c r="H993" s="318">
        <v>0</v>
      </c>
      <c r="I993" s="317">
        <v>0</v>
      </c>
      <c r="J993" s="317">
        <v>3</v>
      </c>
      <c r="K993" s="317">
        <v>2</v>
      </c>
      <c r="L993" s="317">
        <v>2</v>
      </c>
      <c r="M993" s="317">
        <v>0</v>
      </c>
      <c r="N993" s="317">
        <v>3</v>
      </c>
      <c r="O993" s="317">
        <v>0</v>
      </c>
      <c r="P993" s="317">
        <v>9</v>
      </c>
      <c r="Q993" s="318">
        <v>3</v>
      </c>
      <c r="R993" s="319">
        <f t="shared" si="179"/>
        <v>20</v>
      </c>
      <c r="S993" s="364">
        <f t="shared" si="180"/>
        <v>5</v>
      </c>
      <c r="T993" s="319"/>
      <c r="U993" s="319"/>
      <c r="V993" s="319"/>
      <c r="W993" s="319"/>
      <c r="X993" s="319"/>
    </row>
    <row r="994" spans="1:24" ht="12.75">
      <c r="A994" s="315" t="s">
        <v>450</v>
      </c>
      <c r="B994" s="316" t="s">
        <v>159</v>
      </c>
      <c r="C994" s="316" t="s">
        <v>784</v>
      </c>
      <c r="D994" s="316">
        <v>2015</v>
      </c>
      <c r="E994" s="316" t="s">
        <v>775</v>
      </c>
      <c r="F994" s="317">
        <v>40</v>
      </c>
      <c r="G994" s="317">
        <v>0</v>
      </c>
      <c r="H994" s="318">
        <v>0</v>
      </c>
      <c r="I994" s="317">
        <v>0</v>
      </c>
      <c r="J994" s="317">
        <v>27</v>
      </c>
      <c r="K994" s="317">
        <v>0</v>
      </c>
      <c r="L994" s="317">
        <v>0</v>
      </c>
      <c r="M994" s="317">
        <v>0</v>
      </c>
      <c r="N994" s="317">
        <v>27</v>
      </c>
      <c r="O994" s="317">
        <v>56</v>
      </c>
      <c r="P994" s="317">
        <v>74</v>
      </c>
      <c r="Q994" s="318">
        <v>52</v>
      </c>
      <c r="R994" s="319">
        <f t="shared" si="179"/>
        <v>168</v>
      </c>
      <c r="S994" s="364">
        <f t="shared" si="180"/>
        <v>108</v>
      </c>
      <c r="T994" s="319"/>
      <c r="U994" s="319"/>
      <c r="V994" s="319"/>
      <c r="W994" s="319"/>
      <c r="X994" s="319"/>
    </row>
    <row r="995" spans="1:24" ht="12.75">
      <c r="A995" s="315" t="s">
        <v>451</v>
      </c>
      <c r="B995" s="316" t="s">
        <v>159</v>
      </c>
      <c r="C995" s="316" t="s">
        <v>784</v>
      </c>
      <c r="D995" s="316">
        <v>2015</v>
      </c>
      <c r="E995" s="316" t="s">
        <v>775</v>
      </c>
      <c r="F995" s="317">
        <v>1</v>
      </c>
      <c r="G995" s="317">
        <v>0</v>
      </c>
      <c r="H995" s="318">
        <v>0</v>
      </c>
      <c r="I995" s="317">
        <v>0</v>
      </c>
      <c r="J995" s="317">
        <v>1</v>
      </c>
      <c r="K995" s="317">
        <v>0</v>
      </c>
      <c r="L995" s="317">
        <v>0</v>
      </c>
      <c r="M995" s="317">
        <v>0</v>
      </c>
      <c r="N995" s="317">
        <v>1</v>
      </c>
      <c r="O995" s="317">
        <v>1</v>
      </c>
      <c r="P995" s="317">
        <v>1</v>
      </c>
      <c r="Q995" s="318">
        <v>0</v>
      </c>
      <c r="R995" s="319">
        <f t="shared" si="179"/>
        <v>4</v>
      </c>
      <c r="S995" s="364">
        <f t="shared" si="180"/>
        <v>1</v>
      </c>
      <c r="T995" s="319"/>
      <c r="U995" s="319"/>
      <c r="V995" s="319"/>
      <c r="W995" s="319"/>
      <c r="X995" s="319"/>
    </row>
    <row r="996" spans="1:24" ht="12.75">
      <c r="A996" s="321" t="s">
        <v>452</v>
      </c>
      <c r="B996" s="322" t="s">
        <v>159</v>
      </c>
      <c r="C996" s="322" t="s">
        <v>784</v>
      </c>
      <c r="D996" s="322">
        <v>2015</v>
      </c>
      <c r="E996" s="322" t="s">
        <v>775</v>
      </c>
      <c r="F996" s="318">
        <v>11</v>
      </c>
      <c r="G996" s="317">
        <v>31</v>
      </c>
      <c r="H996" s="318">
        <v>31</v>
      </c>
      <c r="I996" s="318">
        <v>0</v>
      </c>
      <c r="J996" s="317">
        <v>7</v>
      </c>
      <c r="K996" s="317">
        <v>10</v>
      </c>
      <c r="L996" s="318">
        <v>10</v>
      </c>
      <c r="M996" s="318">
        <v>0</v>
      </c>
      <c r="N996" s="318">
        <v>7</v>
      </c>
      <c r="O996" s="318">
        <v>0</v>
      </c>
      <c r="P996" s="318">
        <v>20</v>
      </c>
      <c r="Q996" s="318">
        <v>5</v>
      </c>
      <c r="R996" s="319">
        <f t="shared" si="179"/>
        <v>45</v>
      </c>
      <c r="S996" s="364">
        <f t="shared" si="180"/>
        <v>46</v>
      </c>
      <c r="T996" s="412">
        <f>SUM(G993:G996)</f>
        <v>31</v>
      </c>
      <c r="U996" s="412">
        <f>SUM(K993:K996)</f>
        <v>12</v>
      </c>
      <c r="V996" s="412">
        <f>SUM(O993:O996)</f>
        <v>57</v>
      </c>
      <c r="W996" s="412">
        <f>SUM(Q993:Q996)</f>
        <v>60</v>
      </c>
      <c r="X996" s="412">
        <f>T996+U996+V996+W996</f>
        <v>160</v>
      </c>
    </row>
    <row r="997" spans="1:24" ht="12.75">
      <c r="A997" s="324" t="s">
        <v>451</v>
      </c>
      <c r="B997" s="325" t="s">
        <v>159</v>
      </c>
      <c r="C997" s="325" t="s">
        <v>784</v>
      </c>
      <c r="D997" s="325">
        <v>2016</v>
      </c>
      <c r="E997" s="325" t="s">
        <v>775</v>
      </c>
      <c r="F997" s="326">
        <v>1</v>
      </c>
      <c r="G997" s="326">
        <v>0</v>
      </c>
      <c r="H997" s="327">
        <v>0</v>
      </c>
      <c r="I997" s="326">
        <v>0</v>
      </c>
      <c r="J997" s="326">
        <v>1</v>
      </c>
      <c r="K997" s="326">
        <v>0</v>
      </c>
      <c r="L997" s="326">
        <v>0</v>
      </c>
      <c r="M997" s="326">
        <v>0</v>
      </c>
      <c r="N997" s="326">
        <v>1</v>
      </c>
      <c r="O997" s="326">
        <v>0</v>
      </c>
      <c r="P997" s="326">
        <v>1</v>
      </c>
      <c r="Q997" s="327">
        <v>0</v>
      </c>
      <c r="R997" s="328">
        <f t="shared" si="179"/>
        <v>4</v>
      </c>
      <c r="S997" s="365">
        <f t="shared" si="180"/>
        <v>0</v>
      </c>
      <c r="T997" s="328"/>
      <c r="U997" s="328"/>
      <c r="V997" s="328"/>
      <c r="W997" s="328"/>
      <c r="X997" s="328"/>
    </row>
    <row r="998" spans="1:24" ht="12.75">
      <c r="A998" s="329" t="s">
        <v>452</v>
      </c>
      <c r="B998" s="330" t="s">
        <v>159</v>
      </c>
      <c r="C998" s="330" t="s">
        <v>784</v>
      </c>
      <c r="D998" s="330">
        <v>2016</v>
      </c>
      <c r="E998" s="330" t="s">
        <v>775</v>
      </c>
      <c r="F998" s="327">
        <v>11</v>
      </c>
      <c r="G998" s="326">
        <v>0</v>
      </c>
      <c r="H998" s="327">
        <v>0</v>
      </c>
      <c r="I998" s="327">
        <v>0</v>
      </c>
      <c r="J998" s="326">
        <v>7</v>
      </c>
      <c r="K998" s="326">
        <v>0</v>
      </c>
      <c r="L998" s="327">
        <v>0</v>
      </c>
      <c r="M998" s="327">
        <v>0</v>
      </c>
      <c r="N998" s="327">
        <v>7</v>
      </c>
      <c r="O998" s="327">
        <v>0</v>
      </c>
      <c r="P998" s="327">
        <v>20</v>
      </c>
      <c r="Q998" s="327">
        <v>7</v>
      </c>
      <c r="R998" s="328">
        <f t="shared" si="179"/>
        <v>45</v>
      </c>
      <c r="S998" s="365">
        <f t="shared" si="180"/>
        <v>7</v>
      </c>
      <c r="T998" s="413">
        <f>SUM(G997:G998)</f>
        <v>0</v>
      </c>
      <c r="U998" s="413">
        <f>SUM(K997:K998)</f>
        <v>0</v>
      </c>
      <c r="V998" s="413">
        <f>SUM(O997:O998)</f>
        <v>0</v>
      </c>
      <c r="W998" s="413">
        <f>SUM(Q997:Q998)</f>
        <v>7</v>
      </c>
      <c r="X998" s="413">
        <f>T998+U998+V998+W998</f>
        <v>7</v>
      </c>
    </row>
    <row r="999" spans="1:24" ht="12.75">
      <c r="A999" s="332" t="s">
        <v>451</v>
      </c>
      <c r="B999" s="333" t="s">
        <v>159</v>
      </c>
      <c r="C999" s="333" t="s">
        <v>784</v>
      </c>
      <c r="D999" s="333">
        <v>2017</v>
      </c>
      <c r="E999" s="333" t="s">
        <v>775</v>
      </c>
      <c r="F999" s="334">
        <v>1</v>
      </c>
      <c r="G999" s="334">
        <v>0</v>
      </c>
      <c r="H999" s="335">
        <v>0</v>
      </c>
      <c r="I999" s="334">
        <v>0</v>
      </c>
      <c r="J999" s="334">
        <v>1</v>
      </c>
      <c r="K999" s="334">
        <v>0</v>
      </c>
      <c r="L999" s="334">
        <v>0</v>
      </c>
      <c r="M999" s="334">
        <v>0</v>
      </c>
      <c r="N999" s="334">
        <v>1</v>
      </c>
      <c r="O999" s="334">
        <v>0</v>
      </c>
      <c r="P999" s="334">
        <v>1</v>
      </c>
      <c r="Q999" s="335">
        <v>0</v>
      </c>
      <c r="R999" s="336">
        <f t="shared" si="179"/>
        <v>4</v>
      </c>
      <c r="S999" s="366">
        <f t="shared" si="180"/>
        <v>0</v>
      </c>
      <c r="T999" s="336"/>
      <c r="U999" s="336"/>
      <c r="V999" s="336"/>
      <c r="W999" s="336"/>
      <c r="X999" s="336"/>
    </row>
    <row r="1000" spans="1:24" ht="12.75">
      <c r="A1000" s="337" t="s">
        <v>452</v>
      </c>
      <c r="B1000" s="338" t="s">
        <v>159</v>
      </c>
      <c r="C1000" s="338" t="s">
        <v>784</v>
      </c>
      <c r="D1000" s="338">
        <v>2017</v>
      </c>
      <c r="E1000" s="338" t="s">
        <v>775</v>
      </c>
      <c r="F1000" s="335">
        <v>11</v>
      </c>
      <c r="G1000" s="334">
        <v>0</v>
      </c>
      <c r="H1000" s="335">
        <v>0</v>
      </c>
      <c r="I1000" s="335">
        <v>0</v>
      </c>
      <c r="J1000" s="334">
        <v>7</v>
      </c>
      <c r="K1000" s="334">
        <v>0</v>
      </c>
      <c r="L1000" s="335">
        <v>0</v>
      </c>
      <c r="M1000" s="335">
        <v>0</v>
      </c>
      <c r="N1000" s="335">
        <v>7</v>
      </c>
      <c r="O1000" s="335">
        <v>0</v>
      </c>
      <c r="P1000" s="335">
        <v>20</v>
      </c>
      <c r="Q1000" s="335">
        <v>4</v>
      </c>
      <c r="R1000" s="336">
        <f t="shared" si="179"/>
        <v>45</v>
      </c>
      <c r="S1000" s="366">
        <f t="shared" si="180"/>
        <v>4</v>
      </c>
      <c r="T1000" s="414">
        <f>SUM(G999:G1000)</f>
        <v>0</v>
      </c>
      <c r="U1000" s="414">
        <f>SUM(K999:K1000)</f>
        <v>0</v>
      </c>
      <c r="V1000" s="414">
        <f>SUM(O999:O1000)</f>
        <v>0</v>
      </c>
      <c r="W1000" s="414">
        <f>SUM(Q999:Q1000)</f>
        <v>4</v>
      </c>
      <c r="X1000" s="414">
        <f>T1000+U1000+V1000+W1000</f>
        <v>4</v>
      </c>
    </row>
    <row r="1001" spans="1:24" ht="12.75">
      <c r="A1001" s="340" t="s">
        <v>449</v>
      </c>
      <c r="B1001" s="341" t="s">
        <v>159</v>
      </c>
      <c r="C1001" s="341" t="s">
        <v>784</v>
      </c>
      <c r="D1001" s="341">
        <v>2018</v>
      </c>
      <c r="E1001" s="341" t="s">
        <v>775</v>
      </c>
      <c r="F1001" s="342">
        <v>5</v>
      </c>
      <c r="G1001" s="343">
        <v>0</v>
      </c>
      <c r="H1001" s="342">
        <v>0</v>
      </c>
      <c r="I1001" s="342">
        <v>0</v>
      </c>
      <c r="J1001" s="342">
        <v>3</v>
      </c>
      <c r="K1001" s="343">
        <v>0</v>
      </c>
      <c r="L1001" s="342">
        <v>0</v>
      </c>
      <c r="M1001" s="342">
        <v>0</v>
      </c>
      <c r="N1001" s="342">
        <v>3</v>
      </c>
      <c r="O1001" s="342">
        <v>0</v>
      </c>
      <c r="P1001" s="342">
        <v>9</v>
      </c>
      <c r="Q1001" s="342">
        <v>9</v>
      </c>
      <c r="R1001" s="344">
        <f t="shared" si="179"/>
        <v>20</v>
      </c>
      <c r="S1001" s="367">
        <f t="shared" si="180"/>
        <v>9</v>
      </c>
      <c r="T1001" s="344"/>
      <c r="U1001" s="344"/>
      <c r="V1001" s="344"/>
      <c r="W1001" s="344"/>
      <c r="X1001" s="344"/>
    </row>
    <row r="1002" spans="1:24" ht="12.75">
      <c r="A1002" s="340" t="s">
        <v>451</v>
      </c>
      <c r="B1002" s="341" t="s">
        <v>159</v>
      </c>
      <c r="C1002" s="341" t="s">
        <v>784</v>
      </c>
      <c r="D1002" s="341">
        <v>2018</v>
      </c>
      <c r="E1002" s="341" t="s">
        <v>775</v>
      </c>
      <c r="F1002" s="342">
        <v>1</v>
      </c>
      <c r="G1002" s="343">
        <v>0</v>
      </c>
      <c r="H1002" s="342">
        <v>0</v>
      </c>
      <c r="I1002" s="342">
        <v>0</v>
      </c>
      <c r="J1002" s="342">
        <v>1</v>
      </c>
      <c r="K1002" s="343">
        <v>0</v>
      </c>
      <c r="L1002" s="342">
        <v>0</v>
      </c>
      <c r="M1002" s="342">
        <v>0</v>
      </c>
      <c r="N1002" s="342">
        <v>1</v>
      </c>
      <c r="O1002" s="342">
        <v>0</v>
      </c>
      <c r="P1002" s="342">
        <v>1</v>
      </c>
      <c r="Q1002" s="342">
        <v>8</v>
      </c>
      <c r="R1002" s="344">
        <f t="shared" si="179"/>
        <v>4</v>
      </c>
      <c r="S1002" s="367">
        <f t="shared" si="180"/>
        <v>8</v>
      </c>
      <c r="T1002" s="344"/>
      <c r="U1002" s="344"/>
      <c r="V1002" s="344"/>
      <c r="W1002" s="344"/>
      <c r="X1002" s="344"/>
    </row>
    <row r="1003" spans="1:24" ht="12.75">
      <c r="A1003" s="340" t="s">
        <v>452</v>
      </c>
      <c r="B1003" s="341" t="s">
        <v>159</v>
      </c>
      <c r="C1003" s="341" t="s">
        <v>784</v>
      </c>
      <c r="D1003" s="341">
        <v>2018</v>
      </c>
      <c r="E1003" s="341" t="s">
        <v>775</v>
      </c>
      <c r="F1003" s="342">
        <v>11</v>
      </c>
      <c r="G1003" s="343">
        <v>37</v>
      </c>
      <c r="H1003" s="342">
        <v>37</v>
      </c>
      <c r="I1003" s="342">
        <v>0</v>
      </c>
      <c r="J1003" s="342">
        <v>7</v>
      </c>
      <c r="K1003" s="343">
        <v>0</v>
      </c>
      <c r="L1003" s="342">
        <v>0</v>
      </c>
      <c r="M1003" s="342">
        <v>0</v>
      </c>
      <c r="N1003" s="342">
        <v>7</v>
      </c>
      <c r="O1003" s="342">
        <v>35</v>
      </c>
      <c r="P1003" s="342">
        <v>20</v>
      </c>
      <c r="Q1003" s="342">
        <v>16</v>
      </c>
      <c r="R1003" s="344">
        <f t="shared" si="179"/>
        <v>45</v>
      </c>
      <c r="S1003" s="367">
        <f t="shared" si="180"/>
        <v>88</v>
      </c>
      <c r="T1003" s="344"/>
      <c r="U1003" s="344"/>
      <c r="V1003" s="344"/>
      <c r="W1003" s="344"/>
      <c r="X1003" s="344"/>
    </row>
    <row r="1004" spans="1:24" ht="12.75">
      <c r="A1004" s="340" t="s">
        <v>453</v>
      </c>
      <c r="B1004" s="341" t="s">
        <v>159</v>
      </c>
      <c r="C1004" s="341" t="s">
        <v>784</v>
      </c>
      <c r="D1004" s="341">
        <v>2018</v>
      </c>
      <c r="E1004" s="341" t="s">
        <v>775</v>
      </c>
      <c r="F1004" s="342">
        <v>3</v>
      </c>
      <c r="G1004" s="343">
        <v>0</v>
      </c>
      <c r="H1004" s="342">
        <v>0</v>
      </c>
      <c r="I1004" s="342">
        <v>0</v>
      </c>
      <c r="J1004" s="342">
        <v>2</v>
      </c>
      <c r="K1004" s="343">
        <v>2</v>
      </c>
      <c r="L1004" s="342">
        <v>0</v>
      </c>
      <c r="M1004" s="342">
        <v>2</v>
      </c>
      <c r="N1004" s="342">
        <v>2</v>
      </c>
      <c r="O1004" s="342">
        <v>0</v>
      </c>
      <c r="P1004" s="342">
        <v>6</v>
      </c>
      <c r="Q1004" s="342">
        <v>1</v>
      </c>
      <c r="R1004" s="344">
        <f t="shared" si="179"/>
        <v>13</v>
      </c>
      <c r="S1004" s="367">
        <f t="shared" si="180"/>
        <v>3</v>
      </c>
      <c r="T1004" s="368">
        <f>SUM(G1001:G1004)</f>
        <v>37</v>
      </c>
      <c r="U1004" s="368">
        <f>SUM(K1001:K1004)</f>
        <v>2</v>
      </c>
      <c r="V1004" s="368">
        <f>SUM(O1001:O1004)</f>
        <v>35</v>
      </c>
      <c r="W1004" s="368">
        <f>SUM(Q1001:Q1004)</f>
        <v>34</v>
      </c>
      <c r="X1004" s="368">
        <f>T1004+U1004+V1004+W1004</f>
        <v>108</v>
      </c>
    </row>
    <row r="1005" spans="1:24" ht="12.75">
      <c r="A1005" s="346" t="s">
        <v>449</v>
      </c>
      <c r="B1005" s="347" t="s">
        <v>159</v>
      </c>
      <c r="C1005" s="347" t="s">
        <v>785</v>
      </c>
      <c r="D1005" s="347">
        <v>2019</v>
      </c>
      <c r="E1005" s="347" t="s">
        <v>775</v>
      </c>
      <c r="F1005" s="348">
        <v>5</v>
      </c>
      <c r="G1005" s="348">
        <v>0</v>
      </c>
      <c r="H1005" s="348">
        <v>0</v>
      </c>
      <c r="I1005" s="348">
        <v>0</v>
      </c>
      <c r="J1005" s="348">
        <v>3</v>
      </c>
      <c r="K1005" s="348">
        <v>1</v>
      </c>
      <c r="L1005" s="348">
        <v>1</v>
      </c>
      <c r="M1005" s="348">
        <v>0</v>
      </c>
      <c r="N1005" s="348">
        <v>3</v>
      </c>
      <c r="O1005" s="348">
        <v>10</v>
      </c>
      <c r="P1005" s="348">
        <v>9</v>
      </c>
      <c r="Q1005" s="348">
        <v>9</v>
      </c>
      <c r="R1005" s="350">
        <f t="shared" si="179"/>
        <v>20</v>
      </c>
      <c r="S1005" s="348">
        <f t="shared" si="180"/>
        <v>20</v>
      </c>
      <c r="T1005" s="348"/>
      <c r="U1005" s="348"/>
      <c r="V1005" s="348"/>
      <c r="W1005" s="349"/>
      <c r="X1005" s="349"/>
    </row>
    <row r="1006" spans="1:24" ht="12.75">
      <c r="A1006" s="346" t="s">
        <v>450</v>
      </c>
      <c r="B1006" s="347" t="s">
        <v>159</v>
      </c>
      <c r="C1006" s="347" t="s">
        <v>785</v>
      </c>
      <c r="D1006" s="347">
        <v>2019</v>
      </c>
      <c r="E1006" s="347" t="s">
        <v>775</v>
      </c>
      <c r="F1006" s="348">
        <v>40</v>
      </c>
      <c r="G1006" s="348">
        <v>0</v>
      </c>
      <c r="H1006" s="348">
        <v>0</v>
      </c>
      <c r="I1006" s="348">
        <v>0</v>
      </c>
      <c r="J1006" s="348">
        <v>27</v>
      </c>
      <c r="K1006" s="348">
        <v>0</v>
      </c>
      <c r="L1006" s="348">
        <v>0</v>
      </c>
      <c r="M1006" s="348">
        <v>0</v>
      </c>
      <c r="N1006" s="348">
        <v>27</v>
      </c>
      <c r="O1006" s="348">
        <v>10</v>
      </c>
      <c r="P1006" s="348">
        <v>74</v>
      </c>
      <c r="Q1006" s="348">
        <v>75</v>
      </c>
      <c r="R1006" s="350">
        <f t="shared" si="179"/>
        <v>168</v>
      </c>
      <c r="S1006" s="348">
        <f t="shared" si="180"/>
        <v>85</v>
      </c>
      <c r="T1006" s="348"/>
      <c r="U1006" s="348"/>
      <c r="V1006" s="348"/>
      <c r="W1006" s="349"/>
      <c r="X1006" s="349"/>
    </row>
    <row r="1007" spans="1:24" ht="12.75">
      <c r="A1007" s="346" t="s">
        <v>451</v>
      </c>
      <c r="B1007" s="347" t="s">
        <v>159</v>
      </c>
      <c r="C1007" s="347" t="s">
        <v>785</v>
      </c>
      <c r="D1007" s="347">
        <v>2019</v>
      </c>
      <c r="E1007" s="347" t="s">
        <v>775</v>
      </c>
      <c r="F1007" s="348">
        <v>1</v>
      </c>
      <c r="G1007" s="348">
        <v>0</v>
      </c>
      <c r="H1007" s="348">
        <v>0</v>
      </c>
      <c r="I1007" s="348">
        <v>0</v>
      </c>
      <c r="J1007" s="348">
        <v>1</v>
      </c>
      <c r="K1007" s="348">
        <v>0</v>
      </c>
      <c r="L1007" s="348">
        <v>0</v>
      </c>
      <c r="M1007" s="348">
        <v>0</v>
      </c>
      <c r="N1007" s="348">
        <v>1</v>
      </c>
      <c r="O1007" s="348">
        <v>0</v>
      </c>
      <c r="P1007" s="348">
        <v>1</v>
      </c>
      <c r="Q1007" s="348">
        <v>0</v>
      </c>
      <c r="R1007" s="350">
        <f t="shared" si="179"/>
        <v>4</v>
      </c>
      <c r="S1007" s="348">
        <f t="shared" si="180"/>
        <v>0</v>
      </c>
      <c r="T1007" s="348"/>
      <c r="U1007" s="348"/>
      <c r="V1007" s="348"/>
      <c r="W1007" s="349"/>
      <c r="X1007" s="349"/>
    </row>
    <row r="1008" spans="1:24" ht="12.75">
      <c r="A1008" s="346" t="s">
        <v>452</v>
      </c>
      <c r="B1008" s="347" t="s">
        <v>159</v>
      </c>
      <c r="C1008" s="347" t="s">
        <v>785</v>
      </c>
      <c r="D1008" s="347">
        <v>2019</v>
      </c>
      <c r="E1008" s="347" t="s">
        <v>775</v>
      </c>
      <c r="F1008" s="348">
        <v>11</v>
      </c>
      <c r="G1008" s="348">
        <v>0</v>
      </c>
      <c r="H1008" s="348">
        <v>0</v>
      </c>
      <c r="I1008" s="348">
        <v>0</v>
      </c>
      <c r="J1008" s="348">
        <v>7</v>
      </c>
      <c r="K1008" s="348">
        <v>2</v>
      </c>
      <c r="L1008" s="348">
        <v>0</v>
      </c>
      <c r="M1008" s="348">
        <v>2</v>
      </c>
      <c r="N1008" s="348">
        <v>7</v>
      </c>
      <c r="O1008" s="348">
        <v>3</v>
      </c>
      <c r="P1008" s="348">
        <v>20</v>
      </c>
      <c r="Q1008" s="348">
        <v>3</v>
      </c>
      <c r="R1008" s="350">
        <f t="shared" si="179"/>
        <v>45</v>
      </c>
      <c r="S1008" s="348">
        <f t="shared" si="180"/>
        <v>8</v>
      </c>
      <c r="T1008" s="348"/>
      <c r="U1008" s="348"/>
      <c r="V1008" s="348"/>
      <c r="W1008" s="349"/>
      <c r="X1008" s="349"/>
    </row>
    <row r="1009" spans="1:24" ht="12.75">
      <c r="A1009" s="346" t="s">
        <v>453</v>
      </c>
      <c r="B1009" s="347" t="s">
        <v>159</v>
      </c>
      <c r="C1009" s="347" t="s">
        <v>785</v>
      </c>
      <c r="D1009" s="347">
        <v>2019</v>
      </c>
      <c r="E1009" s="347" t="s">
        <v>775</v>
      </c>
      <c r="F1009" s="348">
        <v>3</v>
      </c>
      <c r="G1009" s="348">
        <v>0</v>
      </c>
      <c r="H1009" s="348">
        <v>0</v>
      </c>
      <c r="I1009" s="348">
        <v>0</v>
      </c>
      <c r="J1009" s="348">
        <v>2</v>
      </c>
      <c r="K1009" s="348">
        <v>2</v>
      </c>
      <c r="L1009" s="348">
        <v>0</v>
      </c>
      <c r="M1009" s="348">
        <v>2</v>
      </c>
      <c r="N1009" s="348">
        <v>2</v>
      </c>
      <c r="O1009" s="348">
        <v>4</v>
      </c>
      <c r="P1009" s="348">
        <v>6</v>
      </c>
      <c r="Q1009" s="348">
        <v>0</v>
      </c>
      <c r="R1009" s="350">
        <f t="shared" si="179"/>
        <v>13</v>
      </c>
      <c r="S1009" s="348">
        <f t="shared" si="180"/>
        <v>6</v>
      </c>
      <c r="T1009" s="399">
        <f>SUM(G1005:G1009)</f>
        <v>0</v>
      </c>
      <c r="U1009" s="399">
        <f>SUM(K1005:K1009)</f>
        <v>5</v>
      </c>
      <c r="V1009" s="399">
        <f>SUM(O1005:O1009)</f>
        <v>27</v>
      </c>
      <c r="W1009" s="399">
        <f>SUM(Q1005:Q1009)</f>
        <v>87</v>
      </c>
      <c r="X1009" s="399">
        <f>T1009+U1009+V1009+W1009</f>
        <v>119</v>
      </c>
    </row>
    <row r="1010" spans="1:24" ht="12.75">
      <c r="A1010" s="389"/>
      <c r="B1010" s="390"/>
      <c r="C1010" s="390"/>
      <c r="D1010" s="390"/>
      <c r="E1010" s="390"/>
      <c r="F1010" s="391"/>
      <c r="G1010" s="391"/>
      <c r="H1010" s="392"/>
      <c r="I1010" s="391"/>
      <c r="J1010" s="391"/>
      <c r="K1010" s="391"/>
      <c r="L1010" s="391"/>
      <c r="M1010" s="391"/>
      <c r="N1010" s="391"/>
      <c r="O1010" s="391"/>
      <c r="P1010" s="391"/>
      <c r="Q1010" s="392"/>
      <c r="R1010" s="393"/>
      <c r="S1010" s="361" t="s">
        <v>783</v>
      </c>
      <c r="T1010" s="356">
        <f t="shared" ref="T1010:X1010" si="181">SUM(T991:T1009)</f>
        <v>68</v>
      </c>
      <c r="U1010" s="356">
        <f t="shared" si="181"/>
        <v>19</v>
      </c>
      <c r="V1010" s="356">
        <f t="shared" si="181"/>
        <v>120</v>
      </c>
      <c r="W1010" s="356">
        <f t="shared" si="181"/>
        <v>192</v>
      </c>
      <c r="X1010" s="356">
        <f t="shared" si="181"/>
        <v>399</v>
      </c>
    </row>
    <row r="1011" spans="1:24" ht="12.75">
      <c r="A1011" s="220"/>
      <c r="B1011" s="221"/>
      <c r="C1011" s="221"/>
      <c r="D1011" s="221"/>
      <c r="E1011" s="221"/>
      <c r="F1011" s="353"/>
      <c r="G1011" s="353"/>
      <c r="H1011" s="354"/>
      <c r="I1011" s="353"/>
      <c r="J1011" s="353"/>
      <c r="K1011" s="353"/>
      <c r="L1011" s="353"/>
      <c r="M1011" s="353"/>
      <c r="N1011" s="353"/>
      <c r="O1011" s="353"/>
      <c r="P1011" s="353"/>
      <c r="Q1011" s="354"/>
      <c r="R1011" s="182"/>
      <c r="S1011" s="362"/>
      <c r="T1011" s="92"/>
      <c r="U1011" s="92"/>
      <c r="V1011" s="92"/>
      <c r="W1011" s="92"/>
      <c r="X1011" s="92"/>
    </row>
    <row r="1012" spans="1:24" ht="12.75">
      <c r="A1012" s="324" t="s">
        <v>454</v>
      </c>
      <c r="B1012" s="325" t="s">
        <v>160</v>
      </c>
      <c r="C1012" s="325" t="s">
        <v>828</v>
      </c>
      <c r="D1012" s="325">
        <v>2016</v>
      </c>
      <c r="E1012" s="325" t="s">
        <v>775</v>
      </c>
      <c r="F1012" s="326">
        <v>429</v>
      </c>
      <c r="G1012" s="326">
        <v>0</v>
      </c>
      <c r="H1012" s="327">
        <v>0</v>
      </c>
      <c r="I1012" s="326">
        <v>0</v>
      </c>
      <c r="J1012" s="326">
        <v>307</v>
      </c>
      <c r="K1012" s="326">
        <v>0</v>
      </c>
      <c r="L1012" s="326">
        <v>0</v>
      </c>
      <c r="M1012" s="326">
        <v>0</v>
      </c>
      <c r="N1012" s="326">
        <v>281</v>
      </c>
      <c r="O1012" s="326">
        <v>0</v>
      </c>
      <c r="P1012" s="326">
        <v>748</v>
      </c>
      <c r="Q1012" s="327">
        <v>235</v>
      </c>
      <c r="R1012" s="328">
        <f t="shared" ref="R1012:R1030" si="182">F1012+J1012+N1012+P1012</f>
        <v>1765</v>
      </c>
      <c r="S1012" s="365">
        <f t="shared" ref="S1012:S1030" si="183">K1012+O1012+G1012+Q1012</f>
        <v>235</v>
      </c>
      <c r="T1012" s="328"/>
      <c r="U1012" s="328"/>
      <c r="V1012" s="328"/>
      <c r="W1012" s="328"/>
      <c r="X1012" s="328"/>
    </row>
    <row r="1013" spans="1:24" ht="12.75">
      <c r="A1013" s="324" t="s">
        <v>457</v>
      </c>
      <c r="B1013" s="325" t="s">
        <v>160</v>
      </c>
      <c r="C1013" s="325" t="s">
        <v>828</v>
      </c>
      <c r="D1013" s="325">
        <v>2016</v>
      </c>
      <c r="E1013" s="325" t="s">
        <v>775</v>
      </c>
      <c r="F1013" s="326">
        <v>249</v>
      </c>
      <c r="G1013" s="326">
        <v>0</v>
      </c>
      <c r="H1013" s="327">
        <v>0</v>
      </c>
      <c r="I1013" s="326">
        <v>0</v>
      </c>
      <c r="J1013" s="326">
        <v>178</v>
      </c>
      <c r="K1013" s="326">
        <v>0</v>
      </c>
      <c r="L1013" s="326">
        <v>0</v>
      </c>
      <c r="M1013" s="326">
        <v>0</v>
      </c>
      <c r="N1013" s="326">
        <v>163</v>
      </c>
      <c r="O1013" s="326">
        <v>0</v>
      </c>
      <c r="P1013" s="326">
        <v>435</v>
      </c>
      <c r="Q1013" s="327">
        <v>34</v>
      </c>
      <c r="R1013" s="328">
        <f t="shared" si="182"/>
        <v>1025</v>
      </c>
      <c r="S1013" s="365">
        <f t="shared" si="183"/>
        <v>34</v>
      </c>
      <c r="T1013" s="328"/>
      <c r="U1013" s="328"/>
      <c r="V1013" s="328"/>
      <c r="W1013" s="328"/>
      <c r="X1013" s="328"/>
    </row>
    <row r="1014" spans="1:24" ht="12.75">
      <c r="A1014" s="324" t="s">
        <v>458</v>
      </c>
      <c r="B1014" s="325" t="s">
        <v>160</v>
      </c>
      <c r="C1014" s="325" t="s">
        <v>828</v>
      </c>
      <c r="D1014" s="325">
        <v>2016</v>
      </c>
      <c r="E1014" s="325" t="s">
        <v>775</v>
      </c>
      <c r="F1014" s="326">
        <v>604</v>
      </c>
      <c r="G1014" s="326">
        <v>41</v>
      </c>
      <c r="H1014" s="327">
        <v>41</v>
      </c>
      <c r="I1014" s="326">
        <v>0</v>
      </c>
      <c r="J1014" s="326">
        <v>431</v>
      </c>
      <c r="K1014" s="326">
        <v>21</v>
      </c>
      <c r="L1014" s="326">
        <v>21</v>
      </c>
      <c r="M1014" s="326">
        <v>0</v>
      </c>
      <c r="N1014" s="326">
        <v>396</v>
      </c>
      <c r="O1014" s="326">
        <v>7</v>
      </c>
      <c r="P1014" s="326">
        <v>1049</v>
      </c>
      <c r="Q1014" s="327">
        <v>0</v>
      </c>
      <c r="R1014" s="328">
        <f t="shared" si="182"/>
        <v>2480</v>
      </c>
      <c r="S1014" s="365">
        <f t="shared" si="183"/>
        <v>69</v>
      </c>
      <c r="T1014" s="328"/>
      <c r="U1014" s="328"/>
      <c r="V1014" s="328"/>
      <c r="W1014" s="328"/>
      <c r="X1014" s="328"/>
    </row>
    <row r="1015" spans="1:24" ht="12.75">
      <c r="A1015" s="324" t="s">
        <v>459</v>
      </c>
      <c r="B1015" s="325" t="s">
        <v>160</v>
      </c>
      <c r="C1015" s="325" t="s">
        <v>828</v>
      </c>
      <c r="D1015" s="325">
        <v>2016</v>
      </c>
      <c r="E1015" s="325" t="s">
        <v>775</v>
      </c>
      <c r="F1015" s="326">
        <v>1085</v>
      </c>
      <c r="G1015" s="326">
        <v>0</v>
      </c>
      <c r="H1015" s="327">
        <v>0</v>
      </c>
      <c r="I1015" s="326">
        <v>0</v>
      </c>
      <c r="J1015" s="326">
        <v>775</v>
      </c>
      <c r="K1015" s="326">
        <v>0</v>
      </c>
      <c r="L1015" s="326">
        <v>0</v>
      </c>
      <c r="M1015" s="326">
        <v>0</v>
      </c>
      <c r="N1015" s="326">
        <v>711</v>
      </c>
      <c r="O1015" s="326">
        <v>37</v>
      </c>
      <c r="P1015" s="326">
        <v>1885</v>
      </c>
      <c r="Q1015" s="327">
        <v>137</v>
      </c>
      <c r="R1015" s="328">
        <f t="shared" si="182"/>
        <v>4456</v>
      </c>
      <c r="S1015" s="365">
        <f t="shared" si="183"/>
        <v>174</v>
      </c>
      <c r="T1015" s="415">
        <f>SUM(G1012:G1015)</f>
        <v>41</v>
      </c>
      <c r="U1015" s="415">
        <f>SUM(K1012:K1015)</f>
        <v>21</v>
      </c>
      <c r="V1015" s="415">
        <f>SUM(O1012:O1015)</f>
        <v>44</v>
      </c>
      <c r="W1015" s="415">
        <f>SUM(Q1012:Q1015)</f>
        <v>406</v>
      </c>
      <c r="X1015" s="415">
        <f>T1015+U1015+V1015+W1015</f>
        <v>512</v>
      </c>
    </row>
    <row r="1016" spans="1:24" ht="12.75">
      <c r="A1016" s="332" t="s">
        <v>454</v>
      </c>
      <c r="B1016" s="333" t="s">
        <v>160</v>
      </c>
      <c r="C1016" s="333" t="s">
        <v>828</v>
      </c>
      <c r="D1016" s="333">
        <v>2017</v>
      </c>
      <c r="E1016" s="333" t="s">
        <v>775</v>
      </c>
      <c r="F1016" s="334">
        <v>429</v>
      </c>
      <c r="G1016" s="334">
        <v>0</v>
      </c>
      <c r="H1016" s="335">
        <v>0</v>
      </c>
      <c r="I1016" s="334">
        <v>0</v>
      </c>
      <c r="J1016" s="334">
        <v>307</v>
      </c>
      <c r="K1016" s="334">
        <v>0</v>
      </c>
      <c r="L1016" s="334">
        <v>0</v>
      </c>
      <c r="M1016" s="334">
        <v>0</v>
      </c>
      <c r="N1016" s="334">
        <v>281</v>
      </c>
      <c r="O1016" s="334">
        <v>0</v>
      </c>
      <c r="P1016" s="334">
        <v>748</v>
      </c>
      <c r="Q1016" s="335">
        <v>133</v>
      </c>
      <c r="R1016" s="336">
        <f t="shared" si="182"/>
        <v>1765</v>
      </c>
      <c r="S1016" s="366">
        <f t="shared" si="183"/>
        <v>133</v>
      </c>
      <c r="T1016" s="336"/>
      <c r="U1016" s="336"/>
      <c r="V1016" s="336"/>
      <c r="W1016" s="336"/>
      <c r="X1016" s="336"/>
    </row>
    <row r="1017" spans="1:24" ht="12.75">
      <c r="A1017" s="332" t="s">
        <v>457</v>
      </c>
      <c r="B1017" s="333" t="s">
        <v>160</v>
      </c>
      <c r="C1017" s="333" t="s">
        <v>828</v>
      </c>
      <c r="D1017" s="333">
        <v>2017</v>
      </c>
      <c r="E1017" s="333" t="s">
        <v>775</v>
      </c>
      <c r="F1017" s="334">
        <v>249</v>
      </c>
      <c r="G1017" s="334">
        <v>0</v>
      </c>
      <c r="H1017" s="335">
        <v>0</v>
      </c>
      <c r="I1017" s="334">
        <v>0</v>
      </c>
      <c r="J1017" s="334">
        <v>178</v>
      </c>
      <c r="K1017" s="334">
        <v>5</v>
      </c>
      <c r="L1017" s="334">
        <v>5</v>
      </c>
      <c r="M1017" s="334">
        <v>0</v>
      </c>
      <c r="N1017" s="334">
        <v>163</v>
      </c>
      <c r="O1017" s="334">
        <v>0</v>
      </c>
      <c r="P1017" s="334">
        <v>435</v>
      </c>
      <c r="Q1017" s="335">
        <v>69</v>
      </c>
      <c r="R1017" s="336">
        <f t="shared" si="182"/>
        <v>1025</v>
      </c>
      <c r="S1017" s="366">
        <f t="shared" si="183"/>
        <v>74</v>
      </c>
      <c r="T1017" s="336"/>
      <c r="U1017" s="336"/>
      <c r="V1017" s="336"/>
      <c r="W1017" s="336"/>
      <c r="X1017" s="336"/>
    </row>
    <row r="1018" spans="1:24" ht="12.75">
      <c r="A1018" s="332" t="s">
        <v>458</v>
      </c>
      <c r="B1018" s="333" t="s">
        <v>160</v>
      </c>
      <c r="C1018" s="333" t="s">
        <v>828</v>
      </c>
      <c r="D1018" s="333">
        <v>2017</v>
      </c>
      <c r="E1018" s="333" t="s">
        <v>775</v>
      </c>
      <c r="F1018" s="334">
        <v>604</v>
      </c>
      <c r="G1018" s="334">
        <v>0</v>
      </c>
      <c r="H1018" s="335">
        <v>0</v>
      </c>
      <c r="I1018" s="334">
        <v>0</v>
      </c>
      <c r="J1018" s="334">
        <v>431</v>
      </c>
      <c r="K1018" s="334">
        <v>0</v>
      </c>
      <c r="L1018" s="334">
        <v>0</v>
      </c>
      <c r="M1018" s="334">
        <v>0</v>
      </c>
      <c r="N1018" s="334">
        <v>396</v>
      </c>
      <c r="O1018" s="334">
        <v>0</v>
      </c>
      <c r="P1018" s="334">
        <v>1049</v>
      </c>
      <c r="Q1018" s="335">
        <v>217</v>
      </c>
      <c r="R1018" s="336">
        <f t="shared" si="182"/>
        <v>2480</v>
      </c>
      <c r="S1018" s="366">
        <f t="shared" si="183"/>
        <v>217</v>
      </c>
      <c r="T1018" s="336"/>
      <c r="U1018" s="336"/>
      <c r="V1018" s="336"/>
      <c r="W1018" s="336"/>
      <c r="X1018" s="336"/>
    </row>
    <row r="1019" spans="1:24" ht="12.75">
      <c r="A1019" s="332" t="s">
        <v>160</v>
      </c>
      <c r="B1019" s="333" t="s">
        <v>160</v>
      </c>
      <c r="C1019" s="333" t="s">
        <v>828</v>
      </c>
      <c r="D1019" s="333">
        <v>2017</v>
      </c>
      <c r="E1019" s="333" t="s">
        <v>775</v>
      </c>
      <c r="F1019" s="334">
        <v>1351</v>
      </c>
      <c r="G1019" s="334">
        <v>0</v>
      </c>
      <c r="H1019" s="335">
        <v>0</v>
      </c>
      <c r="I1019" s="334">
        <v>0</v>
      </c>
      <c r="J1019" s="334">
        <v>966</v>
      </c>
      <c r="K1019" s="334">
        <v>0</v>
      </c>
      <c r="L1019" s="334">
        <v>0</v>
      </c>
      <c r="M1019" s="334">
        <v>0</v>
      </c>
      <c r="N1019" s="334">
        <v>886</v>
      </c>
      <c r="O1019" s="334">
        <v>145</v>
      </c>
      <c r="P1019" s="334">
        <v>2348</v>
      </c>
      <c r="Q1019" s="335">
        <v>82</v>
      </c>
      <c r="R1019" s="336">
        <f t="shared" si="182"/>
        <v>5551</v>
      </c>
      <c r="S1019" s="366">
        <f t="shared" si="183"/>
        <v>227</v>
      </c>
      <c r="T1019" s="336"/>
      <c r="U1019" s="336"/>
      <c r="V1019" s="336"/>
      <c r="W1019" s="336"/>
      <c r="X1019" s="336"/>
    </row>
    <row r="1020" spans="1:24" ht="12.75">
      <c r="A1020" s="332" t="s">
        <v>459</v>
      </c>
      <c r="B1020" s="333" t="s">
        <v>160</v>
      </c>
      <c r="C1020" s="333" t="s">
        <v>828</v>
      </c>
      <c r="D1020" s="333">
        <v>2017</v>
      </c>
      <c r="E1020" s="333" t="s">
        <v>775</v>
      </c>
      <c r="F1020" s="334">
        <v>1085</v>
      </c>
      <c r="G1020" s="334">
        <v>0</v>
      </c>
      <c r="H1020" s="335">
        <v>0</v>
      </c>
      <c r="I1020" s="334">
        <v>0</v>
      </c>
      <c r="J1020" s="334">
        <v>775</v>
      </c>
      <c r="K1020" s="334">
        <v>0</v>
      </c>
      <c r="L1020" s="334">
        <v>0</v>
      </c>
      <c r="M1020" s="334">
        <v>0</v>
      </c>
      <c r="N1020" s="334">
        <v>711</v>
      </c>
      <c r="O1020" s="334">
        <v>52</v>
      </c>
      <c r="P1020" s="334">
        <v>1885</v>
      </c>
      <c r="Q1020" s="335">
        <v>118</v>
      </c>
      <c r="R1020" s="336">
        <f t="shared" si="182"/>
        <v>4456</v>
      </c>
      <c r="S1020" s="366">
        <f t="shared" si="183"/>
        <v>170</v>
      </c>
      <c r="T1020" s="416">
        <f>SUM(G1016:G1020)</f>
        <v>0</v>
      </c>
      <c r="U1020" s="416">
        <f>SUM(K1016:K1020)</f>
        <v>5</v>
      </c>
      <c r="V1020" s="416">
        <f>SUM(O1016:O1020)</f>
        <v>197</v>
      </c>
      <c r="W1020" s="416">
        <f>SUM(Q1016:Q1020)</f>
        <v>619</v>
      </c>
      <c r="X1020" s="416">
        <f>T1020+U1020+V1020+W1020</f>
        <v>821</v>
      </c>
    </row>
    <row r="1021" spans="1:24" ht="12.75">
      <c r="A1021" s="340" t="s">
        <v>454</v>
      </c>
      <c r="B1021" s="341" t="s">
        <v>160</v>
      </c>
      <c r="C1021" s="341" t="s">
        <v>828</v>
      </c>
      <c r="D1021" s="341">
        <v>2018</v>
      </c>
      <c r="E1021" s="341" t="s">
        <v>775</v>
      </c>
      <c r="F1021" s="342">
        <v>429</v>
      </c>
      <c r="G1021" s="343">
        <v>0</v>
      </c>
      <c r="H1021" s="342">
        <v>0</v>
      </c>
      <c r="I1021" s="342">
        <v>0</v>
      </c>
      <c r="J1021" s="342">
        <v>307</v>
      </c>
      <c r="K1021" s="343">
        <v>0</v>
      </c>
      <c r="L1021" s="342">
        <v>0</v>
      </c>
      <c r="M1021" s="342">
        <v>0</v>
      </c>
      <c r="N1021" s="342">
        <v>281</v>
      </c>
      <c r="O1021" s="342">
        <v>0</v>
      </c>
      <c r="P1021" s="342">
        <v>748</v>
      </c>
      <c r="Q1021" s="342">
        <v>16</v>
      </c>
      <c r="R1021" s="344">
        <f t="shared" si="182"/>
        <v>1765</v>
      </c>
      <c r="S1021" s="367">
        <f t="shared" si="183"/>
        <v>16</v>
      </c>
      <c r="T1021" s="344"/>
      <c r="U1021" s="344"/>
      <c r="V1021" s="344"/>
      <c r="W1021" s="344"/>
      <c r="X1021" s="344"/>
    </row>
    <row r="1022" spans="1:24" ht="12.75">
      <c r="A1022" s="340" t="s">
        <v>458</v>
      </c>
      <c r="B1022" s="341" t="s">
        <v>160</v>
      </c>
      <c r="C1022" s="341" t="s">
        <v>828</v>
      </c>
      <c r="D1022" s="341">
        <v>2018</v>
      </c>
      <c r="E1022" s="341" t="s">
        <v>775</v>
      </c>
      <c r="F1022" s="342">
        <v>604</v>
      </c>
      <c r="G1022" s="343">
        <v>0</v>
      </c>
      <c r="H1022" s="342">
        <v>0</v>
      </c>
      <c r="I1022" s="342">
        <v>0</v>
      </c>
      <c r="J1022" s="342">
        <v>431</v>
      </c>
      <c r="K1022" s="343">
        <v>1</v>
      </c>
      <c r="L1022" s="342">
        <v>0</v>
      </c>
      <c r="M1022" s="342">
        <v>1</v>
      </c>
      <c r="N1022" s="342">
        <v>396</v>
      </c>
      <c r="O1022" s="342">
        <v>4</v>
      </c>
      <c r="P1022" s="342">
        <v>1049</v>
      </c>
      <c r="Q1022" s="342">
        <v>258</v>
      </c>
      <c r="R1022" s="344">
        <f t="shared" si="182"/>
        <v>2480</v>
      </c>
      <c r="S1022" s="367">
        <f t="shared" si="183"/>
        <v>263</v>
      </c>
      <c r="T1022" s="344"/>
      <c r="U1022" s="344"/>
      <c r="V1022" s="344"/>
      <c r="W1022" s="344"/>
      <c r="X1022" s="344"/>
    </row>
    <row r="1023" spans="1:24" ht="12.75">
      <c r="A1023" s="340" t="s">
        <v>160</v>
      </c>
      <c r="B1023" s="341" t="s">
        <v>160</v>
      </c>
      <c r="C1023" s="341" t="s">
        <v>828</v>
      </c>
      <c r="D1023" s="341">
        <v>2018</v>
      </c>
      <c r="E1023" s="341" t="s">
        <v>775</v>
      </c>
      <c r="F1023" s="342">
        <v>1351</v>
      </c>
      <c r="G1023" s="343">
        <v>0</v>
      </c>
      <c r="H1023" s="342">
        <v>0</v>
      </c>
      <c r="I1023" s="342">
        <v>0</v>
      </c>
      <c r="J1023" s="342">
        <v>966</v>
      </c>
      <c r="K1023" s="343">
        <v>0</v>
      </c>
      <c r="L1023" s="342">
        <v>0</v>
      </c>
      <c r="M1023" s="342">
        <v>0</v>
      </c>
      <c r="N1023" s="342">
        <v>886</v>
      </c>
      <c r="O1023" s="342">
        <v>0</v>
      </c>
      <c r="P1023" s="342">
        <v>2348</v>
      </c>
      <c r="Q1023" s="342">
        <v>603</v>
      </c>
      <c r="R1023" s="344">
        <f t="shared" si="182"/>
        <v>5551</v>
      </c>
      <c r="S1023" s="367">
        <f t="shared" si="183"/>
        <v>603</v>
      </c>
      <c r="T1023" s="344"/>
      <c r="U1023" s="344"/>
      <c r="V1023" s="344"/>
      <c r="W1023" s="344"/>
      <c r="X1023" s="344"/>
    </row>
    <row r="1024" spans="1:24" ht="12.75">
      <c r="A1024" s="340" t="s">
        <v>459</v>
      </c>
      <c r="B1024" s="341" t="s">
        <v>160</v>
      </c>
      <c r="C1024" s="341" t="s">
        <v>828</v>
      </c>
      <c r="D1024" s="341">
        <v>2018</v>
      </c>
      <c r="E1024" s="341" t="s">
        <v>775</v>
      </c>
      <c r="F1024" s="342">
        <v>1085</v>
      </c>
      <c r="G1024" s="343">
        <v>0</v>
      </c>
      <c r="H1024" s="342">
        <v>0</v>
      </c>
      <c r="I1024" s="342">
        <v>0</v>
      </c>
      <c r="J1024" s="342">
        <v>775</v>
      </c>
      <c r="K1024" s="343">
        <v>11</v>
      </c>
      <c r="L1024" s="342">
        <v>0</v>
      </c>
      <c r="M1024" s="342">
        <v>11</v>
      </c>
      <c r="N1024" s="342">
        <v>711</v>
      </c>
      <c r="O1024" s="342">
        <v>1</v>
      </c>
      <c r="P1024" s="342">
        <v>1885</v>
      </c>
      <c r="Q1024" s="342">
        <v>148</v>
      </c>
      <c r="R1024" s="344">
        <f t="shared" si="182"/>
        <v>4456</v>
      </c>
      <c r="S1024" s="367">
        <f t="shared" si="183"/>
        <v>160</v>
      </c>
      <c r="T1024" s="368">
        <f>SUM(G1021:G1024)</f>
        <v>0</v>
      </c>
      <c r="U1024" s="368">
        <f>SUM(K1021:K1024)</f>
        <v>12</v>
      </c>
      <c r="V1024" s="368">
        <f>SUM(O1021:O1024)</f>
        <v>5</v>
      </c>
      <c r="W1024" s="368">
        <f>SUM(Q1021:Q1024)</f>
        <v>1025</v>
      </c>
      <c r="X1024" s="368">
        <f>T1024+U1024+V1024+W1024</f>
        <v>1042</v>
      </c>
    </row>
    <row r="1025" spans="1:24" ht="12.75">
      <c r="A1025" s="346" t="s">
        <v>455</v>
      </c>
      <c r="B1025" s="347" t="s">
        <v>160</v>
      </c>
      <c r="C1025" s="347" t="s">
        <v>829</v>
      </c>
      <c r="D1025" s="347">
        <v>2019</v>
      </c>
      <c r="E1025" s="347" t="s">
        <v>775</v>
      </c>
      <c r="F1025" s="348">
        <v>71</v>
      </c>
      <c r="G1025" s="348">
        <v>0</v>
      </c>
      <c r="H1025" s="348">
        <v>0</v>
      </c>
      <c r="I1025" s="348">
        <v>0</v>
      </c>
      <c r="J1025" s="348">
        <v>27</v>
      </c>
      <c r="K1025" s="348">
        <v>0</v>
      </c>
      <c r="L1025" s="348">
        <v>0</v>
      </c>
      <c r="M1025" s="348">
        <v>0</v>
      </c>
      <c r="N1025" s="348">
        <v>47</v>
      </c>
      <c r="O1025" s="348">
        <v>0</v>
      </c>
      <c r="P1025" s="348">
        <v>124</v>
      </c>
      <c r="Q1025" s="348">
        <v>0</v>
      </c>
      <c r="R1025" s="350">
        <f t="shared" si="182"/>
        <v>269</v>
      </c>
      <c r="S1025" s="348">
        <f t="shared" si="183"/>
        <v>0</v>
      </c>
      <c r="T1025" s="348"/>
      <c r="U1025" s="348"/>
      <c r="V1025" s="348"/>
      <c r="W1025" s="350"/>
      <c r="X1025" s="350"/>
    </row>
    <row r="1026" spans="1:24" ht="12.75">
      <c r="A1026" s="346" t="s">
        <v>456</v>
      </c>
      <c r="B1026" s="347" t="s">
        <v>160</v>
      </c>
      <c r="C1026" s="347" t="s">
        <v>829</v>
      </c>
      <c r="D1026" s="347">
        <v>2019</v>
      </c>
      <c r="E1026" s="347" t="s">
        <v>775</v>
      </c>
      <c r="F1026" s="348">
        <v>61</v>
      </c>
      <c r="G1026" s="348">
        <v>0</v>
      </c>
      <c r="H1026" s="348">
        <v>0</v>
      </c>
      <c r="I1026" s="348">
        <v>0</v>
      </c>
      <c r="J1026" s="348">
        <v>56</v>
      </c>
      <c r="K1026" s="348">
        <v>0</v>
      </c>
      <c r="L1026" s="348">
        <v>0</v>
      </c>
      <c r="M1026" s="348">
        <v>0</v>
      </c>
      <c r="N1026" s="348">
        <v>51</v>
      </c>
      <c r="O1026" s="348">
        <v>0</v>
      </c>
      <c r="P1026" s="348">
        <v>136</v>
      </c>
      <c r="Q1026" s="348">
        <v>5</v>
      </c>
      <c r="R1026" s="350">
        <f t="shared" si="182"/>
        <v>304</v>
      </c>
      <c r="S1026" s="348">
        <f t="shared" si="183"/>
        <v>5</v>
      </c>
      <c r="T1026" s="348"/>
      <c r="U1026" s="348"/>
      <c r="V1026" s="348"/>
      <c r="W1026" s="350"/>
      <c r="X1026" s="350"/>
    </row>
    <row r="1027" spans="1:24" ht="12.75">
      <c r="A1027" s="346" t="s">
        <v>457</v>
      </c>
      <c r="B1027" s="347" t="s">
        <v>160</v>
      </c>
      <c r="C1027" s="347" t="s">
        <v>829</v>
      </c>
      <c r="D1027" s="347">
        <v>2019</v>
      </c>
      <c r="E1027" s="347" t="s">
        <v>775</v>
      </c>
      <c r="F1027" s="348">
        <v>249</v>
      </c>
      <c r="G1027" s="348">
        <v>0</v>
      </c>
      <c r="H1027" s="348">
        <v>0</v>
      </c>
      <c r="I1027" s="348">
        <v>0</v>
      </c>
      <c r="J1027" s="348">
        <v>178</v>
      </c>
      <c r="K1027" s="348">
        <v>4</v>
      </c>
      <c r="L1027" s="348">
        <v>0</v>
      </c>
      <c r="M1027" s="348">
        <v>4</v>
      </c>
      <c r="N1027" s="348">
        <v>163</v>
      </c>
      <c r="O1027" s="348">
        <v>7</v>
      </c>
      <c r="P1027" s="348">
        <v>435</v>
      </c>
      <c r="Q1027" s="348">
        <v>76</v>
      </c>
      <c r="R1027" s="350">
        <f t="shared" si="182"/>
        <v>1025</v>
      </c>
      <c r="S1027" s="348">
        <f t="shared" si="183"/>
        <v>87</v>
      </c>
      <c r="T1027" s="348"/>
      <c r="U1027" s="348"/>
      <c r="V1027" s="348"/>
      <c r="W1027" s="350"/>
      <c r="X1027" s="350"/>
    </row>
    <row r="1028" spans="1:24" ht="12.75">
      <c r="A1028" s="346" t="s">
        <v>458</v>
      </c>
      <c r="B1028" s="347" t="s">
        <v>160</v>
      </c>
      <c r="C1028" s="347" t="s">
        <v>829</v>
      </c>
      <c r="D1028" s="347">
        <v>2019</v>
      </c>
      <c r="E1028" s="347" t="s">
        <v>775</v>
      </c>
      <c r="F1028" s="348">
        <v>604</v>
      </c>
      <c r="G1028" s="348">
        <v>0</v>
      </c>
      <c r="H1028" s="348">
        <v>0</v>
      </c>
      <c r="I1028" s="348">
        <v>0</v>
      </c>
      <c r="J1028" s="348">
        <v>431</v>
      </c>
      <c r="K1028" s="348">
        <v>0</v>
      </c>
      <c r="L1028" s="348">
        <v>0</v>
      </c>
      <c r="M1028" s="348">
        <v>0</v>
      </c>
      <c r="N1028" s="348">
        <v>396</v>
      </c>
      <c r="O1028" s="348">
        <v>2</v>
      </c>
      <c r="P1028" s="348">
        <v>1049</v>
      </c>
      <c r="Q1028" s="348">
        <v>192</v>
      </c>
      <c r="R1028" s="350">
        <f t="shared" si="182"/>
        <v>2480</v>
      </c>
      <c r="S1028" s="348">
        <f t="shared" si="183"/>
        <v>194</v>
      </c>
      <c r="T1028" s="348"/>
      <c r="U1028" s="348"/>
      <c r="V1028" s="348"/>
      <c r="W1028" s="350"/>
      <c r="X1028" s="350"/>
    </row>
    <row r="1029" spans="1:24" ht="12.75">
      <c r="A1029" s="346" t="s">
        <v>160</v>
      </c>
      <c r="B1029" s="347" t="s">
        <v>160</v>
      </c>
      <c r="C1029" s="347" t="s">
        <v>829</v>
      </c>
      <c r="D1029" s="347">
        <v>2019</v>
      </c>
      <c r="E1029" s="347" t="s">
        <v>775</v>
      </c>
      <c r="F1029" s="348">
        <v>1351</v>
      </c>
      <c r="G1029" s="348">
        <v>0</v>
      </c>
      <c r="H1029" s="348">
        <v>0</v>
      </c>
      <c r="I1029" s="348">
        <v>0</v>
      </c>
      <c r="J1029" s="348">
        <v>966</v>
      </c>
      <c r="K1029" s="348">
        <v>0</v>
      </c>
      <c r="L1029" s="348">
        <v>0</v>
      </c>
      <c r="M1029" s="348">
        <v>0</v>
      </c>
      <c r="N1029" s="348">
        <v>886</v>
      </c>
      <c r="O1029" s="348">
        <v>18</v>
      </c>
      <c r="P1029" s="348">
        <v>2348</v>
      </c>
      <c r="Q1029" s="348">
        <v>650</v>
      </c>
      <c r="R1029" s="350">
        <f t="shared" si="182"/>
        <v>5551</v>
      </c>
      <c r="S1029" s="348">
        <f t="shared" si="183"/>
        <v>668</v>
      </c>
      <c r="T1029" s="348"/>
      <c r="U1029" s="348"/>
      <c r="V1029" s="348"/>
      <c r="W1029" s="350"/>
      <c r="X1029" s="350"/>
    </row>
    <row r="1030" spans="1:24" ht="12.75">
      <c r="A1030" s="346" t="s">
        <v>459</v>
      </c>
      <c r="B1030" s="347" t="s">
        <v>160</v>
      </c>
      <c r="C1030" s="347" t="s">
        <v>829</v>
      </c>
      <c r="D1030" s="347">
        <v>2019</v>
      </c>
      <c r="E1030" s="347" t="s">
        <v>775</v>
      </c>
      <c r="F1030" s="348">
        <v>1085</v>
      </c>
      <c r="G1030" s="348">
        <v>0</v>
      </c>
      <c r="H1030" s="348">
        <v>0</v>
      </c>
      <c r="I1030" s="348">
        <v>0</v>
      </c>
      <c r="J1030" s="348">
        <v>775</v>
      </c>
      <c r="K1030" s="348">
        <v>25</v>
      </c>
      <c r="L1030" s="348">
        <v>0</v>
      </c>
      <c r="M1030" s="348">
        <v>25</v>
      </c>
      <c r="N1030" s="348">
        <v>711</v>
      </c>
      <c r="O1030" s="348">
        <v>2</v>
      </c>
      <c r="P1030" s="348">
        <v>1885</v>
      </c>
      <c r="Q1030" s="348">
        <v>105</v>
      </c>
      <c r="R1030" s="350">
        <f t="shared" si="182"/>
        <v>4456</v>
      </c>
      <c r="S1030" s="348">
        <f t="shared" si="183"/>
        <v>132</v>
      </c>
      <c r="T1030" s="399">
        <f>SUM(G1025:G1030)</f>
        <v>0</v>
      </c>
      <c r="U1030" s="399">
        <f>SUM(K1025:K1030)</f>
        <v>29</v>
      </c>
      <c r="V1030" s="399">
        <f>SUM(O1025:O1030)</f>
        <v>29</v>
      </c>
      <c r="W1030" s="399">
        <f>SUM(Q1025:Q1030)</f>
        <v>1028</v>
      </c>
      <c r="X1030" s="399">
        <f>T1030+U1030+V1030+W1030</f>
        <v>1086</v>
      </c>
    </row>
    <row r="1031" spans="1:24" ht="12.75">
      <c r="A1031" s="220"/>
      <c r="B1031" s="221"/>
      <c r="C1031" s="221"/>
      <c r="D1031" s="221"/>
      <c r="E1031" s="221"/>
      <c r="F1031" s="353"/>
      <c r="G1031" s="353"/>
      <c r="H1031" s="354"/>
      <c r="I1031" s="353"/>
      <c r="J1031" s="353"/>
      <c r="K1031" s="353"/>
      <c r="L1031" s="353"/>
      <c r="M1031" s="353"/>
      <c r="N1031" s="353"/>
      <c r="O1031" s="353"/>
      <c r="P1031" s="353"/>
      <c r="Q1031" s="354"/>
      <c r="R1031" s="182"/>
      <c r="S1031" s="361" t="s">
        <v>783</v>
      </c>
      <c r="T1031" s="356">
        <f t="shared" ref="T1031:X1031" si="184">SUM(T1012:T1030)</f>
        <v>41</v>
      </c>
      <c r="U1031" s="356">
        <f t="shared" si="184"/>
        <v>67</v>
      </c>
      <c r="V1031" s="356">
        <f t="shared" si="184"/>
        <v>275</v>
      </c>
      <c r="W1031" s="356">
        <f t="shared" si="184"/>
        <v>3078</v>
      </c>
      <c r="X1031" s="356">
        <f t="shared" si="184"/>
        <v>3461</v>
      </c>
    </row>
    <row r="1032" spans="1:24" ht="12.75">
      <c r="A1032" s="220"/>
      <c r="B1032" s="221"/>
      <c r="C1032" s="221"/>
      <c r="D1032" s="221"/>
      <c r="E1032" s="221"/>
      <c r="F1032" s="353"/>
      <c r="G1032" s="353"/>
      <c r="H1032" s="354"/>
      <c r="I1032" s="353"/>
      <c r="J1032" s="353"/>
      <c r="K1032" s="353"/>
      <c r="L1032" s="353"/>
      <c r="M1032" s="353"/>
      <c r="N1032" s="353"/>
      <c r="O1032" s="353"/>
      <c r="P1032" s="353"/>
      <c r="Q1032" s="354"/>
      <c r="R1032" s="182"/>
      <c r="S1032" s="362"/>
      <c r="T1032" s="92"/>
      <c r="U1032" s="92"/>
      <c r="V1032" s="92"/>
      <c r="W1032" s="92"/>
      <c r="X1032" s="92"/>
    </row>
    <row r="1033" spans="1:24" ht="12.75">
      <c r="A1033" s="346" t="s">
        <v>460</v>
      </c>
      <c r="B1033" s="347" t="s">
        <v>162</v>
      </c>
      <c r="C1033" s="347" t="s">
        <v>785</v>
      </c>
      <c r="D1033" s="347">
        <v>2019</v>
      </c>
      <c r="E1033" s="347" t="s">
        <v>775</v>
      </c>
      <c r="F1033" s="348">
        <v>1</v>
      </c>
      <c r="G1033" s="348">
        <v>0</v>
      </c>
      <c r="H1033" s="348">
        <v>0</v>
      </c>
      <c r="I1033" s="348">
        <v>0</v>
      </c>
      <c r="J1033" s="348">
        <v>1</v>
      </c>
      <c r="K1033" s="348">
        <v>1</v>
      </c>
      <c r="L1033" s="348">
        <v>0</v>
      </c>
      <c r="M1033" s="348">
        <v>1</v>
      </c>
      <c r="N1033" s="348">
        <v>1</v>
      </c>
      <c r="O1033" s="348">
        <v>0</v>
      </c>
      <c r="P1033" s="348">
        <v>2</v>
      </c>
      <c r="Q1033" s="348">
        <v>0</v>
      </c>
      <c r="R1033" s="350">
        <f t="shared" ref="R1033:R1034" si="185">F1033+J1033+N1033+P1033</f>
        <v>5</v>
      </c>
      <c r="S1033" s="348">
        <f t="shared" ref="S1033:S1034" si="186">K1033+O1033+G1033+Q1033</f>
        <v>1</v>
      </c>
      <c r="T1033" s="348"/>
      <c r="U1033" s="348"/>
      <c r="V1033" s="348"/>
      <c r="W1033" s="350"/>
      <c r="X1033" s="350"/>
    </row>
    <row r="1034" spans="1:24" ht="12.75">
      <c r="A1034" s="346" t="s">
        <v>461</v>
      </c>
      <c r="B1034" s="347" t="s">
        <v>162</v>
      </c>
      <c r="C1034" s="347" t="s">
        <v>785</v>
      </c>
      <c r="D1034" s="347">
        <v>2019</v>
      </c>
      <c r="E1034" s="347" t="s">
        <v>775</v>
      </c>
      <c r="F1034" s="348">
        <v>2</v>
      </c>
      <c r="G1034" s="348">
        <v>0</v>
      </c>
      <c r="H1034" s="348">
        <v>0</v>
      </c>
      <c r="I1034" s="348">
        <v>0</v>
      </c>
      <c r="J1034" s="348">
        <v>2</v>
      </c>
      <c r="K1034" s="348">
        <v>1</v>
      </c>
      <c r="L1034" s="348">
        <v>0</v>
      </c>
      <c r="M1034" s="348">
        <v>1</v>
      </c>
      <c r="N1034" s="348">
        <v>1</v>
      </c>
      <c r="O1034" s="348">
        <v>4</v>
      </c>
      <c r="P1034" s="348">
        <v>5</v>
      </c>
      <c r="Q1034" s="348">
        <v>0</v>
      </c>
      <c r="R1034" s="350">
        <f t="shared" si="185"/>
        <v>10</v>
      </c>
      <c r="S1034" s="348">
        <f t="shared" si="186"/>
        <v>5</v>
      </c>
      <c r="T1034" s="373">
        <f>SUM(G1033:G1034)</f>
        <v>0</v>
      </c>
      <c r="U1034" s="373">
        <f>SUM(K1033:K1034)</f>
        <v>2</v>
      </c>
      <c r="V1034" s="373">
        <f>SUM(O1033:O1034)</f>
        <v>4</v>
      </c>
      <c r="W1034" s="373">
        <f>SUM(Q1033:Q1034)</f>
        <v>0</v>
      </c>
      <c r="X1034" s="373">
        <f>T1034+U1034+V1034+W1034</f>
        <v>6</v>
      </c>
    </row>
    <row r="1035" spans="1:24" ht="12.75">
      <c r="A1035" s="220"/>
      <c r="B1035" s="221"/>
      <c r="C1035" s="221"/>
      <c r="D1035" s="221"/>
      <c r="E1035" s="221"/>
      <c r="F1035" s="353"/>
      <c r="G1035" s="353"/>
      <c r="H1035" s="354"/>
      <c r="I1035" s="353"/>
      <c r="J1035" s="353"/>
      <c r="K1035" s="353"/>
      <c r="L1035" s="353"/>
      <c r="M1035" s="353"/>
      <c r="N1035" s="353"/>
      <c r="O1035" s="353"/>
      <c r="P1035" s="353"/>
      <c r="Q1035" s="354"/>
      <c r="R1035" s="182"/>
      <c r="S1035" s="362"/>
      <c r="T1035" s="92"/>
      <c r="U1035" s="92"/>
      <c r="V1035" s="92"/>
      <c r="W1035" s="92"/>
      <c r="X1035" s="92"/>
    </row>
    <row r="1036" spans="1:24" ht="12.75">
      <c r="A1036" s="417" t="s">
        <v>462</v>
      </c>
      <c r="B1036" s="418" t="s">
        <v>163</v>
      </c>
      <c r="C1036" s="418" t="s">
        <v>784</v>
      </c>
      <c r="D1036" s="418">
        <v>2014</v>
      </c>
      <c r="E1036" s="418" t="s">
        <v>775</v>
      </c>
      <c r="F1036" s="419">
        <v>17</v>
      </c>
      <c r="G1036" s="419">
        <v>0</v>
      </c>
      <c r="H1036" s="420">
        <v>0</v>
      </c>
      <c r="I1036" s="419">
        <v>0</v>
      </c>
      <c r="J1036" s="419">
        <v>12</v>
      </c>
      <c r="K1036" s="419">
        <v>0</v>
      </c>
      <c r="L1036" s="419">
        <v>0</v>
      </c>
      <c r="M1036" s="419">
        <v>0</v>
      </c>
      <c r="N1036" s="419">
        <v>14</v>
      </c>
      <c r="O1036" s="419">
        <v>0</v>
      </c>
      <c r="P1036" s="419">
        <v>31</v>
      </c>
      <c r="Q1036" s="420">
        <v>12</v>
      </c>
      <c r="R1036" s="311">
        <f t="shared" ref="R1036:R1047" si="187">F1036+J1036+N1036+P1036</f>
        <v>74</v>
      </c>
      <c r="S1036" s="363">
        <f t="shared" ref="S1036:S1047" si="188">K1036+O1036+G1036+Q1036</f>
        <v>12</v>
      </c>
      <c r="T1036" s="421"/>
      <c r="U1036" s="421"/>
      <c r="V1036" s="421"/>
      <c r="W1036" s="421"/>
      <c r="X1036" s="421"/>
    </row>
    <row r="1037" spans="1:24" ht="12.75">
      <c r="A1037" s="417" t="s">
        <v>463</v>
      </c>
      <c r="B1037" s="418" t="s">
        <v>163</v>
      </c>
      <c r="C1037" s="418" t="s">
        <v>784</v>
      </c>
      <c r="D1037" s="418">
        <v>2014</v>
      </c>
      <c r="E1037" s="418" t="s">
        <v>775</v>
      </c>
      <c r="F1037" s="419">
        <v>11</v>
      </c>
      <c r="G1037" s="419">
        <v>0</v>
      </c>
      <c r="H1037" s="420">
        <v>0</v>
      </c>
      <c r="I1037" s="419">
        <v>0</v>
      </c>
      <c r="J1037" s="419">
        <v>7</v>
      </c>
      <c r="K1037" s="419">
        <v>0</v>
      </c>
      <c r="L1037" s="419">
        <v>0</v>
      </c>
      <c r="M1037" s="419">
        <v>0</v>
      </c>
      <c r="N1037" s="419">
        <v>9</v>
      </c>
      <c r="O1037" s="419">
        <v>9</v>
      </c>
      <c r="P1037" s="419">
        <v>19</v>
      </c>
      <c r="Q1037" s="420">
        <v>4</v>
      </c>
      <c r="R1037" s="311">
        <f t="shared" si="187"/>
        <v>46</v>
      </c>
      <c r="S1037" s="363">
        <f t="shared" si="188"/>
        <v>13</v>
      </c>
      <c r="T1037" s="411">
        <f>SUM(G1036:G1037)</f>
        <v>0</v>
      </c>
      <c r="U1037" s="411">
        <f>SUM(K1036:K1037)</f>
        <v>0</v>
      </c>
      <c r="V1037" s="411">
        <f>SUM(O1036:O1037)</f>
        <v>9</v>
      </c>
      <c r="W1037" s="411">
        <f>SUM(Q1036:Q1037)</f>
        <v>16</v>
      </c>
      <c r="X1037" s="411">
        <f>T1037+U1037+V1037+W1037</f>
        <v>25</v>
      </c>
    </row>
    <row r="1038" spans="1:24" ht="12.75">
      <c r="A1038" s="422" t="s">
        <v>462</v>
      </c>
      <c r="B1038" s="423" t="s">
        <v>163</v>
      </c>
      <c r="C1038" s="423" t="s">
        <v>784</v>
      </c>
      <c r="D1038" s="423">
        <v>2015</v>
      </c>
      <c r="E1038" s="423" t="s">
        <v>775</v>
      </c>
      <c r="F1038" s="424">
        <v>17</v>
      </c>
      <c r="G1038" s="424">
        <v>0</v>
      </c>
      <c r="H1038" s="425">
        <v>0</v>
      </c>
      <c r="I1038" s="424">
        <v>0</v>
      </c>
      <c r="J1038" s="424">
        <v>12</v>
      </c>
      <c r="K1038" s="424">
        <v>0</v>
      </c>
      <c r="L1038" s="424">
        <v>0</v>
      </c>
      <c r="M1038" s="424">
        <v>0</v>
      </c>
      <c r="N1038" s="424">
        <v>14</v>
      </c>
      <c r="O1038" s="424">
        <v>0</v>
      </c>
      <c r="P1038" s="424">
        <v>31</v>
      </c>
      <c r="Q1038" s="425">
        <v>22</v>
      </c>
      <c r="R1038" s="319">
        <f t="shared" si="187"/>
        <v>74</v>
      </c>
      <c r="S1038" s="364">
        <f t="shared" si="188"/>
        <v>22</v>
      </c>
      <c r="T1038" s="426"/>
      <c r="U1038" s="426"/>
      <c r="V1038" s="426"/>
      <c r="W1038" s="426"/>
      <c r="X1038" s="426"/>
    </row>
    <row r="1039" spans="1:24" ht="12.75">
      <c r="A1039" s="422" t="s">
        <v>463</v>
      </c>
      <c r="B1039" s="423" t="s">
        <v>163</v>
      </c>
      <c r="C1039" s="423" t="s">
        <v>784</v>
      </c>
      <c r="D1039" s="423">
        <v>2015</v>
      </c>
      <c r="E1039" s="423" t="s">
        <v>775</v>
      </c>
      <c r="F1039" s="424">
        <v>11</v>
      </c>
      <c r="G1039" s="424">
        <v>0</v>
      </c>
      <c r="H1039" s="425">
        <v>0</v>
      </c>
      <c r="I1039" s="424">
        <v>0</v>
      </c>
      <c r="J1039" s="424">
        <v>7</v>
      </c>
      <c r="K1039" s="424">
        <v>2</v>
      </c>
      <c r="L1039" s="424">
        <v>0</v>
      </c>
      <c r="M1039" s="424">
        <v>2</v>
      </c>
      <c r="N1039" s="424">
        <v>9</v>
      </c>
      <c r="O1039" s="424">
        <v>10</v>
      </c>
      <c r="P1039" s="424">
        <v>19</v>
      </c>
      <c r="Q1039" s="425">
        <v>14</v>
      </c>
      <c r="R1039" s="319">
        <f t="shared" si="187"/>
        <v>46</v>
      </c>
      <c r="S1039" s="364">
        <f t="shared" si="188"/>
        <v>26</v>
      </c>
      <c r="T1039" s="427">
        <f>SUM(G1038:G1039)</f>
        <v>0</v>
      </c>
      <c r="U1039" s="427">
        <f>SUM(K1038:K1039)</f>
        <v>2</v>
      </c>
      <c r="V1039" s="427">
        <f>SUM(O1038:O1039)</f>
        <v>10</v>
      </c>
      <c r="W1039" s="427">
        <f>SUM(Q1038:Q1039)</f>
        <v>36</v>
      </c>
      <c r="X1039" s="427">
        <f>T1039+U1039+V1039+W1039</f>
        <v>48</v>
      </c>
    </row>
    <row r="1040" spans="1:24" ht="12.75">
      <c r="A1040" s="428" t="s">
        <v>462</v>
      </c>
      <c r="B1040" s="429" t="s">
        <v>163</v>
      </c>
      <c r="C1040" s="429" t="s">
        <v>784</v>
      </c>
      <c r="D1040" s="429">
        <v>2016</v>
      </c>
      <c r="E1040" s="429" t="s">
        <v>775</v>
      </c>
      <c r="F1040" s="430">
        <v>17</v>
      </c>
      <c r="G1040" s="430">
        <v>0</v>
      </c>
      <c r="H1040" s="431">
        <v>0</v>
      </c>
      <c r="I1040" s="430">
        <v>0</v>
      </c>
      <c r="J1040" s="430">
        <v>12</v>
      </c>
      <c r="K1040" s="430">
        <v>0</v>
      </c>
      <c r="L1040" s="430">
        <v>0</v>
      </c>
      <c r="M1040" s="430">
        <v>0</v>
      </c>
      <c r="N1040" s="430">
        <v>14</v>
      </c>
      <c r="O1040" s="430">
        <v>0</v>
      </c>
      <c r="P1040" s="430">
        <v>31</v>
      </c>
      <c r="Q1040" s="431">
        <v>23</v>
      </c>
      <c r="R1040" s="328">
        <f t="shared" si="187"/>
        <v>74</v>
      </c>
      <c r="S1040" s="365">
        <f t="shared" si="188"/>
        <v>23</v>
      </c>
      <c r="T1040" s="432"/>
      <c r="U1040" s="432"/>
      <c r="V1040" s="432"/>
      <c r="W1040" s="432"/>
      <c r="X1040" s="432"/>
    </row>
    <row r="1041" spans="1:24" ht="12.75">
      <c r="A1041" s="428" t="s">
        <v>463</v>
      </c>
      <c r="B1041" s="429" t="s">
        <v>163</v>
      </c>
      <c r="C1041" s="429" t="s">
        <v>784</v>
      </c>
      <c r="D1041" s="429">
        <v>2016</v>
      </c>
      <c r="E1041" s="429" t="s">
        <v>775</v>
      </c>
      <c r="F1041" s="430">
        <v>11</v>
      </c>
      <c r="G1041" s="430">
        <v>0</v>
      </c>
      <c r="H1041" s="431">
        <v>0</v>
      </c>
      <c r="I1041" s="430">
        <v>0</v>
      </c>
      <c r="J1041" s="430">
        <v>7</v>
      </c>
      <c r="K1041" s="430">
        <v>5</v>
      </c>
      <c r="L1041" s="430">
        <v>0</v>
      </c>
      <c r="M1041" s="430">
        <v>5</v>
      </c>
      <c r="N1041" s="430">
        <v>9</v>
      </c>
      <c r="O1041" s="430">
        <v>12</v>
      </c>
      <c r="P1041" s="430">
        <v>19</v>
      </c>
      <c r="Q1041" s="431">
        <v>9</v>
      </c>
      <c r="R1041" s="328">
        <f t="shared" si="187"/>
        <v>46</v>
      </c>
      <c r="S1041" s="365">
        <f t="shared" si="188"/>
        <v>26</v>
      </c>
      <c r="T1041" s="413">
        <f>SUM(G1040:G1041)</f>
        <v>0</v>
      </c>
      <c r="U1041" s="413">
        <f>SUM(K1040:K1041)</f>
        <v>5</v>
      </c>
      <c r="V1041" s="413">
        <f>SUM(O1040:O1041)</f>
        <v>12</v>
      </c>
      <c r="W1041" s="413">
        <f>SUM(Q1040:Q1041)</f>
        <v>32</v>
      </c>
      <c r="X1041" s="413">
        <f>T1041+U1041+V1041+W1041</f>
        <v>49</v>
      </c>
    </row>
    <row r="1042" spans="1:24" ht="12.75">
      <c r="A1042" s="433" t="s">
        <v>462</v>
      </c>
      <c r="B1042" s="434" t="s">
        <v>163</v>
      </c>
      <c r="C1042" s="434" t="s">
        <v>784</v>
      </c>
      <c r="D1042" s="434">
        <v>2017</v>
      </c>
      <c r="E1042" s="434" t="s">
        <v>775</v>
      </c>
      <c r="F1042" s="435">
        <v>17</v>
      </c>
      <c r="G1042" s="435">
        <v>0</v>
      </c>
      <c r="H1042" s="436">
        <v>0</v>
      </c>
      <c r="I1042" s="435">
        <v>0</v>
      </c>
      <c r="J1042" s="435">
        <v>12</v>
      </c>
      <c r="K1042" s="435">
        <v>0</v>
      </c>
      <c r="L1042" s="435">
        <v>0</v>
      </c>
      <c r="M1042" s="435">
        <v>0</v>
      </c>
      <c r="N1042" s="435">
        <v>14</v>
      </c>
      <c r="O1042" s="435">
        <v>0</v>
      </c>
      <c r="P1042" s="435">
        <v>31</v>
      </c>
      <c r="Q1042" s="436">
        <v>14</v>
      </c>
      <c r="R1042" s="336">
        <f t="shared" si="187"/>
        <v>74</v>
      </c>
      <c r="S1042" s="366">
        <f t="shared" si="188"/>
        <v>14</v>
      </c>
      <c r="T1042" s="437"/>
      <c r="U1042" s="437"/>
      <c r="V1042" s="437"/>
      <c r="W1042" s="437"/>
      <c r="X1042" s="437"/>
    </row>
    <row r="1043" spans="1:24" ht="12.75">
      <c r="A1043" s="433" t="s">
        <v>463</v>
      </c>
      <c r="B1043" s="434" t="s">
        <v>163</v>
      </c>
      <c r="C1043" s="434" t="s">
        <v>784</v>
      </c>
      <c r="D1043" s="434">
        <v>2017</v>
      </c>
      <c r="E1043" s="434" t="s">
        <v>775</v>
      </c>
      <c r="F1043" s="435">
        <v>11</v>
      </c>
      <c r="G1043" s="435">
        <v>0</v>
      </c>
      <c r="H1043" s="436">
        <v>0</v>
      </c>
      <c r="I1043" s="435">
        <v>0</v>
      </c>
      <c r="J1043" s="435">
        <v>7</v>
      </c>
      <c r="K1043" s="435">
        <v>6</v>
      </c>
      <c r="L1043" s="435">
        <v>0</v>
      </c>
      <c r="M1043" s="435">
        <v>6</v>
      </c>
      <c r="N1043" s="435">
        <v>9</v>
      </c>
      <c r="O1043" s="435">
        <v>13</v>
      </c>
      <c r="P1043" s="435">
        <v>19</v>
      </c>
      <c r="Q1043" s="436">
        <v>10</v>
      </c>
      <c r="R1043" s="336">
        <f t="shared" si="187"/>
        <v>46</v>
      </c>
      <c r="S1043" s="366">
        <f t="shared" si="188"/>
        <v>29</v>
      </c>
      <c r="T1043" s="414">
        <f>SUM(G1042:G1043)</f>
        <v>0</v>
      </c>
      <c r="U1043" s="414">
        <f>SUM(K1042:K1043)</f>
        <v>6</v>
      </c>
      <c r="V1043" s="414">
        <f>SUM(O1042:O1043)</f>
        <v>13</v>
      </c>
      <c r="W1043" s="414">
        <f>SUM(Q1042:Q1043)</f>
        <v>24</v>
      </c>
      <c r="X1043" s="414">
        <f>T1043+U1043+V1043+W1043</f>
        <v>43</v>
      </c>
    </row>
    <row r="1044" spans="1:24" ht="12.75">
      <c r="A1044" s="438" t="s">
        <v>462</v>
      </c>
      <c r="B1044" s="439" t="s">
        <v>163</v>
      </c>
      <c r="C1044" s="439" t="s">
        <v>784</v>
      </c>
      <c r="D1044" s="439">
        <v>2018</v>
      </c>
      <c r="E1044" s="439" t="s">
        <v>775</v>
      </c>
      <c r="F1044" s="440">
        <v>17</v>
      </c>
      <c r="G1044" s="441">
        <v>0</v>
      </c>
      <c r="H1044" s="440">
        <v>0</v>
      </c>
      <c r="I1044" s="440">
        <v>0</v>
      </c>
      <c r="J1044" s="440">
        <v>12</v>
      </c>
      <c r="K1044" s="441">
        <v>0</v>
      </c>
      <c r="L1044" s="440">
        <v>0</v>
      </c>
      <c r="M1044" s="440">
        <v>0</v>
      </c>
      <c r="N1044" s="440">
        <v>14</v>
      </c>
      <c r="O1044" s="440">
        <v>0</v>
      </c>
      <c r="P1044" s="440">
        <v>31</v>
      </c>
      <c r="Q1044" s="440">
        <v>38</v>
      </c>
      <c r="R1044" s="344">
        <f t="shared" si="187"/>
        <v>74</v>
      </c>
      <c r="S1044" s="367">
        <f t="shared" si="188"/>
        <v>38</v>
      </c>
      <c r="T1044" s="442"/>
      <c r="U1044" s="442"/>
      <c r="V1044" s="442"/>
      <c r="W1044" s="442"/>
      <c r="X1044" s="442"/>
    </row>
    <row r="1045" spans="1:24" ht="12.75">
      <c r="A1045" s="438" t="s">
        <v>463</v>
      </c>
      <c r="B1045" s="439" t="s">
        <v>163</v>
      </c>
      <c r="C1045" s="439" t="s">
        <v>784</v>
      </c>
      <c r="D1045" s="439">
        <v>2018</v>
      </c>
      <c r="E1045" s="439" t="s">
        <v>775</v>
      </c>
      <c r="F1045" s="440">
        <v>11</v>
      </c>
      <c r="G1045" s="441">
        <v>0</v>
      </c>
      <c r="H1045" s="440">
        <v>0</v>
      </c>
      <c r="I1045" s="440">
        <v>0</v>
      </c>
      <c r="J1045" s="440">
        <v>7</v>
      </c>
      <c r="K1045" s="441">
        <v>9</v>
      </c>
      <c r="L1045" s="440">
        <v>0</v>
      </c>
      <c r="M1045" s="440">
        <v>9</v>
      </c>
      <c r="N1045" s="440">
        <v>9</v>
      </c>
      <c r="O1045" s="440">
        <v>11</v>
      </c>
      <c r="P1045" s="440">
        <v>19</v>
      </c>
      <c r="Q1045" s="440">
        <v>7</v>
      </c>
      <c r="R1045" s="344">
        <f t="shared" si="187"/>
        <v>46</v>
      </c>
      <c r="S1045" s="367">
        <f t="shared" si="188"/>
        <v>27</v>
      </c>
      <c r="T1045" s="443">
        <f>SUM(G1044:G1045)</f>
        <v>0</v>
      </c>
      <c r="U1045" s="443">
        <f>SUM(K1044:K1045)</f>
        <v>9</v>
      </c>
      <c r="V1045" s="443">
        <f>SUM(O1044:O1045)</f>
        <v>11</v>
      </c>
      <c r="W1045" s="443">
        <f>SUM(Q1044:Q1045)</f>
        <v>45</v>
      </c>
      <c r="X1045" s="443">
        <f>T1045+U1045+V1045+W1045</f>
        <v>65</v>
      </c>
    </row>
    <row r="1046" spans="1:24" ht="12.75">
      <c r="A1046" s="346" t="s">
        <v>462</v>
      </c>
      <c r="B1046" s="347" t="s">
        <v>163</v>
      </c>
      <c r="C1046" s="347" t="s">
        <v>785</v>
      </c>
      <c r="D1046" s="347">
        <v>2019</v>
      </c>
      <c r="E1046" s="347" t="s">
        <v>775</v>
      </c>
      <c r="F1046" s="348">
        <v>17</v>
      </c>
      <c r="G1046" s="348">
        <v>0</v>
      </c>
      <c r="H1046" s="348">
        <v>0</v>
      </c>
      <c r="I1046" s="348">
        <v>0</v>
      </c>
      <c r="J1046" s="348">
        <v>12</v>
      </c>
      <c r="K1046" s="348">
        <v>0</v>
      </c>
      <c r="L1046" s="348">
        <v>0</v>
      </c>
      <c r="M1046" s="348">
        <v>0</v>
      </c>
      <c r="N1046" s="348">
        <v>14</v>
      </c>
      <c r="O1046" s="348">
        <v>0</v>
      </c>
      <c r="P1046" s="348">
        <v>31</v>
      </c>
      <c r="Q1046" s="348">
        <v>41</v>
      </c>
      <c r="R1046" s="350">
        <f t="shared" si="187"/>
        <v>74</v>
      </c>
      <c r="S1046" s="348">
        <f t="shared" si="188"/>
        <v>41</v>
      </c>
      <c r="T1046" s="348"/>
      <c r="U1046" s="348"/>
      <c r="V1046" s="348"/>
      <c r="W1046" s="349"/>
      <c r="X1046" s="349"/>
    </row>
    <row r="1047" spans="1:24" ht="12.75">
      <c r="A1047" s="346" t="s">
        <v>463</v>
      </c>
      <c r="B1047" s="347" t="s">
        <v>163</v>
      </c>
      <c r="C1047" s="347" t="s">
        <v>785</v>
      </c>
      <c r="D1047" s="347">
        <v>2019</v>
      </c>
      <c r="E1047" s="347" t="s">
        <v>775</v>
      </c>
      <c r="F1047" s="348">
        <v>11</v>
      </c>
      <c r="G1047" s="348">
        <v>0</v>
      </c>
      <c r="H1047" s="348">
        <v>0</v>
      </c>
      <c r="I1047" s="348">
        <v>0</v>
      </c>
      <c r="J1047" s="348">
        <v>7</v>
      </c>
      <c r="K1047" s="348">
        <v>7</v>
      </c>
      <c r="L1047" s="348">
        <v>0</v>
      </c>
      <c r="M1047" s="348">
        <v>7</v>
      </c>
      <c r="N1047" s="348">
        <v>9</v>
      </c>
      <c r="O1047" s="348">
        <v>7</v>
      </c>
      <c r="P1047" s="348">
        <v>19</v>
      </c>
      <c r="Q1047" s="348">
        <v>3</v>
      </c>
      <c r="R1047" s="350">
        <f t="shared" si="187"/>
        <v>46</v>
      </c>
      <c r="S1047" s="348">
        <f t="shared" si="188"/>
        <v>17</v>
      </c>
      <c r="T1047" s="410">
        <f>SUM(G1046:G1047)</f>
        <v>0</v>
      </c>
      <c r="U1047" s="410">
        <f>SUM(K1046:K1047)</f>
        <v>7</v>
      </c>
      <c r="V1047" s="410">
        <f>SUM(O1046:O1047)</f>
        <v>7</v>
      </c>
      <c r="W1047" s="410">
        <f>SUM(Q1046:Q1047)</f>
        <v>44</v>
      </c>
      <c r="X1047" s="410">
        <f>T1047+U1047+V1047+W1047</f>
        <v>58</v>
      </c>
    </row>
    <row r="1048" spans="1:24" ht="12.75">
      <c r="A1048" s="444"/>
      <c r="B1048" s="445"/>
      <c r="C1048" s="445"/>
      <c r="D1048" s="445"/>
      <c r="E1048" s="445"/>
      <c r="F1048" s="446"/>
      <c r="G1048" s="446"/>
      <c r="H1048" s="447"/>
      <c r="I1048" s="446"/>
      <c r="J1048" s="446"/>
      <c r="K1048" s="446"/>
      <c r="L1048" s="446"/>
      <c r="M1048" s="446"/>
      <c r="N1048" s="446"/>
      <c r="O1048" s="446"/>
      <c r="P1048" s="446"/>
      <c r="Q1048" s="447"/>
      <c r="R1048" s="393"/>
      <c r="S1048" s="361" t="s">
        <v>783</v>
      </c>
      <c r="T1048" s="448">
        <f t="shared" ref="T1048:X1048" si="189">SUM(T1036:T1047)</f>
        <v>0</v>
      </c>
      <c r="U1048" s="448">
        <f t="shared" si="189"/>
        <v>29</v>
      </c>
      <c r="V1048" s="448">
        <f t="shared" si="189"/>
        <v>62</v>
      </c>
      <c r="W1048" s="448">
        <f t="shared" si="189"/>
        <v>197</v>
      </c>
      <c r="X1048" s="448">
        <f t="shared" si="189"/>
        <v>288</v>
      </c>
    </row>
    <row r="1049" spans="1:24" ht="12.75">
      <c r="A1049" s="449"/>
      <c r="B1049" s="450"/>
      <c r="C1049" s="450"/>
      <c r="D1049" s="450"/>
      <c r="E1049" s="450"/>
      <c r="F1049" s="451"/>
      <c r="G1049" s="451"/>
      <c r="H1049" s="452"/>
      <c r="I1049" s="451"/>
      <c r="J1049" s="451"/>
      <c r="K1049" s="451"/>
      <c r="L1049" s="451"/>
      <c r="M1049" s="451"/>
      <c r="N1049" s="451"/>
      <c r="O1049" s="451"/>
      <c r="P1049" s="451"/>
      <c r="Q1049" s="452"/>
      <c r="R1049" s="182"/>
      <c r="S1049" s="362"/>
      <c r="T1049" s="97"/>
      <c r="U1049" s="97"/>
      <c r="V1049" s="97"/>
      <c r="W1049" s="97"/>
      <c r="X1049" s="97"/>
    </row>
    <row r="1050" spans="1:24" ht="12.75">
      <c r="A1050" s="422" t="s">
        <v>830</v>
      </c>
      <c r="B1050" s="423" t="s">
        <v>164</v>
      </c>
      <c r="C1050" s="423" t="s">
        <v>177</v>
      </c>
      <c r="D1050" s="423">
        <v>2015</v>
      </c>
      <c r="E1050" s="423" t="s">
        <v>775</v>
      </c>
      <c r="F1050" s="424">
        <v>71</v>
      </c>
      <c r="G1050" s="424">
        <v>0</v>
      </c>
      <c r="H1050" s="425">
        <v>0</v>
      </c>
      <c r="I1050" s="424">
        <v>0</v>
      </c>
      <c r="J1050" s="424">
        <v>46</v>
      </c>
      <c r="K1050" s="424">
        <v>0</v>
      </c>
      <c r="L1050" s="424">
        <v>0</v>
      </c>
      <c r="M1050" s="424">
        <v>0</v>
      </c>
      <c r="N1050" s="424">
        <v>53</v>
      </c>
      <c r="O1050" s="424">
        <v>0</v>
      </c>
      <c r="P1050" s="424">
        <v>123</v>
      </c>
      <c r="Q1050" s="425">
        <v>0</v>
      </c>
      <c r="R1050" s="319">
        <f t="shared" ref="R1050:R1096" si="190">F1050+J1050+N1050+P1050</f>
        <v>293</v>
      </c>
      <c r="S1050" s="364">
        <f t="shared" ref="S1050:S1096" si="191">K1050+O1050+G1050+Q1050</f>
        <v>0</v>
      </c>
      <c r="T1050" s="426"/>
      <c r="U1050" s="426"/>
      <c r="V1050" s="426"/>
      <c r="W1050" s="426"/>
      <c r="X1050" s="426"/>
    </row>
    <row r="1051" spans="1:24" ht="12.75">
      <c r="A1051" s="422" t="s">
        <v>831</v>
      </c>
      <c r="B1051" s="423" t="s">
        <v>164</v>
      </c>
      <c r="C1051" s="423" t="s">
        <v>177</v>
      </c>
      <c r="D1051" s="423">
        <v>2015</v>
      </c>
      <c r="E1051" s="423" t="s">
        <v>775</v>
      </c>
      <c r="F1051" s="424">
        <v>43</v>
      </c>
      <c r="G1051" s="424">
        <v>0</v>
      </c>
      <c r="H1051" s="425">
        <v>0</v>
      </c>
      <c r="I1051" s="424">
        <v>0</v>
      </c>
      <c r="J1051" s="424">
        <v>28</v>
      </c>
      <c r="K1051" s="424">
        <v>0</v>
      </c>
      <c r="L1051" s="424">
        <v>0</v>
      </c>
      <c r="M1051" s="424">
        <v>0</v>
      </c>
      <c r="N1051" s="424">
        <v>33</v>
      </c>
      <c r="O1051" s="424">
        <v>0</v>
      </c>
      <c r="P1051" s="424">
        <v>76</v>
      </c>
      <c r="Q1051" s="425">
        <v>25</v>
      </c>
      <c r="R1051" s="319">
        <f t="shared" si="190"/>
        <v>180</v>
      </c>
      <c r="S1051" s="364">
        <f t="shared" si="191"/>
        <v>25</v>
      </c>
      <c r="T1051" s="426"/>
      <c r="U1051" s="426"/>
      <c r="V1051" s="426"/>
      <c r="W1051" s="426"/>
      <c r="X1051" s="426"/>
    </row>
    <row r="1052" spans="1:24" ht="12.75">
      <c r="A1052" s="422" t="s">
        <v>832</v>
      </c>
      <c r="B1052" s="423" t="s">
        <v>164</v>
      </c>
      <c r="C1052" s="423" t="s">
        <v>177</v>
      </c>
      <c r="D1052" s="423">
        <v>2015</v>
      </c>
      <c r="E1052" s="423" t="s">
        <v>775</v>
      </c>
      <c r="F1052" s="424">
        <v>315</v>
      </c>
      <c r="G1052" s="424">
        <v>0</v>
      </c>
      <c r="H1052" s="425">
        <v>0</v>
      </c>
      <c r="I1052" s="424">
        <v>0</v>
      </c>
      <c r="J1052" s="424">
        <v>206</v>
      </c>
      <c r="K1052" s="424">
        <v>0</v>
      </c>
      <c r="L1052" s="424">
        <v>0</v>
      </c>
      <c r="M1052" s="424">
        <v>0</v>
      </c>
      <c r="N1052" s="424">
        <v>239</v>
      </c>
      <c r="O1052" s="424">
        <v>0</v>
      </c>
      <c r="P1052" s="424">
        <v>548</v>
      </c>
      <c r="Q1052" s="425">
        <v>61</v>
      </c>
      <c r="R1052" s="319">
        <f t="shared" si="190"/>
        <v>1308</v>
      </c>
      <c r="S1052" s="364">
        <f t="shared" si="191"/>
        <v>61</v>
      </c>
      <c r="T1052" s="426"/>
      <c r="U1052" s="426"/>
      <c r="V1052" s="426"/>
      <c r="W1052" s="426"/>
      <c r="X1052" s="426"/>
    </row>
    <row r="1053" spans="1:24" ht="12.75">
      <c r="A1053" s="422" t="s">
        <v>833</v>
      </c>
      <c r="B1053" s="423" t="s">
        <v>164</v>
      </c>
      <c r="C1053" s="423" t="s">
        <v>177</v>
      </c>
      <c r="D1053" s="423">
        <v>2015</v>
      </c>
      <c r="E1053" s="423" t="s">
        <v>775</v>
      </c>
      <c r="F1053" s="424">
        <v>157</v>
      </c>
      <c r="G1053" s="424">
        <v>0</v>
      </c>
      <c r="H1053" s="425">
        <v>0</v>
      </c>
      <c r="I1053" s="424">
        <v>0</v>
      </c>
      <c r="J1053" s="424">
        <v>102</v>
      </c>
      <c r="K1053" s="424">
        <v>0</v>
      </c>
      <c r="L1053" s="424">
        <v>0</v>
      </c>
      <c r="M1053" s="424">
        <v>0</v>
      </c>
      <c r="N1053" s="424">
        <v>119</v>
      </c>
      <c r="O1053" s="424">
        <v>2</v>
      </c>
      <c r="P1053" s="424">
        <v>272</v>
      </c>
      <c r="Q1053" s="425">
        <v>55</v>
      </c>
      <c r="R1053" s="319">
        <f t="shared" si="190"/>
        <v>650</v>
      </c>
      <c r="S1053" s="364">
        <f t="shared" si="191"/>
        <v>57</v>
      </c>
      <c r="T1053" s="426"/>
      <c r="U1053" s="426"/>
      <c r="V1053" s="426"/>
      <c r="W1053" s="426"/>
      <c r="X1053" s="426"/>
    </row>
    <row r="1054" spans="1:24" ht="12.75">
      <c r="A1054" s="422" t="s">
        <v>834</v>
      </c>
      <c r="B1054" s="423" t="s">
        <v>164</v>
      </c>
      <c r="C1054" s="423" t="s">
        <v>177</v>
      </c>
      <c r="D1054" s="423">
        <v>2015</v>
      </c>
      <c r="E1054" s="423" t="s">
        <v>775</v>
      </c>
      <c r="F1054" s="424">
        <v>374</v>
      </c>
      <c r="G1054" s="424">
        <v>137</v>
      </c>
      <c r="H1054" s="425">
        <v>37</v>
      </c>
      <c r="I1054" s="424">
        <v>100</v>
      </c>
      <c r="J1054" s="424">
        <v>244</v>
      </c>
      <c r="K1054" s="424">
        <v>6</v>
      </c>
      <c r="L1054" s="424">
        <v>6</v>
      </c>
      <c r="M1054" s="424">
        <v>0</v>
      </c>
      <c r="N1054" s="424">
        <v>282</v>
      </c>
      <c r="O1054" s="424">
        <v>0</v>
      </c>
      <c r="P1054" s="424">
        <v>651</v>
      </c>
      <c r="Q1054" s="425">
        <v>189</v>
      </c>
      <c r="R1054" s="319">
        <f t="shared" si="190"/>
        <v>1551</v>
      </c>
      <c r="S1054" s="364">
        <f t="shared" si="191"/>
        <v>332</v>
      </c>
      <c r="T1054" s="319"/>
      <c r="U1054" s="426"/>
      <c r="V1054" s="426"/>
      <c r="W1054" s="426"/>
      <c r="X1054" s="426"/>
    </row>
    <row r="1055" spans="1:24" ht="12.75">
      <c r="A1055" s="422" t="s">
        <v>835</v>
      </c>
      <c r="B1055" s="423" t="s">
        <v>164</v>
      </c>
      <c r="C1055" s="423" t="s">
        <v>177</v>
      </c>
      <c r="D1055" s="423">
        <v>2015</v>
      </c>
      <c r="E1055" s="423" t="s">
        <v>775</v>
      </c>
      <c r="F1055" s="424">
        <v>28</v>
      </c>
      <c r="G1055" s="424">
        <v>0</v>
      </c>
      <c r="H1055" s="425">
        <v>0</v>
      </c>
      <c r="I1055" s="424">
        <v>0</v>
      </c>
      <c r="J1055" s="424">
        <v>18</v>
      </c>
      <c r="K1055" s="424">
        <v>0</v>
      </c>
      <c r="L1055" s="424">
        <v>0</v>
      </c>
      <c r="M1055" s="424">
        <v>0</v>
      </c>
      <c r="N1055" s="424">
        <v>21</v>
      </c>
      <c r="O1055" s="424">
        <v>0</v>
      </c>
      <c r="P1055" s="424">
        <v>48</v>
      </c>
      <c r="Q1055" s="425">
        <v>0</v>
      </c>
      <c r="R1055" s="319">
        <f t="shared" si="190"/>
        <v>115</v>
      </c>
      <c r="S1055" s="364">
        <f t="shared" si="191"/>
        <v>0</v>
      </c>
      <c r="T1055" s="426"/>
      <c r="U1055" s="426"/>
      <c r="V1055" s="426"/>
      <c r="W1055" s="426"/>
      <c r="X1055" s="426"/>
    </row>
    <row r="1056" spans="1:24" ht="12.75">
      <c r="A1056" s="422" t="s">
        <v>836</v>
      </c>
      <c r="B1056" s="423" t="s">
        <v>164</v>
      </c>
      <c r="C1056" s="423" t="s">
        <v>177</v>
      </c>
      <c r="D1056" s="423">
        <v>2015</v>
      </c>
      <c r="E1056" s="423" t="s">
        <v>775</v>
      </c>
      <c r="F1056" s="424">
        <v>537</v>
      </c>
      <c r="G1056" s="424">
        <v>0</v>
      </c>
      <c r="H1056" s="425">
        <v>0</v>
      </c>
      <c r="I1056" s="424">
        <v>0</v>
      </c>
      <c r="J1056" s="424">
        <v>351</v>
      </c>
      <c r="K1056" s="424">
        <v>0</v>
      </c>
      <c r="L1056" s="424">
        <v>0</v>
      </c>
      <c r="M1056" s="424">
        <v>0</v>
      </c>
      <c r="N1056" s="424">
        <v>407</v>
      </c>
      <c r="O1056" s="424">
        <v>0</v>
      </c>
      <c r="P1056" s="424">
        <v>934</v>
      </c>
      <c r="Q1056" s="425">
        <v>53</v>
      </c>
      <c r="R1056" s="319">
        <f t="shared" si="190"/>
        <v>2229</v>
      </c>
      <c r="S1056" s="364">
        <f t="shared" si="191"/>
        <v>53</v>
      </c>
      <c r="T1056" s="426"/>
      <c r="U1056" s="426"/>
      <c r="V1056" s="426"/>
      <c r="W1056" s="426"/>
      <c r="X1056" s="426"/>
    </row>
    <row r="1057" spans="1:24" ht="12.75">
      <c r="A1057" s="422" t="s">
        <v>837</v>
      </c>
      <c r="B1057" s="423" t="s">
        <v>164</v>
      </c>
      <c r="C1057" s="423" t="s">
        <v>177</v>
      </c>
      <c r="D1057" s="423">
        <v>2015</v>
      </c>
      <c r="E1057" s="423" t="s">
        <v>775</v>
      </c>
      <c r="F1057" s="424">
        <v>95</v>
      </c>
      <c r="G1057" s="424">
        <v>0</v>
      </c>
      <c r="H1057" s="425">
        <v>0</v>
      </c>
      <c r="I1057" s="424">
        <v>0</v>
      </c>
      <c r="J1057" s="424">
        <v>62</v>
      </c>
      <c r="K1057" s="424">
        <v>0</v>
      </c>
      <c r="L1057" s="424">
        <v>0</v>
      </c>
      <c r="M1057" s="424">
        <v>0</v>
      </c>
      <c r="N1057" s="424">
        <v>72</v>
      </c>
      <c r="O1057" s="424">
        <v>1</v>
      </c>
      <c r="P1057" s="424">
        <v>164</v>
      </c>
      <c r="Q1057" s="425">
        <v>0</v>
      </c>
      <c r="R1057" s="319">
        <f t="shared" si="190"/>
        <v>393</v>
      </c>
      <c r="S1057" s="364">
        <f t="shared" si="191"/>
        <v>1</v>
      </c>
      <c r="T1057" s="426"/>
      <c r="U1057" s="426"/>
      <c r="V1057" s="426"/>
      <c r="W1057" s="426"/>
      <c r="X1057" s="426"/>
    </row>
    <row r="1058" spans="1:24" ht="12.75">
      <c r="A1058" s="422" t="s">
        <v>838</v>
      </c>
      <c r="B1058" s="423" t="s">
        <v>164</v>
      </c>
      <c r="C1058" s="423" t="s">
        <v>177</v>
      </c>
      <c r="D1058" s="423">
        <v>2015</v>
      </c>
      <c r="E1058" s="423" t="s">
        <v>775</v>
      </c>
      <c r="F1058" s="424">
        <v>46</v>
      </c>
      <c r="G1058" s="424">
        <v>0</v>
      </c>
      <c r="H1058" s="425">
        <v>0</v>
      </c>
      <c r="I1058" s="424">
        <v>0</v>
      </c>
      <c r="J1058" s="424">
        <v>30</v>
      </c>
      <c r="K1058" s="424">
        <v>0</v>
      </c>
      <c r="L1058" s="424">
        <v>0</v>
      </c>
      <c r="M1058" s="424">
        <v>0</v>
      </c>
      <c r="N1058" s="424">
        <v>35</v>
      </c>
      <c r="O1058" s="424">
        <v>0</v>
      </c>
      <c r="P1058" s="424">
        <v>80</v>
      </c>
      <c r="Q1058" s="425">
        <v>3</v>
      </c>
      <c r="R1058" s="319">
        <f t="shared" si="190"/>
        <v>191</v>
      </c>
      <c r="S1058" s="364">
        <f t="shared" si="191"/>
        <v>3</v>
      </c>
      <c r="T1058" s="427">
        <f>SUM(G1050:G1058)</f>
        <v>137</v>
      </c>
      <c r="U1058" s="427">
        <f>SUM(K1050:K1058)</f>
        <v>6</v>
      </c>
      <c r="V1058" s="427">
        <f>SUM(O1050:O1058)</f>
        <v>3</v>
      </c>
      <c r="W1058" s="427">
        <f>SUM(Q1050:Q1058)</f>
        <v>386</v>
      </c>
      <c r="X1058" s="427">
        <f>T1058+U1058+V1058+W1058</f>
        <v>532</v>
      </c>
    </row>
    <row r="1059" spans="1:24" ht="12.75">
      <c r="A1059" s="428" t="s">
        <v>468</v>
      </c>
      <c r="B1059" s="429" t="s">
        <v>164</v>
      </c>
      <c r="C1059" s="429" t="s">
        <v>177</v>
      </c>
      <c r="D1059" s="429">
        <v>2016</v>
      </c>
      <c r="E1059" s="429" t="s">
        <v>775</v>
      </c>
      <c r="F1059" s="430">
        <v>43</v>
      </c>
      <c r="G1059" s="430">
        <v>0</v>
      </c>
      <c r="H1059" s="431">
        <v>0</v>
      </c>
      <c r="I1059" s="430">
        <v>0</v>
      </c>
      <c r="J1059" s="430">
        <v>28</v>
      </c>
      <c r="K1059" s="430">
        <v>4</v>
      </c>
      <c r="L1059" s="430">
        <v>4</v>
      </c>
      <c r="M1059" s="430">
        <v>0</v>
      </c>
      <c r="N1059" s="430">
        <v>33</v>
      </c>
      <c r="O1059" s="430">
        <v>1</v>
      </c>
      <c r="P1059" s="430">
        <v>76</v>
      </c>
      <c r="Q1059" s="431">
        <v>30</v>
      </c>
      <c r="R1059" s="328">
        <f t="shared" si="190"/>
        <v>180</v>
      </c>
      <c r="S1059" s="365">
        <f t="shared" si="191"/>
        <v>35</v>
      </c>
      <c r="T1059" s="432"/>
      <c r="U1059" s="432"/>
      <c r="V1059" s="432"/>
      <c r="W1059" s="432"/>
      <c r="X1059" s="432"/>
    </row>
    <row r="1060" spans="1:24" ht="12.75">
      <c r="A1060" s="428" t="s">
        <v>469</v>
      </c>
      <c r="B1060" s="429" t="s">
        <v>164</v>
      </c>
      <c r="C1060" s="429" t="s">
        <v>177</v>
      </c>
      <c r="D1060" s="429">
        <v>2016</v>
      </c>
      <c r="E1060" s="429" t="s">
        <v>775</v>
      </c>
      <c r="F1060" s="430">
        <v>315</v>
      </c>
      <c r="G1060" s="430">
        <v>0</v>
      </c>
      <c r="H1060" s="431">
        <v>0</v>
      </c>
      <c r="I1060" s="430">
        <v>0</v>
      </c>
      <c r="J1060" s="430">
        <v>206</v>
      </c>
      <c r="K1060" s="430">
        <v>0</v>
      </c>
      <c r="L1060" s="430">
        <v>0</v>
      </c>
      <c r="M1060" s="430">
        <v>0</v>
      </c>
      <c r="N1060" s="430">
        <v>239</v>
      </c>
      <c r="O1060" s="430">
        <v>0</v>
      </c>
      <c r="P1060" s="430">
        <v>548</v>
      </c>
      <c r="Q1060" s="431">
        <v>74</v>
      </c>
      <c r="R1060" s="328">
        <f t="shared" si="190"/>
        <v>1308</v>
      </c>
      <c r="S1060" s="365">
        <f t="shared" si="191"/>
        <v>74</v>
      </c>
      <c r="T1060" s="432"/>
      <c r="U1060" s="432"/>
      <c r="V1060" s="432"/>
      <c r="W1060" s="432"/>
      <c r="X1060" s="432"/>
    </row>
    <row r="1061" spans="1:24" ht="12.75">
      <c r="A1061" s="428" t="s">
        <v>164</v>
      </c>
      <c r="B1061" s="429" t="s">
        <v>164</v>
      </c>
      <c r="C1061" s="429" t="s">
        <v>177</v>
      </c>
      <c r="D1061" s="429">
        <v>2016</v>
      </c>
      <c r="E1061" s="429" t="s">
        <v>775</v>
      </c>
      <c r="F1061" s="430">
        <v>157</v>
      </c>
      <c r="G1061" s="430">
        <v>0</v>
      </c>
      <c r="H1061" s="431">
        <v>0</v>
      </c>
      <c r="I1061" s="430">
        <v>0</v>
      </c>
      <c r="J1061" s="430">
        <v>102</v>
      </c>
      <c r="K1061" s="430">
        <v>0</v>
      </c>
      <c r="L1061" s="430">
        <v>0</v>
      </c>
      <c r="M1061" s="430">
        <v>0</v>
      </c>
      <c r="N1061" s="430">
        <v>119</v>
      </c>
      <c r="O1061" s="430">
        <v>0</v>
      </c>
      <c r="P1061" s="430">
        <v>272</v>
      </c>
      <c r="Q1061" s="431">
        <v>2</v>
      </c>
      <c r="R1061" s="328">
        <f t="shared" si="190"/>
        <v>650</v>
      </c>
      <c r="S1061" s="365">
        <f t="shared" si="191"/>
        <v>2</v>
      </c>
      <c r="T1061" s="432"/>
      <c r="U1061" s="432"/>
      <c r="V1061" s="432"/>
      <c r="W1061" s="432"/>
      <c r="X1061" s="432"/>
    </row>
    <row r="1062" spans="1:24" ht="12.75">
      <c r="A1062" s="428" t="s">
        <v>470</v>
      </c>
      <c r="B1062" s="429" t="s">
        <v>164</v>
      </c>
      <c r="C1062" s="429" t="s">
        <v>177</v>
      </c>
      <c r="D1062" s="429">
        <v>2016</v>
      </c>
      <c r="E1062" s="429" t="s">
        <v>775</v>
      </c>
      <c r="F1062" s="430">
        <v>374</v>
      </c>
      <c r="G1062" s="430">
        <v>0</v>
      </c>
      <c r="H1062" s="431">
        <v>0</v>
      </c>
      <c r="I1062" s="430">
        <v>0</v>
      </c>
      <c r="J1062" s="430">
        <v>244</v>
      </c>
      <c r="K1062" s="430">
        <v>0</v>
      </c>
      <c r="L1062" s="430">
        <v>0</v>
      </c>
      <c r="M1062" s="430">
        <v>0</v>
      </c>
      <c r="N1062" s="430">
        <v>282</v>
      </c>
      <c r="O1062" s="430">
        <v>3</v>
      </c>
      <c r="P1062" s="430">
        <v>651</v>
      </c>
      <c r="Q1062" s="431">
        <v>260</v>
      </c>
      <c r="R1062" s="328">
        <f t="shared" si="190"/>
        <v>1551</v>
      </c>
      <c r="S1062" s="365">
        <f t="shared" si="191"/>
        <v>263</v>
      </c>
      <c r="T1062" s="432"/>
      <c r="U1062" s="432"/>
      <c r="V1062" s="432"/>
      <c r="W1062" s="432"/>
      <c r="X1062" s="432"/>
    </row>
    <row r="1063" spans="1:24" ht="12.75">
      <c r="A1063" s="428" t="s">
        <v>471</v>
      </c>
      <c r="B1063" s="429" t="s">
        <v>164</v>
      </c>
      <c r="C1063" s="429" t="s">
        <v>177</v>
      </c>
      <c r="D1063" s="429">
        <v>2016</v>
      </c>
      <c r="E1063" s="429" t="s">
        <v>775</v>
      </c>
      <c r="F1063" s="430">
        <v>28</v>
      </c>
      <c r="G1063" s="430">
        <v>0</v>
      </c>
      <c r="H1063" s="431">
        <v>0</v>
      </c>
      <c r="I1063" s="430">
        <v>0</v>
      </c>
      <c r="J1063" s="430">
        <v>18</v>
      </c>
      <c r="K1063" s="430">
        <v>0</v>
      </c>
      <c r="L1063" s="430">
        <v>0</v>
      </c>
      <c r="M1063" s="430">
        <v>0</v>
      </c>
      <c r="N1063" s="430">
        <v>21</v>
      </c>
      <c r="O1063" s="430">
        <v>0</v>
      </c>
      <c r="P1063" s="430">
        <v>48</v>
      </c>
      <c r="Q1063" s="431">
        <v>4</v>
      </c>
      <c r="R1063" s="328">
        <f t="shared" si="190"/>
        <v>115</v>
      </c>
      <c r="S1063" s="365">
        <f t="shared" si="191"/>
        <v>4</v>
      </c>
      <c r="T1063" s="432"/>
      <c r="U1063" s="432"/>
      <c r="V1063" s="432"/>
      <c r="W1063" s="432"/>
      <c r="X1063" s="432"/>
    </row>
    <row r="1064" spans="1:24" ht="12.75">
      <c r="A1064" s="428" t="s">
        <v>472</v>
      </c>
      <c r="B1064" s="429" t="s">
        <v>164</v>
      </c>
      <c r="C1064" s="429" t="s">
        <v>177</v>
      </c>
      <c r="D1064" s="429">
        <v>2016</v>
      </c>
      <c r="E1064" s="429" t="s">
        <v>775</v>
      </c>
      <c r="F1064" s="430">
        <v>537</v>
      </c>
      <c r="G1064" s="430">
        <v>24</v>
      </c>
      <c r="H1064" s="431">
        <v>24</v>
      </c>
      <c r="I1064" s="430">
        <v>0</v>
      </c>
      <c r="J1064" s="430">
        <v>351</v>
      </c>
      <c r="K1064" s="430">
        <v>16</v>
      </c>
      <c r="L1064" s="430">
        <v>16</v>
      </c>
      <c r="M1064" s="430">
        <v>0</v>
      </c>
      <c r="N1064" s="430">
        <v>407</v>
      </c>
      <c r="O1064" s="430">
        <v>1</v>
      </c>
      <c r="P1064" s="430">
        <v>934</v>
      </c>
      <c r="Q1064" s="431">
        <v>52</v>
      </c>
      <c r="R1064" s="328">
        <f t="shared" si="190"/>
        <v>2229</v>
      </c>
      <c r="S1064" s="365">
        <f t="shared" si="191"/>
        <v>93</v>
      </c>
      <c r="T1064" s="432"/>
      <c r="U1064" s="432"/>
      <c r="V1064" s="432"/>
      <c r="W1064" s="432"/>
      <c r="X1064" s="432"/>
    </row>
    <row r="1065" spans="1:24" ht="12.75">
      <c r="A1065" s="428" t="s">
        <v>474</v>
      </c>
      <c r="B1065" s="429" t="s">
        <v>164</v>
      </c>
      <c r="C1065" s="429" t="s">
        <v>177</v>
      </c>
      <c r="D1065" s="429">
        <v>2016</v>
      </c>
      <c r="E1065" s="429" t="s">
        <v>775</v>
      </c>
      <c r="F1065" s="430">
        <v>95</v>
      </c>
      <c r="G1065" s="430">
        <v>0</v>
      </c>
      <c r="H1065" s="431">
        <v>0</v>
      </c>
      <c r="I1065" s="430">
        <v>0</v>
      </c>
      <c r="J1065" s="430">
        <v>62</v>
      </c>
      <c r="K1065" s="430">
        <v>0</v>
      </c>
      <c r="L1065" s="430">
        <v>0</v>
      </c>
      <c r="M1065" s="430">
        <v>0</v>
      </c>
      <c r="N1065" s="430">
        <v>72</v>
      </c>
      <c r="O1065" s="430">
        <v>1</v>
      </c>
      <c r="P1065" s="430">
        <v>164</v>
      </c>
      <c r="Q1065" s="431">
        <v>0</v>
      </c>
      <c r="R1065" s="328">
        <f t="shared" si="190"/>
        <v>393</v>
      </c>
      <c r="S1065" s="365">
        <f t="shared" si="191"/>
        <v>1</v>
      </c>
      <c r="T1065" s="432"/>
      <c r="U1065" s="432"/>
      <c r="V1065" s="432"/>
      <c r="W1065" s="432"/>
      <c r="X1065" s="432"/>
    </row>
    <row r="1066" spans="1:24" ht="12.75">
      <c r="A1066" s="428" t="s">
        <v>475</v>
      </c>
      <c r="B1066" s="429" t="s">
        <v>164</v>
      </c>
      <c r="C1066" s="429" t="s">
        <v>177</v>
      </c>
      <c r="D1066" s="429">
        <v>2016</v>
      </c>
      <c r="E1066" s="429" t="s">
        <v>775</v>
      </c>
      <c r="F1066" s="430">
        <v>46</v>
      </c>
      <c r="G1066" s="430">
        <v>0</v>
      </c>
      <c r="H1066" s="431">
        <v>0</v>
      </c>
      <c r="I1066" s="430">
        <v>0</v>
      </c>
      <c r="J1066" s="430">
        <v>30</v>
      </c>
      <c r="K1066" s="430">
        <v>0</v>
      </c>
      <c r="L1066" s="430">
        <v>0</v>
      </c>
      <c r="M1066" s="430">
        <v>0</v>
      </c>
      <c r="N1066" s="430">
        <v>35</v>
      </c>
      <c r="O1066" s="430">
        <v>0</v>
      </c>
      <c r="P1066" s="430">
        <v>80</v>
      </c>
      <c r="Q1066" s="431">
        <v>83</v>
      </c>
      <c r="R1066" s="328">
        <f t="shared" si="190"/>
        <v>191</v>
      </c>
      <c r="S1066" s="365">
        <f t="shared" si="191"/>
        <v>83</v>
      </c>
      <c r="T1066" s="413">
        <f>SUM(G1059:G1066)</f>
        <v>24</v>
      </c>
      <c r="U1066" s="413">
        <f>SUM(K1059:K1066)</f>
        <v>20</v>
      </c>
      <c r="V1066" s="413">
        <f>SUM(O1059:O1066)</f>
        <v>6</v>
      </c>
      <c r="W1066" s="413">
        <f>SUM(Q1059:Q1066)</f>
        <v>505</v>
      </c>
      <c r="X1066" s="413">
        <f>T1066+U1066+V1066+W1066</f>
        <v>555</v>
      </c>
    </row>
    <row r="1067" spans="1:24" ht="12.75">
      <c r="A1067" s="433" t="s">
        <v>468</v>
      </c>
      <c r="B1067" s="453" t="s">
        <v>164</v>
      </c>
      <c r="C1067" s="434" t="s">
        <v>177</v>
      </c>
      <c r="D1067" s="434">
        <v>2017</v>
      </c>
      <c r="E1067" s="434" t="s">
        <v>775</v>
      </c>
      <c r="F1067" s="435">
        <v>43</v>
      </c>
      <c r="G1067" s="435">
        <v>0</v>
      </c>
      <c r="H1067" s="436">
        <v>0</v>
      </c>
      <c r="I1067" s="435">
        <v>0</v>
      </c>
      <c r="J1067" s="435">
        <v>28</v>
      </c>
      <c r="K1067" s="435">
        <v>2</v>
      </c>
      <c r="L1067" s="435">
        <v>2</v>
      </c>
      <c r="M1067" s="435">
        <v>0</v>
      </c>
      <c r="N1067" s="435">
        <v>33</v>
      </c>
      <c r="O1067" s="435">
        <v>5</v>
      </c>
      <c r="P1067" s="435">
        <v>76</v>
      </c>
      <c r="Q1067" s="436">
        <v>31</v>
      </c>
      <c r="R1067" s="336">
        <f t="shared" si="190"/>
        <v>180</v>
      </c>
      <c r="S1067" s="366">
        <f t="shared" si="191"/>
        <v>38</v>
      </c>
      <c r="T1067" s="437"/>
      <c r="U1067" s="437"/>
      <c r="V1067" s="437"/>
      <c r="W1067" s="437"/>
      <c r="X1067" s="437"/>
    </row>
    <row r="1068" spans="1:24" ht="12.75">
      <c r="A1068" s="433" t="s">
        <v>469</v>
      </c>
      <c r="B1068" s="434" t="s">
        <v>164</v>
      </c>
      <c r="C1068" s="434" t="s">
        <v>177</v>
      </c>
      <c r="D1068" s="434">
        <v>2017</v>
      </c>
      <c r="E1068" s="434" t="s">
        <v>775</v>
      </c>
      <c r="F1068" s="435">
        <v>315</v>
      </c>
      <c r="G1068" s="435">
        <v>42</v>
      </c>
      <c r="H1068" s="436">
        <v>1</v>
      </c>
      <c r="I1068" s="435">
        <v>41</v>
      </c>
      <c r="J1068" s="435">
        <v>206</v>
      </c>
      <c r="K1068" s="435">
        <v>6</v>
      </c>
      <c r="L1068" s="435">
        <v>1</v>
      </c>
      <c r="M1068" s="435">
        <v>5</v>
      </c>
      <c r="N1068" s="435">
        <v>239</v>
      </c>
      <c r="O1068" s="435">
        <v>147</v>
      </c>
      <c r="P1068" s="435">
        <v>548</v>
      </c>
      <c r="Q1068" s="436">
        <v>22</v>
      </c>
      <c r="R1068" s="336">
        <f t="shared" si="190"/>
        <v>1308</v>
      </c>
      <c r="S1068" s="366">
        <f t="shared" si="191"/>
        <v>217</v>
      </c>
      <c r="T1068" s="437"/>
      <c r="U1068" s="437"/>
      <c r="V1068" s="437"/>
      <c r="W1068" s="437"/>
      <c r="X1068" s="437"/>
    </row>
    <row r="1069" spans="1:24" ht="12.75">
      <c r="A1069" s="433" t="s">
        <v>164</v>
      </c>
      <c r="B1069" s="434" t="s">
        <v>164</v>
      </c>
      <c r="C1069" s="434" t="s">
        <v>177</v>
      </c>
      <c r="D1069" s="434">
        <v>2017</v>
      </c>
      <c r="E1069" s="434" t="s">
        <v>775</v>
      </c>
      <c r="F1069" s="435">
        <v>157</v>
      </c>
      <c r="G1069" s="435">
        <v>19</v>
      </c>
      <c r="H1069" s="436">
        <v>19</v>
      </c>
      <c r="I1069" s="435">
        <v>0</v>
      </c>
      <c r="J1069" s="435">
        <v>102</v>
      </c>
      <c r="K1069" s="435">
        <v>0</v>
      </c>
      <c r="L1069" s="435">
        <v>0</v>
      </c>
      <c r="M1069" s="435">
        <v>0</v>
      </c>
      <c r="N1069" s="435">
        <v>119</v>
      </c>
      <c r="O1069" s="435">
        <v>0</v>
      </c>
      <c r="P1069" s="435">
        <v>272</v>
      </c>
      <c r="Q1069" s="436">
        <v>10</v>
      </c>
      <c r="R1069" s="336">
        <f t="shared" si="190"/>
        <v>650</v>
      </c>
      <c r="S1069" s="366">
        <f t="shared" si="191"/>
        <v>29</v>
      </c>
      <c r="T1069" s="437"/>
      <c r="U1069" s="437"/>
      <c r="V1069" s="437"/>
      <c r="W1069" s="437"/>
      <c r="X1069" s="437"/>
    </row>
    <row r="1070" spans="1:24" ht="12.75">
      <c r="A1070" s="433" t="s">
        <v>470</v>
      </c>
      <c r="B1070" s="434" t="s">
        <v>164</v>
      </c>
      <c r="C1070" s="434" t="s">
        <v>177</v>
      </c>
      <c r="D1070" s="434">
        <v>2017</v>
      </c>
      <c r="E1070" s="434" t="s">
        <v>775</v>
      </c>
      <c r="F1070" s="435">
        <v>374</v>
      </c>
      <c r="G1070" s="435">
        <v>82</v>
      </c>
      <c r="H1070" s="436">
        <v>7</v>
      </c>
      <c r="I1070" s="435">
        <v>75</v>
      </c>
      <c r="J1070" s="435">
        <v>244</v>
      </c>
      <c r="K1070" s="435">
        <v>7</v>
      </c>
      <c r="L1070" s="435">
        <v>7</v>
      </c>
      <c r="M1070" s="435">
        <v>0</v>
      </c>
      <c r="N1070" s="435">
        <v>282</v>
      </c>
      <c r="O1070" s="435">
        <v>20</v>
      </c>
      <c r="P1070" s="435">
        <v>651</v>
      </c>
      <c r="Q1070" s="436">
        <v>316</v>
      </c>
      <c r="R1070" s="336">
        <f t="shared" si="190"/>
        <v>1551</v>
      </c>
      <c r="S1070" s="366">
        <f t="shared" si="191"/>
        <v>425</v>
      </c>
      <c r="T1070" s="437"/>
      <c r="U1070" s="437"/>
      <c r="V1070" s="437"/>
      <c r="W1070" s="437"/>
      <c r="X1070" s="437"/>
    </row>
    <row r="1071" spans="1:24" ht="12.75">
      <c r="A1071" s="433" t="s">
        <v>471</v>
      </c>
      <c r="B1071" s="434" t="s">
        <v>164</v>
      </c>
      <c r="C1071" s="434" t="s">
        <v>177</v>
      </c>
      <c r="D1071" s="434">
        <v>2017</v>
      </c>
      <c r="E1071" s="434" t="s">
        <v>775</v>
      </c>
      <c r="F1071" s="435">
        <v>28</v>
      </c>
      <c r="G1071" s="435">
        <v>0</v>
      </c>
      <c r="H1071" s="436">
        <v>0</v>
      </c>
      <c r="I1071" s="435">
        <v>0</v>
      </c>
      <c r="J1071" s="435">
        <v>18</v>
      </c>
      <c r="K1071" s="435">
        <v>0</v>
      </c>
      <c r="L1071" s="435">
        <v>0</v>
      </c>
      <c r="M1071" s="435">
        <v>0</v>
      </c>
      <c r="N1071" s="435">
        <v>21</v>
      </c>
      <c r="O1071" s="435">
        <v>0</v>
      </c>
      <c r="P1071" s="435">
        <v>48</v>
      </c>
      <c r="Q1071" s="436">
        <v>1</v>
      </c>
      <c r="R1071" s="336">
        <f t="shared" si="190"/>
        <v>115</v>
      </c>
      <c r="S1071" s="366">
        <f t="shared" si="191"/>
        <v>1</v>
      </c>
      <c r="T1071" s="437"/>
      <c r="U1071" s="437"/>
      <c r="V1071" s="437"/>
      <c r="W1071" s="437"/>
      <c r="X1071" s="437"/>
    </row>
    <row r="1072" spans="1:24" ht="12.75">
      <c r="A1072" s="433" t="s">
        <v>472</v>
      </c>
      <c r="B1072" s="434" t="s">
        <v>164</v>
      </c>
      <c r="C1072" s="434" t="s">
        <v>177</v>
      </c>
      <c r="D1072" s="434">
        <v>2017</v>
      </c>
      <c r="E1072" s="434" t="s">
        <v>775</v>
      </c>
      <c r="F1072" s="435">
        <v>537</v>
      </c>
      <c r="G1072" s="435">
        <v>50</v>
      </c>
      <c r="H1072" s="436">
        <v>50</v>
      </c>
      <c r="I1072" s="435">
        <v>0</v>
      </c>
      <c r="J1072" s="435">
        <v>351</v>
      </c>
      <c r="K1072" s="435">
        <v>0</v>
      </c>
      <c r="L1072" s="435">
        <v>0</v>
      </c>
      <c r="M1072" s="435">
        <v>0</v>
      </c>
      <c r="N1072" s="435">
        <v>407</v>
      </c>
      <c r="O1072" s="435">
        <v>3</v>
      </c>
      <c r="P1072" s="435">
        <v>934</v>
      </c>
      <c r="Q1072" s="436">
        <v>25</v>
      </c>
      <c r="R1072" s="336">
        <f t="shared" si="190"/>
        <v>2229</v>
      </c>
      <c r="S1072" s="366">
        <f t="shared" si="191"/>
        <v>78</v>
      </c>
      <c r="T1072" s="437"/>
      <c r="U1072" s="437"/>
      <c r="V1072" s="437"/>
      <c r="W1072" s="437"/>
      <c r="X1072" s="437"/>
    </row>
    <row r="1073" spans="1:24" ht="12.75">
      <c r="A1073" s="433" t="s">
        <v>474</v>
      </c>
      <c r="B1073" s="434" t="s">
        <v>164</v>
      </c>
      <c r="C1073" s="434" t="s">
        <v>177</v>
      </c>
      <c r="D1073" s="434">
        <v>2017</v>
      </c>
      <c r="E1073" s="434" t="s">
        <v>775</v>
      </c>
      <c r="F1073" s="435">
        <v>95</v>
      </c>
      <c r="G1073" s="435">
        <v>0</v>
      </c>
      <c r="H1073" s="436">
        <v>0</v>
      </c>
      <c r="I1073" s="435">
        <v>0</v>
      </c>
      <c r="J1073" s="435">
        <v>62</v>
      </c>
      <c r="K1073" s="435">
        <v>0</v>
      </c>
      <c r="L1073" s="435">
        <v>0</v>
      </c>
      <c r="M1073" s="435">
        <v>0</v>
      </c>
      <c r="N1073" s="435">
        <v>72</v>
      </c>
      <c r="O1073" s="435">
        <v>1</v>
      </c>
      <c r="P1073" s="435">
        <v>164</v>
      </c>
      <c r="Q1073" s="436">
        <v>0</v>
      </c>
      <c r="R1073" s="336">
        <f t="shared" si="190"/>
        <v>393</v>
      </c>
      <c r="S1073" s="366">
        <f t="shared" si="191"/>
        <v>1</v>
      </c>
      <c r="T1073" s="437"/>
      <c r="U1073" s="437"/>
      <c r="V1073" s="437"/>
      <c r="W1073" s="437"/>
      <c r="X1073" s="437"/>
    </row>
    <row r="1074" spans="1:24" ht="12.75">
      <c r="A1074" s="433" t="s">
        <v>475</v>
      </c>
      <c r="B1074" s="434" t="s">
        <v>164</v>
      </c>
      <c r="C1074" s="434" t="s">
        <v>177</v>
      </c>
      <c r="D1074" s="434">
        <v>2017</v>
      </c>
      <c r="E1074" s="434" t="s">
        <v>775</v>
      </c>
      <c r="F1074" s="435">
        <v>46</v>
      </c>
      <c r="G1074" s="435">
        <v>0</v>
      </c>
      <c r="H1074" s="436">
        <v>0</v>
      </c>
      <c r="I1074" s="435">
        <v>0</v>
      </c>
      <c r="J1074" s="435">
        <v>30</v>
      </c>
      <c r="K1074" s="435">
        <v>0</v>
      </c>
      <c r="L1074" s="435">
        <v>0</v>
      </c>
      <c r="M1074" s="435">
        <v>0</v>
      </c>
      <c r="N1074" s="435">
        <v>35</v>
      </c>
      <c r="O1074" s="435">
        <v>0</v>
      </c>
      <c r="P1074" s="435">
        <v>80</v>
      </c>
      <c r="Q1074" s="436">
        <v>79</v>
      </c>
      <c r="R1074" s="336">
        <f t="shared" si="190"/>
        <v>191</v>
      </c>
      <c r="S1074" s="366">
        <f t="shared" si="191"/>
        <v>79</v>
      </c>
      <c r="T1074" s="414">
        <f>SUM(G1067:G1074)</f>
        <v>193</v>
      </c>
      <c r="U1074" s="414">
        <f>SUM(K1067:K1074)</f>
        <v>15</v>
      </c>
      <c r="V1074" s="414">
        <f>SUM(O1067:O1074)</f>
        <v>176</v>
      </c>
      <c r="W1074" s="414">
        <f>SUM(Q1067:Q1074)</f>
        <v>484</v>
      </c>
      <c r="X1074" s="414">
        <f>T1074+U1074+V1074+W1074</f>
        <v>868</v>
      </c>
    </row>
    <row r="1075" spans="1:24" ht="12.75">
      <c r="A1075" s="438" t="s">
        <v>465</v>
      </c>
      <c r="B1075" s="439" t="s">
        <v>164</v>
      </c>
      <c r="C1075" s="439" t="s">
        <v>177</v>
      </c>
      <c r="D1075" s="439">
        <v>2018</v>
      </c>
      <c r="E1075" s="439" t="s">
        <v>775</v>
      </c>
      <c r="F1075" s="440">
        <v>7</v>
      </c>
      <c r="G1075" s="454"/>
      <c r="H1075" s="455"/>
      <c r="I1075" s="455"/>
      <c r="J1075" s="440">
        <v>4</v>
      </c>
      <c r="K1075" s="454"/>
      <c r="L1075" s="455"/>
      <c r="M1075" s="455"/>
      <c r="N1075" s="440">
        <v>5</v>
      </c>
      <c r="O1075" s="455"/>
      <c r="P1075" s="440">
        <v>11</v>
      </c>
      <c r="Q1075" s="455"/>
      <c r="R1075" s="344">
        <f t="shared" si="190"/>
        <v>27</v>
      </c>
      <c r="S1075" s="367">
        <f t="shared" si="191"/>
        <v>0</v>
      </c>
      <c r="T1075" s="442"/>
      <c r="U1075" s="442"/>
      <c r="V1075" s="442"/>
      <c r="W1075" s="442"/>
      <c r="X1075" s="442"/>
    </row>
    <row r="1076" spans="1:24" ht="12.75">
      <c r="A1076" s="438" t="s">
        <v>466</v>
      </c>
      <c r="B1076" s="439" t="s">
        <v>164</v>
      </c>
      <c r="C1076" s="439" t="s">
        <v>177</v>
      </c>
      <c r="D1076" s="439">
        <v>2018</v>
      </c>
      <c r="E1076" s="439" t="s">
        <v>775</v>
      </c>
      <c r="F1076" s="440">
        <v>71</v>
      </c>
      <c r="G1076" s="454"/>
      <c r="H1076" s="455"/>
      <c r="I1076" s="455"/>
      <c r="J1076" s="440">
        <v>46</v>
      </c>
      <c r="K1076" s="454"/>
      <c r="L1076" s="455"/>
      <c r="M1076" s="455"/>
      <c r="N1076" s="440">
        <v>53</v>
      </c>
      <c r="O1076" s="455"/>
      <c r="P1076" s="440">
        <v>123</v>
      </c>
      <c r="Q1076" s="455"/>
      <c r="R1076" s="344">
        <f t="shared" si="190"/>
        <v>293</v>
      </c>
      <c r="S1076" s="367">
        <f t="shared" si="191"/>
        <v>0</v>
      </c>
      <c r="T1076" s="442"/>
      <c r="U1076" s="442"/>
      <c r="V1076" s="442"/>
      <c r="W1076" s="442"/>
      <c r="X1076" s="442"/>
    </row>
    <row r="1077" spans="1:24" ht="12.75">
      <c r="A1077" s="438" t="s">
        <v>467</v>
      </c>
      <c r="B1077" s="439" t="s">
        <v>164</v>
      </c>
      <c r="C1077" s="439" t="s">
        <v>177</v>
      </c>
      <c r="D1077" s="439">
        <v>2018</v>
      </c>
      <c r="E1077" s="439" t="s">
        <v>775</v>
      </c>
      <c r="F1077" s="440">
        <v>87</v>
      </c>
      <c r="G1077" s="441">
        <v>0</v>
      </c>
      <c r="H1077" s="440">
        <v>0</v>
      </c>
      <c r="I1077" s="440">
        <v>0</v>
      </c>
      <c r="J1077" s="440">
        <v>57</v>
      </c>
      <c r="K1077" s="441">
        <v>0</v>
      </c>
      <c r="L1077" s="440">
        <v>0</v>
      </c>
      <c r="M1077" s="440">
        <v>0</v>
      </c>
      <c r="N1077" s="440">
        <v>66</v>
      </c>
      <c r="O1077" s="440">
        <v>1</v>
      </c>
      <c r="P1077" s="440">
        <v>153</v>
      </c>
      <c r="Q1077" s="440">
        <v>1</v>
      </c>
      <c r="R1077" s="344">
        <f t="shared" si="190"/>
        <v>363</v>
      </c>
      <c r="S1077" s="367">
        <f t="shared" si="191"/>
        <v>2</v>
      </c>
      <c r="T1077" s="442"/>
      <c r="U1077" s="442"/>
      <c r="V1077" s="442"/>
      <c r="W1077" s="442"/>
      <c r="X1077" s="442"/>
    </row>
    <row r="1078" spans="1:24" ht="12.75">
      <c r="A1078" s="438" t="s">
        <v>468</v>
      </c>
      <c r="B1078" s="439" t="s">
        <v>164</v>
      </c>
      <c r="C1078" s="439" t="s">
        <v>177</v>
      </c>
      <c r="D1078" s="439">
        <v>2018</v>
      </c>
      <c r="E1078" s="439" t="s">
        <v>775</v>
      </c>
      <c r="F1078" s="440">
        <v>43</v>
      </c>
      <c r="G1078" s="441">
        <v>0</v>
      </c>
      <c r="H1078" s="440">
        <v>0</v>
      </c>
      <c r="I1078" s="440">
        <v>0</v>
      </c>
      <c r="J1078" s="440">
        <v>28</v>
      </c>
      <c r="K1078" s="441">
        <v>0</v>
      </c>
      <c r="L1078" s="440">
        <v>0</v>
      </c>
      <c r="M1078" s="440">
        <v>0</v>
      </c>
      <c r="N1078" s="440">
        <v>33</v>
      </c>
      <c r="O1078" s="440">
        <v>0</v>
      </c>
      <c r="P1078" s="440">
        <v>76</v>
      </c>
      <c r="Q1078" s="440">
        <v>40</v>
      </c>
      <c r="R1078" s="344">
        <f t="shared" si="190"/>
        <v>180</v>
      </c>
      <c r="S1078" s="367">
        <f t="shared" si="191"/>
        <v>40</v>
      </c>
      <c r="T1078" s="442"/>
      <c r="U1078" s="442"/>
      <c r="V1078" s="442"/>
      <c r="W1078" s="442"/>
      <c r="X1078" s="442"/>
    </row>
    <row r="1079" spans="1:24" ht="12.75">
      <c r="A1079" s="438" t="s">
        <v>469</v>
      </c>
      <c r="B1079" s="439" t="s">
        <v>164</v>
      </c>
      <c r="C1079" s="439" t="s">
        <v>177</v>
      </c>
      <c r="D1079" s="439">
        <v>2018</v>
      </c>
      <c r="E1079" s="439" t="s">
        <v>775</v>
      </c>
      <c r="F1079" s="440">
        <v>315</v>
      </c>
      <c r="G1079" s="441">
        <v>0</v>
      </c>
      <c r="H1079" s="440">
        <v>0</v>
      </c>
      <c r="I1079" s="440">
        <v>0</v>
      </c>
      <c r="J1079" s="440">
        <v>206</v>
      </c>
      <c r="K1079" s="441">
        <v>0</v>
      </c>
      <c r="L1079" s="440">
        <v>0</v>
      </c>
      <c r="M1079" s="440">
        <v>0</v>
      </c>
      <c r="N1079" s="440">
        <v>239</v>
      </c>
      <c r="O1079" s="440">
        <v>0</v>
      </c>
      <c r="P1079" s="440">
        <v>548</v>
      </c>
      <c r="Q1079" s="440">
        <v>121</v>
      </c>
      <c r="R1079" s="344">
        <f t="shared" si="190"/>
        <v>1308</v>
      </c>
      <c r="S1079" s="367">
        <f t="shared" si="191"/>
        <v>121</v>
      </c>
      <c r="T1079" s="442"/>
      <c r="U1079" s="442"/>
      <c r="V1079" s="442"/>
      <c r="W1079" s="442"/>
      <c r="X1079" s="442"/>
    </row>
    <row r="1080" spans="1:24" ht="12.75">
      <c r="A1080" s="438" t="s">
        <v>164</v>
      </c>
      <c r="B1080" s="439" t="s">
        <v>164</v>
      </c>
      <c r="C1080" s="439" t="s">
        <v>177</v>
      </c>
      <c r="D1080" s="439">
        <v>2018</v>
      </c>
      <c r="E1080" s="439" t="s">
        <v>775</v>
      </c>
      <c r="F1080" s="440">
        <v>157</v>
      </c>
      <c r="G1080" s="441">
        <v>0</v>
      </c>
      <c r="H1080" s="440">
        <v>0</v>
      </c>
      <c r="I1080" s="440">
        <v>0</v>
      </c>
      <c r="J1080" s="440">
        <v>102</v>
      </c>
      <c r="K1080" s="441">
        <v>0</v>
      </c>
      <c r="L1080" s="440">
        <v>0</v>
      </c>
      <c r="M1080" s="440">
        <v>0</v>
      </c>
      <c r="N1080" s="440">
        <v>119</v>
      </c>
      <c r="O1080" s="440">
        <v>0</v>
      </c>
      <c r="P1080" s="440">
        <v>272</v>
      </c>
      <c r="Q1080" s="440">
        <v>4</v>
      </c>
      <c r="R1080" s="344">
        <f t="shared" si="190"/>
        <v>650</v>
      </c>
      <c r="S1080" s="367">
        <f t="shared" si="191"/>
        <v>4</v>
      </c>
      <c r="T1080" s="442"/>
      <c r="U1080" s="442"/>
      <c r="V1080" s="442"/>
      <c r="W1080" s="442"/>
      <c r="X1080" s="442"/>
    </row>
    <row r="1081" spans="1:24" ht="12.75">
      <c r="A1081" s="438" t="s">
        <v>470</v>
      </c>
      <c r="B1081" s="439" t="s">
        <v>164</v>
      </c>
      <c r="C1081" s="439" t="s">
        <v>177</v>
      </c>
      <c r="D1081" s="439">
        <v>2018</v>
      </c>
      <c r="E1081" s="439" t="s">
        <v>775</v>
      </c>
      <c r="F1081" s="440">
        <v>374</v>
      </c>
      <c r="G1081" s="441">
        <v>0</v>
      </c>
      <c r="H1081" s="440">
        <v>0</v>
      </c>
      <c r="I1081" s="440">
        <v>0</v>
      </c>
      <c r="J1081" s="440">
        <v>244</v>
      </c>
      <c r="K1081" s="441">
        <v>0</v>
      </c>
      <c r="L1081" s="440">
        <v>0</v>
      </c>
      <c r="M1081" s="440">
        <v>0</v>
      </c>
      <c r="N1081" s="440">
        <v>282</v>
      </c>
      <c r="O1081" s="440">
        <v>4</v>
      </c>
      <c r="P1081" s="440">
        <v>651</v>
      </c>
      <c r="Q1081" s="440">
        <v>230</v>
      </c>
      <c r="R1081" s="344">
        <f t="shared" si="190"/>
        <v>1551</v>
      </c>
      <c r="S1081" s="367">
        <f t="shared" si="191"/>
        <v>234</v>
      </c>
      <c r="T1081" s="442"/>
      <c r="U1081" s="442"/>
      <c r="V1081" s="442"/>
      <c r="W1081" s="442"/>
      <c r="X1081" s="442"/>
    </row>
    <row r="1082" spans="1:24" ht="12.75">
      <c r="A1082" s="438" t="s">
        <v>472</v>
      </c>
      <c r="B1082" s="439" t="s">
        <v>164</v>
      </c>
      <c r="C1082" s="439" t="s">
        <v>177</v>
      </c>
      <c r="D1082" s="439">
        <v>2018</v>
      </c>
      <c r="E1082" s="439" t="s">
        <v>775</v>
      </c>
      <c r="F1082" s="440">
        <v>537</v>
      </c>
      <c r="G1082" s="441">
        <v>42</v>
      </c>
      <c r="H1082" s="440">
        <v>42</v>
      </c>
      <c r="I1082" s="440">
        <v>0</v>
      </c>
      <c r="J1082" s="440">
        <v>351</v>
      </c>
      <c r="K1082" s="441">
        <v>53</v>
      </c>
      <c r="L1082" s="440">
        <v>53</v>
      </c>
      <c r="M1082" s="440">
        <v>0</v>
      </c>
      <c r="N1082" s="440">
        <v>407</v>
      </c>
      <c r="O1082" s="440">
        <v>0</v>
      </c>
      <c r="P1082" s="440">
        <v>934</v>
      </c>
      <c r="Q1082" s="440">
        <v>71</v>
      </c>
      <c r="R1082" s="344">
        <f t="shared" si="190"/>
        <v>2229</v>
      </c>
      <c r="S1082" s="367">
        <f t="shared" si="191"/>
        <v>166</v>
      </c>
      <c r="T1082" s="442"/>
      <c r="U1082" s="442"/>
      <c r="V1082" s="442"/>
      <c r="W1082" s="442"/>
      <c r="X1082" s="442"/>
    </row>
    <row r="1083" spans="1:24" ht="12.75">
      <c r="A1083" s="438" t="s">
        <v>473</v>
      </c>
      <c r="B1083" s="439" t="s">
        <v>164</v>
      </c>
      <c r="C1083" s="439" t="s">
        <v>177</v>
      </c>
      <c r="D1083" s="439">
        <v>2018</v>
      </c>
      <c r="E1083" s="439" t="s">
        <v>775</v>
      </c>
      <c r="F1083" s="440">
        <v>13</v>
      </c>
      <c r="G1083" s="441">
        <v>0</v>
      </c>
      <c r="H1083" s="440">
        <v>0</v>
      </c>
      <c r="I1083" s="440">
        <v>0</v>
      </c>
      <c r="J1083" s="440">
        <v>9</v>
      </c>
      <c r="K1083" s="441">
        <v>0</v>
      </c>
      <c r="L1083" s="440">
        <v>0</v>
      </c>
      <c r="M1083" s="440">
        <v>0</v>
      </c>
      <c r="N1083" s="440">
        <v>10</v>
      </c>
      <c r="O1083" s="440">
        <v>0</v>
      </c>
      <c r="P1083" s="440">
        <v>23</v>
      </c>
      <c r="Q1083" s="440">
        <v>0</v>
      </c>
      <c r="R1083" s="344">
        <f t="shared" si="190"/>
        <v>55</v>
      </c>
      <c r="S1083" s="367">
        <f t="shared" si="191"/>
        <v>0</v>
      </c>
      <c r="T1083" s="442"/>
      <c r="U1083" s="442"/>
      <c r="V1083" s="442"/>
      <c r="W1083" s="442"/>
      <c r="X1083" s="442"/>
    </row>
    <row r="1084" spans="1:24" ht="12.75">
      <c r="A1084" s="438" t="s">
        <v>474</v>
      </c>
      <c r="B1084" s="439" t="s">
        <v>164</v>
      </c>
      <c r="C1084" s="439" t="s">
        <v>177</v>
      </c>
      <c r="D1084" s="439">
        <v>2018</v>
      </c>
      <c r="E1084" s="439" t="s">
        <v>775</v>
      </c>
      <c r="F1084" s="440">
        <v>95</v>
      </c>
      <c r="G1084" s="441">
        <v>0</v>
      </c>
      <c r="H1084" s="440">
        <v>0</v>
      </c>
      <c r="I1084" s="440">
        <v>0</v>
      </c>
      <c r="J1084" s="440">
        <v>62</v>
      </c>
      <c r="K1084" s="441">
        <v>0</v>
      </c>
      <c r="L1084" s="440">
        <v>0</v>
      </c>
      <c r="M1084" s="440">
        <v>0</v>
      </c>
      <c r="N1084" s="440">
        <v>72</v>
      </c>
      <c r="O1084" s="440">
        <v>0</v>
      </c>
      <c r="P1084" s="440">
        <v>164</v>
      </c>
      <c r="Q1084" s="440">
        <v>3</v>
      </c>
      <c r="R1084" s="344">
        <f t="shared" si="190"/>
        <v>393</v>
      </c>
      <c r="S1084" s="367">
        <f t="shared" si="191"/>
        <v>3</v>
      </c>
      <c r="T1084" s="442"/>
      <c r="U1084" s="442"/>
      <c r="V1084" s="442"/>
      <c r="W1084" s="442"/>
      <c r="X1084" s="442"/>
    </row>
    <row r="1085" spans="1:24" ht="12.75">
      <c r="A1085" s="438" t="s">
        <v>475</v>
      </c>
      <c r="B1085" s="439" t="s">
        <v>164</v>
      </c>
      <c r="C1085" s="439" t="s">
        <v>177</v>
      </c>
      <c r="D1085" s="439">
        <v>2018</v>
      </c>
      <c r="E1085" s="439" t="s">
        <v>775</v>
      </c>
      <c r="F1085" s="440">
        <v>46</v>
      </c>
      <c r="G1085" s="441">
        <v>0</v>
      </c>
      <c r="H1085" s="440">
        <v>0</v>
      </c>
      <c r="I1085" s="440">
        <v>0</v>
      </c>
      <c r="J1085" s="440">
        <v>30</v>
      </c>
      <c r="K1085" s="441">
        <v>0</v>
      </c>
      <c r="L1085" s="440">
        <v>0</v>
      </c>
      <c r="M1085" s="440">
        <v>0</v>
      </c>
      <c r="N1085" s="440">
        <v>35</v>
      </c>
      <c r="O1085" s="440">
        <v>0</v>
      </c>
      <c r="P1085" s="440">
        <v>80</v>
      </c>
      <c r="Q1085" s="440">
        <v>131</v>
      </c>
      <c r="R1085" s="344">
        <f t="shared" si="190"/>
        <v>191</v>
      </c>
      <c r="S1085" s="367">
        <f t="shared" si="191"/>
        <v>131</v>
      </c>
      <c r="T1085" s="443">
        <f>SUM(G1075:G1085)</f>
        <v>42</v>
      </c>
      <c r="U1085" s="443">
        <f>SUM(K1075:K1085)</f>
        <v>53</v>
      </c>
      <c r="V1085" s="443">
        <f>SUM(O1075:O1085)</f>
        <v>5</v>
      </c>
      <c r="W1085" s="443">
        <f>SUM(Q1075:Q1085)</f>
        <v>601</v>
      </c>
      <c r="X1085" s="443">
        <f>T1085+U1085+V1085+W1085</f>
        <v>701</v>
      </c>
    </row>
    <row r="1086" spans="1:24" ht="12.75">
      <c r="A1086" s="346" t="s">
        <v>465</v>
      </c>
      <c r="B1086" s="347" t="s">
        <v>164</v>
      </c>
      <c r="C1086" s="347" t="s">
        <v>811</v>
      </c>
      <c r="D1086" s="347">
        <v>2019</v>
      </c>
      <c r="E1086" s="347" t="s">
        <v>775</v>
      </c>
      <c r="F1086" s="348">
        <v>7</v>
      </c>
      <c r="G1086" s="348">
        <v>0</v>
      </c>
      <c r="H1086" s="348">
        <v>0</v>
      </c>
      <c r="I1086" s="348">
        <v>0</v>
      </c>
      <c r="J1086" s="348">
        <v>4</v>
      </c>
      <c r="K1086" s="348">
        <v>0</v>
      </c>
      <c r="L1086" s="348">
        <v>0</v>
      </c>
      <c r="M1086" s="348">
        <v>0</v>
      </c>
      <c r="N1086" s="348">
        <v>5</v>
      </c>
      <c r="O1086" s="348">
        <v>0</v>
      </c>
      <c r="P1086" s="348">
        <v>11</v>
      </c>
      <c r="Q1086" s="348">
        <v>0</v>
      </c>
      <c r="R1086" s="350">
        <f t="shared" si="190"/>
        <v>27</v>
      </c>
      <c r="S1086" s="348">
        <f t="shared" si="191"/>
        <v>0</v>
      </c>
      <c r="T1086" s="348"/>
      <c r="U1086" s="348"/>
      <c r="V1086" s="348"/>
      <c r="W1086" s="349"/>
      <c r="X1086" s="349"/>
    </row>
    <row r="1087" spans="1:24" ht="12.75">
      <c r="A1087" s="346" t="s">
        <v>466</v>
      </c>
      <c r="B1087" s="347" t="s">
        <v>164</v>
      </c>
      <c r="C1087" s="347" t="s">
        <v>811</v>
      </c>
      <c r="D1087" s="347">
        <v>2019</v>
      </c>
      <c r="E1087" s="347" t="s">
        <v>775</v>
      </c>
      <c r="F1087" s="348">
        <v>71</v>
      </c>
      <c r="G1087" s="348">
        <v>0</v>
      </c>
      <c r="H1087" s="348">
        <v>0</v>
      </c>
      <c r="I1087" s="348">
        <v>0</v>
      </c>
      <c r="J1087" s="348">
        <v>46</v>
      </c>
      <c r="K1087" s="348">
        <v>0</v>
      </c>
      <c r="L1087" s="348">
        <v>0</v>
      </c>
      <c r="M1087" s="348">
        <v>0</v>
      </c>
      <c r="N1087" s="348">
        <v>53</v>
      </c>
      <c r="O1087" s="348">
        <v>0</v>
      </c>
      <c r="P1087" s="348">
        <v>123</v>
      </c>
      <c r="Q1087" s="348">
        <v>0</v>
      </c>
      <c r="R1087" s="350">
        <f t="shared" si="190"/>
        <v>293</v>
      </c>
      <c r="S1087" s="348">
        <f t="shared" si="191"/>
        <v>0</v>
      </c>
      <c r="T1087" s="348"/>
      <c r="U1087" s="348"/>
      <c r="V1087" s="348"/>
      <c r="W1087" s="349"/>
      <c r="X1087" s="349"/>
    </row>
    <row r="1088" spans="1:24" ht="12.75">
      <c r="A1088" s="346" t="s">
        <v>467</v>
      </c>
      <c r="B1088" s="347" t="s">
        <v>164</v>
      </c>
      <c r="C1088" s="347" t="s">
        <v>811</v>
      </c>
      <c r="D1088" s="347">
        <v>2019</v>
      </c>
      <c r="E1088" s="347" t="s">
        <v>775</v>
      </c>
      <c r="F1088" s="348">
        <v>87</v>
      </c>
      <c r="G1088" s="348">
        <v>0</v>
      </c>
      <c r="H1088" s="348">
        <v>0</v>
      </c>
      <c r="I1088" s="348">
        <v>0</v>
      </c>
      <c r="J1088" s="348">
        <v>57</v>
      </c>
      <c r="K1088" s="348">
        <v>0</v>
      </c>
      <c r="L1088" s="348">
        <v>0</v>
      </c>
      <c r="M1088" s="348">
        <v>0</v>
      </c>
      <c r="N1088" s="348">
        <v>66</v>
      </c>
      <c r="O1088" s="348">
        <v>0</v>
      </c>
      <c r="P1088" s="348">
        <v>153</v>
      </c>
      <c r="Q1088" s="348">
        <v>5</v>
      </c>
      <c r="R1088" s="350">
        <f t="shared" si="190"/>
        <v>363</v>
      </c>
      <c r="S1088" s="348">
        <f t="shared" si="191"/>
        <v>5</v>
      </c>
      <c r="T1088" s="348"/>
      <c r="U1088" s="348"/>
      <c r="V1088" s="348"/>
      <c r="W1088" s="349"/>
      <c r="X1088" s="349"/>
    </row>
    <row r="1089" spans="1:24" ht="12.75">
      <c r="A1089" s="346" t="s">
        <v>468</v>
      </c>
      <c r="B1089" s="347" t="s">
        <v>164</v>
      </c>
      <c r="C1089" s="347" t="s">
        <v>811</v>
      </c>
      <c r="D1089" s="347">
        <v>2019</v>
      </c>
      <c r="E1089" s="347" t="s">
        <v>775</v>
      </c>
      <c r="F1089" s="348">
        <v>43</v>
      </c>
      <c r="G1089" s="348">
        <v>0</v>
      </c>
      <c r="H1089" s="348">
        <v>0</v>
      </c>
      <c r="I1089" s="348">
        <v>0</v>
      </c>
      <c r="J1089" s="348">
        <v>28</v>
      </c>
      <c r="K1089" s="348">
        <v>0</v>
      </c>
      <c r="L1089" s="348">
        <v>0</v>
      </c>
      <c r="M1089" s="348">
        <v>0</v>
      </c>
      <c r="N1089" s="348">
        <v>33</v>
      </c>
      <c r="O1089" s="348">
        <v>0</v>
      </c>
      <c r="P1089" s="348">
        <v>76</v>
      </c>
      <c r="Q1089" s="348">
        <v>50</v>
      </c>
      <c r="R1089" s="350">
        <f t="shared" si="190"/>
        <v>180</v>
      </c>
      <c r="S1089" s="348">
        <f t="shared" si="191"/>
        <v>50</v>
      </c>
      <c r="T1089" s="348"/>
      <c r="U1089" s="348"/>
      <c r="V1089" s="348"/>
      <c r="W1089" s="349"/>
      <c r="X1089" s="349"/>
    </row>
    <row r="1090" spans="1:24" ht="12.75">
      <c r="A1090" s="346" t="s">
        <v>469</v>
      </c>
      <c r="B1090" s="347" t="s">
        <v>164</v>
      </c>
      <c r="C1090" s="347" t="s">
        <v>811</v>
      </c>
      <c r="D1090" s="347">
        <v>2019</v>
      </c>
      <c r="E1090" s="347" t="s">
        <v>775</v>
      </c>
      <c r="F1090" s="348">
        <v>315</v>
      </c>
      <c r="G1090" s="348">
        <v>0</v>
      </c>
      <c r="H1090" s="348">
        <v>0</v>
      </c>
      <c r="I1090" s="348">
        <v>0</v>
      </c>
      <c r="J1090" s="348">
        <v>206</v>
      </c>
      <c r="K1090" s="348">
        <v>0</v>
      </c>
      <c r="L1090" s="348">
        <v>0</v>
      </c>
      <c r="M1090" s="348">
        <v>0</v>
      </c>
      <c r="N1090" s="348">
        <v>239</v>
      </c>
      <c r="O1090" s="348">
        <v>0</v>
      </c>
      <c r="P1090" s="348">
        <v>548</v>
      </c>
      <c r="Q1090" s="348">
        <v>76</v>
      </c>
      <c r="R1090" s="350">
        <f t="shared" si="190"/>
        <v>1308</v>
      </c>
      <c r="S1090" s="348">
        <f t="shared" si="191"/>
        <v>76</v>
      </c>
      <c r="T1090" s="348"/>
      <c r="U1090" s="348"/>
      <c r="V1090" s="348"/>
      <c r="W1090" s="349"/>
      <c r="X1090" s="349"/>
    </row>
    <row r="1091" spans="1:24" ht="12.75">
      <c r="A1091" s="346" t="s">
        <v>164</v>
      </c>
      <c r="B1091" s="347" t="s">
        <v>164</v>
      </c>
      <c r="C1091" s="347" t="s">
        <v>811</v>
      </c>
      <c r="D1091" s="347">
        <v>2019</v>
      </c>
      <c r="E1091" s="347" t="s">
        <v>775</v>
      </c>
      <c r="F1091" s="348">
        <v>157</v>
      </c>
      <c r="G1091" s="348">
        <v>0</v>
      </c>
      <c r="H1091" s="348">
        <v>0</v>
      </c>
      <c r="I1091" s="348">
        <v>0</v>
      </c>
      <c r="J1091" s="348">
        <v>102</v>
      </c>
      <c r="K1091" s="348">
        <v>0</v>
      </c>
      <c r="L1091" s="348">
        <v>0</v>
      </c>
      <c r="M1091" s="348">
        <v>0</v>
      </c>
      <c r="N1091" s="348">
        <v>119</v>
      </c>
      <c r="O1091" s="348">
        <v>0</v>
      </c>
      <c r="P1091" s="348">
        <v>272</v>
      </c>
      <c r="Q1091" s="348">
        <v>3</v>
      </c>
      <c r="R1091" s="350">
        <f t="shared" si="190"/>
        <v>650</v>
      </c>
      <c r="S1091" s="348">
        <f t="shared" si="191"/>
        <v>3</v>
      </c>
      <c r="T1091" s="348"/>
      <c r="U1091" s="348"/>
      <c r="V1091" s="348"/>
      <c r="W1091" s="349"/>
      <c r="X1091" s="349"/>
    </row>
    <row r="1092" spans="1:24" ht="12.75">
      <c r="A1092" s="346" t="s">
        <v>470</v>
      </c>
      <c r="B1092" s="347" t="s">
        <v>164</v>
      </c>
      <c r="C1092" s="347" t="s">
        <v>811</v>
      </c>
      <c r="D1092" s="347">
        <v>2019</v>
      </c>
      <c r="E1092" s="347" t="s">
        <v>775</v>
      </c>
      <c r="F1092" s="348">
        <v>374</v>
      </c>
      <c r="G1092" s="348">
        <v>0</v>
      </c>
      <c r="H1092" s="348">
        <v>0</v>
      </c>
      <c r="I1092" s="348">
        <v>0</v>
      </c>
      <c r="J1092" s="348">
        <v>244</v>
      </c>
      <c r="K1092" s="348">
        <v>0</v>
      </c>
      <c r="L1092" s="348">
        <v>0</v>
      </c>
      <c r="M1092" s="348">
        <v>0</v>
      </c>
      <c r="N1092" s="348">
        <v>282</v>
      </c>
      <c r="O1092" s="348">
        <v>8</v>
      </c>
      <c r="P1092" s="348">
        <v>651</v>
      </c>
      <c r="Q1092" s="348">
        <v>215</v>
      </c>
      <c r="R1092" s="350">
        <f t="shared" si="190"/>
        <v>1551</v>
      </c>
      <c r="S1092" s="348">
        <f t="shared" si="191"/>
        <v>223</v>
      </c>
      <c r="T1092" s="348"/>
      <c r="U1092" s="348"/>
      <c r="V1092" s="348"/>
      <c r="W1092" s="349"/>
      <c r="X1092" s="349"/>
    </row>
    <row r="1093" spans="1:24" ht="12.75">
      <c r="A1093" s="346" t="s">
        <v>471</v>
      </c>
      <c r="B1093" s="347" t="s">
        <v>164</v>
      </c>
      <c r="C1093" s="347" t="s">
        <v>811</v>
      </c>
      <c r="D1093" s="347">
        <v>2019</v>
      </c>
      <c r="E1093" s="347" t="s">
        <v>775</v>
      </c>
      <c r="F1093" s="348">
        <v>28</v>
      </c>
      <c r="G1093" s="348">
        <v>0</v>
      </c>
      <c r="H1093" s="348">
        <v>0</v>
      </c>
      <c r="I1093" s="348">
        <v>0</v>
      </c>
      <c r="J1093" s="348">
        <v>18</v>
      </c>
      <c r="K1093" s="348">
        <v>0</v>
      </c>
      <c r="L1093" s="348">
        <v>0</v>
      </c>
      <c r="M1093" s="348">
        <v>0</v>
      </c>
      <c r="N1093" s="348">
        <v>21</v>
      </c>
      <c r="O1093" s="348">
        <v>1</v>
      </c>
      <c r="P1093" s="348">
        <v>48</v>
      </c>
      <c r="Q1093" s="348">
        <v>1</v>
      </c>
      <c r="R1093" s="350">
        <f t="shared" si="190"/>
        <v>115</v>
      </c>
      <c r="S1093" s="348">
        <f t="shared" si="191"/>
        <v>2</v>
      </c>
      <c r="T1093" s="348"/>
      <c r="U1093" s="348"/>
      <c r="V1093" s="348"/>
      <c r="W1093" s="348"/>
      <c r="X1093" s="349"/>
    </row>
    <row r="1094" spans="1:24" ht="12.75">
      <c r="A1094" s="346" t="s">
        <v>472</v>
      </c>
      <c r="B1094" s="347" t="s">
        <v>164</v>
      </c>
      <c r="C1094" s="347" t="s">
        <v>811</v>
      </c>
      <c r="D1094" s="347">
        <v>2019</v>
      </c>
      <c r="E1094" s="347" t="s">
        <v>775</v>
      </c>
      <c r="F1094" s="348">
        <v>537</v>
      </c>
      <c r="G1094" s="348">
        <v>0</v>
      </c>
      <c r="H1094" s="348">
        <v>0</v>
      </c>
      <c r="I1094" s="348">
        <v>0</v>
      </c>
      <c r="J1094" s="348">
        <v>351</v>
      </c>
      <c r="K1094" s="348">
        <v>8</v>
      </c>
      <c r="L1094" s="348">
        <v>8</v>
      </c>
      <c r="M1094" s="348">
        <v>0</v>
      </c>
      <c r="N1094" s="348">
        <v>407</v>
      </c>
      <c r="O1094" s="348">
        <v>0</v>
      </c>
      <c r="P1094" s="348">
        <v>934</v>
      </c>
      <c r="Q1094" s="348">
        <v>100</v>
      </c>
      <c r="R1094" s="350">
        <f t="shared" si="190"/>
        <v>2229</v>
      </c>
      <c r="S1094" s="348">
        <f t="shared" si="191"/>
        <v>108</v>
      </c>
      <c r="T1094" s="348"/>
      <c r="U1094" s="348"/>
      <c r="V1094" s="348"/>
      <c r="W1094" s="349"/>
      <c r="X1094" s="349"/>
    </row>
    <row r="1095" spans="1:24" ht="12.75">
      <c r="A1095" s="346" t="s">
        <v>473</v>
      </c>
      <c r="B1095" s="347" t="s">
        <v>164</v>
      </c>
      <c r="C1095" s="347" t="s">
        <v>811</v>
      </c>
      <c r="D1095" s="347">
        <v>2019</v>
      </c>
      <c r="E1095" s="347" t="s">
        <v>775</v>
      </c>
      <c r="F1095" s="348">
        <v>13</v>
      </c>
      <c r="G1095" s="348">
        <v>0</v>
      </c>
      <c r="H1095" s="348">
        <v>0</v>
      </c>
      <c r="I1095" s="348">
        <v>0</v>
      </c>
      <c r="J1095" s="348">
        <v>9</v>
      </c>
      <c r="K1095" s="348">
        <v>0</v>
      </c>
      <c r="L1095" s="348">
        <v>0</v>
      </c>
      <c r="M1095" s="348">
        <v>0</v>
      </c>
      <c r="N1095" s="348">
        <v>10</v>
      </c>
      <c r="O1095" s="348">
        <v>0</v>
      </c>
      <c r="P1095" s="348">
        <v>23</v>
      </c>
      <c r="Q1095" s="348">
        <v>4</v>
      </c>
      <c r="R1095" s="350">
        <f t="shared" si="190"/>
        <v>55</v>
      </c>
      <c r="S1095" s="348">
        <f t="shared" si="191"/>
        <v>4</v>
      </c>
      <c r="T1095" s="348"/>
      <c r="U1095" s="348"/>
      <c r="V1095" s="348"/>
      <c r="W1095" s="349"/>
      <c r="X1095" s="349"/>
    </row>
    <row r="1096" spans="1:24" ht="12.75">
      <c r="A1096" s="346" t="s">
        <v>474</v>
      </c>
      <c r="B1096" s="347" t="s">
        <v>164</v>
      </c>
      <c r="C1096" s="347" t="s">
        <v>811</v>
      </c>
      <c r="D1096" s="347">
        <v>2019</v>
      </c>
      <c r="E1096" s="347" t="s">
        <v>775</v>
      </c>
      <c r="F1096" s="348">
        <v>95</v>
      </c>
      <c r="G1096" s="348">
        <v>0</v>
      </c>
      <c r="H1096" s="348">
        <v>0</v>
      </c>
      <c r="I1096" s="348">
        <v>0</v>
      </c>
      <c r="J1096" s="348">
        <v>62</v>
      </c>
      <c r="K1096" s="348">
        <v>0</v>
      </c>
      <c r="L1096" s="348">
        <v>0</v>
      </c>
      <c r="M1096" s="348">
        <v>0</v>
      </c>
      <c r="N1096" s="348">
        <v>72</v>
      </c>
      <c r="O1096" s="348">
        <v>0</v>
      </c>
      <c r="P1096" s="348">
        <v>164</v>
      </c>
      <c r="Q1096" s="348">
        <v>5</v>
      </c>
      <c r="R1096" s="350">
        <f t="shared" si="190"/>
        <v>393</v>
      </c>
      <c r="S1096" s="348">
        <f t="shared" si="191"/>
        <v>5</v>
      </c>
      <c r="T1096" s="399">
        <f>SUM(G1086:G1096)</f>
        <v>0</v>
      </c>
      <c r="U1096" s="399">
        <f>SUM(K1086:K1096)</f>
        <v>8</v>
      </c>
      <c r="V1096" s="399">
        <f>SUM(O1086:O1096)</f>
        <v>9</v>
      </c>
      <c r="W1096" s="399">
        <f>SUM(Q1086:Q1096)</f>
        <v>459</v>
      </c>
      <c r="X1096" s="399">
        <f>T1096+U1096+V1096+W1096</f>
        <v>476</v>
      </c>
    </row>
    <row r="1097" spans="1:24" ht="12.75">
      <c r="A1097" s="444"/>
      <c r="B1097" s="445"/>
      <c r="C1097" s="445"/>
      <c r="D1097" s="445"/>
      <c r="E1097" s="445"/>
      <c r="F1097" s="446"/>
      <c r="G1097" s="446"/>
      <c r="H1097" s="447"/>
      <c r="I1097" s="446"/>
      <c r="J1097" s="446"/>
      <c r="K1097" s="446"/>
      <c r="L1097" s="446"/>
      <c r="M1097" s="446"/>
      <c r="N1097" s="446"/>
      <c r="O1097" s="446"/>
      <c r="P1097" s="446"/>
      <c r="Q1097" s="447"/>
      <c r="R1097" s="393"/>
      <c r="S1097" s="361" t="s">
        <v>783</v>
      </c>
      <c r="T1097" s="361">
        <f t="shared" ref="T1097:X1097" si="192">SUM(T1050:T1096)</f>
        <v>396</v>
      </c>
      <c r="U1097" s="361">
        <f t="shared" si="192"/>
        <v>102</v>
      </c>
      <c r="V1097" s="361">
        <f t="shared" si="192"/>
        <v>199</v>
      </c>
      <c r="W1097" s="361">
        <f t="shared" si="192"/>
        <v>2435</v>
      </c>
      <c r="X1097" s="361">
        <f t="shared" si="192"/>
        <v>3132</v>
      </c>
    </row>
    <row r="1098" spans="1:24" ht="12.75">
      <c r="A1098" s="449"/>
      <c r="B1098" s="450"/>
      <c r="C1098" s="450"/>
      <c r="D1098" s="450"/>
      <c r="E1098" s="450"/>
      <c r="F1098" s="451"/>
      <c r="G1098" s="451"/>
      <c r="H1098" s="452"/>
      <c r="I1098" s="451"/>
      <c r="J1098" s="451"/>
      <c r="K1098" s="451"/>
      <c r="L1098" s="451"/>
      <c r="M1098" s="451"/>
      <c r="N1098" s="451"/>
      <c r="O1098" s="451"/>
      <c r="P1098" s="451"/>
      <c r="Q1098" s="452"/>
      <c r="R1098" s="182"/>
      <c r="S1098" s="362"/>
      <c r="T1098" s="456"/>
      <c r="U1098" s="456"/>
      <c r="V1098" s="456"/>
      <c r="W1098" s="97"/>
      <c r="X1098" s="97"/>
    </row>
    <row r="1099" spans="1:24" ht="12.75">
      <c r="A1099" s="417" t="s">
        <v>839</v>
      </c>
      <c r="B1099" s="418" t="s">
        <v>166</v>
      </c>
      <c r="C1099" s="418" t="s">
        <v>774</v>
      </c>
      <c r="D1099" s="418">
        <v>2014</v>
      </c>
      <c r="E1099" s="418" t="s">
        <v>775</v>
      </c>
      <c r="F1099" s="419">
        <v>51</v>
      </c>
      <c r="G1099" s="419">
        <v>0</v>
      </c>
      <c r="H1099" s="420">
        <v>0</v>
      </c>
      <c r="I1099" s="419">
        <v>0</v>
      </c>
      <c r="J1099" s="419">
        <v>30</v>
      </c>
      <c r="K1099" s="419">
        <v>0</v>
      </c>
      <c r="L1099" s="419">
        <v>0</v>
      </c>
      <c r="M1099" s="419">
        <v>0</v>
      </c>
      <c r="N1099" s="419">
        <v>32</v>
      </c>
      <c r="O1099" s="419">
        <v>9</v>
      </c>
      <c r="P1099" s="419">
        <v>67</v>
      </c>
      <c r="Q1099" s="420">
        <v>17</v>
      </c>
      <c r="R1099" s="311">
        <f t="shared" ref="R1099:R1129" si="193">F1099+J1099+N1099+P1099</f>
        <v>180</v>
      </c>
      <c r="S1099" s="363">
        <f t="shared" ref="S1099:S1129" si="194">K1099+O1099+G1099+Q1099</f>
        <v>26</v>
      </c>
      <c r="T1099" s="314">
        <f>G1099</f>
        <v>0</v>
      </c>
      <c r="U1099" s="314">
        <f>K1099</f>
        <v>0</v>
      </c>
      <c r="V1099" s="314">
        <f>O1099</f>
        <v>9</v>
      </c>
      <c r="W1099" s="314">
        <f>Q1099</f>
        <v>17</v>
      </c>
      <c r="X1099" s="314">
        <f>T1099+U1099+V1099+W1099</f>
        <v>26</v>
      </c>
    </row>
    <row r="1100" spans="1:24" ht="12.75">
      <c r="A1100" s="422" t="s">
        <v>476</v>
      </c>
      <c r="B1100" s="423" t="s">
        <v>166</v>
      </c>
      <c r="C1100" s="423" t="s">
        <v>774</v>
      </c>
      <c r="D1100" s="423">
        <v>2015</v>
      </c>
      <c r="E1100" s="423" t="s">
        <v>775</v>
      </c>
      <c r="F1100" s="424">
        <v>116</v>
      </c>
      <c r="G1100" s="424">
        <v>0</v>
      </c>
      <c r="H1100" s="425">
        <v>0</v>
      </c>
      <c r="I1100" s="424">
        <v>0</v>
      </c>
      <c r="J1100" s="424">
        <v>54</v>
      </c>
      <c r="K1100" s="424">
        <v>9</v>
      </c>
      <c r="L1100" s="424">
        <v>9</v>
      </c>
      <c r="M1100" s="424">
        <v>0</v>
      </c>
      <c r="N1100" s="424">
        <v>58</v>
      </c>
      <c r="O1100" s="424">
        <v>140</v>
      </c>
      <c r="P1100" s="424">
        <v>164</v>
      </c>
      <c r="Q1100" s="425">
        <v>0</v>
      </c>
      <c r="R1100" s="319">
        <f t="shared" si="193"/>
        <v>392</v>
      </c>
      <c r="S1100" s="364">
        <f t="shared" si="194"/>
        <v>149</v>
      </c>
      <c r="T1100" s="426"/>
      <c r="U1100" s="426"/>
      <c r="V1100" s="426"/>
      <c r="W1100" s="426"/>
      <c r="X1100" s="426"/>
    </row>
    <row r="1101" spans="1:24" ht="12.75">
      <c r="A1101" s="422" t="s">
        <v>477</v>
      </c>
      <c r="B1101" s="423" t="s">
        <v>166</v>
      </c>
      <c r="C1101" s="423" t="s">
        <v>774</v>
      </c>
      <c r="D1101" s="423">
        <v>2015</v>
      </c>
      <c r="E1101" s="423" t="s">
        <v>775</v>
      </c>
      <c r="F1101" s="424">
        <v>6</v>
      </c>
      <c r="G1101" s="424">
        <v>0</v>
      </c>
      <c r="H1101" s="425">
        <v>0</v>
      </c>
      <c r="I1101" s="424">
        <v>0</v>
      </c>
      <c r="J1101" s="424">
        <v>2</v>
      </c>
      <c r="K1101" s="424">
        <v>0</v>
      </c>
      <c r="L1101" s="424">
        <v>0</v>
      </c>
      <c r="M1101" s="424">
        <v>0</v>
      </c>
      <c r="N1101" s="424">
        <v>4</v>
      </c>
      <c r="O1101" s="424">
        <v>0</v>
      </c>
      <c r="P1101" s="424">
        <v>15</v>
      </c>
      <c r="Q1101" s="425">
        <v>4</v>
      </c>
      <c r="R1101" s="319">
        <f t="shared" si="193"/>
        <v>27</v>
      </c>
      <c r="S1101" s="364">
        <f t="shared" si="194"/>
        <v>4</v>
      </c>
      <c r="T1101" s="426"/>
      <c r="U1101" s="426"/>
      <c r="V1101" s="426"/>
      <c r="W1101" s="426"/>
      <c r="X1101" s="426"/>
    </row>
    <row r="1102" spans="1:24" ht="12.75">
      <c r="A1102" s="422" t="s">
        <v>166</v>
      </c>
      <c r="B1102" s="423" t="s">
        <v>166</v>
      </c>
      <c r="C1102" s="423" t="s">
        <v>774</v>
      </c>
      <c r="D1102" s="423">
        <v>2015</v>
      </c>
      <c r="E1102" s="423" t="s">
        <v>775</v>
      </c>
      <c r="F1102" s="424">
        <v>185</v>
      </c>
      <c r="G1102" s="424">
        <v>0</v>
      </c>
      <c r="H1102" s="425">
        <v>0</v>
      </c>
      <c r="I1102" s="424">
        <v>0</v>
      </c>
      <c r="J1102" s="424">
        <v>106</v>
      </c>
      <c r="K1102" s="424">
        <v>0</v>
      </c>
      <c r="L1102" s="424">
        <v>0</v>
      </c>
      <c r="M1102" s="424">
        <v>0</v>
      </c>
      <c r="N1102" s="424">
        <v>141</v>
      </c>
      <c r="O1102" s="424">
        <v>0</v>
      </c>
      <c r="P1102" s="424">
        <v>403</v>
      </c>
      <c r="Q1102" s="425">
        <v>0</v>
      </c>
      <c r="R1102" s="319">
        <f t="shared" si="193"/>
        <v>835</v>
      </c>
      <c r="S1102" s="364">
        <f t="shared" si="194"/>
        <v>0</v>
      </c>
      <c r="T1102" s="426"/>
      <c r="U1102" s="426"/>
      <c r="V1102" s="426"/>
      <c r="W1102" s="426"/>
      <c r="X1102" s="426"/>
    </row>
    <row r="1103" spans="1:24" ht="12.75">
      <c r="A1103" s="422" t="s">
        <v>478</v>
      </c>
      <c r="B1103" s="423" t="s">
        <v>166</v>
      </c>
      <c r="C1103" s="423" t="s">
        <v>774</v>
      </c>
      <c r="D1103" s="423">
        <v>2015</v>
      </c>
      <c r="E1103" s="423" t="s">
        <v>775</v>
      </c>
      <c r="F1103" s="424">
        <v>51</v>
      </c>
      <c r="G1103" s="424">
        <v>0</v>
      </c>
      <c r="H1103" s="425">
        <v>0</v>
      </c>
      <c r="I1103" s="424">
        <v>0</v>
      </c>
      <c r="J1103" s="424">
        <v>30</v>
      </c>
      <c r="K1103" s="424">
        <v>0</v>
      </c>
      <c r="L1103" s="424">
        <v>0</v>
      </c>
      <c r="M1103" s="424">
        <v>0</v>
      </c>
      <c r="N1103" s="424">
        <v>32</v>
      </c>
      <c r="O1103" s="424">
        <v>8</v>
      </c>
      <c r="P1103" s="424">
        <v>67</v>
      </c>
      <c r="Q1103" s="425">
        <v>11</v>
      </c>
      <c r="R1103" s="319">
        <f t="shared" si="193"/>
        <v>180</v>
      </c>
      <c r="S1103" s="364">
        <f t="shared" si="194"/>
        <v>19</v>
      </c>
      <c r="T1103" s="426"/>
      <c r="U1103" s="426"/>
      <c r="V1103" s="426"/>
      <c r="W1103" s="426"/>
      <c r="X1103" s="426"/>
    </row>
    <row r="1104" spans="1:24" ht="12.75">
      <c r="A1104" s="422" t="s">
        <v>479</v>
      </c>
      <c r="B1104" s="423" t="s">
        <v>166</v>
      </c>
      <c r="C1104" s="423" t="s">
        <v>774</v>
      </c>
      <c r="D1104" s="423">
        <v>2015</v>
      </c>
      <c r="E1104" s="423" t="s">
        <v>775</v>
      </c>
      <c r="F1104" s="424">
        <v>8</v>
      </c>
      <c r="G1104" s="424">
        <v>0</v>
      </c>
      <c r="H1104" s="425">
        <v>0</v>
      </c>
      <c r="I1104" s="424">
        <v>0</v>
      </c>
      <c r="J1104" s="424">
        <v>5</v>
      </c>
      <c r="K1104" s="424">
        <v>0</v>
      </c>
      <c r="L1104" s="424">
        <v>0</v>
      </c>
      <c r="M1104" s="424">
        <v>0</v>
      </c>
      <c r="N1104" s="424">
        <v>5</v>
      </c>
      <c r="O1104" s="424">
        <v>4</v>
      </c>
      <c r="P1104" s="424">
        <v>13</v>
      </c>
      <c r="Q1104" s="425">
        <v>23</v>
      </c>
      <c r="R1104" s="319">
        <f t="shared" si="193"/>
        <v>31</v>
      </c>
      <c r="S1104" s="364">
        <f t="shared" si="194"/>
        <v>27</v>
      </c>
      <c r="T1104" s="426"/>
      <c r="U1104" s="426"/>
      <c r="V1104" s="426"/>
      <c r="W1104" s="426"/>
      <c r="X1104" s="426"/>
    </row>
    <row r="1105" spans="1:24" ht="12.75">
      <c r="A1105" s="457" t="s">
        <v>480</v>
      </c>
      <c r="B1105" s="458" t="s">
        <v>166</v>
      </c>
      <c r="C1105" s="458" t="s">
        <v>774</v>
      </c>
      <c r="D1105" s="458">
        <v>2015</v>
      </c>
      <c r="E1105" s="458" t="s">
        <v>775</v>
      </c>
      <c r="F1105" s="425">
        <v>4</v>
      </c>
      <c r="G1105" s="424">
        <v>1</v>
      </c>
      <c r="H1105" s="425">
        <v>1</v>
      </c>
      <c r="I1105" s="425">
        <v>0</v>
      </c>
      <c r="J1105" s="425">
        <v>2</v>
      </c>
      <c r="K1105" s="424">
        <v>1</v>
      </c>
      <c r="L1105" s="425">
        <v>1</v>
      </c>
      <c r="M1105" s="425">
        <v>0</v>
      </c>
      <c r="N1105" s="425">
        <v>3</v>
      </c>
      <c r="O1105" s="425">
        <v>6</v>
      </c>
      <c r="P1105" s="425">
        <v>8</v>
      </c>
      <c r="Q1105" s="425">
        <v>11</v>
      </c>
      <c r="R1105" s="319">
        <f t="shared" si="193"/>
        <v>17</v>
      </c>
      <c r="S1105" s="364">
        <f t="shared" si="194"/>
        <v>19</v>
      </c>
      <c r="T1105" s="427">
        <f>SUM(G1100:G1105)</f>
        <v>1</v>
      </c>
      <c r="U1105" s="427">
        <f>SUM(K1100:K1105)</f>
        <v>10</v>
      </c>
      <c r="V1105" s="427">
        <f>SUM(O1100:O1105)</f>
        <v>158</v>
      </c>
      <c r="W1105" s="427">
        <f>SUM(Q1100:Q1105)</f>
        <v>49</v>
      </c>
      <c r="X1105" s="427">
        <f>T1105+U1105+V1105+W1105</f>
        <v>218</v>
      </c>
    </row>
    <row r="1106" spans="1:24" ht="12.75">
      <c r="A1106" s="428" t="s">
        <v>476</v>
      </c>
      <c r="B1106" s="429" t="s">
        <v>166</v>
      </c>
      <c r="C1106" s="429" t="s">
        <v>774</v>
      </c>
      <c r="D1106" s="429">
        <v>2016</v>
      </c>
      <c r="E1106" s="429" t="s">
        <v>775</v>
      </c>
      <c r="F1106" s="430">
        <v>116</v>
      </c>
      <c r="G1106" s="430">
        <v>0</v>
      </c>
      <c r="H1106" s="431">
        <v>0</v>
      </c>
      <c r="I1106" s="430">
        <v>0</v>
      </c>
      <c r="J1106" s="430">
        <v>54</v>
      </c>
      <c r="K1106" s="430">
        <v>0</v>
      </c>
      <c r="L1106" s="430">
        <v>0</v>
      </c>
      <c r="M1106" s="430">
        <v>0</v>
      </c>
      <c r="N1106" s="430">
        <v>58</v>
      </c>
      <c r="O1106" s="430">
        <v>0</v>
      </c>
      <c r="P1106" s="430">
        <v>164</v>
      </c>
      <c r="Q1106" s="431">
        <v>0</v>
      </c>
      <c r="R1106" s="328">
        <f t="shared" si="193"/>
        <v>392</v>
      </c>
      <c r="S1106" s="365">
        <f t="shared" si="194"/>
        <v>0</v>
      </c>
      <c r="T1106" s="432"/>
      <c r="U1106" s="432"/>
      <c r="V1106" s="432"/>
      <c r="W1106" s="432"/>
      <c r="X1106" s="432"/>
    </row>
    <row r="1107" spans="1:24" ht="12.75">
      <c r="A1107" s="428" t="s">
        <v>477</v>
      </c>
      <c r="B1107" s="429" t="s">
        <v>166</v>
      </c>
      <c r="C1107" s="429" t="s">
        <v>774</v>
      </c>
      <c r="D1107" s="429">
        <v>2016</v>
      </c>
      <c r="E1107" s="429" t="s">
        <v>775</v>
      </c>
      <c r="F1107" s="430">
        <v>6</v>
      </c>
      <c r="G1107" s="430">
        <v>0</v>
      </c>
      <c r="H1107" s="431">
        <v>0</v>
      </c>
      <c r="I1107" s="430">
        <v>0</v>
      </c>
      <c r="J1107" s="430">
        <v>2</v>
      </c>
      <c r="K1107" s="430">
        <v>0</v>
      </c>
      <c r="L1107" s="430">
        <v>0</v>
      </c>
      <c r="M1107" s="430">
        <v>0</v>
      </c>
      <c r="N1107" s="430">
        <v>4</v>
      </c>
      <c r="O1107" s="430">
        <v>0</v>
      </c>
      <c r="P1107" s="430">
        <v>15</v>
      </c>
      <c r="Q1107" s="431">
        <v>4</v>
      </c>
      <c r="R1107" s="328">
        <f t="shared" si="193"/>
        <v>27</v>
      </c>
      <c r="S1107" s="365">
        <f t="shared" si="194"/>
        <v>4</v>
      </c>
      <c r="T1107" s="432"/>
      <c r="U1107" s="432"/>
      <c r="V1107" s="432"/>
      <c r="W1107" s="432"/>
      <c r="X1107" s="432"/>
    </row>
    <row r="1108" spans="1:24" ht="12.75">
      <c r="A1108" s="428" t="s">
        <v>166</v>
      </c>
      <c r="B1108" s="429" t="s">
        <v>166</v>
      </c>
      <c r="C1108" s="429" t="s">
        <v>774</v>
      </c>
      <c r="D1108" s="429">
        <v>2016</v>
      </c>
      <c r="E1108" s="429" t="s">
        <v>775</v>
      </c>
      <c r="F1108" s="430">
        <v>185</v>
      </c>
      <c r="G1108" s="430">
        <v>0</v>
      </c>
      <c r="H1108" s="431">
        <v>0</v>
      </c>
      <c r="I1108" s="430">
        <v>0</v>
      </c>
      <c r="J1108" s="430">
        <v>106</v>
      </c>
      <c r="K1108" s="430">
        <v>6</v>
      </c>
      <c r="L1108" s="430">
        <v>6</v>
      </c>
      <c r="M1108" s="430">
        <v>0</v>
      </c>
      <c r="N1108" s="430">
        <v>141</v>
      </c>
      <c r="O1108" s="430">
        <v>4</v>
      </c>
      <c r="P1108" s="430">
        <v>403</v>
      </c>
      <c r="Q1108" s="431">
        <v>135</v>
      </c>
      <c r="R1108" s="328">
        <f t="shared" si="193"/>
        <v>835</v>
      </c>
      <c r="S1108" s="365">
        <f t="shared" si="194"/>
        <v>145</v>
      </c>
      <c r="T1108" s="432"/>
      <c r="U1108" s="432"/>
      <c r="V1108" s="432"/>
      <c r="W1108" s="432"/>
      <c r="X1108" s="432"/>
    </row>
    <row r="1109" spans="1:24" ht="12.75">
      <c r="A1109" s="428" t="s">
        <v>478</v>
      </c>
      <c r="B1109" s="429" t="s">
        <v>166</v>
      </c>
      <c r="C1109" s="429" t="s">
        <v>774</v>
      </c>
      <c r="D1109" s="429">
        <v>2016</v>
      </c>
      <c r="E1109" s="429" t="s">
        <v>775</v>
      </c>
      <c r="F1109" s="430">
        <v>51</v>
      </c>
      <c r="G1109" s="430">
        <v>0</v>
      </c>
      <c r="H1109" s="431">
        <v>0</v>
      </c>
      <c r="I1109" s="430">
        <v>0</v>
      </c>
      <c r="J1109" s="430">
        <v>30</v>
      </c>
      <c r="K1109" s="430">
        <v>1</v>
      </c>
      <c r="L1109" s="430">
        <v>0</v>
      </c>
      <c r="M1109" s="430">
        <v>1</v>
      </c>
      <c r="N1109" s="430">
        <v>32</v>
      </c>
      <c r="O1109" s="430">
        <v>13</v>
      </c>
      <c r="P1109" s="430">
        <v>67</v>
      </c>
      <c r="Q1109" s="431">
        <v>14</v>
      </c>
      <c r="R1109" s="328">
        <f t="shared" si="193"/>
        <v>180</v>
      </c>
      <c r="S1109" s="365">
        <f t="shared" si="194"/>
        <v>28</v>
      </c>
      <c r="T1109" s="432"/>
      <c r="U1109" s="432"/>
      <c r="V1109" s="432"/>
      <c r="W1109" s="432"/>
      <c r="X1109" s="432"/>
    </row>
    <row r="1110" spans="1:24" ht="12.75">
      <c r="A1110" s="428" t="s">
        <v>479</v>
      </c>
      <c r="B1110" s="429" t="s">
        <v>166</v>
      </c>
      <c r="C1110" s="429" t="s">
        <v>774</v>
      </c>
      <c r="D1110" s="429">
        <v>2016</v>
      </c>
      <c r="E1110" s="429" t="s">
        <v>775</v>
      </c>
      <c r="F1110" s="430">
        <v>8</v>
      </c>
      <c r="G1110" s="430">
        <v>5</v>
      </c>
      <c r="H1110" s="431">
        <v>5</v>
      </c>
      <c r="I1110" s="430">
        <v>0</v>
      </c>
      <c r="J1110" s="430">
        <v>5</v>
      </c>
      <c r="K1110" s="430">
        <v>3</v>
      </c>
      <c r="L1110" s="430">
        <v>3</v>
      </c>
      <c r="M1110" s="430">
        <v>0</v>
      </c>
      <c r="N1110" s="430">
        <v>5</v>
      </c>
      <c r="O1110" s="430">
        <v>0</v>
      </c>
      <c r="P1110" s="430">
        <v>13</v>
      </c>
      <c r="Q1110" s="431">
        <v>6</v>
      </c>
      <c r="R1110" s="328">
        <f t="shared" si="193"/>
        <v>31</v>
      </c>
      <c r="S1110" s="365">
        <f t="shared" si="194"/>
        <v>14</v>
      </c>
      <c r="T1110" s="432"/>
      <c r="U1110" s="432"/>
      <c r="V1110" s="432"/>
      <c r="W1110" s="432"/>
      <c r="X1110" s="432"/>
    </row>
    <row r="1111" spans="1:24" ht="12.75">
      <c r="A1111" s="459" t="s">
        <v>480</v>
      </c>
      <c r="B1111" s="460" t="s">
        <v>166</v>
      </c>
      <c r="C1111" s="460" t="s">
        <v>774</v>
      </c>
      <c r="D1111" s="460">
        <v>2016</v>
      </c>
      <c r="E1111" s="460" t="s">
        <v>775</v>
      </c>
      <c r="F1111" s="431">
        <v>4</v>
      </c>
      <c r="G1111" s="430">
        <v>0</v>
      </c>
      <c r="H1111" s="431">
        <v>0</v>
      </c>
      <c r="I1111" s="431">
        <v>0</v>
      </c>
      <c r="J1111" s="431">
        <v>2</v>
      </c>
      <c r="K1111" s="430">
        <v>0</v>
      </c>
      <c r="L1111" s="431">
        <v>0</v>
      </c>
      <c r="M1111" s="431">
        <v>0</v>
      </c>
      <c r="N1111" s="431">
        <v>3</v>
      </c>
      <c r="O1111" s="431">
        <v>1</v>
      </c>
      <c r="P1111" s="431">
        <v>8</v>
      </c>
      <c r="Q1111" s="431">
        <v>0</v>
      </c>
      <c r="R1111" s="328">
        <f t="shared" si="193"/>
        <v>17</v>
      </c>
      <c r="S1111" s="365">
        <f t="shared" si="194"/>
        <v>1</v>
      </c>
      <c r="T1111" s="413">
        <f>SUM(G1106:G1111)</f>
        <v>5</v>
      </c>
      <c r="U1111" s="413">
        <f>SUM(K1106:K1111)</f>
        <v>10</v>
      </c>
      <c r="V1111" s="413">
        <f>SUM(O1106:O1111)</f>
        <v>18</v>
      </c>
      <c r="W1111" s="413">
        <f>SUM(Q1106:Q1111)</f>
        <v>159</v>
      </c>
      <c r="X1111" s="413">
        <f>T1111+U1111+V1111+W1111</f>
        <v>192</v>
      </c>
    </row>
    <row r="1112" spans="1:24" ht="12.75">
      <c r="A1112" s="433" t="s">
        <v>476</v>
      </c>
      <c r="B1112" s="434" t="s">
        <v>166</v>
      </c>
      <c r="C1112" s="434" t="s">
        <v>774</v>
      </c>
      <c r="D1112" s="434">
        <v>2017</v>
      </c>
      <c r="E1112" s="434" t="s">
        <v>775</v>
      </c>
      <c r="F1112" s="435">
        <v>116</v>
      </c>
      <c r="G1112" s="435">
        <v>49</v>
      </c>
      <c r="H1112" s="436">
        <v>49</v>
      </c>
      <c r="I1112" s="435">
        <v>0</v>
      </c>
      <c r="J1112" s="435">
        <v>54</v>
      </c>
      <c r="K1112" s="435">
        <v>20</v>
      </c>
      <c r="L1112" s="435">
        <v>20</v>
      </c>
      <c r="M1112" s="435">
        <v>0</v>
      </c>
      <c r="N1112" s="435">
        <v>58</v>
      </c>
      <c r="O1112" s="435">
        <v>1</v>
      </c>
      <c r="P1112" s="435">
        <v>164</v>
      </c>
      <c r="Q1112" s="436">
        <v>0</v>
      </c>
      <c r="R1112" s="336">
        <f t="shared" si="193"/>
        <v>392</v>
      </c>
      <c r="S1112" s="366">
        <f t="shared" si="194"/>
        <v>70</v>
      </c>
      <c r="T1112" s="437"/>
      <c r="U1112" s="437"/>
      <c r="V1112" s="437"/>
      <c r="W1112" s="437"/>
      <c r="X1112" s="437"/>
    </row>
    <row r="1113" spans="1:24" ht="12.75">
      <c r="A1113" s="433" t="s">
        <v>477</v>
      </c>
      <c r="B1113" s="434" t="s">
        <v>166</v>
      </c>
      <c r="C1113" s="434" t="s">
        <v>774</v>
      </c>
      <c r="D1113" s="434">
        <v>2017</v>
      </c>
      <c r="E1113" s="434" t="s">
        <v>775</v>
      </c>
      <c r="F1113" s="435">
        <v>6</v>
      </c>
      <c r="G1113" s="435">
        <v>23</v>
      </c>
      <c r="H1113" s="436">
        <v>23</v>
      </c>
      <c r="I1113" s="435">
        <v>0</v>
      </c>
      <c r="J1113" s="435">
        <v>2</v>
      </c>
      <c r="K1113" s="435">
        <v>7</v>
      </c>
      <c r="L1113" s="435">
        <v>6</v>
      </c>
      <c r="M1113" s="435">
        <v>1</v>
      </c>
      <c r="N1113" s="435">
        <v>4</v>
      </c>
      <c r="O1113" s="435">
        <v>3</v>
      </c>
      <c r="P1113" s="435">
        <v>15</v>
      </c>
      <c r="Q1113" s="436">
        <v>22</v>
      </c>
      <c r="R1113" s="336">
        <f t="shared" si="193"/>
        <v>27</v>
      </c>
      <c r="S1113" s="366">
        <f t="shared" si="194"/>
        <v>55</v>
      </c>
      <c r="T1113" s="437"/>
      <c r="U1113" s="437"/>
      <c r="V1113" s="437"/>
      <c r="W1113" s="437"/>
      <c r="X1113" s="437"/>
    </row>
    <row r="1114" spans="1:24" ht="12.75">
      <c r="A1114" s="433" t="s">
        <v>166</v>
      </c>
      <c r="B1114" s="434" t="s">
        <v>166</v>
      </c>
      <c r="C1114" s="434" t="s">
        <v>774</v>
      </c>
      <c r="D1114" s="434">
        <v>2017</v>
      </c>
      <c r="E1114" s="434" t="s">
        <v>775</v>
      </c>
      <c r="F1114" s="435">
        <v>185</v>
      </c>
      <c r="G1114" s="435">
        <v>0</v>
      </c>
      <c r="H1114" s="436">
        <v>0</v>
      </c>
      <c r="I1114" s="435">
        <v>0</v>
      </c>
      <c r="J1114" s="435">
        <v>106</v>
      </c>
      <c r="K1114" s="435">
        <v>1</v>
      </c>
      <c r="L1114" s="435">
        <v>1</v>
      </c>
      <c r="M1114" s="435">
        <v>0</v>
      </c>
      <c r="N1114" s="435">
        <v>141</v>
      </c>
      <c r="O1114" s="435">
        <v>0</v>
      </c>
      <c r="P1114" s="435">
        <v>403</v>
      </c>
      <c r="Q1114" s="436">
        <v>37</v>
      </c>
      <c r="R1114" s="336">
        <f t="shared" si="193"/>
        <v>835</v>
      </c>
      <c r="S1114" s="366">
        <f t="shared" si="194"/>
        <v>38</v>
      </c>
      <c r="T1114" s="437"/>
      <c r="U1114" s="437"/>
      <c r="V1114" s="437"/>
      <c r="W1114" s="437"/>
      <c r="X1114" s="437"/>
    </row>
    <row r="1115" spans="1:24" ht="12.75">
      <c r="A1115" s="433" t="s">
        <v>478</v>
      </c>
      <c r="B1115" s="434" t="s">
        <v>166</v>
      </c>
      <c r="C1115" s="434" t="s">
        <v>774</v>
      </c>
      <c r="D1115" s="434">
        <v>2017</v>
      </c>
      <c r="E1115" s="434" t="s">
        <v>775</v>
      </c>
      <c r="F1115" s="435">
        <v>51</v>
      </c>
      <c r="G1115" s="435">
        <v>0</v>
      </c>
      <c r="H1115" s="436">
        <v>0</v>
      </c>
      <c r="I1115" s="435">
        <v>0</v>
      </c>
      <c r="J1115" s="435">
        <v>30</v>
      </c>
      <c r="K1115" s="435">
        <v>0</v>
      </c>
      <c r="L1115" s="435">
        <v>0</v>
      </c>
      <c r="M1115" s="435">
        <v>0</v>
      </c>
      <c r="N1115" s="435">
        <v>32</v>
      </c>
      <c r="O1115" s="435">
        <v>16</v>
      </c>
      <c r="P1115" s="435">
        <v>67</v>
      </c>
      <c r="Q1115" s="436">
        <v>14</v>
      </c>
      <c r="R1115" s="336">
        <f t="shared" si="193"/>
        <v>180</v>
      </c>
      <c r="S1115" s="366">
        <f t="shared" si="194"/>
        <v>30</v>
      </c>
      <c r="T1115" s="437"/>
      <c r="U1115" s="437"/>
      <c r="V1115" s="437"/>
      <c r="W1115" s="437"/>
      <c r="X1115" s="437"/>
    </row>
    <row r="1116" spans="1:24" ht="12.75">
      <c r="A1116" s="433" t="s">
        <v>479</v>
      </c>
      <c r="B1116" s="434" t="s">
        <v>166</v>
      </c>
      <c r="C1116" s="434" t="s">
        <v>774</v>
      </c>
      <c r="D1116" s="434">
        <v>2017</v>
      </c>
      <c r="E1116" s="434" t="s">
        <v>775</v>
      </c>
      <c r="F1116" s="435">
        <v>8</v>
      </c>
      <c r="G1116" s="435">
        <v>0</v>
      </c>
      <c r="H1116" s="436">
        <v>0</v>
      </c>
      <c r="I1116" s="435">
        <v>0</v>
      </c>
      <c r="J1116" s="435">
        <v>5</v>
      </c>
      <c r="K1116" s="435">
        <v>0</v>
      </c>
      <c r="L1116" s="435">
        <v>0</v>
      </c>
      <c r="M1116" s="435">
        <v>0</v>
      </c>
      <c r="N1116" s="435">
        <v>5</v>
      </c>
      <c r="O1116" s="435">
        <v>0</v>
      </c>
      <c r="P1116" s="435">
        <v>13</v>
      </c>
      <c r="Q1116" s="436">
        <v>11</v>
      </c>
      <c r="R1116" s="336">
        <f t="shared" si="193"/>
        <v>31</v>
      </c>
      <c r="S1116" s="366">
        <f t="shared" si="194"/>
        <v>11</v>
      </c>
      <c r="T1116" s="437"/>
      <c r="U1116" s="437"/>
      <c r="V1116" s="437"/>
      <c r="W1116" s="437"/>
      <c r="X1116" s="437"/>
    </row>
    <row r="1117" spans="1:24" ht="12.75">
      <c r="A1117" s="461" t="s">
        <v>480</v>
      </c>
      <c r="B1117" s="462" t="s">
        <v>166</v>
      </c>
      <c r="C1117" s="462" t="s">
        <v>774</v>
      </c>
      <c r="D1117" s="462">
        <v>2017</v>
      </c>
      <c r="E1117" s="462" t="s">
        <v>775</v>
      </c>
      <c r="F1117" s="436">
        <v>4</v>
      </c>
      <c r="G1117" s="435">
        <v>0</v>
      </c>
      <c r="H1117" s="436">
        <v>0</v>
      </c>
      <c r="I1117" s="436">
        <v>0</v>
      </c>
      <c r="J1117" s="436">
        <v>2</v>
      </c>
      <c r="K1117" s="435">
        <v>0</v>
      </c>
      <c r="L1117" s="436">
        <v>0</v>
      </c>
      <c r="M1117" s="436">
        <v>0</v>
      </c>
      <c r="N1117" s="436">
        <v>3</v>
      </c>
      <c r="O1117" s="436">
        <v>2</v>
      </c>
      <c r="P1117" s="436">
        <v>8</v>
      </c>
      <c r="Q1117" s="436">
        <v>3</v>
      </c>
      <c r="R1117" s="336">
        <f t="shared" si="193"/>
        <v>17</v>
      </c>
      <c r="S1117" s="366">
        <f t="shared" si="194"/>
        <v>5</v>
      </c>
      <c r="T1117" s="414">
        <f>SUM(G1112:G1117)</f>
        <v>72</v>
      </c>
      <c r="U1117" s="414">
        <f>SUM(K1112:K1117)</f>
        <v>28</v>
      </c>
      <c r="V1117" s="414">
        <f>SUM(O1112:O1117)</f>
        <v>22</v>
      </c>
      <c r="W1117" s="414">
        <f>SUM(Q1112:Q1117)</f>
        <v>87</v>
      </c>
      <c r="X1117" s="414">
        <f>T1117+U1117+V1117+W1117</f>
        <v>209</v>
      </c>
    </row>
    <row r="1118" spans="1:24" ht="12.75">
      <c r="A1118" s="438" t="s">
        <v>476</v>
      </c>
      <c r="B1118" s="439" t="s">
        <v>166</v>
      </c>
      <c r="C1118" s="439" t="s">
        <v>774</v>
      </c>
      <c r="D1118" s="439">
        <v>2018</v>
      </c>
      <c r="E1118" s="439" t="s">
        <v>775</v>
      </c>
      <c r="F1118" s="440">
        <v>116</v>
      </c>
      <c r="G1118" s="441">
        <v>8</v>
      </c>
      <c r="H1118" s="440">
        <v>8</v>
      </c>
      <c r="I1118" s="440">
        <v>0</v>
      </c>
      <c r="J1118" s="440">
        <v>54</v>
      </c>
      <c r="K1118" s="441">
        <v>11</v>
      </c>
      <c r="L1118" s="440">
        <v>8</v>
      </c>
      <c r="M1118" s="440">
        <v>3</v>
      </c>
      <c r="N1118" s="440">
        <v>58</v>
      </c>
      <c r="O1118" s="440">
        <v>0</v>
      </c>
      <c r="P1118" s="440">
        <v>164</v>
      </c>
      <c r="Q1118" s="440">
        <v>143</v>
      </c>
      <c r="R1118" s="344">
        <f t="shared" si="193"/>
        <v>392</v>
      </c>
      <c r="S1118" s="367">
        <f t="shared" si="194"/>
        <v>162</v>
      </c>
      <c r="T1118" s="442"/>
      <c r="U1118" s="442"/>
      <c r="V1118" s="442"/>
      <c r="W1118" s="442"/>
      <c r="X1118" s="442"/>
    </row>
    <row r="1119" spans="1:24" ht="12.75">
      <c r="A1119" s="438" t="s">
        <v>477</v>
      </c>
      <c r="B1119" s="439" t="s">
        <v>166</v>
      </c>
      <c r="C1119" s="439" t="s">
        <v>774</v>
      </c>
      <c r="D1119" s="439">
        <v>2018</v>
      </c>
      <c r="E1119" s="439" t="s">
        <v>775</v>
      </c>
      <c r="F1119" s="440">
        <v>6</v>
      </c>
      <c r="G1119" s="441">
        <v>0</v>
      </c>
      <c r="H1119" s="440">
        <v>0</v>
      </c>
      <c r="I1119" s="440">
        <v>0</v>
      </c>
      <c r="J1119" s="440">
        <v>2</v>
      </c>
      <c r="K1119" s="441">
        <v>0</v>
      </c>
      <c r="L1119" s="440">
        <v>0</v>
      </c>
      <c r="M1119" s="440">
        <v>0</v>
      </c>
      <c r="N1119" s="440">
        <v>4</v>
      </c>
      <c r="O1119" s="440">
        <v>4</v>
      </c>
      <c r="P1119" s="440">
        <v>15</v>
      </c>
      <c r="Q1119" s="440">
        <v>6</v>
      </c>
      <c r="R1119" s="344">
        <f t="shared" si="193"/>
        <v>27</v>
      </c>
      <c r="S1119" s="367">
        <f t="shared" si="194"/>
        <v>10</v>
      </c>
      <c r="T1119" s="442"/>
      <c r="U1119" s="442"/>
      <c r="V1119" s="442"/>
      <c r="W1119" s="442"/>
      <c r="X1119" s="442"/>
    </row>
    <row r="1120" spans="1:24" ht="12.75">
      <c r="A1120" s="438" t="s">
        <v>166</v>
      </c>
      <c r="B1120" s="439" t="s">
        <v>166</v>
      </c>
      <c r="C1120" s="439" t="s">
        <v>774</v>
      </c>
      <c r="D1120" s="439">
        <v>2018</v>
      </c>
      <c r="E1120" s="439" t="s">
        <v>775</v>
      </c>
      <c r="F1120" s="440">
        <v>185</v>
      </c>
      <c r="G1120" s="441">
        <v>53</v>
      </c>
      <c r="H1120" s="440">
        <v>53</v>
      </c>
      <c r="I1120" s="440">
        <v>0</v>
      </c>
      <c r="J1120" s="440">
        <v>106</v>
      </c>
      <c r="K1120" s="441">
        <v>15</v>
      </c>
      <c r="L1120" s="440">
        <v>15</v>
      </c>
      <c r="M1120" s="440">
        <v>0</v>
      </c>
      <c r="N1120" s="440">
        <v>141</v>
      </c>
      <c r="O1120" s="440">
        <v>0</v>
      </c>
      <c r="P1120" s="440">
        <v>403</v>
      </c>
      <c r="Q1120" s="440">
        <v>523</v>
      </c>
      <c r="R1120" s="344">
        <f t="shared" si="193"/>
        <v>835</v>
      </c>
      <c r="S1120" s="367">
        <f t="shared" si="194"/>
        <v>591</v>
      </c>
      <c r="T1120" s="442"/>
      <c r="U1120" s="442"/>
      <c r="V1120" s="442"/>
      <c r="W1120" s="442"/>
      <c r="X1120" s="442"/>
    </row>
    <row r="1121" spans="1:24" ht="12.75">
      <c r="A1121" s="438" t="s">
        <v>478</v>
      </c>
      <c r="B1121" s="439" t="s">
        <v>166</v>
      </c>
      <c r="C1121" s="439" t="s">
        <v>774</v>
      </c>
      <c r="D1121" s="439">
        <v>2018</v>
      </c>
      <c r="E1121" s="439" t="s">
        <v>775</v>
      </c>
      <c r="F1121" s="440">
        <v>51</v>
      </c>
      <c r="G1121" s="441">
        <v>3</v>
      </c>
      <c r="H1121" s="440">
        <v>0</v>
      </c>
      <c r="I1121" s="440">
        <v>3</v>
      </c>
      <c r="J1121" s="440">
        <v>30</v>
      </c>
      <c r="K1121" s="441">
        <v>0</v>
      </c>
      <c r="L1121" s="440">
        <v>0</v>
      </c>
      <c r="M1121" s="440">
        <v>0</v>
      </c>
      <c r="N1121" s="440">
        <v>32</v>
      </c>
      <c r="O1121" s="440">
        <v>6</v>
      </c>
      <c r="P1121" s="440">
        <v>67</v>
      </c>
      <c r="Q1121" s="440">
        <v>22</v>
      </c>
      <c r="R1121" s="344">
        <f t="shared" si="193"/>
        <v>180</v>
      </c>
      <c r="S1121" s="367">
        <f t="shared" si="194"/>
        <v>31</v>
      </c>
      <c r="T1121" s="442"/>
      <c r="U1121" s="442"/>
      <c r="V1121" s="442"/>
      <c r="W1121" s="442"/>
      <c r="X1121" s="442"/>
    </row>
    <row r="1122" spans="1:24" ht="12.75">
      <c r="A1122" s="438" t="s">
        <v>479</v>
      </c>
      <c r="B1122" s="439" t="s">
        <v>166</v>
      </c>
      <c r="C1122" s="439" t="s">
        <v>774</v>
      </c>
      <c r="D1122" s="439">
        <v>2018</v>
      </c>
      <c r="E1122" s="439" t="s">
        <v>775</v>
      </c>
      <c r="F1122" s="440">
        <v>8</v>
      </c>
      <c r="G1122" s="441">
        <v>0</v>
      </c>
      <c r="H1122" s="440">
        <v>0</v>
      </c>
      <c r="I1122" s="440">
        <v>0</v>
      </c>
      <c r="J1122" s="440">
        <v>5</v>
      </c>
      <c r="K1122" s="441">
        <v>0</v>
      </c>
      <c r="L1122" s="440">
        <v>0</v>
      </c>
      <c r="M1122" s="440">
        <v>0</v>
      </c>
      <c r="N1122" s="440">
        <v>5</v>
      </c>
      <c r="O1122" s="440">
        <v>0</v>
      </c>
      <c r="P1122" s="440">
        <v>13</v>
      </c>
      <c r="Q1122" s="440">
        <v>10</v>
      </c>
      <c r="R1122" s="344">
        <f t="shared" si="193"/>
        <v>31</v>
      </c>
      <c r="S1122" s="367">
        <f t="shared" si="194"/>
        <v>10</v>
      </c>
      <c r="T1122" s="442"/>
      <c r="U1122" s="442"/>
      <c r="V1122" s="442"/>
      <c r="W1122" s="442"/>
      <c r="X1122" s="442"/>
    </row>
    <row r="1123" spans="1:24" ht="12.75">
      <c r="A1123" s="438" t="s">
        <v>480</v>
      </c>
      <c r="B1123" s="439" t="s">
        <v>166</v>
      </c>
      <c r="C1123" s="439" t="s">
        <v>774</v>
      </c>
      <c r="D1123" s="439">
        <v>2018</v>
      </c>
      <c r="E1123" s="439" t="s">
        <v>775</v>
      </c>
      <c r="F1123" s="440">
        <v>4</v>
      </c>
      <c r="G1123" s="441">
        <v>0</v>
      </c>
      <c r="H1123" s="440">
        <v>0</v>
      </c>
      <c r="I1123" s="440">
        <v>0</v>
      </c>
      <c r="J1123" s="440">
        <v>2</v>
      </c>
      <c r="K1123" s="441">
        <v>0</v>
      </c>
      <c r="L1123" s="440">
        <v>0</v>
      </c>
      <c r="M1123" s="440">
        <v>0</v>
      </c>
      <c r="N1123" s="440">
        <v>3</v>
      </c>
      <c r="O1123" s="440">
        <v>3</v>
      </c>
      <c r="P1123" s="440">
        <v>8</v>
      </c>
      <c r="Q1123" s="440">
        <v>0</v>
      </c>
      <c r="R1123" s="344">
        <f t="shared" si="193"/>
        <v>17</v>
      </c>
      <c r="S1123" s="367">
        <f t="shared" si="194"/>
        <v>3</v>
      </c>
      <c r="T1123" s="443">
        <f>SUM(G1118:G1123)</f>
        <v>64</v>
      </c>
      <c r="U1123" s="443">
        <f>SUM(K1118:K1123)</f>
        <v>26</v>
      </c>
      <c r="V1123" s="443">
        <f>SUM(O1118:O1123)</f>
        <v>13</v>
      </c>
      <c r="W1123" s="443">
        <f>SUM(Q1118:Q1123)</f>
        <v>704</v>
      </c>
      <c r="X1123" s="443">
        <f>T1123+U1123+V1123+W1123</f>
        <v>807</v>
      </c>
    </row>
    <row r="1124" spans="1:24" ht="12.75">
      <c r="A1124" s="346" t="s">
        <v>476</v>
      </c>
      <c r="B1124" s="347" t="s">
        <v>166</v>
      </c>
      <c r="C1124" s="347" t="s">
        <v>782</v>
      </c>
      <c r="D1124" s="347">
        <v>2019</v>
      </c>
      <c r="E1124" s="347" t="s">
        <v>775</v>
      </c>
      <c r="F1124" s="348">
        <v>116</v>
      </c>
      <c r="G1124" s="348">
        <v>1</v>
      </c>
      <c r="H1124" s="348">
        <v>0</v>
      </c>
      <c r="I1124" s="348">
        <v>1</v>
      </c>
      <c r="J1124" s="348">
        <v>54</v>
      </c>
      <c r="K1124" s="348">
        <v>0</v>
      </c>
      <c r="L1124" s="348">
        <v>0</v>
      </c>
      <c r="M1124" s="348">
        <v>0</v>
      </c>
      <c r="N1124" s="348">
        <v>58</v>
      </c>
      <c r="O1124" s="348">
        <v>0</v>
      </c>
      <c r="P1124" s="348">
        <v>164</v>
      </c>
      <c r="Q1124" s="348">
        <v>0</v>
      </c>
      <c r="R1124" s="350">
        <f t="shared" si="193"/>
        <v>392</v>
      </c>
      <c r="S1124" s="348">
        <f t="shared" si="194"/>
        <v>1</v>
      </c>
      <c r="T1124" s="348"/>
      <c r="U1124" s="348"/>
      <c r="V1124" s="348"/>
      <c r="W1124" s="349"/>
      <c r="X1124" s="349"/>
    </row>
    <row r="1125" spans="1:24" ht="12.75">
      <c r="A1125" s="346" t="s">
        <v>477</v>
      </c>
      <c r="B1125" s="347" t="s">
        <v>166</v>
      </c>
      <c r="C1125" s="347" t="s">
        <v>782</v>
      </c>
      <c r="D1125" s="347">
        <v>2019</v>
      </c>
      <c r="E1125" s="347" t="s">
        <v>775</v>
      </c>
      <c r="F1125" s="348">
        <v>6</v>
      </c>
      <c r="G1125" s="348">
        <v>0</v>
      </c>
      <c r="H1125" s="348">
        <v>0</v>
      </c>
      <c r="I1125" s="348">
        <v>0</v>
      </c>
      <c r="J1125" s="348">
        <v>2</v>
      </c>
      <c r="K1125" s="348">
        <v>1</v>
      </c>
      <c r="L1125" s="348">
        <v>0</v>
      </c>
      <c r="M1125" s="348">
        <v>1</v>
      </c>
      <c r="N1125" s="348">
        <v>4</v>
      </c>
      <c r="O1125" s="348">
        <v>1</v>
      </c>
      <c r="P1125" s="348">
        <v>15</v>
      </c>
      <c r="Q1125" s="348">
        <v>3</v>
      </c>
      <c r="R1125" s="350">
        <f t="shared" si="193"/>
        <v>27</v>
      </c>
      <c r="S1125" s="348">
        <f t="shared" si="194"/>
        <v>5</v>
      </c>
      <c r="T1125" s="348"/>
      <c r="U1125" s="348"/>
      <c r="V1125" s="348"/>
      <c r="W1125" s="349"/>
      <c r="X1125" s="349"/>
    </row>
    <row r="1126" spans="1:24" ht="12.75">
      <c r="A1126" s="346" t="s">
        <v>166</v>
      </c>
      <c r="B1126" s="347" t="s">
        <v>166</v>
      </c>
      <c r="C1126" s="347" t="s">
        <v>782</v>
      </c>
      <c r="D1126" s="347">
        <v>2019</v>
      </c>
      <c r="E1126" s="347" t="s">
        <v>775</v>
      </c>
      <c r="F1126" s="348">
        <v>185</v>
      </c>
      <c r="G1126" s="348">
        <v>0</v>
      </c>
      <c r="H1126" s="348">
        <v>0</v>
      </c>
      <c r="I1126" s="348">
        <v>0</v>
      </c>
      <c r="J1126" s="348">
        <v>106</v>
      </c>
      <c r="K1126" s="348">
        <v>27</v>
      </c>
      <c r="L1126" s="348">
        <v>16</v>
      </c>
      <c r="M1126" s="348">
        <v>11</v>
      </c>
      <c r="N1126" s="348">
        <v>141</v>
      </c>
      <c r="O1126" s="348">
        <v>41</v>
      </c>
      <c r="P1126" s="348">
        <v>403</v>
      </c>
      <c r="Q1126" s="348">
        <v>92</v>
      </c>
      <c r="R1126" s="350">
        <f t="shared" si="193"/>
        <v>835</v>
      </c>
      <c r="S1126" s="348">
        <f t="shared" si="194"/>
        <v>160</v>
      </c>
      <c r="T1126" s="348"/>
      <c r="U1126" s="348"/>
      <c r="V1126" s="348"/>
      <c r="W1126" s="349"/>
      <c r="X1126" s="349"/>
    </row>
    <row r="1127" spans="1:24" ht="12.75">
      <c r="A1127" s="346" t="s">
        <v>478</v>
      </c>
      <c r="B1127" s="347" t="s">
        <v>166</v>
      </c>
      <c r="C1127" s="347" t="s">
        <v>782</v>
      </c>
      <c r="D1127" s="347">
        <v>2019</v>
      </c>
      <c r="E1127" s="347" t="s">
        <v>775</v>
      </c>
      <c r="F1127" s="348">
        <v>51</v>
      </c>
      <c r="G1127" s="348">
        <v>1</v>
      </c>
      <c r="H1127" s="348">
        <v>0</v>
      </c>
      <c r="I1127" s="348">
        <v>1</v>
      </c>
      <c r="J1127" s="348">
        <v>30</v>
      </c>
      <c r="K1127" s="348">
        <v>2</v>
      </c>
      <c r="L1127" s="348">
        <v>0</v>
      </c>
      <c r="M1127" s="348">
        <v>2</v>
      </c>
      <c r="N1127" s="348">
        <v>32</v>
      </c>
      <c r="O1127" s="348">
        <v>3</v>
      </c>
      <c r="P1127" s="348">
        <v>67</v>
      </c>
      <c r="Q1127" s="348">
        <v>17</v>
      </c>
      <c r="R1127" s="350">
        <f t="shared" si="193"/>
        <v>180</v>
      </c>
      <c r="S1127" s="348">
        <f t="shared" si="194"/>
        <v>23</v>
      </c>
      <c r="T1127" s="348"/>
      <c r="U1127" s="348"/>
      <c r="V1127" s="348"/>
      <c r="W1127" s="349"/>
      <c r="X1127" s="349"/>
    </row>
    <row r="1128" spans="1:24" ht="12.75">
      <c r="A1128" s="346" t="s">
        <v>479</v>
      </c>
      <c r="B1128" s="347" t="s">
        <v>166</v>
      </c>
      <c r="C1128" s="347" t="s">
        <v>782</v>
      </c>
      <c r="D1128" s="347">
        <v>2019</v>
      </c>
      <c r="E1128" s="347" t="s">
        <v>775</v>
      </c>
      <c r="F1128" s="348">
        <v>8</v>
      </c>
      <c r="G1128" s="348">
        <v>2</v>
      </c>
      <c r="H1128" s="348">
        <v>2</v>
      </c>
      <c r="I1128" s="348">
        <v>0</v>
      </c>
      <c r="J1128" s="348">
        <v>5</v>
      </c>
      <c r="K1128" s="348">
        <v>6</v>
      </c>
      <c r="L1128" s="348">
        <v>6</v>
      </c>
      <c r="M1128" s="348">
        <v>0</v>
      </c>
      <c r="N1128" s="348">
        <v>5</v>
      </c>
      <c r="O1128" s="348">
        <v>0</v>
      </c>
      <c r="P1128" s="348">
        <v>13</v>
      </c>
      <c r="Q1128" s="348">
        <v>4</v>
      </c>
      <c r="R1128" s="350">
        <f t="shared" si="193"/>
        <v>31</v>
      </c>
      <c r="S1128" s="348">
        <f t="shared" si="194"/>
        <v>12</v>
      </c>
      <c r="T1128" s="348"/>
      <c r="U1128" s="348"/>
      <c r="V1128" s="348"/>
      <c r="W1128" s="349"/>
      <c r="X1128" s="349"/>
    </row>
    <row r="1129" spans="1:24" ht="12.75">
      <c r="A1129" s="346" t="s">
        <v>480</v>
      </c>
      <c r="B1129" s="347" t="s">
        <v>166</v>
      </c>
      <c r="C1129" s="347" t="s">
        <v>782</v>
      </c>
      <c r="D1129" s="347">
        <v>2019</v>
      </c>
      <c r="E1129" s="347" t="s">
        <v>775</v>
      </c>
      <c r="F1129" s="348">
        <v>4</v>
      </c>
      <c r="G1129" s="348">
        <v>0</v>
      </c>
      <c r="H1129" s="348">
        <v>0</v>
      </c>
      <c r="I1129" s="348">
        <v>0</v>
      </c>
      <c r="J1129" s="348">
        <v>2</v>
      </c>
      <c r="K1129" s="348">
        <v>0</v>
      </c>
      <c r="L1129" s="348">
        <v>0</v>
      </c>
      <c r="M1129" s="348">
        <v>0</v>
      </c>
      <c r="N1129" s="348">
        <v>3</v>
      </c>
      <c r="O1129" s="348">
        <v>0</v>
      </c>
      <c r="P1129" s="348">
        <v>8</v>
      </c>
      <c r="Q1129" s="348">
        <v>0</v>
      </c>
      <c r="R1129" s="350">
        <f t="shared" si="193"/>
        <v>17</v>
      </c>
      <c r="S1129" s="348">
        <f t="shared" si="194"/>
        <v>0</v>
      </c>
      <c r="T1129" s="410">
        <f>SUM(G1124:G1129)</f>
        <v>4</v>
      </c>
      <c r="U1129" s="410">
        <f>SUM(K1124:K1129)</f>
        <v>36</v>
      </c>
      <c r="V1129" s="410">
        <f>SUM(O1124:O1129)</f>
        <v>45</v>
      </c>
      <c r="W1129" s="410">
        <f>SUM(Q1124:Q1129)</f>
        <v>116</v>
      </c>
      <c r="X1129" s="410">
        <f>T1129+U1129+V1129+W1129</f>
        <v>201</v>
      </c>
    </row>
    <row r="1130" spans="1:24" ht="12.75">
      <c r="A1130" s="449"/>
      <c r="B1130" s="450"/>
      <c r="C1130" s="450"/>
      <c r="D1130" s="450"/>
      <c r="E1130" s="450"/>
      <c r="F1130" s="451"/>
      <c r="G1130" s="451"/>
      <c r="H1130" s="452"/>
      <c r="I1130" s="451"/>
      <c r="J1130" s="451"/>
      <c r="K1130" s="451"/>
      <c r="L1130" s="451"/>
      <c r="M1130" s="451"/>
      <c r="N1130" s="451"/>
      <c r="O1130" s="451"/>
      <c r="P1130" s="451"/>
      <c r="Q1130" s="452"/>
      <c r="R1130" s="182"/>
      <c r="S1130" s="361" t="s">
        <v>783</v>
      </c>
      <c r="T1130" s="448">
        <f t="shared" ref="T1130:X1130" si="195">SUM(T1099:T1129)</f>
        <v>146</v>
      </c>
      <c r="U1130" s="448">
        <f t="shared" si="195"/>
        <v>110</v>
      </c>
      <c r="V1130" s="448">
        <f t="shared" si="195"/>
        <v>265</v>
      </c>
      <c r="W1130" s="448">
        <f t="shared" si="195"/>
        <v>1132</v>
      </c>
      <c r="X1130" s="448">
        <f t="shared" si="195"/>
        <v>1653</v>
      </c>
    </row>
    <row r="1131" spans="1:24" ht="12.75">
      <c r="A1131" s="449"/>
      <c r="B1131" s="450"/>
      <c r="C1131" s="450"/>
      <c r="D1131" s="450"/>
      <c r="E1131" s="450"/>
      <c r="F1131" s="451"/>
      <c r="G1131" s="451"/>
      <c r="H1131" s="452"/>
      <c r="I1131" s="451"/>
      <c r="J1131" s="451"/>
      <c r="K1131" s="451"/>
      <c r="L1131" s="451"/>
      <c r="M1131" s="451"/>
      <c r="N1131" s="451"/>
      <c r="O1131" s="451"/>
      <c r="P1131" s="451"/>
      <c r="Q1131" s="452"/>
      <c r="R1131" s="182"/>
      <c r="S1131" s="362"/>
      <c r="T1131" s="97"/>
      <c r="U1131" s="97"/>
      <c r="V1131" s="97"/>
      <c r="W1131" s="97"/>
      <c r="X1131" s="97"/>
    </row>
    <row r="1132" spans="1:24" ht="12.75">
      <c r="A1132" s="417" t="s">
        <v>481</v>
      </c>
      <c r="B1132" s="418" t="s">
        <v>168</v>
      </c>
      <c r="C1132" s="418" t="s">
        <v>784</v>
      </c>
      <c r="D1132" s="418">
        <v>2014</v>
      </c>
      <c r="E1132" s="418" t="s">
        <v>775</v>
      </c>
      <c r="F1132" s="419">
        <v>122</v>
      </c>
      <c r="G1132" s="419">
        <v>10</v>
      </c>
      <c r="H1132" s="420">
        <v>10</v>
      </c>
      <c r="I1132" s="419">
        <v>0</v>
      </c>
      <c r="J1132" s="419">
        <v>88</v>
      </c>
      <c r="K1132" s="419">
        <v>74</v>
      </c>
      <c r="L1132" s="419">
        <v>72</v>
      </c>
      <c r="M1132" s="419">
        <v>2</v>
      </c>
      <c r="N1132" s="419">
        <v>100</v>
      </c>
      <c r="O1132" s="419">
        <v>0</v>
      </c>
      <c r="P1132" s="419">
        <v>220</v>
      </c>
      <c r="Q1132" s="420">
        <v>0</v>
      </c>
      <c r="R1132" s="311">
        <f t="shared" ref="R1132:R1151" si="196">F1132+J1132+N1132+P1132</f>
        <v>530</v>
      </c>
      <c r="S1132" s="363">
        <f t="shared" ref="S1132:S1151" si="197">K1132+O1132+G1132+Q1132</f>
        <v>84</v>
      </c>
      <c r="T1132" s="421"/>
      <c r="U1132" s="421"/>
      <c r="V1132" s="421"/>
      <c r="W1132" s="421"/>
      <c r="X1132" s="421"/>
    </row>
    <row r="1133" spans="1:24" ht="12.75">
      <c r="A1133" s="417" t="s">
        <v>483</v>
      </c>
      <c r="B1133" s="463" t="s">
        <v>168</v>
      </c>
      <c r="C1133" s="418" t="s">
        <v>784</v>
      </c>
      <c r="D1133" s="418">
        <v>2014</v>
      </c>
      <c r="E1133" s="418" t="s">
        <v>775</v>
      </c>
      <c r="F1133" s="419">
        <v>174</v>
      </c>
      <c r="G1133" s="419">
        <v>7</v>
      </c>
      <c r="H1133" s="420">
        <v>0</v>
      </c>
      <c r="I1133" s="419">
        <v>7</v>
      </c>
      <c r="J1133" s="419">
        <v>126</v>
      </c>
      <c r="K1133" s="419">
        <v>17</v>
      </c>
      <c r="L1133" s="419">
        <v>0</v>
      </c>
      <c r="M1133" s="419">
        <v>17</v>
      </c>
      <c r="N1133" s="419">
        <v>150</v>
      </c>
      <c r="O1133" s="419">
        <v>32</v>
      </c>
      <c r="P1133" s="419">
        <v>314</v>
      </c>
      <c r="Q1133" s="420">
        <v>75</v>
      </c>
      <c r="R1133" s="311">
        <f t="shared" si="196"/>
        <v>764</v>
      </c>
      <c r="S1133" s="363">
        <f t="shared" si="197"/>
        <v>131</v>
      </c>
      <c r="T1133" s="421"/>
      <c r="U1133" s="421"/>
      <c r="V1133" s="421"/>
      <c r="W1133" s="421"/>
      <c r="X1133" s="421"/>
    </row>
    <row r="1134" spans="1:24" ht="12.75">
      <c r="A1134" s="464" t="s">
        <v>484</v>
      </c>
      <c r="B1134" s="465" t="s">
        <v>168</v>
      </c>
      <c r="C1134" s="465" t="s">
        <v>784</v>
      </c>
      <c r="D1134" s="465">
        <v>2014</v>
      </c>
      <c r="E1134" s="465" t="s">
        <v>775</v>
      </c>
      <c r="F1134" s="420">
        <v>108</v>
      </c>
      <c r="G1134" s="419">
        <v>0</v>
      </c>
      <c r="H1134" s="420">
        <v>0</v>
      </c>
      <c r="I1134" s="420">
        <v>0</v>
      </c>
      <c r="J1134" s="419">
        <v>75</v>
      </c>
      <c r="K1134" s="419">
        <v>0</v>
      </c>
      <c r="L1134" s="420">
        <v>0</v>
      </c>
      <c r="M1134" s="420">
        <v>0</v>
      </c>
      <c r="N1134" s="420">
        <v>78</v>
      </c>
      <c r="O1134" s="420">
        <v>0</v>
      </c>
      <c r="P1134" s="420">
        <v>199</v>
      </c>
      <c r="Q1134" s="420">
        <v>95</v>
      </c>
      <c r="R1134" s="311">
        <f t="shared" si="196"/>
        <v>460</v>
      </c>
      <c r="S1134" s="363">
        <f t="shared" si="197"/>
        <v>95</v>
      </c>
      <c r="T1134" s="314">
        <f>SUM(G1132:G1134)</f>
        <v>17</v>
      </c>
      <c r="U1134" s="314">
        <f>SUM(K1132:K1134)</f>
        <v>91</v>
      </c>
      <c r="V1134" s="314">
        <f>SUM(O1132:O1134)</f>
        <v>32</v>
      </c>
      <c r="W1134" s="314">
        <f>SUM(Q1132:Q1134)</f>
        <v>170</v>
      </c>
      <c r="X1134" s="314">
        <f>T1134+U1134+V1134+W1134</f>
        <v>310</v>
      </c>
    </row>
    <row r="1135" spans="1:24" ht="12.75">
      <c r="A1135" s="422" t="s">
        <v>481</v>
      </c>
      <c r="B1135" s="423" t="s">
        <v>168</v>
      </c>
      <c r="C1135" s="423" t="s">
        <v>784</v>
      </c>
      <c r="D1135" s="423">
        <v>2015</v>
      </c>
      <c r="E1135" s="423" t="s">
        <v>775</v>
      </c>
      <c r="F1135" s="424">
        <v>122</v>
      </c>
      <c r="G1135" s="424">
        <v>2</v>
      </c>
      <c r="H1135" s="425">
        <v>2</v>
      </c>
      <c r="I1135" s="424">
        <v>0</v>
      </c>
      <c r="J1135" s="424">
        <v>88</v>
      </c>
      <c r="K1135" s="424">
        <v>0</v>
      </c>
      <c r="L1135" s="424">
        <v>0</v>
      </c>
      <c r="M1135" s="424">
        <v>0</v>
      </c>
      <c r="N1135" s="424">
        <v>100</v>
      </c>
      <c r="O1135" s="424">
        <v>0</v>
      </c>
      <c r="P1135" s="424">
        <v>220</v>
      </c>
      <c r="Q1135" s="425">
        <v>5</v>
      </c>
      <c r="R1135" s="319">
        <f t="shared" si="196"/>
        <v>530</v>
      </c>
      <c r="S1135" s="364">
        <f t="shared" si="197"/>
        <v>7</v>
      </c>
      <c r="T1135" s="426"/>
      <c r="U1135" s="426"/>
      <c r="V1135" s="426"/>
      <c r="W1135" s="426"/>
      <c r="X1135" s="426"/>
    </row>
    <row r="1136" spans="1:24" ht="12.75">
      <c r="A1136" s="422" t="s">
        <v>483</v>
      </c>
      <c r="B1136" s="423" t="s">
        <v>168</v>
      </c>
      <c r="C1136" s="423" t="s">
        <v>784</v>
      </c>
      <c r="D1136" s="423">
        <v>2015</v>
      </c>
      <c r="E1136" s="423" t="s">
        <v>775</v>
      </c>
      <c r="F1136" s="424">
        <v>174</v>
      </c>
      <c r="G1136" s="424">
        <v>27</v>
      </c>
      <c r="H1136" s="425">
        <v>0</v>
      </c>
      <c r="I1136" s="424">
        <v>27</v>
      </c>
      <c r="J1136" s="424">
        <v>126</v>
      </c>
      <c r="K1136" s="424">
        <v>20</v>
      </c>
      <c r="L1136" s="424">
        <v>20</v>
      </c>
      <c r="M1136" s="424">
        <v>0</v>
      </c>
      <c r="N1136" s="424">
        <v>150</v>
      </c>
      <c r="O1136" s="424">
        <v>29</v>
      </c>
      <c r="P1136" s="424">
        <v>314</v>
      </c>
      <c r="Q1136" s="425">
        <v>70</v>
      </c>
      <c r="R1136" s="319">
        <f t="shared" si="196"/>
        <v>764</v>
      </c>
      <c r="S1136" s="364">
        <f t="shared" si="197"/>
        <v>146</v>
      </c>
      <c r="T1136" s="426"/>
      <c r="U1136" s="426"/>
      <c r="V1136" s="426"/>
      <c r="W1136" s="426"/>
      <c r="X1136" s="426"/>
    </row>
    <row r="1137" spans="1:24" ht="12.75">
      <c r="A1137" s="457" t="s">
        <v>484</v>
      </c>
      <c r="B1137" s="458" t="s">
        <v>168</v>
      </c>
      <c r="C1137" s="458" t="s">
        <v>784</v>
      </c>
      <c r="D1137" s="458">
        <v>2015</v>
      </c>
      <c r="E1137" s="458" t="s">
        <v>775</v>
      </c>
      <c r="F1137" s="425">
        <v>108</v>
      </c>
      <c r="G1137" s="424">
        <v>0</v>
      </c>
      <c r="H1137" s="425">
        <v>0</v>
      </c>
      <c r="I1137" s="425">
        <v>0</v>
      </c>
      <c r="J1137" s="424">
        <v>75</v>
      </c>
      <c r="K1137" s="424">
        <v>0</v>
      </c>
      <c r="L1137" s="425">
        <v>0</v>
      </c>
      <c r="M1137" s="425">
        <v>0</v>
      </c>
      <c r="N1137" s="425">
        <v>78</v>
      </c>
      <c r="O1137" s="425">
        <v>0</v>
      </c>
      <c r="P1137" s="425">
        <v>199</v>
      </c>
      <c r="Q1137" s="425">
        <v>87</v>
      </c>
      <c r="R1137" s="319">
        <f t="shared" si="196"/>
        <v>460</v>
      </c>
      <c r="S1137" s="364">
        <f t="shared" si="197"/>
        <v>87</v>
      </c>
      <c r="T1137" s="323">
        <f>SUM(G1135:G1137)</f>
        <v>29</v>
      </c>
      <c r="U1137" s="323">
        <f>SUM(K1135:K1137)</f>
        <v>20</v>
      </c>
      <c r="V1137" s="323">
        <f>SUM(O1135:O1137)</f>
        <v>29</v>
      </c>
      <c r="W1137" s="323">
        <f>SUM(Q1135:Q1137)</f>
        <v>162</v>
      </c>
      <c r="X1137" s="323">
        <f>T1137+U1137+V1137+W1137</f>
        <v>240</v>
      </c>
    </row>
    <row r="1138" spans="1:24" ht="12.75">
      <c r="A1138" s="428" t="s">
        <v>481</v>
      </c>
      <c r="B1138" s="429" t="s">
        <v>168</v>
      </c>
      <c r="C1138" s="429" t="s">
        <v>784</v>
      </c>
      <c r="D1138" s="429">
        <v>2016</v>
      </c>
      <c r="E1138" s="429" t="s">
        <v>775</v>
      </c>
      <c r="F1138" s="430">
        <v>122</v>
      </c>
      <c r="G1138" s="430">
        <v>1</v>
      </c>
      <c r="H1138" s="431">
        <v>1</v>
      </c>
      <c r="I1138" s="430">
        <v>0</v>
      </c>
      <c r="J1138" s="430">
        <v>88</v>
      </c>
      <c r="K1138" s="430">
        <v>0</v>
      </c>
      <c r="L1138" s="430">
        <v>0</v>
      </c>
      <c r="M1138" s="430">
        <v>0</v>
      </c>
      <c r="N1138" s="430">
        <v>100</v>
      </c>
      <c r="O1138" s="430">
        <v>1</v>
      </c>
      <c r="P1138" s="430">
        <v>220</v>
      </c>
      <c r="Q1138" s="431">
        <v>0</v>
      </c>
      <c r="R1138" s="328">
        <f t="shared" si="196"/>
        <v>530</v>
      </c>
      <c r="S1138" s="365">
        <f t="shared" si="197"/>
        <v>2</v>
      </c>
      <c r="T1138" s="432"/>
      <c r="U1138" s="432"/>
      <c r="V1138" s="432"/>
      <c r="W1138" s="432"/>
      <c r="X1138" s="432"/>
    </row>
    <row r="1139" spans="1:24" ht="12.75">
      <c r="A1139" s="428" t="s">
        <v>483</v>
      </c>
      <c r="B1139" s="429" t="s">
        <v>168</v>
      </c>
      <c r="C1139" s="429" t="s">
        <v>784</v>
      </c>
      <c r="D1139" s="429">
        <v>2016</v>
      </c>
      <c r="E1139" s="429" t="s">
        <v>775</v>
      </c>
      <c r="F1139" s="430">
        <v>174</v>
      </c>
      <c r="G1139" s="430">
        <v>7</v>
      </c>
      <c r="H1139" s="431">
        <v>7</v>
      </c>
      <c r="I1139" s="430">
        <v>0</v>
      </c>
      <c r="J1139" s="430">
        <v>126</v>
      </c>
      <c r="K1139" s="430">
        <v>18</v>
      </c>
      <c r="L1139" s="430">
        <v>18</v>
      </c>
      <c r="M1139" s="430">
        <v>0</v>
      </c>
      <c r="N1139" s="430">
        <v>150</v>
      </c>
      <c r="O1139" s="430">
        <v>22</v>
      </c>
      <c r="P1139" s="430">
        <v>314</v>
      </c>
      <c r="Q1139" s="431">
        <v>54</v>
      </c>
      <c r="R1139" s="328">
        <f t="shared" si="196"/>
        <v>764</v>
      </c>
      <c r="S1139" s="365">
        <f t="shared" si="197"/>
        <v>101</v>
      </c>
      <c r="T1139" s="432"/>
      <c r="U1139" s="432"/>
      <c r="V1139" s="432"/>
      <c r="W1139" s="432"/>
      <c r="X1139" s="432"/>
    </row>
    <row r="1140" spans="1:24" ht="12.75">
      <c r="A1140" s="459" t="s">
        <v>484</v>
      </c>
      <c r="B1140" s="460" t="s">
        <v>168</v>
      </c>
      <c r="C1140" s="460" t="s">
        <v>784</v>
      </c>
      <c r="D1140" s="460">
        <v>2016</v>
      </c>
      <c r="E1140" s="460" t="s">
        <v>775</v>
      </c>
      <c r="F1140" s="431">
        <v>108</v>
      </c>
      <c r="G1140" s="430">
        <v>0</v>
      </c>
      <c r="H1140" s="431">
        <v>0</v>
      </c>
      <c r="I1140" s="431">
        <v>0</v>
      </c>
      <c r="J1140" s="430">
        <v>75</v>
      </c>
      <c r="K1140" s="430">
        <v>0</v>
      </c>
      <c r="L1140" s="431">
        <v>0</v>
      </c>
      <c r="M1140" s="431">
        <v>0</v>
      </c>
      <c r="N1140" s="431">
        <v>78</v>
      </c>
      <c r="O1140" s="431">
        <v>0</v>
      </c>
      <c r="P1140" s="431">
        <v>199</v>
      </c>
      <c r="Q1140" s="431">
        <v>116</v>
      </c>
      <c r="R1140" s="328">
        <f t="shared" si="196"/>
        <v>460</v>
      </c>
      <c r="S1140" s="365">
        <f t="shared" si="197"/>
        <v>116</v>
      </c>
      <c r="T1140" s="331">
        <f>SUM(G1138:G1140)</f>
        <v>8</v>
      </c>
      <c r="U1140" s="331">
        <f>SUM(K1138:K1140)</f>
        <v>18</v>
      </c>
      <c r="V1140" s="331">
        <f>SUM(O1138:O1140)</f>
        <v>23</v>
      </c>
      <c r="W1140" s="331">
        <f>SUM(Q1138:Q1140)</f>
        <v>170</v>
      </c>
      <c r="X1140" s="331">
        <f>T1140+U1140+V1140+W1140</f>
        <v>219</v>
      </c>
    </row>
    <row r="1141" spans="1:24" ht="12.75">
      <c r="A1141" s="433" t="s">
        <v>481</v>
      </c>
      <c r="B1141" s="434" t="s">
        <v>168</v>
      </c>
      <c r="C1141" s="434" t="s">
        <v>784</v>
      </c>
      <c r="D1141" s="434">
        <v>2017</v>
      </c>
      <c r="E1141" s="434" t="s">
        <v>775</v>
      </c>
      <c r="F1141" s="435">
        <v>122</v>
      </c>
      <c r="G1141" s="435">
        <v>2</v>
      </c>
      <c r="H1141" s="436">
        <v>2</v>
      </c>
      <c r="I1141" s="435">
        <v>0</v>
      </c>
      <c r="J1141" s="435">
        <v>88</v>
      </c>
      <c r="K1141" s="435">
        <v>2</v>
      </c>
      <c r="L1141" s="435">
        <v>0</v>
      </c>
      <c r="M1141" s="435">
        <v>2</v>
      </c>
      <c r="N1141" s="435">
        <v>100</v>
      </c>
      <c r="O1141" s="435">
        <v>1</v>
      </c>
      <c r="P1141" s="435">
        <v>220</v>
      </c>
      <c r="Q1141" s="436">
        <v>38</v>
      </c>
      <c r="R1141" s="336">
        <f t="shared" si="196"/>
        <v>530</v>
      </c>
      <c r="S1141" s="366">
        <f t="shared" si="197"/>
        <v>43</v>
      </c>
      <c r="T1141" s="437"/>
      <c r="U1141" s="437"/>
      <c r="V1141" s="437"/>
      <c r="W1141" s="437"/>
      <c r="X1141" s="437"/>
    </row>
    <row r="1142" spans="1:24" ht="12.75">
      <c r="A1142" s="433" t="s">
        <v>483</v>
      </c>
      <c r="B1142" s="453" t="s">
        <v>168</v>
      </c>
      <c r="C1142" s="434" t="s">
        <v>784</v>
      </c>
      <c r="D1142" s="434">
        <v>2017</v>
      </c>
      <c r="E1142" s="434" t="s">
        <v>775</v>
      </c>
      <c r="F1142" s="435">
        <v>174</v>
      </c>
      <c r="G1142" s="435">
        <v>8</v>
      </c>
      <c r="H1142" s="436">
        <v>0</v>
      </c>
      <c r="I1142" s="435">
        <v>8</v>
      </c>
      <c r="J1142" s="435">
        <v>126</v>
      </c>
      <c r="K1142" s="435">
        <v>18</v>
      </c>
      <c r="L1142" s="435">
        <v>0</v>
      </c>
      <c r="M1142" s="435">
        <v>18</v>
      </c>
      <c r="N1142" s="435">
        <v>150</v>
      </c>
      <c r="O1142" s="435">
        <v>27</v>
      </c>
      <c r="P1142" s="435">
        <v>314</v>
      </c>
      <c r="Q1142" s="436">
        <v>60</v>
      </c>
      <c r="R1142" s="336">
        <f t="shared" si="196"/>
        <v>764</v>
      </c>
      <c r="S1142" s="366">
        <f t="shared" si="197"/>
        <v>113</v>
      </c>
      <c r="T1142" s="437"/>
      <c r="U1142" s="437"/>
      <c r="V1142" s="437"/>
      <c r="W1142" s="437"/>
      <c r="X1142" s="437"/>
    </row>
    <row r="1143" spans="1:24" ht="12.75">
      <c r="A1143" s="461" t="s">
        <v>484</v>
      </c>
      <c r="B1143" s="462" t="s">
        <v>168</v>
      </c>
      <c r="C1143" s="462" t="s">
        <v>784</v>
      </c>
      <c r="D1143" s="462">
        <v>2017</v>
      </c>
      <c r="E1143" s="462" t="s">
        <v>775</v>
      </c>
      <c r="F1143" s="436">
        <v>108</v>
      </c>
      <c r="G1143" s="435">
        <v>0</v>
      </c>
      <c r="H1143" s="436">
        <v>0</v>
      </c>
      <c r="I1143" s="436">
        <v>0</v>
      </c>
      <c r="J1143" s="435">
        <v>75</v>
      </c>
      <c r="K1143" s="435">
        <v>0</v>
      </c>
      <c r="L1143" s="436">
        <v>0</v>
      </c>
      <c r="M1143" s="436">
        <v>0</v>
      </c>
      <c r="N1143" s="436">
        <v>78</v>
      </c>
      <c r="O1143" s="436">
        <v>0</v>
      </c>
      <c r="P1143" s="436">
        <v>199</v>
      </c>
      <c r="Q1143" s="436">
        <v>93</v>
      </c>
      <c r="R1143" s="336">
        <f t="shared" si="196"/>
        <v>460</v>
      </c>
      <c r="S1143" s="366">
        <f t="shared" si="197"/>
        <v>93</v>
      </c>
      <c r="T1143" s="339">
        <f>SUM(G1141:G1143)</f>
        <v>10</v>
      </c>
      <c r="U1143" s="339">
        <f>SUM(K1141:K1143)</f>
        <v>20</v>
      </c>
      <c r="V1143" s="339">
        <f>SUM(O1141:O1143)</f>
        <v>28</v>
      </c>
      <c r="W1143" s="339">
        <f>SUM(Q1141:Q1143)</f>
        <v>191</v>
      </c>
      <c r="X1143" s="339">
        <f>T1143+U1143+V1143+W1143</f>
        <v>249</v>
      </c>
    </row>
    <row r="1144" spans="1:24" ht="12.75">
      <c r="A1144" s="438" t="s">
        <v>481</v>
      </c>
      <c r="B1144" s="439" t="s">
        <v>168</v>
      </c>
      <c r="C1144" s="439" t="s">
        <v>784</v>
      </c>
      <c r="D1144" s="439">
        <v>2018</v>
      </c>
      <c r="E1144" s="439" t="s">
        <v>775</v>
      </c>
      <c r="F1144" s="440">
        <v>122</v>
      </c>
      <c r="G1144" s="441">
        <v>0</v>
      </c>
      <c r="H1144" s="440">
        <v>0</v>
      </c>
      <c r="I1144" s="440">
        <v>0</v>
      </c>
      <c r="J1144" s="440">
        <v>88</v>
      </c>
      <c r="K1144" s="441">
        <v>3</v>
      </c>
      <c r="L1144" s="440">
        <v>0</v>
      </c>
      <c r="M1144" s="440">
        <v>3</v>
      </c>
      <c r="N1144" s="440">
        <v>100</v>
      </c>
      <c r="O1144" s="440">
        <v>0</v>
      </c>
      <c r="P1144" s="440">
        <v>220</v>
      </c>
      <c r="Q1144" s="440">
        <v>6</v>
      </c>
      <c r="R1144" s="344">
        <f t="shared" si="196"/>
        <v>530</v>
      </c>
      <c r="S1144" s="367">
        <f t="shared" si="197"/>
        <v>9</v>
      </c>
      <c r="T1144" s="442"/>
      <c r="U1144" s="442"/>
      <c r="V1144" s="442"/>
      <c r="W1144" s="442"/>
      <c r="X1144" s="442"/>
    </row>
    <row r="1145" spans="1:24" ht="12.75">
      <c r="A1145" s="438" t="s">
        <v>482</v>
      </c>
      <c r="B1145" s="439" t="s">
        <v>168</v>
      </c>
      <c r="C1145" s="439" t="s">
        <v>784</v>
      </c>
      <c r="D1145" s="439">
        <v>2018</v>
      </c>
      <c r="E1145" s="439" t="s">
        <v>775</v>
      </c>
      <c r="F1145" s="440">
        <v>19</v>
      </c>
      <c r="G1145" s="441">
        <v>0</v>
      </c>
      <c r="H1145" s="440">
        <v>0</v>
      </c>
      <c r="I1145" s="440">
        <v>0</v>
      </c>
      <c r="J1145" s="440">
        <v>14</v>
      </c>
      <c r="K1145" s="441">
        <v>1</v>
      </c>
      <c r="L1145" s="440">
        <v>0</v>
      </c>
      <c r="M1145" s="440">
        <v>1</v>
      </c>
      <c r="N1145" s="440">
        <v>16</v>
      </c>
      <c r="O1145" s="440">
        <v>1</v>
      </c>
      <c r="P1145" s="440">
        <v>36</v>
      </c>
      <c r="Q1145" s="440">
        <v>1</v>
      </c>
      <c r="R1145" s="344">
        <f t="shared" si="196"/>
        <v>85</v>
      </c>
      <c r="S1145" s="367">
        <f t="shared" si="197"/>
        <v>3</v>
      </c>
      <c r="T1145" s="442"/>
      <c r="U1145" s="442"/>
      <c r="V1145" s="442"/>
      <c r="W1145" s="442"/>
      <c r="X1145" s="442"/>
    </row>
    <row r="1146" spans="1:24" ht="12.75">
      <c r="A1146" s="438" t="s">
        <v>483</v>
      </c>
      <c r="B1146" s="439" t="s">
        <v>168</v>
      </c>
      <c r="C1146" s="439" t="s">
        <v>784</v>
      </c>
      <c r="D1146" s="439">
        <v>2018</v>
      </c>
      <c r="E1146" s="439" t="s">
        <v>775</v>
      </c>
      <c r="F1146" s="440">
        <v>174</v>
      </c>
      <c r="G1146" s="441">
        <v>4</v>
      </c>
      <c r="H1146" s="440">
        <v>0</v>
      </c>
      <c r="I1146" s="440">
        <v>4</v>
      </c>
      <c r="J1146" s="440">
        <v>126</v>
      </c>
      <c r="K1146" s="441">
        <v>11</v>
      </c>
      <c r="L1146" s="440">
        <v>0</v>
      </c>
      <c r="M1146" s="440">
        <v>11</v>
      </c>
      <c r="N1146" s="440">
        <v>150</v>
      </c>
      <c r="O1146" s="440">
        <v>3</v>
      </c>
      <c r="P1146" s="440">
        <v>314</v>
      </c>
      <c r="Q1146" s="440">
        <v>10</v>
      </c>
      <c r="R1146" s="344">
        <f t="shared" si="196"/>
        <v>764</v>
      </c>
      <c r="S1146" s="367">
        <f t="shared" si="197"/>
        <v>28</v>
      </c>
      <c r="T1146" s="442"/>
      <c r="U1146" s="442"/>
      <c r="V1146" s="442"/>
      <c r="W1146" s="442"/>
      <c r="X1146" s="442"/>
    </row>
    <row r="1147" spans="1:24" ht="12.75">
      <c r="A1147" s="438" t="s">
        <v>484</v>
      </c>
      <c r="B1147" s="439" t="s">
        <v>168</v>
      </c>
      <c r="C1147" s="439" t="s">
        <v>784</v>
      </c>
      <c r="D1147" s="439">
        <v>2018</v>
      </c>
      <c r="E1147" s="439" t="s">
        <v>775</v>
      </c>
      <c r="F1147" s="440">
        <v>108</v>
      </c>
      <c r="G1147" s="441">
        <v>0</v>
      </c>
      <c r="H1147" s="440">
        <v>0</v>
      </c>
      <c r="I1147" s="440">
        <v>0</v>
      </c>
      <c r="J1147" s="440">
        <v>75</v>
      </c>
      <c r="K1147" s="441">
        <v>33</v>
      </c>
      <c r="L1147" s="440">
        <v>6</v>
      </c>
      <c r="M1147" s="440">
        <v>27</v>
      </c>
      <c r="N1147" s="440">
        <v>78</v>
      </c>
      <c r="O1147" s="440">
        <v>96</v>
      </c>
      <c r="P1147" s="440">
        <v>199</v>
      </c>
      <c r="Q1147" s="440">
        <v>122</v>
      </c>
      <c r="R1147" s="344">
        <f t="shared" si="196"/>
        <v>460</v>
      </c>
      <c r="S1147" s="367">
        <f t="shared" si="197"/>
        <v>251</v>
      </c>
      <c r="T1147" s="368">
        <f>SUM(G1144:G1147)</f>
        <v>4</v>
      </c>
      <c r="U1147" s="368">
        <f>SUM(K1144:K1147)</f>
        <v>48</v>
      </c>
      <c r="V1147" s="368">
        <f>SUM(O1144:O1147)</f>
        <v>100</v>
      </c>
      <c r="W1147" s="368">
        <f>SUM(Q1144:Q1147)</f>
        <v>139</v>
      </c>
      <c r="X1147" s="368">
        <f>T1147+U1147+V1147+W1147</f>
        <v>291</v>
      </c>
    </row>
    <row r="1148" spans="1:24" ht="12.75">
      <c r="A1148" s="346" t="s">
        <v>481</v>
      </c>
      <c r="B1148" s="347" t="s">
        <v>168</v>
      </c>
      <c r="C1148" s="347" t="s">
        <v>785</v>
      </c>
      <c r="D1148" s="347">
        <v>2019</v>
      </c>
      <c r="E1148" s="347" t="s">
        <v>775</v>
      </c>
      <c r="F1148" s="348">
        <v>122</v>
      </c>
      <c r="G1148" s="348">
        <v>0</v>
      </c>
      <c r="H1148" s="348">
        <v>0</v>
      </c>
      <c r="I1148" s="348">
        <v>0</v>
      </c>
      <c r="J1148" s="348">
        <v>88</v>
      </c>
      <c r="K1148" s="348">
        <v>36</v>
      </c>
      <c r="L1148" s="348">
        <v>1</v>
      </c>
      <c r="M1148" s="348">
        <v>35</v>
      </c>
      <c r="N1148" s="348">
        <v>100</v>
      </c>
      <c r="O1148" s="348">
        <v>0</v>
      </c>
      <c r="P1148" s="348">
        <v>220</v>
      </c>
      <c r="Q1148" s="348">
        <v>25</v>
      </c>
      <c r="R1148" s="350">
        <f t="shared" si="196"/>
        <v>530</v>
      </c>
      <c r="S1148" s="348">
        <f t="shared" si="197"/>
        <v>61</v>
      </c>
      <c r="T1148" s="348"/>
      <c r="U1148" s="348"/>
      <c r="V1148" s="348"/>
      <c r="W1148" s="349"/>
      <c r="X1148" s="349"/>
    </row>
    <row r="1149" spans="1:24" ht="12.75">
      <c r="A1149" s="346" t="s">
        <v>482</v>
      </c>
      <c r="B1149" s="347" t="s">
        <v>168</v>
      </c>
      <c r="C1149" s="347" t="s">
        <v>785</v>
      </c>
      <c r="D1149" s="347">
        <v>2019</v>
      </c>
      <c r="E1149" s="347" t="s">
        <v>775</v>
      </c>
      <c r="F1149" s="348">
        <v>19</v>
      </c>
      <c r="G1149" s="348">
        <v>0</v>
      </c>
      <c r="H1149" s="348">
        <v>0</v>
      </c>
      <c r="I1149" s="348">
        <v>0</v>
      </c>
      <c r="J1149" s="348">
        <v>14</v>
      </c>
      <c r="K1149" s="348">
        <v>0</v>
      </c>
      <c r="L1149" s="348">
        <v>0</v>
      </c>
      <c r="M1149" s="348">
        <v>0</v>
      </c>
      <c r="N1149" s="348">
        <v>16</v>
      </c>
      <c r="O1149" s="348">
        <v>1</v>
      </c>
      <c r="P1149" s="348">
        <v>36</v>
      </c>
      <c r="Q1149" s="348">
        <v>1</v>
      </c>
      <c r="R1149" s="350">
        <f t="shared" si="196"/>
        <v>85</v>
      </c>
      <c r="S1149" s="348">
        <f t="shared" si="197"/>
        <v>2</v>
      </c>
      <c r="T1149" s="348"/>
      <c r="U1149" s="348"/>
      <c r="V1149" s="348"/>
      <c r="W1149" s="349"/>
      <c r="X1149" s="349"/>
    </row>
    <row r="1150" spans="1:24" ht="12.75">
      <c r="A1150" s="346" t="s">
        <v>483</v>
      </c>
      <c r="B1150" s="347" t="s">
        <v>168</v>
      </c>
      <c r="C1150" s="347" t="s">
        <v>785</v>
      </c>
      <c r="D1150" s="347">
        <v>2019</v>
      </c>
      <c r="E1150" s="347" t="s">
        <v>775</v>
      </c>
      <c r="F1150" s="348">
        <v>174</v>
      </c>
      <c r="G1150" s="348">
        <v>0</v>
      </c>
      <c r="H1150" s="348">
        <v>0</v>
      </c>
      <c r="I1150" s="348">
        <v>0</v>
      </c>
      <c r="J1150" s="348">
        <v>126</v>
      </c>
      <c r="K1150" s="348">
        <v>0</v>
      </c>
      <c r="L1150" s="348">
        <v>0</v>
      </c>
      <c r="M1150" s="348">
        <v>0</v>
      </c>
      <c r="N1150" s="348">
        <v>150</v>
      </c>
      <c r="O1150" s="348">
        <v>0</v>
      </c>
      <c r="P1150" s="348">
        <v>314</v>
      </c>
      <c r="Q1150" s="348">
        <v>0</v>
      </c>
      <c r="R1150" s="350">
        <f t="shared" si="196"/>
        <v>764</v>
      </c>
      <c r="S1150" s="348">
        <f t="shared" si="197"/>
        <v>0</v>
      </c>
      <c r="T1150" s="348"/>
      <c r="U1150" s="348"/>
      <c r="V1150" s="348"/>
      <c r="W1150" s="349"/>
      <c r="X1150" s="349"/>
    </row>
    <row r="1151" spans="1:24" ht="12.75">
      <c r="A1151" s="346" t="s">
        <v>484</v>
      </c>
      <c r="B1151" s="347" t="s">
        <v>168</v>
      </c>
      <c r="C1151" s="347" t="s">
        <v>785</v>
      </c>
      <c r="D1151" s="347">
        <v>2019</v>
      </c>
      <c r="E1151" s="347" t="s">
        <v>775</v>
      </c>
      <c r="F1151" s="348">
        <v>108</v>
      </c>
      <c r="G1151" s="348">
        <v>64</v>
      </c>
      <c r="H1151" s="348">
        <v>64</v>
      </c>
      <c r="I1151" s="348">
        <v>0</v>
      </c>
      <c r="J1151" s="348">
        <v>75</v>
      </c>
      <c r="K1151" s="348">
        <v>16</v>
      </c>
      <c r="L1151" s="348">
        <v>15</v>
      </c>
      <c r="M1151" s="348">
        <v>1</v>
      </c>
      <c r="N1151" s="348">
        <v>78</v>
      </c>
      <c r="O1151" s="348">
        <v>0</v>
      </c>
      <c r="P1151" s="348">
        <v>199</v>
      </c>
      <c r="Q1151" s="348">
        <v>99</v>
      </c>
      <c r="R1151" s="350">
        <f t="shared" si="196"/>
        <v>460</v>
      </c>
      <c r="S1151" s="348">
        <f t="shared" si="197"/>
        <v>179</v>
      </c>
      <c r="T1151" s="399">
        <f>SUM(G1148:G1151)</f>
        <v>64</v>
      </c>
      <c r="U1151" s="399">
        <f>SUM(K1148:K1151)</f>
        <v>52</v>
      </c>
      <c r="V1151" s="399">
        <f>SUM(O1148:O1151)</f>
        <v>1</v>
      </c>
      <c r="W1151" s="399">
        <f>SUM(Q1148:Q1151)</f>
        <v>125</v>
      </c>
      <c r="X1151" s="399">
        <f>T1151+U1151+V1151+W1151</f>
        <v>242</v>
      </c>
    </row>
    <row r="1152" spans="1:24" ht="12.75">
      <c r="A1152" s="449"/>
      <c r="B1152" s="450"/>
      <c r="C1152" s="450"/>
      <c r="D1152" s="450"/>
      <c r="E1152" s="450"/>
      <c r="F1152" s="451"/>
      <c r="G1152" s="451"/>
      <c r="H1152" s="452"/>
      <c r="I1152" s="451"/>
      <c r="J1152" s="451"/>
      <c r="K1152" s="451"/>
      <c r="L1152" s="451"/>
      <c r="M1152" s="451"/>
      <c r="N1152" s="451"/>
      <c r="O1152" s="451"/>
      <c r="P1152" s="451"/>
      <c r="Q1152" s="452"/>
      <c r="R1152" s="182"/>
      <c r="S1152" s="361" t="s">
        <v>783</v>
      </c>
      <c r="T1152" s="448">
        <f t="shared" ref="T1152:X1152" si="198">SUM(T1132:T1151)</f>
        <v>132</v>
      </c>
      <c r="U1152" s="448">
        <f t="shared" si="198"/>
        <v>249</v>
      </c>
      <c r="V1152" s="448">
        <f t="shared" si="198"/>
        <v>213</v>
      </c>
      <c r="W1152" s="448">
        <f t="shared" si="198"/>
        <v>957</v>
      </c>
      <c r="X1152" s="448">
        <f t="shared" si="198"/>
        <v>1551</v>
      </c>
    </row>
    <row r="1153" spans="1:24" ht="12.75">
      <c r="A1153" s="449"/>
      <c r="B1153" s="450"/>
      <c r="C1153" s="450"/>
      <c r="D1153" s="450"/>
      <c r="E1153" s="450"/>
      <c r="F1153" s="451"/>
      <c r="G1153" s="451"/>
      <c r="H1153" s="452"/>
      <c r="I1153" s="451"/>
      <c r="J1153" s="451"/>
      <c r="K1153" s="451"/>
      <c r="L1153" s="451"/>
      <c r="M1153" s="451"/>
      <c r="N1153" s="451"/>
      <c r="O1153" s="451"/>
      <c r="P1153" s="451"/>
      <c r="Q1153" s="452"/>
      <c r="R1153" s="182"/>
      <c r="S1153" s="362"/>
      <c r="T1153" s="97"/>
      <c r="U1153" s="97"/>
      <c r="V1153" s="97"/>
      <c r="W1153" s="97"/>
      <c r="X1153" s="97"/>
    </row>
    <row r="1154" spans="1:24" ht="12.75">
      <c r="A1154" s="417" t="s">
        <v>485</v>
      </c>
      <c r="B1154" s="418" t="s">
        <v>169</v>
      </c>
      <c r="C1154" s="418" t="s">
        <v>812</v>
      </c>
      <c r="D1154" s="418">
        <v>2014</v>
      </c>
      <c r="E1154" s="418" t="s">
        <v>775</v>
      </c>
      <c r="F1154" s="419">
        <v>9</v>
      </c>
      <c r="G1154" s="419">
        <v>0</v>
      </c>
      <c r="H1154" s="420">
        <v>0</v>
      </c>
      <c r="I1154" s="419">
        <v>0</v>
      </c>
      <c r="J1154" s="419">
        <v>7</v>
      </c>
      <c r="K1154" s="419">
        <v>0</v>
      </c>
      <c r="L1154" s="419">
        <v>0</v>
      </c>
      <c r="M1154" s="419">
        <v>0</v>
      </c>
      <c r="N1154" s="419">
        <v>7</v>
      </c>
      <c r="O1154" s="419">
        <v>1</v>
      </c>
      <c r="P1154" s="419">
        <v>16</v>
      </c>
      <c r="Q1154" s="420">
        <v>0</v>
      </c>
      <c r="R1154" s="311">
        <f t="shared" ref="R1154:R1342" si="199">F1154+J1154+N1154+P1154</f>
        <v>39</v>
      </c>
      <c r="S1154" s="363">
        <f t="shared" ref="S1154:S1342" si="200">K1154+O1154+G1154+Q1154</f>
        <v>1</v>
      </c>
      <c r="T1154" s="421"/>
      <c r="U1154" s="421"/>
      <c r="V1154" s="421"/>
      <c r="W1154" s="421"/>
      <c r="X1154" s="421"/>
    </row>
    <row r="1155" spans="1:24" ht="12.75">
      <c r="A1155" s="417" t="s">
        <v>486</v>
      </c>
      <c r="B1155" s="418" t="s">
        <v>169</v>
      </c>
      <c r="C1155" s="418" t="s">
        <v>812</v>
      </c>
      <c r="D1155" s="418">
        <v>2014</v>
      </c>
      <c r="E1155" s="418" t="s">
        <v>775</v>
      </c>
      <c r="F1155" s="419">
        <v>1256</v>
      </c>
      <c r="G1155" s="419">
        <v>0</v>
      </c>
      <c r="H1155" s="420">
        <v>0</v>
      </c>
      <c r="I1155" s="419">
        <v>0</v>
      </c>
      <c r="J1155" s="419">
        <v>907</v>
      </c>
      <c r="K1155" s="419">
        <v>9</v>
      </c>
      <c r="L1155" s="419">
        <v>9</v>
      </c>
      <c r="M1155" s="419">
        <v>0</v>
      </c>
      <c r="N1155" s="419">
        <v>1038</v>
      </c>
      <c r="O1155" s="419">
        <v>21</v>
      </c>
      <c r="P1155" s="419">
        <v>2501</v>
      </c>
      <c r="Q1155" s="420">
        <v>1271</v>
      </c>
      <c r="R1155" s="311">
        <f t="shared" si="199"/>
        <v>5702</v>
      </c>
      <c r="S1155" s="363">
        <f t="shared" si="200"/>
        <v>1301</v>
      </c>
      <c r="T1155" s="421"/>
      <c r="U1155" s="421"/>
      <c r="V1155" s="421"/>
      <c r="W1155" s="421"/>
      <c r="X1155" s="421"/>
    </row>
    <row r="1156" spans="1:24" ht="12.75">
      <c r="A1156" s="417" t="s">
        <v>487</v>
      </c>
      <c r="B1156" s="418" t="s">
        <v>169</v>
      </c>
      <c r="C1156" s="418" t="s">
        <v>812</v>
      </c>
      <c r="D1156" s="418">
        <v>2014</v>
      </c>
      <c r="E1156" s="418" t="s">
        <v>775</v>
      </c>
      <c r="F1156" s="419">
        <v>426</v>
      </c>
      <c r="G1156" s="419">
        <v>0</v>
      </c>
      <c r="H1156" s="420">
        <v>0</v>
      </c>
      <c r="I1156" s="419">
        <v>0</v>
      </c>
      <c r="J1156" s="419">
        <v>305</v>
      </c>
      <c r="K1156" s="419">
        <v>0</v>
      </c>
      <c r="L1156" s="419">
        <v>0</v>
      </c>
      <c r="M1156" s="419">
        <v>0</v>
      </c>
      <c r="N1156" s="419">
        <v>335</v>
      </c>
      <c r="O1156" s="419">
        <v>0</v>
      </c>
      <c r="P1156" s="419">
        <v>785</v>
      </c>
      <c r="Q1156" s="420">
        <v>321</v>
      </c>
      <c r="R1156" s="311">
        <f t="shared" si="199"/>
        <v>1851</v>
      </c>
      <c r="S1156" s="363">
        <f t="shared" si="200"/>
        <v>321</v>
      </c>
      <c r="T1156" s="421"/>
      <c r="U1156" s="421"/>
      <c r="V1156" s="421"/>
      <c r="W1156" s="421"/>
      <c r="X1156" s="421"/>
    </row>
    <row r="1157" spans="1:24" ht="12.75">
      <c r="A1157" s="417" t="s">
        <v>488</v>
      </c>
      <c r="B1157" s="418" t="s">
        <v>169</v>
      </c>
      <c r="C1157" s="418" t="s">
        <v>812</v>
      </c>
      <c r="D1157" s="418">
        <v>2014</v>
      </c>
      <c r="E1157" s="418" t="s">
        <v>775</v>
      </c>
      <c r="F1157" s="419">
        <v>76</v>
      </c>
      <c r="G1157" s="419">
        <v>21</v>
      </c>
      <c r="H1157" s="420">
        <v>21</v>
      </c>
      <c r="I1157" s="419">
        <v>0</v>
      </c>
      <c r="J1157" s="419">
        <v>53</v>
      </c>
      <c r="K1157" s="419">
        <v>49</v>
      </c>
      <c r="L1157" s="419">
        <v>49</v>
      </c>
      <c r="M1157" s="419">
        <v>0</v>
      </c>
      <c r="N1157" s="419">
        <v>62</v>
      </c>
      <c r="O1157" s="419">
        <v>0</v>
      </c>
      <c r="P1157" s="419">
        <v>148</v>
      </c>
      <c r="Q1157" s="420">
        <v>0</v>
      </c>
      <c r="R1157" s="311">
        <f t="shared" si="199"/>
        <v>339</v>
      </c>
      <c r="S1157" s="363">
        <f t="shared" si="200"/>
        <v>70</v>
      </c>
      <c r="T1157" s="421"/>
      <c r="U1157" s="421"/>
      <c r="V1157" s="421"/>
      <c r="W1157" s="421"/>
      <c r="X1157" s="421"/>
    </row>
    <row r="1158" spans="1:24" ht="12.75">
      <c r="A1158" s="417" t="s">
        <v>489</v>
      </c>
      <c r="B1158" s="418" t="s">
        <v>169</v>
      </c>
      <c r="C1158" s="418" t="s">
        <v>812</v>
      </c>
      <c r="D1158" s="418">
        <v>2014</v>
      </c>
      <c r="E1158" s="418" t="s">
        <v>775</v>
      </c>
      <c r="F1158" s="419">
        <v>1</v>
      </c>
      <c r="G1158" s="419">
        <v>0</v>
      </c>
      <c r="H1158" s="420">
        <v>0</v>
      </c>
      <c r="I1158" s="419">
        <v>0</v>
      </c>
      <c r="J1158" s="419">
        <v>1</v>
      </c>
      <c r="K1158" s="419">
        <v>0</v>
      </c>
      <c r="L1158" s="419">
        <v>0</v>
      </c>
      <c r="M1158" s="419">
        <v>0</v>
      </c>
      <c r="N1158" s="419">
        <v>0</v>
      </c>
      <c r="O1158" s="419">
        <v>50</v>
      </c>
      <c r="P1158" s="419">
        <v>0</v>
      </c>
      <c r="Q1158" s="420">
        <v>50</v>
      </c>
      <c r="R1158" s="311">
        <f t="shared" si="199"/>
        <v>2</v>
      </c>
      <c r="S1158" s="363">
        <f t="shared" si="200"/>
        <v>100</v>
      </c>
      <c r="T1158" s="421"/>
      <c r="U1158" s="421"/>
      <c r="V1158" s="421"/>
      <c r="W1158" s="421"/>
      <c r="X1158" s="421"/>
    </row>
    <row r="1159" spans="1:24" ht="12.75">
      <c r="A1159" s="417" t="s">
        <v>490</v>
      </c>
      <c r="B1159" s="418" t="s">
        <v>169</v>
      </c>
      <c r="C1159" s="418" t="s">
        <v>812</v>
      </c>
      <c r="D1159" s="418">
        <v>2014</v>
      </c>
      <c r="E1159" s="418" t="s">
        <v>775</v>
      </c>
      <c r="F1159" s="419">
        <v>71</v>
      </c>
      <c r="G1159" s="419">
        <v>0</v>
      </c>
      <c r="H1159" s="420">
        <v>0</v>
      </c>
      <c r="I1159" s="419">
        <v>0</v>
      </c>
      <c r="J1159" s="419">
        <v>50</v>
      </c>
      <c r="K1159" s="419">
        <v>0</v>
      </c>
      <c r="L1159" s="419">
        <v>0</v>
      </c>
      <c r="M1159" s="419">
        <v>0</v>
      </c>
      <c r="N1159" s="419">
        <v>56</v>
      </c>
      <c r="O1159" s="419">
        <v>0</v>
      </c>
      <c r="P1159" s="419">
        <v>131</v>
      </c>
      <c r="Q1159" s="420">
        <v>39</v>
      </c>
      <c r="R1159" s="311">
        <f t="shared" si="199"/>
        <v>308</v>
      </c>
      <c r="S1159" s="363">
        <f t="shared" si="200"/>
        <v>39</v>
      </c>
      <c r="T1159" s="421"/>
      <c r="U1159" s="421"/>
      <c r="V1159" s="421"/>
      <c r="W1159" s="421"/>
      <c r="X1159" s="421"/>
    </row>
    <row r="1160" spans="1:24" ht="12.75">
      <c r="A1160" s="417" t="s">
        <v>491</v>
      </c>
      <c r="B1160" s="418" t="s">
        <v>169</v>
      </c>
      <c r="C1160" s="418" t="s">
        <v>812</v>
      </c>
      <c r="D1160" s="418">
        <v>2014</v>
      </c>
      <c r="E1160" s="418" t="s">
        <v>775</v>
      </c>
      <c r="F1160" s="419">
        <v>76</v>
      </c>
      <c r="G1160" s="419">
        <v>0</v>
      </c>
      <c r="H1160" s="420">
        <v>0</v>
      </c>
      <c r="I1160" s="419">
        <v>0</v>
      </c>
      <c r="J1160" s="419">
        <v>53</v>
      </c>
      <c r="K1160" s="419">
        <v>0</v>
      </c>
      <c r="L1160" s="419">
        <v>0</v>
      </c>
      <c r="M1160" s="419">
        <v>0</v>
      </c>
      <c r="N1160" s="419">
        <v>61</v>
      </c>
      <c r="O1160" s="419">
        <v>3</v>
      </c>
      <c r="P1160" s="419">
        <v>137</v>
      </c>
      <c r="Q1160" s="420">
        <v>12</v>
      </c>
      <c r="R1160" s="311">
        <f t="shared" si="199"/>
        <v>327</v>
      </c>
      <c r="S1160" s="363">
        <f t="shared" si="200"/>
        <v>15</v>
      </c>
      <c r="T1160" s="421"/>
      <c r="U1160" s="421"/>
      <c r="V1160" s="421"/>
      <c r="W1160" s="421"/>
      <c r="X1160" s="421"/>
    </row>
    <row r="1161" spans="1:24" ht="12.75">
      <c r="A1161" s="417" t="s">
        <v>492</v>
      </c>
      <c r="B1161" s="418" t="s">
        <v>169</v>
      </c>
      <c r="C1161" s="418" t="s">
        <v>812</v>
      </c>
      <c r="D1161" s="418">
        <v>2014</v>
      </c>
      <c r="E1161" s="418" t="s">
        <v>775</v>
      </c>
      <c r="F1161" s="419">
        <v>83</v>
      </c>
      <c r="G1161" s="419">
        <v>0</v>
      </c>
      <c r="H1161" s="420">
        <v>0</v>
      </c>
      <c r="I1161" s="419">
        <v>0</v>
      </c>
      <c r="J1161" s="419">
        <v>59</v>
      </c>
      <c r="K1161" s="419">
        <v>0</v>
      </c>
      <c r="L1161" s="419">
        <v>0</v>
      </c>
      <c r="M1161" s="419">
        <v>0</v>
      </c>
      <c r="N1161" s="419">
        <v>65</v>
      </c>
      <c r="O1161" s="419">
        <v>0</v>
      </c>
      <c r="P1161" s="419">
        <v>151</v>
      </c>
      <c r="Q1161" s="420">
        <v>6</v>
      </c>
      <c r="R1161" s="311">
        <f t="shared" si="199"/>
        <v>358</v>
      </c>
      <c r="S1161" s="363">
        <f t="shared" si="200"/>
        <v>6</v>
      </c>
      <c r="T1161" s="421"/>
      <c r="U1161" s="421"/>
      <c r="V1161" s="421"/>
      <c r="W1161" s="421"/>
      <c r="X1161" s="421"/>
    </row>
    <row r="1162" spans="1:24" ht="12.75">
      <c r="A1162" s="417" t="s">
        <v>493</v>
      </c>
      <c r="B1162" s="418" t="s">
        <v>169</v>
      </c>
      <c r="C1162" s="418" t="s">
        <v>812</v>
      </c>
      <c r="D1162" s="418">
        <v>2014</v>
      </c>
      <c r="E1162" s="418" t="s">
        <v>775</v>
      </c>
      <c r="F1162" s="419">
        <v>411</v>
      </c>
      <c r="G1162" s="419">
        <v>8</v>
      </c>
      <c r="H1162" s="420">
        <v>8</v>
      </c>
      <c r="I1162" s="419">
        <v>0</v>
      </c>
      <c r="J1162" s="419">
        <v>299</v>
      </c>
      <c r="K1162" s="419">
        <v>0</v>
      </c>
      <c r="L1162" s="419">
        <v>0</v>
      </c>
      <c r="M1162" s="419">
        <v>0</v>
      </c>
      <c r="N1162" s="419">
        <v>337</v>
      </c>
      <c r="O1162" s="419">
        <v>0</v>
      </c>
      <c r="P1162" s="419">
        <v>794</v>
      </c>
      <c r="Q1162" s="420">
        <v>72</v>
      </c>
      <c r="R1162" s="311">
        <f t="shared" si="199"/>
        <v>1841</v>
      </c>
      <c r="S1162" s="363">
        <f t="shared" si="200"/>
        <v>80</v>
      </c>
      <c r="T1162" s="421"/>
      <c r="U1162" s="421"/>
      <c r="V1162" s="421"/>
      <c r="W1162" s="421"/>
      <c r="X1162" s="421"/>
    </row>
    <row r="1163" spans="1:24" ht="12.75">
      <c r="A1163" s="417" t="s">
        <v>494</v>
      </c>
      <c r="B1163" s="418" t="s">
        <v>169</v>
      </c>
      <c r="C1163" s="418" t="s">
        <v>812</v>
      </c>
      <c r="D1163" s="418">
        <v>2014</v>
      </c>
      <c r="E1163" s="418" t="s">
        <v>775</v>
      </c>
      <c r="F1163" s="419">
        <v>164</v>
      </c>
      <c r="G1163" s="419">
        <v>0</v>
      </c>
      <c r="H1163" s="420">
        <v>0</v>
      </c>
      <c r="I1163" s="419">
        <v>0</v>
      </c>
      <c r="J1163" s="419">
        <v>120</v>
      </c>
      <c r="K1163" s="419">
        <v>14</v>
      </c>
      <c r="L1163" s="419">
        <v>14</v>
      </c>
      <c r="M1163" s="419">
        <v>0</v>
      </c>
      <c r="N1163" s="419">
        <v>135</v>
      </c>
      <c r="O1163" s="419">
        <v>50</v>
      </c>
      <c r="P1163" s="419">
        <v>328</v>
      </c>
      <c r="Q1163" s="420">
        <v>37</v>
      </c>
      <c r="R1163" s="311">
        <f t="shared" si="199"/>
        <v>747</v>
      </c>
      <c r="S1163" s="363">
        <f t="shared" si="200"/>
        <v>101</v>
      </c>
      <c r="T1163" s="421"/>
      <c r="U1163" s="421"/>
      <c r="V1163" s="421"/>
      <c r="W1163" s="421"/>
      <c r="X1163" s="421"/>
    </row>
    <row r="1164" spans="1:24" ht="12.75">
      <c r="A1164" s="417" t="s">
        <v>496</v>
      </c>
      <c r="B1164" s="418" t="s">
        <v>169</v>
      </c>
      <c r="C1164" s="418" t="s">
        <v>812</v>
      </c>
      <c r="D1164" s="418">
        <v>2014</v>
      </c>
      <c r="E1164" s="418" t="s">
        <v>775</v>
      </c>
      <c r="F1164" s="419">
        <v>2817</v>
      </c>
      <c r="G1164" s="419">
        <v>137</v>
      </c>
      <c r="H1164" s="420">
        <v>137</v>
      </c>
      <c r="I1164" s="419">
        <v>0</v>
      </c>
      <c r="J1164" s="419">
        <v>2034</v>
      </c>
      <c r="K1164" s="419">
        <v>0</v>
      </c>
      <c r="L1164" s="419">
        <v>0</v>
      </c>
      <c r="M1164" s="419">
        <v>0</v>
      </c>
      <c r="N1164" s="419">
        <v>2239</v>
      </c>
      <c r="O1164" s="419">
        <v>1702</v>
      </c>
      <c r="P1164" s="419">
        <v>5059</v>
      </c>
      <c r="Q1164" s="420">
        <v>1654</v>
      </c>
      <c r="R1164" s="311">
        <f t="shared" si="199"/>
        <v>12149</v>
      </c>
      <c r="S1164" s="363">
        <f t="shared" si="200"/>
        <v>3493</v>
      </c>
      <c r="T1164" s="421"/>
      <c r="U1164" s="421"/>
      <c r="V1164" s="421"/>
      <c r="W1164" s="421"/>
      <c r="X1164" s="421"/>
    </row>
    <row r="1165" spans="1:24" ht="12.75">
      <c r="A1165" s="417" t="s">
        <v>497</v>
      </c>
      <c r="B1165" s="418" t="s">
        <v>169</v>
      </c>
      <c r="C1165" s="418" t="s">
        <v>812</v>
      </c>
      <c r="D1165" s="418">
        <v>2014</v>
      </c>
      <c r="E1165" s="418" t="s">
        <v>775</v>
      </c>
      <c r="F1165" s="419">
        <v>1</v>
      </c>
      <c r="G1165" s="419">
        <v>0</v>
      </c>
      <c r="H1165" s="420">
        <v>0</v>
      </c>
      <c r="I1165" s="419">
        <v>0</v>
      </c>
      <c r="J1165" s="419">
        <v>1</v>
      </c>
      <c r="K1165" s="419">
        <v>0</v>
      </c>
      <c r="L1165" s="419">
        <v>0</v>
      </c>
      <c r="M1165" s="419">
        <v>0</v>
      </c>
      <c r="N1165" s="419">
        <v>1</v>
      </c>
      <c r="O1165" s="419">
        <v>7</v>
      </c>
      <c r="P1165" s="419">
        <v>1</v>
      </c>
      <c r="Q1165" s="420">
        <v>0</v>
      </c>
      <c r="R1165" s="311">
        <f t="shared" si="199"/>
        <v>4</v>
      </c>
      <c r="S1165" s="363">
        <f t="shared" si="200"/>
        <v>7</v>
      </c>
      <c r="T1165" s="421"/>
      <c r="U1165" s="421"/>
      <c r="V1165" s="421"/>
      <c r="W1165" s="421"/>
      <c r="X1165" s="421"/>
    </row>
    <row r="1166" spans="1:24" ht="12.75">
      <c r="A1166" s="417" t="s">
        <v>498</v>
      </c>
      <c r="B1166" s="418" t="s">
        <v>169</v>
      </c>
      <c r="C1166" s="418" t="s">
        <v>812</v>
      </c>
      <c r="D1166" s="418">
        <v>2014</v>
      </c>
      <c r="E1166" s="418" t="s">
        <v>775</v>
      </c>
      <c r="F1166" s="419">
        <v>2</v>
      </c>
      <c r="G1166" s="419">
        <v>0</v>
      </c>
      <c r="H1166" s="420">
        <v>0</v>
      </c>
      <c r="I1166" s="419">
        <v>0</v>
      </c>
      <c r="J1166" s="419">
        <v>2</v>
      </c>
      <c r="K1166" s="419">
        <v>0</v>
      </c>
      <c r="L1166" s="419">
        <v>0</v>
      </c>
      <c r="M1166" s="419">
        <v>0</v>
      </c>
      <c r="N1166" s="419">
        <v>2</v>
      </c>
      <c r="O1166" s="419">
        <v>0</v>
      </c>
      <c r="P1166" s="419">
        <v>3</v>
      </c>
      <c r="Q1166" s="420">
        <v>0</v>
      </c>
      <c r="R1166" s="311">
        <f t="shared" si="199"/>
        <v>9</v>
      </c>
      <c r="S1166" s="363">
        <f t="shared" si="200"/>
        <v>0</v>
      </c>
      <c r="T1166" s="421"/>
      <c r="U1166" s="421"/>
      <c r="V1166" s="421"/>
      <c r="W1166" s="421"/>
      <c r="X1166" s="421"/>
    </row>
    <row r="1167" spans="1:24" ht="12.75">
      <c r="A1167" s="417" t="s">
        <v>499</v>
      </c>
      <c r="B1167" s="418" t="s">
        <v>169</v>
      </c>
      <c r="C1167" s="418" t="s">
        <v>812</v>
      </c>
      <c r="D1167" s="418">
        <v>2014</v>
      </c>
      <c r="E1167" s="418" t="s">
        <v>775</v>
      </c>
      <c r="F1167" s="419">
        <v>1</v>
      </c>
      <c r="G1167" s="419">
        <v>0</v>
      </c>
      <c r="H1167" s="420">
        <v>0</v>
      </c>
      <c r="I1167" s="419">
        <v>0</v>
      </c>
      <c r="J1167" s="419">
        <v>1</v>
      </c>
      <c r="K1167" s="419">
        <v>0</v>
      </c>
      <c r="L1167" s="419">
        <v>0</v>
      </c>
      <c r="M1167" s="419">
        <v>0</v>
      </c>
      <c r="N1167" s="419">
        <v>0</v>
      </c>
      <c r="O1167" s="419">
        <v>0</v>
      </c>
      <c r="P1167" s="419">
        <v>0</v>
      </c>
      <c r="Q1167" s="420">
        <v>15</v>
      </c>
      <c r="R1167" s="311">
        <f t="shared" si="199"/>
        <v>2</v>
      </c>
      <c r="S1167" s="363">
        <f t="shared" si="200"/>
        <v>15</v>
      </c>
      <c r="T1167" s="421"/>
      <c r="U1167" s="421"/>
      <c r="V1167" s="421"/>
      <c r="W1167" s="421"/>
      <c r="X1167" s="421"/>
    </row>
    <row r="1168" spans="1:24" ht="12.75">
      <c r="A1168" s="417" t="s">
        <v>500</v>
      </c>
      <c r="B1168" s="418" t="s">
        <v>169</v>
      </c>
      <c r="C1168" s="418" t="s">
        <v>812</v>
      </c>
      <c r="D1168" s="418">
        <v>2014</v>
      </c>
      <c r="E1168" s="418" t="s">
        <v>775</v>
      </c>
      <c r="F1168" s="419">
        <v>1</v>
      </c>
      <c r="G1168" s="419">
        <v>0</v>
      </c>
      <c r="H1168" s="420">
        <v>0</v>
      </c>
      <c r="I1168" s="419">
        <v>0</v>
      </c>
      <c r="J1168" s="419">
        <v>1</v>
      </c>
      <c r="K1168" s="419">
        <v>0</v>
      </c>
      <c r="L1168" s="419">
        <v>0</v>
      </c>
      <c r="M1168" s="419">
        <v>0</v>
      </c>
      <c r="N1168" s="419">
        <v>0</v>
      </c>
      <c r="O1168" s="419">
        <v>0</v>
      </c>
      <c r="P1168" s="419">
        <v>0</v>
      </c>
      <c r="Q1168" s="420">
        <v>0</v>
      </c>
      <c r="R1168" s="311">
        <f t="shared" si="199"/>
        <v>2</v>
      </c>
      <c r="S1168" s="363">
        <f t="shared" si="200"/>
        <v>0</v>
      </c>
      <c r="T1168" s="421"/>
      <c r="U1168" s="421"/>
      <c r="V1168" s="421"/>
      <c r="W1168" s="421"/>
      <c r="X1168" s="421"/>
    </row>
    <row r="1169" spans="1:24" ht="12.75">
      <c r="A1169" s="417" t="s">
        <v>501</v>
      </c>
      <c r="B1169" s="418" t="s">
        <v>169</v>
      </c>
      <c r="C1169" s="418" t="s">
        <v>812</v>
      </c>
      <c r="D1169" s="418">
        <v>2014</v>
      </c>
      <c r="E1169" s="418" t="s">
        <v>775</v>
      </c>
      <c r="F1169" s="419">
        <v>43</v>
      </c>
      <c r="G1169" s="419">
        <v>14</v>
      </c>
      <c r="H1169" s="420">
        <v>14</v>
      </c>
      <c r="I1169" s="419">
        <v>0</v>
      </c>
      <c r="J1169" s="419">
        <v>30</v>
      </c>
      <c r="K1169" s="419">
        <v>14</v>
      </c>
      <c r="L1169" s="419">
        <v>14</v>
      </c>
      <c r="M1169" s="419">
        <v>0</v>
      </c>
      <c r="N1169" s="419">
        <v>34</v>
      </c>
      <c r="O1169" s="419">
        <v>0</v>
      </c>
      <c r="P1169" s="419">
        <v>75</v>
      </c>
      <c r="Q1169" s="420">
        <v>427</v>
      </c>
      <c r="R1169" s="311">
        <f t="shared" si="199"/>
        <v>182</v>
      </c>
      <c r="S1169" s="363">
        <f t="shared" si="200"/>
        <v>455</v>
      </c>
      <c r="T1169" s="421"/>
      <c r="U1169" s="421"/>
      <c r="V1169" s="421"/>
      <c r="W1169" s="421"/>
      <c r="X1169" s="421"/>
    </row>
    <row r="1170" spans="1:24" ht="12.75">
      <c r="A1170" s="417" t="s">
        <v>502</v>
      </c>
      <c r="B1170" s="418" t="s">
        <v>169</v>
      </c>
      <c r="C1170" s="418" t="s">
        <v>812</v>
      </c>
      <c r="D1170" s="418">
        <v>2014</v>
      </c>
      <c r="E1170" s="418" t="s">
        <v>775</v>
      </c>
      <c r="F1170" s="419">
        <v>1</v>
      </c>
      <c r="G1170" s="419">
        <v>0</v>
      </c>
      <c r="H1170" s="420">
        <v>0</v>
      </c>
      <c r="I1170" s="419">
        <v>0</v>
      </c>
      <c r="J1170" s="419">
        <v>1</v>
      </c>
      <c r="K1170" s="419">
        <v>0</v>
      </c>
      <c r="L1170" s="419">
        <v>0</v>
      </c>
      <c r="M1170" s="419">
        <v>0</v>
      </c>
      <c r="N1170" s="419">
        <v>0</v>
      </c>
      <c r="O1170" s="419">
        <v>0</v>
      </c>
      <c r="P1170" s="419">
        <v>0</v>
      </c>
      <c r="Q1170" s="420">
        <v>0</v>
      </c>
      <c r="R1170" s="311">
        <f t="shared" si="199"/>
        <v>2</v>
      </c>
      <c r="S1170" s="363">
        <f t="shared" si="200"/>
        <v>0</v>
      </c>
      <c r="T1170" s="421"/>
      <c r="U1170" s="421"/>
      <c r="V1170" s="421"/>
      <c r="W1170" s="421"/>
      <c r="X1170" s="421"/>
    </row>
    <row r="1171" spans="1:24" ht="12.75">
      <c r="A1171" s="417" t="s">
        <v>503</v>
      </c>
      <c r="B1171" s="418" t="s">
        <v>169</v>
      </c>
      <c r="C1171" s="418" t="s">
        <v>812</v>
      </c>
      <c r="D1171" s="418">
        <v>2014</v>
      </c>
      <c r="E1171" s="418" t="s">
        <v>775</v>
      </c>
      <c r="F1171" s="419">
        <v>647</v>
      </c>
      <c r="G1171" s="419">
        <v>0</v>
      </c>
      <c r="H1171" s="420">
        <v>0</v>
      </c>
      <c r="I1171" s="419">
        <v>0</v>
      </c>
      <c r="J1171" s="419">
        <v>450</v>
      </c>
      <c r="K1171" s="419">
        <v>0</v>
      </c>
      <c r="L1171" s="419">
        <v>0</v>
      </c>
      <c r="M1171" s="419">
        <v>0</v>
      </c>
      <c r="N1171" s="419">
        <v>497</v>
      </c>
      <c r="O1171" s="419">
        <v>145</v>
      </c>
      <c r="P1171" s="419">
        <v>1133</v>
      </c>
      <c r="Q1171" s="420">
        <v>688</v>
      </c>
      <c r="R1171" s="311">
        <f t="shared" si="199"/>
        <v>2727</v>
      </c>
      <c r="S1171" s="363">
        <f t="shared" si="200"/>
        <v>833</v>
      </c>
      <c r="T1171" s="421"/>
      <c r="U1171" s="421"/>
      <c r="V1171" s="421"/>
      <c r="W1171" s="421"/>
      <c r="X1171" s="421"/>
    </row>
    <row r="1172" spans="1:24" ht="12.75">
      <c r="A1172" s="417" t="s">
        <v>505</v>
      </c>
      <c r="B1172" s="418" t="s">
        <v>169</v>
      </c>
      <c r="C1172" s="418" t="s">
        <v>812</v>
      </c>
      <c r="D1172" s="418">
        <v>2014</v>
      </c>
      <c r="E1172" s="418" t="s">
        <v>775</v>
      </c>
      <c r="F1172" s="419">
        <v>42</v>
      </c>
      <c r="G1172" s="419">
        <v>9</v>
      </c>
      <c r="H1172" s="420">
        <v>9</v>
      </c>
      <c r="I1172" s="419">
        <v>0</v>
      </c>
      <c r="J1172" s="419">
        <v>29</v>
      </c>
      <c r="K1172" s="419">
        <v>6</v>
      </c>
      <c r="L1172" s="419">
        <v>6</v>
      </c>
      <c r="M1172" s="419">
        <v>0</v>
      </c>
      <c r="N1172" s="419">
        <v>33</v>
      </c>
      <c r="O1172" s="419">
        <v>16</v>
      </c>
      <c r="P1172" s="419">
        <v>73</v>
      </c>
      <c r="Q1172" s="420">
        <v>296</v>
      </c>
      <c r="R1172" s="311">
        <f t="shared" si="199"/>
        <v>177</v>
      </c>
      <c r="S1172" s="363">
        <f t="shared" si="200"/>
        <v>327</v>
      </c>
      <c r="T1172" s="421"/>
      <c r="U1172" s="421"/>
      <c r="V1172" s="421"/>
      <c r="W1172" s="421"/>
      <c r="X1172" s="421"/>
    </row>
    <row r="1173" spans="1:24" ht="12.75">
      <c r="A1173" s="417" t="s">
        <v>506</v>
      </c>
      <c r="B1173" s="418" t="s">
        <v>169</v>
      </c>
      <c r="C1173" s="418" t="s">
        <v>812</v>
      </c>
      <c r="D1173" s="418">
        <v>2014</v>
      </c>
      <c r="E1173" s="418" t="s">
        <v>775</v>
      </c>
      <c r="F1173" s="419">
        <v>1</v>
      </c>
      <c r="G1173" s="419">
        <v>0</v>
      </c>
      <c r="H1173" s="420">
        <v>0</v>
      </c>
      <c r="I1173" s="419">
        <v>0</v>
      </c>
      <c r="J1173" s="419">
        <v>1</v>
      </c>
      <c r="K1173" s="419">
        <v>0</v>
      </c>
      <c r="L1173" s="419">
        <v>0</v>
      </c>
      <c r="M1173" s="419">
        <v>0</v>
      </c>
      <c r="N1173" s="419">
        <v>1</v>
      </c>
      <c r="O1173" s="419">
        <v>0</v>
      </c>
      <c r="P1173" s="419">
        <v>2</v>
      </c>
      <c r="Q1173" s="420">
        <v>115</v>
      </c>
      <c r="R1173" s="311">
        <f t="shared" si="199"/>
        <v>5</v>
      </c>
      <c r="S1173" s="363">
        <f t="shared" si="200"/>
        <v>115</v>
      </c>
      <c r="T1173" s="421"/>
      <c r="U1173" s="421"/>
      <c r="V1173" s="421"/>
      <c r="W1173" s="421"/>
      <c r="X1173" s="421"/>
    </row>
    <row r="1174" spans="1:24" ht="12.75">
      <c r="A1174" s="417" t="s">
        <v>169</v>
      </c>
      <c r="B1174" s="418" t="s">
        <v>169</v>
      </c>
      <c r="C1174" s="418" t="s">
        <v>812</v>
      </c>
      <c r="D1174" s="418">
        <v>2014</v>
      </c>
      <c r="E1174" s="418" t="s">
        <v>775</v>
      </c>
      <c r="F1174" s="419">
        <v>83</v>
      </c>
      <c r="G1174" s="419">
        <v>0</v>
      </c>
      <c r="H1174" s="420">
        <v>0</v>
      </c>
      <c r="I1174" s="419">
        <v>0</v>
      </c>
      <c r="J1174" s="419">
        <v>59</v>
      </c>
      <c r="K1174" s="419">
        <v>0</v>
      </c>
      <c r="L1174" s="419">
        <v>0</v>
      </c>
      <c r="M1174" s="419">
        <v>0</v>
      </c>
      <c r="N1174" s="419">
        <v>66</v>
      </c>
      <c r="O1174" s="419">
        <v>2</v>
      </c>
      <c r="P1174" s="419">
        <v>155</v>
      </c>
      <c r="Q1174" s="420">
        <v>1</v>
      </c>
      <c r="R1174" s="311">
        <f t="shared" si="199"/>
        <v>363</v>
      </c>
      <c r="S1174" s="363">
        <f t="shared" si="200"/>
        <v>3</v>
      </c>
      <c r="T1174" s="421"/>
      <c r="U1174" s="421"/>
      <c r="V1174" s="421"/>
      <c r="W1174" s="421"/>
      <c r="X1174" s="421"/>
    </row>
    <row r="1175" spans="1:24" ht="12.75">
      <c r="A1175" s="417" t="s">
        <v>507</v>
      </c>
      <c r="B1175" s="418" t="s">
        <v>169</v>
      </c>
      <c r="C1175" s="418" t="s">
        <v>812</v>
      </c>
      <c r="D1175" s="418">
        <v>2014</v>
      </c>
      <c r="E1175" s="418" t="s">
        <v>775</v>
      </c>
      <c r="F1175" s="419">
        <v>1240</v>
      </c>
      <c r="G1175" s="419">
        <v>0</v>
      </c>
      <c r="H1175" s="420">
        <v>0</v>
      </c>
      <c r="I1175" s="419">
        <v>0</v>
      </c>
      <c r="J1175" s="419">
        <v>879</v>
      </c>
      <c r="K1175" s="419">
        <v>0</v>
      </c>
      <c r="L1175" s="419">
        <v>0</v>
      </c>
      <c r="M1175" s="419">
        <v>0</v>
      </c>
      <c r="N1175" s="419">
        <v>979</v>
      </c>
      <c r="O1175" s="419">
        <v>180</v>
      </c>
      <c r="P1175" s="419">
        <v>2174</v>
      </c>
      <c r="Q1175" s="420">
        <v>593</v>
      </c>
      <c r="R1175" s="311">
        <f t="shared" si="199"/>
        <v>5272</v>
      </c>
      <c r="S1175" s="363">
        <f t="shared" si="200"/>
        <v>773</v>
      </c>
      <c r="T1175" s="421"/>
      <c r="U1175" s="421"/>
      <c r="V1175" s="421"/>
      <c r="W1175" s="421"/>
      <c r="X1175" s="421"/>
    </row>
    <row r="1176" spans="1:24" ht="12.75">
      <c r="A1176" s="417" t="s">
        <v>508</v>
      </c>
      <c r="B1176" s="418" t="s">
        <v>169</v>
      </c>
      <c r="C1176" s="418" t="s">
        <v>812</v>
      </c>
      <c r="D1176" s="418">
        <v>2014</v>
      </c>
      <c r="E1176" s="418" t="s">
        <v>775</v>
      </c>
      <c r="F1176" s="419">
        <v>112</v>
      </c>
      <c r="G1176" s="419">
        <v>0</v>
      </c>
      <c r="H1176" s="420">
        <v>0</v>
      </c>
      <c r="I1176" s="419">
        <v>0</v>
      </c>
      <c r="J1176" s="419">
        <v>81</v>
      </c>
      <c r="K1176" s="419">
        <v>0</v>
      </c>
      <c r="L1176" s="419">
        <v>0</v>
      </c>
      <c r="M1176" s="419">
        <v>0</v>
      </c>
      <c r="N1176" s="419">
        <v>90</v>
      </c>
      <c r="O1176" s="419">
        <v>11</v>
      </c>
      <c r="P1176" s="419">
        <v>209</v>
      </c>
      <c r="Q1176" s="420">
        <v>35</v>
      </c>
      <c r="R1176" s="311">
        <f t="shared" si="199"/>
        <v>492</v>
      </c>
      <c r="S1176" s="363">
        <f t="shared" si="200"/>
        <v>46</v>
      </c>
      <c r="T1176" s="421"/>
      <c r="U1176" s="421"/>
      <c r="V1176" s="421"/>
      <c r="W1176" s="421"/>
      <c r="X1176" s="421"/>
    </row>
    <row r="1177" spans="1:24" ht="12.75">
      <c r="A1177" s="417" t="s">
        <v>509</v>
      </c>
      <c r="B1177" s="418" t="s">
        <v>169</v>
      </c>
      <c r="C1177" s="418" t="s">
        <v>812</v>
      </c>
      <c r="D1177" s="418">
        <v>2014</v>
      </c>
      <c r="E1177" s="418" t="s">
        <v>775</v>
      </c>
      <c r="F1177" s="419">
        <v>1</v>
      </c>
      <c r="G1177" s="419">
        <v>0</v>
      </c>
      <c r="H1177" s="420">
        <v>0</v>
      </c>
      <c r="I1177" s="419">
        <v>0</v>
      </c>
      <c r="J1177" s="419">
        <v>1</v>
      </c>
      <c r="K1177" s="419">
        <v>0</v>
      </c>
      <c r="L1177" s="419">
        <v>0</v>
      </c>
      <c r="M1177" s="419">
        <v>0</v>
      </c>
      <c r="N1177" s="419">
        <v>0</v>
      </c>
      <c r="O1177" s="419">
        <v>0</v>
      </c>
      <c r="P1177" s="419">
        <v>0</v>
      </c>
      <c r="Q1177" s="420">
        <v>0</v>
      </c>
      <c r="R1177" s="311">
        <f t="shared" si="199"/>
        <v>2</v>
      </c>
      <c r="S1177" s="363">
        <f t="shared" si="200"/>
        <v>0</v>
      </c>
      <c r="T1177" s="421"/>
      <c r="U1177" s="421"/>
      <c r="V1177" s="421"/>
      <c r="W1177" s="421"/>
      <c r="X1177" s="421"/>
    </row>
    <row r="1178" spans="1:24" ht="12.75">
      <c r="A1178" s="417" t="s">
        <v>510</v>
      </c>
      <c r="B1178" s="418" t="s">
        <v>169</v>
      </c>
      <c r="C1178" s="418" t="s">
        <v>812</v>
      </c>
      <c r="D1178" s="418">
        <v>2014</v>
      </c>
      <c r="E1178" s="418" t="s">
        <v>775</v>
      </c>
      <c r="F1178" s="419">
        <v>134</v>
      </c>
      <c r="G1178" s="419">
        <v>65</v>
      </c>
      <c r="H1178" s="420">
        <v>65</v>
      </c>
      <c r="I1178" s="419">
        <v>0</v>
      </c>
      <c r="J1178" s="419">
        <v>95</v>
      </c>
      <c r="K1178" s="419">
        <v>28</v>
      </c>
      <c r="L1178" s="419">
        <v>28</v>
      </c>
      <c r="M1178" s="419">
        <v>0</v>
      </c>
      <c r="N1178" s="419">
        <v>108</v>
      </c>
      <c r="O1178" s="419">
        <v>2</v>
      </c>
      <c r="P1178" s="419">
        <v>244</v>
      </c>
      <c r="Q1178" s="420">
        <v>84</v>
      </c>
      <c r="R1178" s="311">
        <f t="shared" si="199"/>
        <v>581</v>
      </c>
      <c r="S1178" s="363">
        <f t="shared" si="200"/>
        <v>179</v>
      </c>
      <c r="T1178" s="421"/>
      <c r="U1178" s="421"/>
      <c r="V1178" s="421"/>
      <c r="W1178" s="421"/>
      <c r="X1178" s="421"/>
    </row>
    <row r="1179" spans="1:24" ht="12.75">
      <c r="A1179" s="417" t="s">
        <v>511</v>
      </c>
      <c r="B1179" s="418" t="s">
        <v>169</v>
      </c>
      <c r="C1179" s="418" t="s">
        <v>812</v>
      </c>
      <c r="D1179" s="418">
        <v>2014</v>
      </c>
      <c r="E1179" s="418" t="s">
        <v>775</v>
      </c>
      <c r="F1179" s="419">
        <v>147</v>
      </c>
      <c r="G1179" s="419">
        <v>0</v>
      </c>
      <c r="H1179" s="420">
        <v>0</v>
      </c>
      <c r="I1179" s="419">
        <v>0</v>
      </c>
      <c r="J1179" s="419">
        <v>104</v>
      </c>
      <c r="K1179" s="419">
        <v>2</v>
      </c>
      <c r="L1179" s="419">
        <v>2</v>
      </c>
      <c r="M1179" s="419">
        <v>0</v>
      </c>
      <c r="N1179" s="419">
        <v>120</v>
      </c>
      <c r="O1179" s="419">
        <v>2</v>
      </c>
      <c r="P1179" s="419">
        <v>267</v>
      </c>
      <c r="Q1179" s="420">
        <v>90</v>
      </c>
      <c r="R1179" s="311">
        <f t="shared" si="199"/>
        <v>638</v>
      </c>
      <c r="S1179" s="363">
        <f t="shared" si="200"/>
        <v>94</v>
      </c>
      <c r="T1179" s="421"/>
      <c r="U1179" s="421"/>
      <c r="V1179" s="421"/>
      <c r="W1179" s="421"/>
      <c r="X1179" s="421"/>
    </row>
    <row r="1180" spans="1:24" ht="12.75">
      <c r="A1180" s="417" t="s">
        <v>512</v>
      </c>
      <c r="B1180" s="418" t="s">
        <v>169</v>
      </c>
      <c r="C1180" s="418" t="s">
        <v>812</v>
      </c>
      <c r="D1180" s="418">
        <v>2014</v>
      </c>
      <c r="E1180" s="418" t="s">
        <v>775</v>
      </c>
      <c r="F1180" s="419">
        <v>45</v>
      </c>
      <c r="G1180" s="419">
        <v>20</v>
      </c>
      <c r="H1180" s="420">
        <v>20</v>
      </c>
      <c r="I1180" s="419">
        <v>0</v>
      </c>
      <c r="J1180" s="419">
        <v>32</v>
      </c>
      <c r="K1180" s="419">
        <v>20</v>
      </c>
      <c r="L1180" s="419">
        <v>20</v>
      </c>
      <c r="M1180" s="419">
        <v>0</v>
      </c>
      <c r="N1180" s="419">
        <v>37</v>
      </c>
      <c r="O1180" s="419">
        <v>0</v>
      </c>
      <c r="P1180" s="419">
        <v>90</v>
      </c>
      <c r="Q1180" s="420">
        <v>242</v>
      </c>
      <c r="R1180" s="311">
        <f t="shared" si="199"/>
        <v>204</v>
      </c>
      <c r="S1180" s="363">
        <f t="shared" si="200"/>
        <v>282</v>
      </c>
      <c r="T1180" s="421"/>
      <c r="U1180" s="421"/>
      <c r="V1180" s="421"/>
      <c r="W1180" s="421"/>
      <c r="X1180" s="421"/>
    </row>
    <row r="1181" spans="1:24" ht="12.75">
      <c r="A1181" s="417" t="s">
        <v>514</v>
      </c>
      <c r="B1181" s="418" t="s">
        <v>169</v>
      </c>
      <c r="C1181" s="418" t="s">
        <v>812</v>
      </c>
      <c r="D1181" s="418">
        <v>2014</v>
      </c>
      <c r="E1181" s="418" t="s">
        <v>775</v>
      </c>
      <c r="F1181" s="419">
        <v>68</v>
      </c>
      <c r="G1181" s="419">
        <v>0</v>
      </c>
      <c r="H1181" s="420">
        <v>0</v>
      </c>
      <c r="I1181" s="419">
        <v>0</v>
      </c>
      <c r="J1181" s="419">
        <v>49</v>
      </c>
      <c r="K1181" s="419">
        <v>0</v>
      </c>
      <c r="L1181" s="419">
        <v>0</v>
      </c>
      <c r="M1181" s="419">
        <v>0</v>
      </c>
      <c r="N1181" s="419">
        <v>56</v>
      </c>
      <c r="O1181" s="419">
        <v>0</v>
      </c>
      <c r="P1181" s="419">
        <v>140</v>
      </c>
      <c r="Q1181" s="420">
        <v>32</v>
      </c>
      <c r="R1181" s="311">
        <f t="shared" si="199"/>
        <v>313</v>
      </c>
      <c r="S1181" s="363">
        <f t="shared" si="200"/>
        <v>32</v>
      </c>
      <c r="T1181" s="421"/>
      <c r="U1181" s="421"/>
      <c r="V1181" s="421"/>
      <c r="W1181" s="421"/>
      <c r="X1181" s="421"/>
    </row>
    <row r="1182" spans="1:24" ht="12.75">
      <c r="A1182" s="464" t="s">
        <v>515</v>
      </c>
      <c r="B1182" s="465" t="s">
        <v>169</v>
      </c>
      <c r="C1182" s="465" t="s">
        <v>812</v>
      </c>
      <c r="D1182" s="465">
        <v>2014</v>
      </c>
      <c r="E1182" s="465" t="s">
        <v>775</v>
      </c>
      <c r="F1182" s="420">
        <v>283</v>
      </c>
      <c r="G1182" s="419">
        <v>88</v>
      </c>
      <c r="H1182" s="420">
        <v>88</v>
      </c>
      <c r="I1182" s="420">
        <v>0</v>
      </c>
      <c r="J1182" s="419">
        <v>195</v>
      </c>
      <c r="K1182" s="419">
        <v>73</v>
      </c>
      <c r="L1182" s="420">
        <v>73</v>
      </c>
      <c r="M1182" s="420">
        <v>0</v>
      </c>
      <c r="N1182" s="420">
        <v>224</v>
      </c>
      <c r="O1182" s="420">
        <v>101</v>
      </c>
      <c r="P1182" s="420">
        <v>525</v>
      </c>
      <c r="Q1182" s="420">
        <v>496</v>
      </c>
      <c r="R1182" s="311">
        <f t="shared" si="199"/>
        <v>1227</v>
      </c>
      <c r="S1182" s="363">
        <f t="shared" si="200"/>
        <v>758</v>
      </c>
      <c r="T1182" s="421"/>
      <c r="U1182" s="421"/>
      <c r="V1182" s="421"/>
      <c r="W1182" s="421"/>
      <c r="X1182" s="421"/>
    </row>
    <row r="1183" spans="1:24" ht="12.75">
      <c r="A1183" s="464" t="s">
        <v>517</v>
      </c>
      <c r="B1183" s="465" t="s">
        <v>169</v>
      </c>
      <c r="C1183" s="465" t="s">
        <v>812</v>
      </c>
      <c r="D1183" s="465">
        <v>2014</v>
      </c>
      <c r="E1183" s="465" t="s">
        <v>775</v>
      </c>
      <c r="F1183" s="420">
        <v>1</v>
      </c>
      <c r="G1183" s="419">
        <v>0</v>
      </c>
      <c r="H1183" s="420">
        <v>0</v>
      </c>
      <c r="I1183" s="420">
        <v>0</v>
      </c>
      <c r="J1183" s="420">
        <v>1</v>
      </c>
      <c r="K1183" s="419">
        <v>0</v>
      </c>
      <c r="L1183" s="420">
        <v>0</v>
      </c>
      <c r="M1183" s="420">
        <v>0</v>
      </c>
      <c r="N1183" s="420">
        <v>0</v>
      </c>
      <c r="O1183" s="420">
        <v>0</v>
      </c>
      <c r="P1183" s="420">
        <v>0</v>
      </c>
      <c r="Q1183" s="420">
        <v>18</v>
      </c>
      <c r="R1183" s="311">
        <f t="shared" si="199"/>
        <v>2</v>
      </c>
      <c r="S1183" s="363">
        <f t="shared" si="200"/>
        <v>18</v>
      </c>
      <c r="T1183" s="421"/>
      <c r="U1183" s="421"/>
      <c r="V1183" s="421"/>
      <c r="W1183" s="421"/>
      <c r="X1183" s="421"/>
    </row>
    <row r="1184" spans="1:24" ht="12.75">
      <c r="A1184" s="464" t="s">
        <v>518</v>
      </c>
      <c r="B1184" s="465" t="s">
        <v>169</v>
      </c>
      <c r="C1184" s="465" t="s">
        <v>812</v>
      </c>
      <c r="D1184" s="465">
        <v>2014</v>
      </c>
      <c r="E1184" s="465" t="s">
        <v>775</v>
      </c>
      <c r="F1184" s="420">
        <v>160</v>
      </c>
      <c r="G1184" s="419">
        <v>4</v>
      </c>
      <c r="H1184" s="420">
        <v>0</v>
      </c>
      <c r="I1184" s="420">
        <v>4</v>
      </c>
      <c r="J1184" s="420">
        <v>113</v>
      </c>
      <c r="K1184" s="419">
        <v>0</v>
      </c>
      <c r="L1184" s="420">
        <v>0</v>
      </c>
      <c r="M1184" s="420">
        <v>0</v>
      </c>
      <c r="N1184" s="420">
        <v>126</v>
      </c>
      <c r="O1184" s="420">
        <v>1</v>
      </c>
      <c r="P1184" s="420">
        <v>270</v>
      </c>
      <c r="Q1184" s="420">
        <v>89</v>
      </c>
      <c r="R1184" s="311">
        <f t="shared" si="199"/>
        <v>669</v>
      </c>
      <c r="S1184" s="363">
        <f t="shared" si="200"/>
        <v>94</v>
      </c>
      <c r="T1184" s="314">
        <f>SUM(G1154:G1184)</f>
        <v>366</v>
      </c>
      <c r="U1184" s="314">
        <f>SUM(K1154:K1184)</f>
        <v>215</v>
      </c>
      <c r="V1184" s="314">
        <f>SUM(O1154:O1184)</f>
        <v>2294</v>
      </c>
      <c r="W1184" s="314">
        <f>SUM(Q1154:Q1184)</f>
        <v>6683</v>
      </c>
      <c r="X1184" s="314">
        <f>T1184+U1184+V1184+W1184</f>
        <v>9558</v>
      </c>
    </row>
    <row r="1185" spans="1:24" ht="12.75">
      <c r="A1185" s="422" t="s">
        <v>485</v>
      </c>
      <c r="B1185" s="423" t="s">
        <v>169</v>
      </c>
      <c r="C1185" s="423" t="s">
        <v>812</v>
      </c>
      <c r="D1185" s="423">
        <v>2015</v>
      </c>
      <c r="E1185" s="423" t="s">
        <v>775</v>
      </c>
      <c r="F1185" s="424">
        <v>9</v>
      </c>
      <c r="G1185" s="424">
        <v>33</v>
      </c>
      <c r="H1185" s="425">
        <v>33</v>
      </c>
      <c r="I1185" s="424">
        <v>0</v>
      </c>
      <c r="J1185" s="424">
        <v>7</v>
      </c>
      <c r="K1185" s="424">
        <v>187</v>
      </c>
      <c r="L1185" s="424">
        <v>187</v>
      </c>
      <c r="M1185" s="424">
        <v>0</v>
      </c>
      <c r="N1185" s="424">
        <v>7</v>
      </c>
      <c r="O1185" s="424">
        <v>419</v>
      </c>
      <c r="P1185" s="424">
        <v>16</v>
      </c>
      <c r="Q1185" s="425">
        <v>0</v>
      </c>
      <c r="R1185" s="319">
        <f t="shared" si="199"/>
        <v>39</v>
      </c>
      <c r="S1185" s="364">
        <f t="shared" si="200"/>
        <v>639</v>
      </c>
      <c r="T1185" s="426"/>
      <c r="U1185" s="426"/>
      <c r="V1185" s="426"/>
      <c r="W1185" s="426"/>
      <c r="X1185" s="426"/>
    </row>
    <row r="1186" spans="1:24" ht="12.75">
      <c r="A1186" s="422" t="s">
        <v>486</v>
      </c>
      <c r="B1186" s="423" t="s">
        <v>169</v>
      </c>
      <c r="C1186" s="423" t="s">
        <v>812</v>
      </c>
      <c r="D1186" s="423">
        <v>2015</v>
      </c>
      <c r="E1186" s="423" t="s">
        <v>775</v>
      </c>
      <c r="F1186" s="424">
        <v>1256</v>
      </c>
      <c r="G1186" s="424">
        <v>69</v>
      </c>
      <c r="H1186" s="425">
        <v>69</v>
      </c>
      <c r="I1186" s="424">
        <v>0</v>
      </c>
      <c r="J1186" s="424">
        <v>907</v>
      </c>
      <c r="K1186" s="424">
        <v>13</v>
      </c>
      <c r="L1186" s="424">
        <v>13</v>
      </c>
      <c r="M1186" s="424">
        <v>0</v>
      </c>
      <c r="N1186" s="424">
        <v>1038</v>
      </c>
      <c r="O1186" s="424">
        <v>23</v>
      </c>
      <c r="P1186" s="424">
        <v>2501</v>
      </c>
      <c r="Q1186" s="425">
        <v>1169</v>
      </c>
      <c r="R1186" s="319">
        <f t="shared" si="199"/>
        <v>5702</v>
      </c>
      <c r="S1186" s="364">
        <f t="shared" si="200"/>
        <v>1274</v>
      </c>
      <c r="T1186" s="426"/>
      <c r="U1186" s="426"/>
      <c r="V1186" s="426"/>
      <c r="W1186" s="426"/>
      <c r="X1186" s="426"/>
    </row>
    <row r="1187" spans="1:24" ht="12.75">
      <c r="A1187" s="422" t="s">
        <v>487</v>
      </c>
      <c r="B1187" s="423" t="s">
        <v>169</v>
      </c>
      <c r="C1187" s="423" t="s">
        <v>812</v>
      </c>
      <c r="D1187" s="423">
        <v>2015</v>
      </c>
      <c r="E1187" s="423" t="s">
        <v>775</v>
      </c>
      <c r="F1187" s="424">
        <v>426</v>
      </c>
      <c r="G1187" s="424">
        <v>0</v>
      </c>
      <c r="H1187" s="425">
        <v>0</v>
      </c>
      <c r="I1187" s="424">
        <v>0</v>
      </c>
      <c r="J1187" s="424">
        <v>305</v>
      </c>
      <c r="K1187" s="424">
        <v>0</v>
      </c>
      <c r="L1187" s="424">
        <v>0</v>
      </c>
      <c r="M1187" s="424">
        <v>0</v>
      </c>
      <c r="N1187" s="424">
        <v>335</v>
      </c>
      <c r="O1187" s="424">
        <v>0</v>
      </c>
      <c r="P1187" s="424">
        <v>785</v>
      </c>
      <c r="Q1187" s="425">
        <v>461</v>
      </c>
      <c r="R1187" s="319">
        <f t="shared" si="199"/>
        <v>1851</v>
      </c>
      <c r="S1187" s="364">
        <f t="shared" si="200"/>
        <v>461</v>
      </c>
      <c r="T1187" s="426"/>
      <c r="U1187" s="426"/>
      <c r="V1187" s="426"/>
      <c r="W1187" s="426"/>
      <c r="X1187" s="426"/>
    </row>
    <row r="1188" spans="1:24" ht="12.75">
      <c r="A1188" s="422" t="s">
        <v>488</v>
      </c>
      <c r="B1188" s="423" t="s">
        <v>169</v>
      </c>
      <c r="C1188" s="423" t="s">
        <v>812</v>
      </c>
      <c r="D1188" s="423">
        <v>2015</v>
      </c>
      <c r="E1188" s="423" t="s">
        <v>775</v>
      </c>
      <c r="F1188" s="424">
        <v>76</v>
      </c>
      <c r="G1188" s="424">
        <v>0</v>
      </c>
      <c r="H1188" s="425">
        <v>0</v>
      </c>
      <c r="I1188" s="424">
        <v>0</v>
      </c>
      <c r="J1188" s="424">
        <v>53</v>
      </c>
      <c r="K1188" s="424">
        <v>0</v>
      </c>
      <c r="L1188" s="424">
        <v>0</v>
      </c>
      <c r="M1188" s="424">
        <v>0</v>
      </c>
      <c r="N1188" s="424">
        <v>62</v>
      </c>
      <c r="O1188" s="424">
        <v>72</v>
      </c>
      <c r="P1188" s="424">
        <v>148</v>
      </c>
      <c r="Q1188" s="425">
        <v>65</v>
      </c>
      <c r="R1188" s="319">
        <f t="shared" si="199"/>
        <v>339</v>
      </c>
      <c r="S1188" s="364">
        <f t="shared" si="200"/>
        <v>137</v>
      </c>
      <c r="T1188" s="426"/>
      <c r="U1188" s="426"/>
      <c r="V1188" s="426"/>
      <c r="W1188" s="426"/>
      <c r="X1188" s="426"/>
    </row>
    <row r="1189" spans="1:24" ht="12.75">
      <c r="A1189" s="422" t="s">
        <v>489</v>
      </c>
      <c r="B1189" s="423" t="s">
        <v>169</v>
      </c>
      <c r="C1189" s="423" t="s">
        <v>812</v>
      </c>
      <c r="D1189" s="423">
        <v>2015</v>
      </c>
      <c r="E1189" s="423" t="s">
        <v>775</v>
      </c>
      <c r="F1189" s="424">
        <v>1</v>
      </c>
      <c r="G1189" s="424">
        <v>0</v>
      </c>
      <c r="H1189" s="425">
        <v>0</v>
      </c>
      <c r="I1189" s="424">
        <v>0</v>
      </c>
      <c r="J1189" s="424">
        <v>1</v>
      </c>
      <c r="K1189" s="424">
        <v>0</v>
      </c>
      <c r="L1189" s="424">
        <v>0</v>
      </c>
      <c r="M1189" s="424">
        <v>0</v>
      </c>
      <c r="N1189" s="424">
        <v>0</v>
      </c>
      <c r="O1189" s="424">
        <v>0</v>
      </c>
      <c r="P1189" s="424">
        <v>0</v>
      </c>
      <c r="Q1189" s="425">
        <v>93</v>
      </c>
      <c r="R1189" s="319">
        <f t="shared" si="199"/>
        <v>2</v>
      </c>
      <c r="S1189" s="364">
        <f t="shared" si="200"/>
        <v>93</v>
      </c>
      <c r="T1189" s="426"/>
      <c r="U1189" s="426"/>
      <c r="V1189" s="426"/>
      <c r="W1189" s="426"/>
      <c r="X1189" s="426"/>
    </row>
    <row r="1190" spans="1:24" ht="12.75">
      <c r="A1190" s="422" t="s">
        <v>490</v>
      </c>
      <c r="B1190" s="423" t="s">
        <v>169</v>
      </c>
      <c r="C1190" s="423" t="s">
        <v>812</v>
      </c>
      <c r="D1190" s="423">
        <v>2015</v>
      </c>
      <c r="E1190" s="423" t="s">
        <v>775</v>
      </c>
      <c r="F1190" s="424">
        <v>71</v>
      </c>
      <c r="G1190" s="424">
        <v>5</v>
      </c>
      <c r="H1190" s="425">
        <v>5</v>
      </c>
      <c r="I1190" s="424">
        <v>0</v>
      </c>
      <c r="J1190" s="424">
        <v>50</v>
      </c>
      <c r="K1190" s="424">
        <v>3</v>
      </c>
      <c r="L1190" s="424">
        <v>3</v>
      </c>
      <c r="M1190" s="424">
        <v>0</v>
      </c>
      <c r="N1190" s="424">
        <v>56</v>
      </c>
      <c r="O1190" s="424">
        <v>2</v>
      </c>
      <c r="P1190" s="424">
        <v>131</v>
      </c>
      <c r="Q1190" s="425">
        <v>5</v>
      </c>
      <c r="R1190" s="319">
        <f t="shared" si="199"/>
        <v>308</v>
      </c>
      <c r="S1190" s="364">
        <f t="shared" si="200"/>
        <v>15</v>
      </c>
      <c r="T1190" s="426"/>
      <c r="U1190" s="426"/>
      <c r="V1190" s="426"/>
      <c r="W1190" s="426"/>
      <c r="X1190" s="426"/>
    </row>
    <row r="1191" spans="1:24" ht="12.75">
      <c r="A1191" s="422" t="s">
        <v>491</v>
      </c>
      <c r="B1191" s="423" t="s">
        <v>169</v>
      </c>
      <c r="C1191" s="423" t="s">
        <v>812</v>
      </c>
      <c r="D1191" s="423">
        <v>2015</v>
      </c>
      <c r="E1191" s="423" t="s">
        <v>775</v>
      </c>
      <c r="F1191" s="424">
        <v>76</v>
      </c>
      <c r="G1191" s="424">
        <v>0</v>
      </c>
      <c r="H1191" s="425">
        <v>0</v>
      </c>
      <c r="I1191" s="424">
        <v>0</v>
      </c>
      <c r="J1191" s="424">
        <v>53</v>
      </c>
      <c r="K1191" s="424">
        <v>0</v>
      </c>
      <c r="L1191" s="424">
        <v>0</v>
      </c>
      <c r="M1191" s="424">
        <v>0</v>
      </c>
      <c r="N1191" s="424">
        <v>61</v>
      </c>
      <c r="O1191" s="424">
        <v>2</v>
      </c>
      <c r="P1191" s="424">
        <v>137</v>
      </c>
      <c r="Q1191" s="425">
        <v>36</v>
      </c>
      <c r="R1191" s="319">
        <f t="shared" si="199"/>
        <v>327</v>
      </c>
      <c r="S1191" s="364">
        <f t="shared" si="200"/>
        <v>38</v>
      </c>
      <c r="T1191" s="426"/>
      <c r="U1191" s="426"/>
      <c r="V1191" s="426"/>
      <c r="W1191" s="426"/>
      <c r="X1191" s="426"/>
    </row>
    <row r="1192" spans="1:24" ht="12.75">
      <c r="A1192" s="422" t="s">
        <v>492</v>
      </c>
      <c r="B1192" s="423" t="s">
        <v>169</v>
      </c>
      <c r="C1192" s="423" t="s">
        <v>812</v>
      </c>
      <c r="D1192" s="423">
        <v>2015</v>
      </c>
      <c r="E1192" s="423" t="s">
        <v>775</v>
      </c>
      <c r="F1192" s="424">
        <v>83</v>
      </c>
      <c r="G1192" s="424">
        <v>0</v>
      </c>
      <c r="H1192" s="425">
        <v>0</v>
      </c>
      <c r="I1192" s="424">
        <v>0</v>
      </c>
      <c r="J1192" s="424">
        <v>59</v>
      </c>
      <c r="K1192" s="424">
        <v>0</v>
      </c>
      <c r="L1192" s="424">
        <v>0</v>
      </c>
      <c r="M1192" s="424">
        <v>0</v>
      </c>
      <c r="N1192" s="424">
        <v>65</v>
      </c>
      <c r="O1192" s="424">
        <v>0</v>
      </c>
      <c r="P1192" s="424">
        <v>151</v>
      </c>
      <c r="Q1192" s="425">
        <v>6</v>
      </c>
      <c r="R1192" s="319">
        <f t="shared" si="199"/>
        <v>358</v>
      </c>
      <c r="S1192" s="364">
        <f t="shared" si="200"/>
        <v>6</v>
      </c>
      <c r="T1192" s="426"/>
      <c r="U1192" s="426"/>
      <c r="V1192" s="426"/>
      <c r="W1192" s="426"/>
      <c r="X1192" s="426"/>
    </row>
    <row r="1193" spans="1:24" ht="12.75">
      <c r="A1193" s="422" t="s">
        <v>493</v>
      </c>
      <c r="B1193" s="423" t="s">
        <v>169</v>
      </c>
      <c r="C1193" s="423" t="s">
        <v>812</v>
      </c>
      <c r="D1193" s="423">
        <v>2015</v>
      </c>
      <c r="E1193" s="423" t="s">
        <v>775</v>
      </c>
      <c r="F1193" s="424">
        <v>411</v>
      </c>
      <c r="G1193" s="424">
        <v>0</v>
      </c>
      <c r="H1193" s="425">
        <v>0</v>
      </c>
      <c r="I1193" s="424">
        <v>0</v>
      </c>
      <c r="J1193" s="424">
        <v>299</v>
      </c>
      <c r="K1193" s="424">
        <v>0</v>
      </c>
      <c r="L1193" s="424">
        <v>0</v>
      </c>
      <c r="M1193" s="424">
        <v>0</v>
      </c>
      <c r="N1193" s="424">
        <v>337</v>
      </c>
      <c r="O1193" s="424">
        <v>0</v>
      </c>
      <c r="P1193" s="424">
        <v>794</v>
      </c>
      <c r="Q1193" s="425">
        <v>131</v>
      </c>
      <c r="R1193" s="319">
        <f t="shared" si="199"/>
        <v>1841</v>
      </c>
      <c r="S1193" s="364">
        <f t="shared" si="200"/>
        <v>131</v>
      </c>
      <c r="T1193" s="426"/>
      <c r="U1193" s="426"/>
      <c r="V1193" s="426"/>
      <c r="W1193" s="426"/>
      <c r="X1193" s="426"/>
    </row>
    <row r="1194" spans="1:24" ht="12.75">
      <c r="A1194" s="422" t="s">
        <v>494</v>
      </c>
      <c r="B1194" s="423" t="s">
        <v>169</v>
      </c>
      <c r="C1194" s="423" t="s">
        <v>812</v>
      </c>
      <c r="D1194" s="423">
        <v>2015</v>
      </c>
      <c r="E1194" s="423" t="s">
        <v>775</v>
      </c>
      <c r="F1194" s="424">
        <v>164</v>
      </c>
      <c r="G1194" s="424">
        <v>0</v>
      </c>
      <c r="H1194" s="425">
        <v>0</v>
      </c>
      <c r="I1194" s="424">
        <v>0</v>
      </c>
      <c r="J1194" s="424">
        <v>120</v>
      </c>
      <c r="K1194" s="424">
        <v>0</v>
      </c>
      <c r="L1194" s="424">
        <v>0</v>
      </c>
      <c r="M1194" s="424">
        <v>0</v>
      </c>
      <c r="N1194" s="424">
        <v>135</v>
      </c>
      <c r="O1194" s="424">
        <v>7</v>
      </c>
      <c r="P1194" s="424">
        <v>328</v>
      </c>
      <c r="Q1194" s="425">
        <v>46</v>
      </c>
      <c r="R1194" s="319">
        <f t="shared" si="199"/>
        <v>747</v>
      </c>
      <c r="S1194" s="364">
        <f t="shared" si="200"/>
        <v>53</v>
      </c>
      <c r="T1194" s="426"/>
      <c r="U1194" s="426"/>
      <c r="V1194" s="426"/>
      <c r="W1194" s="426"/>
      <c r="X1194" s="426"/>
    </row>
    <row r="1195" spans="1:24" ht="12.75">
      <c r="A1195" s="422" t="s">
        <v>496</v>
      </c>
      <c r="B1195" s="423" t="s">
        <v>169</v>
      </c>
      <c r="C1195" s="423" t="s">
        <v>812</v>
      </c>
      <c r="D1195" s="423">
        <v>2015</v>
      </c>
      <c r="E1195" s="423" t="s">
        <v>775</v>
      </c>
      <c r="F1195" s="424">
        <v>2817</v>
      </c>
      <c r="G1195" s="424">
        <v>22</v>
      </c>
      <c r="H1195" s="425">
        <v>22</v>
      </c>
      <c r="I1195" s="424">
        <v>0</v>
      </c>
      <c r="J1195" s="424">
        <v>2034</v>
      </c>
      <c r="K1195" s="424">
        <v>1</v>
      </c>
      <c r="L1195" s="424">
        <v>1</v>
      </c>
      <c r="M1195" s="424">
        <v>0</v>
      </c>
      <c r="N1195" s="424">
        <v>2239</v>
      </c>
      <c r="O1195" s="424">
        <v>4531</v>
      </c>
      <c r="P1195" s="424">
        <v>5059</v>
      </c>
      <c r="Q1195" s="425">
        <v>1645</v>
      </c>
      <c r="R1195" s="319">
        <f t="shared" si="199"/>
        <v>12149</v>
      </c>
      <c r="S1195" s="364">
        <f t="shared" si="200"/>
        <v>6199</v>
      </c>
      <c r="T1195" s="426"/>
      <c r="U1195" s="426"/>
      <c r="V1195" s="426"/>
      <c r="W1195" s="426"/>
      <c r="X1195" s="426"/>
    </row>
    <row r="1196" spans="1:24" ht="12.75">
      <c r="A1196" s="422" t="s">
        <v>497</v>
      </c>
      <c r="B1196" s="423" t="s">
        <v>169</v>
      </c>
      <c r="C1196" s="423" t="s">
        <v>812</v>
      </c>
      <c r="D1196" s="423">
        <v>2015</v>
      </c>
      <c r="E1196" s="423" t="s">
        <v>775</v>
      </c>
      <c r="F1196" s="424">
        <v>1</v>
      </c>
      <c r="G1196" s="424">
        <v>0</v>
      </c>
      <c r="H1196" s="425">
        <v>0</v>
      </c>
      <c r="I1196" s="424">
        <v>0</v>
      </c>
      <c r="J1196" s="424">
        <v>1</v>
      </c>
      <c r="K1196" s="424">
        <v>3</v>
      </c>
      <c r="L1196" s="424">
        <v>3</v>
      </c>
      <c r="M1196" s="424">
        <v>0</v>
      </c>
      <c r="N1196" s="424">
        <v>1</v>
      </c>
      <c r="O1196" s="424">
        <v>4</v>
      </c>
      <c r="P1196" s="424">
        <v>1</v>
      </c>
      <c r="Q1196" s="425">
        <v>22</v>
      </c>
      <c r="R1196" s="319">
        <f t="shared" si="199"/>
        <v>4</v>
      </c>
      <c r="S1196" s="364">
        <f t="shared" si="200"/>
        <v>29</v>
      </c>
      <c r="T1196" s="426"/>
      <c r="U1196" s="426"/>
      <c r="V1196" s="426"/>
      <c r="W1196" s="426"/>
      <c r="X1196" s="426"/>
    </row>
    <row r="1197" spans="1:24" ht="12.75">
      <c r="A1197" s="422" t="s">
        <v>498</v>
      </c>
      <c r="B1197" s="423" t="s">
        <v>169</v>
      </c>
      <c r="C1197" s="423" t="s">
        <v>812</v>
      </c>
      <c r="D1197" s="423">
        <v>2015</v>
      </c>
      <c r="E1197" s="423" t="s">
        <v>775</v>
      </c>
      <c r="F1197" s="424">
        <v>2</v>
      </c>
      <c r="G1197" s="424">
        <v>0</v>
      </c>
      <c r="H1197" s="425">
        <v>0</v>
      </c>
      <c r="I1197" s="424">
        <v>0</v>
      </c>
      <c r="J1197" s="424">
        <v>2</v>
      </c>
      <c r="K1197" s="424">
        <v>0</v>
      </c>
      <c r="L1197" s="424">
        <v>0</v>
      </c>
      <c r="M1197" s="424">
        <v>0</v>
      </c>
      <c r="N1197" s="424">
        <v>2</v>
      </c>
      <c r="O1197" s="424">
        <v>0</v>
      </c>
      <c r="P1197" s="424">
        <v>3</v>
      </c>
      <c r="Q1197" s="425">
        <v>0</v>
      </c>
      <c r="R1197" s="319">
        <f t="shared" si="199"/>
        <v>9</v>
      </c>
      <c r="S1197" s="364">
        <f t="shared" si="200"/>
        <v>0</v>
      </c>
      <c r="T1197" s="426"/>
      <c r="U1197" s="426"/>
      <c r="V1197" s="426"/>
      <c r="W1197" s="426"/>
      <c r="X1197" s="426"/>
    </row>
    <row r="1198" spans="1:24" ht="12.75">
      <c r="A1198" s="422" t="s">
        <v>499</v>
      </c>
      <c r="B1198" s="423" t="s">
        <v>169</v>
      </c>
      <c r="C1198" s="423" t="s">
        <v>812</v>
      </c>
      <c r="D1198" s="423">
        <v>2015</v>
      </c>
      <c r="E1198" s="423" t="s">
        <v>775</v>
      </c>
      <c r="F1198" s="424">
        <v>1</v>
      </c>
      <c r="G1198" s="424">
        <v>0</v>
      </c>
      <c r="H1198" s="425">
        <v>0</v>
      </c>
      <c r="I1198" s="424">
        <v>0</v>
      </c>
      <c r="J1198" s="424">
        <v>1</v>
      </c>
      <c r="K1198" s="424">
        <v>0</v>
      </c>
      <c r="L1198" s="424">
        <v>0</v>
      </c>
      <c r="M1198" s="424">
        <v>0</v>
      </c>
      <c r="N1198" s="424">
        <v>0</v>
      </c>
      <c r="O1198" s="424">
        <v>0</v>
      </c>
      <c r="P1198" s="424">
        <v>0</v>
      </c>
      <c r="Q1198" s="425">
        <v>15</v>
      </c>
      <c r="R1198" s="319">
        <f t="shared" si="199"/>
        <v>2</v>
      </c>
      <c r="S1198" s="364">
        <f t="shared" si="200"/>
        <v>15</v>
      </c>
      <c r="T1198" s="426"/>
      <c r="U1198" s="426"/>
      <c r="V1198" s="426"/>
      <c r="W1198" s="426"/>
      <c r="X1198" s="426"/>
    </row>
    <row r="1199" spans="1:24" ht="12.75">
      <c r="A1199" s="422" t="s">
        <v>500</v>
      </c>
      <c r="B1199" s="423" t="s">
        <v>169</v>
      </c>
      <c r="C1199" s="423" t="s">
        <v>812</v>
      </c>
      <c r="D1199" s="423">
        <v>2015</v>
      </c>
      <c r="E1199" s="423" t="s">
        <v>775</v>
      </c>
      <c r="F1199" s="424">
        <v>1</v>
      </c>
      <c r="G1199" s="424">
        <v>0</v>
      </c>
      <c r="H1199" s="425">
        <v>0</v>
      </c>
      <c r="I1199" s="424">
        <v>0</v>
      </c>
      <c r="J1199" s="424">
        <v>1</v>
      </c>
      <c r="K1199" s="424">
        <v>0</v>
      </c>
      <c r="L1199" s="424">
        <v>0</v>
      </c>
      <c r="M1199" s="424">
        <v>0</v>
      </c>
      <c r="N1199" s="424">
        <v>0</v>
      </c>
      <c r="O1199" s="424">
        <v>0</v>
      </c>
      <c r="P1199" s="424">
        <v>0</v>
      </c>
      <c r="Q1199" s="425">
        <v>0</v>
      </c>
      <c r="R1199" s="319">
        <f t="shared" si="199"/>
        <v>2</v>
      </c>
      <c r="S1199" s="364">
        <f t="shared" si="200"/>
        <v>0</v>
      </c>
      <c r="T1199" s="426"/>
      <c r="U1199" s="426"/>
      <c r="V1199" s="426"/>
      <c r="W1199" s="426"/>
      <c r="X1199" s="426"/>
    </row>
    <row r="1200" spans="1:24" ht="12.75">
      <c r="A1200" s="422" t="s">
        <v>501</v>
      </c>
      <c r="B1200" s="423" t="s">
        <v>169</v>
      </c>
      <c r="C1200" s="423" t="s">
        <v>812</v>
      </c>
      <c r="D1200" s="423">
        <v>2015</v>
      </c>
      <c r="E1200" s="423" t="s">
        <v>775</v>
      </c>
      <c r="F1200" s="424">
        <v>43</v>
      </c>
      <c r="G1200" s="424">
        <v>0</v>
      </c>
      <c r="H1200" s="425">
        <v>0</v>
      </c>
      <c r="I1200" s="424">
        <v>0</v>
      </c>
      <c r="J1200" s="424">
        <v>30</v>
      </c>
      <c r="K1200" s="424">
        <v>0</v>
      </c>
      <c r="L1200" s="424">
        <v>0</v>
      </c>
      <c r="M1200" s="424">
        <v>0</v>
      </c>
      <c r="N1200" s="424">
        <v>34</v>
      </c>
      <c r="O1200" s="424">
        <v>2</v>
      </c>
      <c r="P1200" s="424">
        <v>75</v>
      </c>
      <c r="Q1200" s="425">
        <v>4</v>
      </c>
      <c r="R1200" s="319">
        <f t="shared" si="199"/>
        <v>182</v>
      </c>
      <c r="S1200" s="364">
        <f t="shared" si="200"/>
        <v>6</v>
      </c>
      <c r="T1200" s="426"/>
      <c r="U1200" s="426"/>
      <c r="V1200" s="426"/>
      <c r="W1200" s="426"/>
      <c r="X1200" s="426"/>
    </row>
    <row r="1201" spans="1:24" ht="12.75">
      <c r="A1201" s="422" t="s">
        <v>502</v>
      </c>
      <c r="B1201" s="423" t="s">
        <v>169</v>
      </c>
      <c r="C1201" s="423" t="s">
        <v>812</v>
      </c>
      <c r="D1201" s="423">
        <v>2015</v>
      </c>
      <c r="E1201" s="423" t="s">
        <v>775</v>
      </c>
      <c r="F1201" s="424">
        <v>1</v>
      </c>
      <c r="G1201" s="424">
        <v>0</v>
      </c>
      <c r="H1201" s="425">
        <v>0</v>
      </c>
      <c r="I1201" s="424">
        <v>0</v>
      </c>
      <c r="J1201" s="424">
        <v>1</v>
      </c>
      <c r="K1201" s="424">
        <v>0</v>
      </c>
      <c r="L1201" s="424">
        <v>0</v>
      </c>
      <c r="M1201" s="424">
        <v>0</v>
      </c>
      <c r="N1201" s="424">
        <v>0</v>
      </c>
      <c r="O1201" s="424">
        <v>0</v>
      </c>
      <c r="P1201" s="424">
        <v>0</v>
      </c>
      <c r="Q1201" s="425">
        <v>0</v>
      </c>
      <c r="R1201" s="319">
        <f t="shared" si="199"/>
        <v>2</v>
      </c>
      <c r="S1201" s="364">
        <f t="shared" si="200"/>
        <v>0</v>
      </c>
      <c r="T1201" s="426"/>
      <c r="U1201" s="426"/>
      <c r="V1201" s="426"/>
      <c r="W1201" s="426"/>
      <c r="X1201" s="426"/>
    </row>
    <row r="1202" spans="1:24" ht="12.75">
      <c r="A1202" s="422" t="s">
        <v>503</v>
      </c>
      <c r="B1202" s="423" t="s">
        <v>169</v>
      </c>
      <c r="C1202" s="423" t="s">
        <v>812</v>
      </c>
      <c r="D1202" s="423">
        <v>2015</v>
      </c>
      <c r="E1202" s="423" t="s">
        <v>775</v>
      </c>
      <c r="F1202" s="424">
        <v>647</v>
      </c>
      <c r="G1202" s="424">
        <v>0</v>
      </c>
      <c r="H1202" s="425">
        <v>0</v>
      </c>
      <c r="I1202" s="424">
        <v>0</v>
      </c>
      <c r="J1202" s="424">
        <v>450</v>
      </c>
      <c r="K1202" s="424">
        <v>0</v>
      </c>
      <c r="L1202" s="424">
        <v>0</v>
      </c>
      <c r="M1202" s="424">
        <v>0</v>
      </c>
      <c r="N1202" s="424">
        <v>497</v>
      </c>
      <c r="O1202" s="424">
        <v>48</v>
      </c>
      <c r="P1202" s="424">
        <v>1133</v>
      </c>
      <c r="Q1202" s="425">
        <v>461</v>
      </c>
      <c r="R1202" s="319">
        <f t="shared" si="199"/>
        <v>2727</v>
      </c>
      <c r="S1202" s="364">
        <f t="shared" si="200"/>
        <v>509</v>
      </c>
      <c r="T1202" s="426"/>
      <c r="U1202" s="426"/>
      <c r="V1202" s="426"/>
      <c r="W1202" s="426"/>
      <c r="X1202" s="426"/>
    </row>
    <row r="1203" spans="1:24" ht="12.75">
      <c r="A1203" s="422" t="s">
        <v>505</v>
      </c>
      <c r="B1203" s="423" t="s">
        <v>169</v>
      </c>
      <c r="C1203" s="423" t="s">
        <v>812</v>
      </c>
      <c r="D1203" s="423">
        <v>2015</v>
      </c>
      <c r="E1203" s="423" t="s">
        <v>775</v>
      </c>
      <c r="F1203" s="424">
        <v>42</v>
      </c>
      <c r="G1203" s="424">
        <v>3</v>
      </c>
      <c r="H1203" s="425">
        <v>3</v>
      </c>
      <c r="I1203" s="424">
        <v>0</v>
      </c>
      <c r="J1203" s="424">
        <v>29</v>
      </c>
      <c r="K1203" s="424">
        <v>22</v>
      </c>
      <c r="L1203" s="424">
        <v>22</v>
      </c>
      <c r="M1203" s="424">
        <v>0</v>
      </c>
      <c r="N1203" s="424">
        <v>33</v>
      </c>
      <c r="O1203" s="424">
        <v>0</v>
      </c>
      <c r="P1203" s="424">
        <v>73</v>
      </c>
      <c r="Q1203" s="425">
        <v>468</v>
      </c>
      <c r="R1203" s="319">
        <f t="shared" si="199"/>
        <v>177</v>
      </c>
      <c r="S1203" s="364">
        <f t="shared" si="200"/>
        <v>493</v>
      </c>
      <c r="T1203" s="426"/>
      <c r="U1203" s="426"/>
      <c r="V1203" s="426"/>
      <c r="W1203" s="426"/>
      <c r="X1203" s="426"/>
    </row>
    <row r="1204" spans="1:24" ht="12.75">
      <c r="A1204" s="422" t="s">
        <v>506</v>
      </c>
      <c r="B1204" s="423" t="s">
        <v>169</v>
      </c>
      <c r="C1204" s="423" t="s">
        <v>812</v>
      </c>
      <c r="D1204" s="423">
        <v>2015</v>
      </c>
      <c r="E1204" s="423" t="s">
        <v>775</v>
      </c>
      <c r="F1204" s="424">
        <v>1</v>
      </c>
      <c r="G1204" s="424">
        <v>0</v>
      </c>
      <c r="H1204" s="425">
        <v>0</v>
      </c>
      <c r="I1204" s="424">
        <v>0</v>
      </c>
      <c r="J1204" s="424">
        <v>1</v>
      </c>
      <c r="K1204" s="424">
        <v>0</v>
      </c>
      <c r="L1204" s="424">
        <v>0</v>
      </c>
      <c r="M1204" s="424">
        <v>0</v>
      </c>
      <c r="N1204" s="424">
        <v>1</v>
      </c>
      <c r="O1204" s="424">
        <v>0</v>
      </c>
      <c r="P1204" s="424">
        <v>2</v>
      </c>
      <c r="Q1204" s="425">
        <v>197</v>
      </c>
      <c r="R1204" s="319">
        <f t="shared" si="199"/>
        <v>5</v>
      </c>
      <c r="S1204" s="364">
        <f t="shared" si="200"/>
        <v>197</v>
      </c>
      <c r="T1204" s="426"/>
      <c r="U1204" s="426"/>
      <c r="V1204" s="426"/>
      <c r="W1204" s="426"/>
      <c r="X1204" s="426"/>
    </row>
    <row r="1205" spans="1:24" ht="12.75">
      <c r="A1205" s="422" t="s">
        <v>169</v>
      </c>
      <c r="B1205" s="423" t="s">
        <v>169</v>
      </c>
      <c r="C1205" s="423" t="s">
        <v>812</v>
      </c>
      <c r="D1205" s="423">
        <v>2015</v>
      </c>
      <c r="E1205" s="423" t="s">
        <v>775</v>
      </c>
      <c r="F1205" s="424">
        <v>83</v>
      </c>
      <c r="G1205" s="424">
        <v>0</v>
      </c>
      <c r="H1205" s="425">
        <v>0</v>
      </c>
      <c r="I1205" s="424">
        <v>0</v>
      </c>
      <c r="J1205" s="424">
        <v>59</v>
      </c>
      <c r="K1205" s="424">
        <v>1</v>
      </c>
      <c r="L1205" s="424">
        <v>1</v>
      </c>
      <c r="M1205" s="424">
        <v>0</v>
      </c>
      <c r="N1205" s="424">
        <v>66</v>
      </c>
      <c r="O1205" s="424">
        <v>7</v>
      </c>
      <c r="P1205" s="424">
        <v>155</v>
      </c>
      <c r="Q1205" s="425">
        <v>1</v>
      </c>
      <c r="R1205" s="319">
        <f t="shared" si="199"/>
        <v>363</v>
      </c>
      <c r="S1205" s="364">
        <f t="shared" si="200"/>
        <v>9</v>
      </c>
      <c r="T1205" s="426"/>
      <c r="U1205" s="426"/>
      <c r="V1205" s="426"/>
      <c r="W1205" s="426"/>
      <c r="X1205" s="426"/>
    </row>
    <row r="1206" spans="1:24" ht="12.75">
      <c r="A1206" s="422" t="s">
        <v>507</v>
      </c>
      <c r="B1206" s="423" t="s">
        <v>169</v>
      </c>
      <c r="C1206" s="423" t="s">
        <v>812</v>
      </c>
      <c r="D1206" s="423">
        <v>2015</v>
      </c>
      <c r="E1206" s="423" t="s">
        <v>775</v>
      </c>
      <c r="F1206" s="424">
        <v>1240</v>
      </c>
      <c r="G1206" s="424">
        <v>0</v>
      </c>
      <c r="H1206" s="425">
        <v>0</v>
      </c>
      <c r="I1206" s="424">
        <v>0</v>
      </c>
      <c r="J1206" s="424">
        <v>879</v>
      </c>
      <c r="K1206" s="424">
        <v>0</v>
      </c>
      <c r="L1206" s="424">
        <v>0</v>
      </c>
      <c r="M1206" s="424">
        <v>0</v>
      </c>
      <c r="N1206" s="424">
        <v>979</v>
      </c>
      <c r="O1206" s="424">
        <v>0</v>
      </c>
      <c r="P1206" s="424">
        <v>2174</v>
      </c>
      <c r="Q1206" s="425">
        <v>513</v>
      </c>
      <c r="R1206" s="319">
        <f t="shared" si="199"/>
        <v>5272</v>
      </c>
      <c r="S1206" s="364">
        <f t="shared" si="200"/>
        <v>513</v>
      </c>
      <c r="T1206" s="426"/>
      <c r="U1206" s="426"/>
      <c r="V1206" s="426"/>
      <c r="W1206" s="426"/>
      <c r="X1206" s="426"/>
    </row>
    <row r="1207" spans="1:24" ht="12.75">
      <c r="A1207" s="422" t="s">
        <v>508</v>
      </c>
      <c r="B1207" s="423" t="s">
        <v>169</v>
      </c>
      <c r="C1207" s="423" t="s">
        <v>812</v>
      </c>
      <c r="D1207" s="423">
        <v>2015</v>
      </c>
      <c r="E1207" s="423" t="s">
        <v>775</v>
      </c>
      <c r="F1207" s="424">
        <v>112</v>
      </c>
      <c r="G1207" s="424">
        <v>0</v>
      </c>
      <c r="H1207" s="425">
        <v>0</v>
      </c>
      <c r="I1207" s="424">
        <v>0</v>
      </c>
      <c r="J1207" s="424">
        <v>81</v>
      </c>
      <c r="K1207" s="424">
        <v>0</v>
      </c>
      <c r="L1207" s="424">
        <v>0</v>
      </c>
      <c r="M1207" s="424">
        <v>0</v>
      </c>
      <c r="N1207" s="424">
        <v>90</v>
      </c>
      <c r="O1207" s="424">
        <v>10</v>
      </c>
      <c r="P1207" s="424">
        <v>209</v>
      </c>
      <c r="Q1207" s="425">
        <v>45</v>
      </c>
      <c r="R1207" s="319">
        <f t="shared" si="199"/>
        <v>492</v>
      </c>
      <c r="S1207" s="364">
        <f t="shared" si="200"/>
        <v>55</v>
      </c>
      <c r="T1207" s="426"/>
      <c r="U1207" s="426"/>
      <c r="V1207" s="426"/>
      <c r="W1207" s="426"/>
      <c r="X1207" s="426"/>
    </row>
    <row r="1208" spans="1:24" ht="12.75">
      <c r="A1208" s="422" t="s">
        <v>509</v>
      </c>
      <c r="B1208" s="423" t="s">
        <v>169</v>
      </c>
      <c r="C1208" s="423" t="s">
        <v>812</v>
      </c>
      <c r="D1208" s="423">
        <v>2015</v>
      </c>
      <c r="E1208" s="423" t="s">
        <v>775</v>
      </c>
      <c r="F1208" s="424">
        <v>1</v>
      </c>
      <c r="G1208" s="424">
        <v>0</v>
      </c>
      <c r="H1208" s="425">
        <v>0</v>
      </c>
      <c r="I1208" s="424">
        <v>0</v>
      </c>
      <c r="J1208" s="424">
        <v>1</v>
      </c>
      <c r="K1208" s="424">
        <v>0</v>
      </c>
      <c r="L1208" s="424">
        <v>0</v>
      </c>
      <c r="M1208" s="424">
        <v>0</v>
      </c>
      <c r="N1208" s="424">
        <v>0</v>
      </c>
      <c r="O1208" s="424">
        <v>0</v>
      </c>
      <c r="P1208" s="424">
        <v>0</v>
      </c>
      <c r="Q1208" s="425">
        <v>0</v>
      </c>
      <c r="R1208" s="319">
        <f t="shared" si="199"/>
        <v>2</v>
      </c>
      <c r="S1208" s="364">
        <f t="shared" si="200"/>
        <v>0</v>
      </c>
      <c r="T1208" s="426"/>
      <c r="U1208" s="426"/>
      <c r="V1208" s="426"/>
      <c r="W1208" s="426"/>
      <c r="X1208" s="426"/>
    </row>
    <row r="1209" spans="1:24" ht="12.75">
      <c r="A1209" s="422" t="s">
        <v>510</v>
      </c>
      <c r="B1209" s="423" t="s">
        <v>169</v>
      </c>
      <c r="C1209" s="423" t="s">
        <v>812</v>
      </c>
      <c r="D1209" s="423">
        <v>2015</v>
      </c>
      <c r="E1209" s="423" t="s">
        <v>775</v>
      </c>
      <c r="F1209" s="424">
        <v>134</v>
      </c>
      <c r="G1209" s="424">
        <v>0</v>
      </c>
      <c r="H1209" s="425">
        <v>0</v>
      </c>
      <c r="I1209" s="424">
        <v>0</v>
      </c>
      <c r="J1209" s="424">
        <v>95</v>
      </c>
      <c r="K1209" s="424">
        <v>0</v>
      </c>
      <c r="L1209" s="424">
        <v>0</v>
      </c>
      <c r="M1209" s="424">
        <v>0</v>
      </c>
      <c r="N1209" s="424">
        <v>108</v>
      </c>
      <c r="O1209" s="424">
        <v>1</v>
      </c>
      <c r="P1209" s="424">
        <v>244</v>
      </c>
      <c r="Q1209" s="425">
        <v>129</v>
      </c>
      <c r="R1209" s="319">
        <f t="shared" si="199"/>
        <v>581</v>
      </c>
      <c r="S1209" s="364">
        <f t="shared" si="200"/>
        <v>130</v>
      </c>
      <c r="T1209" s="426"/>
      <c r="U1209" s="426"/>
      <c r="V1209" s="426"/>
      <c r="W1209" s="426"/>
      <c r="X1209" s="426"/>
    </row>
    <row r="1210" spans="1:24" ht="12.75">
      <c r="A1210" s="422" t="s">
        <v>511</v>
      </c>
      <c r="B1210" s="423" t="s">
        <v>169</v>
      </c>
      <c r="C1210" s="423" t="s">
        <v>812</v>
      </c>
      <c r="D1210" s="423">
        <v>2015</v>
      </c>
      <c r="E1210" s="423" t="s">
        <v>775</v>
      </c>
      <c r="F1210" s="424">
        <v>147</v>
      </c>
      <c r="G1210" s="424">
        <v>0</v>
      </c>
      <c r="H1210" s="425">
        <v>0</v>
      </c>
      <c r="I1210" s="424">
        <v>0</v>
      </c>
      <c r="J1210" s="424">
        <v>104</v>
      </c>
      <c r="K1210" s="424">
        <v>0</v>
      </c>
      <c r="L1210" s="424">
        <v>0</v>
      </c>
      <c r="M1210" s="424">
        <v>0</v>
      </c>
      <c r="N1210" s="424">
        <v>120</v>
      </c>
      <c r="O1210" s="424">
        <v>0</v>
      </c>
      <c r="P1210" s="424">
        <v>267</v>
      </c>
      <c r="Q1210" s="425">
        <v>96</v>
      </c>
      <c r="R1210" s="319">
        <f t="shared" si="199"/>
        <v>638</v>
      </c>
      <c r="S1210" s="364">
        <f t="shared" si="200"/>
        <v>96</v>
      </c>
      <c r="T1210" s="426"/>
      <c r="U1210" s="426"/>
      <c r="V1210" s="426"/>
      <c r="W1210" s="426"/>
      <c r="X1210" s="426"/>
    </row>
    <row r="1211" spans="1:24" ht="12.75">
      <c r="A1211" s="422" t="s">
        <v>512</v>
      </c>
      <c r="B1211" s="423" t="s">
        <v>169</v>
      </c>
      <c r="C1211" s="423" t="s">
        <v>812</v>
      </c>
      <c r="D1211" s="423">
        <v>2015</v>
      </c>
      <c r="E1211" s="423" t="s">
        <v>775</v>
      </c>
      <c r="F1211" s="424">
        <v>45</v>
      </c>
      <c r="G1211" s="424">
        <v>0</v>
      </c>
      <c r="H1211" s="425">
        <v>0</v>
      </c>
      <c r="I1211" s="424">
        <v>0</v>
      </c>
      <c r="J1211" s="424">
        <v>32</v>
      </c>
      <c r="K1211" s="424">
        <v>0</v>
      </c>
      <c r="L1211" s="424">
        <v>0</v>
      </c>
      <c r="M1211" s="424">
        <v>0</v>
      </c>
      <c r="N1211" s="424">
        <v>37</v>
      </c>
      <c r="O1211" s="424">
        <v>11</v>
      </c>
      <c r="P1211" s="424">
        <v>90</v>
      </c>
      <c r="Q1211" s="425">
        <v>127</v>
      </c>
      <c r="R1211" s="319">
        <f t="shared" si="199"/>
        <v>204</v>
      </c>
      <c r="S1211" s="364">
        <f t="shared" si="200"/>
        <v>138</v>
      </c>
      <c r="T1211" s="426"/>
      <c r="U1211" s="426"/>
      <c r="V1211" s="426"/>
      <c r="W1211" s="426"/>
      <c r="X1211" s="426"/>
    </row>
    <row r="1212" spans="1:24" ht="12.75">
      <c r="A1212" s="422" t="s">
        <v>514</v>
      </c>
      <c r="B1212" s="423" t="s">
        <v>169</v>
      </c>
      <c r="C1212" s="423" t="s">
        <v>812</v>
      </c>
      <c r="D1212" s="423">
        <v>2015</v>
      </c>
      <c r="E1212" s="423" t="s">
        <v>775</v>
      </c>
      <c r="F1212" s="424">
        <v>68</v>
      </c>
      <c r="G1212" s="424">
        <v>0</v>
      </c>
      <c r="H1212" s="425">
        <v>0</v>
      </c>
      <c r="I1212" s="424">
        <v>0</v>
      </c>
      <c r="J1212" s="424">
        <v>49</v>
      </c>
      <c r="K1212" s="424">
        <v>0</v>
      </c>
      <c r="L1212" s="424">
        <v>0</v>
      </c>
      <c r="M1212" s="424">
        <v>0</v>
      </c>
      <c r="N1212" s="424">
        <v>56</v>
      </c>
      <c r="O1212" s="424">
        <v>0</v>
      </c>
      <c r="P1212" s="424">
        <v>140</v>
      </c>
      <c r="Q1212" s="425">
        <v>37</v>
      </c>
      <c r="R1212" s="319">
        <f t="shared" si="199"/>
        <v>313</v>
      </c>
      <c r="S1212" s="364">
        <f t="shared" si="200"/>
        <v>37</v>
      </c>
      <c r="T1212" s="426"/>
      <c r="U1212" s="426"/>
      <c r="V1212" s="426"/>
      <c r="W1212" s="426"/>
      <c r="X1212" s="426"/>
    </row>
    <row r="1213" spans="1:24" ht="12.75">
      <c r="A1213" s="457" t="s">
        <v>515</v>
      </c>
      <c r="B1213" s="458" t="s">
        <v>169</v>
      </c>
      <c r="C1213" s="458" t="s">
        <v>812</v>
      </c>
      <c r="D1213" s="458">
        <v>2015</v>
      </c>
      <c r="E1213" s="458" t="s">
        <v>775</v>
      </c>
      <c r="F1213" s="425">
        <v>283</v>
      </c>
      <c r="G1213" s="424">
        <v>0</v>
      </c>
      <c r="H1213" s="425">
        <v>0</v>
      </c>
      <c r="I1213" s="425">
        <v>0</v>
      </c>
      <c r="J1213" s="424">
        <v>195</v>
      </c>
      <c r="K1213" s="424">
        <v>0</v>
      </c>
      <c r="L1213" s="425">
        <v>0</v>
      </c>
      <c r="M1213" s="425">
        <v>0</v>
      </c>
      <c r="N1213" s="425">
        <v>224</v>
      </c>
      <c r="O1213" s="425">
        <v>0</v>
      </c>
      <c r="P1213" s="425">
        <v>525</v>
      </c>
      <c r="Q1213" s="425">
        <v>240</v>
      </c>
      <c r="R1213" s="319">
        <f t="shared" si="199"/>
        <v>1227</v>
      </c>
      <c r="S1213" s="364">
        <f t="shared" si="200"/>
        <v>240</v>
      </c>
      <c r="T1213" s="426"/>
      <c r="U1213" s="426"/>
      <c r="V1213" s="426"/>
      <c r="W1213" s="426"/>
      <c r="X1213" s="426"/>
    </row>
    <row r="1214" spans="1:24" ht="12.75">
      <c r="A1214" s="457" t="s">
        <v>517</v>
      </c>
      <c r="B1214" s="458" t="s">
        <v>169</v>
      </c>
      <c r="C1214" s="458" t="s">
        <v>812</v>
      </c>
      <c r="D1214" s="458">
        <v>2015</v>
      </c>
      <c r="E1214" s="458" t="s">
        <v>775</v>
      </c>
      <c r="F1214" s="425">
        <v>1</v>
      </c>
      <c r="G1214" s="424">
        <v>0</v>
      </c>
      <c r="H1214" s="425">
        <v>0</v>
      </c>
      <c r="I1214" s="425">
        <v>0</v>
      </c>
      <c r="J1214" s="425">
        <v>1</v>
      </c>
      <c r="K1214" s="424">
        <v>0</v>
      </c>
      <c r="L1214" s="425">
        <v>0</v>
      </c>
      <c r="M1214" s="425">
        <v>0</v>
      </c>
      <c r="N1214" s="425">
        <v>0</v>
      </c>
      <c r="O1214" s="425">
        <v>0</v>
      </c>
      <c r="P1214" s="425">
        <v>0</v>
      </c>
      <c r="Q1214" s="425">
        <v>81</v>
      </c>
      <c r="R1214" s="319">
        <f t="shared" si="199"/>
        <v>2</v>
      </c>
      <c r="S1214" s="364">
        <f t="shared" si="200"/>
        <v>81</v>
      </c>
      <c r="T1214" s="426"/>
      <c r="U1214" s="426"/>
      <c r="V1214" s="426"/>
      <c r="W1214" s="426"/>
      <c r="X1214" s="426"/>
    </row>
    <row r="1215" spans="1:24" ht="12.75">
      <c r="A1215" s="457" t="s">
        <v>518</v>
      </c>
      <c r="B1215" s="458" t="s">
        <v>169</v>
      </c>
      <c r="C1215" s="458" t="s">
        <v>812</v>
      </c>
      <c r="D1215" s="458">
        <v>2015</v>
      </c>
      <c r="E1215" s="458" t="s">
        <v>775</v>
      </c>
      <c r="F1215" s="425">
        <v>160</v>
      </c>
      <c r="G1215" s="424">
        <v>57</v>
      </c>
      <c r="H1215" s="425">
        <v>54</v>
      </c>
      <c r="I1215" s="425">
        <v>3</v>
      </c>
      <c r="J1215" s="425">
        <v>113</v>
      </c>
      <c r="K1215" s="424">
        <v>14</v>
      </c>
      <c r="L1215" s="425">
        <v>14</v>
      </c>
      <c r="M1215" s="425">
        <v>0</v>
      </c>
      <c r="N1215" s="425">
        <v>126</v>
      </c>
      <c r="O1215" s="425">
        <v>14</v>
      </c>
      <c r="P1215" s="425">
        <v>270</v>
      </c>
      <c r="Q1215" s="425">
        <v>285</v>
      </c>
      <c r="R1215" s="319">
        <f t="shared" si="199"/>
        <v>669</v>
      </c>
      <c r="S1215" s="364">
        <f t="shared" si="200"/>
        <v>370</v>
      </c>
      <c r="T1215" s="323">
        <f>SUM(G1185:G1215)</f>
        <v>189</v>
      </c>
      <c r="U1215" s="323">
        <f>SUM(K1185:K1215)</f>
        <v>244</v>
      </c>
      <c r="V1215" s="323">
        <f>SUM(O1185:O1215)</f>
        <v>5153</v>
      </c>
      <c r="W1215" s="323">
        <f>SUM(Q1185:Q1215)</f>
        <v>6378</v>
      </c>
      <c r="X1215" s="323">
        <f>T1215+U1215+V1215+W1215</f>
        <v>11964</v>
      </c>
    </row>
    <row r="1216" spans="1:24" ht="12.75">
      <c r="A1216" s="428" t="s">
        <v>485</v>
      </c>
      <c r="B1216" s="429" t="s">
        <v>169</v>
      </c>
      <c r="C1216" s="429" t="s">
        <v>812</v>
      </c>
      <c r="D1216" s="429">
        <v>2016</v>
      </c>
      <c r="E1216" s="429" t="s">
        <v>775</v>
      </c>
      <c r="F1216" s="430">
        <v>9</v>
      </c>
      <c r="G1216" s="430">
        <v>50</v>
      </c>
      <c r="H1216" s="431">
        <v>50</v>
      </c>
      <c r="I1216" s="430">
        <v>0</v>
      </c>
      <c r="J1216" s="430">
        <v>7</v>
      </c>
      <c r="K1216" s="430">
        <v>148</v>
      </c>
      <c r="L1216" s="430">
        <v>148</v>
      </c>
      <c r="M1216" s="430">
        <v>0</v>
      </c>
      <c r="N1216" s="430">
        <v>7</v>
      </c>
      <c r="O1216" s="430">
        <v>4</v>
      </c>
      <c r="P1216" s="430">
        <v>16</v>
      </c>
      <c r="Q1216" s="431">
        <v>0</v>
      </c>
      <c r="R1216" s="328">
        <f t="shared" si="199"/>
        <v>39</v>
      </c>
      <c r="S1216" s="365">
        <f t="shared" si="200"/>
        <v>202</v>
      </c>
      <c r="T1216" s="432"/>
      <c r="U1216" s="432"/>
      <c r="V1216" s="432"/>
      <c r="W1216" s="432"/>
      <c r="X1216" s="432"/>
    </row>
    <row r="1217" spans="1:24" ht="12.75">
      <c r="A1217" s="428" t="s">
        <v>486</v>
      </c>
      <c r="B1217" s="429" t="s">
        <v>169</v>
      </c>
      <c r="C1217" s="429" t="s">
        <v>812</v>
      </c>
      <c r="D1217" s="429">
        <v>2016</v>
      </c>
      <c r="E1217" s="429" t="s">
        <v>775</v>
      </c>
      <c r="F1217" s="430">
        <v>1256</v>
      </c>
      <c r="G1217" s="430">
        <v>0</v>
      </c>
      <c r="H1217" s="431">
        <v>0</v>
      </c>
      <c r="I1217" s="430">
        <v>0</v>
      </c>
      <c r="J1217" s="430">
        <v>907</v>
      </c>
      <c r="K1217" s="430">
        <v>0</v>
      </c>
      <c r="L1217" s="430">
        <v>0</v>
      </c>
      <c r="M1217" s="430">
        <v>0</v>
      </c>
      <c r="N1217" s="430">
        <v>1038</v>
      </c>
      <c r="O1217" s="430">
        <v>0</v>
      </c>
      <c r="P1217" s="430">
        <v>2501</v>
      </c>
      <c r="Q1217" s="431">
        <v>1317</v>
      </c>
      <c r="R1217" s="328">
        <f t="shared" si="199"/>
        <v>5702</v>
      </c>
      <c r="S1217" s="365">
        <f t="shared" si="200"/>
        <v>1317</v>
      </c>
      <c r="T1217" s="432"/>
      <c r="U1217" s="432"/>
      <c r="V1217" s="432"/>
      <c r="W1217" s="432"/>
      <c r="X1217" s="432"/>
    </row>
    <row r="1218" spans="1:24" ht="12.75">
      <c r="A1218" s="428" t="s">
        <v>487</v>
      </c>
      <c r="B1218" s="429" t="s">
        <v>169</v>
      </c>
      <c r="C1218" s="429" t="s">
        <v>812</v>
      </c>
      <c r="D1218" s="429">
        <v>2016</v>
      </c>
      <c r="E1218" s="429" t="s">
        <v>775</v>
      </c>
      <c r="F1218" s="430">
        <v>426</v>
      </c>
      <c r="G1218" s="430">
        <v>0</v>
      </c>
      <c r="H1218" s="431">
        <v>0</v>
      </c>
      <c r="I1218" s="430">
        <v>0</v>
      </c>
      <c r="J1218" s="430">
        <v>305</v>
      </c>
      <c r="K1218" s="430">
        <v>0</v>
      </c>
      <c r="L1218" s="430">
        <v>0</v>
      </c>
      <c r="M1218" s="430">
        <v>0</v>
      </c>
      <c r="N1218" s="430">
        <v>335</v>
      </c>
      <c r="O1218" s="430">
        <v>0</v>
      </c>
      <c r="P1218" s="430">
        <v>785</v>
      </c>
      <c r="Q1218" s="431">
        <v>194</v>
      </c>
      <c r="R1218" s="328">
        <f t="shared" si="199"/>
        <v>1851</v>
      </c>
      <c r="S1218" s="365">
        <f t="shared" si="200"/>
        <v>194</v>
      </c>
      <c r="T1218" s="432"/>
      <c r="U1218" s="432"/>
      <c r="V1218" s="432"/>
      <c r="W1218" s="432"/>
      <c r="X1218" s="432"/>
    </row>
    <row r="1219" spans="1:24" ht="12.75">
      <c r="A1219" s="428" t="s">
        <v>488</v>
      </c>
      <c r="B1219" s="429" t="s">
        <v>169</v>
      </c>
      <c r="C1219" s="429" t="s">
        <v>812</v>
      </c>
      <c r="D1219" s="429">
        <v>2016</v>
      </c>
      <c r="E1219" s="429" t="s">
        <v>775</v>
      </c>
      <c r="F1219" s="430">
        <v>76</v>
      </c>
      <c r="G1219" s="430">
        <v>0</v>
      </c>
      <c r="H1219" s="431">
        <v>0</v>
      </c>
      <c r="I1219" s="430">
        <v>0</v>
      </c>
      <c r="J1219" s="430">
        <v>53</v>
      </c>
      <c r="K1219" s="430">
        <v>0</v>
      </c>
      <c r="L1219" s="430">
        <v>0</v>
      </c>
      <c r="M1219" s="430">
        <v>0</v>
      </c>
      <c r="N1219" s="430">
        <v>62</v>
      </c>
      <c r="O1219" s="430">
        <v>26</v>
      </c>
      <c r="P1219" s="430">
        <v>148</v>
      </c>
      <c r="Q1219" s="431">
        <v>116</v>
      </c>
      <c r="R1219" s="328">
        <f t="shared" si="199"/>
        <v>339</v>
      </c>
      <c r="S1219" s="365">
        <f t="shared" si="200"/>
        <v>142</v>
      </c>
      <c r="T1219" s="432"/>
      <c r="U1219" s="432"/>
      <c r="V1219" s="432"/>
      <c r="W1219" s="432"/>
      <c r="X1219" s="432"/>
    </row>
    <row r="1220" spans="1:24" ht="12.75">
      <c r="A1220" s="428" t="s">
        <v>489</v>
      </c>
      <c r="B1220" s="429" t="s">
        <v>169</v>
      </c>
      <c r="C1220" s="429" t="s">
        <v>812</v>
      </c>
      <c r="D1220" s="429">
        <v>2016</v>
      </c>
      <c r="E1220" s="429" t="s">
        <v>775</v>
      </c>
      <c r="F1220" s="430">
        <v>1</v>
      </c>
      <c r="G1220" s="430">
        <v>0</v>
      </c>
      <c r="H1220" s="431">
        <v>0</v>
      </c>
      <c r="I1220" s="430">
        <v>0</v>
      </c>
      <c r="J1220" s="430">
        <v>1</v>
      </c>
      <c r="K1220" s="430">
        <v>0</v>
      </c>
      <c r="L1220" s="430">
        <v>0</v>
      </c>
      <c r="M1220" s="430">
        <v>0</v>
      </c>
      <c r="N1220" s="430">
        <v>0</v>
      </c>
      <c r="O1220" s="430">
        <v>0</v>
      </c>
      <c r="P1220" s="430">
        <v>0</v>
      </c>
      <c r="Q1220" s="431">
        <v>115</v>
      </c>
      <c r="R1220" s="328">
        <f t="shared" si="199"/>
        <v>2</v>
      </c>
      <c r="S1220" s="365">
        <f t="shared" si="200"/>
        <v>115</v>
      </c>
      <c r="T1220" s="432"/>
      <c r="U1220" s="432"/>
      <c r="V1220" s="432"/>
      <c r="W1220" s="432"/>
      <c r="X1220" s="432"/>
    </row>
    <row r="1221" spans="1:24" ht="12.75">
      <c r="A1221" s="428" t="s">
        <v>490</v>
      </c>
      <c r="B1221" s="429" t="s">
        <v>169</v>
      </c>
      <c r="C1221" s="429" t="s">
        <v>812</v>
      </c>
      <c r="D1221" s="429">
        <v>2016</v>
      </c>
      <c r="E1221" s="429" t="s">
        <v>775</v>
      </c>
      <c r="F1221" s="430">
        <v>71</v>
      </c>
      <c r="G1221" s="430">
        <v>0</v>
      </c>
      <c r="H1221" s="431">
        <v>0</v>
      </c>
      <c r="I1221" s="430">
        <v>0</v>
      </c>
      <c r="J1221" s="430">
        <v>50</v>
      </c>
      <c r="K1221" s="430">
        <v>3</v>
      </c>
      <c r="L1221" s="430">
        <v>3</v>
      </c>
      <c r="M1221" s="430">
        <v>0</v>
      </c>
      <c r="N1221" s="430">
        <v>56</v>
      </c>
      <c r="O1221" s="430">
        <v>4</v>
      </c>
      <c r="P1221" s="430">
        <v>131</v>
      </c>
      <c r="Q1221" s="431">
        <v>132</v>
      </c>
      <c r="R1221" s="328">
        <f t="shared" si="199"/>
        <v>308</v>
      </c>
      <c r="S1221" s="365">
        <f t="shared" si="200"/>
        <v>139</v>
      </c>
      <c r="T1221" s="432"/>
      <c r="U1221" s="432"/>
      <c r="V1221" s="432"/>
      <c r="W1221" s="432"/>
      <c r="X1221" s="432"/>
    </row>
    <row r="1222" spans="1:24" ht="12.75">
      <c r="A1222" s="428" t="s">
        <v>491</v>
      </c>
      <c r="B1222" s="429" t="s">
        <v>169</v>
      </c>
      <c r="C1222" s="429" t="s">
        <v>812</v>
      </c>
      <c r="D1222" s="429">
        <v>2016</v>
      </c>
      <c r="E1222" s="429" t="s">
        <v>775</v>
      </c>
      <c r="F1222" s="430">
        <v>76</v>
      </c>
      <c r="G1222" s="430">
        <v>0</v>
      </c>
      <c r="H1222" s="431">
        <v>0</v>
      </c>
      <c r="I1222" s="430">
        <v>0</v>
      </c>
      <c r="J1222" s="430">
        <v>53</v>
      </c>
      <c r="K1222" s="430">
        <v>0</v>
      </c>
      <c r="L1222" s="430">
        <v>0</v>
      </c>
      <c r="M1222" s="430">
        <v>0</v>
      </c>
      <c r="N1222" s="430">
        <v>61</v>
      </c>
      <c r="O1222" s="430">
        <v>4</v>
      </c>
      <c r="P1222" s="430">
        <v>137</v>
      </c>
      <c r="Q1222" s="431">
        <v>34</v>
      </c>
      <c r="R1222" s="328">
        <f t="shared" si="199"/>
        <v>327</v>
      </c>
      <c r="S1222" s="365">
        <f t="shared" si="200"/>
        <v>38</v>
      </c>
      <c r="T1222" s="432"/>
      <c r="U1222" s="432"/>
      <c r="V1222" s="432"/>
      <c r="W1222" s="432"/>
      <c r="X1222" s="432"/>
    </row>
    <row r="1223" spans="1:24" ht="12.75">
      <c r="A1223" s="428" t="s">
        <v>492</v>
      </c>
      <c r="B1223" s="429" t="s">
        <v>169</v>
      </c>
      <c r="C1223" s="429" t="s">
        <v>812</v>
      </c>
      <c r="D1223" s="429">
        <v>2016</v>
      </c>
      <c r="E1223" s="429" t="s">
        <v>775</v>
      </c>
      <c r="F1223" s="430">
        <v>83</v>
      </c>
      <c r="G1223" s="430">
        <v>0</v>
      </c>
      <c r="H1223" s="431">
        <v>0</v>
      </c>
      <c r="I1223" s="430">
        <v>0</v>
      </c>
      <c r="J1223" s="430">
        <v>59</v>
      </c>
      <c r="K1223" s="430">
        <v>0</v>
      </c>
      <c r="L1223" s="430">
        <v>0</v>
      </c>
      <c r="M1223" s="430">
        <v>0</v>
      </c>
      <c r="N1223" s="430">
        <v>65</v>
      </c>
      <c r="O1223" s="430">
        <v>0</v>
      </c>
      <c r="P1223" s="430">
        <v>151</v>
      </c>
      <c r="Q1223" s="431">
        <v>10</v>
      </c>
      <c r="R1223" s="328">
        <f t="shared" si="199"/>
        <v>358</v>
      </c>
      <c r="S1223" s="365">
        <f t="shared" si="200"/>
        <v>10</v>
      </c>
      <c r="T1223" s="432"/>
      <c r="U1223" s="432"/>
      <c r="V1223" s="432"/>
      <c r="W1223" s="432"/>
      <c r="X1223" s="432"/>
    </row>
    <row r="1224" spans="1:24" ht="12.75">
      <c r="A1224" s="428" t="s">
        <v>493</v>
      </c>
      <c r="B1224" s="429" t="s">
        <v>169</v>
      </c>
      <c r="C1224" s="429" t="s">
        <v>812</v>
      </c>
      <c r="D1224" s="429">
        <v>2016</v>
      </c>
      <c r="E1224" s="429" t="s">
        <v>775</v>
      </c>
      <c r="F1224" s="430">
        <v>411</v>
      </c>
      <c r="G1224" s="430">
        <v>191</v>
      </c>
      <c r="H1224" s="431">
        <v>43</v>
      </c>
      <c r="I1224" s="430">
        <v>148</v>
      </c>
      <c r="J1224" s="430">
        <v>299</v>
      </c>
      <c r="K1224" s="430">
        <v>97</v>
      </c>
      <c r="L1224" s="430">
        <v>97</v>
      </c>
      <c r="M1224" s="430">
        <v>0</v>
      </c>
      <c r="N1224" s="430">
        <v>337</v>
      </c>
      <c r="O1224" s="430">
        <v>1</v>
      </c>
      <c r="P1224" s="430">
        <v>794</v>
      </c>
      <c r="Q1224" s="431">
        <v>236</v>
      </c>
      <c r="R1224" s="328">
        <f t="shared" si="199"/>
        <v>1841</v>
      </c>
      <c r="S1224" s="365">
        <f t="shared" si="200"/>
        <v>525</v>
      </c>
      <c r="T1224" s="432"/>
      <c r="U1224" s="432"/>
      <c r="V1224" s="432"/>
      <c r="W1224" s="432"/>
      <c r="X1224" s="432"/>
    </row>
    <row r="1225" spans="1:24" ht="12.75">
      <c r="A1225" s="428" t="s">
        <v>494</v>
      </c>
      <c r="B1225" s="429" t="s">
        <v>169</v>
      </c>
      <c r="C1225" s="429" t="s">
        <v>812</v>
      </c>
      <c r="D1225" s="429">
        <v>2016</v>
      </c>
      <c r="E1225" s="429" t="s">
        <v>775</v>
      </c>
      <c r="F1225" s="430">
        <v>164</v>
      </c>
      <c r="G1225" s="430">
        <v>0</v>
      </c>
      <c r="H1225" s="431">
        <v>0</v>
      </c>
      <c r="I1225" s="430">
        <v>0</v>
      </c>
      <c r="J1225" s="430">
        <v>120</v>
      </c>
      <c r="K1225" s="430">
        <v>0</v>
      </c>
      <c r="L1225" s="430">
        <v>0</v>
      </c>
      <c r="M1225" s="430">
        <v>0</v>
      </c>
      <c r="N1225" s="430">
        <v>135</v>
      </c>
      <c r="O1225" s="430">
        <v>9</v>
      </c>
      <c r="P1225" s="430">
        <v>328</v>
      </c>
      <c r="Q1225" s="431">
        <v>10</v>
      </c>
      <c r="R1225" s="328">
        <f t="shared" si="199"/>
        <v>747</v>
      </c>
      <c r="S1225" s="365">
        <f t="shared" si="200"/>
        <v>19</v>
      </c>
      <c r="T1225" s="432"/>
      <c r="U1225" s="432"/>
      <c r="V1225" s="432"/>
      <c r="W1225" s="432"/>
      <c r="X1225" s="432"/>
    </row>
    <row r="1226" spans="1:24" ht="12.75">
      <c r="A1226" s="428" t="s">
        <v>496</v>
      </c>
      <c r="B1226" s="429" t="s">
        <v>169</v>
      </c>
      <c r="C1226" s="429" t="s">
        <v>812</v>
      </c>
      <c r="D1226" s="429">
        <v>2016</v>
      </c>
      <c r="E1226" s="429" t="s">
        <v>775</v>
      </c>
      <c r="F1226" s="430">
        <v>2817</v>
      </c>
      <c r="G1226" s="430">
        <v>724</v>
      </c>
      <c r="H1226" s="431">
        <v>724</v>
      </c>
      <c r="I1226" s="430">
        <v>0</v>
      </c>
      <c r="J1226" s="430">
        <v>2034</v>
      </c>
      <c r="K1226" s="430">
        <v>2</v>
      </c>
      <c r="L1226" s="430">
        <v>2</v>
      </c>
      <c r="M1226" s="430">
        <v>0</v>
      </c>
      <c r="N1226" s="430">
        <v>2239</v>
      </c>
      <c r="O1226" s="430">
        <v>4582</v>
      </c>
      <c r="P1226" s="430">
        <v>5059</v>
      </c>
      <c r="Q1226" s="431">
        <v>2987</v>
      </c>
      <c r="R1226" s="328">
        <f t="shared" si="199"/>
        <v>12149</v>
      </c>
      <c r="S1226" s="365">
        <f t="shared" si="200"/>
        <v>8295</v>
      </c>
      <c r="T1226" s="432"/>
      <c r="U1226" s="432"/>
      <c r="V1226" s="432"/>
      <c r="W1226" s="432"/>
      <c r="X1226" s="432"/>
    </row>
    <row r="1227" spans="1:24" ht="12.75">
      <c r="A1227" s="428" t="s">
        <v>497</v>
      </c>
      <c r="B1227" s="429" t="s">
        <v>169</v>
      </c>
      <c r="C1227" s="429" t="s">
        <v>812</v>
      </c>
      <c r="D1227" s="429">
        <v>2016</v>
      </c>
      <c r="E1227" s="429" t="s">
        <v>775</v>
      </c>
      <c r="F1227" s="430">
        <v>1</v>
      </c>
      <c r="G1227" s="430">
        <v>0</v>
      </c>
      <c r="H1227" s="431">
        <v>0</v>
      </c>
      <c r="I1227" s="430">
        <v>0</v>
      </c>
      <c r="J1227" s="430">
        <v>1</v>
      </c>
      <c r="K1227" s="430">
        <v>0</v>
      </c>
      <c r="L1227" s="430">
        <v>0</v>
      </c>
      <c r="M1227" s="430">
        <v>0</v>
      </c>
      <c r="N1227" s="430">
        <v>1</v>
      </c>
      <c r="O1227" s="430">
        <v>0</v>
      </c>
      <c r="P1227" s="430">
        <v>1</v>
      </c>
      <c r="Q1227" s="431">
        <v>357</v>
      </c>
      <c r="R1227" s="328">
        <f t="shared" si="199"/>
        <v>4</v>
      </c>
      <c r="S1227" s="365">
        <f t="shared" si="200"/>
        <v>357</v>
      </c>
      <c r="T1227" s="432"/>
      <c r="U1227" s="432"/>
      <c r="V1227" s="432"/>
      <c r="W1227" s="432"/>
      <c r="X1227" s="432"/>
    </row>
    <row r="1228" spans="1:24" ht="12.75">
      <c r="A1228" s="428" t="s">
        <v>498</v>
      </c>
      <c r="B1228" s="429" t="s">
        <v>169</v>
      </c>
      <c r="C1228" s="429" t="s">
        <v>812</v>
      </c>
      <c r="D1228" s="429">
        <v>2016</v>
      </c>
      <c r="E1228" s="429" t="s">
        <v>775</v>
      </c>
      <c r="F1228" s="430">
        <v>2</v>
      </c>
      <c r="G1228" s="430">
        <v>0</v>
      </c>
      <c r="H1228" s="431">
        <v>0</v>
      </c>
      <c r="I1228" s="430">
        <v>0</v>
      </c>
      <c r="J1228" s="430">
        <v>2</v>
      </c>
      <c r="K1228" s="430">
        <v>0</v>
      </c>
      <c r="L1228" s="430">
        <v>0</v>
      </c>
      <c r="M1228" s="430">
        <v>0</v>
      </c>
      <c r="N1228" s="430">
        <v>2</v>
      </c>
      <c r="O1228" s="430">
        <v>0</v>
      </c>
      <c r="P1228" s="430">
        <v>3</v>
      </c>
      <c r="Q1228" s="431">
        <v>0</v>
      </c>
      <c r="R1228" s="328">
        <f t="shared" si="199"/>
        <v>9</v>
      </c>
      <c r="S1228" s="365">
        <f t="shared" si="200"/>
        <v>0</v>
      </c>
      <c r="T1228" s="432"/>
      <c r="U1228" s="432"/>
      <c r="V1228" s="432"/>
      <c r="W1228" s="432"/>
      <c r="X1228" s="432"/>
    </row>
    <row r="1229" spans="1:24" ht="12.75">
      <c r="A1229" s="428" t="s">
        <v>499</v>
      </c>
      <c r="B1229" s="429" t="s">
        <v>169</v>
      </c>
      <c r="C1229" s="429" t="s">
        <v>812</v>
      </c>
      <c r="D1229" s="429">
        <v>2016</v>
      </c>
      <c r="E1229" s="429" t="s">
        <v>775</v>
      </c>
      <c r="F1229" s="430">
        <v>1</v>
      </c>
      <c r="G1229" s="430">
        <v>0</v>
      </c>
      <c r="H1229" s="431">
        <v>0</v>
      </c>
      <c r="I1229" s="430">
        <v>0</v>
      </c>
      <c r="J1229" s="430">
        <v>1</v>
      </c>
      <c r="K1229" s="430">
        <v>0</v>
      </c>
      <c r="L1229" s="430">
        <v>0</v>
      </c>
      <c r="M1229" s="430">
        <v>0</v>
      </c>
      <c r="N1229" s="430">
        <v>0</v>
      </c>
      <c r="O1229" s="430">
        <v>4</v>
      </c>
      <c r="P1229" s="430">
        <v>0</v>
      </c>
      <c r="Q1229" s="431">
        <v>8</v>
      </c>
      <c r="R1229" s="328">
        <f t="shared" si="199"/>
        <v>2</v>
      </c>
      <c r="S1229" s="365">
        <f t="shared" si="200"/>
        <v>12</v>
      </c>
      <c r="T1229" s="432"/>
      <c r="U1229" s="432"/>
      <c r="V1229" s="432"/>
      <c r="W1229" s="432"/>
      <c r="X1229" s="432"/>
    </row>
    <row r="1230" spans="1:24" ht="12.75">
      <c r="A1230" s="428" t="s">
        <v>500</v>
      </c>
      <c r="B1230" s="429" t="s">
        <v>169</v>
      </c>
      <c r="C1230" s="429" t="s">
        <v>812</v>
      </c>
      <c r="D1230" s="429">
        <v>2016</v>
      </c>
      <c r="E1230" s="429" t="s">
        <v>775</v>
      </c>
      <c r="F1230" s="430">
        <v>1</v>
      </c>
      <c r="G1230" s="430">
        <v>0</v>
      </c>
      <c r="H1230" s="431">
        <v>0</v>
      </c>
      <c r="I1230" s="430">
        <v>0</v>
      </c>
      <c r="J1230" s="430">
        <v>1</v>
      </c>
      <c r="K1230" s="430">
        <v>0</v>
      </c>
      <c r="L1230" s="430">
        <v>0</v>
      </c>
      <c r="M1230" s="430">
        <v>0</v>
      </c>
      <c r="N1230" s="430">
        <v>0</v>
      </c>
      <c r="O1230" s="430">
        <v>291</v>
      </c>
      <c r="P1230" s="430">
        <v>0</v>
      </c>
      <c r="Q1230" s="431">
        <v>1</v>
      </c>
      <c r="R1230" s="328">
        <f t="shared" si="199"/>
        <v>2</v>
      </c>
      <c r="S1230" s="365">
        <f t="shared" si="200"/>
        <v>292</v>
      </c>
      <c r="T1230" s="432"/>
      <c r="U1230" s="432"/>
      <c r="V1230" s="432"/>
      <c r="W1230" s="432"/>
      <c r="X1230" s="432"/>
    </row>
    <row r="1231" spans="1:24" ht="12.75">
      <c r="A1231" s="428" t="s">
        <v>501</v>
      </c>
      <c r="B1231" s="429" t="s">
        <v>169</v>
      </c>
      <c r="C1231" s="429" t="s">
        <v>812</v>
      </c>
      <c r="D1231" s="429">
        <v>2016</v>
      </c>
      <c r="E1231" s="429" t="s">
        <v>775</v>
      </c>
      <c r="F1231" s="430">
        <v>43</v>
      </c>
      <c r="G1231" s="430">
        <v>18</v>
      </c>
      <c r="H1231" s="431">
        <v>18</v>
      </c>
      <c r="I1231" s="430">
        <v>0</v>
      </c>
      <c r="J1231" s="430">
        <v>30</v>
      </c>
      <c r="K1231" s="430">
        <v>0</v>
      </c>
      <c r="L1231" s="430">
        <v>0</v>
      </c>
      <c r="M1231" s="430">
        <v>0</v>
      </c>
      <c r="N1231" s="430">
        <v>34</v>
      </c>
      <c r="O1231" s="430">
        <v>0</v>
      </c>
      <c r="P1231" s="430">
        <v>75</v>
      </c>
      <c r="Q1231" s="431">
        <v>508</v>
      </c>
      <c r="R1231" s="328">
        <f t="shared" si="199"/>
        <v>182</v>
      </c>
      <c r="S1231" s="365">
        <f t="shared" si="200"/>
        <v>526</v>
      </c>
      <c r="T1231" s="432"/>
      <c r="U1231" s="432"/>
      <c r="V1231" s="432"/>
      <c r="W1231" s="432"/>
      <c r="X1231" s="432"/>
    </row>
    <row r="1232" spans="1:24" ht="12.75">
      <c r="A1232" s="428" t="s">
        <v>502</v>
      </c>
      <c r="B1232" s="429" t="s">
        <v>169</v>
      </c>
      <c r="C1232" s="429" t="s">
        <v>812</v>
      </c>
      <c r="D1232" s="429">
        <v>2016</v>
      </c>
      <c r="E1232" s="429" t="s">
        <v>775</v>
      </c>
      <c r="F1232" s="430">
        <v>1</v>
      </c>
      <c r="G1232" s="430">
        <v>0</v>
      </c>
      <c r="H1232" s="431">
        <v>0</v>
      </c>
      <c r="I1232" s="430">
        <v>0</v>
      </c>
      <c r="J1232" s="430">
        <v>1</v>
      </c>
      <c r="K1232" s="430">
        <v>0</v>
      </c>
      <c r="L1232" s="430">
        <v>0</v>
      </c>
      <c r="M1232" s="430">
        <v>0</v>
      </c>
      <c r="N1232" s="430">
        <v>0</v>
      </c>
      <c r="O1232" s="430">
        <v>0</v>
      </c>
      <c r="P1232" s="430">
        <v>0</v>
      </c>
      <c r="Q1232" s="431">
        <v>0</v>
      </c>
      <c r="R1232" s="328">
        <f t="shared" si="199"/>
        <v>2</v>
      </c>
      <c r="S1232" s="365">
        <f t="shared" si="200"/>
        <v>0</v>
      </c>
      <c r="T1232" s="432"/>
      <c r="U1232" s="432"/>
      <c r="V1232" s="432"/>
      <c r="W1232" s="432"/>
      <c r="X1232" s="432"/>
    </row>
    <row r="1233" spans="1:24" ht="12.75">
      <c r="A1233" s="428" t="s">
        <v>503</v>
      </c>
      <c r="B1233" s="429" t="s">
        <v>169</v>
      </c>
      <c r="C1233" s="429" t="s">
        <v>812</v>
      </c>
      <c r="D1233" s="429">
        <v>2016</v>
      </c>
      <c r="E1233" s="429" t="s">
        <v>775</v>
      </c>
      <c r="F1233" s="430">
        <v>647</v>
      </c>
      <c r="G1233" s="430">
        <v>0</v>
      </c>
      <c r="H1233" s="431">
        <v>0</v>
      </c>
      <c r="I1233" s="430">
        <v>0</v>
      </c>
      <c r="J1233" s="430">
        <v>450</v>
      </c>
      <c r="K1233" s="430">
        <v>0</v>
      </c>
      <c r="L1233" s="430">
        <v>0</v>
      </c>
      <c r="M1233" s="430">
        <v>0</v>
      </c>
      <c r="N1233" s="430">
        <v>497</v>
      </c>
      <c r="O1233" s="430">
        <v>8</v>
      </c>
      <c r="P1233" s="430">
        <v>1133</v>
      </c>
      <c r="Q1233" s="431">
        <v>489</v>
      </c>
      <c r="R1233" s="328">
        <f t="shared" si="199"/>
        <v>2727</v>
      </c>
      <c r="S1233" s="365">
        <f t="shared" si="200"/>
        <v>497</v>
      </c>
      <c r="T1233" s="432"/>
      <c r="U1233" s="432"/>
      <c r="V1233" s="432"/>
      <c r="W1233" s="432"/>
      <c r="X1233" s="432"/>
    </row>
    <row r="1234" spans="1:24" ht="12.75">
      <c r="A1234" s="428" t="s">
        <v>505</v>
      </c>
      <c r="B1234" s="429" t="s">
        <v>169</v>
      </c>
      <c r="C1234" s="429" t="s">
        <v>812</v>
      </c>
      <c r="D1234" s="429">
        <v>2016</v>
      </c>
      <c r="E1234" s="429" t="s">
        <v>775</v>
      </c>
      <c r="F1234" s="430">
        <v>42</v>
      </c>
      <c r="G1234" s="430">
        <v>1</v>
      </c>
      <c r="H1234" s="431">
        <v>1</v>
      </c>
      <c r="I1234" s="430">
        <v>0</v>
      </c>
      <c r="J1234" s="430">
        <v>29</v>
      </c>
      <c r="K1234" s="430">
        <v>0</v>
      </c>
      <c r="L1234" s="430">
        <v>0</v>
      </c>
      <c r="M1234" s="430">
        <v>0</v>
      </c>
      <c r="N1234" s="430">
        <v>33</v>
      </c>
      <c r="O1234" s="430">
        <v>0</v>
      </c>
      <c r="P1234" s="430">
        <v>73</v>
      </c>
      <c r="Q1234" s="431">
        <v>6</v>
      </c>
      <c r="R1234" s="328">
        <f t="shared" si="199"/>
        <v>177</v>
      </c>
      <c r="S1234" s="365">
        <f t="shared" si="200"/>
        <v>7</v>
      </c>
      <c r="T1234" s="432"/>
      <c r="U1234" s="432"/>
      <c r="V1234" s="432"/>
      <c r="W1234" s="432"/>
      <c r="X1234" s="432"/>
    </row>
    <row r="1235" spans="1:24" ht="12.75">
      <c r="A1235" s="428" t="s">
        <v>506</v>
      </c>
      <c r="B1235" s="429" t="s">
        <v>169</v>
      </c>
      <c r="C1235" s="429" t="s">
        <v>812</v>
      </c>
      <c r="D1235" s="429">
        <v>2016</v>
      </c>
      <c r="E1235" s="429" t="s">
        <v>775</v>
      </c>
      <c r="F1235" s="430">
        <v>1</v>
      </c>
      <c r="G1235" s="430">
        <v>0</v>
      </c>
      <c r="H1235" s="431">
        <v>0</v>
      </c>
      <c r="I1235" s="430">
        <v>0</v>
      </c>
      <c r="J1235" s="430">
        <v>1</v>
      </c>
      <c r="K1235" s="430">
        <v>0</v>
      </c>
      <c r="L1235" s="430">
        <v>0</v>
      </c>
      <c r="M1235" s="430">
        <v>0</v>
      </c>
      <c r="N1235" s="430">
        <v>1</v>
      </c>
      <c r="O1235" s="430">
        <v>0</v>
      </c>
      <c r="P1235" s="430">
        <v>2</v>
      </c>
      <c r="Q1235" s="431">
        <v>186</v>
      </c>
      <c r="R1235" s="328">
        <f t="shared" si="199"/>
        <v>5</v>
      </c>
      <c r="S1235" s="365">
        <f t="shared" si="200"/>
        <v>186</v>
      </c>
      <c r="T1235" s="432"/>
      <c r="U1235" s="432"/>
      <c r="V1235" s="432"/>
      <c r="W1235" s="432"/>
      <c r="X1235" s="432"/>
    </row>
    <row r="1236" spans="1:24" ht="12.75">
      <c r="A1236" s="428" t="s">
        <v>169</v>
      </c>
      <c r="B1236" s="429" t="s">
        <v>169</v>
      </c>
      <c r="C1236" s="429" t="s">
        <v>812</v>
      </c>
      <c r="D1236" s="429">
        <v>2016</v>
      </c>
      <c r="E1236" s="429" t="s">
        <v>775</v>
      </c>
      <c r="F1236" s="430">
        <v>83</v>
      </c>
      <c r="G1236" s="430">
        <v>0</v>
      </c>
      <c r="H1236" s="431">
        <v>0</v>
      </c>
      <c r="I1236" s="430">
        <v>0</v>
      </c>
      <c r="J1236" s="430">
        <v>59</v>
      </c>
      <c r="K1236" s="430">
        <v>0</v>
      </c>
      <c r="L1236" s="430">
        <v>0</v>
      </c>
      <c r="M1236" s="430">
        <v>0</v>
      </c>
      <c r="N1236" s="430">
        <v>66</v>
      </c>
      <c r="O1236" s="430">
        <v>0</v>
      </c>
      <c r="P1236" s="430">
        <v>155</v>
      </c>
      <c r="Q1236" s="431">
        <v>5</v>
      </c>
      <c r="R1236" s="328">
        <f t="shared" si="199"/>
        <v>363</v>
      </c>
      <c r="S1236" s="365">
        <f t="shared" si="200"/>
        <v>5</v>
      </c>
      <c r="T1236" s="432"/>
      <c r="U1236" s="432"/>
      <c r="V1236" s="432"/>
      <c r="W1236" s="432"/>
      <c r="X1236" s="432"/>
    </row>
    <row r="1237" spans="1:24" ht="12.75">
      <c r="A1237" s="428" t="s">
        <v>507</v>
      </c>
      <c r="B1237" s="429" t="s">
        <v>169</v>
      </c>
      <c r="C1237" s="429" t="s">
        <v>812</v>
      </c>
      <c r="D1237" s="429">
        <v>2016</v>
      </c>
      <c r="E1237" s="429" t="s">
        <v>775</v>
      </c>
      <c r="F1237" s="430">
        <v>1240</v>
      </c>
      <c r="G1237" s="430">
        <v>81</v>
      </c>
      <c r="H1237" s="431">
        <v>81</v>
      </c>
      <c r="I1237" s="430">
        <v>0</v>
      </c>
      <c r="J1237" s="430">
        <v>879</v>
      </c>
      <c r="K1237" s="430">
        <v>151</v>
      </c>
      <c r="L1237" s="430">
        <v>151</v>
      </c>
      <c r="M1237" s="430">
        <v>0</v>
      </c>
      <c r="N1237" s="430">
        <v>979</v>
      </c>
      <c r="O1237" s="430">
        <v>0</v>
      </c>
      <c r="P1237" s="430">
        <v>2174</v>
      </c>
      <c r="Q1237" s="431">
        <v>780</v>
      </c>
      <c r="R1237" s="328">
        <f t="shared" si="199"/>
        <v>5272</v>
      </c>
      <c r="S1237" s="365">
        <f t="shared" si="200"/>
        <v>1012</v>
      </c>
      <c r="T1237" s="432"/>
      <c r="U1237" s="432"/>
      <c r="V1237" s="432"/>
      <c r="W1237" s="432"/>
      <c r="X1237" s="432"/>
    </row>
    <row r="1238" spans="1:24" ht="12.75">
      <c r="A1238" s="428" t="s">
        <v>508</v>
      </c>
      <c r="B1238" s="429" t="s">
        <v>169</v>
      </c>
      <c r="C1238" s="429" t="s">
        <v>812</v>
      </c>
      <c r="D1238" s="429">
        <v>2016</v>
      </c>
      <c r="E1238" s="429" t="s">
        <v>775</v>
      </c>
      <c r="F1238" s="430">
        <v>112</v>
      </c>
      <c r="G1238" s="430">
        <v>0</v>
      </c>
      <c r="H1238" s="431">
        <v>0</v>
      </c>
      <c r="I1238" s="430">
        <v>0</v>
      </c>
      <c r="J1238" s="430">
        <v>81</v>
      </c>
      <c r="K1238" s="430">
        <v>0</v>
      </c>
      <c r="L1238" s="430">
        <v>0</v>
      </c>
      <c r="M1238" s="430">
        <v>0</v>
      </c>
      <c r="N1238" s="430">
        <v>90</v>
      </c>
      <c r="O1238" s="430">
        <v>10</v>
      </c>
      <c r="P1238" s="430">
        <v>209</v>
      </c>
      <c r="Q1238" s="431">
        <v>23</v>
      </c>
      <c r="R1238" s="328">
        <f t="shared" si="199"/>
        <v>492</v>
      </c>
      <c r="S1238" s="365">
        <f t="shared" si="200"/>
        <v>33</v>
      </c>
      <c r="T1238" s="432"/>
      <c r="U1238" s="432"/>
      <c r="V1238" s="432"/>
      <c r="W1238" s="432"/>
      <c r="X1238" s="432"/>
    </row>
    <row r="1239" spans="1:24" ht="12.75">
      <c r="A1239" s="428" t="s">
        <v>509</v>
      </c>
      <c r="B1239" s="429" t="s">
        <v>169</v>
      </c>
      <c r="C1239" s="429" t="s">
        <v>812</v>
      </c>
      <c r="D1239" s="429">
        <v>2016</v>
      </c>
      <c r="E1239" s="429" t="s">
        <v>775</v>
      </c>
      <c r="F1239" s="430">
        <v>1</v>
      </c>
      <c r="G1239" s="430">
        <v>0</v>
      </c>
      <c r="H1239" s="431">
        <v>0</v>
      </c>
      <c r="I1239" s="430">
        <v>0</v>
      </c>
      <c r="J1239" s="430">
        <v>1</v>
      </c>
      <c r="K1239" s="430">
        <v>0</v>
      </c>
      <c r="L1239" s="430">
        <v>0</v>
      </c>
      <c r="M1239" s="430">
        <v>0</v>
      </c>
      <c r="N1239" s="430">
        <v>0</v>
      </c>
      <c r="O1239" s="430">
        <v>0</v>
      </c>
      <c r="P1239" s="430">
        <v>0</v>
      </c>
      <c r="Q1239" s="431">
        <v>0</v>
      </c>
      <c r="R1239" s="328">
        <f t="shared" si="199"/>
        <v>2</v>
      </c>
      <c r="S1239" s="365">
        <f t="shared" si="200"/>
        <v>0</v>
      </c>
      <c r="T1239" s="432"/>
      <c r="U1239" s="432"/>
      <c r="V1239" s="432"/>
      <c r="W1239" s="432"/>
      <c r="X1239" s="432"/>
    </row>
    <row r="1240" spans="1:24" ht="12.75">
      <c r="A1240" s="428" t="s">
        <v>510</v>
      </c>
      <c r="B1240" s="429" t="s">
        <v>169</v>
      </c>
      <c r="C1240" s="429" t="s">
        <v>812</v>
      </c>
      <c r="D1240" s="429">
        <v>2016</v>
      </c>
      <c r="E1240" s="429" t="s">
        <v>775</v>
      </c>
      <c r="F1240" s="430">
        <v>134</v>
      </c>
      <c r="G1240" s="430">
        <v>0</v>
      </c>
      <c r="H1240" s="431">
        <v>0</v>
      </c>
      <c r="I1240" s="430">
        <v>0</v>
      </c>
      <c r="J1240" s="430">
        <v>95</v>
      </c>
      <c r="K1240" s="430">
        <v>0</v>
      </c>
      <c r="L1240" s="430">
        <v>0</v>
      </c>
      <c r="M1240" s="430">
        <v>0</v>
      </c>
      <c r="N1240" s="430">
        <v>108</v>
      </c>
      <c r="O1240" s="430">
        <v>0</v>
      </c>
      <c r="P1240" s="430">
        <v>244</v>
      </c>
      <c r="Q1240" s="431">
        <v>107</v>
      </c>
      <c r="R1240" s="328">
        <f t="shared" si="199"/>
        <v>581</v>
      </c>
      <c r="S1240" s="365">
        <f t="shared" si="200"/>
        <v>107</v>
      </c>
      <c r="T1240" s="432"/>
      <c r="U1240" s="432"/>
      <c r="V1240" s="432"/>
      <c r="W1240" s="432"/>
      <c r="X1240" s="432"/>
    </row>
    <row r="1241" spans="1:24" ht="12.75">
      <c r="A1241" s="428" t="s">
        <v>511</v>
      </c>
      <c r="B1241" s="429" t="s">
        <v>169</v>
      </c>
      <c r="C1241" s="429" t="s">
        <v>812</v>
      </c>
      <c r="D1241" s="429">
        <v>2016</v>
      </c>
      <c r="E1241" s="429" t="s">
        <v>775</v>
      </c>
      <c r="F1241" s="430">
        <v>147</v>
      </c>
      <c r="G1241" s="430">
        <v>0</v>
      </c>
      <c r="H1241" s="431">
        <v>0</v>
      </c>
      <c r="I1241" s="430">
        <v>0</v>
      </c>
      <c r="J1241" s="430">
        <v>104</v>
      </c>
      <c r="K1241" s="430">
        <v>0</v>
      </c>
      <c r="L1241" s="430">
        <v>0</v>
      </c>
      <c r="M1241" s="430">
        <v>0</v>
      </c>
      <c r="N1241" s="430">
        <v>120</v>
      </c>
      <c r="O1241" s="430">
        <v>0</v>
      </c>
      <c r="P1241" s="430">
        <v>267</v>
      </c>
      <c r="Q1241" s="431">
        <v>62</v>
      </c>
      <c r="R1241" s="328">
        <f t="shared" si="199"/>
        <v>638</v>
      </c>
      <c r="S1241" s="365">
        <f t="shared" si="200"/>
        <v>62</v>
      </c>
      <c r="T1241" s="432"/>
      <c r="U1241" s="432"/>
      <c r="V1241" s="432"/>
      <c r="W1241" s="432"/>
      <c r="X1241" s="432"/>
    </row>
    <row r="1242" spans="1:24" ht="12.75">
      <c r="A1242" s="428" t="s">
        <v>512</v>
      </c>
      <c r="B1242" s="429" t="s">
        <v>169</v>
      </c>
      <c r="C1242" s="429" t="s">
        <v>812</v>
      </c>
      <c r="D1242" s="429">
        <v>2016</v>
      </c>
      <c r="E1242" s="429" t="s">
        <v>775</v>
      </c>
      <c r="F1242" s="430">
        <v>45</v>
      </c>
      <c r="G1242" s="430">
        <v>0</v>
      </c>
      <c r="H1242" s="431">
        <v>0</v>
      </c>
      <c r="I1242" s="430">
        <v>0</v>
      </c>
      <c r="J1242" s="430">
        <v>32</v>
      </c>
      <c r="K1242" s="430">
        <v>12</v>
      </c>
      <c r="L1242" s="430">
        <v>12</v>
      </c>
      <c r="M1242" s="430">
        <v>0</v>
      </c>
      <c r="N1242" s="430">
        <v>37</v>
      </c>
      <c r="O1242" s="430">
        <v>2</v>
      </c>
      <c r="P1242" s="430">
        <v>90</v>
      </c>
      <c r="Q1242" s="431">
        <v>285</v>
      </c>
      <c r="R1242" s="328">
        <f t="shared" si="199"/>
        <v>204</v>
      </c>
      <c r="S1242" s="365">
        <f t="shared" si="200"/>
        <v>299</v>
      </c>
      <c r="T1242" s="432"/>
      <c r="U1242" s="432"/>
      <c r="V1242" s="432"/>
      <c r="W1242" s="432"/>
      <c r="X1242" s="432"/>
    </row>
    <row r="1243" spans="1:24" ht="12.75">
      <c r="A1243" s="428" t="s">
        <v>514</v>
      </c>
      <c r="B1243" s="429" t="s">
        <v>169</v>
      </c>
      <c r="C1243" s="429" t="s">
        <v>812</v>
      </c>
      <c r="D1243" s="429">
        <v>2016</v>
      </c>
      <c r="E1243" s="429" t="s">
        <v>775</v>
      </c>
      <c r="F1243" s="430">
        <v>68</v>
      </c>
      <c r="G1243" s="430">
        <v>0</v>
      </c>
      <c r="H1243" s="431">
        <v>0</v>
      </c>
      <c r="I1243" s="430">
        <v>0</v>
      </c>
      <c r="J1243" s="430">
        <v>49</v>
      </c>
      <c r="K1243" s="430">
        <v>0</v>
      </c>
      <c r="L1243" s="430">
        <v>0</v>
      </c>
      <c r="M1243" s="430">
        <v>0</v>
      </c>
      <c r="N1243" s="430">
        <v>56</v>
      </c>
      <c r="O1243" s="430">
        <v>0</v>
      </c>
      <c r="P1243" s="430">
        <v>140</v>
      </c>
      <c r="Q1243" s="431">
        <v>25</v>
      </c>
      <c r="R1243" s="328">
        <f t="shared" si="199"/>
        <v>313</v>
      </c>
      <c r="S1243" s="365">
        <f t="shared" si="200"/>
        <v>25</v>
      </c>
      <c r="T1243" s="432"/>
      <c r="U1243" s="432"/>
      <c r="V1243" s="432"/>
      <c r="W1243" s="432"/>
      <c r="X1243" s="432"/>
    </row>
    <row r="1244" spans="1:24" ht="12.75">
      <c r="A1244" s="459" t="s">
        <v>515</v>
      </c>
      <c r="B1244" s="460" t="s">
        <v>169</v>
      </c>
      <c r="C1244" s="460" t="s">
        <v>812</v>
      </c>
      <c r="D1244" s="460">
        <v>2016</v>
      </c>
      <c r="E1244" s="460" t="s">
        <v>775</v>
      </c>
      <c r="F1244" s="431">
        <v>283</v>
      </c>
      <c r="G1244" s="430">
        <v>1</v>
      </c>
      <c r="H1244" s="431">
        <v>1</v>
      </c>
      <c r="I1244" s="431">
        <v>0</v>
      </c>
      <c r="J1244" s="430">
        <v>195</v>
      </c>
      <c r="K1244" s="430">
        <v>0</v>
      </c>
      <c r="L1244" s="431">
        <v>0</v>
      </c>
      <c r="M1244" s="431">
        <v>0</v>
      </c>
      <c r="N1244" s="431">
        <v>224</v>
      </c>
      <c r="O1244" s="431">
        <v>0</v>
      </c>
      <c r="P1244" s="431">
        <v>525</v>
      </c>
      <c r="Q1244" s="431">
        <v>157</v>
      </c>
      <c r="R1244" s="328">
        <f t="shared" si="199"/>
        <v>1227</v>
      </c>
      <c r="S1244" s="365">
        <f t="shared" si="200"/>
        <v>158</v>
      </c>
      <c r="T1244" s="432"/>
      <c r="U1244" s="432"/>
      <c r="V1244" s="432"/>
      <c r="W1244" s="432"/>
      <c r="X1244" s="432"/>
    </row>
    <row r="1245" spans="1:24" ht="12.75">
      <c r="A1245" s="459" t="s">
        <v>517</v>
      </c>
      <c r="B1245" s="460" t="s">
        <v>169</v>
      </c>
      <c r="C1245" s="460" t="s">
        <v>812</v>
      </c>
      <c r="D1245" s="460">
        <v>2016</v>
      </c>
      <c r="E1245" s="460" t="s">
        <v>775</v>
      </c>
      <c r="F1245" s="431">
        <v>1</v>
      </c>
      <c r="G1245" s="430">
        <v>0</v>
      </c>
      <c r="H1245" s="431">
        <v>0</v>
      </c>
      <c r="I1245" s="431">
        <v>0</v>
      </c>
      <c r="J1245" s="431">
        <v>1</v>
      </c>
      <c r="K1245" s="430">
        <v>0</v>
      </c>
      <c r="L1245" s="431">
        <v>0</v>
      </c>
      <c r="M1245" s="431">
        <v>0</v>
      </c>
      <c r="N1245" s="431">
        <v>0</v>
      </c>
      <c r="O1245" s="431">
        <v>0</v>
      </c>
      <c r="P1245" s="431">
        <v>0</v>
      </c>
      <c r="Q1245" s="431">
        <v>9</v>
      </c>
      <c r="R1245" s="328">
        <f t="shared" si="199"/>
        <v>2</v>
      </c>
      <c r="S1245" s="365">
        <f t="shared" si="200"/>
        <v>9</v>
      </c>
      <c r="T1245" s="432"/>
      <c r="U1245" s="432"/>
      <c r="V1245" s="432"/>
      <c r="W1245" s="432"/>
      <c r="X1245" s="432"/>
    </row>
    <row r="1246" spans="1:24" ht="12.75">
      <c r="A1246" s="459" t="s">
        <v>518</v>
      </c>
      <c r="B1246" s="460" t="s">
        <v>169</v>
      </c>
      <c r="C1246" s="460" t="s">
        <v>812</v>
      </c>
      <c r="D1246" s="460">
        <v>2016</v>
      </c>
      <c r="E1246" s="460" t="s">
        <v>775</v>
      </c>
      <c r="F1246" s="431">
        <v>160</v>
      </c>
      <c r="G1246" s="430">
        <v>24</v>
      </c>
      <c r="H1246" s="431">
        <v>20</v>
      </c>
      <c r="I1246" s="431">
        <v>4</v>
      </c>
      <c r="J1246" s="431">
        <v>113</v>
      </c>
      <c r="K1246" s="430">
        <v>4</v>
      </c>
      <c r="L1246" s="431">
        <v>4</v>
      </c>
      <c r="M1246" s="431">
        <v>0</v>
      </c>
      <c r="N1246" s="431">
        <v>126</v>
      </c>
      <c r="O1246" s="431">
        <v>0</v>
      </c>
      <c r="P1246" s="431">
        <v>270</v>
      </c>
      <c r="Q1246" s="431">
        <v>130</v>
      </c>
      <c r="R1246" s="328">
        <f t="shared" si="199"/>
        <v>669</v>
      </c>
      <c r="S1246" s="365">
        <f t="shared" si="200"/>
        <v>158</v>
      </c>
      <c r="T1246" s="331">
        <f>SUM(G1216:G1246)</f>
        <v>1090</v>
      </c>
      <c r="U1246" s="331">
        <f>SUM(K1216:K1246)</f>
        <v>417</v>
      </c>
      <c r="V1246" s="331">
        <f>SUM(O1216:O1246)</f>
        <v>4945</v>
      </c>
      <c r="W1246" s="331">
        <f>SUM(Q1216:Q1246)</f>
        <v>8289</v>
      </c>
      <c r="X1246" s="331">
        <f>T1246+U1246+V1246+W1246</f>
        <v>14741</v>
      </c>
    </row>
    <row r="1247" spans="1:24" ht="12.75">
      <c r="A1247" s="433" t="s">
        <v>485</v>
      </c>
      <c r="B1247" s="434" t="s">
        <v>169</v>
      </c>
      <c r="C1247" s="434" t="s">
        <v>812</v>
      </c>
      <c r="D1247" s="434">
        <v>2017</v>
      </c>
      <c r="E1247" s="434" t="s">
        <v>775</v>
      </c>
      <c r="F1247" s="435">
        <v>9</v>
      </c>
      <c r="G1247" s="435">
        <v>0</v>
      </c>
      <c r="H1247" s="436">
        <v>0</v>
      </c>
      <c r="I1247" s="435">
        <v>0</v>
      </c>
      <c r="J1247" s="435">
        <v>7</v>
      </c>
      <c r="K1247" s="435">
        <v>0</v>
      </c>
      <c r="L1247" s="435">
        <v>0</v>
      </c>
      <c r="M1247" s="435">
        <v>0</v>
      </c>
      <c r="N1247" s="435">
        <v>7</v>
      </c>
      <c r="O1247" s="435">
        <v>0</v>
      </c>
      <c r="P1247" s="435">
        <v>16</v>
      </c>
      <c r="Q1247" s="436">
        <v>0</v>
      </c>
      <c r="R1247" s="336">
        <f t="shared" si="199"/>
        <v>39</v>
      </c>
      <c r="S1247" s="366">
        <f t="shared" si="200"/>
        <v>0</v>
      </c>
      <c r="T1247" s="437"/>
      <c r="U1247" s="437"/>
      <c r="V1247" s="437"/>
      <c r="W1247" s="437"/>
      <c r="X1247" s="437"/>
    </row>
    <row r="1248" spans="1:24" ht="12.75">
      <c r="A1248" s="433" t="s">
        <v>486</v>
      </c>
      <c r="B1248" s="434" t="s">
        <v>169</v>
      </c>
      <c r="C1248" s="434" t="s">
        <v>812</v>
      </c>
      <c r="D1248" s="434">
        <v>2017</v>
      </c>
      <c r="E1248" s="434" t="s">
        <v>775</v>
      </c>
      <c r="F1248" s="435">
        <v>1256</v>
      </c>
      <c r="G1248" s="435">
        <v>2</v>
      </c>
      <c r="H1248" s="436">
        <v>2</v>
      </c>
      <c r="I1248" s="435">
        <v>0</v>
      </c>
      <c r="J1248" s="435">
        <v>907</v>
      </c>
      <c r="K1248" s="435">
        <v>0</v>
      </c>
      <c r="L1248" s="435">
        <v>0</v>
      </c>
      <c r="M1248" s="435">
        <v>0</v>
      </c>
      <c r="N1248" s="435">
        <v>1038</v>
      </c>
      <c r="O1248" s="435">
        <v>0</v>
      </c>
      <c r="P1248" s="435">
        <v>2501</v>
      </c>
      <c r="Q1248" s="436">
        <v>1533</v>
      </c>
      <c r="R1248" s="336">
        <f t="shared" si="199"/>
        <v>5702</v>
      </c>
      <c r="S1248" s="366">
        <f t="shared" si="200"/>
        <v>1535</v>
      </c>
      <c r="T1248" s="437"/>
      <c r="U1248" s="437"/>
      <c r="V1248" s="437"/>
      <c r="W1248" s="437"/>
      <c r="X1248" s="437"/>
    </row>
    <row r="1249" spans="1:24" ht="12.75">
      <c r="A1249" s="433" t="s">
        <v>487</v>
      </c>
      <c r="B1249" s="434" t="s">
        <v>169</v>
      </c>
      <c r="C1249" s="434" t="s">
        <v>812</v>
      </c>
      <c r="D1249" s="434">
        <v>2017</v>
      </c>
      <c r="E1249" s="434" t="s">
        <v>775</v>
      </c>
      <c r="F1249" s="435">
        <v>426</v>
      </c>
      <c r="G1249" s="435">
        <v>0</v>
      </c>
      <c r="H1249" s="436">
        <v>0</v>
      </c>
      <c r="I1249" s="435">
        <v>0</v>
      </c>
      <c r="J1249" s="435">
        <v>305</v>
      </c>
      <c r="K1249" s="435">
        <v>0</v>
      </c>
      <c r="L1249" s="435">
        <v>0</v>
      </c>
      <c r="M1249" s="435">
        <v>0</v>
      </c>
      <c r="N1249" s="435">
        <v>335</v>
      </c>
      <c r="O1249" s="435">
        <v>21</v>
      </c>
      <c r="P1249" s="435">
        <v>785</v>
      </c>
      <c r="Q1249" s="436">
        <v>435</v>
      </c>
      <c r="R1249" s="336">
        <f t="shared" si="199"/>
        <v>1851</v>
      </c>
      <c r="S1249" s="366">
        <f t="shared" si="200"/>
        <v>456</v>
      </c>
      <c r="T1249" s="437"/>
      <c r="U1249" s="437"/>
      <c r="V1249" s="437"/>
      <c r="W1249" s="437"/>
      <c r="X1249" s="437"/>
    </row>
    <row r="1250" spans="1:24" ht="12.75">
      <c r="A1250" s="433" t="s">
        <v>488</v>
      </c>
      <c r="B1250" s="434" t="s">
        <v>169</v>
      </c>
      <c r="C1250" s="434" t="s">
        <v>812</v>
      </c>
      <c r="D1250" s="434">
        <v>2017</v>
      </c>
      <c r="E1250" s="434" t="s">
        <v>775</v>
      </c>
      <c r="F1250" s="435">
        <v>76</v>
      </c>
      <c r="G1250" s="435">
        <v>0</v>
      </c>
      <c r="H1250" s="436">
        <v>0</v>
      </c>
      <c r="I1250" s="435">
        <v>0</v>
      </c>
      <c r="J1250" s="435">
        <v>53</v>
      </c>
      <c r="K1250" s="435">
        <v>0</v>
      </c>
      <c r="L1250" s="435">
        <v>0</v>
      </c>
      <c r="M1250" s="435">
        <v>0</v>
      </c>
      <c r="N1250" s="435">
        <v>62</v>
      </c>
      <c r="O1250" s="435">
        <v>83</v>
      </c>
      <c r="P1250" s="435">
        <v>148</v>
      </c>
      <c r="Q1250" s="436">
        <v>0</v>
      </c>
      <c r="R1250" s="336">
        <f t="shared" si="199"/>
        <v>339</v>
      </c>
      <c r="S1250" s="366">
        <f t="shared" si="200"/>
        <v>83</v>
      </c>
      <c r="T1250" s="437"/>
      <c r="U1250" s="437"/>
      <c r="V1250" s="437"/>
      <c r="W1250" s="437"/>
      <c r="X1250" s="437"/>
    </row>
    <row r="1251" spans="1:24" ht="12.75">
      <c r="A1251" s="433" t="s">
        <v>489</v>
      </c>
      <c r="B1251" s="434" t="s">
        <v>169</v>
      </c>
      <c r="C1251" s="434" t="s">
        <v>812</v>
      </c>
      <c r="D1251" s="434">
        <v>2017</v>
      </c>
      <c r="E1251" s="434" t="s">
        <v>775</v>
      </c>
      <c r="F1251" s="435">
        <v>1</v>
      </c>
      <c r="G1251" s="435">
        <v>0</v>
      </c>
      <c r="H1251" s="436">
        <v>0</v>
      </c>
      <c r="I1251" s="435">
        <v>0</v>
      </c>
      <c r="J1251" s="435">
        <v>1</v>
      </c>
      <c r="K1251" s="435">
        <v>0</v>
      </c>
      <c r="L1251" s="435">
        <v>0</v>
      </c>
      <c r="M1251" s="435">
        <v>0</v>
      </c>
      <c r="N1251" s="435">
        <v>0</v>
      </c>
      <c r="O1251" s="435">
        <v>0</v>
      </c>
      <c r="P1251" s="435">
        <v>0</v>
      </c>
      <c r="Q1251" s="436">
        <v>260</v>
      </c>
      <c r="R1251" s="336">
        <f t="shared" si="199"/>
        <v>2</v>
      </c>
      <c r="S1251" s="366">
        <f t="shared" si="200"/>
        <v>260</v>
      </c>
      <c r="T1251" s="437"/>
      <c r="U1251" s="437"/>
      <c r="V1251" s="437"/>
      <c r="W1251" s="437"/>
      <c r="X1251" s="437"/>
    </row>
    <row r="1252" spans="1:24" ht="12.75">
      <c r="A1252" s="433" t="s">
        <v>490</v>
      </c>
      <c r="B1252" s="434" t="s">
        <v>169</v>
      </c>
      <c r="C1252" s="434" t="s">
        <v>812</v>
      </c>
      <c r="D1252" s="434">
        <v>2017</v>
      </c>
      <c r="E1252" s="434" t="s">
        <v>775</v>
      </c>
      <c r="F1252" s="435">
        <v>71</v>
      </c>
      <c r="G1252" s="435">
        <v>4</v>
      </c>
      <c r="H1252" s="436">
        <v>4</v>
      </c>
      <c r="I1252" s="435">
        <v>0</v>
      </c>
      <c r="J1252" s="435">
        <v>50</v>
      </c>
      <c r="K1252" s="435">
        <v>2</v>
      </c>
      <c r="L1252" s="435">
        <v>2</v>
      </c>
      <c r="M1252" s="435">
        <v>0</v>
      </c>
      <c r="N1252" s="435">
        <v>56</v>
      </c>
      <c r="O1252" s="435">
        <v>0</v>
      </c>
      <c r="P1252" s="435">
        <v>131</v>
      </c>
      <c r="Q1252" s="436">
        <v>144</v>
      </c>
      <c r="R1252" s="336">
        <f t="shared" si="199"/>
        <v>308</v>
      </c>
      <c r="S1252" s="366">
        <f t="shared" si="200"/>
        <v>150</v>
      </c>
      <c r="T1252" s="437"/>
      <c r="U1252" s="437"/>
      <c r="V1252" s="437"/>
      <c r="W1252" s="437"/>
      <c r="X1252" s="437"/>
    </row>
    <row r="1253" spans="1:24" ht="12.75">
      <c r="A1253" s="433" t="s">
        <v>491</v>
      </c>
      <c r="B1253" s="434" t="s">
        <v>169</v>
      </c>
      <c r="C1253" s="434" t="s">
        <v>812</v>
      </c>
      <c r="D1253" s="434">
        <v>2017</v>
      </c>
      <c r="E1253" s="434" t="s">
        <v>775</v>
      </c>
      <c r="F1253" s="435">
        <v>76</v>
      </c>
      <c r="G1253" s="435">
        <v>0</v>
      </c>
      <c r="H1253" s="436">
        <v>0</v>
      </c>
      <c r="I1253" s="435">
        <v>0</v>
      </c>
      <c r="J1253" s="435">
        <v>53</v>
      </c>
      <c r="K1253" s="435">
        <v>0</v>
      </c>
      <c r="L1253" s="435">
        <v>0</v>
      </c>
      <c r="M1253" s="435">
        <v>0</v>
      </c>
      <c r="N1253" s="435">
        <v>61</v>
      </c>
      <c r="O1253" s="435">
        <v>8</v>
      </c>
      <c r="P1253" s="435">
        <v>137</v>
      </c>
      <c r="Q1253" s="436">
        <v>60</v>
      </c>
      <c r="R1253" s="336">
        <f t="shared" si="199"/>
        <v>327</v>
      </c>
      <c r="S1253" s="366">
        <f t="shared" si="200"/>
        <v>68</v>
      </c>
      <c r="T1253" s="437"/>
      <c r="U1253" s="437"/>
      <c r="V1253" s="437"/>
      <c r="W1253" s="437"/>
      <c r="X1253" s="437"/>
    </row>
    <row r="1254" spans="1:24" ht="12.75">
      <c r="A1254" s="433" t="s">
        <v>492</v>
      </c>
      <c r="B1254" s="434" t="s">
        <v>169</v>
      </c>
      <c r="C1254" s="434" t="s">
        <v>812</v>
      </c>
      <c r="D1254" s="434">
        <v>2017</v>
      </c>
      <c r="E1254" s="434" t="s">
        <v>775</v>
      </c>
      <c r="F1254" s="435">
        <v>83</v>
      </c>
      <c r="G1254" s="435">
        <v>0</v>
      </c>
      <c r="H1254" s="436">
        <v>0</v>
      </c>
      <c r="I1254" s="435">
        <v>0</v>
      </c>
      <c r="J1254" s="435">
        <v>59</v>
      </c>
      <c r="K1254" s="435">
        <v>0</v>
      </c>
      <c r="L1254" s="435">
        <v>0</v>
      </c>
      <c r="M1254" s="435">
        <v>0</v>
      </c>
      <c r="N1254" s="435">
        <v>65</v>
      </c>
      <c r="O1254" s="435">
        <v>6</v>
      </c>
      <c r="P1254" s="435">
        <v>151</v>
      </c>
      <c r="Q1254" s="436">
        <v>8</v>
      </c>
      <c r="R1254" s="336">
        <f t="shared" si="199"/>
        <v>358</v>
      </c>
      <c r="S1254" s="366">
        <f t="shared" si="200"/>
        <v>14</v>
      </c>
      <c r="T1254" s="437"/>
      <c r="U1254" s="437"/>
      <c r="V1254" s="437"/>
      <c r="W1254" s="437"/>
      <c r="X1254" s="437"/>
    </row>
    <row r="1255" spans="1:24" ht="12.75">
      <c r="A1255" s="433" t="s">
        <v>493</v>
      </c>
      <c r="B1255" s="434" t="s">
        <v>169</v>
      </c>
      <c r="C1255" s="434" t="s">
        <v>812</v>
      </c>
      <c r="D1255" s="434">
        <v>2017</v>
      </c>
      <c r="E1255" s="434" t="s">
        <v>775</v>
      </c>
      <c r="F1255" s="435">
        <v>411</v>
      </c>
      <c r="G1255" s="435">
        <v>39</v>
      </c>
      <c r="H1255" s="436">
        <v>39</v>
      </c>
      <c r="I1255" s="435">
        <v>0</v>
      </c>
      <c r="J1255" s="435">
        <v>299</v>
      </c>
      <c r="K1255" s="435">
        <v>17</v>
      </c>
      <c r="L1255" s="435">
        <v>17</v>
      </c>
      <c r="M1255" s="435">
        <v>0</v>
      </c>
      <c r="N1255" s="435">
        <v>337</v>
      </c>
      <c r="O1255" s="435">
        <v>2</v>
      </c>
      <c r="P1255" s="435">
        <v>794</v>
      </c>
      <c r="Q1255" s="436">
        <v>363</v>
      </c>
      <c r="R1255" s="336">
        <f t="shared" si="199"/>
        <v>1841</v>
      </c>
      <c r="S1255" s="366">
        <f t="shared" si="200"/>
        <v>421</v>
      </c>
      <c r="T1255" s="437"/>
      <c r="U1255" s="437"/>
      <c r="V1255" s="437"/>
      <c r="W1255" s="437"/>
      <c r="X1255" s="437"/>
    </row>
    <row r="1256" spans="1:24" ht="12.75">
      <c r="A1256" s="433" t="s">
        <v>494</v>
      </c>
      <c r="B1256" s="434" t="s">
        <v>169</v>
      </c>
      <c r="C1256" s="434" t="s">
        <v>812</v>
      </c>
      <c r="D1256" s="434">
        <v>2017</v>
      </c>
      <c r="E1256" s="434" t="s">
        <v>775</v>
      </c>
      <c r="F1256" s="435">
        <v>164</v>
      </c>
      <c r="G1256" s="435">
        <v>13</v>
      </c>
      <c r="H1256" s="436">
        <v>13</v>
      </c>
      <c r="I1256" s="435">
        <v>0</v>
      </c>
      <c r="J1256" s="435">
        <v>120</v>
      </c>
      <c r="K1256" s="435">
        <v>33</v>
      </c>
      <c r="L1256" s="435">
        <v>33</v>
      </c>
      <c r="M1256" s="435">
        <v>0</v>
      </c>
      <c r="N1256" s="435">
        <v>135</v>
      </c>
      <c r="O1256" s="435">
        <v>13</v>
      </c>
      <c r="P1256" s="435">
        <v>328</v>
      </c>
      <c r="Q1256" s="436">
        <v>9</v>
      </c>
      <c r="R1256" s="336">
        <f t="shared" si="199"/>
        <v>747</v>
      </c>
      <c r="S1256" s="366">
        <f t="shared" si="200"/>
        <v>68</v>
      </c>
      <c r="T1256" s="437"/>
      <c r="U1256" s="437"/>
      <c r="V1256" s="437"/>
      <c r="W1256" s="437"/>
      <c r="X1256" s="437"/>
    </row>
    <row r="1257" spans="1:24" ht="12.75">
      <c r="A1257" s="433" t="s">
        <v>496</v>
      </c>
      <c r="B1257" s="434" t="s">
        <v>169</v>
      </c>
      <c r="C1257" s="434" t="s">
        <v>812</v>
      </c>
      <c r="D1257" s="434">
        <v>2017</v>
      </c>
      <c r="E1257" s="434" t="s">
        <v>775</v>
      </c>
      <c r="F1257" s="435">
        <v>2817</v>
      </c>
      <c r="G1257" s="435">
        <v>24</v>
      </c>
      <c r="H1257" s="436">
        <v>24</v>
      </c>
      <c r="I1257" s="435">
        <v>0</v>
      </c>
      <c r="J1257" s="435">
        <v>2034</v>
      </c>
      <c r="K1257" s="435">
        <v>0</v>
      </c>
      <c r="L1257" s="435">
        <v>0</v>
      </c>
      <c r="M1257" s="435">
        <v>0</v>
      </c>
      <c r="N1257" s="435">
        <v>2239</v>
      </c>
      <c r="O1257" s="435">
        <v>2158</v>
      </c>
      <c r="P1257" s="435">
        <v>5059</v>
      </c>
      <c r="Q1257" s="436">
        <v>2396</v>
      </c>
      <c r="R1257" s="336">
        <f t="shared" si="199"/>
        <v>12149</v>
      </c>
      <c r="S1257" s="366">
        <f t="shared" si="200"/>
        <v>4578</v>
      </c>
      <c r="T1257" s="437"/>
      <c r="U1257" s="437"/>
      <c r="V1257" s="437"/>
      <c r="W1257" s="437"/>
      <c r="X1257" s="437"/>
    </row>
    <row r="1258" spans="1:24" ht="12.75">
      <c r="A1258" s="433" t="s">
        <v>497</v>
      </c>
      <c r="B1258" s="434" t="s">
        <v>169</v>
      </c>
      <c r="C1258" s="434" t="s">
        <v>812</v>
      </c>
      <c r="D1258" s="434">
        <v>2017</v>
      </c>
      <c r="E1258" s="434" t="s">
        <v>775</v>
      </c>
      <c r="F1258" s="435">
        <v>1</v>
      </c>
      <c r="G1258" s="435">
        <v>0</v>
      </c>
      <c r="H1258" s="436">
        <v>0</v>
      </c>
      <c r="I1258" s="435">
        <v>0</v>
      </c>
      <c r="J1258" s="435">
        <v>1</v>
      </c>
      <c r="K1258" s="435">
        <v>0</v>
      </c>
      <c r="L1258" s="435">
        <v>0</v>
      </c>
      <c r="M1258" s="435">
        <v>0</v>
      </c>
      <c r="N1258" s="435">
        <v>1</v>
      </c>
      <c r="O1258" s="435">
        <v>0</v>
      </c>
      <c r="P1258" s="435">
        <v>1</v>
      </c>
      <c r="Q1258" s="436">
        <v>41</v>
      </c>
      <c r="R1258" s="336">
        <f t="shared" si="199"/>
        <v>4</v>
      </c>
      <c r="S1258" s="366">
        <f t="shared" si="200"/>
        <v>41</v>
      </c>
      <c r="T1258" s="437"/>
      <c r="U1258" s="437"/>
      <c r="V1258" s="437"/>
      <c r="W1258" s="437"/>
      <c r="X1258" s="437"/>
    </row>
    <row r="1259" spans="1:24" ht="12.75">
      <c r="A1259" s="433" t="s">
        <v>498</v>
      </c>
      <c r="B1259" s="434" t="s">
        <v>169</v>
      </c>
      <c r="C1259" s="434" t="s">
        <v>812</v>
      </c>
      <c r="D1259" s="434">
        <v>2017</v>
      </c>
      <c r="E1259" s="434" t="s">
        <v>775</v>
      </c>
      <c r="F1259" s="435">
        <v>2</v>
      </c>
      <c r="G1259" s="435">
        <v>0</v>
      </c>
      <c r="H1259" s="436">
        <v>0</v>
      </c>
      <c r="I1259" s="435">
        <v>0</v>
      </c>
      <c r="J1259" s="435">
        <v>2</v>
      </c>
      <c r="K1259" s="435">
        <v>0</v>
      </c>
      <c r="L1259" s="435">
        <v>0</v>
      </c>
      <c r="M1259" s="435">
        <v>0</v>
      </c>
      <c r="N1259" s="435">
        <v>2</v>
      </c>
      <c r="O1259" s="435">
        <v>0</v>
      </c>
      <c r="P1259" s="435">
        <v>3</v>
      </c>
      <c r="Q1259" s="436">
        <v>10</v>
      </c>
      <c r="R1259" s="336">
        <f t="shared" si="199"/>
        <v>9</v>
      </c>
      <c r="S1259" s="366">
        <f t="shared" si="200"/>
        <v>10</v>
      </c>
      <c r="T1259" s="437"/>
      <c r="U1259" s="437"/>
      <c r="V1259" s="437"/>
      <c r="W1259" s="437"/>
      <c r="X1259" s="437"/>
    </row>
    <row r="1260" spans="1:24" ht="12.75">
      <c r="A1260" s="433" t="s">
        <v>499</v>
      </c>
      <c r="B1260" s="434" t="s">
        <v>169</v>
      </c>
      <c r="C1260" s="434" t="s">
        <v>812</v>
      </c>
      <c r="D1260" s="434">
        <v>2017</v>
      </c>
      <c r="E1260" s="434" t="s">
        <v>775</v>
      </c>
      <c r="F1260" s="435">
        <v>1</v>
      </c>
      <c r="G1260" s="435">
        <v>0</v>
      </c>
      <c r="H1260" s="436">
        <v>0</v>
      </c>
      <c r="I1260" s="435">
        <v>0</v>
      </c>
      <c r="J1260" s="435">
        <v>1</v>
      </c>
      <c r="K1260" s="435">
        <v>1</v>
      </c>
      <c r="L1260" s="435">
        <v>1</v>
      </c>
      <c r="M1260" s="435">
        <v>0</v>
      </c>
      <c r="N1260" s="435">
        <v>0</v>
      </c>
      <c r="O1260" s="435">
        <v>3</v>
      </c>
      <c r="P1260" s="435">
        <v>0</v>
      </c>
      <c r="Q1260" s="436">
        <v>19</v>
      </c>
      <c r="R1260" s="336">
        <f t="shared" si="199"/>
        <v>2</v>
      </c>
      <c r="S1260" s="366">
        <f t="shared" si="200"/>
        <v>23</v>
      </c>
      <c r="T1260" s="437"/>
      <c r="U1260" s="437"/>
      <c r="V1260" s="437"/>
      <c r="W1260" s="437"/>
      <c r="X1260" s="437"/>
    </row>
    <row r="1261" spans="1:24" ht="12.75">
      <c r="A1261" s="433" t="s">
        <v>500</v>
      </c>
      <c r="B1261" s="434" t="s">
        <v>169</v>
      </c>
      <c r="C1261" s="434" t="s">
        <v>812</v>
      </c>
      <c r="D1261" s="434">
        <v>2017</v>
      </c>
      <c r="E1261" s="434" t="s">
        <v>775</v>
      </c>
      <c r="F1261" s="435">
        <v>1</v>
      </c>
      <c r="G1261" s="435">
        <v>0</v>
      </c>
      <c r="H1261" s="436">
        <v>0</v>
      </c>
      <c r="I1261" s="435">
        <v>0</v>
      </c>
      <c r="J1261" s="435">
        <v>1</v>
      </c>
      <c r="K1261" s="435">
        <v>0</v>
      </c>
      <c r="L1261" s="435">
        <v>0</v>
      </c>
      <c r="M1261" s="435">
        <v>0</v>
      </c>
      <c r="N1261" s="435">
        <v>0</v>
      </c>
      <c r="O1261" s="435">
        <v>1</v>
      </c>
      <c r="P1261" s="435">
        <v>0</v>
      </c>
      <c r="Q1261" s="436">
        <v>1</v>
      </c>
      <c r="R1261" s="336">
        <f t="shared" si="199"/>
        <v>2</v>
      </c>
      <c r="S1261" s="366">
        <f t="shared" si="200"/>
        <v>2</v>
      </c>
      <c r="T1261" s="437"/>
      <c r="U1261" s="437"/>
      <c r="V1261" s="437"/>
      <c r="W1261" s="437"/>
      <c r="X1261" s="437"/>
    </row>
    <row r="1262" spans="1:24" ht="12.75">
      <c r="A1262" s="433" t="s">
        <v>501</v>
      </c>
      <c r="B1262" s="434" t="s">
        <v>169</v>
      </c>
      <c r="C1262" s="434" t="s">
        <v>812</v>
      </c>
      <c r="D1262" s="434">
        <v>2017</v>
      </c>
      <c r="E1262" s="434" t="s">
        <v>775</v>
      </c>
      <c r="F1262" s="435">
        <v>43</v>
      </c>
      <c r="G1262" s="435">
        <v>0</v>
      </c>
      <c r="H1262" s="436">
        <v>0</v>
      </c>
      <c r="I1262" s="435">
        <v>0</v>
      </c>
      <c r="J1262" s="435">
        <v>30</v>
      </c>
      <c r="K1262" s="435">
        <v>24</v>
      </c>
      <c r="L1262" s="435">
        <v>24</v>
      </c>
      <c r="M1262" s="435">
        <v>0</v>
      </c>
      <c r="N1262" s="435">
        <v>34</v>
      </c>
      <c r="O1262" s="435">
        <v>0</v>
      </c>
      <c r="P1262" s="435">
        <v>75</v>
      </c>
      <c r="Q1262" s="436">
        <v>211</v>
      </c>
      <c r="R1262" s="336">
        <f t="shared" si="199"/>
        <v>182</v>
      </c>
      <c r="S1262" s="366">
        <f t="shared" si="200"/>
        <v>235</v>
      </c>
      <c r="T1262" s="437"/>
      <c r="U1262" s="437"/>
      <c r="V1262" s="437"/>
      <c r="W1262" s="437"/>
      <c r="X1262" s="437"/>
    </row>
    <row r="1263" spans="1:24" ht="12.75">
      <c r="A1263" s="433" t="s">
        <v>502</v>
      </c>
      <c r="B1263" s="434" t="s">
        <v>169</v>
      </c>
      <c r="C1263" s="434" t="s">
        <v>812</v>
      </c>
      <c r="D1263" s="434">
        <v>2017</v>
      </c>
      <c r="E1263" s="434" t="s">
        <v>775</v>
      </c>
      <c r="F1263" s="435">
        <v>1</v>
      </c>
      <c r="G1263" s="435">
        <v>0</v>
      </c>
      <c r="H1263" s="436">
        <v>0</v>
      </c>
      <c r="I1263" s="435">
        <v>0</v>
      </c>
      <c r="J1263" s="435">
        <v>1</v>
      </c>
      <c r="K1263" s="435">
        <v>0</v>
      </c>
      <c r="L1263" s="435">
        <v>0</v>
      </c>
      <c r="M1263" s="435">
        <v>0</v>
      </c>
      <c r="N1263" s="435">
        <v>0</v>
      </c>
      <c r="O1263" s="435">
        <v>0</v>
      </c>
      <c r="P1263" s="435">
        <v>0</v>
      </c>
      <c r="Q1263" s="436">
        <v>0</v>
      </c>
      <c r="R1263" s="336">
        <f t="shared" si="199"/>
        <v>2</v>
      </c>
      <c r="S1263" s="366">
        <f t="shared" si="200"/>
        <v>0</v>
      </c>
      <c r="T1263" s="437"/>
      <c r="U1263" s="437"/>
      <c r="V1263" s="437"/>
      <c r="W1263" s="437"/>
      <c r="X1263" s="437"/>
    </row>
    <row r="1264" spans="1:24" ht="12.75">
      <c r="A1264" s="433" t="s">
        <v>503</v>
      </c>
      <c r="B1264" s="434" t="s">
        <v>169</v>
      </c>
      <c r="C1264" s="434" t="s">
        <v>812</v>
      </c>
      <c r="D1264" s="434">
        <v>2017</v>
      </c>
      <c r="E1264" s="434" t="s">
        <v>775</v>
      </c>
      <c r="F1264" s="435">
        <v>647</v>
      </c>
      <c r="G1264" s="435">
        <v>0</v>
      </c>
      <c r="H1264" s="436">
        <v>0</v>
      </c>
      <c r="I1264" s="435">
        <v>0</v>
      </c>
      <c r="J1264" s="435">
        <v>450</v>
      </c>
      <c r="K1264" s="435">
        <v>0</v>
      </c>
      <c r="L1264" s="435">
        <v>0</v>
      </c>
      <c r="M1264" s="435">
        <v>0</v>
      </c>
      <c r="N1264" s="435">
        <v>497</v>
      </c>
      <c r="O1264" s="435">
        <v>0</v>
      </c>
      <c r="P1264" s="435">
        <v>1133</v>
      </c>
      <c r="Q1264" s="436">
        <v>749</v>
      </c>
      <c r="R1264" s="336">
        <f t="shared" si="199"/>
        <v>2727</v>
      </c>
      <c r="S1264" s="366">
        <f t="shared" si="200"/>
        <v>749</v>
      </c>
      <c r="T1264" s="437"/>
      <c r="U1264" s="437"/>
      <c r="V1264" s="437"/>
      <c r="W1264" s="437"/>
      <c r="X1264" s="437"/>
    </row>
    <row r="1265" spans="1:24" ht="12.75">
      <c r="A1265" s="433" t="s">
        <v>504</v>
      </c>
      <c r="B1265" s="434" t="s">
        <v>169</v>
      </c>
      <c r="C1265" s="434" t="s">
        <v>812</v>
      </c>
      <c r="D1265" s="434">
        <v>2017</v>
      </c>
      <c r="E1265" s="434" t="s">
        <v>775</v>
      </c>
      <c r="F1265" s="435">
        <v>14</v>
      </c>
      <c r="G1265" s="435">
        <v>0</v>
      </c>
      <c r="H1265" s="436">
        <v>0</v>
      </c>
      <c r="I1265" s="435">
        <v>0</v>
      </c>
      <c r="J1265" s="435">
        <v>10</v>
      </c>
      <c r="K1265" s="435">
        <v>0</v>
      </c>
      <c r="L1265" s="435">
        <v>0</v>
      </c>
      <c r="M1265" s="435">
        <v>0</v>
      </c>
      <c r="N1265" s="435">
        <v>11</v>
      </c>
      <c r="O1265" s="435">
        <v>0</v>
      </c>
      <c r="P1265" s="435">
        <v>26</v>
      </c>
      <c r="Q1265" s="436">
        <v>5</v>
      </c>
      <c r="R1265" s="336">
        <f t="shared" si="199"/>
        <v>61</v>
      </c>
      <c r="S1265" s="366">
        <f t="shared" si="200"/>
        <v>5</v>
      </c>
      <c r="T1265" s="437"/>
      <c r="U1265" s="437"/>
      <c r="V1265" s="437"/>
      <c r="W1265" s="437"/>
      <c r="X1265" s="437"/>
    </row>
    <row r="1266" spans="1:24" ht="12.75">
      <c r="A1266" s="433" t="s">
        <v>505</v>
      </c>
      <c r="B1266" s="434" t="s">
        <v>169</v>
      </c>
      <c r="C1266" s="434" t="s">
        <v>812</v>
      </c>
      <c r="D1266" s="434">
        <v>2017</v>
      </c>
      <c r="E1266" s="434" t="s">
        <v>775</v>
      </c>
      <c r="F1266" s="435">
        <v>42</v>
      </c>
      <c r="G1266" s="435">
        <v>0</v>
      </c>
      <c r="H1266" s="436">
        <v>0</v>
      </c>
      <c r="I1266" s="435">
        <v>0</v>
      </c>
      <c r="J1266" s="435">
        <v>29</v>
      </c>
      <c r="K1266" s="435">
        <v>0</v>
      </c>
      <c r="L1266" s="435">
        <v>0</v>
      </c>
      <c r="M1266" s="435">
        <v>0</v>
      </c>
      <c r="N1266" s="435">
        <v>33</v>
      </c>
      <c r="O1266" s="435">
        <v>0</v>
      </c>
      <c r="P1266" s="435">
        <v>73</v>
      </c>
      <c r="Q1266" s="436">
        <v>35</v>
      </c>
      <c r="R1266" s="336">
        <f t="shared" si="199"/>
        <v>177</v>
      </c>
      <c r="S1266" s="366">
        <f t="shared" si="200"/>
        <v>35</v>
      </c>
      <c r="T1266" s="437"/>
      <c r="U1266" s="437"/>
      <c r="V1266" s="437"/>
      <c r="W1266" s="437"/>
      <c r="X1266" s="437"/>
    </row>
    <row r="1267" spans="1:24" ht="12.75">
      <c r="A1267" s="433" t="s">
        <v>506</v>
      </c>
      <c r="B1267" s="434" t="s">
        <v>169</v>
      </c>
      <c r="C1267" s="434" t="s">
        <v>812</v>
      </c>
      <c r="D1267" s="434">
        <v>2017</v>
      </c>
      <c r="E1267" s="434" t="s">
        <v>775</v>
      </c>
      <c r="F1267" s="435">
        <v>1</v>
      </c>
      <c r="G1267" s="435">
        <v>0</v>
      </c>
      <c r="H1267" s="436">
        <v>0</v>
      </c>
      <c r="I1267" s="435">
        <v>0</v>
      </c>
      <c r="J1267" s="435">
        <v>1</v>
      </c>
      <c r="K1267" s="435">
        <v>0</v>
      </c>
      <c r="L1267" s="435">
        <v>0</v>
      </c>
      <c r="M1267" s="435">
        <v>0</v>
      </c>
      <c r="N1267" s="435">
        <v>1</v>
      </c>
      <c r="O1267" s="435">
        <v>0</v>
      </c>
      <c r="P1267" s="435">
        <v>2</v>
      </c>
      <c r="Q1267" s="436">
        <v>716</v>
      </c>
      <c r="R1267" s="336">
        <f t="shared" si="199"/>
        <v>5</v>
      </c>
      <c r="S1267" s="366">
        <f t="shared" si="200"/>
        <v>716</v>
      </c>
      <c r="T1267" s="437"/>
      <c r="U1267" s="437"/>
      <c r="V1267" s="437"/>
      <c r="W1267" s="437"/>
      <c r="X1267" s="437"/>
    </row>
    <row r="1268" spans="1:24" ht="12.75">
      <c r="A1268" s="433" t="s">
        <v>169</v>
      </c>
      <c r="B1268" s="434" t="s">
        <v>169</v>
      </c>
      <c r="C1268" s="434" t="s">
        <v>812</v>
      </c>
      <c r="D1268" s="434">
        <v>2017</v>
      </c>
      <c r="E1268" s="434" t="s">
        <v>775</v>
      </c>
      <c r="F1268" s="435">
        <v>83</v>
      </c>
      <c r="G1268" s="435">
        <v>7</v>
      </c>
      <c r="H1268" s="436">
        <v>7</v>
      </c>
      <c r="I1268" s="435">
        <v>0</v>
      </c>
      <c r="J1268" s="435">
        <v>59</v>
      </c>
      <c r="K1268" s="435">
        <v>2</v>
      </c>
      <c r="L1268" s="435">
        <v>2</v>
      </c>
      <c r="M1268" s="435">
        <v>0</v>
      </c>
      <c r="N1268" s="435">
        <v>66</v>
      </c>
      <c r="O1268" s="435">
        <v>72</v>
      </c>
      <c r="P1268" s="435">
        <v>155</v>
      </c>
      <c r="Q1268" s="436">
        <v>393</v>
      </c>
      <c r="R1268" s="336">
        <f t="shared" si="199"/>
        <v>363</v>
      </c>
      <c r="S1268" s="366">
        <f t="shared" si="200"/>
        <v>474</v>
      </c>
      <c r="T1268" s="437"/>
      <c r="U1268" s="437"/>
      <c r="V1268" s="437"/>
      <c r="W1268" s="437"/>
      <c r="X1268" s="437"/>
    </row>
    <row r="1269" spans="1:24" ht="12.75">
      <c r="A1269" s="433" t="s">
        <v>507</v>
      </c>
      <c r="B1269" s="434" t="s">
        <v>169</v>
      </c>
      <c r="C1269" s="434" t="s">
        <v>812</v>
      </c>
      <c r="D1269" s="434">
        <v>2017</v>
      </c>
      <c r="E1269" s="434" t="s">
        <v>775</v>
      </c>
      <c r="F1269" s="435">
        <v>1240</v>
      </c>
      <c r="G1269" s="435">
        <v>0</v>
      </c>
      <c r="H1269" s="436">
        <v>0</v>
      </c>
      <c r="I1269" s="435">
        <v>0</v>
      </c>
      <c r="J1269" s="435">
        <v>879</v>
      </c>
      <c r="K1269" s="435">
        <v>0</v>
      </c>
      <c r="L1269" s="435">
        <v>0</v>
      </c>
      <c r="M1269" s="435">
        <v>0</v>
      </c>
      <c r="N1269" s="435">
        <v>979</v>
      </c>
      <c r="O1269" s="435">
        <v>0</v>
      </c>
      <c r="P1269" s="435">
        <v>2174</v>
      </c>
      <c r="Q1269" s="436">
        <v>1388</v>
      </c>
      <c r="R1269" s="336">
        <f t="shared" si="199"/>
        <v>5272</v>
      </c>
      <c r="S1269" s="366">
        <f t="shared" si="200"/>
        <v>1388</v>
      </c>
      <c r="T1269" s="437"/>
      <c r="U1269" s="437"/>
      <c r="V1269" s="437"/>
      <c r="W1269" s="437"/>
      <c r="X1269" s="437"/>
    </row>
    <row r="1270" spans="1:24" ht="12.75">
      <c r="A1270" s="433" t="s">
        <v>508</v>
      </c>
      <c r="B1270" s="434" t="s">
        <v>169</v>
      </c>
      <c r="C1270" s="434" t="s">
        <v>812</v>
      </c>
      <c r="D1270" s="434">
        <v>2017</v>
      </c>
      <c r="E1270" s="434" t="s">
        <v>775</v>
      </c>
      <c r="F1270" s="435">
        <v>112</v>
      </c>
      <c r="G1270" s="435">
        <v>0</v>
      </c>
      <c r="H1270" s="436">
        <v>0</v>
      </c>
      <c r="I1270" s="435">
        <v>0</v>
      </c>
      <c r="J1270" s="435">
        <v>81</v>
      </c>
      <c r="K1270" s="435">
        <v>0</v>
      </c>
      <c r="L1270" s="435">
        <v>0</v>
      </c>
      <c r="M1270" s="435">
        <v>0</v>
      </c>
      <c r="N1270" s="435">
        <v>90</v>
      </c>
      <c r="O1270" s="435">
        <v>0</v>
      </c>
      <c r="P1270" s="435">
        <v>209</v>
      </c>
      <c r="Q1270" s="436">
        <v>9</v>
      </c>
      <c r="R1270" s="336">
        <f t="shared" si="199"/>
        <v>492</v>
      </c>
      <c r="S1270" s="366">
        <f t="shared" si="200"/>
        <v>9</v>
      </c>
      <c r="T1270" s="437"/>
      <c r="U1270" s="437"/>
      <c r="V1270" s="437"/>
      <c r="W1270" s="437"/>
      <c r="X1270" s="437"/>
    </row>
    <row r="1271" spans="1:24" ht="12.75">
      <c r="A1271" s="433" t="s">
        <v>509</v>
      </c>
      <c r="B1271" s="434" t="s">
        <v>169</v>
      </c>
      <c r="C1271" s="434" t="s">
        <v>812</v>
      </c>
      <c r="D1271" s="434">
        <v>2017</v>
      </c>
      <c r="E1271" s="434" t="s">
        <v>775</v>
      </c>
      <c r="F1271" s="435">
        <v>1</v>
      </c>
      <c r="G1271" s="435">
        <v>0</v>
      </c>
      <c r="H1271" s="436">
        <v>0</v>
      </c>
      <c r="I1271" s="435">
        <v>0</v>
      </c>
      <c r="J1271" s="435">
        <v>1</v>
      </c>
      <c r="K1271" s="435">
        <v>0</v>
      </c>
      <c r="L1271" s="435">
        <v>0</v>
      </c>
      <c r="M1271" s="435">
        <v>0</v>
      </c>
      <c r="N1271" s="435">
        <v>0</v>
      </c>
      <c r="O1271" s="435">
        <v>0</v>
      </c>
      <c r="P1271" s="435">
        <v>0</v>
      </c>
      <c r="Q1271" s="436">
        <v>0</v>
      </c>
      <c r="R1271" s="336">
        <f t="shared" si="199"/>
        <v>2</v>
      </c>
      <c r="S1271" s="366">
        <f t="shared" si="200"/>
        <v>0</v>
      </c>
      <c r="T1271" s="437"/>
      <c r="U1271" s="437"/>
      <c r="V1271" s="437"/>
      <c r="W1271" s="437"/>
      <c r="X1271" s="437"/>
    </row>
    <row r="1272" spans="1:24" ht="12.75">
      <c r="A1272" s="433" t="s">
        <v>510</v>
      </c>
      <c r="B1272" s="434" t="s">
        <v>169</v>
      </c>
      <c r="C1272" s="434" t="s">
        <v>812</v>
      </c>
      <c r="D1272" s="434">
        <v>2017</v>
      </c>
      <c r="E1272" s="434" t="s">
        <v>775</v>
      </c>
      <c r="F1272" s="435">
        <v>134</v>
      </c>
      <c r="G1272" s="435">
        <v>0</v>
      </c>
      <c r="H1272" s="436">
        <v>0</v>
      </c>
      <c r="I1272" s="435">
        <v>0</v>
      </c>
      <c r="J1272" s="435">
        <v>95</v>
      </c>
      <c r="K1272" s="435">
        <v>0</v>
      </c>
      <c r="L1272" s="435">
        <v>0</v>
      </c>
      <c r="M1272" s="435">
        <v>0</v>
      </c>
      <c r="N1272" s="435">
        <v>108</v>
      </c>
      <c r="O1272" s="435">
        <v>4</v>
      </c>
      <c r="P1272" s="435">
        <v>244</v>
      </c>
      <c r="Q1272" s="436">
        <v>96</v>
      </c>
      <c r="R1272" s="336">
        <f t="shared" si="199"/>
        <v>581</v>
      </c>
      <c r="S1272" s="366">
        <f t="shared" si="200"/>
        <v>100</v>
      </c>
      <c r="T1272" s="437"/>
      <c r="U1272" s="437"/>
      <c r="V1272" s="437"/>
      <c r="W1272" s="437"/>
      <c r="X1272" s="437"/>
    </row>
    <row r="1273" spans="1:24" ht="12.75">
      <c r="A1273" s="433" t="s">
        <v>511</v>
      </c>
      <c r="B1273" s="434" t="s">
        <v>169</v>
      </c>
      <c r="C1273" s="434" t="s">
        <v>812</v>
      </c>
      <c r="D1273" s="434">
        <v>2017</v>
      </c>
      <c r="E1273" s="434" t="s">
        <v>775</v>
      </c>
      <c r="F1273" s="435">
        <v>147</v>
      </c>
      <c r="G1273" s="435">
        <v>0</v>
      </c>
      <c r="H1273" s="436">
        <v>0</v>
      </c>
      <c r="I1273" s="435">
        <v>0</v>
      </c>
      <c r="J1273" s="435">
        <v>104</v>
      </c>
      <c r="K1273" s="435">
        <v>0</v>
      </c>
      <c r="L1273" s="435">
        <v>0</v>
      </c>
      <c r="M1273" s="435">
        <v>0</v>
      </c>
      <c r="N1273" s="435">
        <v>120</v>
      </c>
      <c r="O1273" s="435">
        <v>0</v>
      </c>
      <c r="P1273" s="435">
        <v>267</v>
      </c>
      <c r="Q1273" s="436">
        <v>103</v>
      </c>
      <c r="R1273" s="336">
        <f t="shared" si="199"/>
        <v>638</v>
      </c>
      <c r="S1273" s="366">
        <f t="shared" si="200"/>
        <v>103</v>
      </c>
      <c r="T1273" s="437"/>
      <c r="U1273" s="437"/>
      <c r="V1273" s="437"/>
      <c r="W1273" s="437"/>
      <c r="X1273" s="437"/>
    </row>
    <row r="1274" spans="1:24" ht="12.75">
      <c r="A1274" s="433" t="s">
        <v>512</v>
      </c>
      <c r="B1274" s="434" t="s">
        <v>169</v>
      </c>
      <c r="C1274" s="434" t="s">
        <v>812</v>
      </c>
      <c r="D1274" s="434">
        <v>2017</v>
      </c>
      <c r="E1274" s="434" t="s">
        <v>775</v>
      </c>
      <c r="F1274" s="435">
        <v>45</v>
      </c>
      <c r="G1274" s="435">
        <v>49</v>
      </c>
      <c r="H1274" s="436">
        <v>49</v>
      </c>
      <c r="I1274" s="435">
        <v>0</v>
      </c>
      <c r="J1274" s="435">
        <v>32</v>
      </c>
      <c r="K1274" s="435">
        <v>20</v>
      </c>
      <c r="L1274" s="435">
        <v>20</v>
      </c>
      <c r="M1274" s="435">
        <v>0</v>
      </c>
      <c r="N1274" s="435">
        <v>37</v>
      </c>
      <c r="O1274" s="435">
        <v>11</v>
      </c>
      <c r="P1274" s="435">
        <v>90</v>
      </c>
      <c r="Q1274" s="436">
        <v>115</v>
      </c>
      <c r="R1274" s="336">
        <f t="shared" si="199"/>
        <v>204</v>
      </c>
      <c r="S1274" s="366">
        <f t="shared" si="200"/>
        <v>195</v>
      </c>
      <c r="T1274" s="437"/>
      <c r="U1274" s="437"/>
      <c r="V1274" s="437"/>
      <c r="W1274" s="437"/>
      <c r="X1274" s="437"/>
    </row>
    <row r="1275" spans="1:24" ht="12.75">
      <c r="A1275" s="433" t="s">
        <v>514</v>
      </c>
      <c r="B1275" s="434" t="s">
        <v>169</v>
      </c>
      <c r="C1275" s="434" t="s">
        <v>812</v>
      </c>
      <c r="D1275" s="434">
        <v>2017</v>
      </c>
      <c r="E1275" s="434" t="s">
        <v>775</v>
      </c>
      <c r="F1275" s="435">
        <v>68</v>
      </c>
      <c r="G1275" s="435">
        <v>0</v>
      </c>
      <c r="H1275" s="436">
        <v>0</v>
      </c>
      <c r="I1275" s="435">
        <v>0</v>
      </c>
      <c r="J1275" s="435">
        <v>49</v>
      </c>
      <c r="K1275" s="435">
        <v>0</v>
      </c>
      <c r="L1275" s="435">
        <v>0</v>
      </c>
      <c r="M1275" s="435">
        <v>0</v>
      </c>
      <c r="N1275" s="435">
        <v>56</v>
      </c>
      <c r="O1275" s="435">
        <v>2</v>
      </c>
      <c r="P1275" s="435">
        <v>140</v>
      </c>
      <c r="Q1275" s="436">
        <v>0</v>
      </c>
      <c r="R1275" s="336">
        <f t="shared" si="199"/>
        <v>313</v>
      </c>
      <c r="S1275" s="366">
        <f t="shared" si="200"/>
        <v>2</v>
      </c>
      <c r="T1275" s="437"/>
      <c r="U1275" s="437"/>
      <c r="V1275" s="437"/>
      <c r="W1275" s="437"/>
      <c r="X1275" s="437"/>
    </row>
    <row r="1276" spans="1:24" ht="12.75">
      <c r="A1276" s="461" t="s">
        <v>515</v>
      </c>
      <c r="B1276" s="462" t="s">
        <v>169</v>
      </c>
      <c r="C1276" s="462" t="s">
        <v>812</v>
      </c>
      <c r="D1276" s="462">
        <v>2017</v>
      </c>
      <c r="E1276" s="462" t="s">
        <v>775</v>
      </c>
      <c r="F1276" s="436">
        <v>283</v>
      </c>
      <c r="G1276" s="435">
        <v>1</v>
      </c>
      <c r="H1276" s="436">
        <v>1</v>
      </c>
      <c r="I1276" s="436">
        <v>0</v>
      </c>
      <c r="J1276" s="435">
        <v>195</v>
      </c>
      <c r="K1276" s="435">
        <v>0</v>
      </c>
      <c r="L1276" s="436">
        <v>0</v>
      </c>
      <c r="M1276" s="436">
        <v>0</v>
      </c>
      <c r="N1276" s="436">
        <v>224</v>
      </c>
      <c r="O1276" s="436">
        <v>0</v>
      </c>
      <c r="P1276" s="436">
        <v>525</v>
      </c>
      <c r="Q1276" s="436">
        <v>13</v>
      </c>
      <c r="R1276" s="336">
        <f t="shared" si="199"/>
        <v>1227</v>
      </c>
      <c r="S1276" s="366">
        <f t="shared" si="200"/>
        <v>14</v>
      </c>
      <c r="T1276" s="437"/>
      <c r="U1276" s="437"/>
      <c r="V1276" s="437"/>
      <c r="W1276" s="437"/>
      <c r="X1276" s="437"/>
    </row>
    <row r="1277" spans="1:24" ht="12.75">
      <c r="A1277" s="461" t="s">
        <v>516</v>
      </c>
      <c r="B1277" s="462" t="s">
        <v>169</v>
      </c>
      <c r="C1277" s="462" t="s">
        <v>812</v>
      </c>
      <c r="D1277" s="462">
        <v>2017</v>
      </c>
      <c r="E1277" s="462" t="s">
        <v>775</v>
      </c>
      <c r="F1277" s="436">
        <v>3</v>
      </c>
      <c r="G1277" s="435">
        <v>0</v>
      </c>
      <c r="H1277" s="436">
        <v>0</v>
      </c>
      <c r="I1277" s="436">
        <v>0</v>
      </c>
      <c r="J1277" s="435">
        <v>2</v>
      </c>
      <c r="K1277" s="435">
        <v>0</v>
      </c>
      <c r="L1277" s="436">
        <v>0</v>
      </c>
      <c r="M1277" s="436">
        <v>0</v>
      </c>
      <c r="N1277" s="436">
        <v>3</v>
      </c>
      <c r="O1277" s="436">
        <v>0</v>
      </c>
      <c r="P1277" s="436">
        <v>6</v>
      </c>
      <c r="Q1277" s="436">
        <v>1</v>
      </c>
      <c r="R1277" s="336">
        <f t="shared" si="199"/>
        <v>14</v>
      </c>
      <c r="S1277" s="366">
        <f t="shared" si="200"/>
        <v>1</v>
      </c>
      <c r="T1277" s="437"/>
      <c r="U1277" s="437"/>
      <c r="V1277" s="437"/>
      <c r="W1277" s="437"/>
      <c r="X1277" s="437"/>
    </row>
    <row r="1278" spans="1:24" ht="12.75">
      <c r="A1278" s="461" t="s">
        <v>517</v>
      </c>
      <c r="B1278" s="462" t="s">
        <v>169</v>
      </c>
      <c r="C1278" s="462" t="s">
        <v>812</v>
      </c>
      <c r="D1278" s="462">
        <v>2017</v>
      </c>
      <c r="E1278" s="462" t="s">
        <v>775</v>
      </c>
      <c r="F1278" s="436">
        <v>1</v>
      </c>
      <c r="G1278" s="435">
        <v>0</v>
      </c>
      <c r="H1278" s="436">
        <v>0</v>
      </c>
      <c r="I1278" s="436">
        <v>0</v>
      </c>
      <c r="J1278" s="436">
        <v>1</v>
      </c>
      <c r="K1278" s="435">
        <v>0</v>
      </c>
      <c r="L1278" s="436">
        <v>0</v>
      </c>
      <c r="M1278" s="436">
        <v>0</v>
      </c>
      <c r="N1278" s="436">
        <v>0</v>
      </c>
      <c r="O1278" s="436">
        <v>0</v>
      </c>
      <c r="P1278" s="436">
        <v>0</v>
      </c>
      <c r="Q1278" s="436">
        <v>80</v>
      </c>
      <c r="R1278" s="336">
        <f t="shared" si="199"/>
        <v>2</v>
      </c>
      <c r="S1278" s="366">
        <f t="shared" si="200"/>
        <v>80</v>
      </c>
      <c r="T1278" s="437"/>
      <c r="U1278" s="437"/>
      <c r="V1278" s="437"/>
      <c r="W1278" s="437"/>
      <c r="X1278" s="437"/>
    </row>
    <row r="1279" spans="1:24" ht="12.75">
      <c r="A1279" s="461" t="s">
        <v>518</v>
      </c>
      <c r="B1279" s="462" t="s">
        <v>169</v>
      </c>
      <c r="C1279" s="462" t="s">
        <v>812</v>
      </c>
      <c r="D1279" s="462">
        <v>2017</v>
      </c>
      <c r="E1279" s="462" t="s">
        <v>775</v>
      </c>
      <c r="F1279" s="436">
        <v>160</v>
      </c>
      <c r="G1279" s="435">
        <v>26</v>
      </c>
      <c r="H1279" s="436">
        <v>25</v>
      </c>
      <c r="I1279" s="436">
        <v>1</v>
      </c>
      <c r="J1279" s="436">
        <v>113</v>
      </c>
      <c r="K1279" s="435">
        <v>4</v>
      </c>
      <c r="L1279" s="436">
        <v>4</v>
      </c>
      <c r="M1279" s="436">
        <v>0</v>
      </c>
      <c r="N1279" s="436">
        <v>126</v>
      </c>
      <c r="O1279" s="436">
        <v>7</v>
      </c>
      <c r="P1279" s="436">
        <v>270</v>
      </c>
      <c r="Q1279" s="436">
        <v>64</v>
      </c>
      <c r="R1279" s="336">
        <f t="shared" si="199"/>
        <v>669</v>
      </c>
      <c r="S1279" s="366">
        <f t="shared" si="200"/>
        <v>101</v>
      </c>
      <c r="T1279" s="339">
        <f>SUM(G1247:G1279)</f>
        <v>165</v>
      </c>
      <c r="U1279" s="339">
        <f>SUM(K1247:K1279)</f>
        <v>103</v>
      </c>
      <c r="V1279" s="339">
        <f>SUM(O1247:O1279)</f>
        <v>2391</v>
      </c>
      <c r="W1279" s="339">
        <f>SUM(Q1247:Q1279)</f>
        <v>9257</v>
      </c>
      <c r="X1279" s="339">
        <f>T1279+U1279+V1279+W1279</f>
        <v>11916</v>
      </c>
    </row>
    <row r="1280" spans="1:24" ht="12.75">
      <c r="A1280" s="438" t="s">
        <v>485</v>
      </c>
      <c r="B1280" s="439" t="s">
        <v>169</v>
      </c>
      <c r="C1280" s="439" t="s">
        <v>812</v>
      </c>
      <c r="D1280" s="439">
        <v>2018</v>
      </c>
      <c r="E1280" s="439" t="s">
        <v>775</v>
      </c>
      <c r="F1280" s="440">
        <v>9</v>
      </c>
      <c r="G1280" s="454"/>
      <c r="H1280" s="455"/>
      <c r="I1280" s="455"/>
      <c r="J1280" s="440">
        <v>7</v>
      </c>
      <c r="K1280" s="454"/>
      <c r="L1280" s="455"/>
      <c r="M1280" s="455"/>
      <c r="N1280" s="440">
        <v>7</v>
      </c>
      <c r="O1280" s="455"/>
      <c r="P1280" s="440">
        <v>16</v>
      </c>
      <c r="Q1280" s="455"/>
      <c r="R1280" s="344">
        <f t="shared" si="199"/>
        <v>39</v>
      </c>
      <c r="S1280" s="367">
        <f t="shared" si="200"/>
        <v>0</v>
      </c>
      <c r="T1280" s="442"/>
      <c r="U1280" s="442"/>
      <c r="V1280" s="442"/>
      <c r="W1280" s="442"/>
      <c r="X1280" s="442"/>
    </row>
    <row r="1281" spans="1:24" ht="12.75">
      <c r="A1281" s="438" t="s">
        <v>486</v>
      </c>
      <c r="B1281" s="439" t="s">
        <v>169</v>
      </c>
      <c r="C1281" s="439" t="s">
        <v>812</v>
      </c>
      <c r="D1281" s="439">
        <v>2018</v>
      </c>
      <c r="E1281" s="439" t="s">
        <v>775</v>
      </c>
      <c r="F1281" s="440">
        <v>1256</v>
      </c>
      <c r="G1281" s="441">
        <v>0</v>
      </c>
      <c r="H1281" s="440">
        <v>0</v>
      </c>
      <c r="I1281" s="440">
        <v>0</v>
      </c>
      <c r="J1281" s="440">
        <v>907</v>
      </c>
      <c r="K1281" s="441">
        <v>0</v>
      </c>
      <c r="L1281" s="440">
        <v>0</v>
      </c>
      <c r="M1281" s="440">
        <v>0</v>
      </c>
      <c r="N1281" s="440">
        <v>1038</v>
      </c>
      <c r="O1281" s="440">
        <v>5</v>
      </c>
      <c r="P1281" s="440">
        <v>2501</v>
      </c>
      <c r="Q1281" s="440">
        <v>944</v>
      </c>
      <c r="R1281" s="344">
        <f t="shared" si="199"/>
        <v>5702</v>
      </c>
      <c r="S1281" s="367">
        <f t="shared" si="200"/>
        <v>949</v>
      </c>
      <c r="T1281" s="442"/>
      <c r="U1281" s="442"/>
      <c r="V1281" s="442"/>
      <c r="W1281" s="442"/>
      <c r="X1281" s="442"/>
    </row>
    <row r="1282" spans="1:24" ht="12.75">
      <c r="A1282" s="438" t="s">
        <v>487</v>
      </c>
      <c r="B1282" s="439" t="s">
        <v>169</v>
      </c>
      <c r="C1282" s="439" t="s">
        <v>812</v>
      </c>
      <c r="D1282" s="439">
        <v>2018</v>
      </c>
      <c r="E1282" s="439" t="s">
        <v>775</v>
      </c>
      <c r="F1282" s="440">
        <v>426</v>
      </c>
      <c r="G1282" s="441">
        <v>0</v>
      </c>
      <c r="H1282" s="440">
        <v>0</v>
      </c>
      <c r="I1282" s="440">
        <v>0</v>
      </c>
      <c r="J1282" s="440">
        <v>305</v>
      </c>
      <c r="K1282" s="441">
        <v>0</v>
      </c>
      <c r="L1282" s="440">
        <v>0</v>
      </c>
      <c r="M1282" s="440">
        <v>0</v>
      </c>
      <c r="N1282" s="440">
        <v>335</v>
      </c>
      <c r="O1282" s="440">
        <v>0</v>
      </c>
      <c r="P1282" s="440">
        <v>785</v>
      </c>
      <c r="Q1282" s="440">
        <v>7</v>
      </c>
      <c r="R1282" s="344">
        <f t="shared" si="199"/>
        <v>1851</v>
      </c>
      <c r="S1282" s="367">
        <f t="shared" si="200"/>
        <v>7</v>
      </c>
      <c r="T1282" s="442"/>
      <c r="U1282" s="442"/>
      <c r="V1282" s="442"/>
      <c r="W1282" s="442"/>
      <c r="X1282" s="442"/>
    </row>
    <row r="1283" spans="1:24" ht="12.75">
      <c r="A1283" s="438" t="s">
        <v>488</v>
      </c>
      <c r="B1283" s="439" t="s">
        <v>169</v>
      </c>
      <c r="C1283" s="439" t="s">
        <v>812</v>
      </c>
      <c r="D1283" s="439">
        <v>2018</v>
      </c>
      <c r="E1283" s="439" t="s">
        <v>775</v>
      </c>
      <c r="F1283" s="440">
        <v>76</v>
      </c>
      <c r="G1283" s="441">
        <v>0</v>
      </c>
      <c r="H1283" s="440">
        <v>0</v>
      </c>
      <c r="I1283" s="440">
        <v>0</v>
      </c>
      <c r="J1283" s="440">
        <v>53</v>
      </c>
      <c r="K1283" s="441">
        <v>0</v>
      </c>
      <c r="L1283" s="440">
        <v>0</v>
      </c>
      <c r="M1283" s="440">
        <v>0</v>
      </c>
      <c r="N1283" s="440">
        <v>62</v>
      </c>
      <c r="O1283" s="440">
        <v>0</v>
      </c>
      <c r="P1283" s="440">
        <v>148</v>
      </c>
      <c r="Q1283" s="440">
        <v>7</v>
      </c>
      <c r="R1283" s="344">
        <f t="shared" si="199"/>
        <v>339</v>
      </c>
      <c r="S1283" s="367">
        <f t="shared" si="200"/>
        <v>7</v>
      </c>
      <c r="T1283" s="442"/>
      <c r="U1283" s="442"/>
      <c r="V1283" s="442"/>
      <c r="W1283" s="442"/>
      <c r="X1283" s="442"/>
    </row>
    <row r="1284" spans="1:24" ht="12.75">
      <c r="A1284" s="438" t="s">
        <v>489</v>
      </c>
      <c r="B1284" s="439" t="s">
        <v>169</v>
      </c>
      <c r="C1284" s="439" t="s">
        <v>812</v>
      </c>
      <c r="D1284" s="439">
        <v>2018</v>
      </c>
      <c r="E1284" s="439" t="s">
        <v>775</v>
      </c>
      <c r="F1284" s="440">
        <v>1</v>
      </c>
      <c r="G1284" s="441">
        <v>0</v>
      </c>
      <c r="H1284" s="440">
        <v>0</v>
      </c>
      <c r="I1284" s="440">
        <v>0</v>
      </c>
      <c r="J1284" s="440">
        <v>1</v>
      </c>
      <c r="K1284" s="441">
        <v>4</v>
      </c>
      <c r="L1284" s="440">
        <v>0</v>
      </c>
      <c r="M1284" s="440">
        <v>4</v>
      </c>
      <c r="N1284" s="440">
        <v>0</v>
      </c>
      <c r="O1284" s="440">
        <v>0</v>
      </c>
      <c r="P1284" s="440">
        <v>0</v>
      </c>
      <c r="Q1284" s="440">
        <v>177</v>
      </c>
      <c r="R1284" s="344">
        <f t="shared" si="199"/>
        <v>2</v>
      </c>
      <c r="S1284" s="367">
        <f t="shared" si="200"/>
        <v>181</v>
      </c>
      <c r="T1284" s="442"/>
      <c r="U1284" s="442"/>
      <c r="V1284" s="442"/>
      <c r="W1284" s="442"/>
      <c r="X1284" s="442"/>
    </row>
    <row r="1285" spans="1:24" ht="12.75">
      <c r="A1285" s="438" t="s">
        <v>491</v>
      </c>
      <c r="B1285" s="439" t="s">
        <v>169</v>
      </c>
      <c r="C1285" s="439" t="s">
        <v>812</v>
      </c>
      <c r="D1285" s="439">
        <v>2018</v>
      </c>
      <c r="E1285" s="439" t="s">
        <v>775</v>
      </c>
      <c r="F1285" s="440">
        <v>76</v>
      </c>
      <c r="G1285" s="441">
        <v>0</v>
      </c>
      <c r="H1285" s="440">
        <v>0</v>
      </c>
      <c r="I1285" s="440">
        <v>0</v>
      </c>
      <c r="J1285" s="440">
        <v>53</v>
      </c>
      <c r="K1285" s="441">
        <v>1</v>
      </c>
      <c r="L1285" s="440">
        <v>0</v>
      </c>
      <c r="M1285" s="440">
        <v>1</v>
      </c>
      <c r="N1285" s="440">
        <v>61</v>
      </c>
      <c r="O1285" s="440">
        <v>8</v>
      </c>
      <c r="P1285" s="440">
        <v>137</v>
      </c>
      <c r="Q1285" s="440">
        <v>168</v>
      </c>
      <c r="R1285" s="344">
        <f t="shared" si="199"/>
        <v>327</v>
      </c>
      <c r="S1285" s="367">
        <f t="shared" si="200"/>
        <v>177</v>
      </c>
      <c r="T1285" s="442"/>
      <c r="U1285" s="442"/>
      <c r="V1285" s="442"/>
      <c r="W1285" s="442"/>
      <c r="X1285" s="442"/>
    </row>
    <row r="1286" spans="1:24" ht="12.75">
      <c r="A1286" s="438" t="s">
        <v>492</v>
      </c>
      <c r="B1286" s="439" t="s">
        <v>169</v>
      </c>
      <c r="C1286" s="439" t="s">
        <v>812</v>
      </c>
      <c r="D1286" s="439">
        <v>2018</v>
      </c>
      <c r="E1286" s="439" t="s">
        <v>775</v>
      </c>
      <c r="F1286" s="440">
        <v>83</v>
      </c>
      <c r="G1286" s="441">
        <v>0</v>
      </c>
      <c r="H1286" s="440">
        <v>0</v>
      </c>
      <c r="I1286" s="440">
        <v>0</v>
      </c>
      <c r="J1286" s="440">
        <v>59</v>
      </c>
      <c r="K1286" s="441">
        <v>13</v>
      </c>
      <c r="L1286" s="440">
        <v>0</v>
      </c>
      <c r="M1286" s="440">
        <v>13</v>
      </c>
      <c r="N1286" s="440">
        <v>65</v>
      </c>
      <c r="O1286" s="440">
        <v>0</v>
      </c>
      <c r="P1286" s="440">
        <v>151</v>
      </c>
      <c r="Q1286" s="440">
        <v>4</v>
      </c>
      <c r="R1286" s="344">
        <f t="shared" si="199"/>
        <v>358</v>
      </c>
      <c r="S1286" s="367">
        <f t="shared" si="200"/>
        <v>17</v>
      </c>
      <c r="T1286" s="442"/>
      <c r="U1286" s="442"/>
      <c r="V1286" s="442"/>
      <c r="W1286" s="442"/>
      <c r="X1286" s="442"/>
    </row>
    <row r="1287" spans="1:24" ht="12.75">
      <c r="A1287" s="438" t="s">
        <v>493</v>
      </c>
      <c r="B1287" s="439" t="s">
        <v>169</v>
      </c>
      <c r="C1287" s="439" t="s">
        <v>812</v>
      </c>
      <c r="D1287" s="439">
        <v>2018</v>
      </c>
      <c r="E1287" s="439" t="s">
        <v>775</v>
      </c>
      <c r="F1287" s="440">
        <v>411</v>
      </c>
      <c r="G1287" s="441">
        <v>26</v>
      </c>
      <c r="H1287" s="440">
        <v>26</v>
      </c>
      <c r="I1287" s="440">
        <v>0</v>
      </c>
      <c r="J1287" s="440">
        <v>299</v>
      </c>
      <c r="K1287" s="441">
        <v>19</v>
      </c>
      <c r="L1287" s="440">
        <v>19</v>
      </c>
      <c r="M1287" s="440">
        <v>0</v>
      </c>
      <c r="N1287" s="440">
        <v>337</v>
      </c>
      <c r="O1287" s="440">
        <v>0</v>
      </c>
      <c r="P1287" s="440">
        <v>794</v>
      </c>
      <c r="Q1287" s="440">
        <v>41</v>
      </c>
      <c r="R1287" s="344">
        <f t="shared" si="199"/>
        <v>1841</v>
      </c>
      <c r="S1287" s="367">
        <f t="shared" si="200"/>
        <v>86</v>
      </c>
      <c r="T1287" s="442"/>
      <c r="U1287" s="442"/>
      <c r="V1287" s="442"/>
      <c r="W1287" s="442"/>
      <c r="X1287" s="442"/>
    </row>
    <row r="1288" spans="1:24" ht="12.75">
      <c r="A1288" s="438" t="s">
        <v>496</v>
      </c>
      <c r="B1288" s="439" t="s">
        <v>169</v>
      </c>
      <c r="C1288" s="439" t="s">
        <v>812</v>
      </c>
      <c r="D1288" s="439">
        <v>2018</v>
      </c>
      <c r="E1288" s="439" t="s">
        <v>775</v>
      </c>
      <c r="F1288" s="440">
        <v>2817</v>
      </c>
      <c r="G1288" s="441">
        <v>0</v>
      </c>
      <c r="H1288" s="440">
        <v>0</v>
      </c>
      <c r="I1288" s="440">
        <v>0</v>
      </c>
      <c r="J1288" s="440">
        <v>2034</v>
      </c>
      <c r="K1288" s="441">
        <v>0</v>
      </c>
      <c r="L1288" s="440">
        <v>0</v>
      </c>
      <c r="M1288" s="440">
        <v>0</v>
      </c>
      <c r="N1288" s="440">
        <v>2239</v>
      </c>
      <c r="O1288" s="440">
        <v>0</v>
      </c>
      <c r="P1288" s="440">
        <v>5059</v>
      </c>
      <c r="Q1288" s="440">
        <v>3455</v>
      </c>
      <c r="R1288" s="344">
        <f t="shared" si="199"/>
        <v>12149</v>
      </c>
      <c r="S1288" s="367">
        <f t="shared" si="200"/>
        <v>3455</v>
      </c>
      <c r="T1288" s="442"/>
      <c r="U1288" s="442"/>
      <c r="V1288" s="442"/>
      <c r="W1288" s="442"/>
      <c r="X1288" s="442"/>
    </row>
    <row r="1289" spans="1:24" ht="12.75">
      <c r="A1289" s="438" t="s">
        <v>497</v>
      </c>
      <c r="B1289" s="439" t="s">
        <v>169</v>
      </c>
      <c r="C1289" s="439" t="s">
        <v>812</v>
      </c>
      <c r="D1289" s="439">
        <v>2018</v>
      </c>
      <c r="E1289" s="439" t="s">
        <v>775</v>
      </c>
      <c r="F1289" s="440">
        <v>1</v>
      </c>
      <c r="G1289" s="441">
        <v>2</v>
      </c>
      <c r="H1289" s="440">
        <v>0</v>
      </c>
      <c r="I1289" s="440">
        <v>2</v>
      </c>
      <c r="J1289" s="440">
        <v>1</v>
      </c>
      <c r="K1289" s="441">
        <v>2</v>
      </c>
      <c r="L1289" s="440">
        <v>0</v>
      </c>
      <c r="M1289" s="440">
        <v>2</v>
      </c>
      <c r="N1289" s="440">
        <v>1</v>
      </c>
      <c r="O1289" s="440">
        <v>3</v>
      </c>
      <c r="P1289" s="440">
        <v>1</v>
      </c>
      <c r="Q1289" s="440">
        <v>47</v>
      </c>
      <c r="R1289" s="344">
        <f t="shared" si="199"/>
        <v>4</v>
      </c>
      <c r="S1289" s="367">
        <f t="shared" si="200"/>
        <v>54</v>
      </c>
      <c r="T1289" s="442"/>
      <c r="U1289" s="442"/>
      <c r="V1289" s="442"/>
      <c r="W1289" s="442"/>
      <c r="X1289" s="442"/>
    </row>
    <row r="1290" spans="1:24" ht="12.75">
      <c r="A1290" s="438" t="s">
        <v>498</v>
      </c>
      <c r="B1290" s="439" t="s">
        <v>169</v>
      </c>
      <c r="C1290" s="439" t="s">
        <v>812</v>
      </c>
      <c r="D1290" s="439">
        <v>2018</v>
      </c>
      <c r="E1290" s="439" t="s">
        <v>775</v>
      </c>
      <c r="F1290" s="440">
        <v>2</v>
      </c>
      <c r="G1290" s="454"/>
      <c r="H1290" s="455"/>
      <c r="I1290" s="455"/>
      <c r="J1290" s="440">
        <v>2</v>
      </c>
      <c r="K1290" s="454"/>
      <c r="L1290" s="455"/>
      <c r="M1290" s="455"/>
      <c r="N1290" s="440">
        <v>2</v>
      </c>
      <c r="O1290" s="455"/>
      <c r="P1290" s="440">
        <v>3</v>
      </c>
      <c r="Q1290" s="455"/>
      <c r="R1290" s="344">
        <f t="shared" si="199"/>
        <v>9</v>
      </c>
      <c r="S1290" s="367">
        <f t="shared" si="200"/>
        <v>0</v>
      </c>
      <c r="T1290" s="442"/>
      <c r="U1290" s="442"/>
      <c r="V1290" s="442"/>
      <c r="W1290" s="442"/>
      <c r="X1290" s="442"/>
    </row>
    <row r="1291" spans="1:24" ht="12.75">
      <c r="A1291" s="438" t="s">
        <v>499</v>
      </c>
      <c r="B1291" s="439" t="s">
        <v>169</v>
      </c>
      <c r="C1291" s="439" t="s">
        <v>812</v>
      </c>
      <c r="D1291" s="439">
        <v>2018</v>
      </c>
      <c r="E1291" s="439" t="s">
        <v>775</v>
      </c>
      <c r="F1291" s="440">
        <v>1</v>
      </c>
      <c r="G1291" s="441">
        <v>0</v>
      </c>
      <c r="H1291" s="440">
        <v>0</v>
      </c>
      <c r="I1291" s="440">
        <v>0</v>
      </c>
      <c r="J1291" s="440">
        <v>1</v>
      </c>
      <c r="K1291" s="441">
        <v>1</v>
      </c>
      <c r="L1291" s="440">
        <v>1</v>
      </c>
      <c r="M1291" s="440">
        <v>0</v>
      </c>
      <c r="N1291" s="440">
        <v>0</v>
      </c>
      <c r="O1291" s="440">
        <v>4</v>
      </c>
      <c r="P1291" s="440">
        <v>0</v>
      </c>
      <c r="Q1291" s="440">
        <v>7</v>
      </c>
      <c r="R1291" s="344">
        <f t="shared" si="199"/>
        <v>2</v>
      </c>
      <c r="S1291" s="367">
        <f t="shared" si="200"/>
        <v>12</v>
      </c>
      <c r="T1291" s="442"/>
      <c r="U1291" s="442"/>
      <c r="V1291" s="442"/>
      <c r="W1291" s="442"/>
      <c r="X1291" s="442"/>
    </row>
    <row r="1292" spans="1:24" ht="12.75">
      <c r="A1292" s="438" t="s">
        <v>501</v>
      </c>
      <c r="B1292" s="439" t="s">
        <v>169</v>
      </c>
      <c r="C1292" s="439" t="s">
        <v>812</v>
      </c>
      <c r="D1292" s="439">
        <v>2018</v>
      </c>
      <c r="E1292" s="439" t="s">
        <v>775</v>
      </c>
      <c r="F1292" s="440">
        <v>43</v>
      </c>
      <c r="G1292" s="441">
        <v>9</v>
      </c>
      <c r="H1292" s="440">
        <v>9</v>
      </c>
      <c r="I1292" s="440">
        <v>0</v>
      </c>
      <c r="J1292" s="440">
        <v>30</v>
      </c>
      <c r="K1292" s="441">
        <v>0</v>
      </c>
      <c r="L1292" s="440">
        <v>0</v>
      </c>
      <c r="M1292" s="440">
        <v>0</v>
      </c>
      <c r="N1292" s="440">
        <v>34</v>
      </c>
      <c r="O1292" s="440">
        <v>0</v>
      </c>
      <c r="P1292" s="440">
        <v>75</v>
      </c>
      <c r="Q1292" s="440">
        <v>291</v>
      </c>
      <c r="R1292" s="344">
        <f t="shared" si="199"/>
        <v>182</v>
      </c>
      <c r="S1292" s="367">
        <f t="shared" si="200"/>
        <v>300</v>
      </c>
      <c r="T1292" s="442"/>
      <c r="U1292" s="442"/>
      <c r="V1292" s="442"/>
      <c r="W1292" s="442"/>
      <c r="X1292" s="442"/>
    </row>
    <row r="1293" spans="1:24" ht="12.75">
      <c r="A1293" s="438" t="s">
        <v>502</v>
      </c>
      <c r="B1293" s="439" t="s">
        <v>169</v>
      </c>
      <c r="C1293" s="439" t="s">
        <v>812</v>
      </c>
      <c r="D1293" s="439">
        <v>2018</v>
      </c>
      <c r="E1293" s="439" t="s">
        <v>775</v>
      </c>
      <c r="F1293" s="440">
        <v>1</v>
      </c>
      <c r="G1293" s="454"/>
      <c r="H1293" s="455"/>
      <c r="I1293" s="455"/>
      <c r="J1293" s="440">
        <v>1</v>
      </c>
      <c r="K1293" s="454"/>
      <c r="L1293" s="455"/>
      <c r="M1293" s="455"/>
      <c r="N1293" s="440">
        <v>0</v>
      </c>
      <c r="O1293" s="455"/>
      <c r="P1293" s="440">
        <v>0</v>
      </c>
      <c r="Q1293" s="455"/>
      <c r="R1293" s="344">
        <f t="shared" si="199"/>
        <v>2</v>
      </c>
      <c r="S1293" s="367">
        <f t="shared" si="200"/>
        <v>0</v>
      </c>
      <c r="T1293" s="442"/>
      <c r="U1293" s="442"/>
      <c r="V1293" s="442"/>
      <c r="W1293" s="442"/>
      <c r="X1293" s="442"/>
    </row>
    <row r="1294" spans="1:24" ht="12.75">
      <c r="A1294" s="438" t="s">
        <v>503</v>
      </c>
      <c r="B1294" s="439" t="s">
        <v>169</v>
      </c>
      <c r="C1294" s="439" t="s">
        <v>812</v>
      </c>
      <c r="D1294" s="439">
        <v>2018</v>
      </c>
      <c r="E1294" s="439" t="s">
        <v>775</v>
      </c>
      <c r="F1294" s="440">
        <v>647</v>
      </c>
      <c r="G1294" s="441">
        <v>0</v>
      </c>
      <c r="H1294" s="440">
        <v>0</v>
      </c>
      <c r="I1294" s="440">
        <v>0</v>
      </c>
      <c r="J1294" s="440">
        <v>450</v>
      </c>
      <c r="K1294" s="441">
        <v>0</v>
      </c>
      <c r="L1294" s="440">
        <v>0</v>
      </c>
      <c r="M1294" s="440">
        <v>0</v>
      </c>
      <c r="N1294" s="440">
        <v>497</v>
      </c>
      <c r="O1294" s="440">
        <v>1</v>
      </c>
      <c r="P1294" s="440">
        <v>1133</v>
      </c>
      <c r="Q1294" s="440">
        <v>237</v>
      </c>
      <c r="R1294" s="344">
        <f t="shared" si="199"/>
        <v>2727</v>
      </c>
      <c r="S1294" s="367">
        <f t="shared" si="200"/>
        <v>238</v>
      </c>
      <c r="T1294" s="442"/>
      <c r="U1294" s="442"/>
      <c r="V1294" s="442"/>
      <c r="W1294" s="442"/>
      <c r="X1294" s="442"/>
    </row>
    <row r="1295" spans="1:24" ht="12.75">
      <c r="A1295" s="438" t="s">
        <v>505</v>
      </c>
      <c r="B1295" s="439" t="s">
        <v>169</v>
      </c>
      <c r="C1295" s="439" t="s">
        <v>812</v>
      </c>
      <c r="D1295" s="439">
        <v>2018</v>
      </c>
      <c r="E1295" s="439" t="s">
        <v>775</v>
      </c>
      <c r="F1295" s="440">
        <v>42</v>
      </c>
      <c r="G1295" s="441">
        <v>0</v>
      </c>
      <c r="H1295" s="440">
        <v>0</v>
      </c>
      <c r="I1295" s="440">
        <v>0</v>
      </c>
      <c r="J1295" s="440">
        <v>29</v>
      </c>
      <c r="K1295" s="441">
        <v>0</v>
      </c>
      <c r="L1295" s="440">
        <v>0</v>
      </c>
      <c r="M1295" s="440">
        <v>0</v>
      </c>
      <c r="N1295" s="440">
        <v>33</v>
      </c>
      <c r="O1295" s="440">
        <v>0</v>
      </c>
      <c r="P1295" s="440">
        <v>73</v>
      </c>
      <c r="Q1295" s="440">
        <v>5</v>
      </c>
      <c r="R1295" s="344">
        <f t="shared" si="199"/>
        <v>177</v>
      </c>
      <c r="S1295" s="367">
        <f t="shared" si="200"/>
        <v>5</v>
      </c>
      <c r="T1295" s="442"/>
      <c r="U1295" s="442"/>
      <c r="V1295" s="442"/>
      <c r="W1295" s="442"/>
      <c r="X1295" s="442"/>
    </row>
    <row r="1296" spans="1:24" ht="12.75">
      <c r="A1296" s="438" t="s">
        <v>506</v>
      </c>
      <c r="B1296" s="439" t="s">
        <v>169</v>
      </c>
      <c r="C1296" s="439" t="s">
        <v>812</v>
      </c>
      <c r="D1296" s="439">
        <v>2018</v>
      </c>
      <c r="E1296" s="439" t="s">
        <v>775</v>
      </c>
      <c r="F1296" s="440">
        <v>1</v>
      </c>
      <c r="G1296" s="441">
        <v>1</v>
      </c>
      <c r="H1296" s="440">
        <v>0</v>
      </c>
      <c r="I1296" s="440">
        <v>1</v>
      </c>
      <c r="J1296" s="440">
        <v>1</v>
      </c>
      <c r="K1296" s="441">
        <v>0</v>
      </c>
      <c r="L1296" s="440">
        <v>0</v>
      </c>
      <c r="M1296" s="440">
        <v>0</v>
      </c>
      <c r="N1296" s="440">
        <v>1</v>
      </c>
      <c r="O1296" s="440">
        <v>0</v>
      </c>
      <c r="P1296" s="440">
        <v>2</v>
      </c>
      <c r="Q1296" s="440">
        <v>35</v>
      </c>
      <c r="R1296" s="344">
        <f t="shared" si="199"/>
        <v>5</v>
      </c>
      <c r="S1296" s="367">
        <f t="shared" si="200"/>
        <v>36</v>
      </c>
      <c r="T1296" s="442"/>
      <c r="U1296" s="442"/>
      <c r="V1296" s="442"/>
      <c r="W1296" s="442"/>
      <c r="X1296" s="442"/>
    </row>
    <row r="1297" spans="1:24" ht="12.75">
      <c r="A1297" s="438" t="s">
        <v>169</v>
      </c>
      <c r="B1297" s="439" t="s">
        <v>169</v>
      </c>
      <c r="C1297" s="439" t="s">
        <v>812</v>
      </c>
      <c r="D1297" s="439">
        <v>2018</v>
      </c>
      <c r="E1297" s="439" t="s">
        <v>775</v>
      </c>
      <c r="F1297" s="440">
        <v>83</v>
      </c>
      <c r="G1297" s="441">
        <v>0</v>
      </c>
      <c r="H1297" s="440">
        <v>0</v>
      </c>
      <c r="I1297" s="440">
        <v>0</v>
      </c>
      <c r="J1297" s="440">
        <v>59</v>
      </c>
      <c r="K1297" s="441">
        <v>0</v>
      </c>
      <c r="L1297" s="440">
        <v>0</v>
      </c>
      <c r="M1297" s="440">
        <v>0</v>
      </c>
      <c r="N1297" s="440">
        <v>66</v>
      </c>
      <c r="O1297" s="440">
        <v>10</v>
      </c>
      <c r="P1297" s="440">
        <v>155</v>
      </c>
      <c r="Q1297" s="440">
        <v>19</v>
      </c>
      <c r="R1297" s="344">
        <f t="shared" si="199"/>
        <v>363</v>
      </c>
      <c r="S1297" s="367">
        <f t="shared" si="200"/>
        <v>29</v>
      </c>
      <c r="T1297" s="442"/>
      <c r="U1297" s="442"/>
      <c r="V1297" s="442"/>
      <c r="W1297" s="442"/>
      <c r="X1297" s="442"/>
    </row>
    <row r="1298" spans="1:24" ht="12.75">
      <c r="A1298" s="438" t="s">
        <v>507</v>
      </c>
      <c r="B1298" s="439" t="s">
        <v>169</v>
      </c>
      <c r="C1298" s="439" t="s">
        <v>812</v>
      </c>
      <c r="D1298" s="439">
        <v>2018</v>
      </c>
      <c r="E1298" s="439" t="s">
        <v>775</v>
      </c>
      <c r="F1298" s="440">
        <v>1240</v>
      </c>
      <c r="G1298" s="441">
        <v>0</v>
      </c>
      <c r="H1298" s="440">
        <v>0</v>
      </c>
      <c r="I1298" s="440">
        <v>0</v>
      </c>
      <c r="J1298" s="440">
        <v>879</v>
      </c>
      <c r="K1298" s="441">
        <v>0</v>
      </c>
      <c r="L1298" s="440">
        <v>0</v>
      </c>
      <c r="M1298" s="440">
        <v>0</v>
      </c>
      <c r="N1298" s="440">
        <v>979</v>
      </c>
      <c r="O1298" s="440">
        <v>0</v>
      </c>
      <c r="P1298" s="440">
        <v>2174</v>
      </c>
      <c r="Q1298" s="440">
        <v>606</v>
      </c>
      <c r="R1298" s="344">
        <f t="shared" si="199"/>
        <v>5272</v>
      </c>
      <c r="S1298" s="367">
        <f t="shared" si="200"/>
        <v>606</v>
      </c>
      <c r="T1298" s="442"/>
      <c r="U1298" s="442"/>
      <c r="V1298" s="442"/>
      <c r="W1298" s="442"/>
      <c r="X1298" s="442"/>
    </row>
    <row r="1299" spans="1:24" ht="12.75">
      <c r="A1299" s="438" t="s">
        <v>508</v>
      </c>
      <c r="B1299" s="439" t="s">
        <v>169</v>
      </c>
      <c r="C1299" s="439" t="s">
        <v>812</v>
      </c>
      <c r="D1299" s="439">
        <v>2018</v>
      </c>
      <c r="E1299" s="439" t="s">
        <v>775</v>
      </c>
      <c r="F1299" s="440">
        <v>112</v>
      </c>
      <c r="G1299" s="441">
        <v>49</v>
      </c>
      <c r="H1299" s="440">
        <v>49</v>
      </c>
      <c r="I1299" s="440">
        <v>0</v>
      </c>
      <c r="J1299" s="440">
        <v>81</v>
      </c>
      <c r="K1299" s="441">
        <v>0</v>
      </c>
      <c r="L1299" s="440">
        <v>0</v>
      </c>
      <c r="M1299" s="440">
        <v>0</v>
      </c>
      <c r="N1299" s="440">
        <v>90</v>
      </c>
      <c r="O1299" s="440">
        <v>2</v>
      </c>
      <c r="P1299" s="440">
        <v>209</v>
      </c>
      <c r="Q1299" s="440">
        <v>3</v>
      </c>
      <c r="R1299" s="344">
        <f t="shared" si="199"/>
        <v>492</v>
      </c>
      <c r="S1299" s="367">
        <f t="shared" si="200"/>
        <v>54</v>
      </c>
      <c r="T1299" s="442"/>
      <c r="U1299" s="442"/>
      <c r="V1299" s="442"/>
      <c r="W1299" s="442"/>
      <c r="X1299" s="442"/>
    </row>
    <row r="1300" spans="1:24" ht="12.75">
      <c r="A1300" s="438" t="s">
        <v>509</v>
      </c>
      <c r="B1300" s="439" t="s">
        <v>169</v>
      </c>
      <c r="C1300" s="439" t="s">
        <v>812</v>
      </c>
      <c r="D1300" s="439">
        <v>2018</v>
      </c>
      <c r="E1300" s="439" t="s">
        <v>775</v>
      </c>
      <c r="F1300" s="440">
        <v>1</v>
      </c>
      <c r="G1300" s="454"/>
      <c r="H1300" s="455"/>
      <c r="I1300" s="455"/>
      <c r="J1300" s="440">
        <v>1</v>
      </c>
      <c r="K1300" s="454"/>
      <c r="L1300" s="455"/>
      <c r="M1300" s="455"/>
      <c r="N1300" s="440">
        <v>0</v>
      </c>
      <c r="O1300" s="455"/>
      <c r="P1300" s="440">
        <v>0</v>
      </c>
      <c r="Q1300" s="455"/>
      <c r="R1300" s="344">
        <f t="shared" si="199"/>
        <v>2</v>
      </c>
      <c r="S1300" s="367">
        <f t="shared" si="200"/>
        <v>0</v>
      </c>
      <c r="T1300" s="442"/>
      <c r="U1300" s="442"/>
      <c r="V1300" s="442"/>
      <c r="W1300" s="442"/>
      <c r="X1300" s="442"/>
    </row>
    <row r="1301" spans="1:24" ht="12.75">
      <c r="A1301" s="438" t="s">
        <v>510</v>
      </c>
      <c r="B1301" s="439" t="s">
        <v>169</v>
      </c>
      <c r="C1301" s="439" t="s">
        <v>812</v>
      </c>
      <c r="D1301" s="439">
        <v>2018</v>
      </c>
      <c r="E1301" s="439" t="s">
        <v>775</v>
      </c>
      <c r="F1301" s="440">
        <v>134</v>
      </c>
      <c r="G1301" s="441">
        <v>0</v>
      </c>
      <c r="H1301" s="440">
        <v>0</v>
      </c>
      <c r="I1301" s="440">
        <v>0</v>
      </c>
      <c r="J1301" s="440">
        <v>95</v>
      </c>
      <c r="K1301" s="441">
        <v>0</v>
      </c>
      <c r="L1301" s="440">
        <v>0</v>
      </c>
      <c r="M1301" s="440">
        <v>0</v>
      </c>
      <c r="N1301" s="440">
        <v>108</v>
      </c>
      <c r="O1301" s="440">
        <v>11</v>
      </c>
      <c r="P1301" s="440">
        <v>244</v>
      </c>
      <c r="Q1301" s="440">
        <v>69</v>
      </c>
      <c r="R1301" s="344">
        <f t="shared" si="199"/>
        <v>581</v>
      </c>
      <c r="S1301" s="367">
        <f t="shared" si="200"/>
        <v>80</v>
      </c>
      <c r="T1301" s="442"/>
      <c r="U1301" s="442"/>
      <c r="V1301" s="442"/>
      <c r="W1301" s="442"/>
      <c r="X1301" s="442"/>
    </row>
    <row r="1302" spans="1:24" ht="12.75">
      <c r="A1302" s="438" t="s">
        <v>511</v>
      </c>
      <c r="B1302" s="439" t="s">
        <v>169</v>
      </c>
      <c r="C1302" s="439" t="s">
        <v>812</v>
      </c>
      <c r="D1302" s="439">
        <v>2018</v>
      </c>
      <c r="E1302" s="439" t="s">
        <v>775</v>
      </c>
      <c r="F1302" s="440">
        <v>147</v>
      </c>
      <c r="G1302" s="441">
        <v>0</v>
      </c>
      <c r="H1302" s="440">
        <v>0</v>
      </c>
      <c r="I1302" s="440">
        <v>0</v>
      </c>
      <c r="J1302" s="440">
        <v>104</v>
      </c>
      <c r="K1302" s="441">
        <v>0</v>
      </c>
      <c r="L1302" s="440">
        <v>0</v>
      </c>
      <c r="M1302" s="440">
        <v>0</v>
      </c>
      <c r="N1302" s="440">
        <v>120</v>
      </c>
      <c r="O1302" s="440">
        <v>24</v>
      </c>
      <c r="P1302" s="440">
        <v>267</v>
      </c>
      <c r="Q1302" s="440">
        <v>64</v>
      </c>
      <c r="R1302" s="344">
        <f t="shared" si="199"/>
        <v>638</v>
      </c>
      <c r="S1302" s="367">
        <f t="shared" si="200"/>
        <v>88</v>
      </c>
      <c r="T1302" s="442"/>
      <c r="U1302" s="442"/>
      <c r="V1302" s="442"/>
      <c r="W1302" s="442"/>
      <c r="X1302" s="442"/>
    </row>
    <row r="1303" spans="1:24" ht="12.75">
      <c r="A1303" s="438" t="s">
        <v>512</v>
      </c>
      <c r="B1303" s="439" t="s">
        <v>169</v>
      </c>
      <c r="C1303" s="439" t="s">
        <v>812</v>
      </c>
      <c r="D1303" s="439">
        <v>2018</v>
      </c>
      <c r="E1303" s="439" t="s">
        <v>775</v>
      </c>
      <c r="F1303" s="440">
        <v>45</v>
      </c>
      <c r="G1303" s="441">
        <v>172</v>
      </c>
      <c r="H1303" s="440">
        <v>172</v>
      </c>
      <c r="I1303" s="440">
        <v>0</v>
      </c>
      <c r="J1303" s="440">
        <v>32</v>
      </c>
      <c r="K1303" s="441">
        <v>388</v>
      </c>
      <c r="L1303" s="440">
        <v>388</v>
      </c>
      <c r="M1303" s="440">
        <v>0</v>
      </c>
      <c r="N1303" s="440">
        <v>37</v>
      </c>
      <c r="O1303" s="440">
        <v>17</v>
      </c>
      <c r="P1303" s="440">
        <v>90</v>
      </c>
      <c r="Q1303" s="440">
        <v>796</v>
      </c>
      <c r="R1303" s="344">
        <f t="shared" si="199"/>
        <v>204</v>
      </c>
      <c r="S1303" s="367">
        <f t="shared" si="200"/>
        <v>1373</v>
      </c>
      <c r="T1303" s="442"/>
      <c r="U1303" s="442"/>
      <c r="V1303" s="442"/>
      <c r="W1303" s="442"/>
      <c r="X1303" s="442"/>
    </row>
    <row r="1304" spans="1:24" ht="12.75">
      <c r="A1304" s="438" t="s">
        <v>513</v>
      </c>
      <c r="B1304" s="439" t="s">
        <v>169</v>
      </c>
      <c r="C1304" s="439" t="s">
        <v>812</v>
      </c>
      <c r="D1304" s="439">
        <v>2018</v>
      </c>
      <c r="E1304" s="439" t="s">
        <v>775</v>
      </c>
      <c r="F1304" s="440">
        <v>1</v>
      </c>
      <c r="G1304" s="454"/>
      <c r="H1304" s="455"/>
      <c r="I1304" s="455"/>
      <c r="J1304" s="440">
        <v>1</v>
      </c>
      <c r="K1304" s="454"/>
      <c r="L1304" s="455"/>
      <c r="M1304" s="455"/>
      <c r="N1304" s="440">
        <v>0</v>
      </c>
      <c r="O1304" s="455"/>
      <c r="P1304" s="440">
        <v>0</v>
      </c>
      <c r="Q1304" s="455"/>
      <c r="R1304" s="344">
        <f t="shared" si="199"/>
        <v>2</v>
      </c>
      <c r="S1304" s="367">
        <f t="shared" si="200"/>
        <v>0</v>
      </c>
      <c r="T1304" s="442"/>
      <c r="U1304" s="442"/>
      <c r="V1304" s="442"/>
      <c r="W1304" s="442"/>
      <c r="X1304" s="442"/>
    </row>
    <row r="1305" spans="1:24" ht="12.75">
      <c r="A1305" s="438" t="s">
        <v>514</v>
      </c>
      <c r="B1305" s="439" t="s">
        <v>169</v>
      </c>
      <c r="C1305" s="439" t="s">
        <v>812</v>
      </c>
      <c r="D1305" s="439">
        <v>2018</v>
      </c>
      <c r="E1305" s="439" t="s">
        <v>775</v>
      </c>
      <c r="F1305" s="440">
        <v>68</v>
      </c>
      <c r="G1305" s="441">
        <v>0</v>
      </c>
      <c r="H1305" s="440">
        <v>0</v>
      </c>
      <c r="I1305" s="440">
        <v>0</v>
      </c>
      <c r="J1305" s="440">
        <v>49</v>
      </c>
      <c r="K1305" s="441">
        <v>0</v>
      </c>
      <c r="L1305" s="440">
        <v>0</v>
      </c>
      <c r="M1305" s="440">
        <v>0</v>
      </c>
      <c r="N1305" s="440">
        <v>56</v>
      </c>
      <c r="O1305" s="440">
        <v>12</v>
      </c>
      <c r="P1305" s="440">
        <v>140</v>
      </c>
      <c r="Q1305" s="440">
        <v>45</v>
      </c>
      <c r="R1305" s="344">
        <f t="shared" si="199"/>
        <v>313</v>
      </c>
      <c r="S1305" s="367">
        <f t="shared" si="200"/>
        <v>57</v>
      </c>
      <c r="T1305" s="442"/>
      <c r="U1305" s="442"/>
      <c r="V1305" s="442"/>
      <c r="W1305" s="442"/>
      <c r="X1305" s="442"/>
    </row>
    <row r="1306" spans="1:24" ht="12.75">
      <c r="A1306" s="438" t="s">
        <v>516</v>
      </c>
      <c r="B1306" s="439" t="s">
        <v>169</v>
      </c>
      <c r="C1306" s="439" t="s">
        <v>812</v>
      </c>
      <c r="D1306" s="439">
        <v>2018</v>
      </c>
      <c r="E1306" s="439" t="s">
        <v>775</v>
      </c>
      <c r="F1306" s="440">
        <v>3</v>
      </c>
      <c r="G1306" s="441">
        <v>0</v>
      </c>
      <c r="H1306" s="440">
        <v>0</v>
      </c>
      <c r="I1306" s="440">
        <v>0</v>
      </c>
      <c r="J1306" s="440">
        <v>2</v>
      </c>
      <c r="K1306" s="441">
        <v>0</v>
      </c>
      <c r="L1306" s="440">
        <v>0</v>
      </c>
      <c r="M1306" s="440">
        <v>0</v>
      </c>
      <c r="N1306" s="440">
        <v>3</v>
      </c>
      <c r="O1306" s="440">
        <v>3</v>
      </c>
      <c r="P1306" s="440">
        <v>6</v>
      </c>
      <c r="Q1306" s="440">
        <v>3</v>
      </c>
      <c r="R1306" s="344">
        <f t="shared" si="199"/>
        <v>14</v>
      </c>
      <c r="S1306" s="367">
        <f t="shared" si="200"/>
        <v>6</v>
      </c>
      <c r="T1306" s="442"/>
      <c r="U1306" s="442"/>
      <c r="V1306" s="442"/>
      <c r="W1306" s="442"/>
      <c r="X1306" s="442"/>
    </row>
    <row r="1307" spans="1:24" ht="12.75">
      <c r="A1307" s="438" t="s">
        <v>517</v>
      </c>
      <c r="B1307" s="439" t="s">
        <v>169</v>
      </c>
      <c r="C1307" s="439" t="s">
        <v>812</v>
      </c>
      <c r="D1307" s="439">
        <v>2018</v>
      </c>
      <c r="E1307" s="439" t="s">
        <v>775</v>
      </c>
      <c r="F1307" s="440">
        <v>1</v>
      </c>
      <c r="G1307" s="441">
        <v>2</v>
      </c>
      <c r="H1307" s="440">
        <v>2</v>
      </c>
      <c r="I1307" s="440">
        <v>0</v>
      </c>
      <c r="J1307" s="440">
        <v>1</v>
      </c>
      <c r="K1307" s="441">
        <v>3</v>
      </c>
      <c r="L1307" s="440">
        <v>3</v>
      </c>
      <c r="M1307" s="440">
        <v>0</v>
      </c>
      <c r="N1307" s="440">
        <v>0</v>
      </c>
      <c r="O1307" s="440">
        <v>0</v>
      </c>
      <c r="P1307" s="440">
        <v>0</v>
      </c>
      <c r="Q1307" s="440">
        <v>103</v>
      </c>
      <c r="R1307" s="344">
        <f t="shared" si="199"/>
        <v>2</v>
      </c>
      <c r="S1307" s="367">
        <f t="shared" si="200"/>
        <v>108</v>
      </c>
      <c r="T1307" s="442"/>
      <c r="U1307" s="442"/>
      <c r="V1307" s="442"/>
      <c r="W1307" s="442"/>
      <c r="X1307" s="442"/>
    </row>
    <row r="1308" spans="1:24" ht="12.75">
      <c r="A1308" s="438" t="s">
        <v>518</v>
      </c>
      <c r="B1308" s="439" t="s">
        <v>169</v>
      </c>
      <c r="C1308" s="439" t="s">
        <v>812</v>
      </c>
      <c r="D1308" s="439">
        <v>2018</v>
      </c>
      <c r="E1308" s="439" t="s">
        <v>775</v>
      </c>
      <c r="F1308" s="440">
        <v>160</v>
      </c>
      <c r="G1308" s="441">
        <v>2</v>
      </c>
      <c r="H1308" s="440">
        <v>0</v>
      </c>
      <c r="I1308" s="440">
        <v>2</v>
      </c>
      <c r="J1308" s="440">
        <v>113</v>
      </c>
      <c r="K1308" s="441">
        <v>1</v>
      </c>
      <c r="L1308" s="440">
        <v>0</v>
      </c>
      <c r="M1308" s="440">
        <v>1</v>
      </c>
      <c r="N1308" s="440">
        <v>126</v>
      </c>
      <c r="O1308" s="440">
        <v>0</v>
      </c>
      <c r="P1308" s="440">
        <v>270</v>
      </c>
      <c r="Q1308" s="440">
        <v>117</v>
      </c>
      <c r="R1308" s="344">
        <f t="shared" si="199"/>
        <v>669</v>
      </c>
      <c r="S1308" s="367">
        <f t="shared" si="200"/>
        <v>120</v>
      </c>
      <c r="T1308" s="345">
        <f>SUM(G1280:G1308)</f>
        <v>263</v>
      </c>
      <c r="U1308" s="345">
        <f>SUM(K1280:K1308)</f>
        <v>432</v>
      </c>
      <c r="V1308" s="345">
        <f>SUM(O1280:O1308)</f>
        <v>100</v>
      </c>
      <c r="W1308" s="345">
        <f>SUM(Q1280:Q1308)</f>
        <v>7250</v>
      </c>
      <c r="X1308" s="345">
        <f>T1308+U1308+V1308+W1308</f>
        <v>8045</v>
      </c>
    </row>
    <row r="1309" spans="1:24" ht="12.75">
      <c r="A1309" s="346" t="s">
        <v>485</v>
      </c>
      <c r="B1309" s="347" t="s">
        <v>169</v>
      </c>
      <c r="C1309" s="347" t="s">
        <v>813</v>
      </c>
      <c r="D1309" s="347">
        <v>2019</v>
      </c>
      <c r="E1309" s="347" t="s">
        <v>775</v>
      </c>
      <c r="F1309" s="348">
        <v>9</v>
      </c>
      <c r="G1309" s="348">
        <v>0</v>
      </c>
      <c r="H1309" s="348">
        <v>0</v>
      </c>
      <c r="I1309" s="348">
        <v>0</v>
      </c>
      <c r="J1309" s="348">
        <v>7</v>
      </c>
      <c r="K1309" s="348">
        <v>0</v>
      </c>
      <c r="L1309" s="348">
        <v>0</v>
      </c>
      <c r="M1309" s="348">
        <v>0</v>
      </c>
      <c r="N1309" s="348">
        <v>7</v>
      </c>
      <c r="O1309" s="348">
        <v>0</v>
      </c>
      <c r="P1309" s="348">
        <v>16</v>
      </c>
      <c r="Q1309" s="348">
        <v>0</v>
      </c>
      <c r="R1309" s="350">
        <f t="shared" si="199"/>
        <v>39</v>
      </c>
      <c r="S1309" s="348">
        <f t="shared" si="200"/>
        <v>0</v>
      </c>
      <c r="T1309" s="348"/>
      <c r="U1309" s="348"/>
      <c r="V1309" s="348"/>
      <c r="W1309" s="349"/>
      <c r="X1309" s="349"/>
    </row>
    <row r="1310" spans="1:24" ht="12.75">
      <c r="A1310" s="346" t="s">
        <v>486</v>
      </c>
      <c r="B1310" s="347" t="s">
        <v>169</v>
      </c>
      <c r="C1310" s="347" t="s">
        <v>813</v>
      </c>
      <c r="D1310" s="347">
        <v>2019</v>
      </c>
      <c r="E1310" s="347" t="s">
        <v>775</v>
      </c>
      <c r="F1310" s="348">
        <v>1256</v>
      </c>
      <c r="G1310" s="348">
        <v>43</v>
      </c>
      <c r="H1310" s="348">
        <v>43</v>
      </c>
      <c r="I1310" s="348">
        <v>0</v>
      </c>
      <c r="J1310" s="348">
        <v>907</v>
      </c>
      <c r="K1310" s="348">
        <v>10</v>
      </c>
      <c r="L1310" s="348">
        <v>10</v>
      </c>
      <c r="M1310" s="348">
        <v>0</v>
      </c>
      <c r="N1310" s="348">
        <v>1038</v>
      </c>
      <c r="O1310" s="348">
        <v>0</v>
      </c>
      <c r="P1310" s="348">
        <v>2501</v>
      </c>
      <c r="Q1310" s="348">
        <v>948</v>
      </c>
      <c r="R1310" s="350">
        <f t="shared" si="199"/>
        <v>5702</v>
      </c>
      <c r="S1310" s="348">
        <f t="shared" si="200"/>
        <v>1001</v>
      </c>
      <c r="T1310" s="348"/>
      <c r="U1310" s="348"/>
      <c r="V1310" s="348"/>
      <c r="W1310" s="349"/>
      <c r="X1310" s="349"/>
    </row>
    <row r="1311" spans="1:24" ht="12.75">
      <c r="A1311" s="346" t="s">
        <v>487</v>
      </c>
      <c r="B1311" s="347" t="s">
        <v>169</v>
      </c>
      <c r="C1311" s="347" t="s">
        <v>813</v>
      </c>
      <c r="D1311" s="347">
        <v>2019</v>
      </c>
      <c r="E1311" s="347" t="s">
        <v>775</v>
      </c>
      <c r="F1311" s="348">
        <v>426</v>
      </c>
      <c r="G1311" s="348">
        <v>0</v>
      </c>
      <c r="H1311" s="348">
        <v>0</v>
      </c>
      <c r="I1311" s="348">
        <v>0</v>
      </c>
      <c r="J1311" s="348">
        <v>305</v>
      </c>
      <c r="K1311" s="348">
        <v>0</v>
      </c>
      <c r="L1311" s="348">
        <v>0</v>
      </c>
      <c r="M1311" s="348">
        <v>0</v>
      </c>
      <c r="N1311" s="348">
        <v>335</v>
      </c>
      <c r="O1311" s="348">
        <v>20</v>
      </c>
      <c r="P1311" s="348">
        <v>785</v>
      </c>
      <c r="Q1311" s="348">
        <v>695</v>
      </c>
      <c r="R1311" s="350">
        <f t="shared" si="199"/>
        <v>1851</v>
      </c>
      <c r="S1311" s="348">
        <f t="shared" si="200"/>
        <v>715</v>
      </c>
      <c r="T1311" s="348"/>
      <c r="U1311" s="348"/>
      <c r="V1311" s="348"/>
      <c r="W1311" s="349"/>
      <c r="X1311" s="349"/>
    </row>
    <row r="1312" spans="1:24" ht="12.75">
      <c r="A1312" s="346" t="s">
        <v>488</v>
      </c>
      <c r="B1312" s="347" t="s">
        <v>169</v>
      </c>
      <c r="C1312" s="347" t="s">
        <v>813</v>
      </c>
      <c r="D1312" s="347">
        <v>2019</v>
      </c>
      <c r="E1312" s="347" t="s">
        <v>775</v>
      </c>
      <c r="F1312" s="348">
        <v>76</v>
      </c>
      <c r="G1312" s="348">
        <v>0</v>
      </c>
      <c r="H1312" s="348">
        <v>0</v>
      </c>
      <c r="I1312" s="348">
        <v>0</v>
      </c>
      <c r="J1312" s="348">
        <v>53</v>
      </c>
      <c r="K1312" s="348">
        <v>0</v>
      </c>
      <c r="L1312" s="348">
        <v>0</v>
      </c>
      <c r="M1312" s="348">
        <v>0</v>
      </c>
      <c r="N1312" s="348">
        <v>62</v>
      </c>
      <c r="O1312" s="348">
        <v>0</v>
      </c>
      <c r="P1312" s="348">
        <v>148</v>
      </c>
      <c r="Q1312" s="348">
        <v>1</v>
      </c>
      <c r="R1312" s="350">
        <f t="shared" si="199"/>
        <v>339</v>
      </c>
      <c r="S1312" s="348">
        <f t="shared" si="200"/>
        <v>1</v>
      </c>
      <c r="T1312" s="348"/>
      <c r="U1312" s="348"/>
      <c r="V1312" s="348"/>
      <c r="W1312" s="349"/>
      <c r="X1312" s="349"/>
    </row>
    <row r="1313" spans="1:24" ht="12.75">
      <c r="A1313" s="346" t="s">
        <v>489</v>
      </c>
      <c r="B1313" s="347" t="s">
        <v>169</v>
      </c>
      <c r="C1313" s="347" t="s">
        <v>813</v>
      </c>
      <c r="D1313" s="347">
        <v>2019</v>
      </c>
      <c r="E1313" s="347" t="s">
        <v>775</v>
      </c>
      <c r="F1313" s="348">
        <v>1</v>
      </c>
      <c r="G1313" s="348">
        <v>0</v>
      </c>
      <c r="H1313" s="348">
        <v>0</v>
      </c>
      <c r="I1313" s="348">
        <v>0</v>
      </c>
      <c r="J1313" s="348">
        <v>1</v>
      </c>
      <c r="K1313" s="348">
        <v>4</v>
      </c>
      <c r="L1313" s="348">
        <v>0</v>
      </c>
      <c r="M1313" s="348">
        <v>4</v>
      </c>
      <c r="N1313" s="348">
        <v>0</v>
      </c>
      <c r="O1313" s="348">
        <v>2</v>
      </c>
      <c r="P1313" s="348">
        <v>0</v>
      </c>
      <c r="Q1313" s="348">
        <v>192</v>
      </c>
      <c r="R1313" s="350">
        <f t="shared" si="199"/>
        <v>2</v>
      </c>
      <c r="S1313" s="348">
        <f t="shared" si="200"/>
        <v>198</v>
      </c>
      <c r="T1313" s="348"/>
      <c r="U1313" s="348"/>
      <c r="V1313" s="348"/>
      <c r="W1313" s="349"/>
      <c r="X1313" s="349"/>
    </row>
    <row r="1314" spans="1:24" ht="12.75">
      <c r="A1314" s="346" t="s">
        <v>490</v>
      </c>
      <c r="B1314" s="347" t="s">
        <v>169</v>
      </c>
      <c r="C1314" s="347" t="s">
        <v>813</v>
      </c>
      <c r="D1314" s="347">
        <v>2019</v>
      </c>
      <c r="E1314" s="347" t="s">
        <v>775</v>
      </c>
      <c r="F1314" s="348">
        <v>71</v>
      </c>
      <c r="G1314" s="348">
        <v>0</v>
      </c>
      <c r="H1314" s="348">
        <v>0</v>
      </c>
      <c r="I1314" s="348">
        <v>0</v>
      </c>
      <c r="J1314" s="348">
        <v>50</v>
      </c>
      <c r="K1314" s="348">
        <v>0</v>
      </c>
      <c r="L1314" s="348">
        <v>0</v>
      </c>
      <c r="M1314" s="348">
        <v>0</v>
      </c>
      <c r="N1314" s="348">
        <v>56</v>
      </c>
      <c r="O1314" s="348">
        <v>0</v>
      </c>
      <c r="P1314" s="348">
        <v>131</v>
      </c>
      <c r="Q1314" s="348">
        <v>0</v>
      </c>
      <c r="R1314" s="350">
        <f t="shared" si="199"/>
        <v>308</v>
      </c>
      <c r="S1314" s="348">
        <f t="shared" si="200"/>
        <v>0</v>
      </c>
      <c r="T1314" s="348"/>
      <c r="U1314" s="348"/>
      <c r="V1314" s="348"/>
      <c r="W1314" s="349"/>
      <c r="X1314" s="349"/>
    </row>
    <row r="1315" spans="1:24" ht="12.75">
      <c r="A1315" s="346" t="s">
        <v>491</v>
      </c>
      <c r="B1315" s="347" t="s">
        <v>169</v>
      </c>
      <c r="C1315" s="347" t="s">
        <v>813</v>
      </c>
      <c r="D1315" s="347">
        <v>2019</v>
      </c>
      <c r="E1315" s="347" t="s">
        <v>775</v>
      </c>
      <c r="F1315" s="348">
        <v>76</v>
      </c>
      <c r="G1315" s="348">
        <v>0</v>
      </c>
      <c r="H1315" s="348">
        <v>0</v>
      </c>
      <c r="I1315" s="348">
        <v>0</v>
      </c>
      <c r="J1315" s="348">
        <v>53</v>
      </c>
      <c r="K1315" s="348">
        <v>8</v>
      </c>
      <c r="L1315" s="348">
        <v>0</v>
      </c>
      <c r="M1315" s="348">
        <v>8</v>
      </c>
      <c r="N1315" s="348">
        <v>61</v>
      </c>
      <c r="O1315" s="348">
        <v>1</v>
      </c>
      <c r="P1315" s="348">
        <v>137</v>
      </c>
      <c r="Q1315" s="348">
        <v>96</v>
      </c>
      <c r="R1315" s="350">
        <f t="shared" si="199"/>
        <v>327</v>
      </c>
      <c r="S1315" s="348">
        <f t="shared" si="200"/>
        <v>105</v>
      </c>
      <c r="T1315" s="348"/>
      <c r="U1315" s="348"/>
      <c r="V1315" s="348"/>
      <c r="W1315" s="349"/>
      <c r="X1315" s="349"/>
    </row>
    <row r="1316" spans="1:24" ht="12.75">
      <c r="A1316" s="346" t="s">
        <v>492</v>
      </c>
      <c r="B1316" s="347" t="s">
        <v>169</v>
      </c>
      <c r="C1316" s="347" t="s">
        <v>813</v>
      </c>
      <c r="D1316" s="347">
        <v>2019</v>
      </c>
      <c r="E1316" s="347" t="s">
        <v>775</v>
      </c>
      <c r="F1316" s="348">
        <v>83</v>
      </c>
      <c r="G1316" s="348">
        <v>0</v>
      </c>
      <c r="H1316" s="348">
        <v>0</v>
      </c>
      <c r="I1316" s="348">
        <v>0</v>
      </c>
      <c r="J1316" s="348">
        <v>59</v>
      </c>
      <c r="K1316" s="348">
        <v>17</v>
      </c>
      <c r="L1316" s="348">
        <v>0</v>
      </c>
      <c r="M1316" s="348">
        <v>17</v>
      </c>
      <c r="N1316" s="348">
        <v>65</v>
      </c>
      <c r="O1316" s="348">
        <v>6</v>
      </c>
      <c r="P1316" s="348">
        <v>151</v>
      </c>
      <c r="Q1316" s="348">
        <v>155</v>
      </c>
      <c r="R1316" s="350">
        <f t="shared" si="199"/>
        <v>358</v>
      </c>
      <c r="S1316" s="348">
        <f t="shared" si="200"/>
        <v>178</v>
      </c>
      <c r="T1316" s="348"/>
      <c r="U1316" s="348"/>
      <c r="V1316" s="348"/>
      <c r="W1316" s="349"/>
      <c r="X1316" s="349"/>
    </row>
    <row r="1317" spans="1:24" ht="12.75">
      <c r="A1317" s="346" t="s">
        <v>493</v>
      </c>
      <c r="B1317" s="347" t="s">
        <v>169</v>
      </c>
      <c r="C1317" s="347" t="s">
        <v>813</v>
      </c>
      <c r="D1317" s="347">
        <v>2019</v>
      </c>
      <c r="E1317" s="347" t="s">
        <v>775</v>
      </c>
      <c r="F1317" s="348">
        <v>411</v>
      </c>
      <c r="G1317" s="348">
        <v>1</v>
      </c>
      <c r="H1317" s="348">
        <v>1</v>
      </c>
      <c r="I1317" s="348">
        <v>0</v>
      </c>
      <c r="J1317" s="348">
        <v>299</v>
      </c>
      <c r="K1317" s="348">
        <v>8</v>
      </c>
      <c r="L1317" s="348">
        <v>8</v>
      </c>
      <c r="M1317" s="348">
        <v>0</v>
      </c>
      <c r="N1317" s="348">
        <v>337</v>
      </c>
      <c r="O1317" s="348">
        <v>10</v>
      </c>
      <c r="P1317" s="348">
        <v>794</v>
      </c>
      <c r="Q1317" s="348">
        <v>323</v>
      </c>
      <c r="R1317" s="350">
        <f t="shared" si="199"/>
        <v>1841</v>
      </c>
      <c r="S1317" s="348">
        <f t="shared" si="200"/>
        <v>342</v>
      </c>
      <c r="T1317" s="348"/>
      <c r="U1317" s="348"/>
      <c r="V1317" s="348"/>
      <c r="W1317" s="349"/>
      <c r="X1317" s="349"/>
    </row>
    <row r="1318" spans="1:24" ht="12.75">
      <c r="A1318" s="346" t="s">
        <v>494</v>
      </c>
      <c r="B1318" s="347" t="s">
        <v>169</v>
      </c>
      <c r="C1318" s="347" t="s">
        <v>813</v>
      </c>
      <c r="D1318" s="347">
        <v>2019</v>
      </c>
      <c r="E1318" s="347" t="s">
        <v>775</v>
      </c>
      <c r="F1318" s="348">
        <v>164</v>
      </c>
      <c r="G1318" s="348">
        <v>0</v>
      </c>
      <c r="H1318" s="348">
        <v>0</v>
      </c>
      <c r="I1318" s="348">
        <v>0</v>
      </c>
      <c r="J1318" s="348">
        <v>120</v>
      </c>
      <c r="K1318" s="348">
        <v>0</v>
      </c>
      <c r="L1318" s="348">
        <v>0</v>
      </c>
      <c r="M1318" s="348">
        <v>0</v>
      </c>
      <c r="N1318" s="348">
        <v>135</v>
      </c>
      <c r="O1318" s="348">
        <v>0</v>
      </c>
      <c r="P1318" s="348">
        <v>328</v>
      </c>
      <c r="Q1318" s="348">
        <v>125</v>
      </c>
      <c r="R1318" s="350">
        <f t="shared" si="199"/>
        <v>747</v>
      </c>
      <c r="S1318" s="348">
        <f t="shared" si="200"/>
        <v>125</v>
      </c>
      <c r="T1318" s="348"/>
      <c r="U1318" s="348"/>
      <c r="V1318" s="348"/>
      <c r="W1318" s="349"/>
      <c r="X1318" s="349"/>
    </row>
    <row r="1319" spans="1:24" ht="12.75">
      <c r="A1319" s="346" t="s">
        <v>495</v>
      </c>
      <c r="B1319" s="347" t="s">
        <v>169</v>
      </c>
      <c r="C1319" s="347" t="s">
        <v>813</v>
      </c>
      <c r="D1319" s="347">
        <v>2019</v>
      </c>
      <c r="E1319" s="347" t="s">
        <v>775</v>
      </c>
      <c r="F1319" s="348">
        <v>313</v>
      </c>
      <c r="G1319" s="348">
        <v>0</v>
      </c>
      <c r="H1319" s="348">
        <v>0</v>
      </c>
      <c r="I1319" s="348">
        <v>0</v>
      </c>
      <c r="J1319" s="348">
        <v>220</v>
      </c>
      <c r="K1319" s="348">
        <v>0</v>
      </c>
      <c r="L1319" s="348">
        <v>0</v>
      </c>
      <c r="M1319" s="348">
        <v>0</v>
      </c>
      <c r="N1319" s="348">
        <v>248</v>
      </c>
      <c r="O1319" s="348">
        <v>23</v>
      </c>
      <c r="P1319" s="348">
        <v>572</v>
      </c>
      <c r="Q1319" s="348">
        <v>135</v>
      </c>
      <c r="R1319" s="350">
        <f t="shared" si="199"/>
        <v>1353</v>
      </c>
      <c r="S1319" s="348">
        <f t="shared" si="200"/>
        <v>158</v>
      </c>
      <c r="T1319" s="348"/>
      <c r="U1319" s="348"/>
      <c r="V1319" s="348"/>
      <c r="W1319" s="349"/>
      <c r="X1319" s="349"/>
    </row>
    <row r="1320" spans="1:24" ht="12.75">
      <c r="A1320" s="346" t="s">
        <v>496</v>
      </c>
      <c r="B1320" s="347" t="s">
        <v>169</v>
      </c>
      <c r="C1320" s="347" t="s">
        <v>813</v>
      </c>
      <c r="D1320" s="347">
        <v>2019</v>
      </c>
      <c r="E1320" s="347" t="s">
        <v>775</v>
      </c>
      <c r="F1320" s="348">
        <v>2817</v>
      </c>
      <c r="G1320" s="348">
        <v>220</v>
      </c>
      <c r="H1320" s="348">
        <v>220</v>
      </c>
      <c r="I1320" s="348">
        <v>0</v>
      </c>
      <c r="J1320" s="348">
        <v>2034</v>
      </c>
      <c r="K1320" s="348">
        <v>34</v>
      </c>
      <c r="L1320" s="348">
        <v>34</v>
      </c>
      <c r="M1320" s="348">
        <v>0</v>
      </c>
      <c r="N1320" s="348">
        <v>2239</v>
      </c>
      <c r="O1320" s="348">
        <v>25</v>
      </c>
      <c r="P1320" s="348">
        <v>5059</v>
      </c>
      <c r="Q1320" s="348">
        <v>2725</v>
      </c>
      <c r="R1320" s="350">
        <f t="shared" si="199"/>
        <v>12149</v>
      </c>
      <c r="S1320" s="348">
        <f t="shared" si="200"/>
        <v>3004</v>
      </c>
      <c r="T1320" s="348"/>
      <c r="U1320" s="348"/>
      <c r="V1320" s="348"/>
      <c r="W1320" s="349"/>
      <c r="X1320" s="349"/>
    </row>
    <row r="1321" spans="1:24" ht="12.75">
      <c r="A1321" s="346" t="s">
        <v>497</v>
      </c>
      <c r="B1321" s="347" t="s">
        <v>169</v>
      </c>
      <c r="C1321" s="347" t="s">
        <v>813</v>
      </c>
      <c r="D1321" s="347">
        <v>2019</v>
      </c>
      <c r="E1321" s="347" t="s">
        <v>775</v>
      </c>
      <c r="F1321" s="348">
        <v>1</v>
      </c>
      <c r="G1321" s="348">
        <v>0</v>
      </c>
      <c r="H1321" s="348">
        <v>0</v>
      </c>
      <c r="I1321" s="348">
        <v>0</v>
      </c>
      <c r="J1321" s="348">
        <v>1</v>
      </c>
      <c r="K1321" s="348">
        <v>5</v>
      </c>
      <c r="L1321" s="348">
        <v>0</v>
      </c>
      <c r="M1321" s="348">
        <v>5</v>
      </c>
      <c r="N1321" s="348">
        <v>1</v>
      </c>
      <c r="O1321" s="348">
        <v>2</v>
      </c>
      <c r="P1321" s="348">
        <v>1</v>
      </c>
      <c r="Q1321" s="348">
        <v>23</v>
      </c>
      <c r="R1321" s="350">
        <f t="shared" si="199"/>
        <v>4</v>
      </c>
      <c r="S1321" s="348">
        <f t="shared" si="200"/>
        <v>30</v>
      </c>
      <c r="T1321" s="348"/>
      <c r="U1321" s="348"/>
      <c r="V1321" s="348"/>
      <c r="W1321" s="349"/>
      <c r="X1321" s="349"/>
    </row>
    <row r="1322" spans="1:24" ht="12.75">
      <c r="A1322" s="346" t="s">
        <v>498</v>
      </c>
      <c r="B1322" s="347" t="s">
        <v>169</v>
      </c>
      <c r="C1322" s="347" t="s">
        <v>813</v>
      </c>
      <c r="D1322" s="347">
        <v>2019</v>
      </c>
      <c r="E1322" s="347" t="s">
        <v>775</v>
      </c>
      <c r="F1322" s="348">
        <v>2</v>
      </c>
      <c r="G1322" s="348">
        <v>0</v>
      </c>
      <c r="H1322" s="348">
        <v>0</v>
      </c>
      <c r="I1322" s="348">
        <v>0</v>
      </c>
      <c r="J1322" s="348">
        <v>2</v>
      </c>
      <c r="K1322" s="348">
        <v>1</v>
      </c>
      <c r="L1322" s="348">
        <v>0</v>
      </c>
      <c r="M1322" s="348">
        <v>1</v>
      </c>
      <c r="N1322" s="348">
        <v>2</v>
      </c>
      <c r="O1322" s="348">
        <v>0</v>
      </c>
      <c r="P1322" s="348">
        <v>3</v>
      </c>
      <c r="Q1322" s="348">
        <v>0</v>
      </c>
      <c r="R1322" s="350">
        <f t="shared" si="199"/>
        <v>9</v>
      </c>
      <c r="S1322" s="348">
        <f t="shared" si="200"/>
        <v>1</v>
      </c>
      <c r="T1322" s="348"/>
      <c r="U1322" s="348"/>
      <c r="V1322" s="348"/>
      <c r="W1322" s="349"/>
      <c r="X1322" s="349"/>
    </row>
    <row r="1323" spans="1:24" ht="12.75">
      <c r="A1323" s="346" t="s">
        <v>499</v>
      </c>
      <c r="B1323" s="347" t="s">
        <v>169</v>
      </c>
      <c r="C1323" s="347" t="s">
        <v>813</v>
      </c>
      <c r="D1323" s="347">
        <v>2019</v>
      </c>
      <c r="E1323" s="347" t="s">
        <v>775</v>
      </c>
      <c r="F1323" s="348">
        <v>1</v>
      </c>
      <c r="G1323" s="348">
        <v>0</v>
      </c>
      <c r="H1323" s="348">
        <v>0</v>
      </c>
      <c r="I1323" s="348">
        <v>0</v>
      </c>
      <c r="J1323" s="348">
        <v>1</v>
      </c>
      <c r="K1323" s="348">
        <v>0</v>
      </c>
      <c r="L1323" s="348">
        <v>0</v>
      </c>
      <c r="M1323" s="348">
        <v>0</v>
      </c>
      <c r="N1323" s="348">
        <v>0</v>
      </c>
      <c r="O1323" s="348">
        <v>8</v>
      </c>
      <c r="P1323" s="348">
        <v>0</v>
      </c>
      <c r="Q1323" s="348">
        <v>8</v>
      </c>
      <c r="R1323" s="350">
        <f t="shared" si="199"/>
        <v>2</v>
      </c>
      <c r="S1323" s="348">
        <f t="shared" si="200"/>
        <v>16</v>
      </c>
      <c r="T1323" s="348"/>
      <c r="U1323" s="348"/>
      <c r="V1323" s="348"/>
      <c r="W1323" s="349"/>
      <c r="X1323" s="349"/>
    </row>
    <row r="1324" spans="1:24" ht="12.75">
      <c r="A1324" s="346" t="s">
        <v>500</v>
      </c>
      <c r="B1324" s="347" t="s">
        <v>169</v>
      </c>
      <c r="C1324" s="347" t="s">
        <v>813</v>
      </c>
      <c r="D1324" s="347">
        <v>2019</v>
      </c>
      <c r="E1324" s="347" t="s">
        <v>775</v>
      </c>
      <c r="F1324" s="348">
        <v>1</v>
      </c>
      <c r="G1324" s="348">
        <v>0</v>
      </c>
      <c r="H1324" s="348">
        <v>0</v>
      </c>
      <c r="I1324" s="348">
        <v>0</v>
      </c>
      <c r="J1324" s="348">
        <v>1</v>
      </c>
      <c r="K1324" s="348">
        <v>0</v>
      </c>
      <c r="L1324" s="348">
        <v>0</v>
      </c>
      <c r="M1324" s="348">
        <v>0</v>
      </c>
      <c r="N1324" s="348">
        <v>0</v>
      </c>
      <c r="O1324" s="348">
        <v>0</v>
      </c>
      <c r="P1324" s="348">
        <v>0</v>
      </c>
      <c r="Q1324" s="348">
        <v>2</v>
      </c>
      <c r="R1324" s="350">
        <f t="shared" si="199"/>
        <v>2</v>
      </c>
      <c r="S1324" s="348">
        <f t="shared" si="200"/>
        <v>2</v>
      </c>
      <c r="T1324" s="348"/>
      <c r="U1324" s="348"/>
      <c r="V1324" s="348"/>
      <c r="W1324" s="349"/>
      <c r="X1324" s="349"/>
    </row>
    <row r="1325" spans="1:24" ht="12.75">
      <c r="A1325" s="346" t="s">
        <v>501</v>
      </c>
      <c r="B1325" s="347" t="s">
        <v>169</v>
      </c>
      <c r="C1325" s="347" t="s">
        <v>813</v>
      </c>
      <c r="D1325" s="347">
        <v>2019</v>
      </c>
      <c r="E1325" s="347" t="s">
        <v>775</v>
      </c>
      <c r="F1325" s="348">
        <v>43</v>
      </c>
      <c r="G1325" s="348">
        <v>0</v>
      </c>
      <c r="H1325" s="348">
        <v>0</v>
      </c>
      <c r="I1325" s="348">
        <v>0</v>
      </c>
      <c r="J1325" s="348">
        <v>30</v>
      </c>
      <c r="K1325" s="348">
        <v>0</v>
      </c>
      <c r="L1325" s="348">
        <v>0</v>
      </c>
      <c r="M1325" s="348">
        <v>0</v>
      </c>
      <c r="N1325" s="348">
        <v>34</v>
      </c>
      <c r="O1325" s="348">
        <v>3</v>
      </c>
      <c r="P1325" s="348">
        <v>75</v>
      </c>
      <c r="Q1325" s="348">
        <v>1</v>
      </c>
      <c r="R1325" s="350">
        <f t="shared" si="199"/>
        <v>182</v>
      </c>
      <c r="S1325" s="348">
        <f t="shared" si="200"/>
        <v>4</v>
      </c>
      <c r="T1325" s="348"/>
      <c r="U1325" s="348"/>
      <c r="V1325" s="348"/>
      <c r="W1325" s="349"/>
      <c r="X1325" s="349"/>
    </row>
    <row r="1326" spans="1:24" ht="12.75">
      <c r="A1326" s="346" t="s">
        <v>502</v>
      </c>
      <c r="B1326" s="347" t="s">
        <v>169</v>
      </c>
      <c r="C1326" s="347" t="s">
        <v>813</v>
      </c>
      <c r="D1326" s="347">
        <v>2019</v>
      </c>
      <c r="E1326" s="347" t="s">
        <v>775</v>
      </c>
      <c r="F1326" s="348">
        <v>1</v>
      </c>
      <c r="G1326" s="348">
        <v>0</v>
      </c>
      <c r="H1326" s="348">
        <v>0</v>
      </c>
      <c r="I1326" s="348">
        <v>0</v>
      </c>
      <c r="J1326" s="348">
        <v>1</v>
      </c>
      <c r="K1326" s="348">
        <v>0</v>
      </c>
      <c r="L1326" s="348">
        <v>0</v>
      </c>
      <c r="M1326" s="348">
        <v>0</v>
      </c>
      <c r="N1326" s="348">
        <v>0</v>
      </c>
      <c r="O1326" s="348">
        <v>0</v>
      </c>
      <c r="P1326" s="348">
        <v>0</v>
      </c>
      <c r="Q1326" s="348">
        <v>0</v>
      </c>
      <c r="R1326" s="350">
        <f t="shared" si="199"/>
        <v>2</v>
      </c>
      <c r="S1326" s="348">
        <f t="shared" si="200"/>
        <v>0</v>
      </c>
      <c r="T1326" s="348"/>
      <c r="U1326" s="348"/>
      <c r="V1326" s="348"/>
      <c r="W1326" s="349"/>
      <c r="X1326" s="349"/>
    </row>
    <row r="1327" spans="1:24" ht="12.75">
      <c r="A1327" s="346" t="s">
        <v>503</v>
      </c>
      <c r="B1327" s="347" t="s">
        <v>169</v>
      </c>
      <c r="C1327" s="347" t="s">
        <v>813</v>
      </c>
      <c r="D1327" s="347">
        <v>2019</v>
      </c>
      <c r="E1327" s="347" t="s">
        <v>775</v>
      </c>
      <c r="F1327" s="348">
        <v>647</v>
      </c>
      <c r="G1327" s="348">
        <v>32</v>
      </c>
      <c r="H1327" s="348">
        <v>32</v>
      </c>
      <c r="I1327" s="348">
        <v>0</v>
      </c>
      <c r="J1327" s="348">
        <v>450</v>
      </c>
      <c r="K1327" s="348">
        <v>25</v>
      </c>
      <c r="L1327" s="348">
        <v>25</v>
      </c>
      <c r="M1327" s="348">
        <v>0</v>
      </c>
      <c r="N1327" s="348">
        <v>497</v>
      </c>
      <c r="O1327" s="348">
        <v>1</v>
      </c>
      <c r="P1327" s="348">
        <v>1133</v>
      </c>
      <c r="Q1327" s="348">
        <v>355</v>
      </c>
      <c r="R1327" s="350">
        <f t="shared" si="199"/>
        <v>2727</v>
      </c>
      <c r="S1327" s="348">
        <f t="shared" si="200"/>
        <v>413</v>
      </c>
      <c r="T1327" s="348"/>
      <c r="U1327" s="348"/>
      <c r="V1327" s="348"/>
      <c r="W1327" s="349"/>
      <c r="X1327" s="349"/>
    </row>
    <row r="1328" spans="1:24" ht="12.75">
      <c r="A1328" s="346" t="s">
        <v>505</v>
      </c>
      <c r="B1328" s="347" t="s">
        <v>169</v>
      </c>
      <c r="C1328" s="347" t="s">
        <v>813</v>
      </c>
      <c r="D1328" s="347">
        <v>2019</v>
      </c>
      <c r="E1328" s="347" t="s">
        <v>775</v>
      </c>
      <c r="F1328" s="348">
        <v>42</v>
      </c>
      <c r="G1328" s="348">
        <v>0</v>
      </c>
      <c r="H1328" s="348">
        <v>0</v>
      </c>
      <c r="I1328" s="348">
        <v>0</v>
      </c>
      <c r="J1328" s="348">
        <v>29</v>
      </c>
      <c r="K1328" s="348">
        <v>0</v>
      </c>
      <c r="L1328" s="348">
        <v>0</v>
      </c>
      <c r="M1328" s="348">
        <v>0</v>
      </c>
      <c r="N1328" s="348">
        <v>33</v>
      </c>
      <c r="O1328" s="348">
        <v>0</v>
      </c>
      <c r="P1328" s="348">
        <v>73</v>
      </c>
      <c r="Q1328" s="348">
        <v>0</v>
      </c>
      <c r="R1328" s="350">
        <f t="shared" si="199"/>
        <v>177</v>
      </c>
      <c r="S1328" s="348">
        <f t="shared" si="200"/>
        <v>0</v>
      </c>
      <c r="T1328" s="348"/>
      <c r="U1328" s="348"/>
      <c r="V1328" s="348"/>
      <c r="W1328" s="349"/>
      <c r="X1328" s="349"/>
    </row>
    <row r="1329" spans="1:24" ht="12.75">
      <c r="A1329" s="346" t="s">
        <v>506</v>
      </c>
      <c r="B1329" s="347" t="s">
        <v>169</v>
      </c>
      <c r="C1329" s="347" t="s">
        <v>813</v>
      </c>
      <c r="D1329" s="347">
        <v>2019</v>
      </c>
      <c r="E1329" s="347" t="s">
        <v>775</v>
      </c>
      <c r="F1329" s="348">
        <v>1</v>
      </c>
      <c r="G1329" s="348">
        <v>2</v>
      </c>
      <c r="H1329" s="348">
        <v>0</v>
      </c>
      <c r="I1329" s="348">
        <v>2</v>
      </c>
      <c r="J1329" s="348">
        <v>1</v>
      </c>
      <c r="K1329" s="348">
        <v>1</v>
      </c>
      <c r="L1329" s="348">
        <v>0</v>
      </c>
      <c r="M1329" s="348">
        <v>1</v>
      </c>
      <c r="N1329" s="348">
        <v>1</v>
      </c>
      <c r="O1329" s="348">
        <v>0</v>
      </c>
      <c r="P1329" s="348">
        <v>2</v>
      </c>
      <c r="Q1329" s="348">
        <v>23</v>
      </c>
      <c r="R1329" s="350">
        <f t="shared" si="199"/>
        <v>5</v>
      </c>
      <c r="S1329" s="348">
        <f t="shared" si="200"/>
        <v>26</v>
      </c>
      <c r="T1329" s="348"/>
      <c r="U1329" s="348"/>
      <c r="V1329" s="348"/>
      <c r="W1329" s="349"/>
      <c r="X1329" s="349"/>
    </row>
    <row r="1330" spans="1:24" ht="12.75">
      <c r="A1330" s="346" t="s">
        <v>169</v>
      </c>
      <c r="B1330" s="347" t="s">
        <v>169</v>
      </c>
      <c r="C1330" s="347" t="s">
        <v>813</v>
      </c>
      <c r="D1330" s="347">
        <v>2019</v>
      </c>
      <c r="E1330" s="347" t="s">
        <v>775</v>
      </c>
      <c r="F1330" s="348">
        <v>83</v>
      </c>
      <c r="G1330" s="348">
        <v>0</v>
      </c>
      <c r="H1330" s="348">
        <v>0</v>
      </c>
      <c r="I1330" s="348">
        <v>0</v>
      </c>
      <c r="J1330" s="348">
        <v>59</v>
      </c>
      <c r="K1330" s="348">
        <v>0</v>
      </c>
      <c r="L1330" s="348">
        <v>0</v>
      </c>
      <c r="M1330" s="348">
        <v>0</v>
      </c>
      <c r="N1330" s="348">
        <v>66</v>
      </c>
      <c r="O1330" s="348">
        <v>662</v>
      </c>
      <c r="P1330" s="348">
        <v>155</v>
      </c>
      <c r="Q1330" s="348">
        <v>418</v>
      </c>
      <c r="R1330" s="350">
        <f t="shared" si="199"/>
        <v>363</v>
      </c>
      <c r="S1330" s="348">
        <f t="shared" si="200"/>
        <v>1080</v>
      </c>
      <c r="T1330" s="348"/>
      <c r="U1330" s="348"/>
      <c r="V1330" s="348"/>
      <c r="W1330" s="349"/>
      <c r="X1330" s="349"/>
    </row>
    <row r="1331" spans="1:24" ht="12.75">
      <c r="A1331" s="346" t="s">
        <v>507</v>
      </c>
      <c r="B1331" s="347" t="s">
        <v>169</v>
      </c>
      <c r="C1331" s="347" t="s">
        <v>813</v>
      </c>
      <c r="D1331" s="347">
        <v>2019</v>
      </c>
      <c r="E1331" s="347" t="s">
        <v>775</v>
      </c>
      <c r="F1331" s="348">
        <v>1240</v>
      </c>
      <c r="G1331" s="348">
        <v>0</v>
      </c>
      <c r="H1331" s="348">
        <v>0</v>
      </c>
      <c r="I1331" s="348">
        <v>0</v>
      </c>
      <c r="J1331" s="348">
        <v>879</v>
      </c>
      <c r="K1331" s="348">
        <v>0</v>
      </c>
      <c r="L1331" s="348">
        <v>0</v>
      </c>
      <c r="M1331" s="348">
        <v>0</v>
      </c>
      <c r="N1331" s="348">
        <v>979</v>
      </c>
      <c r="O1331" s="348">
        <v>0</v>
      </c>
      <c r="P1331" s="348">
        <v>2174</v>
      </c>
      <c r="Q1331" s="348">
        <v>273</v>
      </c>
      <c r="R1331" s="350">
        <f t="shared" si="199"/>
        <v>5272</v>
      </c>
      <c r="S1331" s="348">
        <f t="shared" si="200"/>
        <v>273</v>
      </c>
      <c r="T1331" s="348"/>
      <c r="U1331" s="348"/>
      <c r="V1331" s="348"/>
      <c r="W1331" s="349"/>
      <c r="X1331" s="349"/>
    </row>
    <row r="1332" spans="1:24" ht="12.75">
      <c r="A1332" s="346" t="s">
        <v>508</v>
      </c>
      <c r="B1332" s="347" t="s">
        <v>169</v>
      </c>
      <c r="C1332" s="347" t="s">
        <v>813</v>
      </c>
      <c r="D1332" s="347">
        <v>2019</v>
      </c>
      <c r="E1332" s="347" t="s">
        <v>775</v>
      </c>
      <c r="F1332" s="348">
        <v>112</v>
      </c>
      <c r="G1332" s="348">
        <v>0</v>
      </c>
      <c r="H1332" s="348">
        <v>0</v>
      </c>
      <c r="I1332" s="348">
        <v>0</v>
      </c>
      <c r="J1332" s="348">
        <v>81</v>
      </c>
      <c r="K1332" s="348">
        <v>0</v>
      </c>
      <c r="L1332" s="348">
        <v>0</v>
      </c>
      <c r="M1332" s="348">
        <v>0</v>
      </c>
      <c r="N1332" s="348">
        <v>90</v>
      </c>
      <c r="O1332" s="348">
        <v>2</v>
      </c>
      <c r="P1332" s="348">
        <v>209</v>
      </c>
      <c r="Q1332" s="348">
        <v>218</v>
      </c>
      <c r="R1332" s="350">
        <f t="shared" si="199"/>
        <v>492</v>
      </c>
      <c r="S1332" s="348">
        <f t="shared" si="200"/>
        <v>220</v>
      </c>
      <c r="T1332" s="348"/>
      <c r="U1332" s="348"/>
      <c r="V1332" s="348"/>
      <c r="W1332" s="349"/>
      <c r="X1332" s="349"/>
    </row>
    <row r="1333" spans="1:24" ht="12.75">
      <c r="A1333" s="346" t="s">
        <v>509</v>
      </c>
      <c r="B1333" s="347" t="s">
        <v>169</v>
      </c>
      <c r="C1333" s="347" t="s">
        <v>813</v>
      </c>
      <c r="D1333" s="347">
        <v>2019</v>
      </c>
      <c r="E1333" s="347" t="s">
        <v>775</v>
      </c>
      <c r="F1333" s="348">
        <v>1</v>
      </c>
      <c r="G1333" s="348">
        <v>0</v>
      </c>
      <c r="H1333" s="348">
        <v>0</v>
      </c>
      <c r="I1333" s="348">
        <v>0</v>
      </c>
      <c r="J1333" s="348">
        <v>1</v>
      </c>
      <c r="K1333" s="348">
        <v>1</v>
      </c>
      <c r="L1333" s="348">
        <v>0</v>
      </c>
      <c r="M1333" s="348">
        <v>1</v>
      </c>
      <c r="N1333" s="348">
        <v>0</v>
      </c>
      <c r="O1333" s="348">
        <v>0</v>
      </c>
      <c r="P1333" s="348">
        <v>0</v>
      </c>
      <c r="Q1333" s="348">
        <v>0</v>
      </c>
      <c r="R1333" s="350">
        <f t="shared" si="199"/>
        <v>2</v>
      </c>
      <c r="S1333" s="348">
        <f t="shared" si="200"/>
        <v>1</v>
      </c>
      <c r="T1333" s="348"/>
      <c r="U1333" s="348"/>
      <c r="V1333" s="348"/>
      <c r="W1333" s="349"/>
      <c r="X1333" s="349"/>
    </row>
    <row r="1334" spans="1:24" ht="12.75">
      <c r="A1334" s="346" t="s">
        <v>510</v>
      </c>
      <c r="B1334" s="347" t="s">
        <v>169</v>
      </c>
      <c r="C1334" s="347" t="s">
        <v>813</v>
      </c>
      <c r="D1334" s="347">
        <v>2019</v>
      </c>
      <c r="E1334" s="347" t="s">
        <v>775</v>
      </c>
      <c r="F1334" s="348">
        <v>134</v>
      </c>
      <c r="G1334" s="348">
        <v>0</v>
      </c>
      <c r="H1334" s="348">
        <v>0</v>
      </c>
      <c r="I1334" s="348">
        <v>0</v>
      </c>
      <c r="J1334" s="348">
        <v>95</v>
      </c>
      <c r="K1334" s="348">
        <v>0</v>
      </c>
      <c r="L1334" s="348">
        <v>0</v>
      </c>
      <c r="M1334" s="348">
        <v>0</v>
      </c>
      <c r="N1334" s="348">
        <v>108</v>
      </c>
      <c r="O1334" s="348">
        <v>13</v>
      </c>
      <c r="P1334" s="348">
        <v>244</v>
      </c>
      <c r="Q1334" s="348">
        <v>33</v>
      </c>
      <c r="R1334" s="350">
        <f t="shared" si="199"/>
        <v>581</v>
      </c>
      <c r="S1334" s="348">
        <f t="shared" si="200"/>
        <v>46</v>
      </c>
      <c r="T1334" s="348"/>
      <c r="U1334" s="348"/>
      <c r="V1334" s="348"/>
      <c r="W1334" s="349"/>
      <c r="X1334" s="349"/>
    </row>
    <row r="1335" spans="1:24" ht="12.75">
      <c r="A1335" s="346" t="s">
        <v>511</v>
      </c>
      <c r="B1335" s="347" t="s">
        <v>169</v>
      </c>
      <c r="C1335" s="347" t="s">
        <v>813</v>
      </c>
      <c r="D1335" s="347">
        <v>2019</v>
      </c>
      <c r="E1335" s="347" t="s">
        <v>775</v>
      </c>
      <c r="F1335" s="348">
        <v>147</v>
      </c>
      <c r="G1335" s="348">
        <v>0</v>
      </c>
      <c r="H1335" s="348">
        <v>0</v>
      </c>
      <c r="I1335" s="348">
        <v>0</v>
      </c>
      <c r="J1335" s="348">
        <v>104</v>
      </c>
      <c r="K1335" s="348">
        <v>0</v>
      </c>
      <c r="L1335" s="348">
        <v>0</v>
      </c>
      <c r="M1335" s="348">
        <v>0</v>
      </c>
      <c r="N1335" s="348">
        <v>120</v>
      </c>
      <c r="O1335" s="348">
        <v>3</v>
      </c>
      <c r="P1335" s="348">
        <v>267</v>
      </c>
      <c r="Q1335" s="348">
        <v>82</v>
      </c>
      <c r="R1335" s="350">
        <f t="shared" si="199"/>
        <v>638</v>
      </c>
      <c r="S1335" s="348">
        <f t="shared" si="200"/>
        <v>85</v>
      </c>
      <c r="T1335" s="348"/>
      <c r="U1335" s="348"/>
      <c r="V1335" s="348"/>
      <c r="W1335" s="349"/>
      <c r="X1335" s="349"/>
    </row>
    <row r="1336" spans="1:24" ht="12.75">
      <c r="A1336" s="346" t="s">
        <v>512</v>
      </c>
      <c r="B1336" s="347" t="s">
        <v>169</v>
      </c>
      <c r="C1336" s="347" t="s">
        <v>813</v>
      </c>
      <c r="D1336" s="347">
        <v>2019</v>
      </c>
      <c r="E1336" s="347" t="s">
        <v>775</v>
      </c>
      <c r="F1336" s="348">
        <v>45</v>
      </c>
      <c r="G1336" s="348">
        <v>80</v>
      </c>
      <c r="H1336" s="348">
        <v>76</v>
      </c>
      <c r="I1336" s="348">
        <v>4</v>
      </c>
      <c r="J1336" s="348">
        <v>32</v>
      </c>
      <c r="K1336" s="348">
        <v>83</v>
      </c>
      <c r="L1336" s="348">
        <v>30</v>
      </c>
      <c r="M1336" s="348">
        <v>53</v>
      </c>
      <c r="N1336" s="348">
        <v>37</v>
      </c>
      <c r="O1336" s="348">
        <v>1</v>
      </c>
      <c r="P1336" s="348">
        <v>90</v>
      </c>
      <c r="Q1336" s="348">
        <v>538</v>
      </c>
      <c r="R1336" s="350">
        <f t="shared" si="199"/>
        <v>204</v>
      </c>
      <c r="S1336" s="348">
        <f t="shared" si="200"/>
        <v>702</v>
      </c>
      <c r="T1336" s="348"/>
      <c r="U1336" s="348"/>
      <c r="V1336" s="348"/>
      <c r="W1336" s="349"/>
      <c r="X1336" s="349"/>
    </row>
    <row r="1337" spans="1:24" ht="12.75">
      <c r="A1337" s="346" t="s">
        <v>513</v>
      </c>
      <c r="B1337" s="347" t="s">
        <v>169</v>
      </c>
      <c r="C1337" s="347" t="s">
        <v>813</v>
      </c>
      <c r="D1337" s="347">
        <v>2019</v>
      </c>
      <c r="E1337" s="347" t="s">
        <v>775</v>
      </c>
      <c r="F1337" s="348">
        <v>1</v>
      </c>
      <c r="G1337" s="348">
        <v>0</v>
      </c>
      <c r="H1337" s="348">
        <v>0</v>
      </c>
      <c r="I1337" s="348">
        <v>0</v>
      </c>
      <c r="J1337" s="348">
        <v>1</v>
      </c>
      <c r="K1337" s="348">
        <v>0</v>
      </c>
      <c r="L1337" s="348">
        <v>0</v>
      </c>
      <c r="M1337" s="348">
        <v>0</v>
      </c>
      <c r="N1337" s="348">
        <v>0</v>
      </c>
      <c r="O1337" s="348">
        <v>0</v>
      </c>
      <c r="P1337" s="348">
        <v>0</v>
      </c>
      <c r="Q1337" s="348">
        <v>12</v>
      </c>
      <c r="R1337" s="350">
        <f t="shared" si="199"/>
        <v>2</v>
      </c>
      <c r="S1337" s="348">
        <f t="shared" si="200"/>
        <v>12</v>
      </c>
      <c r="T1337" s="348"/>
      <c r="U1337" s="348"/>
      <c r="V1337" s="348"/>
      <c r="W1337" s="349"/>
      <c r="X1337" s="349"/>
    </row>
    <row r="1338" spans="1:24" ht="12.75">
      <c r="A1338" s="346" t="s">
        <v>514</v>
      </c>
      <c r="B1338" s="347" t="s">
        <v>169</v>
      </c>
      <c r="C1338" s="347" t="s">
        <v>813</v>
      </c>
      <c r="D1338" s="347">
        <v>2019</v>
      </c>
      <c r="E1338" s="347" t="s">
        <v>775</v>
      </c>
      <c r="F1338" s="348">
        <v>68</v>
      </c>
      <c r="G1338" s="348">
        <v>0</v>
      </c>
      <c r="H1338" s="348">
        <v>0</v>
      </c>
      <c r="I1338" s="348">
        <v>0</v>
      </c>
      <c r="J1338" s="348">
        <v>49</v>
      </c>
      <c r="K1338" s="348">
        <v>0</v>
      </c>
      <c r="L1338" s="348">
        <v>0</v>
      </c>
      <c r="M1338" s="348">
        <v>0</v>
      </c>
      <c r="N1338" s="348">
        <v>56</v>
      </c>
      <c r="O1338" s="348">
        <v>0</v>
      </c>
      <c r="P1338" s="348">
        <v>140</v>
      </c>
      <c r="Q1338" s="348">
        <v>115</v>
      </c>
      <c r="R1338" s="350">
        <f t="shared" si="199"/>
        <v>313</v>
      </c>
      <c r="S1338" s="348">
        <f t="shared" si="200"/>
        <v>115</v>
      </c>
      <c r="T1338" s="348"/>
      <c r="U1338" s="348"/>
      <c r="V1338" s="348"/>
      <c r="W1338" s="349"/>
      <c r="X1338" s="349"/>
    </row>
    <row r="1339" spans="1:24" ht="12.75">
      <c r="A1339" s="346" t="s">
        <v>515</v>
      </c>
      <c r="B1339" s="347" t="s">
        <v>169</v>
      </c>
      <c r="C1339" s="347" t="s">
        <v>813</v>
      </c>
      <c r="D1339" s="347">
        <v>2019</v>
      </c>
      <c r="E1339" s="347" t="s">
        <v>775</v>
      </c>
      <c r="F1339" s="348">
        <v>283</v>
      </c>
      <c r="G1339" s="348">
        <v>0</v>
      </c>
      <c r="H1339" s="348">
        <v>0</v>
      </c>
      <c r="I1339" s="348">
        <v>0</v>
      </c>
      <c r="J1339" s="348">
        <v>195</v>
      </c>
      <c r="K1339" s="348">
        <v>0</v>
      </c>
      <c r="L1339" s="348">
        <v>0</v>
      </c>
      <c r="M1339" s="348">
        <v>0</v>
      </c>
      <c r="N1339" s="348">
        <v>224</v>
      </c>
      <c r="O1339" s="348">
        <v>5</v>
      </c>
      <c r="P1339" s="348">
        <v>525</v>
      </c>
      <c r="Q1339" s="348">
        <v>257</v>
      </c>
      <c r="R1339" s="350">
        <f t="shared" si="199"/>
        <v>1227</v>
      </c>
      <c r="S1339" s="348">
        <f t="shared" si="200"/>
        <v>262</v>
      </c>
      <c r="T1339" s="348"/>
      <c r="U1339" s="348"/>
      <c r="V1339" s="348"/>
      <c r="W1339" s="348"/>
      <c r="X1339" s="349"/>
    </row>
    <row r="1340" spans="1:24" ht="12.75">
      <c r="A1340" s="346" t="s">
        <v>516</v>
      </c>
      <c r="B1340" s="347" t="s">
        <v>169</v>
      </c>
      <c r="C1340" s="347" t="s">
        <v>813</v>
      </c>
      <c r="D1340" s="347">
        <v>2019</v>
      </c>
      <c r="E1340" s="347" t="s">
        <v>775</v>
      </c>
      <c r="F1340" s="348">
        <v>3</v>
      </c>
      <c r="G1340" s="348">
        <v>0</v>
      </c>
      <c r="H1340" s="348">
        <v>0</v>
      </c>
      <c r="I1340" s="348">
        <v>0</v>
      </c>
      <c r="J1340" s="348">
        <v>2</v>
      </c>
      <c r="K1340" s="348">
        <v>0</v>
      </c>
      <c r="L1340" s="348">
        <v>0</v>
      </c>
      <c r="M1340" s="348">
        <v>0</v>
      </c>
      <c r="N1340" s="348">
        <v>3</v>
      </c>
      <c r="O1340" s="348">
        <v>2</v>
      </c>
      <c r="P1340" s="348">
        <v>6</v>
      </c>
      <c r="Q1340" s="348">
        <v>3</v>
      </c>
      <c r="R1340" s="350">
        <f t="shared" si="199"/>
        <v>14</v>
      </c>
      <c r="S1340" s="348">
        <f t="shared" si="200"/>
        <v>5</v>
      </c>
      <c r="T1340" s="348"/>
      <c r="U1340" s="348"/>
      <c r="V1340" s="348"/>
      <c r="W1340" s="349"/>
      <c r="X1340" s="349"/>
    </row>
    <row r="1341" spans="1:24" ht="12.75">
      <c r="A1341" s="346" t="s">
        <v>517</v>
      </c>
      <c r="B1341" s="347" t="s">
        <v>169</v>
      </c>
      <c r="C1341" s="347" t="s">
        <v>813</v>
      </c>
      <c r="D1341" s="347">
        <v>2019</v>
      </c>
      <c r="E1341" s="347" t="s">
        <v>775</v>
      </c>
      <c r="F1341" s="348">
        <v>1</v>
      </c>
      <c r="G1341" s="348">
        <v>36</v>
      </c>
      <c r="H1341" s="348">
        <v>36</v>
      </c>
      <c r="I1341" s="348">
        <v>0</v>
      </c>
      <c r="J1341" s="348">
        <v>1</v>
      </c>
      <c r="K1341" s="348">
        <v>28</v>
      </c>
      <c r="L1341" s="348">
        <v>28</v>
      </c>
      <c r="M1341" s="348">
        <v>0</v>
      </c>
      <c r="N1341" s="348">
        <v>0</v>
      </c>
      <c r="O1341" s="348">
        <v>1</v>
      </c>
      <c r="P1341" s="348">
        <v>0</v>
      </c>
      <c r="Q1341" s="348">
        <v>29</v>
      </c>
      <c r="R1341" s="350">
        <f t="shared" si="199"/>
        <v>2</v>
      </c>
      <c r="S1341" s="348">
        <f t="shared" si="200"/>
        <v>94</v>
      </c>
      <c r="T1341" s="348"/>
      <c r="U1341" s="348"/>
      <c r="V1341" s="348"/>
      <c r="W1341" s="349"/>
      <c r="X1341" s="349"/>
    </row>
    <row r="1342" spans="1:24" ht="12.75">
      <c r="A1342" s="346" t="s">
        <v>518</v>
      </c>
      <c r="B1342" s="347" t="s">
        <v>169</v>
      </c>
      <c r="C1342" s="347" t="s">
        <v>813</v>
      </c>
      <c r="D1342" s="347">
        <v>2019</v>
      </c>
      <c r="E1342" s="347" t="s">
        <v>775</v>
      </c>
      <c r="F1342" s="348">
        <v>160</v>
      </c>
      <c r="G1342" s="348">
        <v>3</v>
      </c>
      <c r="H1342" s="348">
        <v>0</v>
      </c>
      <c r="I1342" s="348">
        <v>3</v>
      </c>
      <c r="J1342" s="348">
        <v>113</v>
      </c>
      <c r="K1342" s="348">
        <v>0</v>
      </c>
      <c r="L1342" s="348">
        <v>0</v>
      </c>
      <c r="M1342" s="348">
        <v>0</v>
      </c>
      <c r="N1342" s="348">
        <v>126</v>
      </c>
      <c r="O1342" s="348">
        <v>0</v>
      </c>
      <c r="P1342" s="348">
        <v>270</v>
      </c>
      <c r="Q1342" s="348">
        <v>77</v>
      </c>
      <c r="R1342" s="350">
        <f t="shared" si="199"/>
        <v>669</v>
      </c>
      <c r="S1342" s="348">
        <f t="shared" si="200"/>
        <v>80</v>
      </c>
      <c r="T1342" s="352">
        <f>SUM(G1309:G1342)</f>
        <v>417</v>
      </c>
      <c r="U1342" s="352">
        <f>SUM(K1309:K1342)</f>
        <v>225</v>
      </c>
      <c r="V1342" s="352">
        <f>SUM(O1309:O1342)</f>
        <v>790</v>
      </c>
      <c r="W1342" s="352">
        <f>SUM(Q1309:Q1342)</f>
        <v>7862</v>
      </c>
      <c r="X1342" s="352">
        <f>T1342+U1342+V1342+W1342</f>
        <v>9294</v>
      </c>
    </row>
    <row r="1343" spans="1:24" ht="12.75">
      <c r="A1343" s="449"/>
      <c r="B1343" s="450"/>
      <c r="C1343" s="450"/>
      <c r="D1343" s="450"/>
      <c r="E1343" s="450"/>
      <c r="F1343" s="451"/>
      <c r="G1343" s="451"/>
      <c r="H1343" s="452"/>
      <c r="I1343" s="451"/>
      <c r="J1343" s="451"/>
      <c r="K1343" s="451"/>
      <c r="L1343" s="451"/>
      <c r="M1343" s="451"/>
      <c r="N1343" s="451"/>
      <c r="O1343" s="451"/>
      <c r="P1343" s="451"/>
      <c r="Q1343" s="452"/>
      <c r="R1343" s="182"/>
      <c r="S1343" s="456" t="s">
        <v>783</v>
      </c>
      <c r="T1343" s="466">
        <f t="shared" ref="T1343:X1343" si="201">SUM(T1154:T1342)</f>
        <v>2490</v>
      </c>
      <c r="U1343" s="466">
        <f t="shared" si="201"/>
        <v>1636</v>
      </c>
      <c r="V1343" s="466">
        <f t="shared" si="201"/>
        <v>15673</v>
      </c>
      <c r="W1343" s="466">
        <f t="shared" si="201"/>
        <v>45719</v>
      </c>
      <c r="X1343" s="466">
        <f t="shared" si="201"/>
        <v>65518</v>
      </c>
    </row>
    <row r="1344" spans="1:24" ht="12.75">
      <c r="A1344" s="449"/>
      <c r="B1344" s="450"/>
      <c r="C1344" s="450"/>
      <c r="D1344" s="450"/>
      <c r="E1344" s="450"/>
      <c r="F1344" s="451"/>
      <c r="G1344" s="451"/>
      <c r="H1344" s="452"/>
      <c r="I1344" s="451"/>
      <c r="J1344" s="451"/>
      <c r="K1344" s="451"/>
      <c r="L1344" s="451"/>
      <c r="M1344" s="451"/>
      <c r="N1344" s="451"/>
      <c r="O1344" s="451"/>
      <c r="P1344" s="451"/>
      <c r="Q1344" s="452"/>
      <c r="R1344" s="182"/>
      <c r="S1344" s="362"/>
      <c r="T1344" s="97"/>
      <c r="U1344" s="97"/>
      <c r="V1344" s="97"/>
      <c r="W1344" s="97"/>
      <c r="X1344" s="97"/>
    </row>
    <row r="1345" spans="1:24" ht="12.75">
      <c r="A1345" s="467" t="s">
        <v>840</v>
      </c>
      <c r="B1345" s="468" t="s">
        <v>170</v>
      </c>
      <c r="C1345" s="468" t="s">
        <v>799</v>
      </c>
      <c r="D1345" s="468">
        <v>2013</v>
      </c>
      <c r="E1345" s="468" t="s">
        <v>775</v>
      </c>
      <c r="F1345" s="469">
        <v>74</v>
      </c>
      <c r="G1345" s="469">
        <v>0</v>
      </c>
      <c r="H1345" s="470">
        <v>0</v>
      </c>
      <c r="I1345" s="469">
        <v>0</v>
      </c>
      <c r="J1345" s="469">
        <v>52</v>
      </c>
      <c r="K1345" s="469">
        <v>0</v>
      </c>
      <c r="L1345" s="469">
        <v>0</v>
      </c>
      <c r="M1345" s="469">
        <v>0</v>
      </c>
      <c r="N1345" s="469">
        <v>57</v>
      </c>
      <c r="O1345" s="469">
        <v>2</v>
      </c>
      <c r="P1345" s="469">
        <v>125</v>
      </c>
      <c r="Q1345" s="470">
        <v>10</v>
      </c>
      <c r="R1345" s="381">
        <f t="shared" ref="R1345:R1385" si="202">F1345+J1345+N1345+P1345</f>
        <v>308</v>
      </c>
      <c r="S1345" s="382">
        <f t="shared" ref="S1345:S1385" si="203">K1345+O1345+G1345+Q1345</f>
        <v>12</v>
      </c>
      <c r="T1345" s="471"/>
      <c r="U1345" s="471"/>
      <c r="V1345" s="471"/>
      <c r="W1345" s="471"/>
      <c r="X1345" s="471"/>
    </row>
    <row r="1346" spans="1:24" ht="12.75">
      <c r="A1346" s="467" t="s">
        <v>841</v>
      </c>
      <c r="B1346" s="468" t="s">
        <v>170</v>
      </c>
      <c r="C1346" s="468" t="s">
        <v>799</v>
      </c>
      <c r="D1346" s="468">
        <v>2013</v>
      </c>
      <c r="E1346" s="468" t="s">
        <v>775</v>
      </c>
      <c r="F1346" s="469">
        <v>10</v>
      </c>
      <c r="G1346" s="469">
        <v>0</v>
      </c>
      <c r="H1346" s="470">
        <v>0</v>
      </c>
      <c r="I1346" s="469">
        <v>0</v>
      </c>
      <c r="J1346" s="469">
        <v>7</v>
      </c>
      <c r="K1346" s="469">
        <v>0</v>
      </c>
      <c r="L1346" s="469">
        <v>0</v>
      </c>
      <c r="M1346" s="469">
        <v>0</v>
      </c>
      <c r="N1346" s="469">
        <v>10</v>
      </c>
      <c r="O1346" s="469">
        <v>0</v>
      </c>
      <c r="P1346" s="469">
        <v>24</v>
      </c>
      <c r="Q1346" s="470">
        <v>0</v>
      </c>
      <c r="R1346" s="381">
        <f t="shared" si="202"/>
        <v>51</v>
      </c>
      <c r="S1346" s="382">
        <f t="shared" si="203"/>
        <v>0</v>
      </c>
      <c r="T1346" s="471"/>
      <c r="U1346" s="471"/>
      <c r="V1346" s="471"/>
      <c r="W1346" s="471"/>
      <c r="X1346" s="471"/>
    </row>
    <row r="1347" spans="1:24" ht="12.75">
      <c r="A1347" s="467" t="s">
        <v>842</v>
      </c>
      <c r="B1347" s="468" t="s">
        <v>170</v>
      </c>
      <c r="C1347" s="468" t="s">
        <v>799</v>
      </c>
      <c r="D1347" s="468">
        <v>2013</v>
      </c>
      <c r="E1347" s="468" t="s">
        <v>775</v>
      </c>
      <c r="F1347" s="469">
        <v>953</v>
      </c>
      <c r="G1347" s="469">
        <v>0</v>
      </c>
      <c r="H1347" s="470">
        <v>0</v>
      </c>
      <c r="I1347" s="469">
        <v>0</v>
      </c>
      <c r="J1347" s="469">
        <v>668</v>
      </c>
      <c r="K1347" s="469">
        <v>0</v>
      </c>
      <c r="L1347" s="469">
        <v>0</v>
      </c>
      <c r="M1347" s="469">
        <v>0</v>
      </c>
      <c r="N1347" s="469">
        <v>705</v>
      </c>
      <c r="O1347" s="469">
        <v>0</v>
      </c>
      <c r="P1347" s="469">
        <v>1464</v>
      </c>
      <c r="Q1347" s="470">
        <v>246</v>
      </c>
      <c r="R1347" s="381">
        <f t="shared" si="202"/>
        <v>3790</v>
      </c>
      <c r="S1347" s="382">
        <f t="shared" si="203"/>
        <v>246</v>
      </c>
      <c r="T1347" s="471"/>
      <c r="U1347" s="471"/>
      <c r="V1347" s="471"/>
      <c r="W1347" s="471"/>
      <c r="X1347" s="471"/>
    </row>
    <row r="1348" spans="1:24" ht="12.75">
      <c r="A1348" s="467" t="s">
        <v>843</v>
      </c>
      <c r="B1348" s="468" t="s">
        <v>170</v>
      </c>
      <c r="C1348" s="468" t="s">
        <v>799</v>
      </c>
      <c r="D1348" s="468">
        <v>2013</v>
      </c>
      <c r="E1348" s="468" t="s">
        <v>775</v>
      </c>
      <c r="F1348" s="469">
        <v>1365</v>
      </c>
      <c r="G1348" s="469">
        <v>0</v>
      </c>
      <c r="H1348" s="470">
        <v>0</v>
      </c>
      <c r="I1348" s="469">
        <v>0</v>
      </c>
      <c r="J1348" s="469">
        <v>957</v>
      </c>
      <c r="K1348" s="469">
        <v>18</v>
      </c>
      <c r="L1348" s="469">
        <v>4</v>
      </c>
      <c r="M1348" s="469">
        <v>14</v>
      </c>
      <c r="N1348" s="469">
        <v>936</v>
      </c>
      <c r="O1348" s="469">
        <v>2</v>
      </c>
      <c r="P1348" s="469">
        <v>1773</v>
      </c>
      <c r="Q1348" s="470">
        <v>241</v>
      </c>
      <c r="R1348" s="381">
        <f t="shared" si="202"/>
        <v>5031</v>
      </c>
      <c r="S1348" s="382">
        <f t="shared" si="203"/>
        <v>261</v>
      </c>
      <c r="T1348" s="471"/>
      <c r="U1348" s="471"/>
      <c r="V1348" s="471"/>
      <c r="W1348" s="471"/>
      <c r="X1348" s="471"/>
    </row>
    <row r="1349" spans="1:24" ht="12.75">
      <c r="A1349" s="467" t="s">
        <v>844</v>
      </c>
      <c r="B1349" s="468" t="s">
        <v>170</v>
      </c>
      <c r="C1349" s="468" t="s">
        <v>799</v>
      </c>
      <c r="D1349" s="468">
        <v>2013</v>
      </c>
      <c r="E1349" s="468" t="s">
        <v>775</v>
      </c>
      <c r="F1349" s="469">
        <v>1040</v>
      </c>
      <c r="G1349" s="469">
        <v>0</v>
      </c>
      <c r="H1349" s="470">
        <v>0</v>
      </c>
      <c r="I1349" s="469">
        <v>0</v>
      </c>
      <c r="J1349" s="469">
        <v>729</v>
      </c>
      <c r="K1349" s="469">
        <v>0</v>
      </c>
      <c r="L1349" s="469">
        <v>0</v>
      </c>
      <c r="M1349" s="469">
        <v>0</v>
      </c>
      <c r="N1349" s="469">
        <v>709</v>
      </c>
      <c r="O1349" s="469">
        <v>0</v>
      </c>
      <c r="P1349" s="469">
        <v>1335</v>
      </c>
      <c r="Q1349" s="470">
        <v>0</v>
      </c>
      <c r="R1349" s="381">
        <f t="shared" si="202"/>
        <v>3813</v>
      </c>
      <c r="S1349" s="382">
        <f t="shared" si="203"/>
        <v>0</v>
      </c>
      <c r="T1349" s="471"/>
      <c r="U1349" s="471"/>
      <c r="V1349" s="471"/>
      <c r="W1349" s="471"/>
      <c r="X1349" s="471"/>
    </row>
    <row r="1350" spans="1:24" ht="12.75">
      <c r="A1350" s="467" t="s">
        <v>845</v>
      </c>
      <c r="B1350" s="468" t="s">
        <v>170</v>
      </c>
      <c r="C1350" s="468" t="s">
        <v>799</v>
      </c>
      <c r="D1350" s="468">
        <v>2013</v>
      </c>
      <c r="E1350" s="468" t="s">
        <v>775</v>
      </c>
      <c r="F1350" s="469">
        <v>2268</v>
      </c>
      <c r="G1350" s="469">
        <v>0</v>
      </c>
      <c r="H1350" s="470">
        <v>0</v>
      </c>
      <c r="I1350" s="469">
        <v>0</v>
      </c>
      <c r="J1350" s="469">
        <v>1590</v>
      </c>
      <c r="K1350" s="469">
        <v>0</v>
      </c>
      <c r="L1350" s="469">
        <v>0</v>
      </c>
      <c r="M1350" s="469">
        <v>0</v>
      </c>
      <c r="N1350" s="469">
        <v>1577</v>
      </c>
      <c r="O1350" s="469">
        <v>142</v>
      </c>
      <c r="P1350" s="469">
        <v>3043</v>
      </c>
      <c r="Q1350" s="470">
        <v>384</v>
      </c>
      <c r="R1350" s="381">
        <f t="shared" si="202"/>
        <v>8478</v>
      </c>
      <c r="S1350" s="382">
        <f t="shared" si="203"/>
        <v>526</v>
      </c>
      <c r="T1350" s="472">
        <f>SUM(G1345:G1350)</f>
        <v>0</v>
      </c>
      <c r="U1350" s="472">
        <f>SUM(K1345:K1350)</f>
        <v>18</v>
      </c>
      <c r="V1350" s="472">
        <f>SUM(O1345:O1350)</f>
        <v>146</v>
      </c>
      <c r="W1350" s="472">
        <f>SUM(Q1345:Q1350)</f>
        <v>881</v>
      </c>
      <c r="X1350" s="472">
        <f>T1350+U1350+V1350+W1350</f>
        <v>1045</v>
      </c>
    </row>
    <row r="1351" spans="1:24" ht="12.75">
      <c r="A1351" s="417" t="s">
        <v>519</v>
      </c>
      <c r="B1351" s="418" t="s">
        <v>170</v>
      </c>
      <c r="C1351" s="418" t="s">
        <v>799</v>
      </c>
      <c r="D1351" s="418">
        <v>2014</v>
      </c>
      <c r="E1351" s="418" t="s">
        <v>775</v>
      </c>
      <c r="F1351" s="419">
        <v>74</v>
      </c>
      <c r="G1351" s="419">
        <v>0</v>
      </c>
      <c r="H1351" s="420">
        <v>0</v>
      </c>
      <c r="I1351" s="419">
        <v>0</v>
      </c>
      <c r="J1351" s="419">
        <v>52</v>
      </c>
      <c r="K1351" s="419">
        <v>0</v>
      </c>
      <c r="L1351" s="419">
        <v>0</v>
      </c>
      <c r="M1351" s="419">
        <v>0</v>
      </c>
      <c r="N1351" s="419">
        <v>57</v>
      </c>
      <c r="O1351" s="419">
        <v>0</v>
      </c>
      <c r="P1351" s="419">
        <v>125</v>
      </c>
      <c r="Q1351" s="420">
        <v>13</v>
      </c>
      <c r="R1351" s="311">
        <f t="shared" si="202"/>
        <v>308</v>
      </c>
      <c r="S1351" s="363">
        <f t="shared" si="203"/>
        <v>13</v>
      </c>
      <c r="T1351" s="421"/>
      <c r="U1351" s="421"/>
      <c r="V1351" s="421"/>
      <c r="W1351" s="421"/>
      <c r="X1351" s="421"/>
    </row>
    <row r="1352" spans="1:24" ht="12.75">
      <c r="A1352" s="417" t="s">
        <v>521</v>
      </c>
      <c r="B1352" s="418" t="s">
        <v>170</v>
      </c>
      <c r="C1352" s="418" t="s">
        <v>799</v>
      </c>
      <c r="D1352" s="418">
        <v>2014</v>
      </c>
      <c r="E1352" s="418" t="s">
        <v>775</v>
      </c>
      <c r="F1352" s="419">
        <v>953</v>
      </c>
      <c r="G1352" s="419">
        <v>0</v>
      </c>
      <c r="H1352" s="420">
        <v>0</v>
      </c>
      <c r="I1352" s="419">
        <v>0</v>
      </c>
      <c r="J1352" s="419">
        <v>668</v>
      </c>
      <c r="K1352" s="419">
        <v>0</v>
      </c>
      <c r="L1352" s="419">
        <v>0</v>
      </c>
      <c r="M1352" s="419">
        <v>0</v>
      </c>
      <c r="N1352" s="419">
        <v>705</v>
      </c>
      <c r="O1352" s="419">
        <v>0</v>
      </c>
      <c r="P1352" s="419">
        <v>1464</v>
      </c>
      <c r="Q1352" s="420">
        <v>286</v>
      </c>
      <c r="R1352" s="311">
        <f t="shared" si="202"/>
        <v>3790</v>
      </c>
      <c r="S1352" s="363">
        <f t="shared" si="203"/>
        <v>286</v>
      </c>
      <c r="T1352" s="421"/>
      <c r="U1352" s="421"/>
      <c r="V1352" s="421"/>
      <c r="W1352" s="421"/>
      <c r="X1352" s="421"/>
    </row>
    <row r="1353" spans="1:24" ht="12.75">
      <c r="A1353" s="417" t="s">
        <v>523</v>
      </c>
      <c r="B1353" s="418" t="s">
        <v>170</v>
      </c>
      <c r="C1353" s="418" t="s">
        <v>799</v>
      </c>
      <c r="D1353" s="418">
        <v>2014</v>
      </c>
      <c r="E1353" s="418" t="s">
        <v>775</v>
      </c>
      <c r="F1353" s="419">
        <v>1365</v>
      </c>
      <c r="G1353" s="419">
        <v>0</v>
      </c>
      <c r="H1353" s="420">
        <v>0</v>
      </c>
      <c r="I1353" s="419">
        <v>0</v>
      </c>
      <c r="J1353" s="419">
        <v>957</v>
      </c>
      <c r="K1353" s="419">
        <v>17</v>
      </c>
      <c r="L1353" s="419">
        <v>2</v>
      </c>
      <c r="M1353" s="419">
        <v>15</v>
      </c>
      <c r="N1353" s="419">
        <v>936</v>
      </c>
      <c r="O1353" s="419">
        <v>0</v>
      </c>
      <c r="P1353" s="419">
        <v>1773</v>
      </c>
      <c r="Q1353" s="420">
        <v>326</v>
      </c>
      <c r="R1353" s="311">
        <f t="shared" si="202"/>
        <v>5031</v>
      </c>
      <c r="S1353" s="363">
        <f t="shared" si="203"/>
        <v>343</v>
      </c>
      <c r="T1353" s="421"/>
      <c r="U1353" s="421"/>
      <c r="V1353" s="421"/>
      <c r="W1353" s="421"/>
      <c r="X1353" s="421"/>
    </row>
    <row r="1354" spans="1:24" ht="12.75">
      <c r="A1354" s="417" t="s">
        <v>524</v>
      </c>
      <c r="B1354" s="418" t="s">
        <v>170</v>
      </c>
      <c r="C1354" s="418" t="s">
        <v>799</v>
      </c>
      <c r="D1354" s="418">
        <v>2014</v>
      </c>
      <c r="E1354" s="418" t="s">
        <v>775</v>
      </c>
      <c r="F1354" s="419">
        <v>1040</v>
      </c>
      <c r="G1354" s="419">
        <v>0</v>
      </c>
      <c r="H1354" s="420">
        <v>0</v>
      </c>
      <c r="I1354" s="419">
        <v>0</v>
      </c>
      <c r="J1354" s="419">
        <v>729</v>
      </c>
      <c r="K1354" s="419">
        <v>0</v>
      </c>
      <c r="L1354" s="419">
        <v>0</v>
      </c>
      <c r="M1354" s="419">
        <v>0</v>
      </c>
      <c r="N1354" s="419">
        <v>709</v>
      </c>
      <c r="O1354" s="419">
        <v>37</v>
      </c>
      <c r="P1354" s="419">
        <v>1335</v>
      </c>
      <c r="Q1354" s="420">
        <v>360</v>
      </c>
      <c r="R1354" s="311">
        <f t="shared" si="202"/>
        <v>3813</v>
      </c>
      <c r="S1354" s="363">
        <f t="shared" si="203"/>
        <v>397</v>
      </c>
      <c r="T1354" s="421"/>
      <c r="U1354" s="421"/>
      <c r="V1354" s="421"/>
      <c r="W1354" s="421"/>
      <c r="X1354" s="421"/>
    </row>
    <row r="1355" spans="1:24" ht="12.75">
      <c r="A1355" s="417" t="s">
        <v>525</v>
      </c>
      <c r="B1355" s="418" t="s">
        <v>170</v>
      </c>
      <c r="C1355" s="418" t="s">
        <v>799</v>
      </c>
      <c r="D1355" s="418">
        <v>2014</v>
      </c>
      <c r="E1355" s="418" t="s">
        <v>775</v>
      </c>
      <c r="F1355" s="419">
        <v>2268</v>
      </c>
      <c r="G1355" s="419">
        <v>9</v>
      </c>
      <c r="H1355" s="420">
        <v>9</v>
      </c>
      <c r="I1355" s="419">
        <v>0</v>
      </c>
      <c r="J1355" s="419">
        <v>1590</v>
      </c>
      <c r="K1355" s="419">
        <v>14</v>
      </c>
      <c r="L1355" s="419">
        <v>14</v>
      </c>
      <c r="M1355" s="419">
        <v>0</v>
      </c>
      <c r="N1355" s="419">
        <v>1577</v>
      </c>
      <c r="O1355" s="419">
        <v>438</v>
      </c>
      <c r="P1355" s="419">
        <v>3043</v>
      </c>
      <c r="Q1355" s="420">
        <v>333</v>
      </c>
      <c r="R1355" s="311">
        <f t="shared" si="202"/>
        <v>8478</v>
      </c>
      <c r="S1355" s="363">
        <f t="shared" si="203"/>
        <v>794</v>
      </c>
      <c r="T1355" s="411">
        <f>SUM(G1351:G1355)</f>
        <v>9</v>
      </c>
      <c r="U1355" s="411">
        <f>SUM(K1351:K1355)</f>
        <v>31</v>
      </c>
      <c r="V1355" s="411">
        <f>SUM(O1351:O1355)</f>
        <v>475</v>
      </c>
      <c r="W1355" s="411">
        <f>SUM(Q1351:Q1355)</f>
        <v>1318</v>
      </c>
      <c r="X1355" s="411">
        <f>T1355+U1355+V1355+W1355</f>
        <v>1833</v>
      </c>
    </row>
    <row r="1356" spans="1:24" ht="12.75">
      <c r="A1356" s="422" t="s">
        <v>519</v>
      </c>
      <c r="B1356" s="423" t="s">
        <v>170</v>
      </c>
      <c r="C1356" s="423" t="s">
        <v>799</v>
      </c>
      <c r="D1356" s="423">
        <v>2015</v>
      </c>
      <c r="E1356" s="423" t="s">
        <v>775</v>
      </c>
      <c r="F1356" s="424">
        <v>74</v>
      </c>
      <c r="G1356" s="424">
        <v>0</v>
      </c>
      <c r="H1356" s="425">
        <v>0</v>
      </c>
      <c r="I1356" s="424">
        <v>0</v>
      </c>
      <c r="J1356" s="424">
        <v>52</v>
      </c>
      <c r="K1356" s="424">
        <v>0</v>
      </c>
      <c r="L1356" s="424">
        <v>0</v>
      </c>
      <c r="M1356" s="424">
        <v>0</v>
      </c>
      <c r="N1356" s="424">
        <v>57</v>
      </c>
      <c r="O1356" s="424">
        <v>0</v>
      </c>
      <c r="P1356" s="424">
        <v>125</v>
      </c>
      <c r="Q1356" s="425">
        <v>10</v>
      </c>
      <c r="R1356" s="319">
        <f t="shared" si="202"/>
        <v>308</v>
      </c>
      <c r="S1356" s="364">
        <f t="shared" si="203"/>
        <v>10</v>
      </c>
      <c r="T1356" s="426"/>
      <c r="U1356" s="426"/>
      <c r="V1356" s="426"/>
      <c r="W1356" s="426"/>
      <c r="X1356" s="426"/>
    </row>
    <row r="1357" spans="1:24" ht="12.75">
      <c r="A1357" s="422" t="s">
        <v>521</v>
      </c>
      <c r="B1357" s="473" t="s">
        <v>170</v>
      </c>
      <c r="C1357" s="423" t="s">
        <v>799</v>
      </c>
      <c r="D1357" s="423">
        <v>2015</v>
      </c>
      <c r="E1357" s="423" t="s">
        <v>775</v>
      </c>
      <c r="F1357" s="424">
        <v>953</v>
      </c>
      <c r="G1357" s="424">
        <v>0</v>
      </c>
      <c r="H1357" s="425">
        <v>0</v>
      </c>
      <c r="I1357" s="424">
        <v>0</v>
      </c>
      <c r="J1357" s="424">
        <v>668</v>
      </c>
      <c r="K1357" s="424">
        <v>0</v>
      </c>
      <c r="L1357" s="424">
        <v>0</v>
      </c>
      <c r="M1357" s="424">
        <v>0</v>
      </c>
      <c r="N1357" s="424">
        <v>705</v>
      </c>
      <c r="O1357" s="424">
        <v>0</v>
      </c>
      <c r="P1357" s="424">
        <v>1464</v>
      </c>
      <c r="Q1357" s="425">
        <v>234</v>
      </c>
      <c r="R1357" s="319">
        <f t="shared" si="202"/>
        <v>3790</v>
      </c>
      <c r="S1357" s="364">
        <f t="shared" si="203"/>
        <v>234</v>
      </c>
      <c r="T1357" s="426"/>
      <c r="U1357" s="426"/>
      <c r="V1357" s="426"/>
      <c r="W1357" s="426"/>
      <c r="X1357" s="426"/>
    </row>
    <row r="1358" spans="1:24" ht="12.75">
      <c r="A1358" s="422" t="s">
        <v>523</v>
      </c>
      <c r="B1358" s="423" t="s">
        <v>170</v>
      </c>
      <c r="C1358" s="423" t="s">
        <v>799</v>
      </c>
      <c r="D1358" s="423">
        <v>2015</v>
      </c>
      <c r="E1358" s="423" t="s">
        <v>775</v>
      </c>
      <c r="F1358" s="424">
        <v>1365</v>
      </c>
      <c r="G1358" s="424">
        <v>0</v>
      </c>
      <c r="H1358" s="425">
        <v>0</v>
      </c>
      <c r="I1358" s="424">
        <v>0</v>
      </c>
      <c r="J1358" s="424">
        <v>957</v>
      </c>
      <c r="K1358" s="424">
        <v>16</v>
      </c>
      <c r="L1358" s="424">
        <v>1</v>
      </c>
      <c r="M1358" s="424">
        <v>15</v>
      </c>
      <c r="N1358" s="424">
        <v>936</v>
      </c>
      <c r="O1358" s="424">
        <v>0</v>
      </c>
      <c r="P1358" s="424">
        <v>1773</v>
      </c>
      <c r="Q1358" s="425">
        <v>282</v>
      </c>
      <c r="R1358" s="319">
        <f t="shared" si="202"/>
        <v>5031</v>
      </c>
      <c r="S1358" s="364">
        <f t="shared" si="203"/>
        <v>298</v>
      </c>
      <c r="T1358" s="426"/>
      <c r="U1358" s="426"/>
      <c r="V1358" s="426"/>
      <c r="W1358" s="426"/>
      <c r="X1358" s="426"/>
    </row>
    <row r="1359" spans="1:24" ht="12.75">
      <c r="A1359" s="422" t="s">
        <v>524</v>
      </c>
      <c r="B1359" s="423" t="s">
        <v>170</v>
      </c>
      <c r="C1359" s="423" t="s">
        <v>799</v>
      </c>
      <c r="D1359" s="423">
        <v>2015</v>
      </c>
      <c r="E1359" s="423" t="s">
        <v>775</v>
      </c>
      <c r="F1359" s="424">
        <v>1040</v>
      </c>
      <c r="G1359" s="424">
        <v>0</v>
      </c>
      <c r="H1359" s="425">
        <v>0</v>
      </c>
      <c r="I1359" s="424">
        <v>0</v>
      </c>
      <c r="J1359" s="424">
        <v>729</v>
      </c>
      <c r="K1359" s="424">
        <v>0</v>
      </c>
      <c r="L1359" s="424">
        <v>0</v>
      </c>
      <c r="M1359" s="424">
        <v>0</v>
      </c>
      <c r="N1359" s="424">
        <v>709</v>
      </c>
      <c r="O1359" s="424">
        <v>385</v>
      </c>
      <c r="P1359" s="424">
        <v>1335</v>
      </c>
      <c r="Q1359" s="425">
        <v>312</v>
      </c>
      <c r="R1359" s="319">
        <f t="shared" si="202"/>
        <v>3813</v>
      </c>
      <c r="S1359" s="364">
        <f t="shared" si="203"/>
        <v>697</v>
      </c>
      <c r="T1359" s="426"/>
      <c r="U1359" s="426"/>
      <c r="V1359" s="426"/>
      <c r="W1359" s="426"/>
      <c r="X1359" s="426"/>
    </row>
    <row r="1360" spans="1:24" ht="12.75">
      <c r="A1360" s="422" t="s">
        <v>525</v>
      </c>
      <c r="B1360" s="423" t="s">
        <v>170</v>
      </c>
      <c r="C1360" s="423" t="s">
        <v>799</v>
      </c>
      <c r="D1360" s="423">
        <v>2015</v>
      </c>
      <c r="E1360" s="423" t="s">
        <v>775</v>
      </c>
      <c r="F1360" s="424">
        <v>2268</v>
      </c>
      <c r="G1360" s="424">
        <v>0</v>
      </c>
      <c r="H1360" s="425">
        <v>0</v>
      </c>
      <c r="I1360" s="424">
        <v>0</v>
      </c>
      <c r="J1360" s="424">
        <v>1590</v>
      </c>
      <c r="K1360" s="424">
        <v>0</v>
      </c>
      <c r="L1360" s="424">
        <v>0</v>
      </c>
      <c r="M1360" s="424">
        <v>0</v>
      </c>
      <c r="N1360" s="424">
        <v>1577</v>
      </c>
      <c r="O1360" s="424">
        <v>378</v>
      </c>
      <c r="P1360" s="424">
        <v>3043</v>
      </c>
      <c r="Q1360" s="425">
        <v>544</v>
      </c>
      <c r="R1360" s="319">
        <f t="shared" si="202"/>
        <v>8478</v>
      </c>
      <c r="S1360" s="364">
        <f t="shared" si="203"/>
        <v>922</v>
      </c>
      <c r="T1360" s="427">
        <f>SUM(G1356:G1360)</f>
        <v>0</v>
      </c>
      <c r="U1360" s="427">
        <f>SUM(K1356:K1360)</f>
        <v>16</v>
      </c>
      <c r="V1360" s="427">
        <f>SUM(O1356:O1360)</f>
        <v>763</v>
      </c>
      <c r="W1360" s="427">
        <f>SUM(Q1356:Q1360)</f>
        <v>1382</v>
      </c>
      <c r="X1360" s="427">
        <f>T1360+U1360+V1360+W1360</f>
        <v>2161</v>
      </c>
    </row>
    <row r="1361" spans="1:24" ht="12.75">
      <c r="A1361" s="428" t="s">
        <v>519</v>
      </c>
      <c r="B1361" s="429" t="s">
        <v>170</v>
      </c>
      <c r="C1361" s="429" t="s">
        <v>799</v>
      </c>
      <c r="D1361" s="429">
        <v>2016</v>
      </c>
      <c r="E1361" s="429" t="s">
        <v>775</v>
      </c>
      <c r="F1361" s="430">
        <v>74</v>
      </c>
      <c r="G1361" s="430">
        <v>0</v>
      </c>
      <c r="H1361" s="431">
        <v>0</v>
      </c>
      <c r="I1361" s="430">
        <v>0</v>
      </c>
      <c r="J1361" s="430">
        <v>52</v>
      </c>
      <c r="K1361" s="430">
        <v>0</v>
      </c>
      <c r="L1361" s="430">
        <v>0</v>
      </c>
      <c r="M1361" s="430">
        <v>0</v>
      </c>
      <c r="N1361" s="430">
        <v>57</v>
      </c>
      <c r="O1361" s="430">
        <v>9</v>
      </c>
      <c r="P1361" s="430">
        <v>125</v>
      </c>
      <c r="Q1361" s="431">
        <v>13</v>
      </c>
      <c r="R1361" s="328">
        <f t="shared" si="202"/>
        <v>308</v>
      </c>
      <c r="S1361" s="365">
        <f t="shared" si="203"/>
        <v>22</v>
      </c>
      <c r="T1361" s="432"/>
      <c r="U1361" s="432"/>
      <c r="V1361" s="432"/>
      <c r="W1361" s="432"/>
      <c r="X1361" s="432"/>
    </row>
    <row r="1362" spans="1:24" ht="12.75">
      <c r="A1362" s="428" t="s">
        <v>521</v>
      </c>
      <c r="B1362" s="429" t="s">
        <v>170</v>
      </c>
      <c r="C1362" s="429" t="s">
        <v>799</v>
      </c>
      <c r="D1362" s="429">
        <v>2016</v>
      </c>
      <c r="E1362" s="429" t="s">
        <v>775</v>
      </c>
      <c r="F1362" s="430">
        <v>953</v>
      </c>
      <c r="G1362" s="430">
        <v>0</v>
      </c>
      <c r="H1362" s="431">
        <v>0</v>
      </c>
      <c r="I1362" s="430">
        <v>0</v>
      </c>
      <c r="J1362" s="430">
        <v>668</v>
      </c>
      <c r="K1362" s="430">
        <v>0</v>
      </c>
      <c r="L1362" s="430">
        <v>0</v>
      </c>
      <c r="M1362" s="430">
        <v>0</v>
      </c>
      <c r="N1362" s="430">
        <v>705</v>
      </c>
      <c r="O1362" s="430">
        <v>0</v>
      </c>
      <c r="P1362" s="430">
        <v>1464</v>
      </c>
      <c r="Q1362" s="431">
        <v>217</v>
      </c>
      <c r="R1362" s="328">
        <f t="shared" si="202"/>
        <v>3790</v>
      </c>
      <c r="S1362" s="365">
        <f t="shared" si="203"/>
        <v>217</v>
      </c>
      <c r="T1362" s="432"/>
      <c r="U1362" s="432"/>
      <c r="V1362" s="432"/>
      <c r="W1362" s="432"/>
      <c r="X1362" s="432"/>
    </row>
    <row r="1363" spans="1:24" ht="12.75">
      <c r="A1363" s="428" t="s">
        <v>523</v>
      </c>
      <c r="B1363" s="429" t="s">
        <v>170</v>
      </c>
      <c r="C1363" s="429" t="s">
        <v>799</v>
      </c>
      <c r="D1363" s="429">
        <v>2016</v>
      </c>
      <c r="E1363" s="429" t="s">
        <v>775</v>
      </c>
      <c r="F1363" s="430">
        <v>1365</v>
      </c>
      <c r="G1363" s="430">
        <v>36</v>
      </c>
      <c r="H1363" s="431">
        <v>36</v>
      </c>
      <c r="I1363" s="430">
        <v>0</v>
      </c>
      <c r="J1363" s="430">
        <v>957</v>
      </c>
      <c r="K1363" s="430">
        <v>31</v>
      </c>
      <c r="L1363" s="430">
        <v>31</v>
      </c>
      <c r="M1363" s="430">
        <v>0</v>
      </c>
      <c r="N1363" s="430">
        <v>936</v>
      </c>
      <c r="O1363" s="430">
        <v>15</v>
      </c>
      <c r="P1363" s="430">
        <v>1773</v>
      </c>
      <c r="Q1363" s="431">
        <v>334</v>
      </c>
      <c r="R1363" s="328">
        <f t="shared" si="202"/>
        <v>5031</v>
      </c>
      <c r="S1363" s="365">
        <f t="shared" si="203"/>
        <v>416</v>
      </c>
      <c r="T1363" s="432"/>
      <c r="U1363" s="432"/>
      <c r="V1363" s="432"/>
      <c r="W1363" s="432"/>
      <c r="X1363" s="432"/>
    </row>
    <row r="1364" spans="1:24" ht="12.75">
      <c r="A1364" s="428" t="s">
        <v>524</v>
      </c>
      <c r="B1364" s="429" t="s">
        <v>170</v>
      </c>
      <c r="C1364" s="429" t="s">
        <v>799</v>
      </c>
      <c r="D1364" s="429">
        <v>2016</v>
      </c>
      <c r="E1364" s="429" t="s">
        <v>775</v>
      </c>
      <c r="F1364" s="430">
        <v>1040</v>
      </c>
      <c r="G1364" s="430">
        <v>0</v>
      </c>
      <c r="H1364" s="431">
        <v>0</v>
      </c>
      <c r="I1364" s="430">
        <v>0</v>
      </c>
      <c r="J1364" s="430">
        <v>729</v>
      </c>
      <c r="K1364" s="430">
        <v>0</v>
      </c>
      <c r="L1364" s="430">
        <v>0</v>
      </c>
      <c r="M1364" s="430">
        <v>0</v>
      </c>
      <c r="N1364" s="430">
        <v>709</v>
      </c>
      <c r="O1364" s="430">
        <v>184</v>
      </c>
      <c r="P1364" s="430">
        <v>1335</v>
      </c>
      <c r="Q1364" s="431">
        <v>352</v>
      </c>
      <c r="R1364" s="328">
        <f t="shared" si="202"/>
        <v>3813</v>
      </c>
      <c r="S1364" s="365">
        <f t="shared" si="203"/>
        <v>536</v>
      </c>
      <c r="T1364" s="432"/>
      <c r="U1364" s="432"/>
      <c r="V1364" s="432"/>
      <c r="W1364" s="432"/>
      <c r="X1364" s="432"/>
    </row>
    <row r="1365" spans="1:24" ht="12.75">
      <c r="A1365" s="428" t="s">
        <v>525</v>
      </c>
      <c r="B1365" s="429" t="s">
        <v>170</v>
      </c>
      <c r="C1365" s="429" t="s">
        <v>799</v>
      </c>
      <c r="D1365" s="429">
        <v>2016</v>
      </c>
      <c r="E1365" s="429" t="s">
        <v>775</v>
      </c>
      <c r="F1365" s="430">
        <v>2268</v>
      </c>
      <c r="G1365" s="430">
        <v>42</v>
      </c>
      <c r="H1365" s="431">
        <v>42</v>
      </c>
      <c r="I1365" s="430">
        <v>0</v>
      </c>
      <c r="J1365" s="430">
        <v>1590</v>
      </c>
      <c r="K1365" s="430">
        <v>15</v>
      </c>
      <c r="L1365" s="430">
        <v>15</v>
      </c>
      <c r="M1365" s="430">
        <v>0</v>
      </c>
      <c r="N1365" s="430">
        <v>1577</v>
      </c>
      <c r="O1365" s="430">
        <v>216</v>
      </c>
      <c r="P1365" s="430">
        <v>3043</v>
      </c>
      <c r="Q1365" s="431">
        <v>584</v>
      </c>
      <c r="R1365" s="328">
        <f t="shared" si="202"/>
        <v>8478</v>
      </c>
      <c r="S1365" s="365">
        <f t="shared" si="203"/>
        <v>857</v>
      </c>
      <c r="T1365" s="413">
        <f>SUM(G1361:G1365)</f>
        <v>78</v>
      </c>
      <c r="U1365" s="413">
        <f>SUM(K1361:K1365)</f>
        <v>46</v>
      </c>
      <c r="V1365" s="413">
        <f>SUM(O1361:O1365)</f>
        <v>424</v>
      </c>
      <c r="W1365" s="413">
        <f>SUM(Q1361:Q1365)</f>
        <v>1500</v>
      </c>
      <c r="X1365" s="413">
        <f>T1365+U1365+V1365+W1365</f>
        <v>2048</v>
      </c>
    </row>
    <row r="1366" spans="1:24" ht="12.75">
      <c r="A1366" s="433" t="s">
        <v>519</v>
      </c>
      <c r="B1366" s="434" t="s">
        <v>170</v>
      </c>
      <c r="C1366" s="434" t="s">
        <v>799</v>
      </c>
      <c r="D1366" s="434">
        <v>2017</v>
      </c>
      <c r="E1366" s="434" t="s">
        <v>775</v>
      </c>
      <c r="F1366" s="435">
        <v>74</v>
      </c>
      <c r="G1366" s="435">
        <v>0</v>
      </c>
      <c r="H1366" s="436">
        <v>0</v>
      </c>
      <c r="I1366" s="435">
        <v>0</v>
      </c>
      <c r="J1366" s="435">
        <v>52</v>
      </c>
      <c r="K1366" s="435">
        <v>0</v>
      </c>
      <c r="L1366" s="435">
        <v>0</v>
      </c>
      <c r="M1366" s="435">
        <v>0</v>
      </c>
      <c r="N1366" s="435">
        <v>57</v>
      </c>
      <c r="O1366" s="435">
        <v>22</v>
      </c>
      <c r="P1366" s="435">
        <v>125</v>
      </c>
      <c r="Q1366" s="436">
        <v>17</v>
      </c>
      <c r="R1366" s="336">
        <f t="shared" si="202"/>
        <v>308</v>
      </c>
      <c r="S1366" s="366">
        <f t="shared" si="203"/>
        <v>39</v>
      </c>
      <c r="T1366" s="437"/>
      <c r="U1366" s="437"/>
      <c r="V1366" s="437"/>
      <c r="W1366" s="437"/>
      <c r="X1366" s="437"/>
    </row>
    <row r="1367" spans="1:24" ht="12.75">
      <c r="A1367" s="433" t="s">
        <v>520</v>
      </c>
      <c r="B1367" s="434" t="s">
        <v>170</v>
      </c>
      <c r="C1367" s="434" t="s">
        <v>799</v>
      </c>
      <c r="D1367" s="434">
        <v>2017</v>
      </c>
      <c r="E1367" s="434" t="s">
        <v>775</v>
      </c>
      <c r="F1367" s="435">
        <v>10</v>
      </c>
      <c r="G1367" s="435">
        <v>0</v>
      </c>
      <c r="H1367" s="436">
        <v>0</v>
      </c>
      <c r="I1367" s="435">
        <v>0</v>
      </c>
      <c r="J1367" s="435">
        <v>7</v>
      </c>
      <c r="K1367" s="435">
        <v>0</v>
      </c>
      <c r="L1367" s="435">
        <v>0</v>
      </c>
      <c r="M1367" s="435">
        <v>0</v>
      </c>
      <c r="N1367" s="435">
        <v>10</v>
      </c>
      <c r="O1367" s="435">
        <v>0</v>
      </c>
      <c r="P1367" s="435">
        <v>24</v>
      </c>
      <c r="Q1367" s="436">
        <v>0</v>
      </c>
      <c r="R1367" s="336">
        <f t="shared" si="202"/>
        <v>51</v>
      </c>
      <c r="S1367" s="366">
        <f t="shared" si="203"/>
        <v>0</v>
      </c>
      <c r="T1367" s="437"/>
      <c r="U1367" s="437"/>
      <c r="V1367" s="437"/>
      <c r="W1367" s="437"/>
      <c r="X1367" s="437"/>
    </row>
    <row r="1368" spans="1:24" ht="12.75">
      <c r="A1368" s="433" t="s">
        <v>521</v>
      </c>
      <c r="B1368" s="434" t="s">
        <v>170</v>
      </c>
      <c r="C1368" s="434" t="s">
        <v>799</v>
      </c>
      <c r="D1368" s="434">
        <v>2017</v>
      </c>
      <c r="E1368" s="434" t="s">
        <v>775</v>
      </c>
      <c r="F1368" s="435">
        <v>953</v>
      </c>
      <c r="G1368" s="435">
        <v>0</v>
      </c>
      <c r="H1368" s="436">
        <v>0</v>
      </c>
      <c r="I1368" s="435">
        <v>0</v>
      </c>
      <c r="J1368" s="435">
        <v>668</v>
      </c>
      <c r="K1368" s="435">
        <v>0</v>
      </c>
      <c r="L1368" s="435">
        <v>0</v>
      </c>
      <c r="M1368" s="435">
        <v>0</v>
      </c>
      <c r="N1368" s="435">
        <v>705</v>
      </c>
      <c r="O1368" s="435">
        <v>4</v>
      </c>
      <c r="P1368" s="435">
        <v>1464</v>
      </c>
      <c r="Q1368" s="436">
        <v>223</v>
      </c>
      <c r="R1368" s="336">
        <f t="shared" si="202"/>
        <v>3790</v>
      </c>
      <c r="S1368" s="366">
        <f t="shared" si="203"/>
        <v>227</v>
      </c>
      <c r="T1368" s="437"/>
      <c r="U1368" s="437"/>
      <c r="V1368" s="437"/>
      <c r="W1368" s="437"/>
      <c r="X1368" s="437"/>
    </row>
    <row r="1369" spans="1:24" ht="12.75">
      <c r="A1369" s="433" t="s">
        <v>522</v>
      </c>
      <c r="B1369" s="434" t="s">
        <v>170</v>
      </c>
      <c r="C1369" s="434" t="s">
        <v>799</v>
      </c>
      <c r="D1369" s="434">
        <v>2017</v>
      </c>
      <c r="E1369" s="434" t="s">
        <v>775</v>
      </c>
      <c r="F1369" s="435">
        <v>39</v>
      </c>
      <c r="G1369" s="435">
        <v>0</v>
      </c>
      <c r="H1369" s="436">
        <v>0</v>
      </c>
      <c r="I1369" s="435">
        <v>0</v>
      </c>
      <c r="J1369" s="435">
        <v>27</v>
      </c>
      <c r="K1369" s="435">
        <v>0</v>
      </c>
      <c r="L1369" s="435">
        <v>0</v>
      </c>
      <c r="M1369" s="435">
        <v>0</v>
      </c>
      <c r="N1369" s="435">
        <v>29</v>
      </c>
      <c r="O1369" s="435">
        <v>1</v>
      </c>
      <c r="P1369" s="435">
        <v>59</v>
      </c>
      <c r="Q1369" s="436">
        <v>11</v>
      </c>
      <c r="R1369" s="336">
        <f t="shared" si="202"/>
        <v>154</v>
      </c>
      <c r="S1369" s="366">
        <f t="shared" si="203"/>
        <v>12</v>
      </c>
      <c r="T1369" s="437"/>
      <c r="U1369" s="437"/>
      <c r="V1369" s="437"/>
      <c r="W1369" s="437"/>
      <c r="X1369" s="437"/>
    </row>
    <row r="1370" spans="1:24" ht="12.75">
      <c r="A1370" s="433" t="s">
        <v>523</v>
      </c>
      <c r="B1370" s="434" t="s">
        <v>170</v>
      </c>
      <c r="C1370" s="434" t="s">
        <v>799</v>
      </c>
      <c r="D1370" s="434">
        <v>2017</v>
      </c>
      <c r="E1370" s="434" t="s">
        <v>775</v>
      </c>
      <c r="F1370" s="435">
        <v>1365</v>
      </c>
      <c r="G1370" s="435">
        <v>0</v>
      </c>
      <c r="H1370" s="436">
        <v>0</v>
      </c>
      <c r="I1370" s="435">
        <v>0</v>
      </c>
      <c r="J1370" s="435">
        <v>957</v>
      </c>
      <c r="K1370" s="435">
        <v>3</v>
      </c>
      <c r="L1370" s="435">
        <v>3</v>
      </c>
      <c r="M1370" s="435">
        <v>0</v>
      </c>
      <c r="N1370" s="435">
        <v>936</v>
      </c>
      <c r="O1370" s="435">
        <v>50</v>
      </c>
      <c r="P1370" s="435">
        <v>1773</v>
      </c>
      <c r="Q1370" s="436">
        <v>283</v>
      </c>
      <c r="R1370" s="336">
        <f t="shared" si="202"/>
        <v>5031</v>
      </c>
      <c r="S1370" s="366">
        <f t="shared" si="203"/>
        <v>336</v>
      </c>
      <c r="T1370" s="437"/>
      <c r="U1370" s="437"/>
      <c r="V1370" s="437"/>
      <c r="W1370" s="437"/>
      <c r="X1370" s="437"/>
    </row>
    <row r="1371" spans="1:24" ht="12.75">
      <c r="A1371" s="433" t="s">
        <v>524</v>
      </c>
      <c r="B1371" s="434" t="s">
        <v>170</v>
      </c>
      <c r="C1371" s="434" t="s">
        <v>799</v>
      </c>
      <c r="D1371" s="434">
        <v>2017</v>
      </c>
      <c r="E1371" s="434" t="s">
        <v>775</v>
      </c>
      <c r="F1371" s="435">
        <v>1040</v>
      </c>
      <c r="G1371" s="435">
        <v>0</v>
      </c>
      <c r="H1371" s="436">
        <v>0</v>
      </c>
      <c r="I1371" s="435">
        <v>0</v>
      </c>
      <c r="J1371" s="435">
        <v>729</v>
      </c>
      <c r="K1371" s="435">
        <v>0</v>
      </c>
      <c r="L1371" s="435">
        <v>0</v>
      </c>
      <c r="M1371" s="435">
        <v>0</v>
      </c>
      <c r="N1371" s="435">
        <v>709</v>
      </c>
      <c r="O1371" s="435">
        <v>181</v>
      </c>
      <c r="P1371" s="435">
        <v>1335</v>
      </c>
      <c r="Q1371" s="436">
        <v>643</v>
      </c>
      <c r="R1371" s="336">
        <f t="shared" si="202"/>
        <v>3813</v>
      </c>
      <c r="S1371" s="366">
        <f t="shared" si="203"/>
        <v>824</v>
      </c>
      <c r="T1371" s="437"/>
      <c r="U1371" s="437"/>
      <c r="V1371" s="437"/>
      <c r="W1371" s="437"/>
      <c r="X1371" s="437"/>
    </row>
    <row r="1372" spans="1:24" ht="12.75">
      <c r="A1372" s="433" t="s">
        <v>525</v>
      </c>
      <c r="B1372" s="434" t="s">
        <v>170</v>
      </c>
      <c r="C1372" s="434" t="s">
        <v>799</v>
      </c>
      <c r="D1372" s="434">
        <v>2017</v>
      </c>
      <c r="E1372" s="434" t="s">
        <v>775</v>
      </c>
      <c r="F1372" s="435">
        <v>2268</v>
      </c>
      <c r="G1372" s="435">
        <v>43</v>
      </c>
      <c r="H1372" s="436">
        <v>43</v>
      </c>
      <c r="I1372" s="435">
        <v>0</v>
      </c>
      <c r="J1372" s="435">
        <v>1590</v>
      </c>
      <c r="K1372" s="435">
        <v>0</v>
      </c>
      <c r="L1372" s="435">
        <v>0</v>
      </c>
      <c r="M1372" s="435">
        <v>0</v>
      </c>
      <c r="N1372" s="435">
        <v>1577</v>
      </c>
      <c r="O1372" s="435">
        <v>1000</v>
      </c>
      <c r="P1372" s="435">
        <v>3043</v>
      </c>
      <c r="Q1372" s="436">
        <v>644</v>
      </c>
      <c r="R1372" s="336">
        <f t="shared" si="202"/>
        <v>8478</v>
      </c>
      <c r="S1372" s="366">
        <f t="shared" si="203"/>
        <v>1687</v>
      </c>
      <c r="T1372" s="414">
        <f>SUM(G1366:G1372)</f>
        <v>43</v>
      </c>
      <c r="U1372" s="414">
        <f>SUM(K1366:K1372)</f>
        <v>3</v>
      </c>
      <c r="V1372" s="414">
        <f>SUM(O1366:O1372)</f>
        <v>1258</v>
      </c>
      <c r="W1372" s="414">
        <f>SUM(Q1366:Q1372)</f>
        <v>1821</v>
      </c>
      <c r="X1372" s="414">
        <f>T1372+U1372+V1372+W1372</f>
        <v>3125</v>
      </c>
    </row>
    <row r="1373" spans="1:24" ht="12.75">
      <c r="A1373" s="438" t="s">
        <v>519</v>
      </c>
      <c r="B1373" s="439" t="s">
        <v>170</v>
      </c>
      <c r="C1373" s="439" t="s">
        <v>799</v>
      </c>
      <c r="D1373" s="439">
        <v>2018</v>
      </c>
      <c r="E1373" s="439" t="s">
        <v>775</v>
      </c>
      <c r="F1373" s="440">
        <v>74</v>
      </c>
      <c r="G1373" s="441">
        <v>0</v>
      </c>
      <c r="H1373" s="440">
        <v>0</v>
      </c>
      <c r="I1373" s="440">
        <v>0</v>
      </c>
      <c r="J1373" s="440">
        <v>52</v>
      </c>
      <c r="K1373" s="441">
        <v>1</v>
      </c>
      <c r="L1373" s="440">
        <v>0</v>
      </c>
      <c r="M1373" s="440">
        <v>1</v>
      </c>
      <c r="N1373" s="440">
        <v>57</v>
      </c>
      <c r="O1373" s="440">
        <v>6</v>
      </c>
      <c r="P1373" s="440">
        <v>125</v>
      </c>
      <c r="Q1373" s="440">
        <v>26</v>
      </c>
      <c r="R1373" s="344">
        <f t="shared" si="202"/>
        <v>308</v>
      </c>
      <c r="S1373" s="367">
        <f t="shared" si="203"/>
        <v>33</v>
      </c>
      <c r="T1373" s="442"/>
      <c r="U1373" s="442"/>
      <c r="V1373" s="442"/>
      <c r="W1373" s="442"/>
      <c r="X1373" s="442"/>
    </row>
    <row r="1374" spans="1:24" ht="12.75">
      <c r="A1374" s="438" t="s">
        <v>520</v>
      </c>
      <c r="B1374" s="439" t="s">
        <v>170</v>
      </c>
      <c r="C1374" s="439" t="s">
        <v>799</v>
      </c>
      <c r="D1374" s="439">
        <v>2018</v>
      </c>
      <c r="E1374" s="439" t="s">
        <v>775</v>
      </c>
      <c r="F1374" s="440">
        <v>10</v>
      </c>
      <c r="G1374" s="454"/>
      <c r="H1374" s="455"/>
      <c r="I1374" s="455"/>
      <c r="J1374" s="440">
        <v>7</v>
      </c>
      <c r="K1374" s="454"/>
      <c r="L1374" s="455"/>
      <c r="M1374" s="455"/>
      <c r="N1374" s="440">
        <v>10</v>
      </c>
      <c r="O1374" s="455"/>
      <c r="P1374" s="440">
        <v>24</v>
      </c>
      <c r="Q1374" s="455"/>
      <c r="R1374" s="344">
        <f t="shared" si="202"/>
        <v>51</v>
      </c>
      <c r="S1374" s="367">
        <f t="shared" si="203"/>
        <v>0</v>
      </c>
      <c r="T1374" s="442"/>
      <c r="U1374" s="442"/>
      <c r="V1374" s="442"/>
      <c r="W1374" s="442"/>
      <c r="X1374" s="442"/>
    </row>
    <row r="1375" spans="1:24" ht="12.75">
      <c r="A1375" s="438" t="s">
        <v>522</v>
      </c>
      <c r="B1375" s="439" t="s">
        <v>170</v>
      </c>
      <c r="C1375" s="439" t="s">
        <v>799</v>
      </c>
      <c r="D1375" s="439">
        <v>2018</v>
      </c>
      <c r="E1375" s="439" t="s">
        <v>775</v>
      </c>
      <c r="F1375" s="440">
        <v>39</v>
      </c>
      <c r="G1375" s="454"/>
      <c r="H1375" s="455"/>
      <c r="I1375" s="455"/>
      <c r="J1375" s="440">
        <v>27</v>
      </c>
      <c r="K1375" s="454"/>
      <c r="L1375" s="455"/>
      <c r="M1375" s="455"/>
      <c r="N1375" s="440">
        <v>29</v>
      </c>
      <c r="O1375" s="455"/>
      <c r="P1375" s="440">
        <v>59</v>
      </c>
      <c r="Q1375" s="455"/>
      <c r="R1375" s="344">
        <f t="shared" si="202"/>
        <v>154</v>
      </c>
      <c r="S1375" s="367">
        <f t="shared" si="203"/>
        <v>0</v>
      </c>
      <c r="T1375" s="442"/>
      <c r="U1375" s="442"/>
      <c r="V1375" s="442"/>
      <c r="W1375" s="442"/>
      <c r="X1375" s="442"/>
    </row>
    <row r="1376" spans="1:24" ht="12.75">
      <c r="A1376" s="438" t="s">
        <v>523</v>
      </c>
      <c r="B1376" s="439" t="s">
        <v>170</v>
      </c>
      <c r="C1376" s="439" t="s">
        <v>799</v>
      </c>
      <c r="D1376" s="439">
        <v>2018</v>
      </c>
      <c r="E1376" s="439" t="s">
        <v>775</v>
      </c>
      <c r="F1376" s="440">
        <v>1365</v>
      </c>
      <c r="G1376" s="441">
        <v>0</v>
      </c>
      <c r="H1376" s="440">
        <v>0</v>
      </c>
      <c r="I1376" s="440">
        <v>0</v>
      </c>
      <c r="J1376" s="440">
        <v>957</v>
      </c>
      <c r="K1376" s="441">
        <v>1</v>
      </c>
      <c r="L1376" s="440">
        <v>1</v>
      </c>
      <c r="M1376" s="440">
        <v>0</v>
      </c>
      <c r="N1376" s="440">
        <v>936</v>
      </c>
      <c r="O1376" s="440">
        <v>48</v>
      </c>
      <c r="P1376" s="440">
        <v>1773</v>
      </c>
      <c r="Q1376" s="440">
        <v>290</v>
      </c>
      <c r="R1376" s="344">
        <f t="shared" si="202"/>
        <v>5031</v>
      </c>
      <c r="S1376" s="367">
        <f t="shared" si="203"/>
        <v>339</v>
      </c>
      <c r="T1376" s="442"/>
      <c r="U1376" s="442"/>
      <c r="V1376" s="442"/>
      <c r="W1376" s="442"/>
      <c r="X1376" s="442"/>
    </row>
    <row r="1377" spans="1:24" ht="12.75">
      <c r="A1377" s="438" t="s">
        <v>524</v>
      </c>
      <c r="B1377" s="439" t="s">
        <v>170</v>
      </c>
      <c r="C1377" s="439" t="s">
        <v>799</v>
      </c>
      <c r="D1377" s="439">
        <v>2018</v>
      </c>
      <c r="E1377" s="439" t="s">
        <v>775</v>
      </c>
      <c r="F1377" s="440">
        <v>1040</v>
      </c>
      <c r="G1377" s="441">
        <v>0</v>
      </c>
      <c r="H1377" s="440">
        <v>0</v>
      </c>
      <c r="I1377" s="440">
        <v>0</v>
      </c>
      <c r="J1377" s="440">
        <v>729</v>
      </c>
      <c r="K1377" s="441">
        <v>0</v>
      </c>
      <c r="L1377" s="440">
        <v>0</v>
      </c>
      <c r="M1377" s="440">
        <v>0</v>
      </c>
      <c r="N1377" s="440">
        <v>709</v>
      </c>
      <c r="O1377" s="440">
        <v>45</v>
      </c>
      <c r="P1377" s="440">
        <v>1335</v>
      </c>
      <c r="Q1377" s="440">
        <v>540</v>
      </c>
      <c r="R1377" s="344">
        <f t="shared" si="202"/>
        <v>3813</v>
      </c>
      <c r="S1377" s="367">
        <f t="shared" si="203"/>
        <v>585</v>
      </c>
      <c r="T1377" s="442"/>
      <c r="U1377" s="442"/>
      <c r="V1377" s="442"/>
      <c r="W1377" s="442"/>
      <c r="X1377" s="442"/>
    </row>
    <row r="1378" spans="1:24" ht="12.75">
      <c r="A1378" s="438" t="s">
        <v>525</v>
      </c>
      <c r="B1378" s="439" t="s">
        <v>170</v>
      </c>
      <c r="C1378" s="439" t="s">
        <v>799</v>
      </c>
      <c r="D1378" s="439">
        <v>2018</v>
      </c>
      <c r="E1378" s="439" t="s">
        <v>775</v>
      </c>
      <c r="F1378" s="440">
        <v>2268</v>
      </c>
      <c r="G1378" s="441">
        <v>0</v>
      </c>
      <c r="H1378" s="440">
        <v>0</v>
      </c>
      <c r="I1378" s="440">
        <v>0</v>
      </c>
      <c r="J1378" s="440">
        <v>1590</v>
      </c>
      <c r="K1378" s="441">
        <v>3</v>
      </c>
      <c r="L1378" s="440">
        <v>0</v>
      </c>
      <c r="M1378" s="440">
        <v>3</v>
      </c>
      <c r="N1378" s="440">
        <v>1577</v>
      </c>
      <c r="O1378" s="440">
        <v>333</v>
      </c>
      <c r="P1378" s="440">
        <v>3043</v>
      </c>
      <c r="Q1378" s="440">
        <v>472</v>
      </c>
      <c r="R1378" s="344">
        <f t="shared" si="202"/>
        <v>8478</v>
      </c>
      <c r="S1378" s="367">
        <f t="shared" si="203"/>
        <v>808</v>
      </c>
      <c r="T1378" s="443">
        <f>SUM(G1373:G1378)</f>
        <v>0</v>
      </c>
      <c r="U1378" s="443">
        <f>SUM(K1373:K1378)</f>
        <v>5</v>
      </c>
      <c r="V1378" s="443">
        <f>SUM(O1373:O1378)</f>
        <v>432</v>
      </c>
      <c r="W1378" s="443">
        <f>SUM(Q1373:Q1378)</f>
        <v>1328</v>
      </c>
      <c r="X1378" s="443">
        <f>T1378+U1378+V1378+W1378</f>
        <v>1765</v>
      </c>
    </row>
    <row r="1379" spans="1:24" ht="12.75">
      <c r="A1379" s="346" t="s">
        <v>519</v>
      </c>
      <c r="B1379" s="347" t="s">
        <v>170</v>
      </c>
      <c r="C1379" s="347" t="s">
        <v>801</v>
      </c>
      <c r="D1379" s="347">
        <v>2019</v>
      </c>
      <c r="E1379" s="347" t="s">
        <v>775</v>
      </c>
      <c r="F1379" s="348">
        <v>74</v>
      </c>
      <c r="G1379" s="348">
        <v>0</v>
      </c>
      <c r="H1379" s="348">
        <v>0</v>
      </c>
      <c r="I1379" s="348">
        <v>0</v>
      </c>
      <c r="J1379" s="348">
        <v>52</v>
      </c>
      <c r="K1379" s="348">
        <v>0</v>
      </c>
      <c r="L1379" s="348">
        <v>0</v>
      </c>
      <c r="M1379" s="348">
        <v>0</v>
      </c>
      <c r="N1379" s="348">
        <v>57</v>
      </c>
      <c r="O1379" s="348">
        <v>3</v>
      </c>
      <c r="P1379" s="348">
        <v>125</v>
      </c>
      <c r="Q1379" s="348">
        <v>9</v>
      </c>
      <c r="R1379" s="350">
        <f t="shared" si="202"/>
        <v>308</v>
      </c>
      <c r="S1379" s="348">
        <f t="shared" si="203"/>
        <v>12</v>
      </c>
      <c r="T1379" s="348"/>
      <c r="U1379" s="348"/>
      <c r="V1379" s="348"/>
      <c r="W1379" s="349"/>
      <c r="X1379" s="349"/>
    </row>
    <row r="1380" spans="1:24" ht="12.75">
      <c r="A1380" s="346" t="s">
        <v>520</v>
      </c>
      <c r="B1380" s="347" t="s">
        <v>170</v>
      </c>
      <c r="C1380" s="347" t="s">
        <v>801</v>
      </c>
      <c r="D1380" s="347">
        <v>2019</v>
      </c>
      <c r="E1380" s="347" t="s">
        <v>775</v>
      </c>
      <c r="F1380" s="348">
        <v>10</v>
      </c>
      <c r="G1380" s="348">
        <v>0</v>
      </c>
      <c r="H1380" s="348">
        <v>0</v>
      </c>
      <c r="I1380" s="348">
        <v>0</v>
      </c>
      <c r="J1380" s="348">
        <v>7</v>
      </c>
      <c r="K1380" s="348">
        <v>0</v>
      </c>
      <c r="L1380" s="348">
        <v>0</v>
      </c>
      <c r="M1380" s="348">
        <v>0</v>
      </c>
      <c r="N1380" s="348">
        <v>10</v>
      </c>
      <c r="O1380" s="348">
        <v>0</v>
      </c>
      <c r="P1380" s="348">
        <v>24</v>
      </c>
      <c r="Q1380" s="348">
        <v>20</v>
      </c>
      <c r="R1380" s="350">
        <f t="shared" si="202"/>
        <v>51</v>
      </c>
      <c r="S1380" s="348">
        <f t="shared" si="203"/>
        <v>20</v>
      </c>
      <c r="T1380" s="348"/>
      <c r="U1380" s="348"/>
      <c r="V1380" s="348"/>
      <c r="W1380" s="349"/>
      <c r="X1380" s="349"/>
    </row>
    <row r="1381" spans="1:24" ht="12.75">
      <c r="A1381" s="346" t="s">
        <v>521</v>
      </c>
      <c r="B1381" s="347" t="s">
        <v>170</v>
      </c>
      <c r="C1381" s="347" t="s">
        <v>801</v>
      </c>
      <c r="D1381" s="347">
        <v>2019</v>
      </c>
      <c r="E1381" s="347" t="s">
        <v>775</v>
      </c>
      <c r="F1381" s="348">
        <v>953</v>
      </c>
      <c r="G1381" s="348">
        <v>0</v>
      </c>
      <c r="H1381" s="348">
        <v>0</v>
      </c>
      <c r="I1381" s="348">
        <v>0</v>
      </c>
      <c r="J1381" s="348">
        <v>668</v>
      </c>
      <c r="K1381" s="348">
        <v>0</v>
      </c>
      <c r="L1381" s="348">
        <v>0</v>
      </c>
      <c r="M1381" s="348">
        <v>0</v>
      </c>
      <c r="N1381" s="348">
        <v>705</v>
      </c>
      <c r="O1381" s="348">
        <v>61</v>
      </c>
      <c r="P1381" s="348">
        <v>1464</v>
      </c>
      <c r="Q1381" s="348">
        <v>1</v>
      </c>
      <c r="R1381" s="350">
        <f t="shared" si="202"/>
        <v>3790</v>
      </c>
      <c r="S1381" s="348">
        <f t="shared" si="203"/>
        <v>62</v>
      </c>
      <c r="T1381" s="348"/>
      <c r="U1381" s="348"/>
      <c r="V1381" s="348"/>
      <c r="W1381" s="349"/>
      <c r="X1381" s="349"/>
    </row>
    <row r="1382" spans="1:24" ht="12.75">
      <c r="A1382" s="346" t="s">
        <v>522</v>
      </c>
      <c r="B1382" s="347" t="s">
        <v>170</v>
      </c>
      <c r="C1382" s="347" t="s">
        <v>801</v>
      </c>
      <c r="D1382" s="347">
        <v>2019</v>
      </c>
      <c r="E1382" s="347" t="s">
        <v>775</v>
      </c>
      <c r="F1382" s="348">
        <v>39</v>
      </c>
      <c r="G1382" s="348">
        <v>0</v>
      </c>
      <c r="H1382" s="348">
        <v>0</v>
      </c>
      <c r="I1382" s="348">
        <v>0</v>
      </c>
      <c r="J1382" s="348">
        <v>27</v>
      </c>
      <c r="K1382" s="348">
        <v>0</v>
      </c>
      <c r="L1382" s="348">
        <v>0</v>
      </c>
      <c r="M1382" s="348">
        <v>0</v>
      </c>
      <c r="N1382" s="348">
        <v>29</v>
      </c>
      <c r="O1382" s="348">
        <v>1</v>
      </c>
      <c r="P1382" s="348">
        <v>59</v>
      </c>
      <c r="Q1382" s="348">
        <v>0</v>
      </c>
      <c r="R1382" s="350">
        <f t="shared" si="202"/>
        <v>154</v>
      </c>
      <c r="S1382" s="348">
        <f t="shared" si="203"/>
        <v>1</v>
      </c>
      <c r="T1382" s="348"/>
      <c r="U1382" s="348"/>
      <c r="V1382" s="348"/>
      <c r="W1382" s="349"/>
      <c r="X1382" s="349"/>
    </row>
    <row r="1383" spans="1:24" ht="12.75">
      <c r="A1383" s="346" t="s">
        <v>523</v>
      </c>
      <c r="B1383" s="347" t="s">
        <v>170</v>
      </c>
      <c r="C1383" s="347" t="s">
        <v>801</v>
      </c>
      <c r="D1383" s="347">
        <v>2019</v>
      </c>
      <c r="E1383" s="347" t="s">
        <v>775</v>
      </c>
      <c r="F1383" s="348">
        <v>1365</v>
      </c>
      <c r="G1383" s="348">
        <v>0</v>
      </c>
      <c r="H1383" s="348">
        <v>0</v>
      </c>
      <c r="I1383" s="348">
        <v>0</v>
      </c>
      <c r="J1383" s="348">
        <v>957</v>
      </c>
      <c r="K1383" s="348">
        <v>0</v>
      </c>
      <c r="L1383" s="348">
        <v>0</v>
      </c>
      <c r="M1383" s="348">
        <v>0</v>
      </c>
      <c r="N1383" s="348">
        <v>936</v>
      </c>
      <c r="O1383" s="348">
        <v>24</v>
      </c>
      <c r="P1383" s="348">
        <v>1773</v>
      </c>
      <c r="Q1383" s="348">
        <v>386</v>
      </c>
      <c r="R1383" s="350">
        <f t="shared" si="202"/>
        <v>5031</v>
      </c>
      <c r="S1383" s="348">
        <f t="shared" si="203"/>
        <v>410</v>
      </c>
      <c r="T1383" s="348"/>
      <c r="U1383" s="348"/>
      <c r="V1383" s="348"/>
      <c r="W1383" s="349"/>
      <c r="X1383" s="349"/>
    </row>
    <row r="1384" spans="1:24" ht="12.75">
      <c r="A1384" s="346" t="s">
        <v>524</v>
      </c>
      <c r="B1384" s="347" t="s">
        <v>170</v>
      </c>
      <c r="C1384" s="347" t="s">
        <v>801</v>
      </c>
      <c r="D1384" s="347">
        <v>2019</v>
      </c>
      <c r="E1384" s="347" t="s">
        <v>775</v>
      </c>
      <c r="F1384" s="348">
        <v>1040</v>
      </c>
      <c r="G1384" s="348">
        <v>2</v>
      </c>
      <c r="H1384" s="348">
        <v>0</v>
      </c>
      <c r="I1384" s="348">
        <v>2</v>
      </c>
      <c r="J1384" s="348">
        <v>729</v>
      </c>
      <c r="K1384" s="348">
        <v>0</v>
      </c>
      <c r="L1384" s="348">
        <v>0</v>
      </c>
      <c r="M1384" s="348">
        <v>0</v>
      </c>
      <c r="N1384" s="348">
        <v>709</v>
      </c>
      <c r="O1384" s="348">
        <v>82</v>
      </c>
      <c r="P1384" s="348">
        <v>1335</v>
      </c>
      <c r="Q1384" s="348">
        <v>355</v>
      </c>
      <c r="R1384" s="350">
        <f t="shared" si="202"/>
        <v>3813</v>
      </c>
      <c r="S1384" s="348">
        <f t="shared" si="203"/>
        <v>439</v>
      </c>
      <c r="T1384" s="348"/>
      <c r="U1384" s="348"/>
      <c r="V1384" s="348"/>
      <c r="W1384" s="349"/>
      <c r="X1384" s="349"/>
    </row>
    <row r="1385" spans="1:24" ht="12.75">
      <c r="A1385" s="346" t="s">
        <v>525</v>
      </c>
      <c r="B1385" s="347" t="s">
        <v>170</v>
      </c>
      <c r="C1385" s="347" t="s">
        <v>801</v>
      </c>
      <c r="D1385" s="347">
        <v>2019</v>
      </c>
      <c r="E1385" s="347" t="s">
        <v>775</v>
      </c>
      <c r="F1385" s="348">
        <v>2268</v>
      </c>
      <c r="G1385" s="348">
        <v>43</v>
      </c>
      <c r="H1385" s="348">
        <v>43</v>
      </c>
      <c r="I1385" s="348">
        <v>0</v>
      </c>
      <c r="J1385" s="348">
        <v>1590</v>
      </c>
      <c r="K1385" s="348">
        <v>25</v>
      </c>
      <c r="L1385" s="348">
        <v>20</v>
      </c>
      <c r="M1385" s="348">
        <v>5</v>
      </c>
      <c r="N1385" s="348">
        <v>1577</v>
      </c>
      <c r="O1385" s="348">
        <v>474</v>
      </c>
      <c r="P1385" s="348">
        <v>3043</v>
      </c>
      <c r="Q1385" s="348">
        <v>500</v>
      </c>
      <c r="R1385" s="350">
        <f t="shared" si="202"/>
        <v>8478</v>
      </c>
      <c r="S1385" s="348">
        <f t="shared" si="203"/>
        <v>1042</v>
      </c>
      <c r="T1385" s="410">
        <f>SUM(G1379:G1385)</f>
        <v>45</v>
      </c>
      <c r="U1385" s="410">
        <f>SUM(K1379:K1385)</f>
        <v>25</v>
      </c>
      <c r="V1385" s="410">
        <f>SUM(O1379:O1385)</f>
        <v>645</v>
      </c>
      <c r="W1385" s="410">
        <f>SUM(Q1379:Q1385)</f>
        <v>1271</v>
      </c>
      <c r="X1385" s="410">
        <f>T1385+U1385+V1385+W1385</f>
        <v>1986</v>
      </c>
    </row>
    <row r="1386" spans="1:24" ht="12.75">
      <c r="A1386" s="449"/>
      <c r="B1386" s="450"/>
      <c r="C1386" s="450"/>
      <c r="D1386" s="450"/>
      <c r="E1386" s="450"/>
      <c r="F1386" s="451"/>
      <c r="G1386" s="451"/>
      <c r="H1386" s="452"/>
      <c r="I1386" s="451"/>
      <c r="J1386" s="451"/>
      <c r="K1386" s="451"/>
      <c r="L1386" s="451"/>
      <c r="M1386" s="451"/>
      <c r="N1386" s="451"/>
      <c r="O1386" s="451"/>
      <c r="P1386" s="451"/>
      <c r="Q1386" s="452"/>
      <c r="R1386" s="182"/>
      <c r="S1386" s="456" t="s">
        <v>783</v>
      </c>
      <c r="T1386" s="466">
        <f t="shared" ref="T1386:X1386" si="204">SUM(T1345:T1385)</f>
        <v>175</v>
      </c>
      <c r="U1386" s="466">
        <f t="shared" si="204"/>
        <v>144</v>
      </c>
      <c r="V1386" s="466">
        <f t="shared" si="204"/>
        <v>4143</v>
      </c>
      <c r="W1386" s="466">
        <f t="shared" si="204"/>
        <v>9501</v>
      </c>
      <c r="X1386" s="466">
        <f t="shared" si="204"/>
        <v>13963</v>
      </c>
    </row>
    <row r="1387" spans="1:24" ht="12.75">
      <c r="A1387" s="449"/>
      <c r="B1387" s="450"/>
      <c r="C1387" s="450"/>
      <c r="D1387" s="450"/>
      <c r="E1387" s="450"/>
      <c r="F1387" s="451"/>
      <c r="G1387" s="451"/>
      <c r="H1387" s="452"/>
      <c r="I1387" s="451"/>
      <c r="J1387" s="451"/>
      <c r="K1387" s="451"/>
      <c r="L1387" s="451"/>
      <c r="M1387" s="451"/>
      <c r="N1387" s="451"/>
      <c r="O1387" s="451"/>
      <c r="P1387" s="451"/>
      <c r="Q1387" s="452"/>
      <c r="R1387" s="182"/>
      <c r="S1387" s="362"/>
      <c r="T1387" s="97"/>
      <c r="U1387" s="97"/>
      <c r="V1387" s="97"/>
      <c r="W1387" s="97"/>
      <c r="X1387" s="97"/>
    </row>
    <row r="1388" spans="1:24" ht="12.75">
      <c r="A1388" s="428" t="s">
        <v>526</v>
      </c>
      <c r="B1388" s="429" t="s">
        <v>171</v>
      </c>
      <c r="C1388" s="429" t="s">
        <v>784</v>
      </c>
      <c r="D1388" s="429">
        <v>2016</v>
      </c>
      <c r="E1388" s="429" t="s">
        <v>775</v>
      </c>
      <c r="F1388" s="430">
        <v>12</v>
      </c>
      <c r="G1388" s="430">
        <v>0</v>
      </c>
      <c r="H1388" s="431">
        <v>0</v>
      </c>
      <c r="I1388" s="430">
        <v>0</v>
      </c>
      <c r="J1388" s="430">
        <v>8</v>
      </c>
      <c r="K1388" s="430">
        <v>0</v>
      </c>
      <c r="L1388" s="430">
        <v>0</v>
      </c>
      <c r="M1388" s="430">
        <v>0</v>
      </c>
      <c r="N1388" s="430">
        <v>12</v>
      </c>
      <c r="O1388" s="430">
        <v>4</v>
      </c>
      <c r="P1388" s="430">
        <v>25</v>
      </c>
      <c r="Q1388" s="431">
        <v>34</v>
      </c>
      <c r="R1388" s="328">
        <f t="shared" ref="R1388:R1392" si="205">F1388+J1388+N1388+P1388</f>
        <v>57</v>
      </c>
      <c r="S1388" s="365">
        <f t="shared" ref="S1388:S1392" si="206">K1388+O1388+G1388+Q1388</f>
        <v>38</v>
      </c>
      <c r="T1388" s="331">
        <f t="shared" ref="T1388:T1390" si="207">G1388</f>
        <v>0</v>
      </c>
      <c r="U1388" s="331">
        <f t="shared" ref="U1388:U1390" si="208">K1388</f>
        <v>0</v>
      </c>
      <c r="V1388" s="331">
        <f t="shared" ref="V1388:V1390" si="209">O1388</f>
        <v>4</v>
      </c>
      <c r="W1388" s="331">
        <f t="shared" ref="W1388:W1390" si="210">Q1388</f>
        <v>34</v>
      </c>
      <c r="X1388" s="331">
        <f t="shared" ref="X1388:X1390" si="211">T1388+U1388+V1388+W1388</f>
        <v>38</v>
      </c>
    </row>
    <row r="1389" spans="1:24" ht="12.75">
      <c r="A1389" s="433" t="s">
        <v>526</v>
      </c>
      <c r="B1389" s="434" t="s">
        <v>171</v>
      </c>
      <c r="C1389" s="434" t="s">
        <v>784</v>
      </c>
      <c r="D1389" s="434">
        <v>2017</v>
      </c>
      <c r="E1389" s="434" t="s">
        <v>775</v>
      </c>
      <c r="F1389" s="435">
        <v>12</v>
      </c>
      <c r="G1389" s="435">
        <v>0</v>
      </c>
      <c r="H1389" s="436">
        <v>0</v>
      </c>
      <c r="I1389" s="435">
        <v>0</v>
      </c>
      <c r="J1389" s="435">
        <v>8</v>
      </c>
      <c r="K1389" s="435">
        <v>0</v>
      </c>
      <c r="L1389" s="435">
        <v>0</v>
      </c>
      <c r="M1389" s="435">
        <v>0</v>
      </c>
      <c r="N1389" s="435">
        <v>12</v>
      </c>
      <c r="O1389" s="435">
        <v>15</v>
      </c>
      <c r="P1389" s="435">
        <v>25</v>
      </c>
      <c r="Q1389" s="436">
        <v>25</v>
      </c>
      <c r="R1389" s="336">
        <f t="shared" si="205"/>
        <v>57</v>
      </c>
      <c r="S1389" s="366">
        <f t="shared" si="206"/>
        <v>40</v>
      </c>
      <c r="T1389" s="339">
        <f t="shared" si="207"/>
        <v>0</v>
      </c>
      <c r="U1389" s="339">
        <f t="shared" si="208"/>
        <v>0</v>
      </c>
      <c r="V1389" s="339">
        <f t="shared" si="209"/>
        <v>15</v>
      </c>
      <c r="W1389" s="339">
        <f t="shared" si="210"/>
        <v>25</v>
      </c>
      <c r="X1389" s="339">
        <f t="shared" si="211"/>
        <v>40</v>
      </c>
    </row>
    <row r="1390" spans="1:24" ht="12.75">
      <c r="A1390" s="438" t="s">
        <v>526</v>
      </c>
      <c r="B1390" s="439" t="s">
        <v>171</v>
      </c>
      <c r="C1390" s="439" t="s">
        <v>784</v>
      </c>
      <c r="D1390" s="439">
        <v>2018</v>
      </c>
      <c r="E1390" s="439" t="s">
        <v>775</v>
      </c>
      <c r="F1390" s="440">
        <v>12</v>
      </c>
      <c r="G1390" s="441">
        <v>0</v>
      </c>
      <c r="H1390" s="440">
        <v>0</v>
      </c>
      <c r="I1390" s="440">
        <v>0</v>
      </c>
      <c r="J1390" s="440">
        <v>8</v>
      </c>
      <c r="K1390" s="441">
        <v>0</v>
      </c>
      <c r="L1390" s="440">
        <v>0</v>
      </c>
      <c r="M1390" s="440">
        <v>0</v>
      </c>
      <c r="N1390" s="440">
        <v>12</v>
      </c>
      <c r="O1390" s="440">
        <v>15</v>
      </c>
      <c r="P1390" s="440">
        <v>25</v>
      </c>
      <c r="Q1390" s="440">
        <v>41</v>
      </c>
      <c r="R1390" s="344">
        <f t="shared" si="205"/>
        <v>57</v>
      </c>
      <c r="S1390" s="367">
        <f t="shared" si="206"/>
        <v>56</v>
      </c>
      <c r="T1390" s="345">
        <f t="shared" si="207"/>
        <v>0</v>
      </c>
      <c r="U1390" s="345">
        <f t="shared" si="208"/>
        <v>0</v>
      </c>
      <c r="V1390" s="345">
        <f t="shared" si="209"/>
        <v>15</v>
      </c>
      <c r="W1390" s="345">
        <f t="shared" si="210"/>
        <v>41</v>
      </c>
      <c r="X1390" s="345">
        <f t="shared" si="211"/>
        <v>56</v>
      </c>
    </row>
    <row r="1391" spans="1:24" ht="12.75">
      <c r="A1391" s="346" t="s">
        <v>526</v>
      </c>
      <c r="B1391" s="347" t="s">
        <v>171</v>
      </c>
      <c r="C1391" s="347" t="s">
        <v>785</v>
      </c>
      <c r="D1391" s="347">
        <v>2019</v>
      </c>
      <c r="E1391" s="347" t="s">
        <v>775</v>
      </c>
      <c r="F1391" s="348">
        <v>12</v>
      </c>
      <c r="G1391" s="348">
        <v>0</v>
      </c>
      <c r="H1391" s="348">
        <v>0</v>
      </c>
      <c r="I1391" s="348">
        <v>0</v>
      </c>
      <c r="J1391" s="348">
        <v>8</v>
      </c>
      <c r="K1391" s="348">
        <v>1</v>
      </c>
      <c r="L1391" s="348">
        <v>0</v>
      </c>
      <c r="M1391" s="348">
        <v>1</v>
      </c>
      <c r="N1391" s="348">
        <v>12</v>
      </c>
      <c r="O1391" s="348">
        <v>12</v>
      </c>
      <c r="P1391" s="348">
        <v>25</v>
      </c>
      <c r="Q1391" s="348">
        <v>30</v>
      </c>
      <c r="R1391" s="350">
        <f t="shared" si="205"/>
        <v>57</v>
      </c>
      <c r="S1391" s="348">
        <f t="shared" si="206"/>
        <v>43</v>
      </c>
      <c r="T1391" s="351"/>
      <c r="U1391" s="351"/>
      <c r="V1391" s="351"/>
      <c r="W1391" s="351"/>
      <c r="X1391" s="351"/>
    </row>
    <row r="1392" spans="1:24" ht="12.75">
      <c r="A1392" s="346" t="s">
        <v>527</v>
      </c>
      <c r="B1392" s="347" t="s">
        <v>171</v>
      </c>
      <c r="C1392" s="347" t="s">
        <v>785</v>
      </c>
      <c r="D1392" s="347">
        <v>2019</v>
      </c>
      <c r="E1392" s="347" t="s">
        <v>775</v>
      </c>
      <c r="F1392" s="348">
        <v>3</v>
      </c>
      <c r="G1392" s="348">
        <v>0</v>
      </c>
      <c r="H1392" s="348">
        <v>0</v>
      </c>
      <c r="I1392" s="348">
        <v>0</v>
      </c>
      <c r="J1392" s="348">
        <v>2</v>
      </c>
      <c r="K1392" s="348">
        <v>0</v>
      </c>
      <c r="L1392" s="348">
        <v>0</v>
      </c>
      <c r="M1392" s="348">
        <v>0</v>
      </c>
      <c r="N1392" s="348">
        <v>3</v>
      </c>
      <c r="O1392" s="348">
        <v>0</v>
      </c>
      <c r="P1392" s="348">
        <v>5</v>
      </c>
      <c r="Q1392" s="348">
        <v>0</v>
      </c>
      <c r="R1392" s="350">
        <f t="shared" si="205"/>
        <v>13</v>
      </c>
      <c r="S1392" s="348">
        <f t="shared" si="206"/>
        <v>0</v>
      </c>
      <c r="T1392" s="399">
        <f>SUM(G1391:G1392)</f>
        <v>0</v>
      </c>
      <c r="U1392" s="399">
        <f>SUM(K1391:K1392)</f>
        <v>1</v>
      </c>
      <c r="V1392" s="399">
        <f>SUM(O1391:O1392)</f>
        <v>12</v>
      </c>
      <c r="W1392" s="399">
        <f>SUM(Q1391:Q1392)</f>
        <v>30</v>
      </c>
      <c r="X1392" s="399">
        <f>T1392+U1392+V1392+W1392</f>
        <v>43</v>
      </c>
    </row>
    <row r="1393" spans="1:24" ht="12.75">
      <c r="A1393" s="474"/>
      <c r="B1393" s="475"/>
      <c r="C1393" s="475"/>
      <c r="D1393" s="475"/>
      <c r="E1393" s="475"/>
      <c r="F1393" s="476"/>
      <c r="G1393" s="476"/>
      <c r="H1393" s="477"/>
      <c r="I1393" s="476"/>
      <c r="J1393" s="476"/>
      <c r="K1393" s="476"/>
      <c r="L1393" s="476"/>
      <c r="M1393" s="476"/>
      <c r="N1393" s="476"/>
      <c r="O1393" s="476"/>
      <c r="P1393" s="476"/>
      <c r="Q1393" s="477"/>
      <c r="R1393" s="182"/>
      <c r="S1393" s="456" t="s">
        <v>783</v>
      </c>
      <c r="T1393" s="478">
        <f t="shared" ref="T1393:X1393" si="212">SUM(T1388:T1392)</f>
        <v>0</v>
      </c>
      <c r="U1393" s="478">
        <f t="shared" si="212"/>
        <v>1</v>
      </c>
      <c r="V1393" s="478">
        <f t="shared" si="212"/>
        <v>46</v>
      </c>
      <c r="W1393" s="478">
        <f t="shared" si="212"/>
        <v>130</v>
      </c>
      <c r="X1393" s="478">
        <f t="shared" si="212"/>
        <v>177</v>
      </c>
    </row>
    <row r="1394" spans="1:24" ht="12.75">
      <c r="A1394" s="474"/>
      <c r="B1394" s="475"/>
      <c r="C1394" s="475"/>
      <c r="D1394" s="475"/>
      <c r="E1394" s="475"/>
      <c r="F1394" s="476"/>
      <c r="G1394" s="476"/>
      <c r="H1394" s="477"/>
      <c r="I1394" s="476"/>
      <c r="J1394" s="476"/>
      <c r="K1394" s="476"/>
      <c r="L1394" s="476"/>
      <c r="M1394" s="476"/>
      <c r="N1394" s="476"/>
      <c r="O1394" s="476"/>
      <c r="P1394" s="476"/>
      <c r="Q1394" s="477"/>
      <c r="R1394" s="182"/>
      <c r="S1394" s="362"/>
      <c r="T1394" s="184"/>
      <c r="U1394" s="184"/>
      <c r="V1394" s="184"/>
      <c r="W1394" s="184"/>
      <c r="X1394" s="184"/>
    </row>
    <row r="1395" spans="1:24" ht="12.75">
      <c r="A1395" s="417" t="s">
        <v>528</v>
      </c>
      <c r="B1395" s="418" t="s">
        <v>173</v>
      </c>
      <c r="C1395" s="418" t="s">
        <v>812</v>
      </c>
      <c r="D1395" s="418">
        <v>2014</v>
      </c>
      <c r="E1395" s="418" t="s">
        <v>775</v>
      </c>
      <c r="F1395" s="419">
        <v>872</v>
      </c>
      <c r="G1395" s="419">
        <v>0</v>
      </c>
      <c r="H1395" s="420">
        <v>0</v>
      </c>
      <c r="I1395" s="419">
        <v>0</v>
      </c>
      <c r="J1395" s="419">
        <v>593</v>
      </c>
      <c r="K1395" s="419">
        <v>0</v>
      </c>
      <c r="L1395" s="419">
        <v>0</v>
      </c>
      <c r="M1395" s="419">
        <v>0</v>
      </c>
      <c r="N1395" s="419">
        <v>685</v>
      </c>
      <c r="O1395" s="419">
        <v>0</v>
      </c>
      <c r="P1395" s="419">
        <v>1642</v>
      </c>
      <c r="Q1395" s="420">
        <v>0</v>
      </c>
      <c r="R1395" s="311">
        <f t="shared" ref="R1395:R1458" si="213">F1395+J1395+N1395+P1395</f>
        <v>3792</v>
      </c>
      <c r="S1395" s="363">
        <f t="shared" ref="S1395:S1458" si="214">K1395+O1395+G1395+Q1395</f>
        <v>0</v>
      </c>
      <c r="T1395" s="421"/>
      <c r="U1395" s="479"/>
      <c r="V1395" s="421"/>
      <c r="W1395" s="421"/>
      <c r="X1395" s="421"/>
    </row>
    <row r="1396" spans="1:24" ht="12.75">
      <c r="A1396" s="417" t="s">
        <v>531</v>
      </c>
      <c r="B1396" s="418" t="s">
        <v>173</v>
      </c>
      <c r="C1396" s="418" t="s">
        <v>812</v>
      </c>
      <c r="D1396" s="418">
        <v>2014</v>
      </c>
      <c r="E1396" s="418" t="s">
        <v>775</v>
      </c>
      <c r="F1396" s="419">
        <v>543</v>
      </c>
      <c r="G1396" s="419">
        <v>0</v>
      </c>
      <c r="H1396" s="420">
        <v>0</v>
      </c>
      <c r="I1396" s="419">
        <v>0</v>
      </c>
      <c r="J1396" s="419">
        <v>383</v>
      </c>
      <c r="K1396" s="419">
        <v>0</v>
      </c>
      <c r="L1396" s="419">
        <v>0</v>
      </c>
      <c r="M1396" s="419">
        <v>0</v>
      </c>
      <c r="N1396" s="419">
        <v>433</v>
      </c>
      <c r="O1396" s="419">
        <v>0</v>
      </c>
      <c r="P1396" s="419">
        <v>982</v>
      </c>
      <c r="Q1396" s="420">
        <v>37</v>
      </c>
      <c r="R1396" s="311">
        <f t="shared" si="213"/>
        <v>2341</v>
      </c>
      <c r="S1396" s="363">
        <f t="shared" si="214"/>
        <v>37</v>
      </c>
      <c r="T1396" s="421"/>
      <c r="U1396" s="479"/>
      <c r="V1396" s="421"/>
      <c r="W1396" s="421"/>
      <c r="X1396" s="421"/>
    </row>
    <row r="1397" spans="1:24" ht="12.75">
      <c r="A1397" s="417" t="s">
        <v>532</v>
      </c>
      <c r="B1397" s="418" t="s">
        <v>173</v>
      </c>
      <c r="C1397" s="418" t="s">
        <v>812</v>
      </c>
      <c r="D1397" s="418">
        <v>2014</v>
      </c>
      <c r="E1397" s="418" t="s">
        <v>775</v>
      </c>
      <c r="F1397" s="419">
        <v>21</v>
      </c>
      <c r="G1397" s="419">
        <v>0</v>
      </c>
      <c r="H1397" s="420">
        <v>0</v>
      </c>
      <c r="I1397" s="419">
        <v>0</v>
      </c>
      <c r="J1397" s="419">
        <v>14</v>
      </c>
      <c r="K1397" s="419">
        <v>0</v>
      </c>
      <c r="L1397" s="419">
        <v>0</v>
      </c>
      <c r="M1397" s="419">
        <v>0</v>
      </c>
      <c r="N1397" s="419">
        <v>16</v>
      </c>
      <c r="O1397" s="419">
        <v>1</v>
      </c>
      <c r="P1397" s="419">
        <v>32</v>
      </c>
      <c r="Q1397" s="420">
        <v>4</v>
      </c>
      <c r="R1397" s="311">
        <f t="shared" si="213"/>
        <v>83</v>
      </c>
      <c r="S1397" s="363">
        <f t="shared" si="214"/>
        <v>5</v>
      </c>
      <c r="T1397" s="421"/>
      <c r="U1397" s="479"/>
      <c r="V1397" s="421"/>
      <c r="W1397" s="421"/>
      <c r="X1397" s="421"/>
    </row>
    <row r="1398" spans="1:24" ht="12.75">
      <c r="A1398" s="417" t="s">
        <v>533</v>
      </c>
      <c r="B1398" s="418" t="s">
        <v>173</v>
      </c>
      <c r="C1398" s="418" t="s">
        <v>812</v>
      </c>
      <c r="D1398" s="418">
        <v>2014</v>
      </c>
      <c r="E1398" s="418" t="s">
        <v>775</v>
      </c>
      <c r="F1398" s="419">
        <v>141</v>
      </c>
      <c r="G1398" s="419">
        <v>0</v>
      </c>
      <c r="H1398" s="420">
        <v>0</v>
      </c>
      <c r="I1398" s="419">
        <v>0</v>
      </c>
      <c r="J1398" s="419">
        <v>95</v>
      </c>
      <c r="K1398" s="419">
        <v>0</v>
      </c>
      <c r="L1398" s="419">
        <v>0</v>
      </c>
      <c r="M1398" s="419">
        <v>0</v>
      </c>
      <c r="N1398" s="419">
        <v>110</v>
      </c>
      <c r="O1398" s="419">
        <v>32</v>
      </c>
      <c r="P1398" s="419">
        <v>254</v>
      </c>
      <c r="Q1398" s="420">
        <v>0</v>
      </c>
      <c r="R1398" s="311">
        <f t="shared" si="213"/>
        <v>600</v>
      </c>
      <c r="S1398" s="363">
        <f t="shared" si="214"/>
        <v>32</v>
      </c>
      <c r="T1398" s="421"/>
      <c r="U1398" s="421"/>
      <c r="V1398" s="421"/>
      <c r="W1398" s="421"/>
      <c r="X1398" s="421"/>
    </row>
    <row r="1399" spans="1:24" ht="12.75">
      <c r="A1399" s="417" t="s">
        <v>534</v>
      </c>
      <c r="B1399" s="418" t="s">
        <v>173</v>
      </c>
      <c r="C1399" s="418" t="s">
        <v>812</v>
      </c>
      <c r="D1399" s="418">
        <v>2014</v>
      </c>
      <c r="E1399" s="418" t="s">
        <v>775</v>
      </c>
      <c r="F1399" s="419">
        <v>1555</v>
      </c>
      <c r="G1399" s="419">
        <v>52</v>
      </c>
      <c r="H1399" s="420">
        <v>52</v>
      </c>
      <c r="I1399" s="419">
        <v>0</v>
      </c>
      <c r="J1399" s="419">
        <v>1059</v>
      </c>
      <c r="K1399" s="419">
        <v>32</v>
      </c>
      <c r="L1399" s="419">
        <v>32</v>
      </c>
      <c r="M1399" s="419">
        <v>0</v>
      </c>
      <c r="N1399" s="419">
        <v>1212</v>
      </c>
      <c r="O1399" s="419">
        <v>0</v>
      </c>
      <c r="P1399" s="419">
        <v>2945</v>
      </c>
      <c r="Q1399" s="420">
        <v>64</v>
      </c>
      <c r="R1399" s="311">
        <f t="shared" si="213"/>
        <v>6771</v>
      </c>
      <c r="S1399" s="363">
        <f t="shared" si="214"/>
        <v>148</v>
      </c>
      <c r="T1399" s="421"/>
      <c r="U1399" s="421"/>
      <c r="V1399" s="421"/>
      <c r="W1399" s="421"/>
      <c r="X1399" s="421"/>
    </row>
    <row r="1400" spans="1:24" ht="12.75">
      <c r="A1400" s="417" t="s">
        <v>535</v>
      </c>
      <c r="B1400" s="418" t="s">
        <v>173</v>
      </c>
      <c r="C1400" s="418" t="s">
        <v>812</v>
      </c>
      <c r="D1400" s="418">
        <v>2014</v>
      </c>
      <c r="E1400" s="418" t="s">
        <v>775</v>
      </c>
      <c r="F1400" s="419">
        <v>192</v>
      </c>
      <c r="G1400" s="419">
        <v>53</v>
      </c>
      <c r="H1400" s="420">
        <v>53</v>
      </c>
      <c r="I1400" s="419">
        <v>0</v>
      </c>
      <c r="J1400" s="419">
        <v>128</v>
      </c>
      <c r="K1400" s="419">
        <v>18</v>
      </c>
      <c r="L1400" s="419">
        <v>18</v>
      </c>
      <c r="M1400" s="419">
        <v>0</v>
      </c>
      <c r="N1400" s="419">
        <v>142</v>
      </c>
      <c r="O1400" s="419">
        <v>3</v>
      </c>
      <c r="P1400" s="419">
        <v>308</v>
      </c>
      <c r="Q1400" s="420">
        <v>622</v>
      </c>
      <c r="R1400" s="311">
        <f t="shared" si="213"/>
        <v>770</v>
      </c>
      <c r="S1400" s="363">
        <f t="shared" si="214"/>
        <v>696</v>
      </c>
      <c r="T1400" s="421"/>
      <c r="U1400" s="421"/>
      <c r="V1400" s="421"/>
      <c r="W1400" s="421"/>
      <c r="X1400" s="421"/>
    </row>
    <row r="1401" spans="1:24" ht="12.75">
      <c r="A1401" s="417" t="s">
        <v>537</v>
      </c>
      <c r="B1401" s="418" t="s">
        <v>173</v>
      </c>
      <c r="C1401" s="418" t="s">
        <v>812</v>
      </c>
      <c r="D1401" s="418">
        <v>2014</v>
      </c>
      <c r="E1401" s="418" t="s">
        <v>775</v>
      </c>
      <c r="F1401" s="419">
        <v>374</v>
      </c>
      <c r="G1401" s="419">
        <v>0</v>
      </c>
      <c r="H1401" s="420">
        <v>0</v>
      </c>
      <c r="I1401" s="419">
        <v>0</v>
      </c>
      <c r="J1401" s="419">
        <v>250</v>
      </c>
      <c r="K1401" s="419">
        <v>0</v>
      </c>
      <c r="L1401" s="419">
        <v>0</v>
      </c>
      <c r="M1401" s="419">
        <v>0</v>
      </c>
      <c r="N1401" s="419">
        <v>274</v>
      </c>
      <c r="O1401" s="419">
        <v>0</v>
      </c>
      <c r="P1401" s="419">
        <v>565</v>
      </c>
      <c r="Q1401" s="420">
        <v>429</v>
      </c>
      <c r="R1401" s="311">
        <f t="shared" si="213"/>
        <v>1463</v>
      </c>
      <c r="S1401" s="363">
        <f t="shared" si="214"/>
        <v>429</v>
      </c>
      <c r="T1401" s="421"/>
      <c r="U1401" s="421"/>
      <c r="V1401" s="421"/>
      <c r="W1401" s="421"/>
      <c r="X1401" s="421"/>
    </row>
    <row r="1402" spans="1:24" ht="12.75">
      <c r="A1402" s="417" t="s">
        <v>538</v>
      </c>
      <c r="B1402" s="463" t="s">
        <v>173</v>
      </c>
      <c r="C1402" s="418" t="s">
        <v>812</v>
      </c>
      <c r="D1402" s="418">
        <v>2014</v>
      </c>
      <c r="E1402" s="418" t="s">
        <v>775</v>
      </c>
      <c r="F1402" s="419">
        <v>134</v>
      </c>
      <c r="G1402" s="419">
        <v>0</v>
      </c>
      <c r="H1402" s="420">
        <v>0</v>
      </c>
      <c r="I1402" s="419">
        <v>0</v>
      </c>
      <c r="J1402" s="419">
        <v>96</v>
      </c>
      <c r="K1402" s="419">
        <v>3</v>
      </c>
      <c r="L1402" s="419">
        <v>0</v>
      </c>
      <c r="M1402" s="419">
        <v>3</v>
      </c>
      <c r="N1402" s="419">
        <v>112</v>
      </c>
      <c r="O1402" s="419">
        <v>114</v>
      </c>
      <c r="P1402" s="419">
        <v>262</v>
      </c>
      <c r="Q1402" s="420">
        <v>32</v>
      </c>
      <c r="R1402" s="311">
        <f t="shared" si="213"/>
        <v>604</v>
      </c>
      <c r="S1402" s="363">
        <f t="shared" si="214"/>
        <v>149</v>
      </c>
      <c r="T1402" s="421"/>
      <c r="U1402" s="421"/>
      <c r="V1402" s="421"/>
      <c r="W1402" s="421"/>
      <c r="X1402" s="421"/>
    </row>
    <row r="1403" spans="1:24" ht="12.75">
      <c r="A1403" s="417" t="s">
        <v>539</v>
      </c>
      <c r="B1403" s="418" t="s">
        <v>173</v>
      </c>
      <c r="C1403" s="418" t="s">
        <v>812</v>
      </c>
      <c r="D1403" s="418">
        <v>2014</v>
      </c>
      <c r="E1403" s="418" t="s">
        <v>775</v>
      </c>
      <c r="F1403" s="419">
        <v>40</v>
      </c>
      <c r="G1403" s="419">
        <v>0</v>
      </c>
      <c r="H1403" s="420">
        <v>0</v>
      </c>
      <c r="I1403" s="419">
        <v>0</v>
      </c>
      <c r="J1403" s="419">
        <v>27</v>
      </c>
      <c r="K1403" s="419">
        <v>0</v>
      </c>
      <c r="L1403" s="419">
        <v>0</v>
      </c>
      <c r="M1403" s="419">
        <v>0</v>
      </c>
      <c r="N1403" s="419">
        <v>31</v>
      </c>
      <c r="O1403" s="419">
        <v>0</v>
      </c>
      <c r="P1403" s="419">
        <v>62</v>
      </c>
      <c r="Q1403" s="420">
        <v>40</v>
      </c>
      <c r="R1403" s="311">
        <f t="shared" si="213"/>
        <v>160</v>
      </c>
      <c r="S1403" s="363">
        <f t="shared" si="214"/>
        <v>40</v>
      </c>
      <c r="T1403" s="421"/>
      <c r="U1403" s="479"/>
      <c r="V1403" s="421"/>
      <c r="W1403" s="421"/>
      <c r="X1403" s="421"/>
    </row>
    <row r="1404" spans="1:24" ht="12.75">
      <c r="A1404" s="417" t="s">
        <v>540</v>
      </c>
      <c r="B1404" s="418" t="s">
        <v>173</v>
      </c>
      <c r="C1404" s="418" t="s">
        <v>812</v>
      </c>
      <c r="D1404" s="418">
        <v>2014</v>
      </c>
      <c r="E1404" s="418" t="s">
        <v>775</v>
      </c>
      <c r="F1404" s="419">
        <v>714</v>
      </c>
      <c r="G1404" s="419">
        <v>84</v>
      </c>
      <c r="H1404" s="420">
        <v>84</v>
      </c>
      <c r="I1404" s="419">
        <v>0</v>
      </c>
      <c r="J1404" s="419">
        <v>487</v>
      </c>
      <c r="K1404" s="419">
        <v>0</v>
      </c>
      <c r="L1404" s="419">
        <v>0</v>
      </c>
      <c r="M1404" s="419">
        <v>0</v>
      </c>
      <c r="N1404" s="419">
        <v>553</v>
      </c>
      <c r="O1404" s="419">
        <v>1</v>
      </c>
      <c r="P1404" s="419">
        <v>1271</v>
      </c>
      <c r="Q1404" s="420">
        <v>367</v>
      </c>
      <c r="R1404" s="311">
        <f t="shared" si="213"/>
        <v>3025</v>
      </c>
      <c r="S1404" s="363">
        <f t="shared" si="214"/>
        <v>452</v>
      </c>
      <c r="T1404" s="421"/>
      <c r="U1404" s="479"/>
      <c r="V1404" s="421"/>
      <c r="W1404" s="421"/>
      <c r="X1404" s="421"/>
    </row>
    <row r="1405" spans="1:24" ht="12.75">
      <c r="A1405" s="417" t="s">
        <v>543</v>
      </c>
      <c r="B1405" s="418" t="s">
        <v>173</v>
      </c>
      <c r="C1405" s="418" t="s">
        <v>812</v>
      </c>
      <c r="D1405" s="418">
        <v>2014</v>
      </c>
      <c r="E1405" s="418" t="s">
        <v>775</v>
      </c>
      <c r="F1405" s="419">
        <v>1196</v>
      </c>
      <c r="G1405" s="419">
        <v>0</v>
      </c>
      <c r="H1405" s="420">
        <v>0</v>
      </c>
      <c r="I1405" s="419">
        <v>0</v>
      </c>
      <c r="J1405" s="419">
        <v>801</v>
      </c>
      <c r="K1405" s="419">
        <v>0</v>
      </c>
      <c r="L1405" s="419">
        <v>0</v>
      </c>
      <c r="M1405" s="419">
        <v>0</v>
      </c>
      <c r="N1405" s="419">
        <v>897</v>
      </c>
      <c r="O1405" s="419">
        <v>0</v>
      </c>
      <c r="P1405" s="419">
        <v>2035</v>
      </c>
      <c r="Q1405" s="420">
        <v>0</v>
      </c>
      <c r="R1405" s="311">
        <f t="shared" si="213"/>
        <v>4929</v>
      </c>
      <c r="S1405" s="363">
        <f t="shared" si="214"/>
        <v>0</v>
      </c>
      <c r="T1405" s="421"/>
      <c r="U1405" s="479"/>
      <c r="V1405" s="421"/>
      <c r="W1405" s="421"/>
      <c r="X1405" s="421"/>
    </row>
    <row r="1406" spans="1:24" ht="12.75">
      <c r="A1406" s="417" t="s">
        <v>544</v>
      </c>
      <c r="B1406" s="418" t="s">
        <v>173</v>
      </c>
      <c r="C1406" s="418" t="s">
        <v>812</v>
      </c>
      <c r="D1406" s="418">
        <v>2014</v>
      </c>
      <c r="E1406" s="418" t="s">
        <v>775</v>
      </c>
      <c r="F1406" s="419">
        <v>1488</v>
      </c>
      <c r="G1406" s="419">
        <v>1</v>
      </c>
      <c r="H1406" s="420">
        <v>0</v>
      </c>
      <c r="I1406" s="419">
        <v>1</v>
      </c>
      <c r="J1406" s="419">
        <v>1007</v>
      </c>
      <c r="K1406" s="419">
        <v>1</v>
      </c>
      <c r="L1406" s="419">
        <v>0</v>
      </c>
      <c r="M1406" s="419">
        <v>1</v>
      </c>
      <c r="N1406" s="419">
        <v>1140</v>
      </c>
      <c r="O1406" s="419">
        <v>158</v>
      </c>
      <c r="P1406" s="419">
        <v>2610</v>
      </c>
      <c r="Q1406" s="420">
        <v>181</v>
      </c>
      <c r="R1406" s="311">
        <f t="shared" si="213"/>
        <v>6245</v>
      </c>
      <c r="S1406" s="363">
        <f t="shared" si="214"/>
        <v>341</v>
      </c>
      <c r="T1406" s="421"/>
      <c r="U1406" s="421"/>
      <c r="V1406" s="421"/>
      <c r="W1406" s="421"/>
      <c r="X1406" s="421"/>
    </row>
    <row r="1407" spans="1:24" ht="12.75">
      <c r="A1407" s="417" t="s">
        <v>545</v>
      </c>
      <c r="B1407" s="418" t="s">
        <v>173</v>
      </c>
      <c r="C1407" s="418" t="s">
        <v>812</v>
      </c>
      <c r="D1407" s="418">
        <v>2014</v>
      </c>
      <c r="E1407" s="418" t="s">
        <v>775</v>
      </c>
      <c r="F1407" s="419">
        <v>1500</v>
      </c>
      <c r="G1407" s="419">
        <v>0</v>
      </c>
      <c r="H1407" s="420">
        <v>0</v>
      </c>
      <c r="I1407" s="419">
        <v>0</v>
      </c>
      <c r="J1407" s="419">
        <v>993</v>
      </c>
      <c r="K1407" s="419">
        <v>0</v>
      </c>
      <c r="L1407" s="419">
        <v>0</v>
      </c>
      <c r="M1407" s="419">
        <v>0</v>
      </c>
      <c r="N1407" s="419">
        <v>1112</v>
      </c>
      <c r="O1407" s="419">
        <v>0</v>
      </c>
      <c r="P1407" s="419">
        <v>2564</v>
      </c>
      <c r="Q1407" s="420">
        <v>93</v>
      </c>
      <c r="R1407" s="311">
        <f t="shared" si="213"/>
        <v>6169</v>
      </c>
      <c r="S1407" s="363">
        <f t="shared" si="214"/>
        <v>93</v>
      </c>
      <c r="T1407" s="421"/>
      <c r="U1407" s="417"/>
      <c r="V1407" s="421"/>
      <c r="W1407" s="421"/>
      <c r="X1407" s="421"/>
    </row>
    <row r="1408" spans="1:24" ht="12.75">
      <c r="A1408" s="417" t="s">
        <v>546</v>
      </c>
      <c r="B1408" s="418" t="s">
        <v>173</v>
      </c>
      <c r="C1408" s="418" t="s">
        <v>812</v>
      </c>
      <c r="D1408" s="418">
        <v>2014</v>
      </c>
      <c r="E1408" s="418" t="s">
        <v>775</v>
      </c>
      <c r="F1408" s="419">
        <v>395</v>
      </c>
      <c r="G1408" s="419">
        <v>0</v>
      </c>
      <c r="H1408" s="420">
        <v>0</v>
      </c>
      <c r="I1408" s="419">
        <v>0</v>
      </c>
      <c r="J1408" s="419">
        <v>262</v>
      </c>
      <c r="K1408" s="419">
        <v>0</v>
      </c>
      <c r="L1408" s="419">
        <v>0</v>
      </c>
      <c r="M1408" s="419">
        <v>0</v>
      </c>
      <c r="N1408" s="419">
        <v>289</v>
      </c>
      <c r="O1408" s="419">
        <v>0</v>
      </c>
      <c r="P1408" s="419">
        <v>627</v>
      </c>
      <c r="Q1408" s="420">
        <v>9</v>
      </c>
      <c r="R1408" s="311">
        <f t="shared" si="213"/>
        <v>1573</v>
      </c>
      <c r="S1408" s="363">
        <f t="shared" si="214"/>
        <v>9</v>
      </c>
      <c r="T1408" s="421"/>
      <c r="U1408" s="417"/>
      <c r="V1408" s="421"/>
      <c r="W1408" s="421"/>
      <c r="X1408" s="421"/>
    </row>
    <row r="1409" spans="1:24" ht="12.75">
      <c r="A1409" s="417" t="s">
        <v>548</v>
      </c>
      <c r="B1409" s="418" t="s">
        <v>173</v>
      </c>
      <c r="C1409" s="418" t="s">
        <v>812</v>
      </c>
      <c r="D1409" s="418">
        <v>2014</v>
      </c>
      <c r="E1409" s="418" t="s">
        <v>775</v>
      </c>
      <c r="F1409" s="419">
        <v>98</v>
      </c>
      <c r="G1409" s="419">
        <v>0</v>
      </c>
      <c r="H1409" s="420">
        <v>0</v>
      </c>
      <c r="I1409" s="419">
        <v>0</v>
      </c>
      <c r="J1409" s="419">
        <v>67</v>
      </c>
      <c r="K1409" s="419">
        <v>0</v>
      </c>
      <c r="L1409" s="419">
        <v>0</v>
      </c>
      <c r="M1409" s="419">
        <v>0</v>
      </c>
      <c r="N1409" s="419">
        <v>76</v>
      </c>
      <c r="O1409" s="419">
        <v>0</v>
      </c>
      <c r="P1409" s="419">
        <v>172</v>
      </c>
      <c r="Q1409" s="420">
        <v>220</v>
      </c>
      <c r="R1409" s="311">
        <f t="shared" si="213"/>
        <v>413</v>
      </c>
      <c r="S1409" s="363">
        <f t="shared" si="214"/>
        <v>220</v>
      </c>
      <c r="T1409" s="421"/>
      <c r="U1409" s="417"/>
      <c r="V1409" s="421"/>
      <c r="W1409" s="421"/>
      <c r="X1409" s="421"/>
    </row>
    <row r="1410" spans="1:24" ht="12.75">
      <c r="A1410" s="417" t="s">
        <v>549</v>
      </c>
      <c r="B1410" s="418" t="s">
        <v>173</v>
      </c>
      <c r="C1410" s="418" t="s">
        <v>812</v>
      </c>
      <c r="D1410" s="418">
        <v>2014</v>
      </c>
      <c r="E1410" s="418" t="s">
        <v>775</v>
      </c>
      <c r="F1410" s="419">
        <v>63</v>
      </c>
      <c r="G1410" s="419">
        <v>0</v>
      </c>
      <c r="H1410" s="420">
        <v>0</v>
      </c>
      <c r="I1410" s="419">
        <v>0</v>
      </c>
      <c r="J1410" s="419">
        <v>43</v>
      </c>
      <c r="K1410" s="419">
        <v>0</v>
      </c>
      <c r="L1410" s="419">
        <v>0</v>
      </c>
      <c r="M1410" s="419">
        <v>0</v>
      </c>
      <c r="N1410" s="419">
        <v>50</v>
      </c>
      <c r="O1410" s="419">
        <v>0</v>
      </c>
      <c r="P1410" s="419">
        <v>116</v>
      </c>
      <c r="Q1410" s="420">
        <v>188</v>
      </c>
      <c r="R1410" s="311">
        <f t="shared" si="213"/>
        <v>272</v>
      </c>
      <c r="S1410" s="363">
        <f t="shared" si="214"/>
        <v>188</v>
      </c>
      <c r="T1410" s="421"/>
      <c r="U1410" s="417"/>
      <c r="V1410" s="421"/>
      <c r="W1410" s="421"/>
      <c r="X1410" s="421"/>
    </row>
    <row r="1411" spans="1:24" ht="12.75">
      <c r="A1411" s="417" t="s">
        <v>550</v>
      </c>
      <c r="B1411" s="418" t="s">
        <v>173</v>
      </c>
      <c r="C1411" s="418" t="s">
        <v>812</v>
      </c>
      <c r="D1411" s="418">
        <v>2014</v>
      </c>
      <c r="E1411" s="418" t="s">
        <v>775</v>
      </c>
      <c r="F1411" s="419">
        <v>1026</v>
      </c>
      <c r="G1411" s="419">
        <v>359</v>
      </c>
      <c r="H1411" s="420">
        <v>359</v>
      </c>
      <c r="I1411" s="419">
        <v>0</v>
      </c>
      <c r="J1411" s="419">
        <v>681</v>
      </c>
      <c r="K1411" s="419">
        <v>0</v>
      </c>
      <c r="L1411" s="419">
        <v>0</v>
      </c>
      <c r="M1411" s="419">
        <v>0</v>
      </c>
      <c r="N1411" s="419">
        <v>759</v>
      </c>
      <c r="O1411" s="419">
        <v>222</v>
      </c>
      <c r="P1411" s="419">
        <v>1814</v>
      </c>
      <c r="Q1411" s="420">
        <v>0</v>
      </c>
      <c r="R1411" s="311">
        <f t="shared" si="213"/>
        <v>4280</v>
      </c>
      <c r="S1411" s="363">
        <f t="shared" si="214"/>
        <v>581</v>
      </c>
      <c r="T1411" s="421"/>
      <c r="U1411" s="464"/>
      <c r="V1411" s="421"/>
      <c r="W1411" s="421"/>
      <c r="X1411" s="421"/>
    </row>
    <row r="1412" spans="1:24" ht="12.75">
      <c r="A1412" s="417" t="s">
        <v>552</v>
      </c>
      <c r="B1412" s="463" t="s">
        <v>173</v>
      </c>
      <c r="C1412" s="418" t="s">
        <v>812</v>
      </c>
      <c r="D1412" s="418">
        <v>2014</v>
      </c>
      <c r="E1412" s="418" t="s">
        <v>775</v>
      </c>
      <c r="F1412" s="419">
        <v>7173</v>
      </c>
      <c r="G1412" s="419">
        <v>43</v>
      </c>
      <c r="H1412" s="420">
        <v>43</v>
      </c>
      <c r="I1412" s="419">
        <v>0</v>
      </c>
      <c r="J1412" s="419">
        <v>4871</v>
      </c>
      <c r="K1412" s="419">
        <v>45</v>
      </c>
      <c r="L1412" s="419">
        <v>45</v>
      </c>
      <c r="M1412" s="419">
        <v>0</v>
      </c>
      <c r="N1412" s="419">
        <v>5534</v>
      </c>
      <c r="O1412" s="419">
        <v>430</v>
      </c>
      <c r="P1412" s="419">
        <v>12725</v>
      </c>
      <c r="Q1412" s="420">
        <v>630</v>
      </c>
      <c r="R1412" s="311">
        <f t="shared" si="213"/>
        <v>30303</v>
      </c>
      <c r="S1412" s="363">
        <f t="shared" si="214"/>
        <v>1148</v>
      </c>
      <c r="T1412" s="421"/>
      <c r="U1412" s="464"/>
      <c r="V1412" s="421"/>
      <c r="W1412" s="421"/>
      <c r="X1412" s="421"/>
    </row>
    <row r="1413" spans="1:24" ht="12.75">
      <c r="A1413" s="417" t="s">
        <v>553</v>
      </c>
      <c r="B1413" s="418" t="s">
        <v>173</v>
      </c>
      <c r="C1413" s="418" t="s">
        <v>812</v>
      </c>
      <c r="D1413" s="418">
        <v>2014</v>
      </c>
      <c r="E1413" s="418" t="s">
        <v>775</v>
      </c>
      <c r="F1413" s="419">
        <v>562</v>
      </c>
      <c r="G1413" s="419">
        <v>0</v>
      </c>
      <c r="H1413" s="420">
        <v>0</v>
      </c>
      <c r="I1413" s="419">
        <v>0</v>
      </c>
      <c r="J1413" s="419">
        <v>394</v>
      </c>
      <c r="K1413" s="419">
        <v>0</v>
      </c>
      <c r="L1413" s="419">
        <v>0</v>
      </c>
      <c r="M1413" s="419">
        <v>0</v>
      </c>
      <c r="N1413" s="419">
        <v>441</v>
      </c>
      <c r="O1413" s="419">
        <v>8</v>
      </c>
      <c r="P1413" s="419">
        <v>1036</v>
      </c>
      <c r="Q1413" s="420">
        <v>102</v>
      </c>
      <c r="R1413" s="311">
        <f t="shared" si="213"/>
        <v>2433</v>
      </c>
      <c r="S1413" s="363">
        <f t="shared" si="214"/>
        <v>110</v>
      </c>
      <c r="T1413" s="421"/>
      <c r="U1413" s="421"/>
      <c r="V1413" s="421"/>
      <c r="W1413" s="421"/>
      <c r="X1413" s="421"/>
    </row>
    <row r="1414" spans="1:24" ht="12.75">
      <c r="A1414" s="464" t="s">
        <v>554</v>
      </c>
      <c r="B1414" s="465" t="s">
        <v>173</v>
      </c>
      <c r="C1414" s="465" t="s">
        <v>812</v>
      </c>
      <c r="D1414" s="465">
        <v>2014</v>
      </c>
      <c r="E1414" s="465" t="s">
        <v>775</v>
      </c>
      <c r="F1414" s="420">
        <v>375</v>
      </c>
      <c r="G1414" s="419">
        <v>0</v>
      </c>
      <c r="H1414" s="420">
        <v>0</v>
      </c>
      <c r="I1414" s="420">
        <v>0</v>
      </c>
      <c r="J1414" s="419">
        <v>251</v>
      </c>
      <c r="K1414" s="419">
        <v>0</v>
      </c>
      <c r="L1414" s="420">
        <v>0</v>
      </c>
      <c r="M1414" s="420">
        <v>0</v>
      </c>
      <c r="N1414" s="420">
        <v>271</v>
      </c>
      <c r="O1414" s="420">
        <v>0</v>
      </c>
      <c r="P1414" s="420">
        <v>596</v>
      </c>
      <c r="Q1414" s="420">
        <v>383</v>
      </c>
      <c r="R1414" s="311">
        <f t="shared" si="213"/>
        <v>1493</v>
      </c>
      <c r="S1414" s="363">
        <f t="shared" si="214"/>
        <v>383</v>
      </c>
      <c r="T1414" s="421"/>
      <c r="U1414" s="421"/>
      <c r="V1414" s="421"/>
      <c r="W1414" s="421"/>
      <c r="X1414" s="421"/>
    </row>
    <row r="1415" spans="1:24" ht="12.75">
      <c r="A1415" s="464" t="s">
        <v>555</v>
      </c>
      <c r="B1415" s="465" t="s">
        <v>173</v>
      </c>
      <c r="C1415" s="465" t="s">
        <v>812</v>
      </c>
      <c r="D1415" s="465">
        <v>2014</v>
      </c>
      <c r="E1415" s="465" t="s">
        <v>775</v>
      </c>
      <c r="F1415" s="420">
        <v>621</v>
      </c>
      <c r="G1415" s="419">
        <v>0</v>
      </c>
      <c r="H1415" s="420">
        <v>0</v>
      </c>
      <c r="I1415" s="420">
        <v>0</v>
      </c>
      <c r="J1415" s="420">
        <v>415</v>
      </c>
      <c r="K1415" s="419">
        <v>0</v>
      </c>
      <c r="L1415" s="420">
        <v>0</v>
      </c>
      <c r="M1415" s="420">
        <v>0</v>
      </c>
      <c r="N1415" s="420">
        <v>461</v>
      </c>
      <c r="O1415" s="420">
        <v>4</v>
      </c>
      <c r="P1415" s="420">
        <v>1038</v>
      </c>
      <c r="Q1415" s="420">
        <v>307</v>
      </c>
      <c r="R1415" s="311">
        <f t="shared" si="213"/>
        <v>2535</v>
      </c>
      <c r="S1415" s="363">
        <f t="shared" si="214"/>
        <v>311</v>
      </c>
      <c r="T1415" s="314">
        <f>SUM(G1395:G1415)</f>
        <v>592</v>
      </c>
      <c r="U1415" s="314">
        <f>SUM(K1395:K1415)</f>
        <v>99</v>
      </c>
      <c r="V1415" s="314">
        <f>SUM(O1395:O1415)</f>
        <v>973</v>
      </c>
      <c r="W1415" s="314">
        <f>SUM(Q1395:Q1415)</f>
        <v>3708</v>
      </c>
      <c r="X1415" s="314">
        <f>T1415+U1415+V1415+W1415</f>
        <v>5372</v>
      </c>
    </row>
    <row r="1416" spans="1:24" ht="12.75">
      <c r="A1416" s="422" t="s">
        <v>528</v>
      </c>
      <c r="B1416" s="423" t="s">
        <v>173</v>
      </c>
      <c r="C1416" s="423" t="s">
        <v>812</v>
      </c>
      <c r="D1416" s="423">
        <v>2015</v>
      </c>
      <c r="E1416" s="423" t="s">
        <v>775</v>
      </c>
      <c r="F1416" s="424">
        <v>872</v>
      </c>
      <c r="G1416" s="424">
        <v>0</v>
      </c>
      <c r="H1416" s="425">
        <v>0</v>
      </c>
      <c r="I1416" s="424">
        <v>0</v>
      </c>
      <c r="J1416" s="424">
        <v>593</v>
      </c>
      <c r="K1416" s="424">
        <v>0</v>
      </c>
      <c r="L1416" s="424">
        <v>0</v>
      </c>
      <c r="M1416" s="424">
        <v>0</v>
      </c>
      <c r="N1416" s="424">
        <v>685</v>
      </c>
      <c r="O1416" s="424">
        <v>0</v>
      </c>
      <c r="P1416" s="424">
        <v>1642</v>
      </c>
      <c r="Q1416" s="425">
        <v>0</v>
      </c>
      <c r="R1416" s="319">
        <f t="shared" si="213"/>
        <v>3792</v>
      </c>
      <c r="S1416" s="364">
        <f t="shared" si="214"/>
        <v>0</v>
      </c>
      <c r="T1416" s="426"/>
      <c r="U1416" s="426"/>
      <c r="V1416" s="426"/>
      <c r="W1416" s="426"/>
      <c r="X1416" s="426"/>
    </row>
    <row r="1417" spans="1:24" ht="12.75">
      <c r="A1417" s="422" t="s">
        <v>531</v>
      </c>
      <c r="B1417" s="423" t="s">
        <v>173</v>
      </c>
      <c r="C1417" s="423" t="s">
        <v>812</v>
      </c>
      <c r="D1417" s="423">
        <v>2015</v>
      </c>
      <c r="E1417" s="423" t="s">
        <v>775</v>
      </c>
      <c r="F1417" s="424">
        <v>543</v>
      </c>
      <c r="G1417" s="424">
        <v>0</v>
      </c>
      <c r="H1417" s="425">
        <v>0</v>
      </c>
      <c r="I1417" s="424">
        <v>0</v>
      </c>
      <c r="J1417" s="424">
        <v>383</v>
      </c>
      <c r="K1417" s="424">
        <v>0</v>
      </c>
      <c r="L1417" s="424">
        <v>0</v>
      </c>
      <c r="M1417" s="424">
        <v>0</v>
      </c>
      <c r="N1417" s="424">
        <v>433</v>
      </c>
      <c r="O1417" s="424">
        <v>0</v>
      </c>
      <c r="P1417" s="424">
        <v>982</v>
      </c>
      <c r="Q1417" s="425">
        <v>77</v>
      </c>
      <c r="R1417" s="319">
        <f t="shared" si="213"/>
        <v>2341</v>
      </c>
      <c r="S1417" s="364">
        <f t="shared" si="214"/>
        <v>77</v>
      </c>
      <c r="T1417" s="426"/>
      <c r="U1417" s="426"/>
      <c r="V1417" s="426"/>
      <c r="W1417" s="426"/>
      <c r="X1417" s="426"/>
    </row>
    <row r="1418" spans="1:24" ht="12.75">
      <c r="A1418" s="422" t="s">
        <v>532</v>
      </c>
      <c r="B1418" s="423" t="s">
        <v>173</v>
      </c>
      <c r="C1418" s="423" t="s">
        <v>812</v>
      </c>
      <c r="D1418" s="423">
        <v>2015</v>
      </c>
      <c r="E1418" s="423" t="s">
        <v>775</v>
      </c>
      <c r="F1418" s="424">
        <v>21</v>
      </c>
      <c r="G1418" s="424">
        <v>0</v>
      </c>
      <c r="H1418" s="425">
        <v>0</v>
      </c>
      <c r="I1418" s="424">
        <v>0</v>
      </c>
      <c r="J1418" s="424">
        <v>14</v>
      </c>
      <c r="K1418" s="424">
        <v>0</v>
      </c>
      <c r="L1418" s="424">
        <v>0</v>
      </c>
      <c r="M1418" s="424">
        <v>0</v>
      </c>
      <c r="N1418" s="424">
        <v>16</v>
      </c>
      <c r="O1418" s="424">
        <v>4</v>
      </c>
      <c r="P1418" s="424">
        <v>32</v>
      </c>
      <c r="Q1418" s="425">
        <v>6</v>
      </c>
      <c r="R1418" s="319">
        <f t="shared" si="213"/>
        <v>83</v>
      </c>
      <c r="S1418" s="364">
        <f t="shared" si="214"/>
        <v>10</v>
      </c>
      <c r="T1418" s="426"/>
      <c r="U1418" s="426"/>
      <c r="V1418" s="426"/>
      <c r="W1418" s="426"/>
      <c r="X1418" s="426"/>
    </row>
    <row r="1419" spans="1:24" ht="12.75">
      <c r="A1419" s="422" t="s">
        <v>533</v>
      </c>
      <c r="B1419" s="423" t="s">
        <v>173</v>
      </c>
      <c r="C1419" s="423" t="s">
        <v>812</v>
      </c>
      <c r="D1419" s="423">
        <v>2015</v>
      </c>
      <c r="E1419" s="423" t="s">
        <v>775</v>
      </c>
      <c r="F1419" s="424">
        <v>141</v>
      </c>
      <c r="G1419" s="424">
        <v>0</v>
      </c>
      <c r="H1419" s="425">
        <v>0</v>
      </c>
      <c r="I1419" s="424">
        <v>0</v>
      </c>
      <c r="J1419" s="424">
        <v>95</v>
      </c>
      <c r="K1419" s="424">
        <v>0</v>
      </c>
      <c r="L1419" s="424">
        <v>0</v>
      </c>
      <c r="M1419" s="424">
        <v>0</v>
      </c>
      <c r="N1419" s="424">
        <v>110</v>
      </c>
      <c r="O1419" s="424">
        <v>21</v>
      </c>
      <c r="P1419" s="424">
        <v>254</v>
      </c>
      <c r="Q1419" s="425">
        <v>3</v>
      </c>
      <c r="R1419" s="319">
        <f t="shared" si="213"/>
        <v>600</v>
      </c>
      <c r="S1419" s="364">
        <f t="shared" si="214"/>
        <v>24</v>
      </c>
      <c r="T1419" s="426"/>
      <c r="U1419" s="426"/>
      <c r="V1419" s="426"/>
      <c r="W1419" s="426"/>
      <c r="X1419" s="426"/>
    </row>
    <row r="1420" spans="1:24" ht="12.75">
      <c r="A1420" s="422" t="s">
        <v>534</v>
      </c>
      <c r="B1420" s="423" t="s">
        <v>173</v>
      </c>
      <c r="C1420" s="423" t="s">
        <v>812</v>
      </c>
      <c r="D1420" s="423">
        <v>2015</v>
      </c>
      <c r="E1420" s="423" t="s">
        <v>775</v>
      </c>
      <c r="F1420" s="424">
        <v>1555</v>
      </c>
      <c r="G1420" s="424">
        <v>0</v>
      </c>
      <c r="H1420" s="425">
        <v>0</v>
      </c>
      <c r="I1420" s="424">
        <v>0</v>
      </c>
      <c r="J1420" s="424">
        <v>1059</v>
      </c>
      <c r="K1420" s="424">
        <v>0</v>
      </c>
      <c r="L1420" s="424">
        <v>0</v>
      </c>
      <c r="M1420" s="424">
        <v>0</v>
      </c>
      <c r="N1420" s="424">
        <v>1212</v>
      </c>
      <c r="O1420" s="424">
        <v>0</v>
      </c>
      <c r="P1420" s="424">
        <v>2945</v>
      </c>
      <c r="Q1420" s="425">
        <v>24</v>
      </c>
      <c r="R1420" s="319">
        <f t="shared" si="213"/>
        <v>6771</v>
      </c>
      <c r="S1420" s="364">
        <f t="shared" si="214"/>
        <v>24</v>
      </c>
      <c r="T1420" s="426"/>
      <c r="U1420" s="426"/>
      <c r="V1420" s="426"/>
      <c r="W1420" s="426"/>
      <c r="X1420" s="426"/>
    </row>
    <row r="1421" spans="1:24" ht="12.75">
      <c r="A1421" s="422" t="s">
        <v>535</v>
      </c>
      <c r="B1421" s="423" t="s">
        <v>173</v>
      </c>
      <c r="C1421" s="423" t="s">
        <v>812</v>
      </c>
      <c r="D1421" s="423">
        <v>2015</v>
      </c>
      <c r="E1421" s="423" t="s">
        <v>775</v>
      </c>
      <c r="F1421" s="424">
        <v>192</v>
      </c>
      <c r="G1421" s="424">
        <v>0</v>
      </c>
      <c r="H1421" s="425">
        <v>0</v>
      </c>
      <c r="I1421" s="424">
        <v>0</v>
      </c>
      <c r="J1421" s="424">
        <v>128</v>
      </c>
      <c r="K1421" s="424">
        <v>0</v>
      </c>
      <c r="L1421" s="424">
        <v>0</v>
      </c>
      <c r="M1421" s="424">
        <v>0</v>
      </c>
      <c r="N1421" s="424">
        <v>142</v>
      </c>
      <c r="O1421" s="424">
        <v>2</v>
      </c>
      <c r="P1421" s="424">
        <v>308</v>
      </c>
      <c r="Q1421" s="425">
        <v>559</v>
      </c>
      <c r="R1421" s="319">
        <f t="shared" si="213"/>
        <v>770</v>
      </c>
      <c r="S1421" s="364">
        <f t="shared" si="214"/>
        <v>561</v>
      </c>
      <c r="T1421" s="426"/>
      <c r="U1421" s="426"/>
      <c r="V1421" s="426"/>
      <c r="W1421" s="426"/>
      <c r="X1421" s="426"/>
    </row>
    <row r="1422" spans="1:24" ht="12.75">
      <c r="A1422" s="422" t="s">
        <v>537</v>
      </c>
      <c r="B1422" s="423" t="s">
        <v>173</v>
      </c>
      <c r="C1422" s="423" t="s">
        <v>812</v>
      </c>
      <c r="D1422" s="423">
        <v>2015</v>
      </c>
      <c r="E1422" s="423" t="s">
        <v>775</v>
      </c>
      <c r="F1422" s="424">
        <v>374</v>
      </c>
      <c r="G1422" s="424">
        <v>0</v>
      </c>
      <c r="H1422" s="425">
        <v>0</v>
      </c>
      <c r="I1422" s="424">
        <v>0</v>
      </c>
      <c r="J1422" s="424">
        <v>250</v>
      </c>
      <c r="K1422" s="424">
        <v>0</v>
      </c>
      <c r="L1422" s="424">
        <v>0</v>
      </c>
      <c r="M1422" s="424">
        <v>0</v>
      </c>
      <c r="N1422" s="424">
        <v>274</v>
      </c>
      <c r="O1422" s="424">
        <v>0</v>
      </c>
      <c r="P1422" s="424">
        <v>565</v>
      </c>
      <c r="Q1422" s="425">
        <v>306</v>
      </c>
      <c r="R1422" s="319">
        <f t="shared" si="213"/>
        <v>1463</v>
      </c>
      <c r="S1422" s="364">
        <f t="shared" si="214"/>
        <v>306</v>
      </c>
      <c r="T1422" s="426"/>
      <c r="U1422" s="426"/>
      <c r="V1422" s="426"/>
      <c r="W1422" s="426"/>
      <c r="X1422" s="426"/>
    </row>
    <row r="1423" spans="1:24" ht="12.75">
      <c r="A1423" s="422" t="s">
        <v>538</v>
      </c>
      <c r="B1423" s="423" t="s">
        <v>173</v>
      </c>
      <c r="C1423" s="423" t="s">
        <v>812</v>
      </c>
      <c r="D1423" s="423">
        <v>2015</v>
      </c>
      <c r="E1423" s="423" t="s">
        <v>775</v>
      </c>
      <c r="F1423" s="424">
        <v>134</v>
      </c>
      <c r="G1423" s="424">
        <v>0</v>
      </c>
      <c r="H1423" s="425">
        <v>0</v>
      </c>
      <c r="I1423" s="424">
        <v>0</v>
      </c>
      <c r="J1423" s="424">
        <v>96</v>
      </c>
      <c r="K1423" s="424">
        <v>14</v>
      </c>
      <c r="L1423" s="424">
        <v>12</v>
      </c>
      <c r="M1423" s="424">
        <v>2</v>
      </c>
      <c r="N1423" s="424">
        <v>112</v>
      </c>
      <c r="O1423" s="424">
        <v>76</v>
      </c>
      <c r="P1423" s="424">
        <v>262</v>
      </c>
      <c r="Q1423" s="425">
        <v>17</v>
      </c>
      <c r="R1423" s="319">
        <f t="shared" si="213"/>
        <v>604</v>
      </c>
      <c r="S1423" s="364">
        <f t="shared" si="214"/>
        <v>107</v>
      </c>
      <c r="T1423" s="426"/>
      <c r="U1423" s="426"/>
      <c r="V1423" s="426"/>
      <c r="W1423" s="426"/>
      <c r="X1423" s="426"/>
    </row>
    <row r="1424" spans="1:24" ht="12.75">
      <c r="A1424" s="422" t="s">
        <v>539</v>
      </c>
      <c r="B1424" s="423" t="s">
        <v>173</v>
      </c>
      <c r="C1424" s="423" t="s">
        <v>812</v>
      </c>
      <c r="D1424" s="423">
        <v>2015</v>
      </c>
      <c r="E1424" s="423" t="s">
        <v>775</v>
      </c>
      <c r="F1424" s="424">
        <v>40</v>
      </c>
      <c r="G1424" s="424">
        <v>0</v>
      </c>
      <c r="H1424" s="425">
        <v>0</v>
      </c>
      <c r="I1424" s="424">
        <v>0</v>
      </c>
      <c r="J1424" s="424">
        <v>27</v>
      </c>
      <c r="K1424" s="424">
        <v>0</v>
      </c>
      <c r="L1424" s="424">
        <v>0</v>
      </c>
      <c r="M1424" s="424">
        <v>0</v>
      </c>
      <c r="N1424" s="424">
        <v>31</v>
      </c>
      <c r="O1424" s="424">
        <v>0</v>
      </c>
      <c r="P1424" s="424">
        <v>62</v>
      </c>
      <c r="Q1424" s="425">
        <v>43</v>
      </c>
      <c r="R1424" s="319">
        <f t="shared" si="213"/>
        <v>160</v>
      </c>
      <c r="S1424" s="364">
        <f t="shared" si="214"/>
        <v>43</v>
      </c>
      <c r="T1424" s="426"/>
      <c r="U1424" s="426"/>
      <c r="V1424" s="426"/>
      <c r="W1424" s="426"/>
      <c r="X1424" s="426"/>
    </row>
    <row r="1425" spans="1:24" ht="12.75">
      <c r="A1425" s="422" t="s">
        <v>540</v>
      </c>
      <c r="B1425" s="423" t="s">
        <v>173</v>
      </c>
      <c r="C1425" s="423" t="s">
        <v>812</v>
      </c>
      <c r="D1425" s="423">
        <v>2015</v>
      </c>
      <c r="E1425" s="423" t="s">
        <v>775</v>
      </c>
      <c r="F1425" s="424">
        <v>714</v>
      </c>
      <c r="G1425" s="424">
        <v>0</v>
      </c>
      <c r="H1425" s="425">
        <v>0</v>
      </c>
      <c r="I1425" s="424">
        <v>0</v>
      </c>
      <c r="J1425" s="424">
        <v>487</v>
      </c>
      <c r="K1425" s="424">
        <v>0</v>
      </c>
      <c r="L1425" s="424">
        <v>0</v>
      </c>
      <c r="M1425" s="424">
        <v>0</v>
      </c>
      <c r="N1425" s="424">
        <v>553</v>
      </c>
      <c r="O1425" s="424">
        <v>0</v>
      </c>
      <c r="P1425" s="424">
        <v>1271</v>
      </c>
      <c r="Q1425" s="425">
        <v>319</v>
      </c>
      <c r="R1425" s="319">
        <f t="shared" si="213"/>
        <v>3025</v>
      </c>
      <c r="S1425" s="364">
        <f t="shared" si="214"/>
        <v>319</v>
      </c>
      <c r="T1425" s="426"/>
      <c r="U1425" s="426"/>
      <c r="V1425" s="426"/>
      <c r="W1425" s="426"/>
      <c r="X1425" s="426"/>
    </row>
    <row r="1426" spans="1:24" ht="12.75">
      <c r="A1426" s="422" t="s">
        <v>543</v>
      </c>
      <c r="B1426" s="423" t="s">
        <v>173</v>
      </c>
      <c r="C1426" s="423" t="s">
        <v>812</v>
      </c>
      <c r="D1426" s="423">
        <v>2015</v>
      </c>
      <c r="E1426" s="423" t="s">
        <v>775</v>
      </c>
      <c r="F1426" s="424">
        <v>1196</v>
      </c>
      <c r="G1426" s="424">
        <v>0</v>
      </c>
      <c r="H1426" s="425">
        <v>0</v>
      </c>
      <c r="I1426" s="424">
        <v>0</v>
      </c>
      <c r="J1426" s="424">
        <v>801</v>
      </c>
      <c r="K1426" s="424">
        <v>0</v>
      </c>
      <c r="L1426" s="424">
        <v>0</v>
      </c>
      <c r="M1426" s="424">
        <v>0</v>
      </c>
      <c r="N1426" s="424">
        <v>897</v>
      </c>
      <c r="O1426" s="424">
        <v>341</v>
      </c>
      <c r="P1426" s="424">
        <v>2035</v>
      </c>
      <c r="Q1426" s="425">
        <v>2</v>
      </c>
      <c r="R1426" s="319">
        <f t="shared" si="213"/>
        <v>4929</v>
      </c>
      <c r="S1426" s="364">
        <f t="shared" si="214"/>
        <v>343</v>
      </c>
      <c r="T1426" s="426"/>
      <c r="U1426" s="426"/>
      <c r="V1426" s="426"/>
      <c r="W1426" s="426"/>
      <c r="X1426" s="426"/>
    </row>
    <row r="1427" spans="1:24" ht="12.75">
      <c r="A1427" s="422" t="s">
        <v>544</v>
      </c>
      <c r="B1427" s="423" t="s">
        <v>173</v>
      </c>
      <c r="C1427" s="423" t="s">
        <v>812</v>
      </c>
      <c r="D1427" s="423">
        <v>2015</v>
      </c>
      <c r="E1427" s="423" t="s">
        <v>775</v>
      </c>
      <c r="F1427" s="424">
        <v>1488</v>
      </c>
      <c r="G1427" s="424">
        <v>4</v>
      </c>
      <c r="H1427" s="425">
        <v>0</v>
      </c>
      <c r="I1427" s="424">
        <v>4</v>
      </c>
      <c r="J1427" s="424">
        <v>1007</v>
      </c>
      <c r="K1427" s="424">
        <v>0</v>
      </c>
      <c r="L1427" s="424">
        <v>0</v>
      </c>
      <c r="M1427" s="424">
        <v>0</v>
      </c>
      <c r="N1427" s="424">
        <v>1140</v>
      </c>
      <c r="O1427" s="424">
        <v>193</v>
      </c>
      <c r="P1427" s="424">
        <v>2610</v>
      </c>
      <c r="Q1427" s="425">
        <v>215</v>
      </c>
      <c r="R1427" s="319">
        <f t="shared" si="213"/>
        <v>6245</v>
      </c>
      <c r="S1427" s="364">
        <f t="shared" si="214"/>
        <v>412</v>
      </c>
      <c r="T1427" s="426"/>
      <c r="U1427" s="426"/>
      <c r="V1427" s="426"/>
      <c r="W1427" s="426"/>
      <c r="X1427" s="426"/>
    </row>
    <row r="1428" spans="1:24" ht="12.75">
      <c r="A1428" s="422" t="s">
        <v>545</v>
      </c>
      <c r="B1428" s="423" t="s">
        <v>173</v>
      </c>
      <c r="C1428" s="423" t="s">
        <v>812</v>
      </c>
      <c r="D1428" s="423">
        <v>2015</v>
      </c>
      <c r="E1428" s="423" t="s">
        <v>775</v>
      </c>
      <c r="F1428" s="424">
        <v>1500</v>
      </c>
      <c r="G1428" s="424">
        <v>0</v>
      </c>
      <c r="H1428" s="425">
        <v>0</v>
      </c>
      <c r="I1428" s="424">
        <v>0</v>
      </c>
      <c r="J1428" s="424">
        <v>993</v>
      </c>
      <c r="K1428" s="424">
        <v>0</v>
      </c>
      <c r="L1428" s="424">
        <v>0</v>
      </c>
      <c r="M1428" s="424">
        <v>0</v>
      </c>
      <c r="N1428" s="424">
        <v>1112</v>
      </c>
      <c r="O1428" s="424">
        <v>0</v>
      </c>
      <c r="P1428" s="424">
        <v>2564</v>
      </c>
      <c r="Q1428" s="425">
        <v>103</v>
      </c>
      <c r="R1428" s="319">
        <f t="shared" si="213"/>
        <v>6169</v>
      </c>
      <c r="S1428" s="364">
        <f t="shared" si="214"/>
        <v>103</v>
      </c>
      <c r="T1428" s="426"/>
      <c r="U1428" s="426"/>
      <c r="V1428" s="426"/>
      <c r="W1428" s="426"/>
      <c r="X1428" s="426"/>
    </row>
    <row r="1429" spans="1:24" ht="12.75">
      <c r="A1429" s="422" t="s">
        <v>546</v>
      </c>
      <c r="B1429" s="423" t="s">
        <v>173</v>
      </c>
      <c r="C1429" s="423" t="s">
        <v>812</v>
      </c>
      <c r="D1429" s="423">
        <v>2015</v>
      </c>
      <c r="E1429" s="423" t="s">
        <v>775</v>
      </c>
      <c r="F1429" s="424">
        <v>395</v>
      </c>
      <c r="G1429" s="424">
        <v>0</v>
      </c>
      <c r="H1429" s="425">
        <v>0</v>
      </c>
      <c r="I1429" s="424">
        <v>0</v>
      </c>
      <c r="J1429" s="424">
        <v>262</v>
      </c>
      <c r="K1429" s="424">
        <v>0</v>
      </c>
      <c r="L1429" s="424">
        <v>0</v>
      </c>
      <c r="M1429" s="424">
        <v>0</v>
      </c>
      <c r="N1429" s="424">
        <v>289</v>
      </c>
      <c r="O1429" s="424">
        <v>0</v>
      </c>
      <c r="P1429" s="424">
        <v>627</v>
      </c>
      <c r="Q1429" s="425">
        <v>93</v>
      </c>
      <c r="R1429" s="319">
        <f t="shared" si="213"/>
        <v>1573</v>
      </c>
      <c r="S1429" s="364">
        <f t="shared" si="214"/>
        <v>93</v>
      </c>
      <c r="T1429" s="426"/>
      <c r="U1429" s="426"/>
      <c r="V1429" s="426"/>
      <c r="W1429" s="426"/>
      <c r="X1429" s="426"/>
    </row>
    <row r="1430" spans="1:24" ht="12.75">
      <c r="A1430" s="422" t="s">
        <v>548</v>
      </c>
      <c r="B1430" s="423" t="s">
        <v>173</v>
      </c>
      <c r="C1430" s="423" t="s">
        <v>812</v>
      </c>
      <c r="D1430" s="423">
        <v>2015</v>
      </c>
      <c r="E1430" s="423" t="s">
        <v>775</v>
      </c>
      <c r="F1430" s="424">
        <v>98</v>
      </c>
      <c r="G1430" s="424">
        <v>38</v>
      </c>
      <c r="H1430" s="425">
        <v>38</v>
      </c>
      <c r="I1430" s="424">
        <v>0</v>
      </c>
      <c r="J1430" s="424">
        <v>67</v>
      </c>
      <c r="K1430" s="424">
        <v>36</v>
      </c>
      <c r="L1430" s="424">
        <v>36</v>
      </c>
      <c r="M1430" s="424">
        <v>0</v>
      </c>
      <c r="N1430" s="424">
        <v>76</v>
      </c>
      <c r="O1430" s="424">
        <v>0</v>
      </c>
      <c r="P1430" s="424">
        <v>172</v>
      </c>
      <c r="Q1430" s="425">
        <v>0</v>
      </c>
      <c r="R1430" s="319">
        <f t="shared" si="213"/>
        <v>413</v>
      </c>
      <c r="S1430" s="364">
        <f t="shared" si="214"/>
        <v>74</v>
      </c>
      <c r="T1430" s="426"/>
      <c r="U1430" s="426"/>
      <c r="V1430" s="426"/>
      <c r="W1430" s="426"/>
      <c r="X1430" s="426"/>
    </row>
    <row r="1431" spans="1:24" ht="12.75">
      <c r="A1431" s="422" t="s">
        <v>549</v>
      </c>
      <c r="B1431" s="423" t="s">
        <v>173</v>
      </c>
      <c r="C1431" s="423" t="s">
        <v>812</v>
      </c>
      <c r="D1431" s="423">
        <v>2015</v>
      </c>
      <c r="E1431" s="423" t="s">
        <v>775</v>
      </c>
      <c r="F1431" s="424">
        <v>63</v>
      </c>
      <c r="G1431" s="424">
        <v>0</v>
      </c>
      <c r="H1431" s="425">
        <v>0</v>
      </c>
      <c r="I1431" s="424">
        <v>0</v>
      </c>
      <c r="J1431" s="424">
        <v>43</v>
      </c>
      <c r="K1431" s="424">
        <v>0</v>
      </c>
      <c r="L1431" s="424">
        <v>0</v>
      </c>
      <c r="M1431" s="424">
        <v>0</v>
      </c>
      <c r="N1431" s="424">
        <v>50</v>
      </c>
      <c r="O1431" s="424">
        <v>0</v>
      </c>
      <c r="P1431" s="424">
        <v>116</v>
      </c>
      <c r="Q1431" s="425">
        <v>188</v>
      </c>
      <c r="R1431" s="319">
        <f t="shared" si="213"/>
        <v>272</v>
      </c>
      <c r="S1431" s="364">
        <f t="shared" si="214"/>
        <v>188</v>
      </c>
      <c r="T1431" s="426"/>
      <c r="U1431" s="426"/>
      <c r="V1431" s="426"/>
      <c r="W1431" s="426"/>
      <c r="X1431" s="426"/>
    </row>
    <row r="1432" spans="1:24" ht="12.75">
      <c r="A1432" s="422" t="s">
        <v>550</v>
      </c>
      <c r="B1432" s="423" t="s">
        <v>173</v>
      </c>
      <c r="C1432" s="423" t="s">
        <v>812</v>
      </c>
      <c r="D1432" s="423">
        <v>2015</v>
      </c>
      <c r="E1432" s="423" t="s">
        <v>775</v>
      </c>
      <c r="F1432" s="424">
        <v>1026</v>
      </c>
      <c r="G1432" s="424">
        <v>0</v>
      </c>
      <c r="H1432" s="425">
        <v>0</v>
      </c>
      <c r="I1432" s="424">
        <v>0</v>
      </c>
      <c r="J1432" s="424">
        <v>681</v>
      </c>
      <c r="K1432" s="424">
        <v>0</v>
      </c>
      <c r="L1432" s="424">
        <v>0</v>
      </c>
      <c r="M1432" s="424">
        <v>0</v>
      </c>
      <c r="N1432" s="424">
        <v>759</v>
      </c>
      <c r="O1432" s="424">
        <v>0</v>
      </c>
      <c r="P1432" s="424">
        <v>1814</v>
      </c>
      <c r="Q1432" s="425">
        <v>222</v>
      </c>
      <c r="R1432" s="319">
        <f t="shared" si="213"/>
        <v>4280</v>
      </c>
      <c r="S1432" s="364">
        <f t="shared" si="214"/>
        <v>222</v>
      </c>
      <c r="T1432" s="426"/>
      <c r="U1432" s="426"/>
      <c r="V1432" s="426"/>
      <c r="W1432" s="426"/>
      <c r="X1432" s="426"/>
    </row>
    <row r="1433" spans="1:24" ht="12.75">
      <c r="A1433" s="422" t="s">
        <v>552</v>
      </c>
      <c r="B1433" s="423" t="s">
        <v>173</v>
      </c>
      <c r="C1433" s="423" t="s">
        <v>812</v>
      </c>
      <c r="D1433" s="423">
        <v>2015</v>
      </c>
      <c r="E1433" s="423" t="s">
        <v>775</v>
      </c>
      <c r="F1433" s="424">
        <v>7173</v>
      </c>
      <c r="G1433" s="424">
        <v>12</v>
      </c>
      <c r="H1433" s="425">
        <v>3</v>
      </c>
      <c r="I1433" s="424">
        <v>9</v>
      </c>
      <c r="J1433" s="424">
        <v>4871</v>
      </c>
      <c r="K1433" s="424">
        <v>8</v>
      </c>
      <c r="L1433" s="424">
        <v>8</v>
      </c>
      <c r="M1433" s="424">
        <v>0</v>
      </c>
      <c r="N1433" s="424">
        <v>5534</v>
      </c>
      <c r="O1433" s="424">
        <v>98</v>
      </c>
      <c r="P1433" s="424">
        <v>12725</v>
      </c>
      <c r="Q1433" s="425">
        <v>914</v>
      </c>
      <c r="R1433" s="319">
        <f t="shared" si="213"/>
        <v>30303</v>
      </c>
      <c r="S1433" s="364">
        <f t="shared" si="214"/>
        <v>1032</v>
      </c>
      <c r="T1433" s="426"/>
      <c r="U1433" s="426"/>
      <c r="V1433" s="426"/>
      <c r="W1433" s="426"/>
      <c r="X1433" s="426"/>
    </row>
    <row r="1434" spans="1:24" ht="12.75">
      <c r="A1434" s="457" t="s">
        <v>554</v>
      </c>
      <c r="B1434" s="458" t="s">
        <v>173</v>
      </c>
      <c r="C1434" s="458" t="s">
        <v>812</v>
      </c>
      <c r="D1434" s="458">
        <v>2015</v>
      </c>
      <c r="E1434" s="458" t="s">
        <v>775</v>
      </c>
      <c r="F1434" s="425">
        <v>375</v>
      </c>
      <c r="G1434" s="424">
        <v>0</v>
      </c>
      <c r="H1434" s="425">
        <v>0</v>
      </c>
      <c r="I1434" s="425">
        <v>0</v>
      </c>
      <c r="J1434" s="424">
        <v>251</v>
      </c>
      <c r="K1434" s="424">
        <v>0</v>
      </c>
      <c r="L1434" s="425">
        <v>0</v>
      </c>
      <c r="M1434" s="425">
        <v>0</v>
      </c>
      <c r="N1434" s="425">
        <v>271</v>
      </c>
      <c r="O1434" s="425">
        <v>0</v>
      </c>
      <c r="P1434" s="425">
        <v>596</v>
      </c>
      <c r="Q1434" s="425">
        <v>223</v>
      </c>
      <c r="R1434" s="319">
        <f t="shared" si="213"/>
        <v>1493</v>
      </c>
      <c r="S1434" s="364">
        <f t="shared" si="214"/>
        <v>223</v>
      </c>
      <c r="T1434" s="426"/>
      <c r="U1434" s="426"/>
      <c r="V1434" s="426"/>
      <c r="W1434" s="426"/>
      <c r="X1434" s="426"/>
    </row>
    <row r="1435" spans="1:24" ht="12.75">
      <c r="A1435" s="457" t="s">
        <v>555</v>
      </c>
      <c r="B1435" s="458" t="s">
        <v>173</v>
      </c>
      <c r="C1435" s="458" t="s">
        <v>812</v>
      </c>
      <c r="D1435" s="458">
        <v>2015</v>
      </c>
      <c r="E1435" s="458" t="s">
        <v>775</v>
      </c>
      <c r="F1435" s="425">
        <v>621</v>
      </c>
      <c r="G1435" s="424">
        <v>0</v>
      </c>
      <c r="H1435" s="425">
        <v>0</v>
      </c>
      <c r="I1435" s="425">
        <v>0</v>
      </c>
      <c r="J1435" s="425">
        <v>415</v>
      </c>
      <c r="K1435" s="424">
        <v>0</v>
      </c>
      <c r="L1435" s="425">
        <v>0</v>
      </c>
      <c r="M1435" s="425">
        <v>0</v>
      </c>
      <c r="N1435" s="425">
        <v>461</v>
      </c>
      <c r="O1435" s="425">
        <v>2</v>
      </c>
      <c r="P1435" s="425">
        <v>1038</v>
      </c>
      <c r="Q1435" s="425">
        <v>12</v>
      </c>
      <c r="R1435" s="319">
        <f t="shared" si="213"/>
        <v>2535</v>
      </c>
      <c r="S1435" s="364">
        <f t="shared" si="214"/>
        <v>14</v>
      </c>
      <c r="T1435" s="323">
        <f>SUM(G1416:G1435)</f>
        <v>54</v>
      </c>
      <c r="U1435" s="323">
        <f>SUM(K1416:K1435)</f>
        <v>58</v>
      </c>
      <c r="V1435" s="323">
        <f>SUM(O1416:O1435)</f>
        <v>737</v>
      </c>
      <c r="W1435" s="323">
        <f>SUM(Q1416:Q1435)</f>
        <v>3326</v>
      </c>
      <c r="X1435" s="323">
        <f>T1435+U1435+V1435+W1435</f>
        <v>4175</v>
      </c>
    </row>
    <row r="1436" spans="1:24" ht="12.75">
      <c r="A1436" s="428" t="s">
        <v>528</v>
      </c>
      <c r="B1436" s="429" t="s">
        <v>173</v>
      </c>
      <c r="C1436" s="429" t="s">
        <v>812</v>
      </c>
      <c r="D1436" s="429">
        <v>2016</v>
      </c>
      <c r="E1436" s="429" t="s">
        <v>775</v>
      </c>
      <c r="F1436" s="430">
        <v>872</v>
      </c>
      <c r="G1436" s="430">
        <v>0</v>
      </c>
      <c r="H1436" s="431">
        <v>0</v>
      </c>
      <c r="I1436" s="430">
        <v>0</v>
      </c>
      <c r="J1436" s="430">
        <v>593</v>
      </c>
      <c r="K1436" s="430">
        <v>0</v>
      </c>
      <c r="L1436" s="430">
        <v>0</v>
      </c>
      <c r="M1436" s="430">
        <v>0</v>
      </c>
      <c r="N1436" s="430">
        <v>685</v>
      </c>
      <c r="O1436" s="430">
        <v>0</v>
      </c>
      <c r="P1436" s="430">
        <v>1642</v>
      </c>
      <c r="Q1436" s="431">
        <v>0</v>
      </c>
      <c r="R1436" s="328">
        <f t="shared" si="213"/>
        <v>3792</v>
      </c>
      <c r="S1436" s="365">
        <f t="shared" si="214"/>
        <v>0</v>
      </c>
      <c r="T1436" s="432"/>
      <c r="U1436" s="432"/>
      <c r="V1436" s="432"/>
      <c r="W1436" s="432"/>
      <c r="X1436" s="432"/>
    </row>
    <row r="1437" spans="1:24" ht="12.75">
      <c r="A1437" s="428" t="s">
        <v>531</v>
      </c>
      <c r="B1437" s="429" t="s">
        <v>173</v>
      </c>
      <c r="C1437" s="429" t="s">
        <v>812</v>
      </c>
      <c r="D1437" s="429">
        <v>2016</v>
      </c>
      <c r="E1437" s="429" t="s">
        <v>775</v>
      </c>
      <c r="F1437" s="430">
        <v>543</v>
      </c>
      <c r="G1437" s="430">
        <v>0</v>
      </c>
      <c r="H1437" s="431">
        <v>0</v>
      </c>
      <c r="I1437" s="430">
        <v>0</v>
      </c>
      <c r="J1437" s="430">
        <v>383</v>
      </c>
      <c r="K1437" s="430">
        <v>0</v>
      </c>
      <c r="L1437" s="430">
        <v>0</v>
      </c>
      <c r="M1437" s="430">
        <v>0</v>
      </c>
      <c r="N1437" s="430">
        <v>433</v>
      </c>
      <c r="O1437" s="430">
        <v>0</v>
      </c>
      <c r="P1437" s="430">
        <v>982</v>
      </c>
      <c r="Q1437" s="431">
        <v>116</v>
      </c>
      <c r="R1437" s="328">
        <f t="shared" si="213"/>
        <v>2341</v>
      </c>
      <c r="S1437" s="365">
        <f t="shared" si="214"/>
        <v>116</v>
      </c>
      <c r="T1437" s="432"/>
      <c r="U1437" s="432"/>
      <c r="V1437" s="432"/>
      <c r="W1437" s="432"/>
      <c r="X1437" s="432"/>
    </row>
    <row r="1438" spans="1:24" ht="12.75">
      <c r="A1438" s="428" t="s">
        <v>532</v>
      </c>
      <c r="B1438" s="429" t="s">
        <v>173</v>
      </c>
      <c r="C1438" s="429" t="s">
        <v>812</v>
      </c>
      <c r="D1438" s="429">
        <v>2016</v>
      </c>
      <c r="E1438" s="429" t="s">
        <v>775</v>
      </c>
      <c r="F1438" s="430">
        <v>21</v>
      </c>
      <c r="G1438" s="430">
        <v>0</v>
      </c>
      <c r="H1438" s="431">
        <v>0</v>
      </c>
      <c r="I1438" s="430">
        <v>0</v>
      </c>
      <c r="J1438" s="430">
        <v>14</v>
      </c>
      <c r="K1438" s="430">
        <v>0</v>
      </c>
      <c r="L1438" s="430">
        <v>0</v>
      </c>
      <c r="M1438" s="430">
        <v>0</v>
      </c>
      <c r="N1438" s="430">
        <v>16</v>
      </c>
      <c r="O1438" s="430">
        <v>3</v>
      </c>
      <c r="P1438" s="430">
        <v>32</v>
      </c>
      <c r="Q1438" s="431">
        <v>5</v>
      </c>
      <c r="R1438" s="328">
        <f t="shared" si="213"/>
        <v>83</v>
      </c>
      <c r="S1438" s="365">
        <f t="shared" si="214"/>
        <v>8</v>
      </c>
      <c r="T1438" s="432"/>
      <c r="U1438" s="432"/>
      <c r="V1438" s="432"/>
      <c r="W1438" s="432"/>
      <c r="X1438" s="432"/>
    </row>
    <row r="1439" spans="1:24" ht="12.75">
      <c r="A1439" s="428" t="s">
        <v>533</v>
      </c>
      <c r="B1439" s="429" t="s">
        <v>173</v>
      </c>
      <c r="C1439" s="429" t="s">
        <v>812</v>
      </c>
      <c r="D1439" s="429">
        <v>2016</v>
      </c>
      <c r="E1439" s="429" t="s">
        <v>775</v>
      </c>
      <c r="F1439" s="430">
        <v>141</v>
      </c>
      <c r="G1439" s="430">
        <v>0</v>
      </c>
      <c r="H1439" s="431">
        <v>0</v>
      </c>
      <c r="I1439" s="430">
        <v>0</v>
      </c>
      <c r="J1439" s="430">
        <v>95</v>
      </c>
      <c r="K1439" s="430">
        <v>0</v>
      </c>
      <c r="L1439" s="430">
        <v>0</v>
      </c>
      <c r="M1439" s="430">
        <v>0</v>
      </c>
      <c r="N1439" s="430">
        <v>110</v>
      </c>
      <c r="O1439" s="430">
        <v>0</v>
      </c>
      <c r="P1439" s="430">
        <v>254</v>
      </c>
      <c r="Q1439" s="431">
        <v>0</v>
      </c>
      <c r="R1439" s="328">
        <f t="shared" si="213"/>
        <v>600</v>
      </c>
      <c r="S1439" s="365">
        <f t="shared" si="214"/>
        <v>0</v>
      </c>
      <c r="T1439" s="432"/>
      <c r="U1439" s="432"/>
      <c r="V1439" s="432"/>
      <c r="W1439" s="432"/>
      <c r="X1439" s="432"/>
    </row>
    <row r="1440" spans="1:24" ht="12.75">
      <c r="A1440" s="428" t="s">
        <v>534</v>
      </c>
      <c r="B1440" s="429" t="s">
        <v>173</v>
      </c>
      <c r="C1440" s="429" t="s">
        <v>812</v>
      </c>
      <c r="D1440" s="429">
        <v>2016</v>
      </c>
      <c r="E1440" s="429" t="s">
        <v>775</v>
      </c>
      <c r="F1440" s="430">
        <v>1555</v>
      </c>
      <c r="G1440" s="430">
        <v>0</v>
      </c>
      <c r="H1440" s="431">
        <v>0</v>
      </c>
      <c r="I1440" s="430">
        <v>0</v>
      </c>
      <c r="J1440" s="430">
        <v>1059</v>
      </c>
      <c r="K1440" s="430">
        <v>0</v>
      </c>
      <c r="L1440" s="430">
        <v>0</v>
      </c>
      <c r="M1440" s="430">
        <v>0</v>
      </c>
      <c r="N1440" s="430">
        <v>1212</v>
      </c>
      <c r="O1440" s="430">
        <v>0</v>
      </c>
      <c r="P1440" s="430">
        <v>2945</v>
      </c>
      <c r="Q1440" s="431">
        <v>0</v>
      </c>
      <c r="R1440" s="328">
        <f t="shared" si="213"/>
        <v>6771</v>
      </c>
      <c r="S1440" s="365">
        <f t="shared" si="214"/>
        <v>0</v>
      </c>
      <c r="T1440" s="432"/>
      <c r="U1440" s="432"/>
      <c r="V1440" s="432"/>
      <c r="W1440" s="432"/>
      <c r="X1440" s="432"/>
    </row>
    <row r="1441" spans="1:24" ht="12.75">
      <c r="A1441" s="428" t="s">
        <v>535</v>
      </c>
      <c r="B1441" s="429" t="s">
        <v>173</v>
      </c>
      <c r="C1441" s="429" t="s">
        <v>812</v>
      </c>
      <c r="D1441" s="429">
        <v>2016</v>
      </c>
      <c r="E1441" s="429" t="s">
        <v>775</v>
      </c>
      <c r="F1441" s="430">
        <v>192</v>
      </c>
      <c r="G1441" s="430">
        <v>0</v>
      </c>
      <c r="H1441" s="431">
        <v>0</v>
      </c>
      <c r="I1441" s="430">
        <v>0</v>
      </c>
      <c r="J1441" s="430">
        <v>128</v>
      </c>
      <c r="K1441" s="430">
        <v>0</v>
      </c>
      <c r="L1441" s="430">
        <v>0</v>
      </c>
      <c r="M1441" s="430">
        <v>0</v>
      </c>
      <c r="N1441" s="430">
        <v>142</v>
      </c>
      <c r="O1441" s="430">
        <v>57</v>
      </c>
      <c r="P1441" s="430">
        <v>308</v>
      </c>
      <c r="Q1441" s="431">
        <v>8</v>
      </c>
      <c r="R1441" s="328">
        <f t="shared" si="213"/>
        <v>770</v>
      </c>
      <c r="S1441" s="365">
        <f t="shared" si="214"/>
        <v>65</v>
      </c>
      <c r="T1441" s="432"/>
      <c r="U1441" s="432"/>
      <c r="V1441" s="432"/>
      <c r="W1441" s="432"/>
      <c r="X1441" s="432"/>
    </row>
    <row r="1442" spans="1:24" ht="12.75">
      <c r="A1442" s="428" t="s">
        <v>537</v>
      </c>
      <c r="B1442" s="429" t="s">
        <v>173</v>
      </c>
      <c r="C1442" s="429" t="s">
        <v>812</v>
      </c>
      <c r="D1442" s="429">
        <v>2016</v>
      </c>
      <c r="E1442" s="429" t="s">
        <v>775</v>
      </c>
      <c r="F1442" s="430">
        <v>374</v>
      </c>
      <c r="G1442" s="430">
        <v>0</v>
      </c>
      <c r="H1442" s="431">
        <v>0</v>
      </c>
      <c r="I1442" s="430">
        <v>0</v>
      </c>
      <c r="J1442" s="430">
        <v>250</v>
      </c>
      <c r="K1442" s="430">
        <v>0</v>
      </c>
      <c r="L1442" s="430">
        <v>0</v>
      </c>
      <c r="M1442" s="430">
        <v>0</v>
      </c>
      <c r="N1442" s="430">
        <v>274</v>
      </c>
      <c r="O1442" s="430">
        <v>0</v>
      </c>
      <c r="P1442" s="430">
        <v>565</v>
      </c>
      <c r="Q1442" s="431">
        <v>515</v>
      </c>
      <c r="R1442" s="328">
        <f t="shared" si="213"/>
        <v>1463</v>
      </c>
      <c r="S1442" s="365">
        <f t="shared" si="214"/>
        <v>515</v>
      </c>
      <c r="T1442" s="432"/>
      <c r="U1442" s="432"/>
      <c r="V1442" s="432"/>
      <c r="W1442" s="432"/>
      <c r="X1442" s="432"/>
    </row>
    <row r="1443" spans="1:24" ht="12.75">
      <c r="A1443" s="428" t="s">
        <v>538</v>
      </c>
      <c r="B1443" s="429" t="s">
        <v>173</v>
      </c>
      <c r="C1443" s="429" t="s">
        <v>812</v>
      </c>
      <c r="D1443" s="429">
        <v>2016</v>
      </c>
      <c r="E1443" s="429" t="s">
        <v>775</v>
      </c>
      <c r="F1443" s="430">
        <v>134</v>
      </c>
      <c r="G1443" s="430">
        <v>0</v>
      </c>
      <c r="H1443" s="431">
        <v>0</v>
      </c>
      <c r="I1443" s="430">
        <v>0</v>
      </c>
      <c r="J1443" s="430">
        <v>96</v>
      </c>
      <c r="K1443" s="430">
        <v>29</v>
      </c>
      <c r="L1443" s="430">
        <v>29</v>
      </c>
      <c r="M1443" s="430">
        <v>0</v>
      </c>
      <c r="N1443" s="430">
        <v>112</v>
      </c>
      <c r="O1443" s="430">
        <v>25</v>
      </c>
      <c r="P1443" s="430">
        <v>262</v>
      </c>
      <c r="Q1443" s="431">
        <v>8</v>
      </c>
      <c r="R1443" s="328">
        <f t="shared" si="213"/>
        <v>604</v>
      </c>
      <c r="S1443" s="365">
        <f t="shared" si="214"/>
        <v>62</v>
      </c>
      <c r="T1443" s="432"/>
      <c r="U1443" s="432"/>
      <c r="V1443" s="432"/>
      <c r="W1443" s="432"/>
      <c r="X1443" s="432"/>
    </row>
    <row r="1444" spans="1:24" ht="12.75">
      <c r="A1444" s="428" t="s">
        <v>539</v>
      </c>
      <c r="B1444" s="429" t="s">
        <v>173</v>
      </c>
      <c r="C1444" s="429" t="s">
        <v>812</v>
      </c>
      <c r="D1444" s="429">
        <v>2016</v>
      </c>
      <c r="E1444" s="429" t="s">
        <v>775</v>
      </c>
      <c r="F1444" s="430">
        <v>40</v>
      </c>
      <c r="G1444" s="430">
        <v>0</v>
      </c>
      <c r="H1444" s="431">
        <v>0</v>
      </c>
      <c r="I1444" s="430">
        <v>0</v>
      </c>
      <c r="J1444" s="430">
        <v>27</v>
      </c>
      <c r="K1444" s="430">
        <v>0</v>
      </c>
      <c r="L1444" s="430">
        <v>0</v>
      </c>
      <c r="M1444" s="430">
        <v>0</v>
      </c>
      <c r="N1444" s="430">
        <v>31</v>
      </c>
      <c r="O1444" s="430">
        <v>0</v>
      </c>
      <c r="P1444" s="430">
        <v>62</v>
      </c>
      <c r="Q1444" s="431">
        <v>36</v>
      </c>
      <c r="R1444" s="328">
        <f t="shared" si="213"/>
        <v>160</v>
      </c>
      <c r="S1444" s="365">
        <f t="shared" si="214"/>
        <v>36</v>
      </c>
      <c r="T1444" s="432"/>
      <c r="U1444" s="432"/>
      <c r="V1444" s="432"/>
      <c r="W1444" s="432"/>
      <c r="X1444" s="432"/>
    </row>
    <row r="1445" spans="1:24" ht="12.75">
      <c r="A1445" s="428" t="s">
        <v>540</v>
      </c>
      <c r="B1445" s="429" t="s">
        <v>173</v>
      </c>
      <c r="C1445" s="429" t="s">
        <v>812</v>
      </c>
      <c r="D1445" s="429">
        <v>2016</v>
      </c>
      <c r="E1445" s="429" t="s">
        <v>775</v>
      </c>
      <c r="F1445" s="430">
        <v>714</v>
      </c>
      <c r="G1445" s="430">
        <v>0</v>
      </c>
      <c r="H1445" s="431">
        <v>0</v>
      </c>
      <c r="I1445" s="430">
        <v>0</v>
      </c>
      <c r="J1445" s="430">
        <v>487</v>
      </c>
      <c r="K1445" s="430">
        <v>0</v>
      </c>
      <c r="L1445" s="430">
        <v>0</v>
      </c>
      <c r="M1445" s="430">
        <v>0</v>
      </c>
      <c r="N1445" s="430">
        <v>553</v>
      </c>
      <c r="O1445" s="430">
        <v>0</v>
      </c>
      <c r="P1445" s="430">
        <v>1271</v>
      </c>
      <c r="Q1445" s="431">
        <v>228</v>
      </c>
      <c r="R1445" s="328">
        <f t="shared" si="213"/>
        <v>3025</v>
      </c>
      <c r="S1445" s="365">
        <f t="shared" si="214"/>
        <v>228</v>
      </c>
      <c r="T1445" s="432"/>
      <c r="U1445" s="432"/>
      <c r="V1445" s="432"/>
      <c r="W1445" s="432"/>
      <c r="X1445" s="432"/>
    </row>
    <row r="1446" spans="1:24" ht="12.75">
      <c r="A1446" s="428" t="s">
        <v>543</v>
      </c>
      <c r="B1446" s="429" t="s">
        <v>173</v>
      </c>
      <c r="C1446" s="429" t="s">
        <v>812</v>
      </c>
      <c r="D1446" s="429">
        <v>2016</v>
      </c>
      <c r="E1446" s="429" t="s">
        <v>775</v>
      </c>
      <c r="F1446" s="430">
        <v>1196</v>
      </c>
      <c r="G1446" s="430">
        <v>0</v>
      </c>
      <c r="H1446" s="431">
        <v>0</v>
      </c>
      <c r="I1446" s="430">
        <v>0</v>
      </c>
      <c r="J1446" s="430">
        <v>801</v>
      </c>
      <c r="K1446" s="430">
        <v>0</v>
      </c>
      <c r="L1446" s="430">
        <v>0</v>
      </c>
      <c r="M1446" s="430">
        <v>0</v>
      </c>
      <c r="N1446" s="430">
        <v>897</v>
      </c>
      <c r="O1446" s="430">
        <v>203</v>
      </c>
      <c r="P1446" s="430">
        <v>2035</v>
      </c>
      <c r="Q1446" s="431">
        <v>258</v>
      </c>
      <c r="R1446" s="328">
        <f t="shared" si="213"/>
        <v>4929</v>
      </c>
      <c r="S1446" s="365">
        <f t="shared" si="214"/>
        <v>461</v>
      </c>
      <c r="T1446" s="432"/>
      <c r="U1446" s="432"/>
      <c r="V1446" s="432"/>
      <c r="W1446" s="432"/>
      <c r="X1446" s="432"/>
    </row>
    <row r="1447" spans="1:24" ht="12.75">
      <c r="A1447" s="428" t="s">
        <v>544</v>
      </c>
      <c r="B1447" s="429" t="s">
        <v>173</v>
      </c>
      <c r="C1447" s="429" t="s">
        <v>812</v>
      </c>
      <c r="D1447" s="429">
        <v>2016</v>
      </c>
      <c r="E1447" s="429" t="s">
        <v>775</v>
      </c>
      <c r="F1447" s="430">
        <v>1488</v>
      </c>
      <c r="G1447" s="430">
        <v>3</v>
      </c>
      <c r="H1447" s="431">
        <v>0</v>
      </c>
      <c r="I1447" s="430">
        <v>3</v>
      </c>
      <c r="J1447" s="430">
        <v>1007</v>
      </c>
      <c r="K1447" s="430">
        <v>2</v>
      </c>
      <c r="L1447" s="430">
        <v>0</v>
      </c>
      <c r="M1447" s="430">
        <v>2</v>
      </c>
      <c r="N1447" s="430">
        <v>1140</v>
      </c>
      <c r="O1447" s="430">
        <v>184</v>
      </c>
      <c r="P1447" s="430">
        <v>2610</v>
      </c>
      <c r="Q1447" s="431">
        <v>349</v>
      </c>
      <c r="R1447" s="328">
        <f t="shared" si="213"/>
        <v>6245</v>
      </c>
      <c r="S1447" s="365">
        <f t="shared" si="214"/>
        <v>538</v>
      </c>
      <c r="T1447" s="432"/>
      <c r="U1447" s="432"/>
      <c r="V1447" s="432"/>
      <c r="W1447" s="432"/>
      <c r="X1447" s="432"/>
    </row>
    <row r="1448" spans="1:24" ht="12.75">
      <c r="A1448" s="428" t="s">
        <v>545</v>
      </c>
      <c r="B1448" s="429" t="s">
        <v>173</v>
      </c>
      <c r="C1448" s="429" t="s">
        <v>812</v>
      </c>
      <c r="D1448" s="429">
        <v>2016</v>
      </c>
      <c r="E1448" s="429" t="s">
        <v>775</v>
      </c>
      <c r="F1448" s="430">
        <v>1500</v>
      </c>
      <c r="G1448" s="430">
        <v>0</v>
      </c>
      <c r="H1448" s="431">
        <v>0</v>
      </c>
      <c r="I1448" s="430">
        <v>0</v>
      </c>
      <c r="J1448" s="430">
        <v>993</v>
      </c>
      <c r="K1448" s="430">
        <v>0</v>
      </c>
      <c r="L1448" s="430">
        <v>0</v>
      </c>
      <c r="M1448" s="430">
        <v>0</v>
      </c>
      <c r="N1448" s="430">
        <v>1112</v>
      </c>
      <c r="O1448" s="430">
        <v>0</v>
      </c>
      <c r="P1448" s="430">
        <v>2564</v>
      </c>
      <c r="Q1448" s="431">
        <v>119</v>
      </c>
      <c r="R1448" s="328">
        <f t="shared" si="213"/>
        <v>6169</v>
      </c>
      <c r="S1448" s="365">
        <f t="shared" si="214"/>
        <v>119</v>
      </c>
      <c r="T1448" s="432"/>
      <c r="U1448" s="432"/>
      <c r="V1448" s="432"/>
      <c r="W1448" s="432"/>
      <c r="X1448" s="432"/>
    </row>
    <row r="1449" spans="1:24" ht="12.75">
      <c r="A1449" s="428" t="s">
        <v>546</v>
      </c>
      <c r="B1449" s="429" t="s">
        <v>173</v>
      </c>
      <c r="C1449" s="429" t="s">
        <v>812</v>
      </c>
      <c r="D1449" s="429">
        <v>2016</v>
      </c>
      <c r="E1449" s="429" t="s">
        <v>775</v>
      </c>
      <c r="F1449" s="430">
        <v>395</v>
      </c>
      <c r="G1449" s="430">
        <v>0</v>
      </c>
      <c r="H1449" s="431">
        <v>0</v>
      </c>
      <c r="I1449" s="430">
        <v>0</v>
      </c>
      <c r="J1449" s="430">
        <v>262</v>
      </c>
      <c r="K1449" s="430">
        <v>0</v>
      </c>
      <c r="L1449" s="430">
        <v>0</v>
      </c>
      <c r="M1449" s="430">
        <v>0</v>
      </c>
      <c r="N1449" s="430">
        <v>289</v>
      </c>
      <c r="O1449" s="430">
        <v>0</v>
      </c>
      <c r="P1449" s="430">
        <v>627</v>
      </c>
      <c r="Q1449" s="431">
        <v>559</v>
      </c>
      <c r="R1449" s="328">
        <f t="shared" si="213"/>
        <v>1573</v>
      </c>
      <c r="S1449" s="365">
        <f t="shared" si="214"/>
        <v>559</v>
      </c>
      <c r="T1449" s="432"/>
      <c r="U1449" s="432"/>
      <c r="V1449" s="432"/>
      <c r="W1449" s="432"/>
      <c r="X1449" s="432"/>
    </row>
    <row r="1450" spans="1:24" ht="12.75">
      <c r="A1450" s="428" t="s">
        <v>548</v>
      </c>
      <c r="B1450" s="429" t="s">
        <v>173</v>
      </c>
      <c r="C1450" s="429" t="s">
        <v>812</v>
      </c>
      <c r="D1450" s="429">
        <v>2016</v>
      </c>
      <c r="E1450" s="429" t="s">
        <v>775</v>
      </c>
      <c r="F1450" s="430">
        <v>98</v>
      </c>
      <c r="G1450" s="430">
        <v>0</v>
      </c>
      <c r="H1450" s="431">
        <v>0</v>
      </c>
      <c r="I1450" s="430">
        <v>0</v>
      </c>
      <c r="J1450" s="430">
        <v>67</v>
      </c>
      <c r="K1450" s="430">
        <v>0</v>
      </c>
      <c r="L1450" s="430">
        <v>0</v>
      </c>
      <c r="M1450" s="430">
        <v>0</v>
      </c>
      <c r="N1450" s="430">
        <v>76</v>
      </c>
      <c r="O1450" s="430">
        <v>0</v>
      </c>
      <c r="P1450" s="430">
        <v>172</v>
      </c>
      <c r="Q1450" s="431">
        <v>80</v>
      </c>
      <c r="R1450" s="328">
        <f t="shared" si="213"/>
        <v>413</v>
      </c>
      <c r="S1450" s="365">
        <f t="shared" si="214"/>
        <v>80</v>
      </c>
      <c r="T1450" s="432"/>
      <c r="U1450" s="432"/>
      <c r="V1450" s="432"/>
      <c r="W1450" s="432"/>
      <c r="X1450" s="432"/>
    </row>
    <row r="1451" spans="1:24" ht="12.75">
      <c r="A1451" s="428" t="s">
        <v>549</v>
      </c>
      <c r="B1451" s="429" t="s">
        <v>173</v>
      </c>
      <c r="C1451" s="429" t="s">
        <v>812</v>
      </c>
      <c r="D1451" s="429">
        <v>2016</v>
      </c>
      <c r="E1451" s="429" t="s">
        <v>775</v>
      </c>
      <c r="F1451" s="430">
        <v>63</v>
      </c>
      <c r="G1451" s="430">
        <v>0</v>
      </c>
      <c r="H1451" s="431">
        <v>0</v>
      </c>
      <c r="I1451" s="430">
        <v>0</v>
      </c>
      <c r="J1451" s="430">
        <v>43</v>
      </c>
      <c r="K1451" s="430">
        <v>0</v>
      </c>
      <c r="L1451" s="430">
        <v>0</v>
      </c>
      <c r="M1451" s="430">
        <v>0</v>
      </c>
      <c r="N1451" s="430">
        <v>50</v>
      </c>
      <c r="O1451" s="430">
        <v>0</v>
      </c>
      <c r="P1451" s="430">
        <v>116</v>
      </c>
      <c r="Q1451" s="431">
        <v>0</v>
      </c>
      <c r="R1451" s="328">
        <f t="shared" si="213"/>
        <v>272</v>
      </c>
      <c r="S1451" s="365">
        <f t="shared" si="214"/>
        <v>0</v>
      </c>
      <c r="T1451" s="432"/>
      <c r="U1451" s="432"/>
      <c r="V1451" s="432"/>
      <c r="W1451" s="432"/>
      <c r="X1451" s="432"/>
    </row>
    <row r="1452" spans="1:24" ht="12.75">
      <c r="A1452" s="428" t="s">
        <v>550</v>
      </c>
      <c r="B1452" s="429" t="s">
        <v>173</v>
      </c>
      <c r="C1452" s="429" t="s">
        <v>812</v>
      </c>
      <c r="D1452" s="429">
        <v>2016</v>
      </c>
      <c r="E1452" s="429" t="s">
        <v>775</v>
      </c>
      <c r="F1452" s="430">
        <v>1026</v>
      </c>
      <c r="G1452" s="430">
        <v>0</v>
      </c>
      <c r="H1452" s="431">
        <v>0</v>
      </c>
      <c r="I1452" s="430">
        <v>0</v>
      </c>
      <c r="J1452" s="430">
        <v>681</v>
      </c>
      <c r="K1452" s="430">
        <v>0</v>
      </c>
      <c r="L1452" s="430">
        <v>0</v>
      </c>
      <c r="M1452" s="430">
        <v>0</v>
      </c>
      <c r="N1452" s="430">
        <v>759</v>
      </c>
      <c r="O1452" s="430">
        <v>0</v>
      </c>
      <c r="P1452" s="430">
        <v>1814</v>
      </c>
      <c r="Q1452" s="431">
        <v>701</v>
      </c>
      <c r="R1452" s="328">
        <f t="shared" si="213"/>
        <v>4280</v>
      </c>
      <c r="S1452" s="365">
        <f t="shared" si="214"/>
        <v>701</v>
      </c>
      <c r="T1452" s="432"/>
      <c r="U1452" s="432"/>
      <c r="V1452" s="432"/>
      <c r="W1452" s="432"/>
      <c r="X1452" s="432"/>
    </row>
    <row r="1453" spans="1:24" ht="12.75">
      <c r="A1453" s="428" t="s">
        <v>552</v>
      </c>
      <c r="B1453" s="480" t="s">
        <v>173</v>
      </c>
      <c r="C1453" s="429" t="s">
        <v>812</v>
      </c>
      <c r="D1453" s="429">
        <v>2016</v>
      </c>
      <c r="E1453" s="429" t="s">
        <v>775</v>
      </c>
      <c r="F1453" s="430">
        <v>7173</v>
      </c>
      <c r="G1453" s="430">
        <v>23</v>
      </c>
      <c r="H1453" s="431">
        <v>23</v>
      </c>
      <c r="I1453" s="430">
        <v>0</v>
      </c>
      <c r="J1453" s="430">
        <v>4871</v>
      </c>
      <c r="K1453" s="430">
        <v>2</v>
      </c>
      <c r="L1453" s="430">
        <v>2</v>
      </c>
      <c r="M1453" s="430">
        <v>0</v>
      </c>
      <c r="N1453" s="430">
        <v>5534</v>
      </c>
      <c r="O1453" s="430">
        <v>0</v>
      </c>
      <c r="P1453" s="430">
        <v>12725</v>
      </c>
      <c r="Q1453" s="431">
        <v>394</v>
      </c>
      <c r="R1453" s="328">
        <f t="shared" si="213"/>
        <v>30303</v>
      </c>
      <c r="S1453" s="365">
        <f t="shared" si="214"/>
        <v>419</v>
      </c>
      <c r="T1453" s="432"/>
      <c r="U1453" s="432"/>
      <c r="V1453" s="432"/>
      <c r="W1453" s="432"/>
      <c r="X1453" s="432"/>
    </row>
    <row r="1454" spans="1:24" ht="12.75">
      <c r="A1454" s="428" t="s">
        <v>553</v>
      </c>
      <c r="B1454" s="429" t="s">
        <v>173</v>
      </c>
      <c r="C1454" s="429" t="s">
        <v>812</v>
      </c>
      <c r="D1454" s="429">
        <v>2016</v>
      </c>
      <c r="E1454" s="429" t="s">
        <v>775</v>
      </c>
      <c r="F1454" s="430">
        <v>562</v>
      </c>
      <c r="G1454" s="430">
        <v>0</v>
      </c>
      <c r="H1454" s="431">
        <v>0</v>
      </c>
      <c r="I1454" s="430">
        <v>0</v>
      </c>
      <c r="J1454" s="430">
        <v>394</v>
      </c>
      <c r="K1454" s="430">
        <v>0</v>
      </c>
      <c r="L1454" s="430">
        <v>0</v>
      </c>
      <c r="M1454" s="430">
        <v>0</v>
      </c>
      <c r="N1454" s="430">
        <v>441</v>
      </c>
      <c r="O1454" s="430">
        <v>0</v>
      </c>
      <c r="P1454" s="430">
        <v>1036</v>
      </c>
      <c r="Q1454" s="431">
        <v>0</v>
      </c>
      <c r="R1454" s="328">
        <f t="shared" si="213"/>
        <v>2433</v>
      </c>
      <c r="S1454" s="365">
        <f t="shared" si="214"/>
        <v>0</v>
      </c>
      <c r="T1454" s="432"/>
      <c r="U1454" s="432"/>
      <c r="V1454" s="432"/>
      <c r="W1454" s="432"/>
      <c r="X1454" s="432"/>
    </row>
    <row r="1455" spans="1:24" ht="12.75">
      <c r="A1455" s="459" t="s">
        <v>554</v>
      </c>
      <c r="B1455" s="460" t="s">
        <v>173</v>
      </c>
      <c r="C1455" s="460" t="s">
        <v>812</v>
      </c>
      <c r="D1455" s="460">
        <v>2016</v>
      </c>
      <c r="E1455" s="460" t="s">
        <v>775</v>
      </c>
      <c r="F1455" s="431">
        <v>375</v>
      </c>
      <c r="G1455" s="430">
        <v>0</v>
      </c>
      <c r="H1455" s="431">
        <v>0</v>
      </c>
      <c r="I1455" s="431">
        <v>0</v>
      </c>
      <c r="J1455" s="430">
        <v>251</v>
      </c>
      <c r="K1455" s="430">
        <v>0</v>
      </c>
      <c r="L1455" s="431">
        <v>0</v>
      </c>
      <c r="M1455" s="431">
        <v>0</v>
      </c>
      <c r="N1455" s="431">
        <v>271</v>
      </c>
      <c r="O1455" s="431">
        <v>0</v>
      </c>
      <c r="P1455" s="431">
        <v>596</v>
      </c>
      <c r="Q1455" s="431">
        <v>299</v>
      </c>
      <c r="R1455" s="328">
        <f t="shared" si="213"/>
        <v>1493</v>
      </c>
      <c r="S1455" s="365">
        <f t="shared" si="214"/>
        <v>299</v>
      </c>
      <c r="T1455" s="432"/>
      <c r="U1455" s="432"/>
      <c r="V1455" s="432"/>
      <c r="W1455" s="432"/>
      <c r="X1455" s="432"/>
    </row>
    <row r="1456" spans="1:24" ht="12.75">
      <c r="A1456" s="459" t="s">
        <v>555</v>
      </c>
      <c r="B1456" s="460" t="s">
        <v>173</v>
      </c>
      <c r="C1456" s="460" t="s">
        <v>812</v>
      </c>
      <c r="D1456" s="460">
        <v>2016</v>
      </c>
      <c r="E1456" s="460" t="s">
        <v>775</v>
      </c>
      <c r="F1456" s="431">
        <v>621</v>
      </c>
      <c r="G1456" s="430">
        <v>0</v>
      </c>
      <c r="H1456" s="431">
        <v>0</v>
      </c>
      <c r="I1456" s="431">
        <v>0</v>
      </c>
      <c r="J1456" s="431">
        <v>415</v>
      </c>
      <c r="K1456" s="430">
        <v>0</v>
      </c>
      <c r="L1456" s="431">
        <v>0</v>
      </c>
      <c r="M1456" s="431">
        <v>0</v>
      </c>
      <c r="N1456" s="431">
        <v>461</v>
      </c>
      <c r="O1456" s="431">
        <v>9</v>
      </c>
      <c r="P1456" s="431">
        <v>1038</v>
      </c>
      <c r="Q1456" s="431">
        <v>141</v>
      </c>
      <c r="R1456" s="328">
        <f t="shared" si="213"/>
        <v>2535</v>
      </c>
      <c r="S1456" s="365">
        <f t="shared" si="214"/>
        <v>150</v>
      </c>
      <c r="T1456" s="331">
        <f>SUM(G1436:G1456)</f>
        <v>26</v>
      </c>
      <c r="U1456" s="331">
        <f>SUM(K1436:K1456)</f>
        <v>33</v>
      </c>
      <c r="V1456" s="331">
        <f>SUM(O1436:O1456)</f>
        <v>481</v>
      </c>
      <c r="W1456" s="331">
        <f>SUM(Q1436:Q1456)</f>
        <v>3816</v>
      </c>
      <c r="X1456" s="331">
        <f>T1456+U1456+V1456+W1456</f>
        <v>4356</v>
      </c>
    </row>
    <row r="1457" spans="1:24" ht="12.75">
      <c r="A1457" s="433" t="s">
        <v>528</v>
      </c>
      <c r="B1457" s="434" t="s">
        <v>173</v>
      </c>
      <c r="C1457" s="434" t="s">
        <v>812</v>
      </c>
      <c r="D1457" s="434">
        <v>2017</v>
      </c>
      <c r="E1457" s="434" t="s">
        <v>775</v>
      </c>
      <c r="F1457" s="435">
        <v>872</v>
      </c>
      <c r="G1457" s="435">
        <v>0</v>
      </c>
      <c r="H1457" s="436">
        <v>0</v>
      </c>
      <c r="I1457" s="435">
        <v>0</v>
      </c>
      <c r="J1457" s="435">
        <v>593</v>
      </c>
      <c r="K1457" s="435">
        <v>0</v>
      </c>
      <c r="L1457" s="435">
        <v>0</v>
      </c>
      <c r="M1457" s="435">
        <v>0</v>
      </c>
      <c r="N1457" s="435">
        <v>685</v>
      </c>
      <c r="O1457" s="435">
        <v>0</v>
      </c>
      <c r="P1457" s="435">
        <v>1642</v>
      </c>
      <c r="Q1457" s="436">
        <v>0</v>
      </c>
      <c r="R1457" s="336">
        <f t="shared" si="213"/>
        <v>3792</v>
      </c>
      <c r="S1457" s="366">
        <f t="shared" si="214"/>
        <v>0</v>
      </c>
      <c r="T1457" s="437"/>
      <c r="U1457" s="437"/>
      <c r="V1457" s="437"/>
      <c r="W1457" s="437"/>
      <c r="X1457" s="437"/>
    </row>
    <row r="1458" spans="1:24" ht="12.75">
      <c r="A1458" s="433" t="s">
        <v>529</v>
      </c>
      <c r="B1458" s="434" t="s">
        <v>173</v>
      </c>
      <c r="C1458" s="434" t="s">
        <v>812</v>
      </c>
      <c r="D1458" s="434">
        <v>2017</v>
      </c>
      <c r="E1458" s="434" t="s">
        <v>775</v>
      </c>
      <c r="F1458" s="435">
        <v>1267</v>
      </c>
      <c r="G1458" s="435">
        <v>0</v>
      </c>
      <c r="H1458" s="436">
        <v>0</v>
      </c>
      <c r="I1458" s="435">
        <v>0</v>
      </c>
      <c r="J1458" s="435">
        <v>854</v>
      </c>
      <c r="K1458" s="435">
        <v>0</v>
      </c>
      <c r="L1458" s="435">
        <v>0</v>
      </c>
      <c r="M1458" s="435">
        <v>0</v>
      </c>
      <c r="N1458" s="435">
        <v>969</v>
      </c>
      <c r="O1458" s="435">
        <v>323</v>
      </c>
      <c r="P1458" s="435">
        <v>2160</v>
      </c>
      <c r="Q1458" s="436">
        <v>423</v>
      </c>
      <c r="R1458" s="336">
        <f t="shared" si="213"/>
        <v>5250</v>
      </c>
      <c r="S1458" s="366">
        <f t="shared" si="214"/>
        <v>746</v>
      </c>
      <c r="T1458" s="437"/>
      <c r="U1458" s="437"/>
      <c r="V1458" s="437"/>
      <c r="W1458" s="437"/>
      <c r="X1458" s="437"/>
    </row>
    <row r="1459" spans="1:24" ht="12.75">
      <c r="A1459" s="433" t="s">
        <v>530</v>
      </c>
      <c r="B1459" s="434" t="s">
        <v>173</v>
      </c>
      <c r="C1459" s="434" t="s">
        <v>812</v>
      </c>
      <c r="D1459" s="434">
        <v>2017</v>
      </c>
      <c r="E1459" s="434" t="s">
        <v>775</v>
      </c>
      <c r="F1459" s="435">
        <v>91</v>
      </c>
      <c r="G1459" s="435">
        <v>0</v>
      </c>
      <c r="H1459" s="436">
        <v>0</v>
      </c>
      <c r="I1459" s="435">
        <v>0</v>
      </c>
      <c r="J1459" s="435">
        <v>64</v>
      </c>
      <c r="K1459" s="435">
        <v>0</v>
      </c>
      <c r="L1459" s="435">
        <v>0</v>
      </c>
      <c r="M1459" s="435">
        <v>0</v>
      </c>
      <c r="N1459" s="435">
        <v>75</v>
      </c>
      <c r="O1459" s="435">
        <v>2</v>
      </c>
      <c r="P1459" s="435">
        <v>172</v>
      </c>
      <c r="Q1459" s="436">
        <v>1</v>
      </c>
      <c r="R1459" s="481">
        <v>402</v>
      </c>
      <c r="S1459" s="366">
        <v>3</v>
      </c>
      <c r="T1459" s="437"/>
      <c r="U1459" s="437"/>
      <c r="V1459" s="437"/>
      <c r="W1459" s="437"/>
      <c r="X1459" s="437"/>
    </row>
    <row r="1460" spans="1:24" ht="12.75">
      <c r="A1460" s="433" t="s">
        <v>531</v>
      </c>
      <c r="B1460" s="434" t="s">
        <v>173</v>
      </c>
      <c r="C1460" s="434" t="s">
        <v>812</v>
      </c>
      <c r="D1460" s="434">
        <v>2017</v>
      </c>
      <c r="E1460" s="434" t="s">
        <v>775</v>
      </c>
      <c r="F1460" s="435">
        <v>543</v>
      </c>
      <c r="G1460" s="435">
        <v>0</v>
      </c>
      <c r="H1460" s="436">
        <v>0</v>
      </c>
      <c r="I1460" s="435">
        <v>0</v>
      </c>
      <c r="J1460" s="435">
        <v>383</v>
      </c>
      <c r="K1460" s="435">
        <v>0</v>
      </c>
      <c r="L1460" s="435">
        <v>0</v>
      </c>
      <c r="M1460" s="435">
        <v>0</v>
      </c>
      <c r="N1460" s="435">
        <v>433</v>
      </c>
      <c r="O1460" s="435">
        <v>0</v>
      </c>
      <c r="P1460" s="435">
        <v>982</v>
      </c>
      <c r="Q1460" s="436">
        <v>43</v>
      </c>
      <c r="R1460" s="336">
        <f t="shared" ref="R1460:R1485" si="215">F1460+J1460+N1460+P1460</f>
        <v>2341</v>
      </c>
      <c r="S1460" s="366">
        <f t="shared" ref="S1460:S1485" si="216">K1460+O1460+G1460+Q1460</f>
        <v>43</v>
      </c>
      <c r="T1460" s="437"/>
      <c r="U1460" s="437"/>
      <c r="V1460" s="437"/>
      <c r="W1460" s="437"/>
      <c r="X1460" s="437"/>
    </row>
    <row r="1461" spans="1:24" ht="12.75">
      <c r="A1461" s="433" t="s">
        <v>532</v>
      </c>
      <c r="B1461" s="434" t="s">
        <v>173</v>
      </c>
      <c r="C1461" s="434" t="s">
        <v>812</v>
      </c>
      <c r="D1461" s="434">
        <v>2017</v>
      </c>
      <c r="E1461" s="434" t="s">
        <v>775</v>
      </c>
      <c r="F1461" s="435">
        <v>21</v>
      </c>
      <c r="G1461" s="435">
        <v>0</v>
      </c>
      <c r="H1461" s="436">
        <v>0</v>
      </c>
      <c r="I1461" s="435">
        <v>0</v>
      </c>
      <c r="J1461" s="435">
        <v>14</v>
      </c>
      <c r="K1461" s="435">
        <v>0</v>
      </c>
      <c r="L1461" s="435">
        <v>0</v>
      </c>
      <c r="M1461" s="435">
        <v>0</v>
      </c>
      <c r="N1461" s="435">
        <v>16</v>
      </c>
      <c r="O1461" s="435">
        <v>2</v>
      </c>
      <c r="P1461" s="435">
        <v>32</v>
      </c>
      <c r="Q1461" s="436">
        <v>3</v>
      </c>
      <c r="R1461" s="336">
        <f t="shared" si="215"/>
        <v>83</v>
      </c>
      <c r="S1461" s="366">
        <f t="shared" si="216"/>
        <v>5</v>
      </c>
      <c r="T1461" s="437"/>
      <c r="U1461" s="437"/>
      <c r="V1461" s="437"/>
      <c r="W1461" s="437"/>
      <c r="X1461" s="437"/>
    </row>
    <row r="1462" spans="1:24" ht="12.75">
      <c r="A1462" s="433" t="s">
        <v>533</v>
      </c>
      <c r="B1462" s="434" t="s">
        <v>173</v>
      </c>
      <c r="C1462" s="434" t="s">
        <v>812</v>
      </c>
      <c r="D1462" s="434">
        <v>2017</v>
      </c>
      <c r="E1462" s="434" t="s">
        <v>775</v>
      </c>
      <c r="F1462" s="435">
        <v>141</v>
      </c>
      <c r="G1462" s="435">
        <v>0</v>
      </c>
      <c r="H1462" s="436">
        <v>0</v>
      </c>
      <c r="I1462" s="435">
        <v>0</v>
      </c>
      <c r="J1462" s="435">
        <v>95</v>
      </c>
      <c r="K1462" s="435">
        <v>0</v>
      </c>
      <c r="L1462" s="435">
        <v>0</v>
      </c>
      <c r="M1462" s="435">
        <v>0</v>
      </c>
      <c r="N1462" s="435">
        <v>110</v>
      </c>
      <c r="O1462" s="435">
        <v>69</v>
      </c>
      <c r="P1462" s="435">
        <v>254</v>
      </c>
      <c r="Q1462" s="436">
        <v>0</v>
      </c>
      <c r="R1462" s="336">
        <f t="shared" si="215"/>
        <v>600</v>
      </c>
      <c r="S1462" s="366">
        <f t="shared" si="216"/>
        <v>69</v>
      </c>
      <c r="T1462" s="437"/>
      <c r="U1462" s="437"/>
      <c r="V1462" s="437"/>
      <c r="W1462" s="437"/>
      <c r="X1462" s="437"/>
    </row>
    <row r="1463" spans="1:24" ht="12.75">
      <c r="A1463" s="433" t="s">
        <v>534</v>
      </c>
      <c r="B1463" s="434" t="s">
        <v>173</v>
      </c>
      <c r="C1463" s="434" t="s">
        <v>812</v>
      </c>
      <c r="D1463" s="434">
        <v>2017</v>
      </c>
      <c r="E1463" s="434" t="s">
        <v>775</v>
      </c>
      <c r="F1463" s="435">
        <v>1555</v>
      </c>
      <c r="G1463" s="435">
        <v>26</v>
      </c>
      <c r="H1463" s="436">
        <v>26</v>
      </c>
      <c r="I1463" s="435">
        <v>0</v>
      </c>
      <c r="J1463" s="435">
        <v>1059</v>
      </c>
      <c r="K1463" s="435">
        <v>19</v>
      </c>
      <c r="L1463" s="435">
        <v>19</v>
      </c>
      <c r="M1463" s="435">
        <v>0</v>
      </c>
      <c r="N1463" s="435">
        <v>1212</v>
      </c>
      <c r="O1463" s="435">
        <v>0</v>
      </c>
      <c r="P1463" s="435">
        <v>2945</v>
      </c>
      <c r="Q1463" s="436">
        <v>0</v>
      </c>
      <c r="R1463" s="336">
        <f t="shared" si="215"/>
        <v>6771</v>
      </c>
      <c r="S1463" s="366">
        <f t="shared" si="216"/>
        <v>45</v>
      </c>
      <c r="T1463" s="437"/>
      <c r="U1463" s="437"/>
      <c r="V1463" s="437"/>
      <c r="W1463" s="437"/>
      <c r="X1463" s="437"/>
    </row>
    <row r="1464" spans="1:24" ht="12.75">
      <c r="A1464" s="433" t="s">
        <v>535</v>
      </c>
      <c r="B1464" s="434" t="s">
        <v>173</v>
      </c>
      <c r="C1464" s="434" t="s">
        <v>812</v>
      </c>
      <c r="D1464" s="434">
        <v>2017</v>
      </c>
      <c r="E1464" s="434" t="s">
        <v>775</v>
      </c>
      <c r="F1464" s="435">
        <v>192</v>
      </c>
      <c r="G1464" s="435">
        <v>0</v>
      </c>
      <c r="H1464" s="436">
        <v>0</v>
      </c>
      <c r="I1464" s="435">
        <v>0</v>
      </c>
      <c r="J1464" s="435">
        <v>128</v>
      </c>
      <c r="K1464" s="435">
        <v>0</v>
      </c>
      <c r="L1464" s="435">
        <v>0</v>
      </c>
      <c r="M1464" s="435">
        <v>0</v>
      </c>
      <c r="N1464" s="435">
        <v>142</v>
      </c>
      <c r="O1464" s="435">
        <v>4</v>
      </c>
      <c r="P1464" s="435">
        <v>308</v>
      </c>
      <c r="Q1464" s="436">
        <v>207</v>
      </c>
      <c r="R1464" s="336">
        <f t="shared" si="215"/>
        <v>770</v>
      </c>
      <c r="S1464" s="366">
        <f t="shared" si="216"/>
        <v>211</v>
      </c>
      <c r="T1464" s="437"/>
      <c r="U1464" s="437"/>
      <c r="V1464" s="437"/>
      <c r="W1464" s="437"/>
      <c r="X1464" s="437"/>
    </row>
    <row r="1465" spans="1:24" ht="12.75">
      <c r="A1465" s="433" t="s">
        <v>536</v>
      </c>
      <c r="B1465" s="434" t="s">
        <v>173</v>
      </c>
      <c r="C1465" s="434" t="s">
        <v>812</v>
      </c>
      <c r="D1465" s="434">
        <v>2017</v>
      </c>
      <c r="E1465" s="434" t="s">
        <v>775</v>
      </c>
      <c r="F1465" s="435">
        <v>946</v>
      </c>
      <c r="G1465" s="435">
        <v>43</v>
      </c>
      <c r="H1465" s="436">
        <v>0</v>
      </c>
      <c r="I1465" s="435">
        <v>43</v>
      </c>
      <c r="J1465" s="435">
        <v>661</v>
      </c>
      <c r="K1465" s="435">
        <v>0</v>
      </c>
      <c r="L1465" s="435">
        <v>0</v>
      </c>
      <c r="M1465" s="435">
        <v>0</v>
      </c>
      <c r="N1465" s="435">
        <v>772</v>
      </c>
      <c r="O1465" s="435">
        <v>0</v>
      </c>
      <c r="P1465" s="435">
        <v>1817</v>
      </c>
      <c r="Q1465" s="436">
        <v>0</v>
      </c>
      <c r="R1465" s="336">
        <f t="shared" si="215"/>
        <v>4196</v>
      </c>
      <c r="S1465" s="366">
        <f t="shared" si="216"/>
        <v>43</v>
      </c>
      <c r="T1465" s="437"/>
      <c r="U1465" s="437"/>
      <c r="V1465" s="437"/>
      <c r="W1465" s="437"/>
      <c r="X1465" s="437"/>
    </row>
    <row r="1466" spans="1:24" ht="12.75">
      <c r="A1466" s="433" t="s">
        <v>537</v>
      </c>
      <c r="B1466" s="434" t="s">
        <v>173</v>
      </c>
      <c r="C1466" s="434" t="s">
        <v>812</v>
      </c>
      <c r="D1466" s="434">
        <v>2017</v>
      </c>
      <c r="E1466" s="434" t="s">
        <v>775</v>
      </c>
      <c r="F1466" s="435">
        <v>374</v>
      </c>
      <c r="G1466" s="435">
        <v>0</v>
      </c>
      <c r="H1466" s="436">
        <v>0</v>
      </c>
      <c r="I1466" s="435">
        <v>0</v>
      </c>
      <c r="J1466" s="435">
        <v>250</v>
      </c>
      <c r="K1466" s="435">
        <v>0</v>
      </c>
      <c r="L1466" s="435">
        <v>0</v>
      </c>
      <c r="M1466" s="435">
        <v>0</v>
      </c>
      <c r="N1466" s="435">
        <v>274</v>
      </c>
      <c r="O1466" s="435">
        <v>0</v>
      </c>
      <c r="P1466" s="435">
        <v>565</v>
      </c>
      <c r="Q1466" s="436">
        <v>233</v>
      </c>
      <c r="R1466" s="336">
        <f t="shared" si="215"/>
        <v>1463</v>
      </c>
      <c r="S1466" s="366">
        <f t="shared" si="216"/>
        <v>233</v>
      </c>
      <c r="T1466" s="437"/>
      <c r="U1466" s="437"/>
      <c r="V1466" s="437"/>
      <c r="W1466" s="437"/>
      <c r="X1466" s="437"/>
    </row>
    <row r="1467" spans="1:24" ht="12.75">
      <c r="A1467" s="433" t="s">
        <v>538</v>
      </c>
      <c r="B1467" s="434" t="s">
        <v>173</v>
      </c>
      <c r="C1467" s="434" t="s">
        <v>812</v>
      </c>
      <c r="D1467" s="434">
        <v>2017</v>
      </c>
      <c r="E1467" s="434" t="s">
        <v>775</v>
      </c>
      <c r="F1467" s="435">
        <v>134</v>
      </c>
      <c r="G1467" s="435">
        <v>0</v>
      </c>
      <c r="H1467" s="436">
        <v>0</v>
      </c>
      <c r="I1467" s="435">
        <v>0</v>
      </c>
      <c r="J1467" s="435">
        <v>96</v>
      </c>
      <c r="K1467" s="435">
        <v>0</v>
      </c>
      <c r="L1467" s="435">
        <v>0</v>
      </c>
      <c r="M1467" s="435">
        <v>0</v>
      </c>
      <c r="N1467" s="435">
        <v>112</v>
      </c>
      <c r="O1467" s="435">
        <v>2</v>
      </c>
      <c r="P1467" s="435">
        <v>262</v>
      </c>
      <c r="Q1467" s="436">
        <v>12</v>
      </c>
      <c r="R1467" s="336">
        <f t="shared" si="215"/>
        <v>604</v>
      </c>
      <c r="S1467" s="366">
        <f t="shared" si="216"/>
        <v>14</v>
      </c>
      <c r="T1467" s="437"/>
      <c r="U1467" s="437"/>
      <c r="V1467" s="437"/>
      <c r="W1467" s="437"/>
      <c r="X1467" s="437"/>
    </row>
    <row r="1468" spans="1:24" ht="12.75">
      <c r="A1468" s="433" t="s">
        <v>539</v>
      </c>
      <c r="B1468" s="434" t="s">
        <v>173</v>
      </c>
      <c r="C1468" s="434" t="s">
        <v>812</v>
      </c>
      <c r="D1468" s="434">
        <v>2017</v>
      </c>
      <c r="E1468" s="434" t="s">
        <v>775</v>
      </c>
      <c r="F1468" s="435">
        <v>40</v>
      </c>
      <c r="G1468" s="435">
        <v>0</v>
      </c>
      <c r="H1468" s="436">
        <v>0</v>
      </c>
      <c r="I1468" s="435">
        <v>0</v>
      </c>
      <c r="J1468" s="435">
        <v>27</v>
      </c>
      <c r="K1468" s="435">
        <v>0</v>
      </c>
      <c r="L1468" s="435">
        <v>0</v>
      </c>
      <c r="M1468" s="435">
        <v>0</v>
      </c>
      <c r="N1468" s="435">
        <v>31</v>
      </c>
      <c r="O1468" s="435">
        <v>0</v>
      </c>
      <c r="P1468" s="435">
        <v>62</v>
      </c>
      <c r="Q1468" s="436">
        <v>24</v>
      </c>
      <c r="R1468" s="336">
        <f t="shared" si="215"/>
        <v>160</v>
      </c>
      <c r="S1468" s="366">
        <f t="shared" si="216"/>
        <v>24</v>
      </c>
      <c r="T1468" s="437"/>
      <c r="U1468" s="437"/>
      <c r="V1468" s="437"/>
      <c r="W1468" s="437"/>
      <c r="X1468" s="437"/>
    </row>
    <row r="1469" spans="1:24" ht="12.75">
      <c r="A1469" s="433" t="s">
        <v>540</v>
      </c>
      <c r="B1469" s="434" t="s">
        <v>173</v>
      </c>
      <c r="C1469" s="434" t="s">
        <v>812</v>
      </c>
      <c r="D1469" s="434">
        <v>2017</v>
      </c>
      <c r="E1469" s="434" t="s">
        <v>775</v>
      </c>
      <c r="F1469" s="435">
        <v>714</v>
      </c>
      <c r="G1469" s="435">
        <v>0</v>
      </c>
      <c r="H1469" s="436">
        <v>0</v>
      </c>
      <c r="I1469" s="435">
        <v>0</v>
      </c>
      <c r="J1469" s="435">
        <v>487</v>
      </c>
      <c r="K1469" s="435">
        <v>0</v>
      </c>
      <c r="L1469" s="435">
        <v>0</v>
      </c>
      <c r="M1469" s="435">
        <v>0</v>
      </c>
      <c r="N1469" s="435">
        <v>553</v>
      </c>
      <c r="O1469" s="435">
        <v>0</v>
      </c>
      <c r="P1469" s="435">
        <v>1271</v>
      </c>
      <c r="Q1469" s="436">
        <v>247</v>
      </c>
      <c r="R1469" s="336">
        <f t="shared" si="215"/>
        <v>3025</v>
      </c>
      <c r="S1469" s="366">
        <f t="shared" si="216"/>
        <v>247</v>
      </c>
      <c r="T1469" s="437"/>
      <c r="U1469" s="437"/>
      <c r="V1469" s="437"/>
      <c r="W1469" s="437"/>
      <c r="X1469" s="437"/>
    </row>
    <row r="1470" spans="1:24" ht="12.75">
      <c r="A1470" s="433" t="s">
        <v>542</v>
      </c>
      <c r="B1470" s="434" t="s">
        <v>173</v>
      </c>
      <c r="C1470" s="434" t="s">
        <v>812</v>
      </c>
      <c r="D1470" s="434">
        <v>2017</v>
      </c>
      <c r="E1470" s="434" t="s">
        <v>775</v>
      </c>
      <c r="F1470" s="435">
        <v>91</v>
      </c>
      <c r="G1470" s="435">
        <v>0</v>
      </c>
      <c r="H1470" s="436">
        <v>0</v>
      </c>
      <c r="I1470" s="435">
        <v>0</v>
      </c>
      <c r="J1470" s="435">
        <v>61</v>
      </c>
      <c r="K1470" s="435">
        <v>0</v>
      </c>
      <c r="L1470" s="435">
        <v>0</v>
      </c>
      <c r="M1470" s="435">
        <v>0</v>
      </c>
      <c r="N1470" s="435">
        <v>66</v>
      </c>
      <c r="O1470" s="435">
        <v>0</v>
      </c>
      <c r="P1470" s="435">
        <v>146</v>
      </c>
      <c r="Q1470" s="436">
        <v>102</v>
      </c>
      <c r="R1470" s="336">
        <f t="shared" si="215"/>
        <v>364</v>
      </c>
      <c r="S1470" s="366">
        <f t="shared" si="216"/>
        <v>102</v>
      </c>
      <c r="T1470" s="437"/>
      <c r="U1470" s="437"/>
      <c r="V1470" s="437"/>
      <c r="W1470" s="437"/>
      <c r="X1470" s="437"/>
    </row>
    <row r="1471" spans="1:24" ht="12.75">
      <c r="A1471" s="433" t="s">
        <v>543</v>
      </c>
      <c r="B1471" s="434" t="s">
        <v>173</v>
      </c>
      <c r="C1471" s="434" t="s">
        <v>812</v>
      </c>
      <c r="D1471" s="434">
        <v>2017</v>
      </c>
      <c r="E1471" s="434" t="s">
        <v>775</v>
      </c>
      <c r="F1471" s="435">
        <v>1196</v>
      </c>
      <c r="G1471" s="435">
        <v>2</v>
      </c>
      <c r="H1471" s="436">
        <v>0</v>
      </c>
      <c r="I1471" s="435">
        <v>2</v>
      </c>
      <c r="J1471" s="435">
        <v>801</v>
      </c>
      <c r="K1471" s="435">
        <v>0</v>
      </c>
      <c r="L1471" s="435">
        <v>0</v>
      </c>
      <c r="M1471" s="435">
        <v>0</v>
      </c>
      <c r="N1471" s="435">
        <v>897</v>
      </c>
      <c r="O1471" s="435">
        <v>129</v>
      </c>
      <c r="P1471" s="435">
        <v>2035</v>
      </c>
      <c r="Q1471" s="436">
        <v>435</v>
      </c>
      <c r="R1471" s="336">
        <f t="shared" si="215"/>
        <v>4929</v>
      </c>
      <c r="S1471" s="366">
        <f t="shared" si="216"/>
        <v>566</v>
      </c>
      <c r="T1471" s="437"/>
      <c r="U1471" s="437"/>
      <c r="V1471" s="437"/>
      <c r="W1471" s="437"/>
      <c r="X1471" s="437"/>
    </row>
    <row r="1472" spans="1:24" ht="12.75">
      <c r="A1472" s="433" t="s">
        <v>544</v>
      </c>
      <c r="B1472" s="434" t="s">
        <v>173</v>
      </c>
      <c r="C1472" s="434" t="s">
        <v>812</v>
      </c>
      <c r="D1472" s="434">
        <v>2017</v>
      </c>
      <c r="E1472" s="434" t="s">
        <v>775</v>
      </c>
      <c r="F1472" s="435">
        <v>1488</v>
      </c>
      <c r="G1472" s="435">
        <v>3</v>
      </c>
      <c r="H1472" s="436">
        <v>0</v>
      </c>
      <c r="I1472" s="435">
        <v>3</v>
      </c>
      <c r="J1472" s="435">
        <v>1007</v>
      </c>
      <c r="K1472" s="435">
        <v>9</v>
      </c>
      <c r="L1472" s="435">
        <v>0</v>
      </c>
      <c r="M1472" s="435">
        <v>9</v>
      </c>
      <c r="N1472" s="435">
        <v>1140</v>
      </c>
      <c r="O1472" s="435">
        <v>168</v>
      </c>
      <c r="P1472" s="435">
        <v>2610</v>
      </c>
      <c r="Q1472" s="436">
        <v>514</v>
      </c>
      <c r="R1472" s="336">
        <f t="shared" si="215"/>
        <v>6245</v>
      </c>
      <c r="S1472" s="366">
        <f t="shared" si="216"/>
        <v>694</v>
      </c>
      <c r="T1472" s="437"/>
      <c r="U1472" s="437"/>
      <c r="V1472" s="437"/>
      <c r="W1472" s="437"/>
      <c r="X1472" s="437"/>
    </row>
    <row r="1473" spans="1:24" ht="12.75">
      <c r="A1473" s="433" t="s">
        <v>545</v>
      </c>
      <c r="B1473" s="434" t="s">
        <v>173</v>
      </c>
      <c r="C1473" s="434" t="s">
        <v>812</v>
      </c>
      <c r="D1473" s="434">
        <v>2017</v>
      </c>
      <c r="E1473" s="434" t="s">
        <v>775</v>
      </c>
      <c r="F1473" s="435">
        <v>1500</v>
      </c>
      <c r="G1473" s="435">
        <v>0</v>
      </c>
      <c r="H1473" s="436">
        <v>0</v>
      </c>
      <c r="I1473" s="435">
        <v>0</v>
      </c>
      <c r="J1473" s="435">
        <v>993</v>
      </c>
      <c r="K1473" s="435">
        <v>0</v>
      </c>
      <c r="L1473" s="435">
        <v>0</v>
      </c>
      <c r="M1473" s="435">
        <v>0</v>
      </c>
      <c r="N1473" s="435">
        <v>1112</v>
      </c>
      <c r="O1473" s="435">
        <v>84</v>
      </c>
      <c r="P1473" s="435">
        <v>2564</v>
      </c>
      <c r="Q1473" s="436">
        <v>341</v>
      </c>
      <c r="R1473" s="336">
        <f t="shared" si="215"/>
        <v>6169</v>
      </c>
      <c r="S1473" s="366">
        <f t="shared" si="216"/>
        <v>425</v>
      </c>
      <c r="T1473" s="437"/>
      <c r="U1473" s="437"/>
      <c r="V1473" s="437"/>
      <c r="W1473" s="437"/>
      <c r="X1473" s="437"/>
    </row>
    <row r="1474" spans="1:24" ht="12.75">
      <c r="A1474" s="433" t="s">
        <v>546</v>
      </c>
      <c r="B1474" s="434" t="s">
        <v>173</v>
      </c>
      <c r="C1474" s="434" t="s">
        <v>812</v>
      </c>
      <c r="D1474" s="434">
        <v>2017</v>
      </c>
      <c r="E1474" s="434" t="s">
        <v>775</v>
      </c>
      <c r="F1474" s="435">
        <v>395</v>
      </c>
      <c r="G1474" s="435">
        <v>0</v>
      </c>
      <c r="H1474" s="436">
        <v>0</v>
      </c>
      <c r="I1474" s="435">
        <v>0</v>
      </c>
      <c r="J1474" s="435">
        <v>262</v>
      </c>
      <c r="K1474" s="435">
        <v>0</v>
      </c>
      <c r="L1474" s="435">
        <v>0</v>
      </c>
      <c r="M1474" s="435">
        <v>0</v>
      </c>
      <c r="N1474" s="435">
        <v>289</v>
      </c>
      <c r="O1474" s="435">
        <v>0</v>
      </c>
      <c r="P1474" s="435">
        <v>627</v>
      </c>
      <c r="Q1474" s="436">
        <v>225</v>
      </c>
      <c r="R1474" s="336">
        <f t="shared" si="215"/>
        <v>1573</v>
      </c>
      <c r="S1474" s="366">
        <f t="shared" si="216"/>
        <v>225</v>
      </c>
      <c r="T1474" s="437"/>
      <c r="U1474" s="437"/>
      <c r="V1474" s="437"/>
      <c r="W1474" s="437"/>
      <c r="X1474" s="437"/>
    </row>
    <row r="1475" spans="1:24" ht="12.75">
      <c r="A1475" s="433" t="s">
        <v>547</v>
      </c>
      <c r="B1475" s="434" t="s">
        <v>173</v>
      </c>
      <c r="C1475" s="434" t="s">
        <v>812</v>
      </c>
      <c r="D1475" s="434">
        <v>2017</v>
      </c>
      <c r="E1475" s="434" t="s">
        <v>775</v>
      </c>
      <c r="F1475" s="435">
        <v>205</v>
      </c>
      <c r="G1475" s="435">
        <v>0</v>
      </c>
      <c r="H1475" s="436">
        <v>0</v>
      </c>
      <c r="I1475" s="435">
        <v>0</v>
      </c>
      <c r="J1475" s="435">
        <v>136</v>
      </c>
      <c r="K1475" s="435">
        <v>0</v>
      </c>
      <c r="L1475" s="435">
        <v>0</v>
      </c>
      <c r="M1475" s="435">
        <v>0</v>
      </c>
      <c r="N1475" s="435">
        <v>151</v>
      </c>
      <c r="O1475" s="435">
        <v>0</v>
      </c>
      <c r="P1475" s="435">
        <v>326</v>
      </c>
      <c r="Q1475" s="436">
        <v>2</v>
      </c>
      <c r="R1475" s="336">
        <f t="shared" si="215"/>
        <v>818</v>
      </c>
      <c r="S1475" s="366">
        <f t="shared" si="216"/>
        <v>2</v>
      </c>
      <c r="T1475" s="437"/>
      <c r="U1475" s="437"/>
      <c r="V1475" s="437"/>
      <c r="W1475" s="437"/>
      <c r="X1475" s="437"/>
    </row>
    <row r="1476" spans="1:24" ht="12.75">
      <c r="A1476" s="433" t="s">
        <v>548</v>
      </c>
      <c r="B1476" s="434" t="s">
        <v>173</v>
      </c>
      <c r="C1476" s="434" t="s">
        <v>812</v>
      </c>
      <c r="D1476" s="434">
        <v>2017</v>
      </c>
      <c r="E1476" s="434" t="s">
        <v>775</v>
      </c>
      <c r="F1476" s="435">
        <v>98</v>
      </c>
      <c r="G1476" s="435">
        <v>0</v>
      </c>
      <c r="H1476" s="436">
        <v>0</v>
      </c>
      <c r="I1476" s="435">
        <v>0</v>
      </c>
      <c r="J1476" s="435">
        <v>67</v>
      </c>
      <c r="K1476" s="435">
        <v>0</v>
      </c>
      <c r="L1476" s="435">
        <v>0</v>
      </c>
      <c r="M1476" s="435">
        <v>0</v>
      </c>
      <c r="N1476" s="435">
        <v>76</v>
      </c>
      <c r="O1476" s="435">
        <v>0</v>
      </c>
      <c r="P1476" s="435">
        <v>172</v>
      </c>
      <c r="Q1476" s="436">
        <v>95</v>
      </c>
      <c r="R1476" s="336">
        <f t="shared" si="215"/>
        <v>413</v>
      </c>
      <c r="S1476" s="366">
        <f t="shared" si="216"/>
        <v>95</v>
      </c>
      <c r="T1476" s="437"/>
      <c r="U1476" s="437"/>
      <c r="V1476" s="437"/>
      <c r="W1476" s="437"/>
      <c r="X1476" s="437"/>
    </row>
    <row r="1477" spans="1:24" ht="12.75">
      <c r="A1477" s="433" t="s">
        <v>549</v>
      </c>
      <c r="B1477" s="434" t="s">
        <v>173</v>
      </c>
      <c r="C1477" s="434" t="s">
        <v>812</v>
      </c>
      <c r="D1477" s="434">
        <v>2017</v>
      </c>
      <c r="E1477" s="434" t="s">
        <v>775</v>
      </c>
      <c r="F1477" s="435">
        <v>63</v>
      </c>
      <c r="G1477" s="435">
        <v>0</v>
      </c>
      <c r="H1477" s="436">
        <v>0</v>
      </c>
      <c r="I1477" s="435">
        <v>0</v>
      </c>
      <c r="J1477" s="435">
        <v>43</v>
      </c>
      <c r="K1477" s="435">
        <v>0</v>
      </c>
      <c r="L1477" s="435">
        <v>0</v>
      </c>
      <c r="M1477" s="435">
        <v>0</v>
      </c>
      <c r="N1477" s="435">
        <v>50</v>
      </c>
      <c r="O1477" s="435">
        <v>0</v>
      </c>
      <c r="P1477" s="435">
        <v>116</v>
      </c>
      <c r="Q1477" s="436">
        <v>394</v>
      </c>
      <c r="R1477" s="336">
        <f t="shared" si="215"/>
        <v>272</v>
      </c>
      <c r="S1477" s="366">
        <f t="shared" si="216"/>
        <v>394</v>
      </c>
      <c r="T1477" s="437"/>
      <c r="U1477" s="437"/>
      <c r="V1477" s="437"/>
      <c r="W1477" s="437"/>
      <c r="X1477" s="437"/>
    </row>
    <row r="1478" spans="1:24" ht="12.75">
      <c r="A1478" s="433" t="s">
        <v>550</v>
      </c>
      <c r="B1478" s="434" t="s">
        <v>173</v>
      </c>
      <c r="C1478" s="434" t="s">
        <v>812</v>
      </c>
      <c r="D1478" s="434">
        <v>2017</v>
      </c>
      <c r="E1478" s="434" t="s">
        <v>775</v>
      </c>
      <c r="F1478" s="435">
        <v>1026</v>
      </c>
      <c r="G1478" s="435">
        <v>0</v>
      </c>
      <c r="H1478" s="436">
        <v>0</v>
      </c>
      <c r="I1478" s="435">
        <v>0</v>
      </c>
      <c r="J1478" s="435">
        <v>681</v>
      </c>
      <c r="K1478" s="435">
        <v>0</v>
      </c>
      <c r="L1478" s="435">
        <v>0</v>
      </c>
      <c r="M1478" s="435">
        <v>0</v>
      </c>
      <c r="N1478" s="435">
        <v>759</v>
      </c>
      <c r="O1478" s="435">
        <v>0</v>
      </c>
      <c r="P1478" s="435">
        <v>1814</v>
      </c>
      <c r="Q1478" s="436">
        <v>0</v>
      </c>
      <c r="R1478" s="336">
        <f t="shared" si="215"/>
        <v>4280</v>
      </c>
      <c r="S1478" s="366">
        <f t="shared" si="216"/>
        <v>0</v>
      </c>
      <c r="T1478" s="437"/>
      <c r="U1478" s="437"/>
      <c r="V1478" s="437"/>
      <c r="W1478" s="437"/>
      <c r="X1478" s="437"/>
    </row>
    <row r="1479" spans="1:24" ht="12.75">
      <c r="A1479" s="433" t="s">
        <v>551</v>
      </c>
      <c r="B1479" s="434" t="s">
        <v>173</v>
      </c>
      <c r="C1479" s="434" t="s">
        <v>812</v>
      </c>
      <c r="D1479" s="434">
        <v>2017</v>
      </c>
      <c r="E1479" s="434" t="s">
        <v>775</v>
      </c>
      <c r="F1479" s="435">
        <v>23</v>
      </c>
      <c r="G1479" s="435">
        <v>0</v>
      </c>
      <c r="H1479" s="436">
        <v>0</v>
      </c>
      <c r="I1479" s="435">
        <v>0</v>
      </c>
      <c r="J1479" s="435">
        <v>15</v>
      </c>
      <c r="K1479" s="435">
        <v>0</v>
      </c>
      <c r="L1479" s="435">
        <v>0</v>
      </c>
      <c r="M1479" s="435">
        <v>0</v>
      </c>
      <c r="N1479" s="435">
        <v>18</v>
      </c>
      <c r="O1479" s="435">
        <v>1</v>
      </c>
      <c r="P1479" s="435">
        <v>39</v>
      </c>
      <c r="Q1479" s="436">
        <v>36</v>
      </c>
      <c r="R1479" s="336">
        <f t="shared" si="215"/>
        <v>95</v>
      </c>
      <c r="S1479" s="366">
        <f t="shared" si="216"/>
        <v>37</v>
      </c>
      <c r="T1479" s="437"/>
      <c r="U1479" s="437"/>
      <c r="V1479" s="437"/>
      <c r="W1479" s="437"/>
      <c r="X1479" s="437"/>
    </row>
    <row r="1480" spans="1:24" ht="12.75">
      <c r="A1480" s="433" t="s">
        <v>173</v>
      </c>
      <c r="B1480" s="434" t="s">
        <v>173</v>
      </c>
      <c r="C1480" s="434" t="s">
        <v>812</v>
      </c>
      <c r="D1480" s="434">
        <v>2017</v>
      </c>
      <c r="E1480" s="434" t="s">
        <v>775</v>
      </c>
      <c r="F1480" s="435">
        <v>2002</v>
      </c>
      <c r="G1480" s="435">
        <v>0</v>
      </c>
      <c r="H1480" s="436">
        <v>0</v>
      </c>
      <c r="I1480" s="435">
        <v>0</v>
      </c>
      <c r="J1480" s="435">
        <v>1336</v>
      </c>
      <c r="K1480" s="435">
        <v>0</v>
      </c>
      <c r="L1480" s="435">
        <v>0</v>
      </c>
      <c r="M1480" s="435">
        <v>0</v>
      </c>
      <c r="N1480" s="435">
        <v>1503</v>
      </c>
      <c r="O1480" s="435">
        <v>12</v>
      </c>
      <c r="P1480" s="435">
        <v>3442</v>
      </c>
      <c r="Q1480" s="436">
        <v>70</v>
      </c>
      <c r="R1480" s="336">
        <f t="shared" si="215"/>
        <v>8283</v>
      </c>
      <c r="S1480" s="366">
        <f t="shared" si="216"/>
        <v>82</v>
      </c>
      <c r="T1480" s="437"/>
      <c r="U1480" s="437"/>
      <c r="V1480" s="437"/>
      <c r="W1480" s="437"/>
      <c r="X1480" s="437"/>
    </row>
    <row r="1481" spans="1:24" ht="12.75">
      <c r="A1481" s="433" t="s">
        <v>552</v>
      </c>
      <c r="B1481" s="434" t="s">
        <v>173</v>
      </c>
      <c r="C1481" s="434" t="s">
        <v>812</v>
      </c>
      <c r="D1481" s="434">
        <v>2017</v>
      </c>
      <c r="E1481" s="434" t="s">
        <v>775</v>
      </c>
      <c r="F1481" s="435">
        <v>7173</v>
      </c>
      <c r="G1481" s="435">
        <v>86</v>
      </c>
      <c r="H1481" s="436">
        <v>86</v>
      </c>
      <c r="I1481" s="435">
        <v>0</v>
      </c>
      <c r="J1481" s="435">
        <v>4871</v>
      </c>
      <c r="K1481" s="435">
        <v>27</v>
      </c>
      <c r="L1481" s="435">
        <v>27</v>
      </c>
      <c r="M1481" s="435">
        <v>0</v>
      </c>
      <c r="N1481" s="435">
        <v>5534</v>
      </c>
      <c r="O1481" s="435">
        <v>505</v>
      </c>
      <c r="P1481" s="435">
        <v>12725</v>
      </c>
      <c r="Q1481" s="436">
        <v>62</v>
      </c>
      <c r="R1481" s="336">
        <f t="shared" si="215"/>
        <v>30303</v>
      </c>
      <c r="S1481" s="366">
        <f t="shared" si="216"/>
        <v>680</v>
      </c>
      <c r="T1481" s="437"/>
      <c r="U1481" s="437"/>
      <c r="V1481" s="437"/>
      <c r="W1481" s="437"/>
      <c r="X1481" s="437"/>
    </row>
    <row r="1482" spans="1:24" ht="12.75">
      <c r="A1482" s="433" t="s">
        <v>553</v>
      </c>
      <c r="B1482" s="434" t="s">
        <v>173</v>
      </c>
      <c r="C1482" s="434" t="s">
        <v>812</v>
      </c>
      <c r="D1482" s="434">
        <v>2017</v>
      </c>
      <c r="E1482" s="434" t="s">
        <v>775</v>
      </c>
      <c r="F1482" s="435">
        <v>562</v>
      </c>
      <c r="G1482" s="435">
        <v>0</v>
      </c>
      <c r="H1482" s="436">
        <v>0</v>
      </c>
      <c r="I1482" s="435">
        <v>0</v>
      </c>
      <c r="J1482" s="435">
        <v>394</v>
      </c>
      <c r="K1482" s="435">
        <v>0</v>
      </c>
      <c r="L1482" s="435">
        <v>0</v>
      </c>
      <c r="M1482" s="435">
        <v>0</v>
      </c>
      <c r="N1482" s="435">
        <v>441</v>
      </c>
      <c r="O1482" s="435">
        <v>0</v>
      </c>
      <c r="P1482" s="435">
        <v>1036</v>
      </c>
      <c r="Q1482" s="436">
        <v>216</v>
      </c>
      <c r="R1482" s="336">
        <f t="shared" si="215"/>
        <v>2433</v>
      </c>
      <c r="S1482" s="366">
        <f t="shared" si="216"/>
        <v>216</v>
      </c>
      <c r="T1482" s="437"/>
      <c r="U1482" s="437"/>
      <c r="V1482" s="437"/>
      <c r="W1482" s="437"/>
      <c r="X1482" s="437"/>
    </row>
    <row r="1483" spans="1:24" ht="12.75">
      <c r="A1483" s="461" t="s">
        <v>554</v>
      </c>
      <c r="B1483" s="462" t="s">
        <v>173</v>
      </c>
      <c r="C1483" s="462" t="s">
        <v>812</v>
      </c>
      <c r="D1483" s="462">
        <v>2017</v>
      </c>
      <c r="E1483" s="462" t="s">
        <v>775</v>
      </c>
      <c r="F1483" s="436">
        <v>375</v>
      </c>
      <c r="G1483" s="435">
        <v>15</v>
      </c>
      <c r="H1483" s="436">
        <v>15</v>
      </c>
      <c r="I1483" s="436">
        <v>0</v>
      </c>
      <c r="J1483" s="435">
        <v>251</v>
      </c>
      <c r="K1483" s="435">
        <v>0</v>
      </c>
      <c r="L1483" s="436">
        <v>0</v>
      </c>
      <c r="M1483" s="436">
        <v>0</v>
      </c>
      <c r="N1483" s="436">
        <v>271</v>
      </c>
      <c r="O1483" s="436">
        <v>15</v>
      </c>
      <c r="P1483" s="436">
        <v>596</v>
      </c>
      <c r="Q1483" s="436">
        <v>84</v>
      </c>
      <c r="R1483" s="336">
        <f t="shared" si="215"/>
        <v>1493</v>
      </c>
      <c r="S1483" s="366">
        <f t="shared" si="216"/>
        <v>114</v>
      </c>
      <c r="T1483" s="437"/>
      <c r="U1483" s="437"/>
      <c r="V1483" s="437"/>
      <c r="W1483" s="437"/>
      <c r="X1483" s="437"/>
    </row>
    <row r="1484" spans="1:24" ht="12.75">
      <c r="A1484" s="461" t="s">
        <v>555</v>
      </c>
      <c r="B1484" s="462" t="s">
        <v>173</v>
      </c>
      <c r="C1484" s="462" t="s">
        <v>812</v>
      </c>
      <c r="D1484" s="462">
        <v>2017</v>
      </c>
      <c r="E1484" s="462" t="s">
        <v>775</v>
      </c>
      <c r="F1484" s="436">
        <v>621</v>
      </c>
      <c r="G1484" s="435">
        <v>0</v>
      </c>
      <c r="H1484" s="436">
        <v>0</v>
      </c>
      <c r="I1484" s="436">
        <v>0</v>
      </c>
      <c r="J1484" s="436">
        <v>415</v>
      </c>
      <c r="K1484" s="435">
        <v>0</v>
      </c>
      <c r="L1484" s="436">
        <v>0</v>
      </c>
      <c r="M1484" s="436">
        <v>0</v>
      </c>
      <c r="N1484" s="436">
        <v>461</v>
      </c>
      <c r="O1484" s="436">
        <v>10</v>
      </c>
      <c r="P1484" s="436">
        <v>1038</v>
      </c>
      <c r="Q1484" s="436">
        <v>110</v>
      </c>
      <c r="R1484" s="336">
        <f t="shared" si="215"/>
        <v>2535</v>
      </c>
      <c r="S1484" s="366">
        <f t="shared" si="216"/>
        <v>120</v>
      </c>
      <c r="T1484" s="339">
        <f>SUM(G1457:G1484)</f>
        <v>175</v>
      </c>
      <c r="U1484" s="339">
        <f>SUM(K1457:K1484)</f>
        <v>55</v>
      </c>
      <c r="V1484" s="339">
        <f>SUM(O1457:O1484)</f>
        <v>1326</v>
      </c>
      <c r="W1484" s="339">
        <f>SUM(Q1457:Q1484)</f>
        <v>3879</v>
      </c>
      <c r="X1484" s="339">
        <f>T1484+U1484+V1484+W1484</f>
        <v>5435</v>
      </c>
    </row>
    <row r="1485" spans="1:24" ht="12.75">
      <c r="A1485" s="438" t="s">
        <v>528</v>
      </c>
      <c r="B1485" s="439" t="s">
        <v>173</v>
      </c>
      <c r="C1485" s="439" t="s">
        <v>812</v>
      </c>
      <c r="D1485" s="439">
        <v>2018</v>
      </c>
      <c r="E1485" s="439" t="s">
        <v>775</v>
      </c>
      <c r="F1485" s="440">
        <v>872</v>
      </c>
      <c r="G1485" s="441">
        <v>0</v>
      </c>
      <c r="H1485" s="440">
        <v>0</v>
      </c>
      <c r="I1485" s="440">
        <v>0</v>
      </c>
      <c r="J1485" s="440">
        <v>593</v>
      </c>
      <c r="K1485" s="441">
        <v>0</v>
      </c>
      <c r="L1485" s="440">
        <v>0</v>
      </c>
      <c r="M1485" s="440">
        <v>0</v>
      </c>
      <c r="N1485" s="440">
        <v>685</v>
      </c>
      <c r="O1485" s="440">
        <v>0</v>
      </c>
      <c r="P1485" s="440">
        <v>1642</v>
      </c>
      <c r="Q1485" s="440">
        <v>1</v>
      </c>
      <c r="R1485" s="344">
        <f t="shared" si="215"/>
        <v>3792</v>
      </c>
      <c r="S1485" s="367">
        <f t="shared" si="216"/>
        <v>1</v>
      </c>
      <c r="T1485" s="442"/>
      <c r="U1485" s="442"/>
      <c r="V1485" s="442"/>
      <c r="W1485" s="442"/>
      <c r="X1485" s="442"/>
    </row>
    <row r="1486" spans="1:24" ht="12.75">
      <c r="A1486" s="438" t="s">
        <v>529</v>
      </c>
      <c r="B1486" s="439" t="s">
        <v>173</v>
      </c>
      <c r="C1486" s="439" t="s">
        <v>812</v>
      </c>
      <c r="D1486" s="439">
        <v>2018</v>
      </c>
      <c r="E1486" s="439" t="s">
        <v>775</v>
      </c>
      <c r="F1486" s="440">
        <v>1267</v>
      </c>
      <c r="G1486" s="441">
        <v>0</v>
      </c>
      <c r="H1486" s="440">
        <v>0</v>
      </c>
      <c r="I1486" s="440">
        <v>0</v>
      </c>
      <c r="J1486" s="440">
        <v>854</v>
      </c>
      <c r="K1486" s="441">
        <v>0</v>
      </c>
      <c r="L1486" s="440">
        <v>0</v>
      </c>
      <c r="M1486" s="440">
        <v>0</v>
      </c>
      <c r="N1486" s="440">
        <v>969</v>
      </c>
      <c r="O1486" s="440">
        <v>0</v>
      </c>
      <c r="P1486" s="440">
        <v>2160</v>
      </c>
      <c r="Q1486" s="440">
        <v>343</v>
      </c>
      <c r="R1486" s="482">
        <v>5250</v>
      </c>
      <c r="S1486" s="367">
        <f t="shared" ref="S1486:S1487" si="217">G1486+K1486+O1486+Q1486</f>
        <v>343</v>
      </c>
      <c r="T1486" s="442"/>
      <c r="U1486" s="442"/>
      <c r="V1486" s="442"/>
      <c r="W1486" s="442"/>
      <c r="X1486" s="442"/>
    </row>
    <row r="1487" spans="1:24" ht="12.75">
      <c r="A1487" s="438" t="s">
        <v>530</v>
      </c>
      <c r="B1487" s="439" t="s">
        <v>173</v>
      </c>
      <c r="C1487" s="439" t="s">
        <v>812</v>
      </c>
      <c r="D1487" s="439">
        <v>2018</v>
      </c>
      <c r="E1487" s="439" t="s">
        <v>775</v>
      </c>
      <c r="F1487" s="440">
        <v>91</v>
      </c>
      <c r="G1487" s="441">
        <v>0</v>
      </c>
      <c r="H1487" s="440">
        <v>0</v>
      </c>
      <c r="I1487" s="440">
        <v>0</v>
      </c>
      <c r="J1487" s="440">
        <v>64</v>
      </c>
      <c r="K1487" s="441">
        <v>0</v>
      </c>
      <c r="L1487" s="440">
        <v>0</v>
      </c>
      <c r="M1487" s="440">
        <v>0</v>
      </c>
      <c r="N1487" s="440">
        <v>75</v>
      </c>
      <c r="O1487" s="440">
        <v>5</v>
      </c>
      <c r="P1487" s="440">
        <v>172</v>
      </c>
      <c r="Q1487" s="440">
        <v>0</v>
      </c>
      <c r="R1487" s="482">
        <v>402</v>
      </c>
      <c r="S1487" s="367">
        <f t="shared" si="217"/>
        <v>5</v>
      </c>
      <c r="T1487" s="442"/>
      <c r="U1487" s="442"/>
      <c r="V1487" s="442"/>
      <c r="W1487" s="442"/>
      <c r="X1487" s="442"/>
    </row>
    <row r="1488" spans="1:24" ht="12.75">
      <c r="A1488" s="438" t="s">
        <v>531</v>
      </c>
      <c r="B1488" s="439" t="s">
        <v>173</v>
      </c>
      <c r="C1488" s="439" t="s">
        <v>812</v>
      </c>
      <c r="D1488" s="439">
        <v>2018</v>
      </c>
      <c r="E1488" s="439" t="s">
        <v>775</v>
      </c>
      <c r="F1488" s="440">
        <v>543</v>
      </c>
      <c r="G1488" s="441">
        <v>0</v>
      </c>
      <c r="H1488" s="440">
        <v>0</v>
      </c>
      <c r="I1488" s="440">
        <v>0</v>
      </c>
      <c r="J1488" s="440">
        <v>383</v>
      </c>
      <c r="K1488" s="441">
        <v>0</v>
      </c>
      <c r="L1488" s="440">
        <v>0</v>
      </c>
      <c r="M1488" s="440">
        <v>0</v>
      </c>
      <c r="N1488" s="440">
        <v>433</v>
      </c>
      <c r="O1488" s="440">
        <v>0</v>
      </c>
      <c r="P1488" s="440">
        <v>982</v>
      </c>
      <c r="Q1488" s="440">
        <v>86</v>
      </c>
      <c r="R1488" s="344">
        <f t="shared" ref="R1488:R1501" si="218">F1488+J1488+N1488+P1488</f>
        <v>2341</v>
      </c>
      <c r="S1488" s="367">
        <f t="shared" ref="S1488:S1501" si="219">K1488+O1488+G1488+Q1488</f>
        <v>86</v>
      </c>
      <c r="T1488" s="442"/>
      <c r="U1488" s="442"/>
      <c r="V1488" s="442"/>
      <c r="W1488" s="442"/>
      <c r="X1488" s="442"/>
    </row>
    <row r="1489" spans="1:24" ht="12.75">
      <c r="A1489" s="483" t="s">
        <v>532</v>
      </c>
      <c r="B1489" s="484" t="s">
        <v>173</v>
      </c>
      <c r="C1489" s="484" t="s">
        <v>813</v>
      </c>
      <c r="D1489" s="484">
        <v>2018</v>
      </c>
      <c r="E1489" s="484" t="s">
        <v>775</v>
      </c>
      <c r="F1489" s="367">
        <v>21</v>
      </c>
      <c r="G1489" s="367">
        <v>0</v>
      </c>
      <c r="H1489" s="367">
        <v>0</v>
      </c>
      <c r="I1489" s="367">
        <v>0</v>
      </c>
      <c r="J1489" s="367">
        <v>14</v>
      </c>
      <c r="K1489" s="367">
        <v>0</v>
      </c>
      <c r="L1489" s="367">
        <v>0</v>
      </c>
      <c r="M1489" s="367">
        <v>0</v>
      </c>
      <c r="N1489" s="367">
        <v>16</v>
      </c>
      <c r="O1489" s="367">
        <v>0</v>
      </c>
      <c r="P1489" s="367">
        <v>32</v>
      </c>
      <c r="Q1489" s="367">
        <v>14</v>
      </c>
      <c r="R1489" s="344">
        <f t="shared" si="218"/>
        <v>83</v>
      </c>
      <c r="S1489" s="367">
        <f t="shared" si="219"/>
        <v>14</v>
      </c>
      <c r="T1489" s="442"/>
      <c r="U1489" s="442"/>
      <c r="V1489" s="442"/>
      <c r="W1489" s="442"/>
      <c r="X1489" s="442"/>
    </row>
    <row r="1490" spans="1:24" ht="12.75">
      <c r="A1490" s="438" t="s">
        <v>533</v>
      </c>
      <c r="B1490" s="439" t="s">
        <v>173</v>
      </c>
      <c r="C1490" s="439" t="s">
        <v>812</v>
      </c>
      <c r="D1490" s="439">
        <v>2018</v>
      </c>
      <c r="E1490" s="439" t="s">
        <v>775</v>
      </c>
      <c r="F1490" s="440">
        <v>141</v>
      </c>
      <c r="G1490" s="441">
        <v>0</v>
      </c>
      <c r="H1490" s="440">
        <v>0</v>
      </c>
      <c r="I1490" s="440">
        <v>0</v>
      </c>
      <c r="J1490" s="440">
        <v>95</v>
      </c>
      <c r="K1490" s="441">
        <v>0</v>
      </c>
      <c r="L1490" s="440">
        <v>0</v>
      </c>
      <c r="M1490" s="440">
        <v>0</v>
      </c>
      <c r="N1490" s="440">
        <v>110</v>
      </c>
      <c r="O1490" s="440">
        <v>0</v>
      </c>
      <c r="P1490" s="440">
        <v>254</v>
      </c>
      <c r="Q1490" s="440">
        <v>89</v>
      </c>
      <c r="R1490" s="344">
        <f t="shared" si="218"/>
        <v>600</v>
      </c>
      <c r="S1490" s="367">
        <f t="shared" si="219"/>
        <v>89</v>
      </c>
      <c r="T1490" s="442"/>
      <c r="U1490" s="442"/>
      <c r="V1490" s="442"/>
      <c r="W1490" s="442"/>
      <c r="X1490" s="442"/>
    </row>
    <row r="1491" spans="1:24" ht="12.75">
      <c r="A1491" s="438" t="s">
        <v>534</v>
      </c>
      <c r="B1491" s="439" t="s">
        <v>173</v>
      </c>
      <c r="C1491" s="439" t="s">
        <v>812</v>
      </c>
      <c r="D1491" s="439">
        <v>2018</v>
      </c>
      <c r="E1491" s="439" t="s">
        <v>775</v>
      </c>
      <c r="F1491" s="440">
        <v>1555</v>
      </c>
      <c r="G1491" s="485">
        <v>0</v>
      </c>
      <c r="H1491" s="486">
        <v>0</v>
      </c>
      <c r="I1491" s="486">
        <v>0</v>
      </c>
      <c r="J1491" s="440">
        <v>1059</v>
      </c>
      <c r="K1491" s="485">
        <v>0</v>
      </c>
      <c r="L1491" s="486">
        <v>0</v>
      </c>
      <c r="M1491" s="486">
        <v>0</v>
      </c>
      <c r="N1491" s="440">
        <v>1212</v>
      </c>
      <c r="O1491" s="486">
        <v>0</v>
      </c>
      <c r="P1491" s="440">
        <v>2945</v>
      </c>
      <c r="Q1491" s="486">
        <v>0</v>
      </c>
      <c r="R1491" s="344">
        <f t="shared" si="218"/>
        <v>6771</v>
      </c>
      <c r="S1491" s="367">
        <f t="shared" si="219"/>
        <v>0</v>
      </c>
      <c r="T1491" s="442"/>
      <c r="U1491" s="442"/>
      <c r="V1491" s="442"/>
      <c r="W1491" s="442"/>
      <c r="X1491" s="442"/>
    </row>
    <row r="1492" spans="1:24" ht="12.75">
      <c r="A1492" s="438" t="s">
        <v>535</v>
      </c>
      <c r="B1492" s="439" t="s">
        <v>173</v>
      </c>
      <c r="C1492" s="439" t="s">
        <v>812</v>
      </c>
      <c r="D1492" s="439">
        <v>2018</v>
      </c>
      <c r="E1492" s="439" t="s">
        <v>775</v>
      </c>
      <c r="F1492" s="440">
        <v>192</v>
      </c>
      <c r="G1492" s="441">
        <v>11</v>
      </c>
      <c r="H1492" s="440">
        <v>11</v>
      </c>
      <c r="I1492" s="440">
        <v>0</v>
      </c>
      <c r="J1492" s="440">
        <v>128</v>
      </c>
      <c r="K1492" s="441">
        <v>73</v>
      </c>
      <c r="L1492" s="440">
        <v>73</v>
      </c>
      <c r="M1492" s="440">
        <v>0</v>
      </c>
      <c r="N1492" s="440">
        <v>142</v>
      </c>
      <c r="O1492" s="440">
        <v>1</v>
      </c>
      <c r="P1492" s="440">
        <v>308</v>
      </c>
      <c r="Q1492" s="440">
        <v>336</v>
      </c>
      <c r="R1492" s="344">
        <f t="shared" si="218"/>
        <v>770</v>
      </c>
      <c r="S1492" s="367">
        <f t="shared" si="219"/>
        <v>421</v>
      </c>
      <c r="T1492" s="442"/>
      <c r="U1492" s="442"/>
      <c r="V1492" s="442"/>
      <c r="W1492" s="442"/>
      <c r="X1492" s="442"/>
    </row>
    <row r="1493" spans="1:24" ht="12.75">
      <c r="A1493" s="438" t="s">
        <v>536</v>
      </c>
      <c r="B1493" s="439" t="s">
        <v>173</v>
      </c>
      <c r="C1493" s="439" t="s">
        <v>812</v>
      </c>
      <c r="D1493" s="439">
        <v>2018</v>
      </c>
      <c r="E1493" s="439" t="s">
        <v>775</v>
      </c>
      <c r="F1493" s="440">
        <v>946</v>
      </c>
      <c r="G1493" s="441">
        <v>10</v>
      </c>
      <c r="H1493" s="440">
        <v>10</v>
      </c>
      <c r="I1493" s="440">
        <v>0</v>
      </c>
      <c r="J1493" s="440">
        <v>661</v>
      </c>
      <c r="K1493" s="441">
        <v>1</v>
      </c>
      <c r="L1493" s="440">
        <v>0</v>
      </c>
      <c r="M1493" s="440">
        <v>1</v>
      </c>
      <c r="N1493" s="440">
        <v>772</v>
      </c>
      <c r="O1493" s="440">
        <v>34</v>
      </c>
      <c r="P1493" s="440">
        <v>1817</v>
      </c>
      <c r="Q1493" s="440">
        <v>0</v>
      </c>
      <c r="R1493" s="344">
        <f t="shared" si="218"/>
        <v>4196</v>
      </c>
      <c r="S1493" s="367">
        <f t="shared" si="219"/>
        <v>45</v>
      </c>
      <c r="T1493" s="442"/>
      <c r="U1493" s="442"/>
      <c r="V1493" s="442"/>
      <c r="W1493" s="442"/>
      <c r="X1493" s="442"/>
    </row>
    <row r="1494" spans="1:24" ht="12.75">
      <c r="A1494" s="438" t="s">
        <v>537</v>
      </c>
      <c r="B1494" s="439" t="s">
        <v>173</v>
      </c>
      <c r="C1494" s="439" t="s">
        <v>812</v>
      </c>
      <c r="D1494" s="439">
        <v>2018</v>
      </c>
      <c r="E1494" s="439" t="s">
        <v>775</v>
      </c>
      <c r="F1494" s="440">
        <v>374</v>
      </c>
      <c r="G1494" s="441">
        <v>0</v>
      </c>
      <c r="H1494" s="440">
        <v>0</v>
      </c>
      <c r="I1494" s="440">
        <v>0</v>
      </c>
      <c r="J1494" s="440">
        <v>250</v>
      </c>
      <c r="K1494" s="441">
        <v>0</v>
      </c>
      <c r="L1494" s="440">
        <v>0</v>
      </c>
      <c r="M1494" s="440">
        <v>0</v>
      </c>
      <c r="N1494" s="440">
        <v>274</v>
      </c>
      <c r="O1494" s="440">
        <v>0</v>
      </c>
      <c r="P1494" s="440">
        <v>565</v>
      </c>
      <c r="Q1494" s="440">
        <v>117</v>
      </c>
      <c r="R1494" s="344">
        <f t="shared" si="218"/>
        <v>1463</v>
      </c>
      <c r="S1494" s="367">
        <f t="shared" si="219"/>
        <v>117</v>
      </c>
      <c r="T1494" s="442"/>
      <c r="U1494" s="442"/>
      <c r="V1494" s="442"/>
      <c r="W1494" s="442"/>
      <c r="X1494" s="442"/>
    </row>
    <row r="1495" spans="1:24" ht="12.75">
      <c r="A1495" s="438" t="s">
        <v>538</v>
      </c>
      <c r="B1495" s="439" t="s">
        <v>173</v>
      </c>
      <c r="C1495" s="439" t="s">
        <v>812</v>
      </c>
      <c r="D1495" s="439">
        <v>2018</v>
      </c>
      <c r="E1495" s="439" t="s">
        <v>775</v>
      </c>
      <c r="F1495" s="440">
        <v>134</v>
      </c>
      <c r="G1495" s="441">
        <v>0</v>
      </c>
      <c r="H1495" s="440">
        <v>0</v>
      </c>
      <c r="I1495" s="440">
        <v>0</v>
      </c>
      <c r="J1495" s="440">
        <v>96</v>
      </c>
      <c r="K1495" s="441">
        <v>3</v>
      </c>
      <c r="L1495" s="440">
        <v>0</v>
      </c>
      <c r="M1495" s="440">
        <v>3</v>
      </c>
      <c r="N1495" s="440">
        <v>112</v>
      </c>
      <c r="O1495" s="440">
        <v>59</v>
      </c>
      <c r="P1495" s="440">
        <v>262</v>
      </c>
      <c r="Q1495" s="440">
        <v>1</v>
      </c>
      <c r="R1495" s="344">
        <f t="shared" si="218"/>
        <v>604</v>
      </c>
      <c r="S1495" s="367">
        <f t="shared" si="219"/>
        <v>63</v>
      </c>
      <c r="T1495" s="442"/>
      <c r="U1495" s="442"/>
      <c r="V1495" s="442"/>
      <c r="W1495" s="442"/>
      <c r="X1495" s="442"/>
    </row>
    <row r="1496" spans="1:24" ht="12.75">
      <c r="A1496" s="438" t="s">
        <v>539</v>
      </c>
      <c r="B1496" s="439" t="s">
        <v>173</v>
      </c>
      <c r="C1496" s="439" t="s">
        <v>812</v>
      </c>
      <c r="D1496" s="439">
        <v>2018</v>
      </c>
      <c r="E1496" s="439" t="s">
        <v>775</v>
      </c>
      <c r="F1496" s="440">
        <v>40</v>
      </c>
      <c r="G1496" s="441">
        <v>0</v>
      </c>
      <c r="H1496" s="440">
        <v>0</v>
      </c>
      <c r="I1496" s="440">
        <v>0</v>
      </c>
      <c r="J1496" s="440">
        <v>27</v>
      </c>
      <c r="K1496" s="441">
        <v>0</v>
      </c>
      <c r="L1496" s="440">
        <v>0</v>
      </c>
      <c r="M1496" s="440">
        <v>0</v>
      </c>
      <c r="N1496" s="440">
        <v>31</v>
      </c>
      <c r="O1496" s="440">
        <v>0</v>
      </c>
      <c r="P1496" s="440">
        <v>62</v>
      </c>
      <c r="Q1496" s="440">
        <v>46</v>
      </c>
      <c r="R1496" s="344">
        <f t="shared" si="218"/>
        <v>160</v>
      </c>
      <c r="S1496" s="367">
        <f t="shared" si="219"/>
        <v>46</v>
      </c>
      <c r="T1496" s="442"/>
      <c r="U1496" s="442"/>
      <c r="V1496" s="442"/>
      <c r="W1496" s="442"/>
      <c r="X1496" s="442"/>
    </row>
    <row r="1497" spans="1:24" ht="12.75">
      <c r="A1497" s="438" t="s">
        <v>540</v>
      </c>
      <c r="B1497" s="439" t="s">
        <v>173</v>
      </c>
      <c r="C1497" s="439" t="s">
        <v>812</v>
      </c>
      <c r="D1497" s="439">
        <v>2018</v>
      </c>
      <c r="E1497" s="439" t="s">
        <v>775</v>
      </c>
      <c r="F1497" s="440">
        <v>714</v>
      </c>
      <c r="G1497" s="441">
        <v>0</v>
      </c>
      <c r="H1497" s="440">
        <v>0</v>
      </c>
      <c r="I1497" s="440">
        <v>0</v>
      </c>
      <c r="J1497" s="440">
        <v>487</v>
      </c>
      <c r="K1497" s="441">
        <v>0</v>
      </c>
      <c r="L1497" s="440">
        <v>0</v>
      </c>
      <c r="M1497" s="440">
        <v>0</v>
      </c>
      <c r="N1497" s="440">
        <v>553</v>
      </c>
      <c r="O1497" s="440">
        <v>0</v>
      </c>
      <c r="P1497" s="440">
        <v>1271</v>
      </c>
      <c r="Q1497" s="440">
        <v>31</v>
      </c>
      <c r="R1497" s="344">
        <f t="shared" si="218"/>
        <v>3025</v>
      </c>
      <c r="S1497" s="367">
        <f t="shared" si="219"/>
        <v>31</v>
      </c>
      <c r="T1497" s="442"/>
      <c r="U1497" s="442"/>
      <c r="V1497" s="442"/>
      <c r="W1497" s="442"/>
      <c r="X1497" s="442"/>
    </row>
    <row r="1498" spans="1:24" ht="12.75">
      <c r="A1498" s="438" t="s">
        <v>541</v>
      </c>
      <c r="B1498" s="439" t="s">
        <v>173</v>
      </c>
      <c r="C1498" s="439" t="s">
        <v>812</v>
      </c>
      <c r="D1498" s="439">
        <v>2018</v>
      </c>
      <c r="E1498" s="439" t="s">
        <v>775</v>
      </c>
      <c r="F1498" s="440">
        <v>409</v>
      </c>
      <c r="G1498" s="441">
        <v>0</v>
      </c>
      <c r="H1498" s="440">
        <v>0</v>
      </c>
      <c r="I1498" s="440">
        <v>0</v>
      </c>
      <c r="J1498" s="440">
        <v>275</v>
      </c>
      <c r="K1498" s="441">
        <v>0</v>
      </c>
      <c r="L1498" s="440">
        <v>0</v>
      </c>
      <c r="M1498" s="440">
        <v>0</v>
      </c>
      <c r="N1498" s="440">
        <v>307</v>
      </c>
      <c r="O1498" s="440">
        <v>0</v>
      </c>
      <c r="P1498" s="440">
        <v>721</v>
      </c>
      <c r="Q1498" s="440">
        <v>340</v>
      </c>
      <c r="R1498" s="344">
        <f t="shared" si="218"/>
        <v>1712</v>
      </c>
      <c r="S1498" s="367">
        <f t="shared" si="219"/>
        <v>340</v>
      </c>
      <c r="T1498" s="442"/>
      <c r="U1498" s="442"/>
      <c r="V1498" s="442"/>
      <c r="W1498" s="442"/>
      <c r="X1498" s="442"/>
    </row>
    <row r="1499" spans="1:24" ht="12.75">
      <c r="A1499" s="438" t="s">
        <v>542</v>
      </c>
      <c r="B1499" s="439" t="s">
        <v>173</v>
      </c>
      <c r="C1499" s="439" t="s">
        <v>812</v>
      </c>
      <c r="D1499" s="439">
        <v>2018</v>
      </c>
      <c r="E1499" s="439" t="s">
        <v>775</v>
      </c>
      <c r="F1499" s="440">
        <v>91</v>
      </c>
      <c r="G1499" s="441">
        <v>68</v>
      </c>
      <c r="H1499" s="440">
        <v>68</v>
      </c>
      <c r="I1499" s="440">
        <v>0</v>
      </c>
      <c r="J1499" s="440">
        <v>61</v>
      </c>
      <c r="K1499" s="441">
        <v>0</v>
      </c>
      <c r="L1499" s="440">
        <v>0</v>
      </c>
      <c r="M1499" s="440">
        <v>0</v>
      </c>
      <c r="N1499" s="440">
        <v>66</v>
      </c>
      <c r="O1499" s="440">
        <v>4</v>
      </c>
      <c r="P1499" s="440">
        <v>146</v>
      </c>
      <c r="Q1499" s="440">
        <v>123</v>
      </c>
      <c r="R1499" s="344">
        <f t="shared" si="218"/>
        <v>364</v>
      </c>
      <c r="S1499" s="367">
        <f t="shared" si="219"/>
        <v>195</v>
      </c>
      <c r="T1499" s="442"/>
      <c r="U1499" s="442"/>
      <c r="V1499" s="442"/>
      <c r="W1499" s="442"/>
      <c r="X1499" s="442"/>
    </row>
    <row r="1500" spans="1:24" ht="12.75">
      <c r="A1500" s="438" t="s">
        <v>543</v>
      </c>
      <c r="B1500" s="439" t="s">
        <v>173</v>
      </c>
      <c r="C1500" s="439" t="s">
        <v>812</v>
      </c>
      <c r="D1500" s="439">
        <v>2018</v>
      </c>
      <c r="E1500" s="439" t="s">
        <v>775</v>
      </c>
      <c r="F1500" s="440">
        <v>1196</v>
      </c>
      <c r="G1500" s="441">
        <v>0</v>
      </c>
      <c r="H1500" s="440">
        <v>0</v>
      </c>
      <c r="I1500" s="440">
        <v>0</v>
      </c>
      <c r="J1500" s="440">
        <v>801</v>
      </c>
      <c r="K1500" s="441">
        <v>2</v>
      </c>
      <c r="L1500" s="440">
        <v>0</v>
      </c>
      <c r="M1500" s="440">
        <v>2</v>
      </c>
      <c r="N1500" s="440">
        <v>897</v>
      </c>
      <c r="O1500" s="440">
        <v>56</v>
      </c>
      <c r="P1500" s="440">
        <v>2035</v>
      </c>
      <c r="Q1500" s="440">
        <v>286</v>
      </c>
      <c r="R1500" s="344">
        <f t="shared" si="218"/>
        <v>4929</v>
      </c>
      <c r="S1500" s="367">
        <f t="shared" si="219"/>
        <v>344</v>
      </c>
      <c r="T1500" s="442"/>
      <c r="U1500" s="442"/>
      <c r="V1500" s="442"/>
      <c r="W1500" s="442"/>
      <c r="X1500" s="442"/>
    </row>
    <row r="1501" spans="1:24" ht="12.75">
      <c r="A1501" s="438" t="s">
        <v>544</v>
      </c>
      <c r="B1501" s="439" t="s">
        <v>173</v>
      </c>
      <c r="C1501" s="439" t="s">
        <v>812</v>
      </c>
      <c r="D1501" s="439">
        <v>2018</v>
      </c>
      <c r="E1501" s="439" t="s">
        <v>775</v>
      </c>
      <c r="F1501" s="440">
        <v>1488</v>
      </c>
      <c r="G1501" s="441">
        <v>0</v>
      </c>
      <c r="H1501" s="440">
        <v>0</v>
      </c>
      <c r="I1501" s="440">
        <v>0</v>
      </c>
      <c r="J1501" s="440">
        <v>1007</v>
      </c>
      <c r="K1501" s="441">
        <v>1</v>
      </c>
      <c r="L1501" s="440">
        <v>0</v>
      </c>
      <c r="M1501" s="440">
        <v>1</v>
      </c>
      <c r="N1501" s="440">
        <v>1140</v>
      </c>
      <c r="O1501" s="440">
        <v>181</v>
      </c>
      <c r="P1501" s="440">
        <v>2610</v>
      </c>
      <c r="Q1501" s="440">
        <v>759</v>
      </c>
      <c r="R1501" s="344">
        <f t="shared" si="218"/>
        <v>6245</v>
      </c>
      <c r="S1501" s="367">
        <f t="shared" si="219"/>
        <v>941</v>
      </c>
      <c r="T1501" s="442"/>
      <c r="U1501" s="442"/>
      <c r="V1501" s="442"/>
      <c r="W1501" s="442"/>
      <c r="X1501" s="442"/>
    </row>
    <row r="1502" spans="1:24" ht="12.75">
      <c r="A1502" s="438" t="s">
        <v>545</v>
      </c>
      <c r="B1502" s="439"/>
      <c r="C1502" s="439"/>
      <c r="D1502" s="439">
        <v>2018</v>
      </c>
      <c r="E1502" s="439"/>
      <c r="F1502" s="440">
        <v>1500</v>
      </c>
      <c r="G1502" s="441"/>
      <c r="H1502" s="440"/>
      <c r="I1502" s="440"/>
      <c r="J1502" s="440">
        <v>993</v>
      </c>
      <c r="K1502" s="441"/>
      <c r="L1502" s="440"/>
      <c r="M1502" s="440"/>
      <c r="N1502" s="440">
        <v>1112</v>
      </c>
      <c r="O1502" s="440">
        <v>135</v>
      </c>
      <c r="P1502" s="440">
        <v>2564</v>
      </c>
      <c r="Q1502" s="440">
        <v>415</v>
      </c>
      <c r="R1502" s="482">
        <v>6169</v>
      </c>
      <c r="S1502" s="367"/>
      <c r="T1502" s="442"/>
      <c r="U1502" s="442"/>
      <c r="V1502" s="442"/>
      <c r="W1502" s="442"/>
      <c r="X1502" s="442"/>
    </row>
    <row r="1503" spans="1:24" ht="12.75">
      <c r="A1503" s="438" t="s">
        <v>546</v>
      </c>
      <c r="B1503" s="439" t="s">
        <v>173</v>
      </c>
      <c r="C1503" s="439" t="s">
        <v>812</v>
      </c>
      <c r="D1503" s="439">
        <v>2018</v>
      </c>
      <c r="E1503" s="439" t="s">
        <v>775</v>
      </c>
      <c r="F1503" s="440">
        <v>395</v>
      </c>
      <c r="G1503" s="441">
        <v>0</v>
      </c>
      <c r="H1503" s="440">
        <v>0</v>
      </c>
      <c r="I1503" s="440">
        <v>0</v>
      </c>
      <c r="J1503" s="440">
        <v>262</v>
      </c>
      <c r="K1503" s="441">
        <v>0</v>
      </c>
      <c r="L1503" s="440">
        <v>0</v>
      </c>
      <c r="M1503" s="440">
        <v>0</v>
      </c>
      <c r="N1503" s="440">
        <v>289</v>
      </c>
      <c r="O1503" s="440">
        <v>0</v>
      </c>
      <c r="P1503" s="440">
        <v>627</v>
      </c>
      <c r="Q1503" s="440">
        <v>245</v>
      </c>
      <c r="R1503" s="344">
        <f t="shared" ref="R1503:R1537" si="220">F1503+J1503+N1503+P1503</f>
        <v>1573</v>
      </c>
      <c r="S1503" s="367">
        <f t="shared" ref="S1503:S1537" si="221">K1503+O1503+G1503+Q1503</f>
        <v>245</v>
      </c>
      <c r="T1503" s="442"/>
      <c r="U1503" s="442"/>
      <c r="V1503" s="442"/>
      <c r="W1503" s="442"/>
      <c r="X1503" s="442"/>
    </row>
    <row r="1504" spans="1:24" ht="12.75">
      <c r="A1504" s="438" t="s">
        <v>548</v>
      </c>
      <c r="B1504" s="439" t="s">
        <v>173</v>
      </c>
      <c r="C1504" s="439" t="s">
        <v>812</v>
      </c>
      <c r="D1504" s="439">
        <v>2018</v>
      </c>
      <c r="E1504" s="439" t="s">
        <v>775</v>
      </c>
      <c r="F1504" s="440">
        <v>98</v>
      </c>
      <c r="G1504" s="485">
        <v>0</v>
      </c>
      <c r="H1504" s="486">
        <v>0</v>
      </c>
      <c r="I1504" s="486">
        <v>0</v>
      </c>
      <c r="J1504" s="440">
        <v>67</v>
      </c>
      <c r="K1504" s="485">
        <v>0</v>
      </c>
      <c r="L1504" s="486">
        <v>0</v>
      </c>
      <c r="M1504" s="486">
        <v>0</v>
      </c>
      <c r="N1504" s="440">
        <v>76</v>
      </c>
      <c r="O1504" s="486">
        <v>0</v>
      </c>
      <c r="P1504" s="440">
        <v>172</v>
      </c>
      <c r="Q1504" s="486">
        <v>0</v>
      </c>
      <c r="R1504" s="344">
        <f t="shared" si="220"/>
        <v>413</v>
      </c>
      <c r="S1504" s="367">
        <f t="shared" si="221"/>
        <v>0</v>
      </c>
      <c r="T1504" s="442"/>
      <c r="U1504" s="442"/>
      <c r="V1504" s="442"/>
      <c r="W1504" s="442"/>
      <c r="X1504" s="442"/>
    </row>
    <row r="1505" spans="1:24" ht="12.75">
      <c r="A1505" s="438" t="s">
        <v>550</v>
      </c>
      <c r="B1505" s="439" t="s">
        <v>173</v>
      </c>
      <c r="C1505" s="439" t="s">
        <v>812</v>
      </c>
      <c r="D1505" s="439">
        <v>2018</v>
      </c>
      <c r="E1505" s="439" t="s">
        <v>775</v>
      </c>
      <c r="F1505" s="440">
        <v>1026</v>
      </c>
      <c r="G1505" s="485">
        <v>0</v>
      </c>
      <c r="H1505" s="486">
        <v>0</v>
      </c>
      <c r="I1505" s="486">
        <v>0</v>
      </c>
      <c r="J1505" s="440">
        <v>681</v>
      </c>
      <c r="K1505" s="485">
        <v>0</v>
      </c>
      <c r="L1505" s="486">
        <v>0</v>
      </c>
      <c r="M1505" s="486">
        <v>0</v>
      </c>
      <c r="N1505" s="440">
        <v>759</v>
      </c>
      <c r="O1505" s="486">
        <v>0</v>
      </c>
      <c r="P1505" s="440">
        <v>1814</v>
      </c>
      <c r="Q1505" s="486">
        <v>0</v>
      </c>
      <c r="R1505" s="344">
        <f t="shared" si="220"/>
        <v>4280</v>
      </c>
      <c r="S1505" s="367">
        <f t="shared" si="221"/>
        <v>0</v>
      </c>
      <c r="T1505" s="442"/>
      <c r="U1505" s="442"/>
      <c r="V1505" s="442"/>
      <c r="W1505" s="442"/>
      <c r="X1505" s="442"/>
    </row>
    <row r="1506" spans="1:24" ht="12.75">
      <c r="A1506" s="438" t="s">
        <v>551</v>
      </c>
      <c r="B1506" s="439" t="s">
        <v>173</v>
      </c>
      <c r="C1506" s="439" t="s">
        <v>812</v>
      </c>
      <c r="D1506" s="439">
        <v>2018</v>
      </c>
      <c r="E1506" s="439" t="s">
        <v>775</v>
      </c>
      <c r="F1506" s="440">
        <v>23</v>
      </c>
      <c r="G1506" s="441">
        <v>0</v>
      </c>
      <c r="H1506" s="440">
        <v>0</v>
      </c>
      <c r="I1506" s="440">
        <v>0</v>
      </c>
      <c r="J1506" s="440">
        <v>15</v>
      </c>
      <c r="K1506" s="441">
        <v>0</v>
      </c>
      <c r="L1506" s="440">
        <v>0</v>
      </c>
      <c r="M1506" s="440">
        <v>0</v>
      </c>
      <c r="N1506" s="440">
        <v>18</v>
      </c>
      <c r="O1506" s="440">
        <v>1</v>
      </c>
      <c r="P1506" s="440">
        <v>39</v>
      </c>
      <c r="Q1506" s="440">
        <v>0</v>
      </c>
      <c r="R1506" s="344">
        <f t="shared" si="220"/>
        <v>95</v>
      </c>
      <c r="S1506" s="367">
        <f t="shared" si="221"/>
        <v>1</v>
      </c>
      <c r="T1506" s="442"/>
      <c r="U1506" s="442"/>
      <c r="V1506" s="442"/>
      <c r="W1506" s="442"/>
      <c r="X1506" s="442"/>
    </row>
    <row r="1507" spans="1:24" ht="12.75">
      <c r="A1507" s="438" t="s">
        <v>173</v>
      </c>
      <c r="B1507" s="439" t="s">
        <v>173</v>
      </c>
      <c r="C1507" s="439" t="s">
        <v>812</v>
      </c>
      <c r="D1507" s="439">
        <v>2018</v>
      </c>
      <c r="E1507" s="439" t="s">
        <v>775</v>
      </c>
      <c r="F1507" s="440">
        <v>2002</v>
      </c>
      <c r="G1507" s="441">
        <v>4</v>
      </c>
      <c r="H1507" s="440">
        <v>0</v>
      </c>
      <c r="I1507" s="440">
        <v>4</v>
      </c>
      <c r="J1507" s="440">
        <v>1336</v>
      </c>
      <c r="K1507" s="441">
        <v>0</v>
      </c>
      <c r="L1507" s="440">
        <v>0</v>
      </c>
      <c r="M1507" s="440">
        <v>0</v>
      </c>
      <c r="N1507" s="440">
        <v>1503</v>
      </c>
      <c r="O1507" s="440">
        <v>0</v>
      </c>
      <c r="P1507" s="440">
        <v>3442</v>
      </c>
      <c r="Q1507" s="440">
        <v>601</v>
      </c>
      <c r="R1507" s="344">
        <f t="shared" si="220"/>
        <v>8283</v>
      </c>
      <c r="S1507" s="367">
        <f t="shared" si="221"/>
        <v>605</v>
      </c>
      <c r="T1507" s="442"/>
      <c r="U1507" s="442"/>
      <c r="V1507" s="442"/>
      <c r="W1507" s="442"/>
      <c r="X1507" s="442"/>
    </row>
    <row r="1508" spans="1:24" ht="12.75">
      <c r="A1508" s="438" t="s">
        <v>552</v>
      </c>
      <c r="B1508" s="439" t="s">
        <v>173</v>
      </c>
      <c r="C1508" s="439" t="s">
        <v>812</v>
      </c>
      <c r="D1508" s="439">
        <v>2018</v>
      </c>
      <c r="E1508" s="439" t="s">
        <v>775</v>
      </c>
      <c r="F1508" s="440">
        <v>7173</v>
      </c>
      <c r="G1508" s="441">
        <v>57</v>
      </c>
      <c r="H1508" s="440">
        <v>57</v>
      </c>
      <c r="I1508" s="440">
        <v>0</v>
      </c>
      <c r="J1508" s="440">
        <v>4871</v>
      </c>
      <c r="K1508" s="441">
        <v>0</v>
      </c>
      <c r="L1508" s="440">
        <v>0</v>
      </c>
      <c r="M1508" s="440">
        <v>0</v>
      </c>
      <c r="N1508" s="440">
        <v>5534</v>
      </c>
      <c r="O1508" s="440">
        <v>0</v>
      </c>
      <c r="P1508" s="440">
        <v>12725</v>
      </c>
      <c r="Q1508" s="440">
        <v>2250</v>
      </c>
      <c r="R1508" s="344">
        <f t="shared" si="220"/>
        <v>30303</v>
      </c>
      <c r="S1508" s="367">
        <f t="shared" si="221"/>
        <v>2307</v>
      </c>
      <c r="T1508" s="442"/>
      <c r="U1508" s="442"/>
      <c r="V1508" s="442"/>
      <c r="W1508" s="442"/>
      <c r="X1508" s="442"/>
    </row>
    <row r="1509" spans="1:24" ht="12.75">
      <c r="A1509" s="438" t="s">
        <v>553</v>
      </c>
      <c r="B1509" s="439" t="s">
        <v>173</v>
      </c>
      <c r="C1509" s="439" t="s">
        <v>812</v>
      </c>
      <c r="D1509" s="439">
        <v>2018</v>
      </c>
      <c r="E1509" s="439" t="s">
        <v>775</v>
      </c>
      <c r="F1509" s="440">
        <v>562</v>
      </c>
      <c r="G1509" s="441">
        <v>0</v>
      </c>
      <c r="H1509" s="440">
        <v>0</v>
      </c>
      <c r="I1509" s="440">
        <v>0</v>
      </c>
      <c r="J1509" s="440">
        <v>394</v>
      </c>
      <c r="K1509" s="441">
        <v>0</v>
      </c>
      <c r="L1509" s="440">
        <v>0</v>
      </c>
      <c r="M1509" s="440">
        <v>0</v>
      </c>
      <c r="N1509" s="440">
        <v>441</v>
      </c>
      <c r="O1509" s="440">
        <v>270</v>
      </c>
      <c r="P1509" s="440">
        <v>1036</v>
      </c>
      <c r="Q1509" s="440">
        <v>0</v>
      </c>
      <c r="R1509" s="344">
        <f t="shared" si="220"/>
        <v>2433</v>
      </c>
      <c r="S1509" s="367">
        <f t="shared" si="221"/>
        <v>270</v>
      </c>
      <c r="T1509" s="442"/>
      <c r="U1509" s="442"/>
      <c r="V1509" s="442"/>
      <c r="W1509" s="442"/>
      <c r="X1509" s="442"/>
    </row>
    <row r="1510" spans="1:24" ht="12.75">
      <c r="A1510" s="438" t="s">
        <v>554</v>
      </c>
      <c r="B1510" s="439" t="s">
        <v>173</v>
      </c>
      <c r="C1510" s="439" t="s">
        <v>812</v>
      </c>
      <c r="D1510" s="439">
        <v>2018</v>
      </c>
      <c r="E1510" s="439" t="s">
        <v>775</v>
      </c>
      <c r="F1510" s="440">
        <v>375</v>
      </c>
      <c r="G1510" s="441">
        <v>0</v>
      </c>
      <c r="H1510" s="440">
        <v>0</v>
      </c>
      <c r="I1510" s="440">
        <v>0</v>
      </c>
      <c r="J1510" s="440">
        <v>251</v>
      </c>
      <c r="K1510" s="441">
        <v>0</v>
      </c>
      <c r="L1510" s="440">
        <v>0</v>
      </c>
      <c r="M1510" s="440">
        <v>0</v>
      </c>
      <c r="N1510" s="440">
        <v>271</v>
      </c>
      <c r="O1510" s="440">
        <v>0</v>
      </c>
      <c r="P1510" s="440">
        <v>596</v>
      </c>
      <c r="Q1510" s="440">
        <v>90</v>
      </c>
      <c r="R1510" s="344">
        <f t="shared" si="220"/>
        <v>1493</v>
      </c>
      <c r="S1510" s="367">
        <f t="shared" si="221"/>
        <v>90</v>
      </c>
      <c r="T1510" s="442"/>
      <c r="U1510" s="442"/>
      <c r="V1510" s="442"/>
      <c r="W1510" s="442"/>
      <c r="X1510" s="442"/>
    </row>
    <row r="1511" spans="1:24" ht="12.75">
      <c r="A1511" s="438" t="s">
        <v>555</v>
      </c>
      <c r="B1511" s="439" t="s">
        <v>173</v>
      </c>
      <c r="C1511" s="439" t="s">
        <v>812</v>
      </c>
      <c r="D1511" s="439">
        <v>2018</v>
      </c>
      <c r="E1511" s="439" t="s">
        <v>775</v>
      </c>
      <c r="F1511" s="440">
        <v>621</v>
      </c>
      <c r="G1511" s="441">
        <v>0</v>
      </c>
      <c r="H1511" s="440">
        <v>0</v>
      </c>
      <c r="I1511" s="440">
        <v>0</v>
      </c>
      <c r="J1511" s="440">
        <v>415</v>
      </c>
      <c r="K1511" s="441">
        <v>14</v>
      </c>
      <c r="L1511" s="440">
        <v>0</v>
      </c>
      <c r="M1511" s="440">
        <v>14</v>
      </c>
      <c r="N1511" s="440">
        <v>461</v>
      </c>
      <c r="O1511" s="440">
        <v>3</v>
      </c>
      <c r="P1511" s="440">
        <v>1038</v>
      </c>
      <c r="Q1511" s="440">
        <v>39</v>
      </c>
      <c r="R1511" s="344">
        <f t="shared" si="220"/>
        <v>2535</v>
      </c>
      <c r="S1511" s="367">
        <f t="shared" si="221"/>
        <v>56</v>
      </c>
      <c r="T1511" s="345">
        <f>SUM(G1485:G1511)</f>
        <v>150</v>
      </c>
      <c r="U1511" s="345">
        <f>SUM(K1485:K1511)</f>
        <v>94</v>
      </c>
      <c r="V1511" s="345">
        <f>SUM(O1485:O1511)</f>
        <v>749</v>
      </c>
      <c r="W1511" s="345">
        <f>SUM(Q1485:Q1511)</f>
        <v>6212</v>
      </c>
      <c r="X1511" s="345">
        <f>T1511+U1511+V1511+W1511</f>
        <v>7205</v>
      </c>
    </row>
    <row r="1512" spans="1:24" ht="12.75">
      <c r="A1512" s="346" t="s">
        <v>528</v>
      </c>
      <c r="B1512" s="347" t="s">
        <v>173</v>
      </c>
      <c r="C1512" s="347" t="s">
        <v>813</v>
      </c>
      <c r="D1512" s="347">
        <v>2019</v>
      </c>
      <c r="E1512" s="347" t="s">
        <v>775</v>
      </c>
      <c r="F1512" s="348">
        <v>872</v>
      </c>
      <c r="G1512" s="348">
        <v>0</v>
      </c>
      <c r="H1512" s="348">
        <v>0</v>
      </c>
      <c r="I1512" s="348">
        <v>0</v>
      </c>
      <c r="J1512" s="348">
        <v>593</v>
      </c>
      <c r="K1512" s="348">
        <v>0</v>
      </c>
      <c r="L1512" s="348">
        <v>0</v>
      </c>
      <c r="M1512" s="348">
        <v>0</v>
      </c>
      <c r="N1512" s="348">
        <v>685</v>
      </c>
      <c r="O1512" s="348">
        <v>0</v>
      </c>
      <c r="P1512" s="348">
        <v>1642</v>
      </c>
      <c r="Q1512" s="348">
        <v>9</v>
      </c>
      <c r="R1512" s="350">
        <f t="shared" si="220"/>
        <v>3792</v>
      </c>
      <c r="S1512" s="348">
        <f t="shared" si="221"/>
        <v>9</v>
      </c>
      <c r="T1512" s="348"/>
      <c r="U1512" s="348"/>
      <c r="V1512" s="348"/>
      <c r="W1512" s="349"/>
      <c r="X1512" s="349"/>
    </row>
    <row r="1513" spans="1:24" ht="12.75">
      <c r="A1513" s="346" t="s">
        <v>530</v>
      </c>
      <c r="B1513" s="347" t="s">
        <v>173</v>
      </c>
      <c r="C1513" s="347" t="s">
        <v>813</v>
      </c>
      <c r="D1513" s="347">
        <v>2019</v>
      </c>
      <c r="E1513" s="347" t="s">
        <v>775</v>
      </c>
      <c r="F1513" s="348">
        <v>91</v>
      </c>
      <c r="G1513" s="348">
        <v>0</v>
      </c>
      <c r="H1513" s="348">
        <v>0</v>
      </c>
      <c r="I1513" s="348">
        <v>0</v>
      </c>
      <c r="J1513" s="348">
        <v>64</v>
      </c>
      <c r="K1513" s="348">
        <v>0</v>
      </c>
      <c r="L1513" s="348">
        <v>0</v>
      </c>
      <c r="M1513" s="348">
        <v>0</v>
      </c>
      <c r="N1513" s="348">
        <v>75</v>
      </c>
      <c r="O1513" s="348">
        <v>6</v>
      </c>
      <c r="P1513" s="348">
        <v>172</v>
      </c>
      <c r="Q1513" s="348">
        <v>0</v>
      </c>
      <c r="R1513" s="350">
        <f t="shared" si="220"/>
        <v>402</v>
      </c>
      <c r="S1513" s="348">
        <f t="shared" si="221"/>
        <v>6</v>
      </c>
      <c r="T1513" s="348"/>
      <c r="U1513" s="348"/>
      <c r="V1513" s="348"/>
      <c r="W1513" s="349"/>
      <c r="X1513" s="349"/>
    </row>
    <row r="1514" spans="1:24" ht="12.75">
      <c r="A1514" s="346" t="s">
        <v>531</v>
      </c>
      <c r="B1514" s="347" t="s">
        <v>173</v>
      </c>
      <c r="C1514" s="347" t="s">
        <v>813</v>
      </c>
      <c r="D1514" s="347">
        <v>2019</v>
      </c>
      <c r="E1514" s="347" t="s">
        <v>775</v>
      </c>
      <c r="F1514" s="348">
        <v>543</v>
      </c>
      <c r="G1514" s="348">
        <v>0</v>
      </c>
      <c r="H1514" s="348">
        <v>0</v>
      </c>
      <c r="I1514" s="348">
        <v>0</v>
      </c>
      <c r="J1514" s="348">
        <v>383</v>
      </c>
      <c r="K1514" s="348">
        <v>0</v>
      </c>
      <c r="L1514" s="348">
        <v>0</v>
      </c>
      <c r="M1514" s="348">
        <v>0</v>
      </c>
      <c r="N1514" s="348">
        <v>433</v>
      </c>
      <c r="O1514" s="348">
        <v>0</v>
      </c>
      <c r="P1514" s="348">
        <v>982</v>
      </c>
      <c r="Q1514" s="348">
        <v>286</v>
      </c>
      <c r="R1514" s="350">
        <f t="shared" si="220"/>
        <v>2341</v>
      </c>
      <c r="S1514" s="348">
        <f t="shared" si="221"/>
        <v>286</v>
      </c>
      <c r="T1514" s="348"/>
      <c r="U1514" s="348"/>
      <c r="V1514" s="348"/>
      <c r="W1514" s="349"/>
      <c r="X1514" s="349"/>
    </row>
    <row r="1515" spans="1:24" ht="12.75">
      <c r="A1515" s="346" t="s">
        <v>532</v>
      </c>
      <c r="B1515" s="347" t="s">
        <v>173</v>
      </c>
      <c r="C1515" s="347" t="s">
        <v>813</v>
      </c>
      <c r="D1515" s="347">
        <v>2019</v>
      </c>
      <c r="E1515" s="347" t="s">
        <v>775</v>
      </c>
      <c r="F1515" s="348">
        <v>21</v>
      </c>
      <c r="G1515" s="348">
        <v>0</v>
      </c>
      <c r="H1515" s="348">
        <v>0</v>
      </c>
      <c r="I1515" s="348">
        <v>0</v>
      </c>
      <c r="J1515" s="348">
        <v>14</v>
      </c>
      <c r="K1515" s="348">
        <v>0</v>
      </c>
      <c r="L1515" s="348">
        <v>0</v>
      </c>
      <c r="M1515" s="348">
        <v>0</v>
      </c>
      <c r="N1515" s="348">
        <v>16</v>
      </c>
      <c r="O1515" s="348">
        <v>0</v>
      </c>
      <c r="P1515" s="348">
        <v>32</v>
      </c>
      <c r="Q1515" s="348">
        <v>0</v>
      </c>
      <c r="R1515" s="350">
        <f t="shared" si="220"/>
        <v>83</v>
      </c>
      <c r="S1515" s="348">
        <f t="shared" si="221"/>
        <v>0</v>
      </c>
      <c r="T1515" s="348"/>
      <c r="U1515" s="348"/>
      <c r="V1515" s="348"/>
      <c r="W1515" s="349"/>
      <c r="X1515" s="349"/>
    </row>
    <row r="1516" spans="1:24" ht="12.75">
      <c r="A1516" s="346" t="s">
        <v>533</v>
      </c>
      <c r="B1516" s="347" t="s">
        <v>173</v>
      </c>
      <c r="C1516" s="347" t="s">
        <v>813</v>
      </c>
      <c r="D1516" s="347">
        <v>2019</v>
      </c>
      <c r="E1516" s="347" t="s">
        <v>775</v>
      </c>
      <c r="F1516" s="348">
        <v>141</v>
      </c>
      <c r="G1516" s="348">
        <v>0</v>
      </c>
      <c r="H1516" s="348">
        <v>0</v>
      </c>
      <c r="I1516" s="348">
        <v>0</v>
      </c>
      <c r="J1516" s="348">
        <v>95</v>
      </c>
      <c r="K1516" s="348">
        <v>0</v>
      </c>
      <c r="L1516" s="348">
        <v>0</v>
      </c>
      <c r="M1516" s="348">
        <v>0</v>
      </c>
      <c r="N1516" s="348">
        <v>110</v>
      </c>
      <c r="O1516" s="348">
        <v>0</v>
      </c>
      <c r="P1516" s="348">
        <v>254</v>
      </c>
      <c r="Q1516" s="348">
        <v>144</v>
      </c>
      <c r="R1516" s="350">
        <f t="shared" si="220"/>
        <v>600</v>
      </c>
      <c r="S1516" s="348">
        <f t="shared" si="221"/>
        <v>144</v>
      </c>
      <c r="T1516" s="348"/>
      <c r="U1516" s="348"/>
      <c r="V1516" s="348"/>
      <c r="W1516" s="349"/>
      <c r="X1516" s="349"/>
    </row>
    <row r="1517" spans="1:24" ht="12.75">
      <c r="A1517" s="346" t="s">
        <v>535</v>
      </c>
      <c r="B1517" s="347" t="s">
        <v>173</v>
      </c>
      <c r="C1517" s="347" t="s">
        <v>813</v>
      </c>
      <c r="D1517" s="347">
        <v>2019</v>
      </c>
      <c r="E1517" s="347" t="s">
        <v>775</v>
      </c>
      <c r="F1517" s="348">
        <v>192</v>
      </c>
      <c r="G1517" s="348">
        <v>0</v>
      </c>
      <c r="H1517" s="348">
        <v>0</v>
      </c>
      <c r="I1517" s="348">
        <v>0</v>
      </c>
      <c r="J1517" s="348">
        <v>128</v>
      </c>
      <c r="K1517" s="348">
        <v>0</v>
      </c>
      <c r="L1517" s="348">
        <v>0</v>
      </c>
      <c r="M1517" s="348">
        <v>0</v>
      </c>
      <c r="N1517" s="348">
        <v>142</v>
      </c>
      <c r="O1517" s="348">
        <v>0</v>
      </c>
      <c r="P1517" s="348">
        <v>308</v>
      </c>
      <c r="Q1517" s="348">
        <v>609</v>
      </c>
      <c r="R1517" s="350">
        <f t="shared" si="220"/>
        <v>770</v>
      </c>
      <c r="S1517" s="348">
        <f t="shared" si="221"/>
        <v>609</v>
      </c>
      <c r="T1517" s="348"/>
      <c r="U1517" s="348"/>
      <c r="V1517" s="348"/>
      <c r="W1517" s="349"/>
      <c r="X1517" s="349"/>
    </row>
    <row r="1518" spans="1:24" ht="12.75">
      <c r="A1518" s="346" t="s">
        <v>536</v>
      </c>
      <c r="B1518" s="347" t="s">
        <v>173</v>
      </c>
      <c r="C1518" s="347" t="s">
        <v>813</v>
      </c>
      <c r="D1518" s="347">
        <v>2019</v>
      </c>
      <c r="E1518" s="347" t="s">
        <v>775</v>
      </c>
      <c r="F1518" s="348">
        <v>946</v>
      </c>
      <c r="G1518" s="348">
        <v>0</v>
      </c>
      <c r="H1518" s="348">
        <v>0</v>
      </c>
      <c r="I1518" s="348">
        <v>0</v>
      </c>
      <c r="J1518" s="348">
        <v>661</v>
      </c>
      <c r="K1518" s="348">
        <v>1</v>
      </c>
      <c r="L1518" s="348">
        <v>0</v>
      </c>
      <c r="M1518" s="348">
        <v>1</v>
      </c>
      <c r="N1518" s="348">
        <v>772</v>
      </c>
      <c r="O1518" s="348">
        <v>20</v>
      </c>
      <c r="P1518" s="348">
        <v>1817</v>
      </c>
      <c r="Q1518" s="348">
        <v>0</v>
      </c>
      <c r="R1518" s="350">
        <f t="shared" si="220"/>
        <v>4196</v>
      </c>
      <c r="S1518" s="348">
        <f t="shared" si="221"/>
        <v>21</v>
      </c>
      <c r="T1518" s="348"/>
      <c r="U1518" s="348"/>
      <c r="V1518" s="348"/>
      <c r="W1518" s="349"/>
      <c r="X1518" s="349"/>
    </row>
    <row r="1519" spans="1:24" ht="12.75">
      <c r="A1519" s="346" t="s">
        <v>538</v>
      </c>
      <c r="B1519" s="347" t="s">
        <v>173</v>
      </c>
      <c r="C1519" s="347" t="s">
        <v>813</v>
      </c>
      <c r="D1519" s="347">
        <v>2019</v>
      </c>
      <c r="E1519" s="347" t="s">
        <v>775</v>
      </c>
      <c r="F1519" s="348">
        <v>134</v>
      </c>
      <c r="G1519" s="348">
        <v>0</v>
      </c>
      <c r="H1519" s="348">
        <v>0</v>
      </c>
      <c r="I1519" s="348">
        <v>0</v>
      </c>
      <c r="J1519" s="348">
        <v>96</v>
      </c>
      <c r="K1519" s="348">
        <v>1</v>
      </c>
      <c r="L1519" s="348">
        <v>0</v>
      </c>
      <c r="M1519" s="348">
        <v>1</v>
      </c>
      <c r="N1519" s="348">
        <v>112</v>
      </c>
      <c r="O1519" s="348">
        <v>72</v>
      </c>
      <c r="P1519" s="348">
        <v>262</v>
      </c>
      <c r="Q1519" s="348">
        <v>3</v>
      </c>
      <c r="R1519" s="350">
        <f t="shared" si="220"/>
        <v>604</v>
      </c>
      <c r="S1519" s="348">
        <f t="shared" si="221"/>
        <v>76</v>
      </c>
      <c r="T1519" s="348"/>
      <c r="U1519" s="348"/>
      <c r="V1519" s="348"/>
      <c r="W1519" s="349"/>
      <c r="X1519" s="349"/>
    </row>
    <row r="1520" spans="1:24" ht="12.75">
      <c r="A1520" s="346" t="s">
        <v>539</v>
      </c>
      <c r="B1520" s="347" t="s">
        <v>173</v>
      </c>
      <c r="C1520" s="347" t="s">
        <v>813</v>
      </c>
      <c r="D1520" s="347">
        <v>2019</v>
      </c>
      <c r="E1520" s="347" t="s">
        <v>775</v>
      </c>
      <c r="F1520" s="348">
        <v>40</v>
      </c>
      <c r="G1520" s="348">
        <v>0</v>
      </c>
      <c r="H1520" s="348">
        <v>0</v>
      </c>
      <c r="I1520" s="348">
        <v>0</v>
      </c>
      <c r="J1520" s="348">
        <v>27</v>
      </c>
      <c r="K1520" s="348">
        <v>0</v>
      </c>
      <c r="L1520" s="348">
        <v>0</v>
      </c>
      <c r="M1520" s="348">
        <v>0</v>
      </c>
      <c r="N1520" s="348">
        <v>31</v>
      </c>
      <c r="O1520" s="348">
        <v>0</v>
      </c>
      <c r="P1520" s="348">
        <v>62</v>
      </c>
      <c r="Q1520" s="348">
        <v>71</v>
      </c>
      <c r="R1520" s="350">
        <f t="shared" si="220"/>
        <v>160</v>
      </c>
      <c r="S1520" s="348">
        <f t="shared" si="221"/>
        <v>71</v>
      </c>
      <c r="T1520" s="348"/>
      <c r="U1520" s="348"/>
      <c r="V1520" s="348"/>
      <c r="W1520" s="349"/>
      <c r="X1520" s="349"/>
    </row>
    <row r="1521" spans="1:24" ht="12.75">
      <c r="A1521" s="346" t="s">
        <v>540</v>
      </c>
      <c r="B1521" s="347" t="s">
        <v>173</v>
      </c>
      <c r="C1521" s="347" t="s">
        <v>813</v>
      </c>
      <c r="D1521" s="347">
        <v>2019</v>
      </c>
      <c r="E1521" s="347" t="s">
        <v>775</v>
      </c>
      <c r="F1521" s="348">
        <v>714</v>
      </c>
      <c r="G1521" s="348">
        <v>0</v>
      </c>
      <c r="H1521" s="348">
        <v>0</v>
      </c>
      <c r="I1521" s="348">
        <v>0</v>
      </c>
      <c r="J1521" s="348">
        <v>487</v>
      </c>
      <c r="K1521" s="348">
        <v>0</v>
      </c>
      <c r="L1521" s="348">
        <v>0</v>
      </c>
      <c r="M1521" s="348">
        <v>0</v>
      </c>
      <c r="N1521" s="348">
        <v>553</v>
      </c>
      <c r="O1521" s="348">
        <v>0</v>
      </c>
      <c r="P1521" s="348">
        <v>1271</v>
      </c>
      <c r="Q1521" s="348">
        <v>265</v>
      </c>
      <c r="R1521" s="350">
        <f t="shared" si="220"/>
        <v>3025</v>
      </c>
      <c r="S1521" s="348">
        <f t="shared" si="221"/>
        <v>265</v>
      </c>
      <c r="T1521" s="348"/>
      <c r="U1521" s="348"/>
      <c r="V1521" s="348"/>
      <c r="W1521" s="349"/>
      <c r="X1521" s="349"/>
    </row>
    <row r="1522" spans="1:24" ht="12.75">
      <c r="A1522" s="346" t="s">
        <v>541</v>
      </c>
      <c r="B1522" s="347" t="s">
        <v>173</v>
      </c>
      <c r="C1522" s="347" t="s">
        <v>813</v>
      </c>
      <c r="D1522" s="347">
        <v>2019</v>
      </c>
      <c r="E1522" s="347" t="s">
        <v>775</v>
      </c>
      <c r="F1522" s="348">
        <v>409</v>
      </c>
      <c r="G1522" s="348">
        <v>0</v>
      </c>
      <c r="H1522" s="348">
        <v>0</v>
      </c>
      <c r="I1522" s="348">
        <v>0</v>
      </c>
      <c r="J1522" s="348">
        <v>275</v>
      </c>
      <c r="K1522" s="348">
        <v>0</v>
      </c>
      <c r="L1522" s="348">
        <v>0</v>
      </c>
      <c r="M1522" s="348">
        <v>0</v>
      </c>
      <c r="N1522" s="348">
        <v>307</v>
      </c>
      <c r="O1522" s="348">
        <v>0</v>
      </c>
      <c r="P1522" s="348">
        <v>721</v>
      </c>
      <c r="Q1522" s="348">
        <v>0</v>
      </c>
      <c r="R1522" s="350">
        <f t="shared" si="220"/>
        <v>1712</v>
      </c>
      <c r="S1522" s="348">
        <f t="shared" si="221"/>
        <v>0</v>
      </c>
      <c r="T1522" s="348"/>
      <c r="U1522" s="348"/>
      <c r="V1522" s="348"/>
      <c r="W1522" s="349"/>
      <c r="X1522" s="349"/>
    </row>
    <row r="1523" spans="1:24" ht="12.75">
      <c r="A1523" s="346" t="s">
        <v>542</v>
      </c>
      <c r="B1523" s="347" t="s">
        <v>173</v>
      </c>
      <c r="C1523" s="347" t="s">
        <v>813</v>
      </c>
      <c r="D1523" s="347">
        <v>2019</v>
      </c>
      <c r="E1523" s="347" t="s">
        <v>775</v>
      </c>
      <c r="F1523" s="348">
        <v>91</v>
      </c>
      <c r="G1523" s="348">
        <v>0</v>
      </c>
      <c r="H1523" s="348">
        <v>0</v>
      </c>
      <c r="I1523" s="348">
        <v>0</v>
      </c>
      <c r="J1523" s="348">
        <v>61</v>
      </c>
      <c r="K1523" s="348">
        <v>0</v>
      </c>
      <c r="L1523" s="348">
        <v>0</v>
      </c>
      <c r="M1523" s="348">
        <v>0</v>
      </c>
      <c r="N1523" s="348">
        <v>66</v>
      </c>
      <c r="O1523" s="348">
        <v>6</v>
      </c>
      <c r="P1523" s="348">
        <v>146</v>
      </c>
      <c r="Q1523" s="348">
        <v>131</v>
      </c>
      <c r="R1523" s="350">
        <f t="shared" si="220"/>
        <v>364</v>
      </c>
      <c r="S1523" s="348">
        <f t="shared" si="221"/>
        <v>137</v>
      </c>
      <c r="T1523" s="348"/>
      <c r="U1523" s="348"/>
      <c r="V1523" s="348"/>
      <c r="W1523" s="349"/>
      <c r="X1523" s="349"/>
    </row>
    <row r="1524" spans="1:24" ht="12.75">
      <c r="A1524" s="346" t="s">
        <v>543</v>
      </c>
      <c r="B1524" s="347" t="s">
        <v>173</v>
      </c>
      <c r="C1524" s="347" t="s">
        <v>813</v>
      </c>
      <c r="D1524" s="347">
        <v>2019</v>
      </c>
      <c r="E1524" s="347" t="s">
        <v>775</v>
      </c>
      <c r="F1524" s="348">
        <v>1196</v>
      </c>
      <c r="G1524" s="348">
        <v>28</v>
      </c>
      <c r="H1524" s="348">
        <v>28</v>
      </c>
      <c r="I1524" s="348">
        <v>0</v>
      </c>
      <c r="J1524" s="348">
        <v>801</v>
      </c>
      <c r="K1524" s="348">
        <v>106</v>
      </c>
      <c r="L1524" s="348">
        <v>103</v>
      </c>
      <c r="M1524" s="348">
        <v>3</v>
      </c>
      <c r="N1524" s="348">
        <v>897</v>
      </c>
      <c r="O1524" s="348">
        <v>134</v>
      </c>
      <c r="P1524" s="348">
        <v>2035</v>
      </c>
      <c r="Q1524" s="348">
        <v>137</v>
      </c>
      <c r="R1524" s="350">
        <f t="shared" si="220"/>
        <v>4929</v>
      </c>
      <c r="S1524" s="348">
        <f t="shared" si="221"/>
        <v>405</v>
      </c>
      <c r="T1524" s="348"/>
      <c r="U1524" s="348"/>
      <c r="V1524" s="348"/>
      <c r="W1524" s="349"/>
      <c r="X1524" s="349"/>
    </row>
    <row r="1525" spans="1:24" ht="12.75">
      <c r="A1525" s="346" t="s">
        <v>544</v>
      </c>
      <c r="B1525" s="347" t="s">
        <v>173</v>
      </c>
      <c r="C1525" s="347" t="s">
        <v>813</v>
      </c>
      <c r="D1525" s="347">
        <v>2019</v>
      </c>
      <c r="E1525" s="347" t="s">
        <v>775</v>
      </c>
      <c r="F1525" s="348">
        <v>1488</v>
      </c>
      <c r="G1525" s="348">
        <v>0</v>
      </c>
      <c r="H1525" s="348">
        <v>0</v>
      </c>
      <c r="I1525" s="348">
        <v>0</v>
      </c>
      <c r="J1525" s="348">
        <v>1007</v>
      </c>
      <c r="K1525" s="348">
        <v>4</v>
      </c>
      <c r="L1525" s="348">
        <v>0</v>
      </c>
      <c r="M1525" s="348">
        <v>4</v>
      </c>
      <c r="N1525" s="348">
        <v>1140</v>
      </c>
      <c r="O1525" s="348">
        <v>379</v>
      </c>
      <c r="P1525" s="348">
        <v>2610</v>
      </c>
      <c r="Q1525" s="348">
        <v>653</v>
      </c>
      <c r="R1525" s="350">
        <f t="shared" si="220"/>
        <v>6245</v>
      </c>
      <c r="S1525" s="348">
        <f t="shared" si="221"/>
        <v>1036</v>
      </c>
      <c r="T1525" s="348"/>
      <c r="U1525" s="348"/>
      <c r="V1525" s="348"/>
      <c r="W1525" s="349"/>
      <c r="X1525" s="349"/>
    </row>
    <row r="1526" spans="1:24" ht="12.75">
      <c r="A1526" s="346" t="s">
        <v>545</v>
      </c>
      <c r="B1526" s="347" t="s">
        <v>173</v>
      </c>
      <c r="C1526" s="347" t="s">
        <v>813</v>
      </c>
      <c r="D1526" s="347">
        <v>2019</v>
      </c>
      <c r="E1526" s="347" t="s">
        <v>775</v>
      </c>
      <c r="F1526" s="348">
        <v>1500</v>
      </c>
      <c r="G1526" s="348">
        <v>0</v>
      </c>
      <c r="H1526" s="348">
        <v>0</v>
      </c>
      <c r="I1526" s="348">
        <v>0</v>
      </c>
      <c r="J1526" s="348">
        <v>993</v>
      </c>
      <c r="K1526" s="348">
        <v>0</v>
      </c>
      <c r="L1526" s="348">
        <v>0</v>
      </c>
      <c r="M1526" s="348">
        <v>0</v>
      </c>
      <c r="N1526" s="348">
        <v>1112</v>
      </c>
      <c r="O1526" s="348">
        <v>238</v>
      </c>
      <c r="P1526" s="348">
        <v>2564</v>
      </c>
      <c r="Q1526" s="348">
        <v>283</v>
      </c>
      <c r="R1526" s="350">
        <f t="shared" si="220"/>
        <v>6169</v>
      </c>
      <c r="S1526" s="348">
        <f t="shared" si="221"/>
        <v>521</v>
      </c>
      <c r="T1526" s="348"/>
      <c r="U1526" s="348"/>
      <c r="V1526" s="348"/>
      <c r="W1526" s="349"/>
      <c r="X1526" s="349"/>
    </row>
    <row r="1527" spans="1:24" ht="12.75">
      <c r="A1527" s="346" t="s">
        <v>546</v>
      </c>
      <c r="B1527" s="347" t="s">
        <v>173</v>
      </c>
      <c r="C1527" s="347" t="s">
        <v>813</v>
      </c>
      <c r="D1527" s="347">
        <v>2019</v>
      </c>
      <c r="E1527" s="347" t="s">
        <v>775</v>
      </c>
      <c r="F1527" s="348">
        <v>395</v>
      </c>
      <c r="G1527" s="348">
        <v>0</v>
      </c>
      <c r="H1527" s="348">
        <v>0</v>
      </c>
      <c r="I1527" s="348">
        <v>0</v>
      </c>
      <c r="J1527" s="348">
        <v>262</v>
      </c>
      <c r="K1527" s="348">
        <v>0</v>
      </c>
      <c r="L1527" s="348">
        <v>0</v>
      </c>
      <c r="M1527" s="348">
        <v>0</v>
      </c>
      <c r="N1527" s="348">
        <v>289</v>
      </c>
      <c r="O1527" s="348">
        <v>0</v>
      </c>
      <c r="P1527" s="348">
        <v>627</v>
      </c>
      <c r="Q1527" s="348">
        <v>230</v>
      </c>
      <c r="R1527" s="350">
        <f t="shared" si="220"/>
        <v>1573</v>
      </c>
      <c r="S1527" s="348">
        <f t="shared" si="221"/>
        <v>230</v>
      </c>
      <c r="T1527" s="348"/>
      <c r="U1527" s="348"/>
      <c r="V1527" s="348"/>
      <c r="W1527" s="349"/>
      <c r="X1527" s="349"/>
    </row>
    <row r="1528" spans="1:24" ht="12.75">
      <c r="A1528" s="346" t="s">
        <v>547</v>
      </c>
      <c r="B1528" s="347" t="s">
        <v>173</v>
      </c>
      <c r="C1528" s="347" t="s">
        <v>813</v>
      </c>
      <c r="D1528" s="347">
        <v>2019</v>
      </c>
      <c r="E1528" s="347" t="s">
        <v>775</v>
      </c>
      <c r="F1528" s="348">
        <v>205</v>
      </c>
      <c r="G1528" s="348">
        <v>0</v>
      </c>
      <c r="H1528" s="348">
        <v>0</v>
      </c>
      <c r="I1528" s="348">
        <v>0</v>
      </c>
      <c r="J1528" s="348">
        <v>136</v>
      </c>
      <c r="K1528" s="348">
        <v>0</v>
      </c>
      <c r="L1528" s="348">
        <v>0</v>
      </c>
      <c r="M1528" s="348">
        <v>0</v>
      </c>
      <c r="N1528" s="348">
        <v>151</v>
      </c>
      <c r="O1528" s="348">
        <v>0</v>
      </c>
      <c r="P1528" s="348">
        <v>326</v>
      </c>
      <c r="Q1528" s="348">
        <v>5</v>
      </c>
      <c r="R1528" s="350">
        <f t="shared" si="220"/>
        <v>818</v>
      </c>
      <c r="S1528" s="348">
        <f t="shared" si="221"/>
        <v>5</v>
      </c>
      <c r="T1528" s="348"/>
      <c r="U1528" s="348"/>
      <c r="V1528" s="348"/>
      <c r="W1528" s="349"/>
      <c r="X1528" s="349"/>
    </row>
    <row r="1529" spans="1:24" ht="12.75">
      <c r="A1529" s="346" t="s">
        <v>548</v>
      </c>
      <c r="B1529" s="347" t="s">
        <v>173</v>
      </c>
      <c r="C1529" s="347" t="s">
        <v>813</v>
      </c>
      <c r="D1529" s="347">
        <v>2019</v>
      </c>
      <c r="E1529" s="347" t="s">
        <v>775</v>
      </c>
      <c r="F1529" s="348">
        <v>98</v>
      </c>
      <c r="G1529" s="348">
        <v>0</v>
      </c>
      <c r="H1529" s="348">
        <v>0</v>
      </c>
      <c r="I1529" s="348">
        <v>0</v>
      </c>
      <c r="J1529" s="348">
        <v>67</v>
      </c>
      <c r="K1529" s="348">
        <v>0</v>
      </c>
      <c r="L1529" s="348">
        <v>0</v>
      </c>
      <c r="M1529" s="348">
        <v>0</v>
      </c>
      <c r="N1529" s="348">
        <v>76</v>
      </c>
      <c r="O1529" s="348">
        <v>0</v>
      </c>
      <c r="P1529" s="348">
        <v>172</v>
      </c>
      <c r="Q1529" s="348">
        <v>42</v>
      </c>
      <c r="R1529" s="350">
        <f t="shared" si="220"/>
        <v>413</v>
      </c>
      <c r="S1529" s="348">
        <f t="shared" si="221"/>
        <v>42</v>
      </c>
      <c r="T1529" s="348"/>
      <c r="U1529" s="348"/>
      <c r="V1529" s="348"/>
      <c r="W1529" s="349"/>
      <c r="X1529" s="349"/>
    </row>
    <row r="1530" spans="1:24" ht="12.75">
      <c r="A1530" s="346" t="s">
        <v>549</v>
      </c>
      <c r="B1530" s="347" t="s">
        <v>173</v>
      </c>
      <c r="C1530" s="347" t="s">
        <v>813</v>
      </c>
      <c r="D1530" s="347">
        <v>2019</v>
      </c>
      <c r="E1530" s="347" t="s">
        <v>775</v>
      </c>
      <c r="F1530" s="348">
        <v>63</v>
      </c>
      <c r="G1530" s="348">
        <v>0</v>
      </c>
      <c r="H1530" s="348">
        <v>0</v>
      </c>
      <c r="I1530" s="348">
        <v>0</v>
      </c>
      <c r="J1530" s="348">
        <v>43</v>
      </c>
      <c r="K1530" s="348">
        <v>0</v>
      </c>
      <c r="L1530" s="348">
        <v>0</v>
      </c>
      <c r="M1530" s="348">
        <v>0</v>
      </c>
      <c r="N1530" s="348">
        <v>50</v>
      </c>
      <c r="O1530" s="348">
        <v>4</v>
      </c>
      <c r="P1530" s="348">
        <v>116</v>
      </c>
      <c r="Q1530" s="348">
        <v>213</v>
      </c>
      <c r="R1530" s="350">
        <f t="shared" si="220"/>
        <v>272</v>
      </c>
      <c r="S1530" s="348">
        <f t="shared" si="221"/>
        <v>217</v>
      </c>
      <c r="T1530" s="348"/>
      <c r="U1530" s="348"/>
      <c r="V1530" s="348"/>
      <c r="W1530" s="349"/>
      <c r="X1530" s="349"/>
    </row>
    <row r="1531" spans="1:24" ht="12.75">
      <c r="A1531" s="346" t="s">
        <v>550</v>
      </c>
      <c r="B1531" s="347" t="s">
        <v>173</v>
      </c>
      <c r="C1531" s="347" t="s">
        <v>813</v>
      </c>
      <c r="D1531" s="347">
        <v>2019</v>
      </c>
      <c r="E1531" s="347" t="s">
        <v>775</v>
      </c>
      <c r="F1531" s="348">
        <v>1026</v>
      </c>
      <c r="G1531" s="348">
        <v>0</v>
      </c>
      <c r="H1531" s="348">
        <v>0</v>
      </c>
      <c r="I1531" s="348">
        <v>0</v>
      </c>
      <c r="J1531" s="348">
        <v>681</v>
      </c>
      <c r="K1531" s="348">
        <v>0</v>
      </c>
      <c r="L1531" s="348">
        <v>0</v>
      </c>
      <c r="M1531" s="348">
        <v>0</v>
      </c>
      <c r="N1531" s="348">
        <v>759</v>
      </c>
      <c r="O1531" s="348">
        <v>0</v>
      </c>
      <c r="P1531" s="348">
        <v>1814</v>
      </c>
      <c r="Q1531" s="348">
        <v>0</v>
      </c>
      <c r="R1531" s="350">
        <f t="shared" si="220"/>
        <v>4280</v>
      </c>
      <c r="S1531" s="348">
        <f t="shared" si="221"/>
        <v>0</v>
      </c>
      <c r="T1531" s="348"/>
      <c r="U1531" s="348"/>
      <c r="V1531" s="348"/>
      <c r="W1531" s="349"/>
      <c r="X1531" s="349"/>
    </row>
    <row r="1532" spans="1:24" ht="12.75">
      <c r="A1532" s="346" t="s">
        <v>551</v>
      </c>
      <c r="B1532" s="347" t="s">
        <v>173</v>
      </c>
      <c r="C1532" s="347" t="s">
        <v>813</v>
      </c>
      <c r="D1532" s="347">
        <v>2019</v>
      </c>
      <c r="E1532" s="347" t="s">
        <v>775</v>
      </c>
      <c r="F1532" s="348">
        <v>23</v>
      </c>
      <c r="G1532" s="348">
        <v>0</v>
      </c>
      <c r="H1532" s="348">
        <v>0</v>
      </c>
      <c r="I1532" s="348">
        <v>0</v>
      </c>
      <c r="J1532" s="348">
        <v>15</v>
      </c>
      <c r="K1532" s="348">
        <v>0</v>
      </c>
      <c r="L1532" s="348">
        <v>0</v>
      </c>
      <c r="M1532" s="348">
        <v>0</v>
      </c>
      <c r="N1532" s="348">
        <v>18</v>
      </c>
      <c r="O1532" s="348">
        <v>0</v>
      </c>
      <c r="P1532" s="348">
        <v>39</v>
      </c>
      <c r="Q1532" s="348">
        <v>195</v>
      </c>
      <c r="R1532" s="350">
        <f t="shared" si="220"/>
        <v>95</v>
      </c>
      <c r="S1532" s="348">
        <f t="shared" si="221"/>
        <v>195</v>
      </c>
      <c r="T1532" s="348"/>
      <c r="U1532" s="348"/>
      <c r="V1532" s="348"/>
      <c r="W1532" s="349"/>
      <c r="X1532" s="349"/>
    </row>
    <row r="1533" spans="1:24" ht="12.75">
      <c r="A1533" s="346" t="s">
        <v>173</v>
      </c>
      <c r="B1533" s="347" t="s">
        <v>173</v>
      </c>
      <c r="C1533" s="347" t="s">
        <v>813</v>
      </c>
      <c r="D1533" s="347">
        <v>2019</v>
      </c>
      <c r="E1533" s="347" t="s">
        <v>775</v>
      </c>
      <c r="F1533" s="348">
        <v>2002</v>
      </c>
      <c r="G1533" s="348">
        <v>0</v>
      </c>
      <c r="H1533" s="348">
        <v>0</v>
      </c>
      <c r="I1533" s="348">
        <v>0</v>
      </c>
      <c r="J1533" s="348">
        <v>1336</v>
      </c>
      <c r="K1533" s="348">
        <v>0</v>
      </c>
      <c r="L1533" s="348">
        <v>0</v>
      </c>
      <c r="M1533" s="348">
        <v>0</v>
      </c>
      <c r="N1533" s="348">
        <v>1503</v>
      </c>
      <c r="O1533" s="348">
        <v>31</v>
      </c>
      <c r="P1533" s="348">
        <v>3442</v>
      </c>
      <c r="Q1533" s="348">
        <v>627</v>
      </c>
      <c r="R1533" s="350">
        <f t="shared" si="220"/>
        <v>8283</v>
      </c>
      <c r="S1533" s="348">
        <f t="shared" si="221"/>
        <v>658</v>
      </c>
      <c r="T1533" s="348"/>
      <c r="U1533" s="348"/>
      <c r="V1533" s="348"/>
      <c r="W1533" s="349"/>
      <c r="X1533" s="349"/>
    </row>
    <row r="1534" spans="1:24" ht="12.75">
      <c r="A1534" s="346" t="s">
        <v>552</v>
      </c>
      <c r="B1534" s="347" t="s">
        <v>173</v>
      </c>
      <c r="C1534" s="347" t="s">
        <v>813</v>
      </c>
      <c r="D1534" s="347">
        <v>2019</v>
      </c>
      <c r="E1534" s="347" t="s">
        <v>775</v>
      </c>
      <c r="F1534" s="348">
        <v>7173</v>
      </c>
      <c r="G1534" s="348">
        <v>3</v>
      </c>
      <c r="H1534" s="348">
        <v>0</v>
      </c>
      <c r="I1534" s="348">
        <v>3</v>
      </c>
      <c r="J1534" s="348">
        <v>4871</v>
      </c>
      <c r="K1534" s="348">
        <v>0</v>
      </c>
      <c r="L1534" s="348">
        <v>0</v>
      </c>
      <c r="M1534" s="348">
        <v>0</v>
      </c>
      <c r="N1534" s="348">
        <v>5534</v>
      </c>
      <c r="O1534" s="348">
        <v>265</v>
      </c>
      <c r="P1534" s="348">
        <v>12725</v>
      </c>
      <c r="Q1534" s="348">
        <v>1765</v>
      </c>
      <c r="R1534" s="350">
        <f t="shared" si="220"/>
        <v>30303</v>
      </c>
      <c r="S1534" s="348">
        <f t="shared" si="221"/>
        <v>2033</v>
      </c>
      <c r="T1534" s="348"/>
      <c r="U1534" s="348"/>
      <c r="V1534" s="348"/>
      <c r="W1534" s="349"/>
      <c r="X1534" s="349"/>
    </row>
    <row r="1535" spans="1:24" ht="12.75">
      <c r="A1535" s="346" t="s">
        <v>553</v>
      </c>
      <c r="B1535" s="347" t="s">
        <v>173</v>
      </c>
      <c r="C1535" s="347" t="s">
        <v>813</v>
      </c>
      <c r="D1535" s="347">
        <v>2019</v>
      </c>
      <c r="E1535" s="347" t="s">
        <v>775</v>
      </c>
      <c r="F1535" s="348">
        <v>562</v>
      </c>
      <c r="G1535" s="348">
        <v>0</v>
      </c>
      <c r="H1535" s="348">
        <v>0</v>
      </c>
      <c r="I1535" s="348">
        <v>0</v>
      </c>
      <c r="J1535" s="348">
        <v>394</v>
      </c>
      <c r="K1535" s="348">
        <v>0</v>
      </c>
      <c r="L1535" s="348">
        <v>0</v>
      </c>
      <c r="M1535" s="348">
        <v>0</v>
      </c>
      <c r="N1535" s="348">
        <v>441</v>
      </c>
      <c r="O1535" s="348">
        <v>201</v>
      </c>
      <c r="P1535" s="348">
        <v>1036</v>
      </c>
      <c r="Q1535" s="348">
        <v>0</v>
      </c>
      <c r="R1535" s="350">
        <f t="shared" si="220"/>
        <v>2433</v>
      </c>
      <c r="S1535" s="348">
        <f t="shared" si="221"/>
        <v>201</v>
      </c>
      <c r="T1535" s="348"/>
      <c r="U1535" s="348"/>
      <c r="V1535" s="348"/>
      <c r="W1535" s="349"/>
      <c r="X1535" s="349"/>
    </row>
    <row r="1536" spans="1:24" ht="12.75">
      <c r="A1536" s="346" t="s">
        <v>554</v>
      </c>
      <c r="B1536" s="347" t="s">
        <v>173</v>
      </c>
      <c r="C1536" s="347" t="s">
        <v>813</v>
      </c>
      <c r="D1536" s="347">
        <v>2019</v>
      </c>
      <c r="E1536" s="347" t="s">
        <v>775</v>
      </c>
      <c r="F1536" s="348">
        <v>375</v>
      </c>
      <c r="G1536" s="348">
        <v>0</v>
      </c>
      <c r="H1536" s="348">
        <v>0</v>
      </c>
      <c r="I1536" s="348">
        <v>0</v>
      </c>
      <c r="J1536" s="348">
        <v>251</v>
      </c>
      <c r="K1536" s="348">
        <v>0</v>
      </c>
      <c r="L1536" s="348">
        <v>0</v>
      </c>
      <c r="M1536" s="348">
        <v>0</v>
      </c>
      <c r="N1536" s="348">
        <v>271</v>
      </c>
      <c r="O1536" s="348">
        <v>0</v>
      </c>
      <c r="P1536" s="348">
        <v>596</v>
      </c>
      <c r="Q1536" s="348">
        <v>209</v>
      </c>
      <c r="R1536" s="350">
        <f t="shared" si="220"/>
        <v>1493</v>
      </c>
      <c r="S1536" s="348">
        <f t="shared" si="221"/>
        <v>209</v>
      </c>
      <c r="T1536" s="348"/>
      <c r="U1536" s="348"/>
      <c r="V1536" s="348"/>
      <c r="W1536" s="349"/>
      <c r="X1536" s="349"/>
    </row>
    <row r="1537" spans="1:24" ht="12.75">
      <c r="A1537" s="346" t="s">
        <v>555</v>
      </c>
      <c r="B1537" s="347" t="s">
        <v>173</v>
      </c>
      <c r="C1537" s="347" t="s">
        <v>813</v>
      </c>
      <c r="D1537" s="347">
        <v>2019</v>
      </c>
      <c r="E1537" s="347" t="s">
        <v>775</v>
      </c>
      <c r="F1537" s="348">
        <v>621</v>
      </c>
      <c r="G1537" s="348">
        <v>0</v>
      </c>
      <c r="H1537" s="348">
        <v>0</v>
      </c>
      <c r="I1537" s="348">
        <v>0</v>
      </c>
      <c r="J1537" s="348">
        <v>415</v>
      </c>
      <c r="K1537" s="348">
        <v>2</v>
      </c>
      <c r="L1537" s="348">
        <v>0</v>
      </c>
      <c r="M1537" s="348">
        <v>2</v>
      </c>
      <c r="N1537" s="348">
        <v>461</v>
      </c>
      <c r="O1537" s="348">
        <v>28</v>
      </c>
      <c r="P1537" s="348">
        <v>1038</v>
      </c>
      <c r="Q1537" s="348">
        <v>7</v>
      </c>
      <c r="R1537" s="350">
        <f t="shared" si="220"/>
        <v>2535</v>
      </c>
      <c r="S1537" s="348">
        <f t="shared" si="221"/>
        <v>37</v>
      </c>
      <c r="T1537" s="352">
        <f>SUM(G1512:G1537)</f>
        <v>31</v>
      </c>
      <c r="U1537" s="352">
        <f>SUM(K1512:K1537)</f>
        <v>114</v>
      </c>
      <c r="V1537" s="352">
        <f>SUM(O1512:O1537)</f>
        <v>1384</v>
      </c>
      <c r="W1537" s="352">
        <f>SUM(Q1512:Q1537)</f>
        <v>5884</v>
      </c>
      <c r="X1537" s="352">
        <f>T1537+U1537+V1537+W1537</f>
        <v>7413</v>
      </c>
    </row>
    <row r="1538" spans="1:24" ht="12.75">
      <c r="A1538" s="449"/>
      <c r="B1538" s="450"/>
      <c r="C1538" s="450"/>
      <c r="D1538" s="450"/>
      <c r="E1538" s="450"/>
      <c r="F1538" s="451"/>
      <c r="G1538" s="451"/>
      <c r="H1538" s="452"/>
      <c r="I1538" s="451"/>
      <c r="J1538" s="451"/>
      <c r="K1538" s="451"/>
      <c r="L1538" s="451"/>
      <c r="M1538" s="451"/>
      <c r="N1538" s="451"/>
      <c r="O1538" s="451"/>
      <c r="P1538" s="451"/>
      <c r="Q1538" s="452"/>
      <c r="R1538" s="182"/>
      <c r="S1538" s="456" t="s">
        <v>783</v>
      </c>
      <c r="T1538" s="466">
        <f t="shared" ref="T1538:X1538" si="222">SUM(T1395:T1537)</f>
        <v>1028</v>
      </c>
      <c r="U1538" s="466">
        <f t="shared" si="222"/>
        <v>453</v>
      </c>
      <c r="V1538" s="466">
        <f t="shared" si="222"/>
        <v>5650</v>
      </c>
      <c r="W1538" s="466">
        <f t="shared" si="222"/>
        <v>26825</v>
      </c>
      <c r="X1538" s="466">
        <f t="shared" si="222"/>
        <v>33956</v>
      </c>
    </row>
    <row r="1539" spans="1:24" ht="12.75">
      <c r="A1539" s="449"/>
      <c r="B1539" s="450"/>
      <c r="C1539" s="450"/>
      <c r="D1539" s="450"/>
      <c r="E1539" s="450"/>
      <c r="F1539" s="451"/>
      <c r="G1539" s="451"/>
      <c r="H1539" s="452"/>
      <c r="I1539" s="451"/>
      <c r="J1539" s="451"/>
      <c r="K1539" s="451"/>
      <c r="L1539" s="451"/>
      <c r="M1539" s="451"/>
      <c r="N1539" s="451"/>
      <c r="O1539" s="451"/>
      <c r="P1539" s="451"/>
      <c r="Q1539" s="452"/>
      <c r="R1539" s="182"/>
      <c r="S1539" s="362"/>
      <c r="T1539" s="97"/>
      <c r="U1539" s="97"/>
      <c r="V1539" s="97"/>
      <c r="W1539" s="97"/>
      <c r="X1539" s="97"/>
    </row>
    <row r="1540" spans="1:24" ht="12.75">
      <c r="A1540" s="467" t="s">
        <v>846</v>
      </c>
      <c r="B1540" s="468" t="s">
        <v>174</v>
      </c>
      <c r="C1540" s="468" t="s">
        <v>799</v>
      </c>
      <c r="D1540" s="468">
        <v>2013</v>
      </c>
      <c r="E1540" s="468" t="s">
        <v>775</v>
      </c>
      <c r="F1540" s="469">
        <v>146</v>
      </c>
      <c r="G1540" s="469">
        <v>0</v>
      </c>
      <c r="H1540" s="470">
        <v>0</v>
      </c>
      <c r="I1540" s="469">
        <v>0</v>
      </c>
      <c r="J1540" s="469">
        <v>102</v>
      </c>
      <c r="K1540" s="469">
        <v>1</v>
      </c>
      <c r="L1540" s="469">
        <v>0</v>
      </c>
      <c r="M1540" s="469">
        <v>1</v>
      </c>
      <c r="N1540" s="469">
        <v>130</v>
      </c>
      <c r="O1540" s="469">
        <v>0</v>
      </c>
      <c r="P1540" s="469">
        <v>318</v>
      </c>
      <c r="Q1540" s="470">
        <v>1</v>
      </c>
      <c r="R1540" s="381">
        <f t="shared" ref="R1540:R1590" si="223">F1540+J1540+N1540+P1540</f>
        <v>696</v>
      </c>
      <c r="S1540" s="382">
        <f t="shared" ref="S1540:S1590" si="224">K1540+O1540+G1540+Q1540</f>
        <v>2</v>
      </c>
      <c r="T1540" s="471"/>
      <c r="U1540" s="471"/>
      <c r="V1540" s="471"/>
      <c r="W1540" s="471"/>
      <c r="X1540" s="471"/>
    </row>
    <row r="1541" spans="1:24" ht="12.75">
      <c r="A1541" s="467" t="s">
        <v>847</v>
      </c>
      <c r="B1541" s="468" t="s">
        <v>174</v>
      </c>
      <c r="C1541" s="468" t="s">
        <v>799</v>
      </c>
      <c r="D1541" s="468">
        <v>2013</v>
      </c>
      <c r="E1541" s="468" t="s">
        <v>775</v>
      </c>
      <c r="F1541" s="469">
        <v>2035</v>
      </c>
      <c r="G1541" s="469">
        <v>0</v>
      </c>
      <c r="H1541" s="470">
        <v>0</v>
      </c>
      <c r="I1541" s="469">
        <v>0</v>
      </c>
      <c r="J1541" s="469">
        <v>1427</v>
      </c>
      <c r="K1541" s="469">
        <v>0</v>
      </c>
      <c r="L1541" s="469">
        <v>0</v>
      </c>
      <c r="M1541" s="469">
        <v>0</v>
      </c>
      <c r="N1541" s="469">
        <v>1377</v>
      </c>
      <c r="O1541" s="469">
        <v>173</v>
      </c>
      <c r="P1541" s="469">
        <v>2563</v>
      </c>
      <c r="Q1541" s="470">
        <v>196</v>
      </c>
      <c r="R1541" s="381">
        <f t="shared" si="223"/>
        <v>7402</v>
      </c>
      <c r="S1541" s="382">
        <f t="shared" si="224"/>
        <v>369</v>
      </c>
      <c r="T1541" s="471"/>
      <c r="U1541" s="471"/>
      <c r="V1541" s="471"/>
      <c r="W1541" s="471"/>
      <c r="X1541" s="471"/>
    </row>
    <row r="1542" spans="1:24" ht="12.75">
      <c r="A1542" s="467" t="s">
        <v>848</v>
      </c>
      <c r="B1542" s="487" t="s">
        <v>174</v>
      </c>
      <c r="C1542" s="468" t="s">
        <v>799</v>
      </c>
      <c r="D1542" s="468">
        <v>2013</v>
      </c>
      <c r="E1542" s="468" t="s">
        <v>775</v>
      </c>
      <c r="F1542" s="469">
        <v>1218</v>
      </c>
      <c r="G1542" s="469">
        <v>0</v>
      </c>
      <c r="H1542" s="470">
        <v>0</v>
      </c>
      <c r="I1542" s="469">
        <v>0</v>
      </c>
      <c r="J1542" s="469">
        <v>854</v>
      </c>
      <c r="K1542" s="469">
        <v>0</v>
      </c>
      <c r="L1542" s="469">
        <v>0</v>
      </c>
      <c r="M1542" s="469">
        <v>0</v>
      </c>
      <c r="N1542" s="469">
        <v>862</v>
      </c>
      <c r="O1542" s="469">
        <v>28</v>
      </c>
      <c r="P1542" s="469">
        <v>1699</v>
      </c>
      <c r="Q1542" s="470">
        <v>302</v>
      </c>
      <c r="R1542" s="381">
        <f t="shared" si="223"/>
        <v>4633</v>
      </c>
      <c r="S1542" s="382">
        <f t="shared" si="224"/>
        <v>330</v>
      </c>
      <c r="T1542" s="471"/>
      <c r="U1542" s="471"/>
      <c r="V1542" s="471"/>
      <c r="W1542" s="471"/>
      <c r="X1542" s="471"/>
    </row>
    <row r="1543" spans="1:24" ht="12.75">
      <c r="A1543" s="467" t="s">
        <v>849</v>
      </c>
      <c r="B1543" s="468" t="s">
        <v>174</v>
      </c>
      <c r="C1543" s="468" t="s">
        <v>799</v>
      </c>
      <c r="D1543" s="468">
        <v>2013</v>
      </c>
      <c r="E1543" s="468" t="s">
        <v>775</v>
      </c>
      <c r="F1543" s="469">
        <v>131</v>
      </c>
      <c r="G1543" s="469">
        <v>0</v>
      </c>
      <c r="H1543" s="470">
        <v>0</v>
      </c>
      <c r="I1543" s="469">
        <v>0</v>
      </c>
      <c r="J1543" s="469">
        <v>91</v>
      </c>
      <c r="K1543" s="469">
        <v>0</v>
      </c>
      <c r="L1543" s="469">
        <v>0</v>
      </c>
      <c r="M1543" s="469">
        <v>0</v>
      </c>
      <c r="N1543" s="469">
        <v>126</v>
      </c>
      <c r="O1543" s="469">
        <v>0</v>
      </c>
      <c r="P1543" s="469">
        <v>331</v>
      </c>
      <c r="Q1543" s="470">
        <v>41</v>
      </c>
      <c r="R1543" s="381">
        <f t="shared" si="223"/>
        <v>679</v>
      </c>
      <c r="S1543" s="382">
        <f t="shared" si="224"/>
        <v>41</v>
      </c>
      <c r="T1543" s="471"/>
      <c r="U1543" s="471"/>
      <c r="V1543" s="471"/>
      <c r="W1543" s="471"/>
      <c r="X1543" s="471"/>
    </row>
    <row r="1544" spans="1:24" ht="12.75">
      <c r="A1544" s="467" t="s">
        <v>850</v>
      </c>
      <c r="B1544" s="468" t="s">
        <v>174</v>
      </c>
      <c r="C1544" s="468" t="s">
        <v>799</v>
      </c>
      <c r="D1544" s="468">
        <v>2013</v>
      </c>
      <c r="E1544" s="468" t="s">
        <v>775</v>
      </c>
      <c r="F1544" s="469">
        <v>1539</v>
      </c>
      <c r="G1544" s="469">
        <v>0</v>
      </c>
      <c r="H1544" s="470">
        <v>0</v>
      </c>
      <c r="I1544" s="469">
        <v>0</v>
      </c>
      <c r="J1544" s="469">
        <v>1079</v>
      </c>
      <c r="K1544" s="469">
        <v>0</v>
      </c>
      <c r="L1544" s="469">
        <v>0</v>
      </c>
      <c r="M1544" s="469">
        <v>0</v>
      </c>
      <c r="N1544" s="469">
        <v>1303</v>
      </c>
      <c r="O1544" s="469">
        <v>0</v>
      </c>
      <c r="P1544" s="469">
        <v>3087</v>
      </c>
      <c r="Q1544" s="470">
        <v>331</v>
      </c>
      <c r="R1544" s="381">
        <f t="shared" si="223"/>
        <v>7008</v>
      </c>
      <c r="S1544" s="382">
        <f t="shared" si="224"/>
        <v>331</v>
      </c>
      <c r="T1544" s="471"/>
      <c r="U1544" s="471"/>
      <c r="V1544" s="471"/>
      <c r="W1544" s="471"/>
      <c r="X1544" s="471"/>
    </row>
    <row r="1545" spans="1:24" ht="12.75">
      <c r="A1545" s="467" t="s">
        <v>851</v>
      </c>
      <c r="B1545" s="468" t="s">
        <v>174</v>
      </c>
      <c r="C1545" s="468" t="s">
        <v>799</v>
      </c>
      <c r="D1545" s="468">
        <v>2013</v>
      </c>
      <c r="E1545" s="468" t="s">
        <v>775</v>
      </c>
      <c r="F1545" s="469">
        <v>4944</v>
      </c>
      <c r="G1545" s="469">
        <v>95</v>
      </c>
      <c r="H1545" s="470">
        <v>62</v>
      </c>
      <c r="I1545" s="469">
        <v>33</v>
      </c>
      <c r="J1545" s="469">
        <v>3467</v>
      </c>
      <c r="K1545" s="469">
        <v>137</v>
      </c>
      <c r="L1545" s="469">
        <v>24</v>
      </c>
      <c r="M1545" s="469">
        <v>113</v>
      </c>
      <c r="N1545" s="469">
        <v>4482</v>
      </c>
      <c r="O1545" s="469">
        <v>34</v>
      </c>
      <c r="P1545" s="469">
        <v>11208</v>
      </c>
      <c r="Q1545" s="470">
        <v>153</v>
      </c>
      <c r="R1545" s="381">
        <f t="shared" si="223"/>
        <v>24101</v>
      </c>
      <c r="S1545" s="382">
        <f t="shared" si="224"/>
        <v>419</v>
      </c>
      <c r="T1545" s="471"/>
      <c r="U1545" s="471"/>
      <c r="V1545" s="471"/>
      <c r="W1545" s="471"/>
      <c r="X1545" s="471"/>
    </row>
    <row r="1546" spans="1:24" ht="12.75">
      <c r="A1546" s="467" t="s">
        <v>852</v>
      </c>
      <c r="B1546" s="468" t="s">
        <v>174</v>
      </c>
      <c r="C1546" s="468" t="s">
        <v>799</v>
      </c>
      <c r="D1546" s="468">
        <v>2013</v>
      </c>
      <c r="E1546" s="468" t="s">
        <v>775</v>
      </c>
      <c r="F1546" s="469">
        <v>3149</v>
      </c>
      <c r="G1546" s="469">
        <v>0</v>
      </c>
      <c r="H1546" s="470">
        <v>0</v>
      </c>
      <c r="I1546" s="469">
        <v>0</v>
      </c>
      <c r="J1546" s="469">
        <v>2208</v>
      </c>
      <c r="K1546" s="469">
        <v>0</v>
      </c>
      <c r="L1546" s="469">
        <v>0</v>
      </c>
      <c r="M1546" s="469">
        <v>0</v>
      </c>
      <c r="N1546" s="469">
        <v>2574</v>
      </c>
      <c r="O1546" s="469">
        <v>137</v>
      </c>
      <c r="P1546" s="469">
        <v>5913</v>
      </c>
      <c r="Q1546" s="470">
        <v>268</v>
      </c>
      <c r="R1546" s="381">
        <f t="shared" si="223"/>
        <v>13844</v>
      </c>
      <c r="S1546" s="382">
        <f t="shared" si="224"/>
        <v>405</v>
      </c>
      <c r="T1546" s="472">
        <f>SUM(G1540:G1546)</f>
        <v>95</v>
      </c>
      <c r="U1546" s="472">
        <f>SUM(K1540:K1546)</f>
        <v>138</v>
      </c>
      <c r="V1546" s="472">
        <f>SUM(O1540:O1546)</f>
        <v>372</v>
      </c>
      <c r="W1546" s="472">
        <f>SUM(Q1540:Q1546)</f>
        <v>1292</v>
      </c>
      <c r="X1546" s="472">
        <f>T1546+U1546+V1546+W1546</f>
        <v>1897</v>
      </c>
    </row>
    <row r="1547" spans="1:24" ht="12.75">
      <c r="A1547" s="417" t="s">
        <v>556</v>
      </c>
      <c r="B1547" s="418" t="s">
        <v>174</v>
      </c>
      <c r="C1547" s="418" t="s">
        <v>799</v>
      </c>
      <c r="D1547" s="418">
        <v>2014</v>
      </c>
      <c r="E1547" s="418" t="s">
        <v>775</v>
      </c>
      <c r="F1547" s="419">
        <v>146</v>
      </c>
      <c r="G1547" s="419">
        <v>0</v>
      </c>
      <c r="H1547" s="420">
        <v>0</v>
      </c>
      <c r="I1547" s="419">
        <v>0</v>
      </c>
      <c r="J1547" s="419">
        <v>102</v>
      </c>
      <c r="K1547" s="419">
        <v>2</v>
      </c>
      <c r="L1547" s="419">
        <v>2</v>
      </c>
      <c r="M1547" s="419">
        <v>0</v>
      </c>
      <c r="N1547" s="419">
        <v>130</v>
      </c>
      <c r="O1547" s="419">
        <v>0</v>
      </c>
      <c r="P1547" s="419">
        <v>318</v>
      </c>
      <c r="Q1547" s="420">
        <v>5</v>
      </c>
      <c r="R1547" s="311">
        <f t="shared" si="223"/>
        <v>696</v>
      </c>
      <c r="S1547" s="363">
        <f t="shared" si="224"/>
        <v>7</v>
      </c>
      <c r="T1547" s="421"/>
      <c r="U1547" s="421"/>
      <c r="V1547" s="421"/>
      <c r="W1547" s="421"/>
      <c r="X1547" s="421"/>
    </row>
    <row r="1548" spans="1:24" ht="12.75">
      <c r="A1548" s="417" t="s">
        <v>557</v>
      </c>
      <c r="B1548" s="418" t="s">
        <v>174</v>
      </c>
      <c r="C1548" s="418" t="s">
        <v>799</v>
      </c>
      <c r="D1548" s="418">
        <v>2014</v>
      </c>
      <c r="E1548" s="418" t="s">
        <v>775</v>
      </c>
      <c r="F1548" s="419">
        <v>2035</v>
      </c>
      <c r="G1548" s="419">
        <v>49</v>
      </c>
      <c r="H1548" s="420">
        <v>49</v>
      </c>
      <c r="I1548" s="419">
        <v>0</v>
      </c>
      <c r="J1548" s="419">
        <v>1427</v>
      </c>
      <c r="K1548" s="419">
        <v>14</v>
      </c>
      <c r="L1548" s="419">
        <v>14</v>
      </c>
      <c r="M1548" s="419">
        <v>0</v>
      </c>
      <c r="N1548" s="419">
        <v>1377</v>
      </c>
      <c r="O1548" s="419">
        <v>74</v>
      </c>
      <c r="P1548" s="419">
        <v>2563</v>
      </c>
      <c r="Q1548" s="420">
        <v>505</v>
      </c>
      <c r="R1548" s="311">
        <f t="shared" si="223"/>
        <v>7402</v>
      </c>
      <c r="S1548" s="363">
        <f t="shared" si="224"/>
        <v>642</v>
      </c>
      <c r="T1548" s="421"/>
      <c r="U1548" s="421"/>
      <c r="V1548" s="421"/>
      <c r="W1548" s="421"/>
      <c r="X1548" s="421"/>
    </row>
    <row r="1549" spans="1:24" ht="12.75">
      <c r="A1549" s="417" t="s">
        <v>558</v>
      </c>
      <c r="B1549" s="418" t="s">
        <v>174</v>
      </c>
      <c r="C1549" s="418" t="s">
        <v>799</v>
      </c>
      <c r="D1549" s="418">
        <v>2014</v>
      </c>
      <c r="E1549" s="418" t="s">
        <v>775</v>
      </c>
      <c r="F1549" s="419">
        <v>1218</v>
      </c>
      <c r="G1549" s="419">
        <v>0</v>
      </c>
      <c r="H1549" s="420">
        <v>0</v>
      </c>
      <c r="I1549" s="419">
        <v>0</v>
      </c>
      <c r="J1549" s="419">
        <v>854</v>
      </c>
      <c r="K1549" s="419">
        <v>0</v>
      </c>
      <c r="L1549" s="419">
        <v>0</v>
      </c>
      <c r="M1549" s="419">
        <v>0</v>
      </c>
      <c r="N1549" s="419">
        <v>862</v>
      </c>
      <c r="O1549" s="419">
        <v>68</v>
      </c>
      <c r="P1549" s="419">
        <v>1699</v>
      </c>
      <c r="Q1549" s="420">
        <v>205</v>
      </c>
      <c r="R1549" s="311">
        <f t="shared" si="223"/>
        <v>4633</v>
      </c>
      <c r="S1549" s="363">
        <f t="shared" si="224"/>
        <v>273</v>
      </c>
      <c r="T1549" s="421"/>
      <c r="U1549" s="421"/>
      <c r="V1549" s="421"/>
      <c r="W1549" s="421"/>
      <c r="X1549" s="421"/>
    </row>
    <row r="1550" spans="1:24" ht="12.75">
      <c r="A1550" s="417" t="s">
        <v>559</v>
      </c>
      <c r="B1550" s="418" t="s">
        <v>174</v>
      </c>
      <c r="C1550" s="418" t="s">
        <v>799</v>
      </c>
      <c r="D1550" s="418">
        <v>2014</v>
      </c>
      <c r="E1550" s="418" t="s">
        <v>775</v>
      </c>
      <c r="F1550" s="419">
        <v>131</v>
      </c>
      <c r="G1550" s="419">
        <v>0</v>
      </c>
      <c r="H1550" s="420">
        <v>0</v>
      </c>
      <c r="I1550" s="419">
        <v>0</v>
      </c>
      <c r="J1550" s="419">
        <v>91</v>
      </c>
      <c r="K1550" s="419">
        <v>0</v>
      </c>
      <c r="L1550" s="419">
        <v>0</v>
      </c>
      <c r="M1550" s="419">
        <v>0</v>
      </c>
      <c r="N1550" s="419">
        <v>126</v>
      </c>
      <c r="O1550" s="419">
        <v>0</v>
      </c>
      <c r="P1550" s="419">
        <v>331</v>
      </c>
      <c r="Q1550" s="420">
        <v>29</v>
      </c>
      <c r="R1550" s="311">
        <f t="shared" si="223"/>
        <v>679</v>
      </c>
      <c r="S1550" s="363">
        <f t="shared" si="224"/>
        <v>29</v>
      </c>
      <c r="T1550" s="421"/>
      <c r="U1550" s="421"/>
      <c r="V1550" s="421"/>
      <c r="W1550" s="421"/>
      <c r="X1550" s="421"/>
    </row>
    <row r="1551" spans="1:24" ht="12.75">
      <c r="A1551" s="417" t="s">
        <v>561</v>
      </c>
      <c r="B1551" s="418" t="s">
        <v>174</v>
      </c>
      <c r="C1551" s="418" t="s">
        <v>799</v>
      </c>
      <c r="D1551" s="418">
        <v>2014</v>
      </c>
      <c r="E1551" s="418" t="s">
        <v>775</v>
      </c>
      <c r="F1551" s="419">
        <v>1539</v>
      </c>
      <c r="G1551" s="419">
        <v>0</v>
      </c>
      <c r="H1551" s="420">
        <v>0</v>
      </c>
      <c r="I1551" s="419">
        <v>0</v>
      </c>
      <c r="J1551" s="419">
        <v>1079</v>
      </c>
      <c r="K1551" s="419">
        <v>0</v>
      </c>
      <c r="L1551" s="419">
        <v>0</v>
      </c>
      <c r="M1551" s="419">
        <v>0</v>
      </c>
      <c r="N1551" s="419">
        <v>1303</v>
      </c>
      <c r="O1551" s="419">
        <v>0</v>
      </c>
      <c r="P1551" s="419">
        <v>3087</v>
      </c>
      <c r="Q1551" s="420">
        <v>254</v>
      </c>
      <c r="R1551" s="311">
        <f t="shared" si="223"/>
        <v>7008</v>
      </c>
      <c r="S1551" s="363">
        <f t="shared" si="224"/>
        <v>254</v>
      </c>
      <c r="T1551" s="421"/>
      <c r="U1551" s="421"/>
      <c r="V1551" s="421"/>
      <c r="W1551" s="421"/>
      <c r="X1551" s="421"/>
    </row>
    <row r="1552" spans="1:24" ht="12.75">
      <c r="A1552" s="417" t="s">
        <v>174</v>
      </c>
      <c r="B1552" s="418" t="s">
        <v>174</v>
      </c>
      <c r="C1552" s="418" t="s">
        <v>799</v>
      </c>
      <c r="D1552" s="418">
        <v>2014</v>
      </c>
      <c r="E1552" s="418" t="s">
        <v>775</v>
      </c>
      <c r="F1552" s="419">
        <v>4944</v>
      </c>
      <c r="G1552" s="419">
        <v>102</v>
      </c>
      <c r="H1552" s="420">
        <v>78</v>
      </c>
      <c r="I1552" s="419">
        <v>24</v>
      </c>
      <c r="J1552" s="419">
        <v>3467</v>
      </c>
      <c r="K1552" s="419">
        <v>123</v>
      </c>
      <c r="L1552" s="419">
        <v>95</v>
      </c>
      <c r="M1552" s="419">
        <v>28</v>
      </c>
      <c r="N1552" s="419">
        <v>4482</v>
      </c>
      <c r="O1552" s="419">
        <v>21</v>
      </c>
      <c r="P1552" s="419">
        <v>11208</v>
      </c>
      <c r="Q1552" s="420">
        <v>95</v>
      </c>
      <c r="R1552" s="311">
        <f t="shared" si="223"/>
        <v>24101</v>
      </c>
      <c r="S1552" s="363">
        <f t="shared" si="224"/>
        <v>341</v>
      </c>
      <c r="T1552" s="421"/>
      <c r="U1552" s="421"/>
      <c r="V1552" s="421"/>
      <c r="W1552" s="421"/>
      <c r="X1552" s="421"/>
    </row>
    <row r="1553" spans="1:24" ht="12.75">
      <c r="A1553" s="417" t="s">
        <v>562</v>
      </c>
      <c r="B1553" s="418" t="s">
        <v>174</v>
      </c>
      <c r="C1553" s="418" t="s">
        <v>799</v>
      </c>
      <c r="D1553" s="418">
        <v>2014</v>
      </c>
      <c r="E1553" s="418" t="s">
        <v>775</v>
      </c>
      <c r="F1553" s="419">
        <v>3149</v>
      </c>
      <c r="G1553" s="419">
        <v>0</v>
      </c>
      <c r="H1553" s="420">
        <v>0</v>
      </c>
      <c r="I1553" s="419">
        <v>0</v>
      </c>
      <c r="J1553" s="419">
        <v>2208</v>
      </c>
      <c r="K1553" s="419">
        <v>0</v>
      </c>
      <c r="L1553" s="419">
        <v>0</v>
      </c>
      <c r="M1553" s="419">
        <v>0</v>
      </c>
      <c r="N1553" s="419">
        <v>2574</v>
      </c>
      <c r="O1553" s="419">
        <v>97</v>
      </c>
      <c r="P1553" s="419">
        <v>5913</v>
      </c>
      <c r="Q1553" s="420">
        <v>228</v>
      </c>
      <c r="R1553" s="311">
        <f t="shared" si="223"/>
        <v>13844</v>
      </c>
      <c r="S1553" s="363">
        <f t="shared" si="224"/>
        <v>325</v>
      </c>
      <c r="T1553" s="411">
        <f>SUM(G1547:G1553)</f>
        <v>151</v>
      </c>
      <c r="U1553" s="411">
        <f>SUM(K1547:K1553)</f>
        <v>139</v>
      </c>
      <c r="V1553" s="411">
        <f>SUM(O1547:O1553)</f>
        <v>260</v>
      </c>
      <c r="W1553" s="411">
        <f>SUM(Q1547:Q1553)</f>
        <v>1321</v>
      </c>
      <c r="X1553" s="411">
        <f>T1553+U1553+V1553+W1553</f>
        <v>1871</v>
      </c>
    </row>
    <row r="1554" spans="1:24" ht="12.75">
      <c r="A1554" s="422" t="s">
        <v>556</v>
      </c>
      <c r="B1554" s="423" t="s">
        <v>174</v>
      </c>
      <c r="C1554" s="423" t="s">
        <v>799</v>
      </c>
      <c r="D1554" s="423">
        <v>2015</v>
      </c>
      <c r="E1554" s="423" t="s">
        <v>775</v>
      </c>
      <c r="F1554" s="424">
        <v>146</v>
      </c>
      <c r="G1554" s="424">
        <v>0</v>
      </c>
      <c r="H1554" s="425">
        <v>0</v>
      </c>
      <c r="I1554" s="424">
        <v>0</v>
      </c>
      <c r="J1554" s="424">
        <v>102</v>
      </c>
      <c r="K1554" s="424">
        <v>1</v>
      </c>
      <c r="L1554" s="424">
        <v>1</v>
      </c>
      <c r="M1554" s="424">
        <v>0</v>
      </c>
      <c r="N1554" s="424">
        <v>130</v>
      </c>
      <c r="O1554" s="424">
        <v>0</v>
      </c>
      <c r="P1554" s="424">
        <v>318</v>
      </c>
      <c r="Q1554" s="425">
        <v>43</v>
      </c>
      <c r="R1554" s="319">
        <f t="shared" si="223"/>
        <v>696</v>
      </c>
      <c r="S1554" s="364">
        <f t="shared" si="224"/>
        <v>44</v>
      </c>
      <c r="T1554" s="426"/>
      <c r="U1554" s="426"/>
      <c r="V1554" s="426"/>
      <c r="W1554" s="426"/>
      <c r="X1554" s="426"/>
    </row>
    <row r="1555" spans="1:24" ht="12.75">
      <c r="A1555" s="422" t="s">
        <v>557</v>
      </c>
      <c r="B1555" s="423" t="s">
        <v>174</v>
      </c>
      <c r="C1555" s="423" t="s">
        <v>799</v>
      </c>
      <c r="D1555" s="423">
        <v>2015</v>
      </c>
      <c r="E1555" s="423" t="s">
        <v>775</v>
      </c>
      <c r="F1555" s="424">
        <v>2035</v>
      </c>
      <c r="G1555" s="424">
        <v>0</v>
      </c>
      <c r="H1555" s="425">
        <v>0</v>
      </c>
      <c r="I1555" s="424">
        <v>0</v>
      </c>
      <c r="J1555" s="424">
        <v>1427</v>
      </c>
      <c r="K1555" s="424">
        <v>0</v>
      </c>
      <c r="L1555" s="424">
        <v>0</v>
      </c>
      <c r="M1555" s="424">
        <v>0</v>
      </c>
      <c r="N1555" s="424">
        <v>1377</v>
      </c>
      <c r="O1555" s="424">
        <v>23</v>
      </c>
      <c r="P1555" s="424">
        <v>2563</v>
      </c>
      <c r="Q1555" s="425">
        <v>616</v>
      </c>
      <c r="R1555" s="319">
        <f t="shared" si="223"/>
        <v>7402</v>
      </c>
      <c r="S1555" s="364">
        <f t="shared" si="224"/>
        <v>639</v>
      </c>
      <c r="T1555" s="426"/>
      <c r="U1555" s="426"/>
      <c r="V1555" s="426"/>
      <c r="W1555" s="426"/>
      <c r="X1555" s="426"/>
    </row>
    <row r="1556" spans="1:24" ht="12.75">
      <c r="A1556" s="422" t="s">
        <v>558</v>
      </c>
      <c r="B1556" s="423" t="s">
        <v>174</v>
      </c>
      <c r="C1556" s="423" t="s">
        <v>799</v>
      </c>
      <c r="D1556" s="423">
        <v>2015</v>
      </c>
      <c r="E1556" s="423" t="s">
        <v>775</v>
      </c>
      <c r="F1556" s="424">
        <v>1218</v>
      </c>
      <c r="G1556" s="424">
        <v>0</v>
      </c>
      <c r="H1556" s="425">
        <v>0</v>
      </c>
      <c r="I1556" s="424">
        <v>0</v>
      </c>
      <c r="J1556" s="424">
        <v>854</v>
      </c>
      <c r="K1556" s="424">
        <v>0</v>
      </c>
      <c r="L1556" s="424">
        <v>0</v>
      </c>
      <c r="M1556" s="424">
        <v>0</v>
      </c>
      <c r="N1556" s="424">
        <v>862</v>
      </c>
      <c r="O1556" s="424">
        <v>54</v>
      </c>
      <c r="P1556" s="424">
        <v>1699</v>
      </c>
      <c r="Q1556" s="425">
        <v>180</v>
      </c>
      <c r="R1556" s="319">
        <f t="shared" si="223"/>
        <v>4633</v>
      </c>
      <c r="S1556" s="364">
        <f t="shared" si="224"/>
        <v>234</v>
      </c>
      <c r="T1556" s="426"/>
      <c r="U1556" s="426"/>
      <c r="V1556" s="426"/>
      <c r="W1556" s="426"/>
      <c r="X1556" s="426"/>
    </row>
    <row r="1557" spans="1:24" ht="12.75">
      <c r="A1557" s="422" t="s">
        <v>559</v>
      </c>
      <c r="B1557" s="423" t="s">
        <v>174</v>
      </c>
      <c r="C1557" s="423" t="s">
        <v>799</v>
      </c>
      <c r="D1557" s="423">
        <v>2015</v>
      </c>
      <c r="E1557" s="423" t="s">
        <v>775</v>
      </c>
      <c r="F1557" s="424">
        <v>131</v>
      </c>
      <c r="G1557" s="424">
        <v>0</v>
      </c>
      <c r="H1557" s="425">
        <v>0</v>
      </c>
      <c r="I1557" s="424">
        <v>0</v>
      </c>
      <c r="J1557" s="424">
        <v>91</v>
      </c>
      <c r="K1557" s="424">
        <v>0</v>
      </c>
      <c r="L1557" s="424">
        <v>0</v>
      </c>
      <c r="M1557" s="424">
        <v>0</v>
      </c>
      <c r="N1557" s="424">
        <v>126</v>
      </c>
      <c r="O1557" s="424">
        <v>0</v>
      </c>
      <c r="P1557" s="424">
        <v>331</v>
      </c>
      <c r="Q1557" s="425">
        <v>45</v>
      </c>
      <c r="R1557" s="319">
        <f t="shared" si="223"/>
        <v>679</v>
      </c>
      <c r="S1557" s="364">
        <f t="shared" si="224"/>
        <v>45</v>
      </c>
      <c r="T1557" s="426"/>
      <c r="U1557" s="426"/>
      <c r="V1557" s="426"/>
      <c r="W1557" s="426"/>
      <c r="X1557" s="426"/>
    </row>
    <row r="1558" spans="1:24" ht="12.75">
      <c r="A1558" s="422" t="s">
        <v>561</v>
      </c>
      <c r="B1558" s="423" t="s">
        <v>174</v>
      </c>
      <c r="C1558" s="423" t="s">
        <v>799</v>
      </c>
      <c r="D1558" s="423">
        <v>2015</v>
      </c>
      <c r="E1558" s="423" t="s">
        <v>775</v>
      </c>
      <c r="F1558" s="424">
        <v>1539</v>
      </c>
      <c r="G1558" s="424">
        <v>50</v>
      </c>
      <c r="H1558" s="425">
        <v>50</v>
      </c>
      <c r="I1558" s="424">
        <v>0</v>
      </c>
      <c r="J1558" s="424">
        <v>1079</v>
      </c>
      <c r="K1558" s="424">
        <v>0</v>
      </c>
      <c r="L1558" s="424">
        <v>0</v>
      </c>
      <c r="M1558" s="424">
        <v>0</v>
      </c>
      <c r="N1558" s="424">
        <v>1303</v>
      </c>
      <c r="O1558" s="424">
        <v>0</v>
      </c>
      <c r="P1558" s="424">
        <v>3087</v>
      </c>
      <c r="Q1558" s="425">
        <v>402</v>
      </c>
      <c r="R1558" s="319">
        <f t="shared" si="223"/>
        <v>7008</v>
      </c>
      <c r="S1558" s="364">
        <f t="shared" si="224"/>
        <v>452</v>
      </c>
      <c r="T1558" s="426"/>
      <c r="U1558" s="426"/>
      <c r="V1558" s="426"/>
      <c r="W1558" s="426"/>
      <c r="X1558" s="426"/>
    </row>
    <row r="1559" spans="1:24" ht="12.75">
      <c r="A1559" s="422" t="s">
        <v>174</v>
      </c>
      <c r="B1559" s="423" t="s">
        <v>174</v>
      </c>
      <c r="C1559" s="423" t="s">
        <v>799</v>
      </c>
      <c r="D1559" s="423">
        <v>2015</v>
      </c>
      <c r="E1559" s="423" t="s">
        <v>775</v>
      </c>
      <c r="F1559" s="424">
        <v>4944</v>
      </c>
      <c r="G1559" s="424">
        <v>0</v>
      </c>
      <c r="H1559" s="425">
        <v>0</v>
      </c>
      <c r="I1559" s="424">
        <v>0</v>
      </c>
      <c r="J1559" s="424">
        <v>3467</v>
      </c>
      <c r="K1559" s="424">
        <v>68</v>
      </c>
      <c r="L1559" s="424">
        <v>0</v>
      </c>
      <c r="M1559" s="424">
        <v>68</v>
      </c>
      <c r="N1559" s="424">
        <v>4482</v>
      </c>
      <c r="O1559" s="424">
        <v>851</v>
      </c>
      <c r="P1559" s="424">
        <v>11208</v>
      </c>
      <c r="Q1559" s="425">
        <v>104</v>
      </c>
      <c r="R1559" s="319">
        <f t="shared" si="223"/>
        <v>24101</v>
      </c>
      <c r="S1559" s="364">
        <f t="shared" si="224"/>
        <v>1023</v>
      </c>
      <c r="T1559" s="426"/>
      <c r="U1559" s="426"/>
      <c r="V1559" s="426"/>
      <c r="W1559" s="426"/>
      <c r="X1559" s="426"/>
    </row>
    <row r="1560" spans="1:24" ht="12.75">
      <c r="A1560" s="422" t="s">
        <v>562</v>
      </c>
      <c r="B1560" s="423" t="s">
        <v>174</v>
      </c>
      <c r="C1560" s="423" t="s">
        <v>799</v>
      </c>
      <c r="D1560" s="423">
        <v>2015</v>
      </c>
      <c r="E1560" s="423" t="s">
        <v>775</v>
      </c>
      <c r="F1560" s="424">
        <v>3149</v>
      </c>
      <c r="G1560" s="424">
        <v>30</v>
      </c>
      <c r="H1560" s="425">
        <v>30</v>
      </c>
      <c r="I1560" s="424">
        <v>0</v>
      </c>
      <c r="J1560" s="424">
        <v>2208</v>
      </c>
      <c r="K1560" s="424">
        <v>117</v>
      </c>
      <c r="L1560" s="424">
        <v>117</v>
      </c>
      <c r="M1560" s="424">
        <v>0</v>
      </c>
      <c r="N1560" s="424">
        <v>2574</v>
      </c>
      <c r="O1560" s="424">
        <v>135</v>
      </c>
      <c r="P1560" s="424">
        <v>5913</v>
      </c>
      <c r="Q1560" s="425">
        <v>264</v>
      </c>
      <c r="R1560" s="319">
        <f t="shared" si="223"/>
        <v>13844</v>
      </c>
      <c r="S1560" s="364">
        <f t="shared" si="224"/>
        <v>546</v>
      </c>
      <c r="T1560" s="427">
        <f>SUM(G1554:G1560)</f>
        <v>80</v>
      </c>
      <c r="U1560" s="427">
        <f>SUM(K1554:K1560)</f>
        <v>186</v>
      </c>
      <c r="V1560" s="427">
        <f>SUM(O1554:O1560)</f>
        <v>1063</v>
      </c>
      <c r="W1560" s="427">
        <f>SUM(Q1554:Q1560)</f>
        <v>1654</v>
      </c>
      <c r="X1560" s="427">
        <f>T1560+U1560+V1560+W1560</f>
        <v>2983</v>
      </c>
    </row>
    <row r="1561" spans="1:24" ht="12.75">
      <c r="A1561" s="428" t="s">
        <v>556</v>
      </c>
      <c r="B1561" s="429" t="s">
        <v>174</v>
      </c>
      <c r="C1561" s="429" t="s">
        <v>799</v>
      </c>
      <c r="D1561" s="429">
        <v>2016</v>
      </c>
      <c r="E1561" s="429" t="s">
        <v>775</v>
      </c>
      <c r="F1561" s="430">
        <v>146</v>
      </c>
      <c r="G1561" s="430">
        <v>0</v>
      </c>
      <c r="H1561" s="431">
        <v>0</v>
      </c>
      <c r="I1561" s="430">
        <v>0</v>
      </c>
      <c r="J1561" s="430">
        <v>102</v>
      </c>
      <c r="K1561" s="430">
        <v>0</v>
      </c>
      <c r="L1561" s="430">
        <v>0</v>
      </c>
      <c r="M1561" s="430">
        <v>0</v>
      </c>
      <c r="N1561" s="430">
        <v>130</v>
      </c>
      <c r="O1561" s="430">
        <v>24</v>
      </c>
      <c r="P1561" s="430">
        <v>318</v>
      </c>
      <c r="Q1561" s="431">
        <v>0</v>
      </c>
      <c r="R1561" s="328">
        <f t="shared" si="223"/>
        <v>696</v>
      </c>
      <c r="S1561" s="365">
        <f t="shared" si="224"/>
        <v>24</v>
      </c>
      <c r="T1561" s="432"/>
      <c r="U1561" s="432"/>
      <c r="V1561" s="432"/>
      <c r="W1561" s="432"/>
      <c r="X1561" s="432"/>
    </row>
    <row r="1562" spans="1:24" ht="12.75">
      <c r="A1562" s="428" t="s">
        <v>557</v>
      </c>
      <c r="B1562" s="429" t="s">
        <v>174</v>
      </c>
      <c r="C1562" s="429" t="s">
        <v>799</v>
      </c>
      <c r="D1562" s="429">
        <v>2016</v>
      </c>
      <c r="E1562" s="429" t="s">
        <v>775</v>
      </c>
      <c r="F1562" s="430">
        <v>2035</v>
      </c>
      <c r="G1562" s="430">
        <v>0</v>
      </c>
      <c r="H1562" s="431">
        <v>0</v>
      </c>
      <c r="I1562" s="430">
        <v>0</v>
      </c>
      <c r="J1562" s="430">
        <v>1427</v>
      </c>
      <c r="K1562" s="430">
        <v>0</v>
      </c>
      <c r="L1562" s="430">
        <v>0</v>
      </c>
      <c r="M1562" s="430">
        <v>0</v>
      </c>
      <c r="N1562" s="430">
        <v>1377</v>
      </c>
      <c r="O1562" s="430">
        <v>1</v>
      </c>
      <c r="P1562" s="430">
        <v>2563</v>
      </c>
      <c r="Q1562" s="431">
        <v>453</v>
      </c>
      <c r="R1562" s="328">
        <f t="shared" si="223"/>
        <v>7402</v>
      </c>
      <c r="S1562" s="365">
        <f t="shared" si="224"/>
        <v>454</v>
      </c>
      <c r="T1562" s="432"/>
      <c r="U1562" s="432"/>
      <c r="V1562" s="432"/>
      <c r="W1562" s="432"/>
      <c r="X1562" s="432"/>
    </row>
    <row r="1563" spans="1:24" ht="12.75">
      <c r="A1563" s="428" t="s">
        <v>558</v>
      </c>
      <c r="B1563" s="480" t="s">
        <v>174</v>
      </c>
      <c r="C1563" s="429" t="s">
        <v>799</v>
      </c>
      <c r="D1563" s="429">
        <v>2016</v>
      </c>
      <c r="E1563" s="429" t="s">
        <v>775</v>
      </c>
      <c r="F1563" s="430">
        <v>1218</v>
      </c>
      <c r="G1563" s="430">
        <v>0</v>
      </c>
      <c r="H1563" s="431">
        <v>0</v>
      </c>
      <c r="I1563" s="430">
        <v>0</v>
      </c>
      <c r="J1563" s="430">
        <v>854</v>
      </c>
      <c r="K1563" s="430">
        <v>0</v>
      </c>
      <c r="L1563" s="430">
        <v>0</v>
      </c>
      <c r="M1563" s="430">
        <v>0</v>
      </c>
      <c r="N1563" s="430">
        <v>862</v>
      </c>
      <c r="O1563" s="430">
        <v>74</v>
      </c>
      <c r="P1563" s="430">
        <v>1699</v>
      </c>
      <c r="Q1563" s="431">
        <v>99</v>
      </c>
      <c r="R1563" s="328">
        <f t="shared" si="223"/>
        <v>4633</v>
      </c>
      <c r="S1563" s="365">
        <f t="shared" si="224"/>
        <v>173</v>
      </c>
      <c r="T1563" s="432"/>
      <c r="U1563" s="432"/>
      <c r="V1563" s="432"/>
      <c r="W1563" s="432"/>
      <c r="X1563" s="432"/>
    </row>
    <row r="1564" spans="1:24" ht="12.75">
      <c r="A1564" s="428" t="s">
        <v>559</v>
      </c>
      <c r="B1564" s="429" t="s">
        <v>174</v>
      </c>
      <c r="C1564" s="429" t="s">
        <v>799</v>
      </c>
      <c r="D1564" s="429">
        <v>2016</v>
      </c>
      <c r="E1564" s="429" t="s">
        <v>775</v>
      </c>
      <c r="F1564" s="430">
        <v>131</v>
      </c>
      <c r="G1564" s="430">
        <v>0</v>
      </c>
      <c r="H1564" s="431">
        <v>0</v>
      </c>
      <c r="I1564" s="430">
        <v>0</v>
      </c>
      <c r="J1564" s="430">
        <v>91</v>
      </c>
      <c r="K1564" s="430">
        <v>0</v>
      </c>
      <c r="L1564" s="430">
        <v>0</v>
      </c>
      <c r="M1564" s="430">
        <v>0</v>
      </c>
      <c r="N1564" s="430">
        <v>126</v>
      </c>
      <c r="O1564" s="430">
        <v>0</v>
      </c>
      <c r="P1564" s="430">
        <v>331</v>
      </c>
      <c r="Q1564" s="431">
        <v>134</v>
      </c>
      <c r="R1564" s="328">
        <f t="shared" si="223"/>
        <v>679</v>
      </c>
      <c r="S1564" s="365">
        <f t="shared" si="224"/>
        <v>134</v>
      </c>
      <c r="T1564" s="432"/>
      <c r="U1564" s="432"/>
      <c r="V1564" s="432"/>
      <c r="W1564" s="432"/>
      <c r="X1564" s="432"/>
    </row>
    <row r="1565" spans="1:24" ht="12.75">
      <c r="A1565" s="428" t="s">
        <v>561</v>
      </c>
      <c r="B1565" s="429" t="s">
        <v>174</v>
      </c>
      <c r="C1565" s="429" t="s">
        <v>799</v>
      </c>
      <c r="D1565" s="429">
        <v>2016</v>
      </c>
      <c r="E1565" s="429" t="s">
        <v>775</v>
      </c>
      <c r="F1565" s="430">
        <v>1539</v>
      </c>
      <c r="G1565" s="430">
        <v>0</v>
      </c>
      <c r="H1565" s="431">
        <v>0</v>
      </c>
      <c r="I1565" s="430">
        <v>0</v>
      </c>
      <c r="J1565" s="430">
        <v>1079</v>
      </c>
      <c r="K1565" s="430">
        <v>0</v>
      </c>
      <c r="L1565" s="430">
        <v>0</v>
      </c>
      <c r="M1565" s="430">
        <v>0</v>
      </c>
      <c r="N1565" s="430">
        <v>1303</v>
      </c>
      <c r="O1565" s="430">
        <v>0</v>
      </c>
      <c r="P1565" s="430">
        <v>3087</v>
      </c>
      <c r="Q1565" s="431">
        <v>330</v>
      </c>
      <c r="R1565" s="328">
        <f t="shared" si="223"/>
        <v>7008</v>
      </c>
      <c r="S1565" s="365">
        <f t="shared" si="224"/>
        <v>330</v>
      </c>
      <c r="T1565" s="432"/>
      <c r="U1565" s="432"/>
      <c r="V1565" s="432"/>
      <c r="W1565" s="432"/>
      <c r="X1565" s="432"/>
    </row>
    <row r="1566" spans="1:24" ht="12.75">
      <c r="A1566" s="428" t="s">
        <v>174</v>
      </c>
      <c r="B1566" s="429" t="s">
        <v>174</v>
      </c>
      <c r="C1566" s="429" t="s">
        <v>799</v>
      </c>
      <c r="D1566" s="429">
        <v>2016</v>
      </c>
      <c r="E1566" s="429" t="s">
        <v>775</v>
      </c>
      <c r="F1566" s="430">
        <v>4944</v>
      </c>
      <c r="G1566" s="430">
        <v>0</v>
      </c>
      <c r="H1566" s="431">
        <v>0</v>
      </c>
      <c r="I1566" s="430">
        <v>0</v>
      </c>
      <c r="J1566" s="430">
        <v>3467</v>
      </c>
      <c r="K1566" s="430">
        <v>27</v>
      </c>
      <c r="L1566" s="430">
        <v>27</v>
      </c>
      <c r="M1566" s="430">
        <v>0</v>
      </c>
      <c r="N1566" s="430">
        <v>4482</v>
      </c>
      <c r="O1566" s="430">
        <v>820</v>
      </c>
      <c r="P1566" s="430">
        <v>11208</v>
      </c>
      <c r="Q1566" s="431">
        <v>730</v>
      </c>
      <c r="R1566" s="328">
        <f t="shared" si="223"/>
        <v>24101</v>
      </c>
      <c r="S1566" s="365">
        <f t="shared" si="224"/>
        <v>1577</v>
      </c>
      <c r="T1566" s="432"/>
      <c r="U1566" s="432"/>
      <c r="V1566" s="432"/>
      <c r="W1566" s="432"/>
      <c r="X1566" s="432"/>
    </row>
    <row r="1567" spans="1:24" ht="12.75">
      <c r="A1567" s="428" t="s">
        <v>562</v>
      </c>
      <c r="B1567" s="429" t="s">
        <v>174</v>
      </c>
      <c r="C1567" s="429" t="s">
        <v>799</v>
      </c>
      <c r="D1567" s="429">
        <v>2016</v>
      </c>
      <c r="E1567" s="429" t="s">
        <v>775</v>
      </c>
      <c r="F1567" s="430">
        <v>3149</v>
      </c>
      <c r="G1567" s="430">
        <v>46</v>
      </c>
      <c r="H1567" s="431">
        <v>46</v>
      </c>
      <c r="I1567" s="430">
        <v>0</v>
      </c>
      <c r="J1567" s="430">
        <v>2208</v>
      </c>
      <c r="K1567" s="430">
        <v>0</v>
      </c>
      <c r="L1567" s="430">
        <v>0</v>
      </c>
      <c r="M1567" s="430">
        <v>0</v>
      </c>
      <c r="N1567" s="430">
        <v>2574</v>
      </c>
      <c r="O1567" s="430">
        <v>274</v>
      </c>
      <c r="P1567" s="430">
        <v>5913</v>
      </c>
      <c r="Q1567" s="431">
        <v>353</v>
      </c>
      <c r="R1567" s="328">
        <f t="shared" si="223"/>
        <v>13844</v>
      </c>
      <c r="S1567" s="365">
        <f t="shared" si="224"/>
        <v>673</v>
      </c>
      <c r="T1567" s="413">
        <f>SUM(G1561:G1567)</f>
        <v>46</v>
      </c>
      <c r="U1567" s="413">
        <f>SUM(K1561:K1567)</f>
        <v>27</v>
      </c>
      <c r="V1567" s="413">
        <f>SUM(O1561:O1567)</f>
        <v>1193</v>
      </c>
      <c r="W1567" s="413">
        <f>SUM(Q1561:Q1567)</f>
        <v>2099</v>
      </c>
      <c r="X1567" s="413">
        <f>T1567+U1567+V1567+W1567</f>
        <v>3365</v>
      </c>
    </row>
    <row r="1568" spans="1:24" ht="12.75">
      <c r="A1568" s="433" t="s">
        <v>556</v>
      </c>
      <c r="B1568" s="434" t="s">
        <v>174</v>
      </c>
      <c r="C1568" s="434" t="s">
        <v>799</v>
      </c>
      <c r="D1568" s="434">
        <v>2017</v>
      </c>
      <c r="E1568" s="434" t="s">
        <v>775</v>
      </c>
      <c r="F1568" s="435">
        <v>146</v>
      </c>
      <c r="G1568" s="435">
        <v>1</v>
      </c>
      <c r="H1568" s="436">
        <v>0</v>
      </c>
      <c r="I1568" s="435">
        <v>1</v>
      </c>
      <c r="J1568" s="435">
        <v>102</v>
      </c>
      <c r="K1568" s="435">
        <v>0</v>
      </c>
      <c r="L1568" s="435">
        <v>0</v>
      </c>
      <c r="M1568" s="435">
        <v>0</v>
      </c>
      <c r="N1568" s="435">
        <v>130</v>
      </c>
      <c r="O1568" s="435">
        <v>0</v>
      </c>
      <c r="P1568" s="435">
        <v>318</v>
      </c>
      <c r="Q1568" s="436">
        <v>12</v>
      </c>
      <c r="R1568" s="336">
        <f t="shared" si="223"/>
        <v>696</v>
      </c>
      <c r="S1568" s="366">
        <f t="shared" si="224"/>
        <v>13</v>
      </c>
      <c r="T1568" s="437"/>
      <c r="U1568" s="437"/>
      <c r="V1568" s="437"/>
      <c r="W1568" s="437"/>
      <c r="X1568" s="437"/>
    </row>
    <row r="1569" spans="1:24" ht="12.75">
      <c r="A1569" s="433" t="s">
        <v>557</v>
      </c>
      <c r="B1569" s="434" t="s">
        <v>174</v>
      </c>
      <c r="C1569" s="434" t="s">
        <v>799</v>
      </c>
      <c r="D1569" s="434">
        <v>2017</v>
      </c>
      <c r="E1569" s="434" t="s">
        <v>775</v>
      </c>
      <c r="F1569" s="435">
        <v>2035</v>
      </c>
      <c r="G1569" s="435">
        <v>35</v>
      </c>
      <c r="H1569" s="436">
        <v>35</v>
      </c>
      <c r="I1569" s="435">
        <v>0</v>
      </c>
      <c r="J1569" s="435">
        <v>1427</v>
      </c>
      <c r="K1569" s="435">
        <v>62</v>
      </c>
      <c r="L1569" s="435">
        <v>62</v>
      </c>
      <c r="M1569" s="435">
        <v>0</v>
      </c>
      <c r="N1569" s="435">
        <v>1377</v>
      </c>
      <c r="O1569" s="435">
        <v>0</v>
      </c>
      <c r="P1569" s="435">
        <v>2563</v>
      </c>
      <c r="Q1569" s="436">
        <v>433</v>
      </c>
      <c r="R1569" s="336">
        <f t="shared" si="223"/>
        <v>7402</v>
      </c>
      <c r="S1569" s="366">
        <f t="shared" si="224"/>
        <v>530</v>
      </c>
      <c r="T1569" s="437"/>
      <c r="U1569" s="437"/>
      <c r="V1569" s="437"/>
      <c r="W1569" s="437"/>
      <c r="X1569" s="437"/>
    </row>
    <row r="1570" spans="1:24" ht="12.75">
      <c r="A1570" s="433" t="s">
        <v>558</v>
      </c>
      <c r="B1570" s="434" t="s">
        <v>174</v>
      </c>
      <c r="C1570" s="434" t="s">
        <v>799</v>
      </c>
      <c r="D1570" s="434">
        <v>2017</v>
      </c>
      <c r="E1570" s="434" t="s">
        <v>775</v>
      </c>
      <c r="F1570" s="435">
        <v>1218</v>
      </c>
      <c r="G1570" s="435">
        <v>6</v>
      </c>
      <c r="H1570" s="436">
        <v>6</v>
      </c>
      <c r="I1570" s="435">
        <v>0</v>
      </c>
      <c r="J1570" s="435">
        <v>854</v>
      </c>
      <c r="K1570" s="435">
        <v>0</v>
      </c>
      <c r="L1570" s="435">
        <v>0</v>
      </c>
      <c r="M1570" s="435">
        <v>0</v>
      </c>
      <c r="N1570" s="435">
        <v>862</v>
      </c>
      <c r="O1570" s="435">
        <v>358</v>
      </c>
      <c r="P1570" s="435">
        <v>1699</v>
      </c>
      <c r="Q1570" s="436">
        <v>138</v>
      </c>
      <c r="R1570" s="336">
        <f t="shared" si="223"/>
        <v>4633</v>
      </c>
      <c r="S1570" s="366">
        <f t="shared" si="224"/>
        <v>502</v>
      </c>
      <c r="T1570" s="437"/>
      <c r="U1570" s="437"/>
      <c r="V1570" s="437"/>
      <c r="W1570" s="437"/>
      <c r="X1570" s="437"/>
    </row>
    <row r="1571" spans="1:24" ht="12.75">
      <c r="A1571" s="433" t="s">
        <v>559</v>
      </c>
      <c r="B1571" s="434" t="s">
        <v>174</v>
      </c>
      <c r="C1571" s="434" t="s">
        <v>799</v>
      </c>
      <c r="D1571" s="434">
        <v>2017</v>
      </c>
      <c r="E1571" s="434" t="s">
        <v>775</v>
      </c>
      <c r="F1571" s="435">
        <v>131</v>
      </c>
      <c r="G1571" s="435">
        <v>0</v>
      </c>
      <c r="H1571" s="436">
        <v>0</v>
      </c>
      <c r="I1571" s="435">
        <v>0</v>
      </c>
      <c r="J1571" s="435">
        <v>91</v>
      </c>
      <c r="K1571" s="435">
        <v>0</v>
      </c>
      <c r="L1571" s="435">
        <v>0</v>
      </c>
      <c r="M1571" s="435">
        <v>0</v>
      </c>
      <c r="N1571" s="435">
        <v>126</v>
      </c>
      <c r="O1571" s="435">
        <v>0</v>
      </c>
      <c r="P1571" s="435">
        <v>331</v>
      </c>
      <c r="Q1571" s="436">
        <v>71</v>
      </c>
      <c r="R1571" s="336">
        <f t="shared" si="223"/>
        <v>679</v>
      </c>
      <c r="S1571" s="366">
        <f t="shared" si="224"/>
        <v>71</v>
      </c>
      <c r="T1571" s="437"/>
      <c r="U1571" s="437"/>
      <c r="V1571" s="437"/>
      <c r="W1571" s="437"/>
      <c r="X1571" s="437"/>
    </row>
    <row r="1572" spans="1:24" ht="12.75">
      <c r="A1572" s="433" t="s">
        <v>561</v>
      </c>
      <c r="B1572" s="434" t="s">
        <v>174</v>
      </c>
      <c r="C1572" s="434" t="s">
        <v>799</v>
      </c>
      <c r="D1572" s="434">
        <v>2017</v>
      </c>
      <c r="E1572" s="434" t="s">
        <v>775</v>
      </c>
      <c r="F1572" s="435">
        <v>1539</v>
      </c>
      <c r="G1572" s="435">
        <v>50</v>
      </c>
      <c r="H1572" s="436">
        <v>50</v>
      </c>
      <c r="I1572" s="435">
        <v>0</v>
      </c>
      <c r="J1572" s="435">
        <v>1079</v>
      </c>
      <c r="K1572" s="435">
        <v>0</v>
      </c>
      <c r="L1572" s="435">
        <v>0</v>
      </c>
      <c r="M1572" s="435">
        <v>0</v>
      </c>
      <c r="N1572" s="435">
        <v>1303</v>
      </c>
      <c r="O1572" s="435">
        <v>110</v>
      </c>
      <c r="P1572" s="435">
        <v>3087</v>
      </c>
      <c r="Q1572" s="436">
        <v>306</v>
      </c>
      <c r="R1572" s="336">
        <f t="shared" si="223"/>
        <v>7008</v>
      </c>
      <c r="S1572" s="366">
        <f t="shared" si="224"/>
        <v>466</v>
      </c>
      <c r="T1572" s="437"/>
      <c r="U1572" s="437"/>
      <c r="V1572" s="437"/>
      <c r="W1572" s="437"/>
      <c r="X1572" s="437"/>
    </row>
    <row r="1573" spans="1:24" ht="12.75">
      <c r="A1573" s="433" t="s">
        <v>174</v>
      </c>
      <c r="B1573" s="434" t="s">
        <v>174</v>
      </c>
      <c r="C1573" s="434" t="s">
        <v>799</v>
      </c>
      <c r="D1573" s="434">
        <v>2017</v>
      </c>
      <c r="E1573" s="434" t="s">
        <v>775</v>
      </c>
      <c r="F1573" s="435">
        <v>4944</v>
      </c>
      <c r="G1573" s="435">
        <v>0</v>
      </c>
      <c r="H1573" s="436">
        <v>0</v>
      </c>
      <c r="I1573" s="435">
        <v>0</v>
      </c>
      <c r="J1573" s="435">
        <v>3467</v>
      </c>
      <c r="K1573" s="435">
        <v>3</v>
      </c>
      <c r="L1573" s="435">
        <v>0</v>
      </c>
      <c r="M1573" s="435">
        <v>3</v>
      </c>
      <c r="N1573" s="435">
        <v>4482</v>
      </c>
      <c r="O1573" s="435">
        <v>1757</v>
      </c>
      <c r="P1573" s="435">
        <v>11208</v>
      </c>
      <c r="Q1573" s="436">
        <v>1121</v>
      </c>
      <c r="R1573" s="336">
        <f t="shared" si="223"/>
        <v>24101</v>
      </c>
      <c r="S1573" s="366">
        <f t="shared" si="224"/>
        <v>2881</v>
      </c>
      <c r="T1573" s="437"/>
      <c r="U1573" s="437"/>
      <c r="V1573" s="437"/>
      <c r="W1573" s="437"/>
      <c r="X1573" s="437"/>
    </row>
    <row r="1574" spans="1:24" ht="12.75">
      <c r="A1574" s="433" t="s">
        <v>562</v>
      </c>
      <c r="B1574" s="434" t="s">
        <v>174</v>
      </c>
      <c r="C1574" s="434" t="s">
        <v>799</v>
      </c>
      <c r="D1574" s="434">
        <v>2017</v>
      </c>
      <c r="E1574" s="434" t="s">
        <v>775</v>
      </c>
      <c r="F1574" s="435">
        <v>3149</v>
      </c>
      <c r="G1574" s="435">
        <v>0</v>
      </c>
      <c r="H1574" s="436">
        <v>0</v>
      </c>
      <c r="I1574" s="435">
        <v>0</v>
      </c>
      <c r="J1574" s="435">
        <v>2208</v>
      </c>
      <c r="K1574" s="435">
        <v>0</v>
      </c>
      <c r="L1574" s="435">
        <v>0</v>
      </c>
      <c r="M1574" s="435">
        <v>0</v>
      </c>
      <c r="N1574" s="435">
        <v>2574</v>
      </c>
      <c r="O1574" s="435">
        <v>247</v>
      </c>
      <c r="P1574" s="435">
        <v>5913</v>
      </c>
      <c r="Q1574" s="436">
        <v>414</v>
      </c>
      <c r="R1574" s="336">
        <f t="shared" si="223"/>
        <v>13844</v>
      </c>
      <c r="S1574" s="366">
        <f t="shared" si="224"/>
        <v>661</v>
      </c>
      <c r="T1574" s="414">
        <f>SUM(G1568:G1574)</f>
        <v>92</v>
      </c>
      <c r="U1574" s="414">
        <f>SUM(K1568:K1574)</f>
        <v>65</v>
      </c>
      <c r="V1574" s="414">
        <f>SUM(O1568:O1574)</f>
        <v>2472</v>
      </c>
      <c r="W1574" s="414">
        <f>SUM(Q1568:Q1574)</f>
        <v>2495</v>
      </c>
      <c r="X1574" s="414">
        <f>T1574+U1574+V1574+W1574</f>
        <v>5124</v>
      </c>
    </row>
    <row r="1575" spans="1:24" ht="12.75">
      <c r="A1575" s="438" t="s">
        <v>556</v>
      </c>
      <c r="B1575" s="439" t="s">
        <v>174</v>
      </c>
      <c r="C1575" s="439" t="s">
        <v>799</v>
      </c>
      <c r="D1575" s="439">
        <v>2018</v>
      </c>
      <c r="E1575" s="439" t="s">
        <v>775</v>
      </c>
      <c r="F1575" s="440">
        <v>146</v>
      </c>
      <c r="G1575" s="441">
        <v>2</v>
      </c>
      <c r="H1575" s="440">
        <v>0</v>
      </c>
      <c r="I1575" s="440">
        <v>2</v>
      </c>
      <c r="J1575" s="440">
        <v>102</v>
      </c>
      <c r="K1575" s="441">
        <v>0</v>
      </c>
      <c r="L1575" s="440">
        <v>0</v>
      </c>
      <c r="M1575" s="440">
        <v>0</v>
      </c>
      <c r="N1575" s="440">
        <v>130</v>
      </c>
      <c r="O1575" s="440">
        <v>0</v>
      </c>
      <c r="P1575" s="440">
        <v>318</v>
      </c>
      <c r="Q1575" s="440">
        <v>16</v>
      </c>
      <c r="R1575" s="344">
        <f t="shared" si="223"/>
        <v>696</v>
      </c>
      <c r="S1575" s="367">
        <f t="shared" si="224"/>
        <v>18</v>
      </c>
      <c r="T1575" s="442"/>
      <c r="U1575" s="442"/>
      <c r="V1575" s="442"/>
      <c r="W1575" s="442"/>
      <c r="X1575" s="442"/>
    </row>
    <row r="1576" spans="1:24" ht="12.75">
      <c r="A1576" s="438" t="s">
        <v>557</v>
      </c>
      <c r="B1576" s="439" t="s">
        <v>174</v>
      </c>
      <c r="C1576" s="439" t="s">
        <v>799</v>
      </c>
      <c r="D1576" s="439">
        <v>2018</v>
      </c>
      <c r="E1576" s="439" t="s">
        <v>775</v>
      </c>
      <c r="F1576" s="440">
        <v>2035</v>
      </c>
      <c r="G1576" s="441">
        <v>0</v>
      </c>
      <c r="H1576" s="440">
        <v>0</v>
      </c>
      <c r="I1576" s="440">
        <v>0</v>
      </c>
      <c r="J1576" s="440">
        <v>1427</v>
      </c>
      <c r="K1576" s="441">
        <v>0</v>
      </c>
      <c r="L1576" s="440">
        <v>0</v>
      </c>
      <c r="M1576" s="440">
        <v>0</v>
      </c>
      <c r="N1576" s="440">
        <v>1377</v>
      </c>
      <c r="O1576" s="440">
        <v>0</v>
      </c>
      <c r="P1576" s="440">
        <v>2563</v>
      </c>
      <c r="Q1576" s="440">
        <v>793</v>
      </c>
      <c r="R1576" s="344">
        <f t="shared" si="223"/>
        <v>7402</v>
      </c>
      <c r="S1576" s="367">
        <f t="shared" si="224"/>
        <v>793</v>
      </c>
      <c r="T1576" s="442"/>
      <c r="U1576" s="442"/>
      <c r="V1576" s="442"/>
      <c r="W1576" s="442"/>
      <c r="X1576" s="442"/>
    </row>
    <row r="1577" spans="1:24" ht="12.75">
      <c r="A1577" s="438" t="s">
        <v>558</v>
      </c>
      <c r="B1577" s="439" t="s">
        <v>174</v>
      </c>
      <c r="C1577" s="439" t="s">
        <v>799</v>
      </c>
      <c r="D1577" s="439">
        <v>2018</v>
      </c>
      <c r="E1577" s="439" t="s">
        <v>775</v>
      </c>
      <c r="F1577" s="440">
        <v>1218</v>
      </c>
      <c r="G1577" s="441">
        <v>0</v>
      </c>
      <c r="H1577" s="440">
        <v>0</v>
      </c>
      <c r="I1577" s="440">
        <v>0</v>
      </c>
      <c r="J1577" s="440">
        <v>854</v>
      </c>
      <c r="K1577" s="441">
        <v>0</v>
      </c>
      <c r="L1577" s="440">
        <v>0</v>
      </c>
      <c r="M1577" s="440">
        <v>0</v>
      </c>
      <c r="N1577" s="440">
        <v>862</v>
      </c>
      <c r="O1577" s="440">
        <v>11</v>
      </c>
      <c r="P1577" s="440">
        <v>1699</v>
      </c>
      <c r="Q1577" s="440">
        <v>398</v>
      </c>
      <c r="R1577" s="344">
        <f t="shared" si="223"/>
        <v>4633</v>
      </c>
      <c r="S1577" s="367">
        <f t="shared" si="224"/>
        <v>409</v>
      </c>
      <c r="T1577" s="442"/>
      <c r="U1577" s="442"/>
      <c r="V1577" s="442"/>
      <c r="W1577" s="442"/>
      <c r="X1577" s="442"/>
    </row>
    <row r="1578" spans="1:24" ht="12.75">
      <c r="A1578" s="438" t="s">
        <v>559</v>
      </c>
      <c r="B1578" s="439" t="s">
        <v>174</v>
      </c>
      <c r="C1578" s="439" t="s">
        <v>799</v>
      </c>
      <c r="D1578" s="439">
        <v>2018</v>
      </c>
      <c r="E1578" s="439" t="s">
        <v>775</v>
      </c>
      <c r="F1578" s="440">
        <v>131</v>
      </c>
      <c r="G1578" s="441">
        <v>0</v>
      </c>
      <c r="H1578" s="440">
        <v>0</v>
      </c>
      <c r="I1578" s="440">
        <v>0</v>
      </c>
      <c r="J1578" s="440">
        <v>91</v>
      </c>
      <c r="K1578" s="441">
        <v>14</v>
      </c>
      <c r="L1578" s="440">
        <v>0</v>
      </c>
      <c r="M1578" s="440">
        <v>14</v>
      </c>
      <c r="N1578" s="440">
        <v>126</v>
      </c>
      <c r="O1578" s="440">
        <v>0</v>
      </c>
      <c r="P1578" s="440">
        <v>331</v>
      </c>
      <c r="Q1578" s="440">
        <v>24</v>
      </c>
      <c r="R1578" s="344">
        <f t="shared" si="223"/>
        <v>679</v>
      </c>
      <c r="S1578" s="367">
        <f t="shared" si="224"/>
        <v>38</v>
      </c>
      <c r="T1578" s="442"/>
      <c r="U1578" s="442"/>
      <c r="V1578" s="442"/>
      <c r="W1578" s="442"/>
      <c r="X1578" s="442"/>
    </row>
    <row r="1579" spans="1:24" ht="12.75">
      <c r="A1579" s="438" t="s">
        <v>560</v>
      </c>
      <c r="B1579" s="439" t="s">
        <v>174</v>
      </c>
      <c r="C1579" s="439" t="s">
        <v>799</v>
      </c>
      <c r="D1579" s="439">
        <v>2018</v>
      </c>
      <c r="E1579" s="439" t="s">
        <v>775</v>
      </c>
      <c r="F1579" s="440">
        <v>4</v>
      </c>
      <c r="G1579" s="454"/>
      <c r="H1579" s="455"/>
      <c r="I1579" s="455"/>
      <c r="J1579" s="440">
        <v>3</v>
      </c>
      <c r="K1579" s="454"/>
      <c r="L1579" s="455"/>
      <c r="M1579" s="455"/>
      <c r="N1579" s="440">
        <v>4</v>
      </c>
      <c r="O1579" s="455"/>
      <c r="P1579" s="440">
        <v>12</v>
      </c>
      <c r="Q1579" s="455"/>
      <c r="R1579" s="344">
        <f t="shared" si="223"/>
        <v>23</v>
      </c>
      <c r="S1579" s="367">
        <f t="shared" si="224"/>
        <v>0</v>
      </c>
      <c r="T1579" s="442"/>
      <c r="U1579" s="442"/>
      <c r="V1579" s="442"/>
      <c r="W1579" s="442"/>
      <c r="X1579" s="442"/>
    </row>
    <row r="1580" spans="1:24" ht="12.75">
      <c r="A1580" s="438" t="s">
        <v>561</v>
      </c>
      <c r="B1580" s="439" t="s">
        <v>174</v>
      </c>
      <c r="C1580" s="439" t="s">
        <v>799</v>
      </c>
      <c r="D1580" s="439">
        <v>2018</v>
      </c>
      <c r="E1580" s="439" t="s">
        <v>775</v>
      </c>
      <c r="F1580" s="440">
        <v>1539</v>
      </c>
      <c r="G1580" s="441">
        <v>0</v>
      </c>
      <c r="H1580" s="440">
        <v>0</v>
      </c>
      <c r="I1580" s="440">
        <v>0</v>
      </c>
      <c r="J1580" s="440">
        <v>1079</v>
      </c>
      <c r="K1580" s="441">
        <v>0</v>
      </c>
      <c r="L1580" s="440">
        <v>0</v>
      </c>
      <c r="M1580" s="440">
        <v>0</v>
      </c>
      <c r="N1580" s="440">
        <v>1303</v>
      </c>
      <c r="O1580" s="440">
        <v>104</v>
      </c>
      <c r="P1580" s="440">
        <v>3087</v>
      </c>
      <c r="Q1580" s="440">
        <v>142</v>
      </c>
      <c r="R1580" s="344">
        <f t="shared" si="223"/>
        <v>7008</v>
      </c>
      <c r="S1580" s="367">
        <f t="shared" si="224"/>
        <v>246</v>
      </c>
      <c r="T1580" s="442"/>
      <c r="U1580" s="442"/>
      <c r="V1580" s="442"/>
      <c r="W1580" s="442"/>
      <c r="X1580" s="442"/>
    </row>
    <row r="1581" spans="1:24" ht="12.75">
      <c r="A1581" s="438" t="s">
        <v>174</v>
      </c>
      <c r="B1581" s="439" t="s">
        <v>174</v>
      </c>
      <c r="C1581" s="439" t="s">
        <v>799</v>
      </c>
      <c r="D1581" s="439">
        <v>2018</v>
      </c>
      <c r="E1581" s="439" t="s">
        <v>775</v>
      </c>
      <c r="F1581" s="440">
        <v>4944</v>
      </c>
      <c r="G1581" s="441">
        <v>11</v>
      </c>
      <c r="H1581" s="440">
        <v>1</v>
      </c>
      <c r="I1581" s="440">
        <v>10</v>
      </c>
      <c r="J1581" s="440">
        <v>3467</v>
      </c>
      <c r="K1581" s="441">
        <v>69</v>
      </c>
      <c r="L1581" s="440">
        <v>59</v>
      </c>
      <c r="M1581" s="440">
        <v>10</v>
      </c>
      <c r="N1581" s="440">
        <v>4482</v>
      </c>
      <c r="O1581" s="440">
        <v>401</v>
      </c>
      <c r="P1581" s="440">
        <v>11208</v>
      </c>
      <c r="Q1581" s="440">
        <v>1894</v>
      </c>
      <c r="R1581" s="344">
        <f t="shared" si="223"/>
        <v>24101</v>
      </c>
      <c r="S1581" s="367">
        <f t="shared" si="224"/>
        <v>2375</v>
      </c>
      <c r="T1581" s="442"/>
      <c r="U1581" s="442"/>
      <c r="V1581" s="442"/>
      <c r="W1581" s="442"/>
      <c r="X1581" s="442"/>
    </row>
    <row r="1582" spans="1:24" ht="12.75">
      <c r="A1582" s="438" t="s">
        <v>562</v>
      </c>
      <c r="B1582" s="439" t="s">
        <v>174</v>
      </c>
      <c r="C1582" s="439" t="s">
        <v>799</v>
      </c>
      <c r="D1582" s="439">
        <v>2018</v>
      </c>
      <c r="E1582" s="439" t="s">
        <v>775</v>
      </c>
      <c r="F1582" s="440">
        <v>3149</v>
      </c>
      <c r="G1582" s="441">
        <v>0</v>
      </c>
      <c r="H1582" s="440">
        <v>0</v>
      </c>
      <c r="I1582" s="440">
        <v>0</v>
      </c>
      <c r="J1582" s="440">
        <v>2208</v>
      </c>
      <c r="K1582" s="441">
        <v>12</v>
      </c>
      <c r="L1582" s="440">
        <v>12</v>
      </c>
      <c r="M1582" s="440">
        <v>0</v>
      </c>
      <c r="N1582" s="440">
        <v>2574</v>
      </c>
      <c r="O1582" s="440">
        <v>269</v>
      </c>
      <c r="P1582" s="440">
        <v>5913</v>
      </c>
      <c r="Q1582" s="440">
        <v>375</v>
      </c>
      <c r="R1582" s="344">
        <f t="shared" si="223"/>
        <v>13844</v>
      </c>
      <c r="S1582" s="367">
        <f t="shared" si="224"/>
        <v>656</v>
      </c>
      <c r="T1582" s="443">
        <f>SUM(G1575:G1582)</f>
        <v>13</v>
      </c>
      <c r="U1582" s="443">
        <f>SUM(K1575:K1582)</f>
        <v>95</v>
      </c>
      <c r="V1582" s="443">
        <f>SUM(O1575:O1582)</f>
        <v>785</v>
      </c>
      <c r="W1582" s="443">
        <f>SUM(Q1575:Q1582)</f>
        <v>3642</v>
      </c>
      <c r="X1582" s="443">
        <f>T1582+U1582+V1582+W1582</f>
        <v>4535</v>
      </c>
    </row>
    <row r="1583" spans="1:24" ht="12.75">
      <c r="A1583" s="346" t="s">
        <v>556</v>
      </c>
      <c r="B1583" s="347" t="s">
        <v>174</v>
      </c>
      <c r="C1583" s="347" t="s">
        <v>801</v>
      </c>
      <c r="D1583" s="347">
        <v>2019</v>
      </c>
      <c r="E1583" s="347" t="s">
        <v>775</v>
      </c>
      <c r="F1583" s="348">
        <v>146</v>
      </c>
      <c r="G1583" s="348">
        <v>6</v>
      </c>
      <c r="H1583" s="348">
        <v>0</v>
      </c>
      <c r="I1583" s="348">
        <v>6</v>
      </c>
      <c r="J1583" s="348">
        <v>102</v>
      </c>
      <c r="K1583" s="348">
        <v>0</v>
      </c>
      <c r="L1583" s="348">
        <v>0</v>
      </c>
      <c r="M1583" s="348">
        <v>0</v>
      </c>
      <c r="N1583" s="348">
        <v>130</v>
      </c>
      <c r="O1583" s="348">
        <v>1</v>
      </c>
      <c r="P1583" s="348">
        <v>318</v>
      </c>
      <c r="Q1583" s="348">
        <v>12</v>
      </c>
      <c r="R1583" s="350">
        <f t="shared" si="223"/>
        <v>696</v>
      </c>
      <c r="S1583" s="348">
        <f t="shared" si="224"/>
        <v>19</v>
      </c>
      <c r="T1583" s="348"/>
      <c r="U1583" s="348"/>
      <c r="V1583" s="348"/>
      <c r="W1583" s="349"/>
      <c r="X1583" s="349"/>
    </row>
    <row r="1584" spans="1:24" ht="12.75">
      <c r="A1584" s="346" t="s">
        <v>557</v>
      </c>
      <c r="B1584" s="347" t="s">
        <v>174</v>
      </c>
      <c r="C1584" s="347" t="s">
        <v>801</v>
      </c>
      <c r="D1584" s="347">
        <v>2019</v>
      </c>
      <c r="E1584" s="347" t="s">
        <v>775</v>
      </c>
      <c r="F1584" s="348">
        <v>2035</v>
      </c>
      <c r="G1584" s="348">
        <v>63</v>
      </c>
      <c r="H1584" s="348">
        <v>63</v>
      </c>
      <c r="I1584" s="348">
        <v>0</v>
      </c>
      <c r="J1584" s="348">
        <v>1427</v>
      </c>
      <c r="K1584" s="348">
        <v>32</v>
      </c>
      <c r="L1584" s="348">
        <v>32</v>
      </c>
      <c r="M1584" s="348">
        <v>0</v>
      </c>
      <c r="N1584" s="348">
        <v>1377</v>
      </c>
      <c r="O1584" s="348">
        <v>0</v>
      </c>
      <c r="P1584" s="348">
        <v>2563</v>
      </c>
      <c r="Q1584" s="348">
        <v>1012</v>
      </c>
      <c r="R1584" s="350">
        <f t="shared" si="223"/>
        <v>7402</v>
      </c>
      <c r="S1584" s="348">
        <f t="shared" si="224"/>
        <v>1107</v>
      </c>
      <c r="T1584" s="348"/>
      <c r="U1584" s="348"/>
      <c r="V1584" s="348"/>
      <c r="W1584" s="349"/>
      <c r="X1584" s="349"/>
    </row>
    <row r="1585" spans="1:24" ht="12.75">
      <c r="A1585" s="346" t="s">
        <v>558</v>
      </c>
      <c r="B1585" s="347" t="s">
        <v>174</v>
      </c>
      <c r="C1585" s="347" t="s">
        <v>801</v>
      </c>
      <c r="D1585" s="347">
        <v>2019</v>
      </c>
      <c r="E1585" s="347" t="s">
        <v>775</v>
      </c>
      <c r="F1585" s="348">
        <v>1218</v>
      </c>
      <c r="G1585" s="348">
        <v>1</v>
      </c>
      <c r="H1585" s="348">
        <v>0</v>
      </c>
      <c r="I1585" s="348">
        <v>1</v>
      </c>
      <c r="J1585" s="348">
        <v>854</v>
      </c>
      <c r="K1585" s="348">
        <v>3</v>
      </c>
      <c r="L1585" s="348">
        <v>0</v>
      </c>
      <c r="M1585" s="348">
        <v>3</v>
      </c>
      <c r="N1585" s="348">
        <v>862</v>
      </c>
      <c r="O1585" s="348">
        <v>3</v>
      </c>
      <c r="P1585" s="348">
        <v>1699</v>
      </c>
      <c r="Q1585" s="348">
        <v>726</v>
      </c>
      <c r="R1585" s="350">
        <f t="shared" si="223"/>
        <v>4633</v>
      </c>
      <c r="S1585" s="348">
        <f t="shared" si="224"/>
        <v>733</v>
      </c>
      <c r="T1585" s="348"/>
      <c r="U1585" s="348"/>
      <c r="V1585" s="348"/>
      <c r="W1585" s="349"/>
      <c r="X1585" s="349"/>
    </row>
    <row r="1586" spans="1:24" ht="12.75">
      <c r="A1586" s="346" t="s">
        <v>559</v>
      </c>
      <c r="B1586" s="347" t="s">
        <v>174</v>
      </c>
      <c r="C1586" s="347" t="s">
        <v>801</v>
      </c>
      <c r="D1586" s="347">
        <v>2019</v>
      </c>
      <c r="E1586" s="347" t="s">
        <v>775</v>
      </c>
      <c r="F1586" s="348">
        <v>131</v>
      </c>
      <c r="G1586" s="348">
        <v>1</v>
      </c>
      <c r="H1586" s="348">
        <v>0</v>
      </c>
      <c r="I1586" s="348">
        <v>1</v>
      </c>
      <c r="J1586" s="348">
        <v>91</v>
      </c>
      <c r="K1586" s="348">
        <v>0</v>
      </c>
      <c r="L1586" s="348">
        <v>0</v>
      </c>
      <c r="M1586" s="348">
        <v>0</v>
      </c>
      <c r="N1586" s="348">
        <v>126</v>
      </c>
      <c r="O1586" s="348">
        <v>0</v>
      </c>
      <c r="P1586" s="348">
        <v>331</v>
      </c>
      <c r="Q1586" s="348">
        <v>57</v>
      </c>
      <c r="R1586" s="350">
        <f t="shared" si="223"/>
        <v>679</v>
      </c>
      <c r="S1586" s="348">
        <f t="shared" si="224"/>
        <v>58</v>
      </c>
      <c r="T1586" s="348"/>
      <c r="U1586" s="348"/>
      <c r="V1586" s="348"/>
      <c r="W1586" s="349"/>
      <c r="X1586" s="349"/>
    </row>
    <row r="1587" spans="1:24" ht="12.75">
      <c r="A1587" s="346" t="s">
        <v>560</v>
      </c>
      <c r="B1587" s="347" t="s">
        <v>174</v>
      </c>
      <c r="C1587" s="347" t="s">
        <v>801</v>
      </c>
      <c r="D1587" s="347">
        <v>2019</v>
      </c>
      <c r="E1587" s="347" t="s">
        <v>775</v>
      </c>
      <c r="F1587" s="348">
        <v>4</v>
      </c>
      <c r="G1587" s="348">
        <v>0</v>
      </c>
      <c r="H1587" s="348">
        <v>0</v>
      </c>
      <c r="I1587" s="348">
        <v>0</v>
      </c>
      <c r="J1587" s="348">
        <v>3</v>
      </c>
      <c r="K1587" s="348">
        <v>0</v>
      </c>
      <c r="L1587" s="348">
        <v>0</v>
      </c>
      <c r="M1587" s="348">
        <v>0</v>
      </c>
      <c r="N1587" s="348">
        <v>4</v>
      </c>
      <c r="O1587" s="348">
        <v>0</v>
      </c>
      <c r="P1587" s="348">
        <v>12</v>
      </c>
      <c r="Q1587" s="348">
        <v>0</v>
      </c>
      <c r="R1587" s="350">
        <f t="shared" si="223"/>
        <v>23</v>
      </c>
      <c r="S1587" s="348">
        <f t="shared" si="224"/>
        <v>0</v>
      </c>
      <c r="T1587" s="348"/>
      <c r="U1587" s="348"/>
      <c r="V1587" s="348"/>
      <c r="W1587" s="349"/>
      <c r="X1587" s="349"/>
    </row>
    <row r="1588" spans="1:24" ht="12.75">
      <c r="A1588" s="346" t="s">
        <v>561</v>
      </c>
      <c r="B1588" s="347" t="s">
        <v>174</v>
      </c>
      <c r="C1588" s="347" t="s">
        <v>801</v>
      </c>
      <c r="D1588" s="347">
        <v>2019</v>
      </c>
      <c r="E1588" s="347" t="s">
        <v>775</v>
      </c>
      <c r="F1588" s="348">
        <v>1539</v>
      </c>
      <c r="G1588" s="348">
        <v>0</v>
      </c>
      <c r="H1588" s="348">
        <v>0</v>
      </c>
      <c r="I1588" s="348">
        <v>0</v>
      </c>
      <c r="J1588" s="348">
        <v>1079</v>
      </c>
      <c r="K1588" s="348">
        <v>0</v>
      </c>
      <c r="L1588" s="348">
        <v>0</v>
      </c>
      <c r="M1588" s="348">
        <v>0</v>
      </c>
      <c r="N1588" s="348">
        <v>1303</v>
      </c>
      <c r="O1588" s="348">
        <v>210</v>
      </c>
      <c r="P1588" s="348">
        <v>3087</v>
      </c>
      <c r="Q1588" s="348">
        <v>254</v>
      </c>
      <c r="R1588" s="350">
        <f t="shared" si="223"/>
        <v>7008</v>
      </c>
      <c r="S1588" s="348">
        <f t="shared" si="224"/>
        <v>464</v>
      </c>
      <c r="T1588" s="348"/>
      <c r="U1588" s="348"/>
      <c r="V1588" s="348"/>
      <c r="W1588" s="349"/>
      <c r="X1588" s="349"/>
    </row>
    <row r="1589" spans="1:24" ht="12.75">
      <c r="A1589" s="346" t="s">
        <v>174</v>
      </c>
      <c r="B1589" s="347" t="s">
        <v>174</v>
      </c>
      <c r="C1589" s="347" t="s">
        <v>801</v>
      </c>
      <c r="D1589" s="347">
        <v>2019</v>
      </c>
      <c r="E1589" s="347" t="s">
        <v>775</v>
      </c>
      <c r="F1589" s="348">
        <v>4944</v>
      </c>
      <c r="G1589" s="348">
        <v>47</v>
      </c>
      <c r="H1589" s="348">
        <v>10</v>
      </c>
      <c r="I1589" s="348">
        <v>37</v>
      </c>
      <c r="J1589" s="348">
        <v>3467</v>
      </c>
      <c r="K1589" s="348">
        <v>59</v>
      </c>
      <c r="L1589" s="348">
        <v>7</v>
      </c>
      <c r="M1589" s="348">
        <v>52</v>
      </c>
      <c r="N1589" s="348">
        <v>4482</v>
      </c>
      <c r="O1589" s="348">
        <v>1924</v>
      </c>
      <c r="P1589" s="348">
        <v>11208</v>
      </c>
      <c r="Q1589" s="348">
        <v>1046</v>
      </c>
      <c r="R1589" s="350">
        <f t="shared" si="223"/>
        <v>24101</v>
      </c>
      <c r="S1589" s="348">
        <f t="shared" si="224"/>
        <v>3076</v>
      </c>
      <c r="T1589" s="348"/>
      <c r="U1589" s="348"/>
      <c r="V1589" s="348"/>
      <c r="W1589" s="349"/>
      <c r="X1589" s="349"/>
    </row>
    <row r="1590" spans="1:24" ht="12.75">
      <c r="A1590" s="346" t="s">
        <v>562</v>
      </c>
      <c r="B1590" s="347" t="s">
        <v>174</v>
      </c>
      <c r="C1590" s="347" t="s">
        <v>801</v>
      </c>
      <c r="D1590" s="347">
        <v>2019</v>
      </c>
      <c r="E1590" s="347" t="s">
        <v>775</v>
      </c>
      <c r="F1590" s="348">
        <v>3149</v>
      </c>
      <c r="G1590" s="348">
        <v>57</v>
      </c>
      <c r="H1590" s="348">
        <v>57</v>
      </c>
      <c r="I1590" s="348">
        <v>0</v>
      </c>
      <c r="J1590" s="348">
        <v>2208</v>
      </c>
      <c r="K1590" s="348">
        <v>26</v>
      </c>
      <c r="L1590" s="348">
        <v>26</v>
      </c>
      <c r="M1590" s="348">
        <v>0</v>
      </c>
      <c r="N1590" s="348">
        <v>2574</v>
      </c>
      <c r="O1590" s="348">
        <v>242</v>
      </c>
      <c r="P1590" s="348">
        <v>5913</v>
      </c>
      <c r="Q1590" s="348">
        <v>295</v>
      </c>
      <c r="R1590" s="350">
        <f t="shared" si="223"/>
        <v>13844</v>
      </c>
      <c r="S1590" s="348">
        <f t="shared" si="224"/>
        <v>620</v>
      </c>
      <c r="T1590" s="410">
        <f>SUM(G1583:G1590)</f>
        <v>175</v>
      </c>
      <c r="U1590" s="410">
        <f>SUM(K1583:K1590)</f>
        <v>120</v>
      </c>
      <c r="V1590" s="410">
        <f>SUM(O1583:O1590)</f>
        <v>2380</v>
      </c>
      <c r="W1590" s="410">
        <f>SUM(Q1583:Q1590)</f>
        <v>3402</v>
      </c>
      <c r="X1590" s="410">
        <f>T1590+U1590+V1590+W1590</f>
        <v>6077</v>
      </c>
    </row>
    <row r="1591" spans="1:24" ht="12.75">
      <c r="A1591" s="449"/>
      <c r="B1591" s="450"/>
      <c r="C1591" s="450"/>
      <c r="D1591" s="450"/>
      <c r="E1591" s="450"/>
      <c r="F1591" s="451"/>
      <c r="G1591" s="451"/>
      <c r="H1591" s="452"/>
      <c r="I1591" s="451"/>
      <c r="J1591" s="451"/>
      <c r="K1591" s="451"/>
      <c r="L1591" s="451"/>
      <c r="M1591" s="451"/>
      <c r="N1591" s="451"/>
      <c r="O1591" s="451"/>
      <c r="P1591" s="451"/>
      <c r="Q1591" s="452"/>
      <c r="R1591" s="182"/>
      <c r="S1591" s="456" t="s">
        <v>783</v>
      </c>
      <c r="T1591" s="466">
        <f t="shared" ref="T1591:X1591" si="225">SUM(T1540:T1590)</f>
        <v>652</v>
      </c>
      <c r="U1591" s="466">
        <f t="shared" si="225"/>
        <v>770</v>
      </c>
      <c r="V1591" s="466">
        <f t="shared" si="225"/>
        <v>8525</v>
      </c>
      <c r="W1591" s="466">
        <f t="shared" si="225"/>
        <v>15905</v>
      </c>
      <c r="X1591" s="466">
        <f t="shared" si="225"/>
        <v>25852</v>
      </c>
    </row>
    <row r="1592" spans="1:24" ht="12.75">
      <c r="A1592" s="449"/>
      <c r="B1592" s="450"/>
      <c r="C1592" s="450"/>
      <c r="D1592" s="450"/>
      <c r="E1592" s="450"/>
      <c r="F1592" s="451"/>
      <c r="G1592" s="451"/>
      <c r="H1592" s="452"/>
      <c r="I1592" s="451"/>
      <c r="J1592" s="451"/>
      <c r="K1592" s="451"/>
      <c r="L1592" s="451"/>
      <c r="M1592" s="451"/>
      <c r="N1592" s="451"/>
      <c r="O1592" s="451"/>
      <c r="P1592" s="451"/>
      <c r="Q1592" s="452"/>
      <c r="R1592" s="182"/>
      <c r="S1592" s="362"/>
      <c r="T1592" s="97"/>
      <c r="U1592" s="97"/>
      <c r="V1592" s="97"/>
      <c r="W1592" s="97"/>
      <c r="X1592" s="97"/>
    </row>
    <row r="1593" spans="1:24" ht="12.75">
      <c r="A1593" s="422" t="s">
        <v>853</v>
      </c>
      <c r="B1593" s="423" t="s">
        <v>176</v>
      </c>
      <c r="C1593" s="423" t="s">
        <v>177</v>
      </c>
      <c r="D1593" s="423">
        <v>2015</v>
      </c>
      <c r="E1593" s="423" t="s">
        <v>775</v>
      </c>
      <c r="F1593" s="424">
        <v>312</v>
      </c>
      <c r="G1593" s="424">
        <v>0</v>
      </c>
      <c r="H1593" s="425">
        <v>0</v>
      </c>
      <c r="I1593" s="424">
        <v>0</v>
      </c>
      <c r="J1593" s="424">
        <v>189</v>
      </c>
      <c r="K1593" s="424">
        <v>0</v>
      </c>
      <c r="L1593" s="424">
        <v>0</v>
      </c>
      <c r="M1593" s="424">
        <v>0</v>
      </c>
      <c r="N1593" s="424">
        <v>258</v>
      </c>
      <c r="O1593" s="424">
        <v>0</v>
      </c>
      <c r="P1593" s="424">
        <v>557</v>
      </c>
      <c r="Q1593" s="425">
        <v>68</v>
      </c>
      <c r="R1593" s="319">
        <f t="shared" ref="R1593:R1604" si="226">F1593+J1593+N1593+P1593</f>
        <v>1316</v>
      </c>
      <c r="S1593" s="364">
        <f t="shared" ref="S1593:S1604" si="227">K1593+O1593+G1593+Q1593</f>
        <v>68</v>
      </c>
      <c r="T1593" s="426"/>
      <c r="U1593" s="426"/>
      <c r="V1593" s="426"/>
      <c r="W1593" s="426"/>
      <c r="X1593" s="426"/>
    </row>
    <row r="1594" spans="1:24" ht="12.75">
      <c r="A1594" s="422" t="s">
        <v>854</v>
      </c>
      <c r="B1594" s="423" t="s">
        <v>176</v>
      </c>
      <c r="C1594" s="423" t="s">
        <v>177</v>
      </c>
      <c r="D1594" s="423">
        <v>2015</v>
      </c>
      <c r="E1594" s="423" t="s">
        <v>775</v>
      </c>
      <c r="F1594" s="424">
        <v>198</v>
      </c>
      <c r="G1594" s="424">
        <v>0</v>
      </c>
      <c r="H1594" s="425">
        <v>0</v>
      </c>
      <c r="I1594" s="424">
        <v>0</v>
      </c>
      <c r="J1594" s="424">
        <v>120</v>
      </c>
      <c r="K1594" s="424">
        <v>0</v>
      </c>
      <c r="L1594" s="424">
        <v>0</v>
      </c>
      <c r="M1594" s="424">
        <v>0</v>
      </c>
      <c r="N1594" s="424">
        <v>164</v>
      </c>
      <c r="O1594" s="424">
        <v>2</v>
      </c>
      <c r="P1594" s="424">
        <v>355</v>
      </c>
      <c r="Q1594" s="425">
        <v>17</v>
      </c>
      <c r="R1594" s="319">
        <f t="shared" si="226"/>
        <v>837</v>
      </c>
      <c r="S1594" s="364">
        <f t="shared" si="227"/>
        <v>19</v>
      </c>
      <c r="T1594" s="427">
        <f>SUM(G1593:G1594)</f>
        <v>0</v>
      </c>
      <c r="U1594" s="427">
        <f>SUM(K1593:K1594)</f>
        <v>0</v>
      </c>
      <c r="V1594" s="427">
        <f>SUM(O1593:O1594)</f>
        <v>2</v>
      </c>
      <c r="W1594" s="427">
        <f>SUM(Q1593:Q1594)</f>
        <v>85</v>
      </c>
      <c r="X1594" s="427">
        <f>T1594+U1594+V1594+W1594</f>
        <v>87</v>
      </c>
    </row>
    <row r="1595" spans="1:24" ht="12.75">
      <c r="A1595" s="428" t="s">
        <v>563</v>
      </c>
      <c r="B1595" s="429" t="s">
        <v>176</v>
      </c>
      <c r="C1595" s="429" t="s">
        <v>177</v>
      </c>
      <c r="D1595" s="429">
        <v>2016</v>
      </c>
      <c r="E1595" s="429" t="s">
        <v>775</v>
      </c>
      <c r="F1595" s="430">
        <v>312</v>
      </c>
      <c r="G1595" s="430">
        <v>0</v>
      </c>
      <c r="H1595" s="431">
        <v>0</v>
      </c>
      <c r="I1595" s="430">
        <v>0</v>
      </c>
      <c r="J1595" s="430">
        <v>189</v>
      </c>
      <c r="K1595" s="430">
        <v>0</v>
      </c>
      <c r="L1595" s="430">
        <v>0</v>
      </c>
      <c r="M1595" s="430">
        <v>0</v>
      </c>
      <c r="N1595" s="430">
        <v>258</v>
      </c>
      <c r="O1595" s="430">
        <v>12</v>
      </c>
      <c r="P1595" s="430">
        <v>557</v>
      </c>
      <c r="Q1595" s="431">
        <v>87</v>
      </c>
      <c r="R1595" s="328">
        <f t="shared" si="226"/>
        <v>1316</v>
      </c>
      <c r="S1595" s="365">
        <f t="shared" si="227"/>
        <v>99</v>
      </c>
      <c r="T1595" s="413"/>
      <c r="U1595" s="413"/>
      <c r="V1595" s="413"/>
      <c r="W1595" s="413"/>
      <c r="X1595" s="413"/>
    </row>
    <row r="1596" spans="1:24" ht="12.75">
      <c r="A1596" s="428" t="s">
        <v>564</v>
      </c>
      <c r="B1596" s="429" t="s">
        <v>176</v>
      </c>
      <c r="C1596" s="429" t="s">
        <v>177</v>
      </c>
      <c r="D1596" s="429">
        <v>2016</v>
      </c>
      <c r="E1596" s="429" t="s">
        <v>775</v>
      </c>
      <c r="F1596" s="430">
        <v>198</v>
      </c>
      <c r="G1596" s="430">
        <v>0</v>
      </c>
      <c r="H1596" s="431">
        <v>0</v>
      </c>
      <c r="I1596" s="430">
        <v>0</v>
      </c>
      <c r="J1596" s="430">
        <v>120</v>
      </c>
      <c r="K1596" s="430">
        <v>0</v>
      </c>
      <c r="L1596" s="430">
        <v>0</v>
      </c>
      <c r="M1596" s="430">
        <v>0</v>
      </c>
      <c r="N1596" s="430">
        <v>164</v>
      </c>
      <c r="O1596" s="430">
        <v>0</v>
      </c>
      <c r="P1596" s="430">
        <v>355</v>
      </c>
      <c r="Q1596" s="431">
        <v>61</v>
      </c>
      <c r="R1596" s="328">
        <f t="shared" si="226"/>
        <v>837</v>
      </c>
      <c r="S1596" s="365">
        <f t="shared" si="227"/>
        <v>61</v>
      </c>
      <c r="T1596" s="413">
        <f>SUM(G1595:G1596)</f>
        <v>0</v>
      </c>
      <c r="U1596" s="413">
        <f>SUM(K1595:K1596)</f>
        <v>0</v>
      </c>
      <c r="V1596" s="413">
        <f>SUM(O1595:O1596)</f>
        <v>12</v>
      </c>
      <c r="W1596" s="413">
        <f>SUM(Q1595:Q1596)</f>
        <v>148</v>
      </c>
      <c r="X1596" s="413">
        <f>T1596+U1596+V1596+W1596</f>
        <v>160</v>
      </c>
    </row>
    <row r="1597" spans="1:24" ht="12.75">
      <c r="A1597" s="433" t="s">
        <v>563</v>
      </c>
      <c r="B1597" s="434" t="s">
        <v>176</v>
      </c>
      <c r="C1597" s="434" t="s">
        <v>177</v>
      </c>
      <c r="D1597" s="434">
        <v>2017</v>
      </c>
      <c r="E1597" s="434" t="s">
        <v>775</v>
      </c>
      <c r="F1597" s="435">
        <v>312</v>
      </c>
      <c r="G1597" s="435">
        <v>0</v>
      </c>
      <c r="H1597" s="436">
        <v>0</v>
      </c>
      <c r="I1597" s="435">
        <v>0</v>
      </c>
      <c r="J1597" s="435">
        <v>189</v>
      </c>
      <c r="K1597" s="435">
        <v>0</v>
      </c>
      <c r="L1597" s="435">
        <v>0</v>
      </c>
      <c r="M1597" s="435">
        <v>0</v>
      </c>
      <c r="N1597" s="435">
        <v>258</v>
      </c>
      <c r="O1597" s="435">
        <v>91</v>
      </c>
      <c r="P1597" s="435">
        <v>557</v>
      </c>
      <c r="Q1597" s="436">
        <v>219</v>
      </c>
      <c r="R1597" s="336">
        <f t="shared" si="226"/>
        <v>1316</v>
      </c>
      <c r="S1597" s="366">
        <f t="shared" si="227"/>
        <v>310</v>
      </c>
      <c r="T1597" s="414"/>
      <c r="U1597" s="414"/>
      <c r="V1597" s="414"/>
      <c r="W1597" s="414"/>
      <c r="X1597" s="414"/>
    </row>
    <row r="1598" spans="1:24" ht="12.75">
      <c r="A1598" s="433" t="s">
        <v>564</v>
      </c>
      <c r="B1598" s="434" t="s">
        <v>176</v>
      </c>
      <c r="C1598" s="434" t="s">
        <v>177</v>
      </c>
      <c r="D1598" s="434">
        <v>2017</v>
      </c>
      <c r="E1598" s="434" t="s">
        <v>775</v>
      </c>
      <c r="F1598" s="435">
        <v>198</v>
      </c>
      <c r="G1598" s="435">
        <v>0</v>
      </c>
      <c r="H1598" s="436">
        <v>0</v>
      </c>
      <c r="I1598" s="435">
        <v>0</v>
      </c>
      <c r="J1598" s="435">
        <v>120</v>
      </c>
      <c r="K1598" s="435">
        <v>0</v>
      </c>
      <c r="L1598" s="435">
        <v>0</v>
      </c>
      <c r="M1598" s="435">
        <v>0</v>
      </c>
      <c r="N1598" s="435">
        <v>164</v>
      </c>
      <c r="O1598" s="435">
        <v>0</v>
      </c>
      <c r="P1598" s="435">
        <v>355</v>
      </c>
      <c r="Q1598" s="436">
        <v>96</v>
      </c>
      <c r="R1598" s="336">
        <f t="shared" si="226"/>
        <v>837</v>
      </c>
      <c r="S1598" s="366">
        <f t="shared" si="227"/>
        <v>96</v>
      </c>
      <c r="T1598" s="414">
        <f>SUM(G1597:G1598)</f>
        <v>0</v>
      </c>
      <c r="U1598" s="414">
        <f>SUM(K1597:K1598)</f>
        <v>0</v>
      </c>
      <c r="V1598" s="414">
        <f>SUM(O1597:O1598)</f>
        <v>91</v>
      </c>
      <c r="W1598" s="414">
        <f>SUM(Q1597:Q1598)</f>
        <v>315</v>
      </c>
      <c r="X1598" s="414">
        <f>T1598+U1598+V1598+W1598</f>
        <v>406</v>
      </c>
    </row>
    <row r="1599" spans="1:24" ht="12.75">
      <c r="A1599" s="438" t="s">
        <v>563</v>
      </c>
      <c r="B1599" s="439" t="s">
        <v>176</v>
      </c>
      <c r="C1599" s="439" t="s">
        <v>177</v>
      </c>
      <c r="D1599" s="439">
        <v>2018</v>
      </c>
      <c r="E1599" s="439" t="s">
        <v>775</v>
      </c>
      <c r="F1599" s="440">
        <v>312</v>
      </c>
      <c r="G1599" s="441">
        <v>0</v>
      </c>
      <c r="H1599" s="440">
        <v>0</v>
      </c>
      <c r="I1599" s="440">
        <v>0</v>
      </c>
      <c r="J1599" s="440">
        <v>189</v>
      </c>
      <c r="K1599" s="441">
        <v>0</v>
      </c>
      <c r="L1599" s="440">
        <v>0</v>
      </c>
      <c r="M1599" s="440">
        <v>0</v>
      </c>
      <c r="N1599" s="440">
        <v>258</v>
      </c>
      <c r="O1599" s="440">
        <v>1</v>
      </c>
      <c r="P1599" s="440">
        <v>557</v>
      </c>
      <c r="Q1599" s="440">
        <v>87</v>
      </c>
      <c r="R1599" s="344">
        <f t="shared" si="226"/>
        <v>1316</v>
      </c>
      <c r="S1599" s="367">
        <f t="shared" si="227"/>
        <v>88</v>
      </c>
      <c r="T1599" s="442"/>
      <c r="U1599" s="442"/>
      <c r="V1599" s="442"/>
      <c r="W1599" s="442"/>
      <c r="X1599" s="442"/>
    </row>
    <row r="1600" spans="1:24" ht="12.75">
      <c r="A1600" s="438" t="s">
        <v>564</v>
      </c>
      <c r="B1600" s="439" t="s">
        <v>176</v>
      </c>
      <c r="C1600" s="439" t="s">
        <v>177</v>
      </c>
      <c r="D1600" s="439">
        <v>2018</v>
      </c>
      <c r="E1600" s="439" t="s">
        <v>775</v>
      </c>
      <c r="F1600" s="440">
        <v>198</v>
      </c>
      <c r="G1600" s="441">
        <v>0</v>
      </c>
      <c r="H1600" s="440">
        <v>0</v>
      </c>
      <c r="I1600" s="440">
        <v>0</v>
      </c>
      <c r="J1600" s="440">
        <v>120</v>
      </c>
      <c r="K1600" s="441">
        <v>0</v>
      </c>
      <c r="L1600" s="440">
        <v>0</v>
      </c>
      <c r="M1600" s="440">
        <v>0</v>
      </c>
      <c r="N1600" s="440">
        <v>164</v>
      </c>
      <c r="O1600" s="440">
        <v>1</v>
      </c>
      <c r="P1600" s="440">
        <v>355</v>
      </c>
      <c r="Q1600" s="440">
        <v>177</v>
      </c>
      <c r="R1600" s="344">
        <f t="shared" si="226"/>
        <v>837</v>
      </c>
      <c r="S1600" s="367">
        <f t="shared" si="227"/>
        <v>178</v>
      </c>
      <c r="T1600" s="442"/>
      <c r="U1600" s="442"/>
      <c r="V1600" s="442"/>
      <c r="W1600" s="442"/>
      <c r="X1600" s="442"/>
    </row>
    <row r="1601" spans="1:24" ht="12.75">
      <c r="A1601" s="438" t="s">
        <v>565</v>
      </c>
      <c r="B1601" s="439" t="s">
        <v>176</v>
      </c>
      <c r="C1601" s="439" t="s">
        <v>177</v>
      </c>
      <c r="D1601" s="439">
        <v>2018</v>
      </c>
      <c r="E1601" s="439" t="s">
        <v>775</v>
      </c>
      <c r="F1601" s="440">
        <v>10</v>
      </c>
      <c r="G1601" s="454"/>
      <c r="H1601" s="455"/>
      <c r="I1601" s="455"/>
      <c r="J1601" s="440">
        <v>6</v>
      </c>
      <c r="K1601" s="454"/>
      <c r="L1601" s="455"/>
      <c r="M1601" s="455"/>
      <c r="N1601" s="440">
        <v>8</v>
      </c>
      <c r="O1601" s="455"/>
      <c r="P1601" s="440">
        <v>17</v>
      </c>
      <c r="Q1601" s="455"/>
      <c r="R1601" s="344">
        <f t="shared" si="226"/>
        <v>41</v>
      </c>
      <c r="S1601" s="367">
        <f t="shared" si="227"/>
        <v>0</v>
      </c>
      <c r="T1601" s="345">
        <f>SUM(G1599:G1601)</f>
        <v>0</v>
      </c>
      <c r="U1601" s="345">
        <f>SUM(K1599:K1601)</f>
        <v>0</v>
      </c>
      <c r="V1601" s="345">
        <f>SUM(O1599:O1601)</f>
        <v>2</v>
      </c>
      <c r="W1601" s="345">
        <f>SUM(Q1599:Q1601)</f>
        <v>264</v>
      </c>
      <c r="X1601" s="345">
        <f>T1601+U1601+V1601+W1601</f>
        <v>266</v>
      </c>
    </row>
    <row r="1602" spans="1:24" ht="12.75">
      <c r="A1602" s="346" t="s">
        <v>563</v>
      </c>
      <c r="B1602" s="347" t="s">
        <v>176</v>
      </c>
      <c r="C1602" s="347" t="s">
        <v>811</v>
      </c>
      <c r="D1602" s="347">
        <v>2019</v>
      </c>
      <c r="E1602" s="347" t="s">
        <v>775</v>
      </c>
      <c r="F1602" s="348">
        <v>312</v>
      </c>
      <c r="G1602" s="348">
        <v>0</v>
      </c>
      <c r="H1602" s="348">
        <v>0</v>
      </c>
      <c r="I1602" s="348">
        <v>0</v>
      </c>
      <c r="J1602" s="348">
        <v>189</v>
      </c>
      <c r="K1602" s="348">
        <v>0</v>
      </c>
      <c r="L1602" s="348">
        <v>0</v>
      </c>
      <c r="M1602" s="348">
        <v>0</v>
      </c>
      <c r="N1602" s="348">
        <v>258</v>
      </c>
      <c r="O1602" s="348">
        <v>0</v>
      </c>
      <c r="P1602" s="348">
        <v>557</v>
      </c>
      <c r="Q1602" s="348">
        <v>168</v>
      </c>
      <c r="R1602" s="350">
        <f t="shared" si="226"/>
        <v>1316</v>
      </c>
      <c r="S1602" s="348">
        <f t="shared" si="227"/>
        <v>168</v>
      </c>
      <c r="T1602" s="348"/>
      <c r="U1602" s="348"/>
      <c r="V1602" s="348"/>
      <c r="W1602" s="349"/>
      <c r="X1602" s="349"/>
    </row>
    <row r="1603" spans="1:24" ht="12.75">
      <c r="A1603" s="346" t="s">
        <v>564</v>
      </c>
      <c r="B1603" s="347" t="s">
        <v>176</v>
      </c>
      <c r="C1603" s="347" t="s">
        <v>811</v>
      </c>
      <c r="D1603" s="347">
        <v>2019</v>
      </c>
      <c r="E1603" s="347" t="s">
        <v>775</v>
      </c>
      <c r="F1603" s="348">
        <v>198</v>
      </c>
      <c r="G1603" s="348">
        <v>0</v>
      </c>
      <c r="H1603" s="348">
        <v>0</v>
      </c>
      <c r="I1603" s="348">
        <v>0</v>
      </c>
      <c r="J1603" s="348">
        <v>120</v>
      </c>
      <c r="K1603" s="348">
        <v>0</v>
      </c>
      <c r="L1603" s="348">
        <v>0</v>
      </c>
      <c r="M1603" s="348">
        <v>0</v>
      </c>
      <c r="N1603" s="348">
        <v>164</v>
      </c>
      <c r="O1603" s="348">
        <v>0</v>
      </c>
      <c r="P1603" s="348">
        <v>355</v>
      </c>
      <c r="Q1603" s="348">
        <v>213</v>
      </c>
      <c r="R1603" s="350">
        <f t="shared" si="226"/>
        <v>837</v>
      </c>
      <c r="S1603" s="348">
        <f t="shared" si="227"/>
        <v>213</v>
      </c>
      <c r="T1603" s="348"/>
      <c r="U1603" s="348"/>
      <c r="V1603" s="348"/>
      <c r="W1603" s="349"/>
      <c r="X1603" s="349"/>
    </row>
    <row r="1604" spans="1:24" ht="12.75">
      <c r="A1604" s="346" t="s">
        <v>565</v>
      </c>
      <c r="B1604" s="347" t="s">
        <v>176</v>
      </c>
      <c r="C1604" s="347" t="s">
        <v>811</v>
      </c>
      <c r="D1604" s="347">
        <v>2019</v>
      </c>
      <c r="E1604" s="347" t="s">
        <v>775</v>
      </c>
      <c r="F1604" s="348">
        <v>10</v>
      </c>
      <c r="G1604" s="348">
        <v>0</v>
      </c>
      <c r="H1604" s="348">
        <v>0</v>
      </c>
      <c r="I1604" s="348">
        <v>0</v>
      </c>
      <c r="J1604" s="348">
        <v>6</v>
      </c>
      <c r="K1604" s="348">
        <v>0</v>
      </c>
      <c r="L1604" s="348">
        <v>0</v>
      </c>
      <c r="M1604" s="348">
        <v>0</v>
      </c>
      <c r="N1604" s="348">
        <v>8</v>
      </c>
      <c r="O1604" s="348">
        <v>0</v>
      </c>
      <c r="P1604" s="348">
        <v>17</v>
      </c>
      <c r="Q1604" s="348">
        <v>0</v>
      </c>
      <c r="R1604" s="350">
        <f t="shared" si="226"/>
        <v>41</v>
      </c>
      <c r="S1604" s="348">
        <f t="shared" si="227"/>
        <v>0</v>
      </c>
      <c r="T1604" s="352">
        <f>SUM(G1602:G1604)</f>
        <v>0</v>
      </c>
      <c r="U1604" s="352">
        <f>SUM(K1602:K1604)</f>
        <v>0</v>
      </c>
      <c r="V1604" s="352">
        <f>SUM(O1602:O1604)</f>
        <v>0</v>
      </c>
      <c r="W1604" s="352">
        <f>SUM(Q1602:Q1604)</f>
        <v>381</v>
      </c>
      <c r="X1604" s="352">
        <f>T1604+U1604+V1604+W1604</f>
        <v>381</v>
      </c>
    </row>
    <row r="1605" spans="1:24" ht="12.75">
      <c r="A1605" s="449"/>
      <c r="B1605" s="450"/>
      <c r="C1605" s="450"/>
      <c r="D1605" s="450"/>
      <c r="E1605" s="450"/>
      <c r="F1605" s="451"/>
      <c r="G1605" s="451"/>
      <c r="H1605" s="452"/>
      <c r="I1605" s="451"/>
      <c r="J1605" s="451"/>
      <c r="K1605" s="451"/>
      <c r="L1605" s="451"/>
      <c r="M1605" s="451"/>
      <c r="N1605" s="451"/>
      <c r="O1605" s="451"/>
      <c r="P1605" s="451"/>
      <c r="Q1605" s="452"/>
      <c r="R1605" s="182"/>
      <c r="S1605" s="456" t="s">
        <v>783</v>
      </c>
      <c r="T1605" s="466">
        <f t="shared" ref="T1605:X1605" si="228">SUM(T1593:T1604)</f>
        <v>0</v>
      </c>
      <c r="U1605" s="466">
        <f t="shared" si="228"/>
        <v>0</v>
      </c>
      <c r="V1605" s="466">
        <f t="shared" si="228"/>
        <v>107</v>
      </c>
      <c r="W1605" s="466">
        <f t="shared" si="228"/>
        <v>1193</v>
      </c>
      <c r="X1605" s="466">
        <f t="shared" si="228"/>
        <v>1300</v>
      </c>
    </row>
    <row r="1606" spans="1:24" ht="12.75">
      <c r="A1606" s="449"/>
      <c r="B1606" s="450"/>
      <c r="C1606" s="450"/>
      <c r="D1606" s="450"/>
      <c r="E1606" s="450"/>
      <c r="F1606" s="451"/>
      <c r="G1606" s="451"/>
      <c r="H1606" s="452"/>
      <c r="I1606" s="451"/>
      <c r="J1606" s="451"/>
      <c r="K1606" s="451"/>
      <c r="L1606" s="451"/>
      <c r="M1606" s="451"/>
      <c r="N1606" s="451"/>
      <c r="O1606" s="451"/>
      <c r="P1606" s="451"/>
      <c r="Q1606" s="452"/>
      <c r="R1606" s="182"/>
      <c r="S1606" s="362"/>
      <c r="T1606" s="97"/>
      <c r="U1606" s="97"/>
      <c r="V1606" s="97"/>
      <c r="W1606" s="97"/>
      <c r="X1606" s="97"/>
    </row>
    <row r="1607" spans="1:24" ht="12.75">
      <c r="A1607" s="417" t="s">
        <v>570</v>
      </c>
      <c r="B1607" s="418" t="s">
        <v>178</v>
      </c>
      <c r="C1607" s="418" t="s">
        <v>812</v>
      </c>
      <c r="D1607" s="418">
        <v>2014</v>
      </c>
      <c r="E1607" s="418" t="s">
        <v>775</v>
      </c>
      <c r="F1607" s="419">
        <v>707</v>
      </c>
      <c r="G1607" s="419">
        <v>0</v>
      </c>
      <c r="H1607" s="420">
        <v>0</v>
      </c>
      <c r="I1607" s="419">
        <v>0</v>
      </c>
      <c r="J1607" s="419">
        <v>478</v>
      </c>
      <c r="K1607" s="419">
        <v>0</v>
      </c>
      <c r="L1607" s="419">
        <v>0</v>
      </c>
      <c r="M1607" s="419">
        <v>0</v>
      </c>
      <c r="N1607" s="419">
        <v>533</v>
      </c>
      <c r="O1607" s="419">
        <v>0</v>
      </c>
      <c r="P1607" s="419">
        <v>1176</v>
      </c>
      <c r="Q1607" s="420">
        <v>342</v>
      </c>
      <c r="R1607" s="311">
        <f t="shared" ref="R1607:R1725" si="229">F1607+J1607+N1607+P1607</f>
        <v>2894</v>
      </c>
      <c r="S1607" s="363">
        <f t="shared" ref="S1607:S1725" si="230">K1607+O1607+G1607+Q1607</f>
        <v>342</v>
      </c>
      <c r="T1607" s="421"/>
      <c r="U1607" s="421"/>
      <c r="V1607" s="421"/>
      <c r="W1607" s="421"/>
      <c r="X1607" s="421"/>
    </row>
    <row r="1608" spans="1:24" ht="12.75">
      <c r="A1608" s="417" t="s">
        <v>571</v>
      </c>
      <c r="B1608" s="418" t="s">
        <v>178</v>
      </c>
      <c r="C1608" s="418" t="s">
        <v>812</v>
      </c>
      <c r="D1608" s="418">
        <v>2014</v>
      </c>
      <c r="E1608" s="418" t="s">
        <v>775</v>
      </c>
      <c r="F1608" s="419">
        <v>217</v>
      </c>
      <c r="G1608" s="419">
        <v>0</v>
      </c>
      <c r="H1608" s="420">
        <v>0</v>
      </c>
      <c r="I1608" s="419">
        <v>0</v>
      </c>
      <c r="J1608" s="419">
        <v>148</v>
      </c>
      <c r="K1608" s="419">
        <v>0</v>
      </c>
      <c r="L1608" s="419">
        <v>0</v>
      </c>
      <c r="M1608" s="419">
        <v>0</v>
      </c>
      <c r="N1608" s="419">
        <v>164</v>
      </c>
      <c r="O1608" s="419">
        <v>286</v>
      </c>
      <c r="P1608" s="419">
        <v>333</v>
      </c>
      <c r="Q1608" s="420">
        <v>41</v>
      </c>
      <c r="R1608" s="311">
        <f t="shared" si="229"/>
        <v>862</v>
      </c>
      <c r="S1608" s="363">
        <f t="shared" si="230"/>
        <v>327</v>
      </c>
      <c r="T1608" s="421"/>
      <c r="U1608" s="421"/>
      <c r="V1608" s="421"/>
      <c r="W1608" s="421"/>
      <c r="X1608" s="421"/>
    </row>
    <row r="1609" spans="1:24" ht="12.75">
      <c r="A1609" s="417" t="s">
        <v>572</v>
      </c>
      <c r="B1609" s="418" t="s">
        <v>178</v>
      </c>
      <c r="C1609" s="418" t="s">
        <v>812</v>
      </c>
      <c r="D1609" s="418">
        <v>2014</v>
      </c>
      <c r="E1609" s="418" t="s">
        <v>775</v>
      </c>
      <c r="F1609" s="419">
        <v>443</v>
      </c>
      <c r="G1609" s="419">
        <v>0</v>
      </c>
      <c r="H1609" s="420">
        <v>0</v>
      </c>
      <c r="I1609" s="419">
        <v>0</v>
      </c>
      <c r="J1609" s="419">
        <v>302</v>
      </c>
      <c r="K1609" s="419">
        <v>0</v>
      </c>
      <c r="L1609" s="419">
        <v>0</v>
      </c>
      <c r="M1609" s="419">
        <v>0</v>
      </c>
      <c r="N1609" s="419">
        <v>347</v>
      </c>
      <c r="O1609" s="419">
        <v>5</v>
      </c>
      <c r="P1609" s="419">
        <v>831</v>
      </c>
      <c r="Q1609" s="420">
        <v>23</v>
      </c>
      <c r="R1609" s="311">
        <f t="shared" si="229"/>
        <v>1923</v>
      </c>
      <c r="S1609" s="363">
        <f t="shared" si="230"/>
        <v>28</v>
      </c>
      <c r="T1609" s="421"/>
      <c r="U1609" s="421"/>
      <c r="V1609" s="421"/>
      <c r="W1609" s="421"/>
      <c r="X1609" s="421"/>
    </row>
    <row r="1610" spans="1:24" ht="12.75">
      <c r="A1610" s="417" t="s">
        <v>573</v>
      </c>
      <c r="B1610" s="418" t="s">
        <v>178</v>
      </c>
      <c r="C1610" s="418" t="s">
        <v>812</v>
      </c>
      <c r="D1610" s="418">
        <v>2014</v>
      </c>
      <c r="E1610" s="418" t="s">
        <v>775</v>
      </c>
      <c r="F1610" s="419">
        <v>1442</v>
      </c>
      <c r="G1610" s="419">
        <v>63</v>
      </c>
      <c r="H1610" s="420">
        <v>63</v>
      </c>
      <c r="I1610" s="419">
        <v>0</v>
      </c>
      <c r="J1610" s="419">
        <v>974</v>
      </c>
      <c r="K1610" s="419">
        <v>0</v>
      </c>
      <c r="L1610" s="419">
        <v>0</v>
      </c>
      <c r="M1610" s="419">
        <v>0</v>
      </c>
      <c r="N1610" s="419">
        <v>1090</v>
      </c>
      <c r="O1610" s="419">
        <v>0</v>
      </c>
      <c r="P1610" s="419">
        <v>2471</v>
      </c>
      <c r="Q1610" s="420">
        <v>258</v>
      </c>
      <c r="R1610" s="311">
        <f t="shared" si="229"/>
        <v>5977</v>
      </c>
      <c r="S1610" s="363">
        <f t="shared" si="230"/>
        <v>321</v>
      </c>
      <c r="T1610" s="421"/>
      <c r="U1610" s="421"/>
      <c r="V1610" s="421"/>
      <c r="W1610" s="421"/>
      <c r="X1610" s="421"/>
    </row>
    <row r="1611" spans="1:24" ht="12.75">
      <c r="A1611" s="417" t="s">
        <v>575</v>
      </c>
      <c r="B1611" s="463" t="s">
        <v>178</v>
      </c>
      <c r="C1611" s="418" t="s">
        <v>812</v>
      </c>
      <c r="D1611" s="418">
        <v>2014</v>
      </c>
      <c r="E1611" s="418" t="s">
        <v>775</v>
      </c>
      <c r="F1611" s="419">
        <v>398</v>
      </c>
      <c r="G1611" s="419">
        <v>0</v>
      </c>
      <c r="H1611" s="420">
        <v>0</v>
      </c>
      <c r="I1611" s="419">
        <v>0</v>
      </c>
      <c r="J1611" s="419">
        <v>274</v>
      </c>
      <c r="K1611" s="419">
        <v>0</v>
      </c>
      <c r="L1611" s="419">
        <v>0</v>
      </c>
      <c r="M1611" s="419">
        <v>0</v>
      </c>
      <c r="N1611" s="419">
        <v>314</v>
      </c>
      <c r="O1611" s="419">
        <v>82</v>
      </c>
      <c r="P1611" s="419">
        <v>729</v>
      </c>
      <c r="Q1611" s="420">
        <v>0</v>
      </c>
      <c r="R1611" s="311">
        <f t="shared" si="229"/>
        <v>1715</v>
      </c>
      <c r="S1611" s="363">
        <f t="shared" si="230"/>
        <v>82</v>
      </c>
      <c r="T1611" s="421"/>
      <c r="U1611" s="421"/>
      <c r="V1611" s="421"/>
      <c r="W1611" s="421"/>
      <c r="X1611" s="421"/>
    </row>
    <row r="1612" spans="1:24" ht="12.75">
      <c r="A1612" s="417" t="s">
        <v>576</v>
      </c>
      <c r="B1612" s="418" t="s">
        <v>178</v>
      </c>
      <c r="C1612" s="418" t="s">
        <v>812</v>
      </c>
      <c r="D1612" s="418">
        <v>2014</v>
      </c>
      <c r="E1612" s="418" t="s">
        <v>775</v>
      </c>
      <c r="F1612" s="419">
        <v>349</v>
      </c>
      <c r="G1612" s="419">
        <v>0</v>
      </c>
      <c r="H1612" s="420">
        <v>0</v>
      </c>
      <c r="I1612" s="419">
        <v>0</v>
      </c>
      <c r="J1612" s="419">
        <v>246</v>
      </c>
      <c r="K1612" s="419">
        <v>0</v>
      </c>
      <c r="L1612" s="419">
        <v>0</v>
      </c>
      <c r="M1612" s="419">
        <v>0</v>
      </c>
      <c r="N1612" s="419">
        <v>280</v>
      </c>
      <c r="O1612" s="419">
        <v>1</v>
      </c>
      <c r="P1612" s="419">
        <v>625</v>
      </c>
      <c r="Q1612" s="420">
        <v>3</v>
      </c>
      <c r="R1612" s="311">
        <f t="shared" si="229"/>
        <v>1500</v>
      </c>
      <c r="S1612" s="363">
        <f t="shared" si="230"/>
        <v>4</v>
      </c>
      <c r="T1612" s="421"/>
      <c r="U1612" s="421"/>
      <c r="V1612" s="421"/>
      <c r="W1612" s="421"/>
      <c r="X1612" s="421"/>
    </row>
    <row r="1613" spans="1:24" ht="12.75">
      <c r="A1613" s="417" t="s">
        <v>578</v>
      </c>
      <c r="B1613" s="418" t="s">
        <v>178</v>
      </c>
      <c r="C1613" s="418" t="s">
        <v>812</v>
      </c>
      <c r="D1613" s="418">
        <v>2014</v>
      </c>
      <c r="E1613" s="418" t="s">
        <v>775</v>
      </c>
      <c r="F1613" s="419">
        <v>164</v>
      </c>
      <c r="G1613" s="419">
        <v>0</v>
      </c>
      <c r="H1613" s="420">
        <v>0</v>
      </c>
      <c r="I1613" s="419">
        <v>0</v>
      </c>
      <c r="J1613" s="419">
        <v>114</v>
      </c>
      <c r="K1613" s="419">
        <v>0</v>
      </c>
      <c r="L1613" s="419">
        <v>0</v>
      </c>
      <c r="M1613" s="419">
        <v>0</v>
      </c>
      <c r="N1613" s="419">
        <v>125</v>
      </c>
      <c r="O1613" s="419">
        <v>0</v>
      </c>
      <c r="P1613" s="419">
        <v>294</v>
      </c>
      <c r="Q1613" s="420">
        <v>10</v>
      </c>
      <c r="R1613" s="311">
        <f t="shared" si="229"/>
        <v>697</v>
      </c>
      <c r="S1613" s="363">
        <f t="shared" si="230"/>
        <v>10</v>
      </c>
      <c r="T1613" s="421"/>
      <c r="U1613" s="421"/>
      <c r="V1613" s="421"/>
      <c r="W1613" s="421"/>
      <c r="X1613" s="421"/>
    </row>
    <row r="1614" spans="1:24" ht="12.75">
      <c r="A1614" s="417" t="s">
        <v>579</v>
      </c>
      <c r="B1614" s="418" t="s">
        <v>178</v>
      </c>
      <c r="C1614" s="418" t="s">
        <v>812</v>
      </c>
      <c r="D1614" s="418">
        <v>2014</v>
      </c>
      <c r="E1614" s="418" t="s">
        <v>775</v>
      </c>
      <c r="F1614" s="419">
        <v>38</v>
      </c>
      <c r="G1614" s="419">
        <v>0</v>
      </c>
      <c r="H1614" s="420">
        <v>0</v>
      </c>
      <c r="I1614" s="419">
        <v>0</v>
      </c>
      <c r="J1614" s="419">
        <v>29</v>
      </c>
      <c r="K1614" s="419">
        <v>0</v>
      </c>
      <c r="L1614" s="419">
        <v>0</v>
      </c>
      <c r="M1614" s="419">
        <v>0</v>
      </c>
      <c r="N1614" s="419">
        <v>34</v>
      </c>
      <c r="O1614" s="419">
        <v>4</v>
      </c>
      <c r="P1614" s="419">
        <v>80</v>
      </c>
      <c r="Q1614" s="420">
        <v>2</v>
      </c>
      <c r="R1614" s="311">
        <f t="shared" si="229"/>
        <v>181</v>
      </c>
      <c r="S1614" s="363">
        <f t="shared" si="230"/>
        <v>6</v>
      </c>
      <c r="T1614" s="421"/>
      <c r="U1614" s="421"/>
      <c r="V1614" s="421"/>
      <c r="W1614" s="421"/>
      <c r="X1614" s="421"/>
    </row>
    <row r="1615" spans="1:24" ht="12.75">
      <c r="A1615" s="417" t="s">
        <v>580</v>
      </c>
      <c r="B1615" s="418" t="s">
        <v>178</v>
      </c>
      <c r="C1615" s="418" t="s">
        <v>812</v>
      </c>
      <c r="D1615" s="418">
        <v>2014</v>
      </c>
      <c r="E1615" s="418" t="s">
        <v>775</v>
      </c>
      <c r="F1615" s="419">
        <v>2592</v>
      </c>
      <c r="G1615" s="419">
        <v>0</v>
      </c>
      <c r="H1615" s="420">
        <v>0</v>
      </c>
      <c r="I1615" s="419">
        <v>0</v>
      </c>
      <c r="J1615" s="419">
        <v>1745</v>
      </c>
      <c r="K1615" s="419">
        <v>0</v>
      </c>
      <c r="L1615" s="419">
        <v>0</v>
      </c>
      <c r="M1615" s="419">
        <v>0</v>
      </c>
      <c r="N1615" s="419">
        <v>1977</v>
      </c>
      <c r="O1615" s="419">
        <v>364</v>
      </c>
      <c r="P1615" s="419">
        <v>4547</v>
      </c>
      <c r="Q1615" s="420">
        <v>163</v>
      </c>
      <c r="R1615" s="311">
        <f t="shared" si="229"/>
        <v>10861</v>
      </c>
      <c r="S1615" s="363">
        <f t="shared" si="230"/>
        <v>527</v>
      </c>
      <c r="T1615" s="421"/>
      <c r="U1615" s="421"/>
      <c r="V1615" s="421"/>
      <c r="W1615" s="421"/>
      <c r="X1615" s="421"/>
    </row>
    <row r="1616" spans="1:24" ht="12.75">
      <c r="A1616" s="417" t="s">
        <v>581</v>
      </c>
      <c r="B1616" s="418" t="s">
        <v>178</v>
      </c>
      <c r="C1616" s="418" t="s">
        <v>812</v>
      </c>
      <c r="D1616" s="418">
        <v>2014</v>
      </c>
      <c r="E1616" s="418" t="s">
        <v>775</v>
      </c>
      <c r="F1616" s="419">
        <v>209</v>
      </c>
      <c r="G1616" s="419">
        <v>0</v>
      </c>
      <c r="H1616" s="420">
        <v>0</v>
      </c>
      <c r="I1616" s="419">
        <v>0</v>
      </c>
      <c r="J1616" s="419">
        <v>141</v>
      </c>
      <c r="K1616" s="419">
        <v>0</v>
      </c>
      <c r="L1616" s="419">
        <v>0</v>
      </c>
      <c r="M1616" s="419">
        <v>0</v>
      </c>
      <c r="N1616" s="419">
        <v>158</v>
      </c>
      <c r="O1616" s="419">
        <v>0</v>
      </c>
      <c r="P1616" s="419">
        <v>340</v>
      </c>
      <c r="Q1616" s="420">
        <v>388</v>
      </c>
      <c r="R1616" s="311">
        <f t="shared" si="229"/>
        <v>848</v>
      </c>
      <c r="S1616" s="363">
        <f t="shared" si="230"/>
        <v>388</v>
      </c>
      <c r="T1616" s="421"/>
      <c r="U1616" s="421"/>
      <c r="V1616" s="421"/>
      <c r="W1616" s="421"/>
      <c r="X1616" s="421"/>
    </row>
    <row r="1617" spans="1:24" ht="12.75">
      <c r="A1617" s="417" t="s">
        <v>582</v>
      </c>
      <c r="B1617" s="418" t="s">
        <v>178</v>
      </c>
      <c r="C1617" s="418" t="s">
        <v>812</v>
      </c>
      <c r="D1617" s="418">
        <v>2014</v>
      </c>
      <c r="E1617" s="418" t="s">
        <v>775</v>
      </c>
      <c r="F1617" s="419">
        <v>579</v>
      </c>
      <c r="G1617" s="419">
        <v>0</v>
      </c>
      <c r="H1617" s="420">
        <v>0</v>
      </c>
      <c r="I1617" s="419">
        <v>0</v>
      </c>
      <c r="J1617" s="419">
        <v>396</v>
      </c>
      <c r="K1617" s="419">
        <v>0</v>
      </c>
      <c r="L1617" s="419">
        <v>0</v>
      </c>
      <c r="M1617" s="419">
        <v>0</v>
      </c>
      <c r="N1617" s="419">
        <v>453</v>
      </c>
      <c r="O1617" s="419">
        <v>0</v>
      </c>
      <c r="P1617" s="419">
        <v>1001</v>
      </c>
      <c r="Q1617" s="420">
        <v>57</v>
      </c>
      <c r="R1617" s="311">
        <f t="shared" si="229"/>
        <v>2429</v>
      </c>
      <c r="S1617" s="363">
        <f t="shared" si="230"/>
        <v>57</v>
      </c>
      <c r="T1617" s="421"/>
      <c r="U1617" s="421"/>
      <c r="V1617" s="421"/>
      <c r="W1617" s="421"/>
      <c r="X1617" s="421"/>
    </row>
    <row r="1618" spans="1:24" ht="12.75">
      <c r="A1618" s="417" t="s">
        <v>583</v>
      </c>
      <c r="B1618" s="418" t="s">
        <v>178</v>
      </c>
      <c r="C1618" s="418" t="s">
        <v>812</v>
      </c>
      <c r="D1618" s="418">
        <v>2014</v>
      </c>
      <c r="E1618" s="418" t="s">
        <v>775</v>
      </c>
      <c r="F1618" s="419">
        <v>636</v>
      </c>
      <c r="G1618" s="419">
        <v>0</v>
      </c>
      <c r="H1618" s="420">
        <v>0</v>
      </c>
      <c r="I1618" s="419">
        <v>0</v>
      </c>
      <c r="J1618" s="419">
        <v>432</v>
      </c>
      <c r="K1618" s="419">
        <v>0</v>
      </c>
      <c r="L1618" s="419">
        <v>0</v>
      </c>
      <c r="M1618" s="419">
        <v>0</v>
      </c>
      <c r="N1618" s="419">
        <v>496</v>
      </c>
      <c r="O1618" s="419">
        <v>0</v>
      </c>
      <c r="P1618" s="419">
        <v>1151</v>
      </c>
      <c r="Q1618" s="420">
        <v>76</v>
      </c>
      <c r="R1618" s="311">
        <f t="shared" si="229"/>
        <v>2715</v>
      </c>
      <c r="S1618" s="363">
        <f t="shared" si="230"/>
        <v>76</v>
      </c>
      <c r="T1618" s="421"/>
      <c r="U1618" s="421"/>
      <c r="V1618" s="421"/>
      <c r="W1618" s="421"/>
      <c r="X1618" s="421"/>
    </row>
    <row r="1619" spans="1:24" ht="12.75">
      <c r="A1619" s="417" t="s">
        <v>178</v>
      </c>
      <c r="B1619" s="418" t="s">
        <v>178</v>
      </c>
      <c r="C1619" s="418" t="s">
        <v>812</v>
      </c>
      <c r="D1619" s="418">
        <v>2014</v>
      </c>
      <c r="E1619" s="418" t="s">
        <v>775</v>
      </c>
      <c r="F1619" s="419">
        <v>980</v>
      </c>
      <c r="G1619" s="419">
        <v>57</v>
      </c>
      <c r="H1619" s="420">
        <v>57</v>
      </c>
      <c r="I1619" s="419">
        <v>0</v>
      </c>
      <c r="J1619" s="419">
        <v>696</v>
      </c>
      <c r="K1619" s="419">
        <v>18</v>
      </c>
      <c r="L1619" s="419">
        <v>18</v>
      </c>
      <c r="M1619" s="419">
        <v>0</v>
      </c>
      <c r="N1619" s="419">
        <v>808</v>
      </c>
      <c r="O1619" s="419">
        <v>0</v>
      </c>
      <c r="P1619" s="419">
        <v>1900</v>
      </c>
      <c r="Q1619" s="420">
        <v>90</v>
      </c>
      <c r="R1619" s="311">
        <f t="shared" si="229"/>
        <v>4384</v>
      </c>
      <c r="S1619" s="363">
        <f t="shared" si="230"/>
        <v>165</v>
      </c>
      <c r="T1619" s="421"/>
      <c r="U1619" s="421"/>
      <c r="V1619" s="421"/>
      <c r="W1619" s="421"/>
      <c r="X1619" s="421"/>
    </row>
    <row r="1620" spans="1:24" ht="12.75">
      <c r="A1620" s="417" t="s">
        <v>584</v>
      </c>
      <c r="B1620" s="418" t="s">
        <v>178</v>
      </c>
      <c r="C1620" s="418" t="s">
        <v>812</v>
      </c>
      <c r="D1620" s="418">
        <v>2014</v>
      </c>
      <c r="E1620" s="418" t="s">
        <v>775</v>
      </c>
      <c r="F1620" s="419">
        <v>9</v>
      </c>
      <c r="G1620" s="419">
        <v>16</v>
      </c>
      <c r="H1620" s="420">
        <v>0</v>
      </c>
      <c r="I1620" s="419">
        <v>16</v>
      </c>
      <c r="J1620" s="419">
        <v>6</v>
      </c>
      <c r="K1620" s="419">
        <v>31</v>
      </c>
      <c r="L1620" s="419">
        <v>0</v>
      </c>
      <c r="M1620" s="419">
        <v>31</v>
      </c>
      <c r="N1620" s="419">
        <v>7</v>
      </c>
      <c r="O1620" s="419">
        <v>185</v>
      </c>
      <c r="P1620" s="419">
        <v>17</v>
      </c>
      <c r="Q1620" s="420">
        <v>160</v>
      </c>
      <c r="R1620" s="311">
        <f t="shared" si="229"/>
        <v>39</v>
      </c>
      <c r="S1620" s="363">
        <f t="shared" si="230"/>
        <v>392</v>
      </c>
      <c r="T1620" s="421"/>
      <c r="U1620" s="421"/>
      <c r="V1620" s="421"/>
      <c r="W1620" s="421"/>
      <c r="X1620" s="421"/>
    </row>
    <row r="1621" spans="1:24" ht="12.75">
      <c r="A1621" s="464" t="s">
        <v>585</v>
      </c>
      <c r="B1621" s="465" t="s">
        <v>178</v>
      </c>
      <c r="C1621" s="465" t="s">
        <v>812</v>
      </c>
      <c r="D1621" s="465">
        <v>2014</v>
      </c>
      <c r="E1621" s="465" t="s">
        <v>775</v>
      </c>
      <c r="F1621" s="420">
        <v>103</v>
      </c>
      <c r="G1621" s="419">
        <v>0</v>
      </c>
      <c r="H1621" s="420">
        <v>0</v>
      </c>
      <c r="I1621" s="420">
        <v>0</v>
      </c>
      <c r="J1621" s="419">
        <v>72</v>
      </c>
      <c r="K1621" s="419">
        <v>0</v>
      </c>
      <c r="L1621" s="420">
        <v>0</v>
      </c>
      <c r="M1621" s="420">
        <v>0</v>
      </c>
      <c r="N1621" s="420">
        <v>84</v>
      </c>
      <c r="O1621" s="420">
        <v>7</v>
      </c>
      <c r="P1621" s="420">
        <v>195</v>
      </c>
      <c r="Q1621" s="420">
        <v>0</v>
      </c>
      <c r="R1621" s="311">
        <f t="shared" si="229"/>
        <v>454</v>
      </c>
      <c r="S1621" s="363">
        <f t="shared" si="230"/>
        <v>7</v>
      </c>
      <c r="T1621" s="421"/>
      <c r="U1621" s="421"/>
      <c r="V1621" s="421"/>
      <c r="W1621" s="421"/>
      <c r="X1621" s="421"/>
    </row>
    <row r="1622" spans="1:24" ht="12.75">
      <c r="A1622" s="464" t="s">
        <v>588</v>
      </c>
      <c r="B1622" s="465" t="s">
        <v>178</v>
      </c>
      <c r="C1622" s="465" t="s">
        <v>812</v>
      </c>
      <c r="D1622" s="465">
        <v>2014</v>
      </c>
      <c r="E1622" s="465" t="s">
        <v>775</v>
      </c>
      <c r="F1622" s="420">
        <v>376</v>
      </c>
      <c r="G1622" s="419">
        <v>0</v>
      </c>
      <c r="H1622" s="420">
        <v>0</v>
      </c>
      <c r="I1622" s="420">
        <v>0</v>
      </c>
      <c r="J1622" s="420">
        <v>261</v>
      </c>
      <c r="K1622" s="419">
        <v>34</v>
      </c>
      <c r="L1622" s="420">
        <v>34</v>
      </c>
      <c r="M1622" s="420">
        <v>0</v>
      </c>
      <c r="N1622" s="420">
        <v>299</v>
      </c>
      <c r="O1622" s="420">
        <v>0</v>
      </c>
      <c r="P1622" s="420">
        <v>669</v>
      </c>
      <c r="Q1622" s="420">
        <v>32</v>
      </c>
      <c r="R1622" s="311">
        <f t="shared" si="229"/>
        <v>1605</v>
      </c>
      <c r="S1622" s="363">
        <f t="shared" si="230"/>
        <v>66</v>
      </c>
      <c r="T1622" s="421"/>
      <c r="U1622" s="421"/>
      <c r="V1622" s="421"/>
      <c r="W1622" s="421"/>
      <c r="X1622" s="421"/>
    </row>
    <row r="1623" spans="1:24" ht="12.75">
      <c r="A1623" s="464" t="s">
        <v>589</v>
      </c>
      <c r="B1623" s="465" t="s">
        <v>178</v>
      </c>
      <c r="C1623" s="465" t="s">
        <v>812</v>
      </c>
      <c r="D1623" s="465">
        <v>2014</v>
      </c>
      <c r="E1623" s="465" t="s">
        <v>775</v>
      </c>
      <c r="F1623" s="420">
        <v>209</v>
      </c>
      <c r="G1623" s="419">
        <v>0</v>
      </c>
      <c r="H1623" s="420">
        <v>0</v>
      </c>
      <c r="I1623" s="420">
        <v>0</v>
      </c>
      <c r="J1623" s="420">
        <v>149</v>
      </c>
      <c r="K1623" s="419">
        <v>0</v>
      </c>
      <c r="L1623" s="420">
        <v>0</v>
      </c>
      <c r="M1623" s="420">
        <v>0</v>
      </c>
      <c r="N1623" s="420">
        <v>172</v>
      </c>
      <c r="O1623" s="420">
        <v>0</v>
      </c>
      <c r="P1623" s="420">
        <v>400</v>
      </c>
      <c r="Q1623" s="420">
        <v>18</v>
      </c>
      <c r="R1623" s="311">
        <f t="shared" si="229"/>
        <v>930</v>
      </c>
      <c r="S1623" s="363">
        <f t="shared" si="230"/>
        <v>18</v>
      </c>
      <c r="T1623" s="314">
        <f>SUM(G1607:G1623)</f>
        <v>136</v>
      </c>
      <c r="U1623" s="314">
        <f>SUM(K1607:K1623)</f>
        <v>83</v>
      </c>
      <c r="V1623" s="314">
        <f>SUM(O1607:O1623)</f>
        <v>934</v>
      </c>
      <c r="W1623" s="314">
        <f>SUM(Q1607:Q1623)</f>
        <v>1663</v>
      </c>
      <c r="X1623" s="314">
        <f>T1623+U1623+V1623+W1623</f>
        <v>2816</v>
      </c>
    </row>
    <row r="1624" spans="1:24" ht="12.75">
      <c r="A1624" s="422" t="s">
        <v>567</v>
      </c>
      <c r="B1624" s="423" t="s">
        <v>178</v>
      </c>
      <c r="C1624" s="423" t="s">
        <v>812</v>
      </c>
      <c r="D1624" s="423">
        <v>2015</v>
      </c>
      <c r="E1624" s="423" t="s">
        <v>775</v>
      </c>
      <c r="F1624" s="424">
        <v>764</v>
      </c>
      <c r="G1624" s="424">
        <v>0</v>
      </c>
      <c r="H1624" s="425">
        <v>0</v>
      </c>
      <c r="I1624" s="424">
        <v>0</v>
      </c>
      <c r="J1624" s="424">
        <v>541</v>
      </c>
      <c r="K1624" s="424">
        <v>0</v>
      </c>
      <c r="L1624" s="424">
        <v>0</v>
      </c>
      <c r="M1624" s="424">
        <v>0</v>
      </c>
      <c r="N1624" s="424">
        <v>622</v>
      </c>
      <c r="O1624" s="424">
        <v>0</v>
      </c>
      <c r="P1624" s="424">
        <v>1407</v>
      </c>
      <c r="Q1624" s="425">
        <v>0</v>
      </c>
      <c r="R1624" s="319">
        <f t="shared" si="229"/>
        <v>3334</v>
      </c>
      <c r="S1624" s="364">
        <f t="shared" si="230"/>
        <v>0</v>
      </c>
      <c r="T1624" s="426"/>
      <c r="U1624" s="426"/>
      <c r="V1624" s="426"/>
      <c r="W1624" s="426"/>
      <c r="X1624" s="426"/>
    </row>
    <row r="1625" spans="1:24" ht="12.75">
      <c r="A1625" s="422" t="s">
        <v>570</v>
      </c>
      <c r="B1625" s="423" t="s">
        <v>178</v>
      </c>
      <c r="C1625" s="423" t="s">
        <v>812</v>
      </c>
      <c r="D1625" s="423">
        <v>2015</v>
      </c>
      <c r="E1625" s="423" t="s">
        <v>775</v>
      </c>
      <c r="F1625" s="424">
        <v>707</v>
      </c>
      <c r="G1625" s="424">
        <v>135</v>
      </c>
      <c r="H1625" s="425">
        <v>135</v>
      </c>
      <c r="I1625" s="424">
        <v>0</v>
      </c>
      <c r="J1625" s="424">
        <v>478</v>
      </c>
      <c r="K1625" s="424">
        <v>0</v>
      </c>
      <c r="L1625" s="424">
        <v>0</v>
      </c>
      <c r="M1625" s="424">
        <v>0</v>
      </c>
      <c r="N1625" s="424">
        <v>533</v>
      </c>
      <c r="O1625" s="424">
        <v>0</v>
      </c>
      <c r="P1625" s="424">
        <v>1176</v>
      </c>
      <c r="Q1625" s="425">
        <v>342</v>
      </c>
      <c r="R1625" s="319">
        <f t="shared" si="229"/>
        <v>2894</v>
      </c>
      <c r="S1625" s="364">
        <f t="shared" si="230"/>
        <v>477</v>
      </c>
      <c r="T1625" s="426"/>
      <c r="U1625" s="426"/>
      <c r="V1625" s="426"/>
      <c r="W1625" s="426"/>
      <c r="X1625" s="426"/>
    </row>
    <row r="1626" spans="1:24" ht="12.75">
      <c r="A1626" s="422" t="s">
        <v>571</v>
      </c>
      <c r="B1626" s="423" t="s">
        <v>178</v>
      </c>
      <c r="C1626" s="423" t="s">
        <v>812</v>
      </c>
      <c r="D1626" s="423">
        <v>2015</v>
      </c>
      <c r="E1626" s="423" t="s">
        <v>775</v>
      </c>
      <c r="F1626" s="424">
        <v>217</v>
      </c>
      <c r="G1626" s="424">
        <v>0</v>
      </c>
      <c r="H1626" s="425">
        <v>0</v>
      </c>
      <c r="I1626" s="424">
        <v>0</v>
      </c>
      <c r="J1626" s="424">
        <v>148</v>
      </c>
      <c r="K1626" s="424">
        <v>0</v>
      </c>
      <c r="L1626" s="424">
        <v>0</v>
      </c>
      <c r="M1626" s="424">
        <v>0</v>
      </c>
      <c r="N1626" s="424">
        <v>164</v>
      </c>
      <c r="O1626" s="424">
        <v>11</v>
      </c>
      <c r="P1626" s="424">
        <v>333</v>
      </c>
      <c r="Q1626" s="425">
        <v>94</v>
      </c>
      <c r="R1626" s="319">
        <f t="shared" si="229"/>
        <v>862</v>
      </c>
      <c r="S1626" s="364">
        <f t="shared" si="230"/>
        <v>105</v>
      </c>
      <c r="T1626" s="426"/>
      <c r="U1626" s="426"/>
      <c r="V1626" s="426"/>
      <c r="W1626" s="426"/>
      <c r="X1626" s="426"/>
    </row>
    <row r="1627" spans="1:24" ht="12.75">
      <c r="A1627" s="422" t="s">
        <v>572</v>
      </c>
      <c r="B1627" s="423" t="s">
        <v>178</v>
      </c>
      <c r="C1627" s="423" t="s">
        <v>812</v>
      </c>
      <c r="D1627" s="423">
        <v>2015</v>
      </c>
      <c r="E1627" s="423" t="s">
        <v>775</v>
      </c>
      <c r="F1627" s="424">
        <v>443</v>
      </c>
      <c r="G1627" s="424">
        <v>0</v>
      </c>
      <c r="H1627" s="425">
        <v>0</v>
      </c>
      <c r="I1627" s="424">
        <v>0</v>
      </c>
      <c r="J1627" s="424">
        <v>302</v>
      </c>
      <c r="K1627" s="424">
        <v>0</v>
      </c>
      <c r="L1627" s="424">
        <v>0</v>
      </c>
      <c r="M1627" s="424">
        <v>0</v>
      </c>
      <c r="N1627" s="424">
        <v>347</v>
      </c>
      <c r="O1627" s="424">
        <v>3</v>
      </c>
      <c r="P1627" s="424">
        <v>831</v>
      </c>
      <c r="Q1627" s="425">
        <v>13</v>
      </c>
      <c r="R1627" s="319">
        <f t="shared" si="229"/>
        <v>1923</v>
      </c>
      <c r="S1627" s="364">
        <f t="shared" si="230"/>
        <v>16</v>
      </c>
      <c r="T1627" s="426"/>
      <c r="U1627" s="426"/>
      <c r="V1627" s="426"/>
      <c r="W1627" s="426"/>
      <c r="X1627" s="426"/>
    </row>
    <row r="1628" spans="1:24" ht="12.75">
      <c r="A1628" s="422" t="s">
        <v>573</v>
      </c>
      <c r="B1628" s="423" t="s">
        <v>178</v>
      </c>
      <c r="C1628" s="423" t="s">
        <v>812</v>
      </c>
      <c r="D1628" s="423">
        <v>2015</v>
      </c>
      <c r="E1628" s="423" t="s">
        <v>775</v>
      </c>
      <c r="F1628" s="424">
        <v>1442</v>
      </c>
      <c r="G1628" s="424">
        <v>0</v>
      </c>
      <c r="H1628" s="425">
        <v>0</v>
      </c>
      <c r="I1628" s="424">
        <v>0</v>
      </c>
      <c r="J1628" s="424">
        <v>974</v>
      </c>
      <c r="K1628" s="424">
        <v>147</v>
      </c>
      <c r="L1628" s="424">
        <v>147</v>
      </c>
      <c r="M1628" s="424">
        <v>0</v>
      </c>
      <c r="N1628" s="424">
        <v>1090</v>
      </c>
      <c r="O1628" s="424">
        <v>0</v>
      </c>
      <c r="P1628" s="424">
        <v>2471</v>
      </c>
      <c r="Q1628" s="425">
        <v>368</v>
      </c>
      <c r="R1628" s="319">
        <f t="shared" si="229"/>
        <v>5977</v>
      </c>
      <c r="S1628" s="364">
        <f t="shared" si="230"/>
        <v>515</v>
      </c>
      <c r="T1628" s="426"/>
      <c r="U1628" s="426"/>
      <c r="V1628" s="426"/>
      <c r="W1628" s="426"/>
      <c r="X1628" s="426"/>
    </row>
    <row r="1629" spans="1:24" ht="12.75">
      <c r="A1629" s="422" t="s">
        <v>574</v>
      </c>
      <c r="B1629" s="423" t="s">
        <v>178</v>
      </c>
      <c r="C1629" s="423" t="s">
        <v>812</v>
      </c>
      <c r="D1629" s="423">
        <v>2015</v>
      </c>
      <c r="E1629" s="423" t="s">
        <v>775</v>
      </c>
      <c r="F1629" s="424">
        <v>28</v>
      </c>
      <c r="G1629" s="424">
        <v>0</v>
      </c>
      <c r="H1629" s="425">
        <v>0</v>
      </c>
      <c r="I1629" s="424">
        <v>0</v>
      </c>
      <c r="J1629" s="424">
        <v>19</v>
      </c>
      <c r="K1629" s="424">
        <v>0</v>
      </c>
      <c r="L1629" s="424">
        <v>0</v>
      </c>
      <c r="M1629" s="424">
        <v>0</v>
      </c>
      <c r="N1629" s="424">
        <v>22</v>
      </c>
      <c r="O1629" s="424">
        <v>10</v>
      </c>
      <c r="P1629" s="424">
        <v>49</v>
      </c>
      <c r="Q1629" s="425">
        <v>0</v>
      </c>
      <c r="R1629" s="319">
        <f t="shared" si="229"/>
        <v>118</v>
      </c>
      <c r="S1629" s="364">
        <f t="shared" si="230"/>
        <v>10</v>
      </c>
      <c r="T1629" s="426"/>
      <c r="U1629" s="426"/>
      <c r="V1629" s="426"/>
      <c r="W1629" s="426"/>
      <c r="X1629" s="426"/>
    </row>
    <row r="1630" spans="1:24" ht="12.75">
      <c r="A1630" s="422" t="s">
        <v>575</v>
      </c>
      <c r="B1630" s="423" t="s">
        <v>178</v>
      </c>
      <c r="C1630" s="423" t="s">
        <v>812</v>
      </c>
      <c r="D1630" s="423">
        <v>2015</v>
      </c>
      <c r="E1630" s="423" t="s">
        <v>775</v>
      </c>
      <c r="F1630" s="424">
        <v>398</v>
      </c>
      <c r="G1630" s="424">
        <v>0</v>
      </c>
      <c r="H1630" s="425">
        <v>0</v>
      </c>
      <c r="I1630" s="424">
        <v>0</v>
      </c>
      <c r="J1630" s="424">
        <v>274</v>
      </c>
      <c r="K1630" s="424">
        <v>0</v>
      </c>
      <c r="L1630" s="424">
        <v>0</v>
      </c>
      <c r="M1630" s="424">
        <v>0</v>
      </c>
      <c r="N1630" s="424">
        <v>314</v>
      </c>
      <c r="O1630" s="424">
        <v>0</v>
      </c>
      <c r="P1630" s="424">
        <v>729</v>
      </c>
      <c r="Q1630" s="425">
        <v>98</v>
      </c>
      <c r="R1630" s="319">
        <f t="shared" si="229"/>
        <v>1715</v>
      </c>
      <c r="S1630" s="364">
        <f t="shared" si="230"/>
        <v>98</v>
      </c>
      <c r="T1630" s="426"/>
      <c r="U1630" s="426"/>
      <c r="V1630" s="426"/>
      <c r="W1630" s="426"/>
      <c r="X1630" s="426"/>
    </row>
    <row r="1631" spans="1:24" ht="12.75">
      <c r="A1631" s="422" t="s">
        <v>576</v>
      </c>
      <c r="B1631" s="423" t="s">
        <v>178</v>
      </c>
      <c r="C1631" s="423" t="s">
        <v>812</v>
      </c>
      <c r="D1631" s="423">
        <v>2015</v>
      </c>
      <c r="E1631" s="423" t="s">
        <v>775</v>
      </c>
      <c r="F1631" s="424">
        <v>349</v>
      </c>
      <c r="G1631" s="424">
        <v>0</v>
      </c>
      <c r="H1631" s="425">
        <v>0</v>
      </c>
      <c r="I1631" s="424">
        <v>0</v>
      </c>
      <c r="J1631" s="424">
        <v>246</v>
      </c>
      <c r="K1631" s="424">
        <v>0</v>
      </c>
      <c r="L1631" s="424">
        <v>0</v>
      </c>
      <c r="M1631" s="424">
        <v>0</v>
      </c>
      <c r="N1631" s="424">
        <v>280</v>
      </c>
      <c r="O1631" s="424">
        <v>0</v>
      </c>
      <c r="P1631" s="424">
        <v>625</v>
      </c>
      <c r="Q1631" s="425">
        <v>6</v>
      </c>
      <c r="R1631" s="319">
        <f t="shared" si="229"/>
        <v>1500</v>
      </c>
      <c r="S1631" s="364">
        <f t="shared" si="230"/>
        <v>6</v>
      </c>
      <c r="T1631" s="426"/>
      <c r="U1631" s="426"/>
      <c r="V1631" s="426"/>
      <c r="W1631" s="426"/>
      <c r="X1631" s="426"/>
    </row>
    <row r="1632" spans="1:24" ht="12.75">
      <c r="A1632" s="422" t="s">
        <v>578</v>
      </c>
      <c r="B1632" s="423" t="s">
        <v>178</v>
      </c>
      <c r="C1632" s="423" t="s">
        <v>812</v>
      </c>
      <c r="D1632" s="423">
        <v>2015</v>
      </c>
      <c r="E1632" s="423" t="s">
        <v>775</v>
      </c>
      <c r="F1632" s="424">
        <v>164</v>
      </c>
      <c r="G1632" s="424">
        <v>0</v>
      </c>
      <c r="H1632" s="425">
        <v>0</v>
      </c>
      <c r="I1632" s="424">
        <v>0</v>
      </c>
      <c r="J1632" s="424">
        <v>114</v>
      </c>
      <c r="K1632" s="424">
        <v>0</v>
      </c>
      <c r="L1632" s="424">
        <v>0</v>
      </c>
      <c r="M1632" s="424">
        <v>0</v>
      </c>
      <c r="N1632" s="424">
        <v>125</v>
      </c>
      <c r="O1632" s="424">
        <v>0</v>
      </c>
      <c r="P1632" s="424">
        <v>294</v>
      </c>
      <c r="Q1632" s="425">
        <v>20</v>
      </c>
      <c r="R1632" s="319">
        <f t="shared" si="229"/>
        <v>697</v>
      </c>
      <c r="S1632" s="364">
        <f t="shared" si="230"/>
        <v>20</v>
      </c>
      <c r="T1632" s="426"/>
      <c r="U1632" s="426"/>
      <c r="V1632" s="426"/>
      <c r="W1632" s="426"/>
      <c r="X1632" s="426"/>
    </row>
    <row r="1633" spans="1:24" ht="12.75">
      <c r="A1633" s="422" t="s">
        <v>579</v>
      </c>
      <c r="B1633" s="423" t="s">
        <v>178</v>
      </c>
      <c r="C1633" s="423" t="s">
        <v>812</v>
      </c>
      <c r="D1633" s="423">
        <v>2015</v>
      </c>
      <c r="E1633" s="423" t="s">
        <v>775</v>
      </c>
      <c r="F1633" s="424">
        <v>38</v>
      </c>
      <c r="G1633" s="424">
        <v>0</v>
      </c>
      <c r="H1633" s="425">
        <v>0</v>
      </c>
      <c r="I1633" s="424">
        <v>0</v>
      </c>
      <c r="J1633" s="424">
        <v>29</v>
      </c>
      <c r="K1633" s="424">
        <v>0</v>
      </c>
      <c r="L1633" s="424">
        <v>0</v>
      </c>
      <c r="M1633" s="424">
        <v>0</v>
      </c>
      <c r="N1633" s="424">
        <v>34</v>
      </c>
      <c r="O1633" s="424">
        <v>0</v>
      </c>
      <c r="P1633" s="424">
        <v>80</v>
      </c>
      <c r="Q1633" s="425">
        <v>6</v>
      </c>
      <c r="R1633" s="319">
        <f t="shared" si="229"/>
        <v>181</v>
      </c>
      <c r="S1633" s="364">
        <f t="shared" si="230"/>
        <v>6</v>
      </c>
      <c r="T1633" s="426"/>
      <c r="U1633" s="426"/>
      <c r="V1633" s="426"/>
      <c r="W1633" s="426"/>
      <c r="X1633" s="426"/>
    </row>
    <row r="1634" spans="1:24" ht="12.75">
      <c r="A1634" s="422" t="s">
        <v>580</v>
      </c>
      <c r="B1634" s="423" t="s">
        <v>178</v>
      </c>
      <c r="C1634" s="423" t="s">
        <v>812</v>
      </c>
      <c r="D1634" s="423">
        <v>2015</v>
      </c>
      <c r="E1634" s="423" t="s">
        <v>775</v>
      </c>
      <c r="F1634" s="424">
        <v>2592</v>
      </c>
      <c r="G1634" s="424">
        <v>0</v>
      </c>
      <c r="H1634" s="425">
        <v>0</v>
      </c>
      <c r="I1634" s="424">
        <v>0</v>
      </c>
      <c r="J1634" s="424">
        <v>1745</v>
      </c>
      <c r="K1634" s="424">
        <v>0</v>
      </c>
      <c r="L1634" s="424">
        <v>0</v>
      </c>
      <c r="M1634" s="424">
        <v>0</v>
      </c>
      <c r="N1634" s="424">
        <v>1977</v>
      </c>
      <c r="O1634" s="424">
        <v>138</v>
      </c>
      <c r="P1634" s="424">
        <v>4547</v>
      </c>
      <c r="Q1634" s="425">
        <v>420</v>
      </c>
      <c r="R1634" s="319">
        <f t="shared" si="229"/>
        <v>10861</v>
      </c>
      <c r="S1634" s="364">
        <f t="shared" si="230"/>
        <v>558</v>
      </c>
      <c r="T1634" s="426"/>
      <c r="U1634" s="426"/>
      <c r="V1634" s="426"/>
      <c r="W1634" s="426"/>
      <c r="X1634" s="426"/>
    </row>
    <row r="1635" spans="1:24" ht="12.75">
      <c r="A1635" s="422" t="s">
        <v>581</v>
      </c>
      <c r="B1635" s="423" t="s">
        <v>178</v>
      </c>
      <c r="C1635" s="423" t="s">
        <v>812</v>
      </c>
      <c r="D1635" s="423">
        <v>2015</v>
      </c>
      <c r="E1635" s="423" t="s">
        <v>775</v>
      </c>
      <c r="F1635" s="424">
        <v>209</v>
      </c>
      <c r="G1635" s="424">
        <v>0</v>
      </c>
      <c r="H1635" s="425">
        <v>0</v>
      </c>
      <c r="I1635" s="424">
        <v>0</v>
      </c>
      <c r="J1635" s="424">
        <v>141</v>
      </c>
      <c r="K1635" s="424">
        <v>0</v>
      </c>
      <c r="L1635" s="424">
        <v>0</v>
      </c>
      <c r="M1635" s="424">
        <v>0</v>
      </c>
      <c r="N1635" s="424">
        <v>158</v>
      </c>
      <c r="O1635" s="424">
        <v>0</v>
      </c>
      <c r="P1635" s="424">
        <v>340</v>
      </c>
      <c r="Q1635" s="425">
        <v>425</v>
      </c>
      <c r="R1635" s="319">
        <f t="shared" si="229"/>
        <v>848</v>
      </c>
      <c r="S1635" s="364">
        <f t="shared" si="230"/>
        <v>425</v>
      </c>
      <c r="T1635" s="426"/>
      <c r="U1635" s="426"/>
      <c r="V1635" s="426"/>
      <c r="W1635" s="426"/>
      <c r="X1635" s="426"/>
    </row>
    <row r="1636" spans="1:24" ht="12.75">
      <c r="A1636" s="422" t="s">
        <v>582</v>
      </c>
      <c r="B1636" s="423" t="s">
        <v>178</v>
      </c>
      <c r="C1636" s="423" t="s">
        <v>812</v>
      </c>
      <c r="D1636" s="423">
        <v>2015</v>
      </c>
      <c r="E1636" s="423" t="s">
        <v>775</v>
      </c>
      <c r="F1636" s="424">
        <v>579</v>
      </c>
      <c r="G1636" s="424">
        <v>0</v>
      </c>
      <c r="H1636" s="425">
        <v>0</v>
      </c>
      <c r="I1636" s="424">
        <v>0</v>
      </c>
      <c r="J1636" s="424">
        <v>396</v>
      </c>
      <c r="K1636" s="424">
        <v>0</v>
      </c>
      <c r="L1636" s="424">
        <v>0</v>
      </c>
      <c r="M1636" s="424">
        <v>0</v>
      </c>
      <c r="N1636" s="424">
        <v>453</v>
      </c>
      <c r="O1636" s="424">
        <v>2</v>
      </c>
      <c r="P1636" s="424">
        <v>1001</v>
      </c>
      <c r="Q1636" s="425">
        <v>68</v>
      </c>
      <c r="R1636" s="319">
        <f t="shared" si="229"/>
        <v>2429</v>
      </c>
      <c r="S1636" s="364">
        <f t="shared" si="230"/>
        <v>70</v>
      </c>
      <c r="T1636" s="426"/>
      <c r="U1636" s="426"/>
      <c r="V1636" s="426"/>
      <c r="W1636" s="426"/>
      <c r="X1636" s="426"/>
    </row>
    <row r="1637" spans="1:24" ht="12.75">
      <c r="A1637" s="422" t="s">
        <v>583</v>
      </c>
      <c r="B1637" s="423" t="s">
        <v>178</v>
      </c>
      <c r="C1637" s="423" t="s">
        <v>812</v>
      </c>
      <c r="D1637" s="423">
        <v>2015</v>
      </c>
      <c r="E1637" s="423" t="s">
        <v>775</v>
      </c>
      <c r="F1637" s="424">
        <v>636</v>
      </c>
      <c r="G1637" s="424">
        <v>0</v>
      </c>
      <c r="H1637" s="425">
        <v>0</v>
      </c>
      <c r="I1637" s="424">
        <v>0</v>
      </c>
      <c r="J1637" s="424">
        <v>432</v>
      </c>
      <c r="K1637" s="424">
        <v>0</v>
      </c>
      <c r="L1637" s="424">
        <v>0</v>
      </c>
      <c r="M1637" s="424">
        <v>0</v>
      </c>
      <c r="N1637" s="424">
        <v>496</v>
      </c>
      <c r="O1637" s="424">
        <v>0</v>
      </c>
      <c r="P1637" s="424">
        <v>1151</v>
      </c>
      <c r="Q1637" s="425">
        <v>8</v>
      </c>
      <c r="R1637" s="319">
        <f t="shared" si="229"/>
        <v>2715</v>
      </c>
      <c r="S1637" s="364">
        <f t="shared" si="230"/>
        <v>8</v>
      </c>
      <c r="T1637" s="426"/>
      <c r="U1637" s="426"/>
      <c r="V1637" s="426"/>
      <c r="W1637" s="426"/>
      <c r="X1637" s="426"/>
    </row>
    <row r="1638" spans="1:24" ht="12.75">
      <c r="A1638" s="422" t="s">
        <v>584</v>
      </c>
      <c r="B1638" s="423" t="s">
        <v>178</v>
      </c>
      <c r="C1638" s="423" t="s">
        <v>812</v>
      </c>
      <c r="D1638" s="423">
        <v>2015</v>
      </c>
      <c r="E1638" s="423" t="s">
        <v>775</v>
      </c>
      <c r="F1638" s="424">
        <v>9</v>
      </c>
      <c r="G1638" s="424">
        <v>16</v>
      </c>
      <c r="H1638" s="425">
        <v>0</v>
      </c>
      <c r="I1638" s="424">
        <v>16</v>
      </c>
      <c r="J1638" s="424">
        <v>6</v>
      </c>
      <c r="K1638" s="424">
        <v>236</v>
      </c>
      <c r="L1638" s="424">
        <v>0</v>
      </c>
      <c r="M1638" s="424">
        <v>236</v>
      </c>
      <c r="N1638" s="424">
        <v>7</v>
      </c>
      <c r="O1638" s="424">
        <v>86</v>
      </c>
      <c r="P1638" s="424">
        <v>17</v>
      </c>
      <c r="Q1638" s="425">
        <v>126</v>
      </c>
      <c r="R1638" s="319">
        <f t="shared" si="229"/>
        <v>39</v>
      </c>
      <c r="S1638" s="364">
        <f t="shared" si="230"/>
        <v>464</v>
      </c>
      <c r="T1638" s="426"/>
      <c r="U1638" s="426"/>
      <c r="V1638" s="426"/>
      <c r="W1638" s="426"/>
      <c r="X1638" s="426"/>
    </row>
    <row r="1639" spans="1:24" ht="12.75">
      <c r="A1639" s="457" t="s">
        <v>585</v>
      </c>
      <c r="B1639" s="458" t="s">
        <v>178</v>
      </c>
      <c r="C1639" s="458" t="s">
        <v>812</v>
      </c>
      <c r="D1639" s="458">
        <v>2015</v>
      </c>
      <c r="E1639" s="458" t="s">
        <v>775</v>
      </c>
      <c r="F1639" s="425">
        <v>103</v>
      </c>
      <c r="G1639" s="424">
        <v>0</v>
      </c>
      <c r="H1639" s="425">
        <v>0</v>
      </c>
      <c r="I1639" s="425">
        <v>0</v>
      </c>
      <c r="J1639" s="424">
        <v>72</v>
      </c>
      <c r="K1639" s="424">
        <v>0</v>
      </c>
      <c r="L1639" s="425">
        <v>0</v>
      </c>
      <c r="M1639" s="425">
        <v>0</v>
      </c>
      <c r="N1639" s="425">
        <v>84</v>
      </c>
      <c r="O1639" s="425">
        <v>5</v>
      </c>
      <c r="P1639" s="425">
        <v>195</v>
      </c>
      <c r="Q1639" s="425">
        <v>0</v>
      </c>
      <c r="R1639" s="319">
        <f t="shared" si="229"/>
        <v>454</v>
      </c>
      <c r="S1639" s="364">
        <f t="shared" si="230"/>
        <v>5</v>
      </c>
      <c r="T1639" s="426"/>
      <c r="U1639" s="426"/>
      <c r="V1639" s="426"/>
      <c r="W1639" s="426"/>
      <c r="X1639" s="426"/>
    </row>
    <row r="1640" spans="1:24" ht="12.75">
      <c r="A1640" s="457" t="s">
        <v>586</v>
      </c>
      <c r="B1640" s="458" t="s">
        <v>178</v>
      </c>
      <c r="C1640" s="458" t="s">
        <v>812</v>
      </c>
      <c r="D1640" s="458">
        <v>2015</v>
      </c>
      <c r="E1640" s="458" t="s">
        <v>775</v>
      </c>
      <c r="F1640" s="425">
        <v>382</v>
      </c>
      <c r="G1640" s="424">
        <v>0</v>
      </c>
      <c r="H1640" s="425">
        <v>0</v>
      </c>
      <c r="I1640" s="425">
        <v>0</v>
      </c>
      <c r="J1640" s="424">
        <v>260</v>
      </c>
      <c r="K1640" s="424">
        <v>0</v>
      </c>
      <c r="L1640" s="425">
        <v>0</v>
      </c>
      <c r="M1640" s="425">
        <v>0</v>
      </c>
      <c r="N1640" s="425">
        <v>294</v>
      </c>
      <c r="O1640" s="425">
        <v>0</v>
      </c>
      <c r="P1640" s="425">
        <v>653</v>
      </c>
      <c r="Q1640" s="425">
        <v>100</v>
      </c>
      <c r="R1640" s="319">
        <f t="shared" si="229"/>
        <v>1589</v>
      </c>
      <c r="S1640" s="364">
        <f t="shared" si="230"/>
        <v>100</v>
      </c>
      <c r="T1640" s="426"/>
      <c r="U1640" s="426"/>
      <c r="V1640" s="426"/>
      <c r="W1640" s="426"/>
      <c r="X1640" s="426"/>
    </row>
    <row r="1641" spans="1:24" ht="12.75">
      <c r="A1641" s="457" t="s">
        <v>588</v>
      </c>
      <c r="B1641" s="458" t="s">
        <v>178</v>
      </c>
      <c r="C1641" s="458" t="s">
        <v>812</v>
      </c>
      <c r="D1641" s="458">
        <v>2015</v>
      </c>
      <c r="E1641" s="458" t="s">
        <v>775</v>
      </c>
      <c r="F1641" s="425">
        <v>376</v>
      </c>
      <c r="G1641" s="424">
        <v>42</v>
      </c>
      <c r="H1641" s="425">
        <v>42</v>
      </c>
      <c r="I1641" s="425">
        <v>0</v>
      </c>
      <c r="J1641" s="425">
        <v>261</v>
      </c>
      <c r="K1641" s="424">
        <v>38</v>
      </c>
      <c r="L1641" s="425">
        <v>7</v>
      </c>
      <c r="M1641" s="425">
        <v>31</v>
      </c>
      <c r="N1641" s="425">
        <v>299</v>
      </c>
      <c r="O1641" s="425">
        <v>0</v>
      </c>
      <c r="P1641" s="425">
        <v>669</v>
      </c>
      <c r="Q1641" s="425">
        <v>111</v>
      </c>
      <c r="R1641" s="319">
        <f t="shared" si="229"/>
        <v>1605</v>
      </c>
      <c r="S1641" s="364">
        <f t="shared" si="230"/>
        <v>191</v>
      </c>
      <c r="T1641" s="426"/>
      <c r="U1641" s="426"/>
      <c r="V1641" s="426"/>
      <c r="W1641" s="426"/>
      <c r="X1641" s="426"/>
    </row>
    <row r="1642" spans="1:24" ht="12.75">
      <c r="A1642" s="457" t="s">
        <v>589</v>
      </c>
      <c r="B1642" s="458" t="s">
        <v>178</v>
      </c>
      <c r="C1642" s="458" t="s">
        <v>812</v>
      </c>
      <c r="D1642" s="458">
        <v>2015</v>
      </c>
      <c r="E1642" s="458" t="s">
        <v>775</v>
      </c>
      <c r="F1642" s="425">
        <v>209</v>
      </c>
      <c r="G1642" s="424">
        <v>0</v>
      </c>
      <c r="H1642" s="425">
        <v>0</v>
      </c>
      <c r="I1642" s="425">
        <v>0</v>
      </c>
      <c r="J1642" s="425">
        <v>149</v>
      </c>
      <c r="K1642" s="424">
        <v>0</v>
      </c>
      <c r="L1642" s="425">
        <v>0</v>
      </c>
      <c r="M1642" s="425">
        <v>0</v>
      </c>
      <c r="N1642" s="425">
        <v>172</v>
      </c>
      <c r="O1642" s="425">
        <v>0</v>
      </c>
      <c r="P1642" s="425">
        <v>400</v>
      </c>
      <c r="Q1642" s="425">
        <v>17</v>
      </c>
      <c r="R1642" s="319">
        <f t="shared" si="229"/>
        <v>930</v>
      </c>
      <c r="S1642" s="364">
        <f t="shared" si="230"/>
        <v>17</v>
      </c>
      <c r="T1642" s="323">
        <f>SUM(G1624:G1642)</f>
        <v>193</v>
      </c>
      <c r="U1642" s="323">
        <f>SUM(K1624:K1642)</f>
        <v>421</v>
      </c>
      <c r="V1642" s="323">
        <f>SUM(O1624:O1642)</f>
        <v>255</v>
      </c>
      <c r="W1642" s="323">
        <f>SUM(Q1624:Q1642)</f>
        <v>2222</v>
      </c>
      <c r="X1642" s="323">
        <f>T1642+U1642+V1642+W1642</f>
        <v>3091</v>
      </c>
    </row>
    <row r="1643" spans="1:24" ht="12.75">
      <c r="A1643" s="428" t="s">
        <v>567</v>
      </c>
      <c r="B1643" s="429" t="s">
        <v>178</v>
      </c>
      <c r="C1643" s="429" t="s">
        <v>812</v>
      </c>
      <c r="D1643" s="429">
        <v>2016</v>
      </c>
      <c r="E1643" s="429" t="s">
        <v>775</v>
      </c>
      <c r="F1643" s="430">
        <v>764</v>
      </c>
      <c r="G1643" s="430">
        <v>0</v>
      </c>
      <c r="H1643" s="431">
        <v>0</v>
      </c>
      <c r="I1643" s="430">
        <v>0</v>
      </c>
      <c r="J1643" s="430">
        <v>541</v>
      </c>
      <c r="K1643" s="430">
        <v>0</v>
      </c>
      <c r="L1643" s="430">
        <v>0</v>
      </c>
      <c r="M1643" s="430">
        <v>0</v>
      </c>
      <c r="N1643" s="430">
        <v>622</v>
      </c>
      <c r="O1643" s="430">
        <v>0</v>
      </c>
      <c r="P1643" s="430">
        <v>1407</v>
      </c>
      <c r="Q1643" s="431">
        <v>0</v>
      </c>
      <c r="R1643" s="328">
        <f t="shared" si="229"/>
        <v>3334</v>
      </c>
      <c r="S1643" s="365">
        <f t="shared" si="230"/>
        <v>0</v>
      </c>
      <c r="T1643" s="432"/>
      <c r="U1643" s="432"/>
      <c r="V1643" s="432"/>
      <c r="W1643" s="432"/>
      <c r="X1643" s="432"/>
    </row>
    <row r="1644" spans="1:24" ht="12.75">
      <c r="A1644" s="428" t="s">
        <v>568</v>
      </c>
      <c r="B1644" s="429" t="s">
        <v>178</v>
      </c>
      <c r="C1644" s="429" t="s">
        <v>812</v>
      </c>
      <c r="D1644" s="429">
        <v>2016</v>
      </c>
      <c r="E1644" s="429" t="s">
        <v>775</v>
      </c>
      <c r="F1644" s="430">
        <v>188</v>
      </c>
      <c r="G1644" s="430">
        <v>0</v>
      </c>
      <c r="H1644" s="431">
        <v>0</v>
      </c>
      <c r="I1644" s="430">
        <v>0</v>
      </c>
      <c r="J1644" s="430">
        <v>138</v>
      </c>
      <c r="K1644" s="430">
        <v>0</v>
      </c>
      <c r="L1644" s="430">
        <v>0</v>
      </c>
      <c r="M1644" s="430">
        <v>0</v>
      </c>
      <c r="N1644" s="430">
        <v>154</v>
      </c>
      <c r="O1644" s="430">
        <v>0</v>
      </c>
      <c r="P1644" s="430">
        <v>363</v>
      </c>
      <c r="Q1644" s="431">
        <v>0</v>
      </c>
      <c r="R1644" s="328">
        <f t="shared" si="229"/>
        <v>843</v>
      </c>
      <c r="S1644" s="365">
        <f t="shared" si="230"/>
        <v>0</v>
      </c>
      <c r="T1644" s="432"/>
      <c r="U1644" s="432"/>
      <c r="V1644" s="432"/>
      <c r="W1644" s="432"/>
      <c r="X1644" s="432"/>
    </row>
    <row r="1645" spans="1:24" ht="12.75">
      <c r="A1645" s="428" t="s">
        <v>570</v>
      </c>
      <c r="B1645" s="429" t="s">
        <v>178</v>
      </c>
      <c r="C1645" s="429" t="s">
        <v>812</v>
      </c>
      <c r="D1645" s="429">
        <v>2016</v>
      </c>
      <c r="E1645" s="429" t="s">
        <v>775</v>
      </c>
      <c r="F1645" s="430">
        <v>707</v>
      </c>
      <c r="G1645" s="430">
        <v>0</v>
      </c>
      <c r="H1645" s="431">
        <v>0</v>
      </c>
      <c r="I1645" s="430">
        <v>0</v>
      </c>
      <c r="J1645" s="430">
        <v>478</v>
      </c>
      <c r="K1645" s="430">
        <v>203</v>
      </c>
      <c r="L1645" s="430">
        <v>203</v>
      </c>
      <c r="M1645" s="430">
        <v>0</v>
      </c>
      <c r="N1645" s="430">
        <v>533</v>
      </c>
      <c r="O1645" s="430">
        <v>0</v>
      </c>
      <c r="P1645" s="430">
        <v>1176</v>
      </c>
      <c r="Q1645" s="431">
        <v>370</v>
      </c>
      <c r="R1645" s="328">
        <f t="shared" si="229"/>
        <v>2894</v>
      </c>
      <c r="S1645" s="365">
        <f t="shared" si="230"/>
        <v>573</v>
      </c>
      <c r="T1645" s="432"/>
      <c r="U1645" s="432"/>
      <c r="V1645" s="432"/>
      <c r="W1645" s="432"/>
      <c r="X1645" s="432"/>
    </row>
    <row r="1646" spans="1:24" ht="12.75">
      <c r="A1646" s="428" t="s">
        <v>571</v>
      </c>
      <c r="B1646" s="429" t="s">
        <v>178</v>
      </c>
      <c r="C1646" s="429" t="s">
        <v>812</v>
      </c>
      <c r="D1646" s="429">
        <v>2016</v>
      </c>
      <c r="E1646" s="429" t="s">
        <v>775</v>
      </c>
      <c r="F1646" s="430">
        <v>217</v>
      </c>
      <c r="G1646" s="430">
        <v>0</v>
      </c>
      <c r="H1646" s="431">
        <v>0</v>
      </c>
      <c r="I1646" s="430">
        <v>0</v>
      </c>
      <c r="J1646" s="430">
        <v>148</v>
      </c>
      <c r="K1646" s="430">
        <v>0</v>
      </c>
      <c r="L1646" s="430">
        <v>0</v>
      </c>
      <c r="M1646" s="430">
        <v>0</v>
      </c>
      <c r="N1646" s="430">
        <v>164</v>
      </c>
      <c r="O1646" s="430">
        <v>357</v>
      </c>
      <c r="P1646" s="430">
        <v>333</v>
      </c>
      <c r="Q1646" s="431">
        <v>91</v>
      </c>
      <c r="R1646" s="328">
        <f t="shared" si="229"/>
        <v>862</v>
      </c>
      <c r="S1646" s="365">
        <f t="shared" si="230"/>
        <v>448</v>
      </c>
      <c r="T1646" s="432"/>
      <c r="U1646" s="432"/>
      <c r="V1646" s="432"/>
      <c r="W1646" s="432"/>
      <c r="X1646" s="432"/>
    </row>
    <row r="1647" spans="1:24" ht="12.75">
      <c r="A1647" s="428" t="s">
        <v>572</v>
      </c>
      <c r="B1647" s="429" t="s">
        <v>178</v>
      </c>
      <c r="C1647" s="429" t="s">
        <v>812</v>
      </c>
      <c r="D1647" s="429">
        <v>2016</v>
      </c>
      <c r="E1647" s="429" t="s">
        <v>775</v>
      </c>
      <c r="F1647" s="430">
        <v>443</v>
      </c>
      <c r="G1647" s="430">
        <v>0</v>
      </c>
      <c r="H1647" s="431">
        <v>0</v>
      </c>
      <c r="I1647" s="430">
        <v>0</v>
      </c>
      <c r="J1647" s="430">
        <v>302</v>
      </c>
      <c r="K1647" s="430">
        <v>0</v>
      </c>
      <c r="L1647" s="430">
        <v>0</v>
      </c>
      <c r="M1647" s="430">
        <v>0</v>
      </c>
      <c r="N1647" s="430">
        <v>347</v>
      </c>
      <c r="O1647" s="430">
        <v>3</v>
      </c>
      <c r="P1647" s="430">
        <v>831</v>
      </c>
      <c r="Q1647" s="431">
        <v>6</v>
      </c>
      <c r="R1647" s="328">
        <f t="shared" si="229"/>
        <v>1923</v>
      </c>
      <c r="S1647" s="365">
        <f t="shared" si="230"/>
        <v>9</v>
      </c>
      <c r="T1647" s="432"/>
      <c r="U1647" s="432"/>
      <c r="V1647" s="432"/>
      <c r="W1647" s="432"/>
      <c r="X1647" s="432"/>
    </row>
    <row r="1648" spans="1:24" ht="12.75">
      <c r="A1648" s="428" t="s">
        <v>573</v>
      </c>
      <c r="B1648" s="429" t="s">
        <v>178</v>
      </c>
      <c r="C1648" s="429" t="s">
        <v>812</v>
      </c>
      <c r="D1648" s="429">
        <v>2016</v>
      </c>
      <c r="E1648" s="429" t="s">
        <v>775</v>
      </c>
      <c r="F1648" s="430">
        <v>1442</v>
      </c>
      <c r="G1648" s="430">
        <v>0</v>
      </c>
      <c r="H1648" s="431">
        <v>0</v>
      </c>
      <c r="I1648" s="430">
        <v>0</v>
      </c>
      <c r="J1648" s="430">
        <v>974</v>
      </c>
      <c r="K1648" s="430">
        <v>0</v>
      </c>
      <c r="L1648" s="430">
        <v>0</v>
      </c>
      <c r="M1648" s="430">
        <v>0</v>
      </c>
      <c r="N1648" s="430">
        <v>1090</v>
      </c>
      <c r="O1648" s="430">
        <v>0</v>
      </c>
      <c r="P1648" s="430">
        <v>2471</v>
      </c>
      <c r="Q1648" s="431">
        <v>444</v>
      </c>
      <c r="R1648" s="328">
        <f t="shared" si="229"/>
        <v>5977</v>
      </c>
      <c r="S1648" s="365">
        <f t="shared" si="230"/>
        <v>444</v>
      </c>
      <c r="T1648" s="432"/>
      <c r="U1648" s="432"/>
      <c r="V1648" s="432"/>
      <c r="W1648" s="432"/>
      <c r="X1648" s="432"/>
    </row>
    <row r="1649" spans="1:24" ht="12.75">
      <c r="A1649" s="428" t="s">
        <v>574</v>
      </c>
      <c r="B1649" s="429" t="s">
        <v>178</v>
      </c>
      <c r="C1649" s="429" t="s">
        <v>812</v>
      </c>
      <c r="D1649" s="429">
        <v>2016</v>
      </c>
      <c r="E1649" s="429" t="s">
        <v>775</v>
      </c>
      <c r="F1649" s="430">
        <v>28</v>
      </c>
      <c r="G1649" s="430">
        <v>0</v>
      </c>
      <c r="H1649" s="431">
        <v>0</v>
      </c>
      <c r="I1649" s="430">
        <v>0</v>
      </c>
      <c r="J1649" s="430">
        <v>19</v>
      </c>
      <c r="K1649" s="430">
        <v>0</v>
      </c>
      <c r="L1649" s="430">
        <v>0</v>
      </c>
      <c r="M1649" s="430">
        <v>0</v>
      </c>
      <c r="N1649" s="430">
        <v>22</v>
      </c>
      <c r="O1649" s="430">
        <v>5</v>
      </c>
      <c r="P1649" s="430">
        <v>49</v>
      </c>
      <c r="Q1649" s="431">
        <v>0</v>
      </c>
      <c r="R1649" s="328">
        <f t="shared" si="229"/>
        <v>118</v>
      </c>
      <c r="S1649" s="365">
        <f t="shared" si="230"/>
        <v>5</v>
      </c>
      <c r="T1649" s="432"/>
      <c r="U1649" s="432"/>
      <c r="V1649" s="432"/>
      <c r="W1649" s="432"/>
      <c r="X1649" s="432"/>
    </row>
    <row r="1650" spans="1:24" ht="12.75">
      <c r="A1650" s="428" t="s">
        <v>575</v>
      </c>
      <c r="B1650" s="480" t="s">
        <v>178</v>
      </c>
      <c r="C1650" s="429" t="s">
        <v>812</v>
      </c>
      <c r="D1650" s="429">
        <v>2016</v>
      </c>
      <c r="E1650" s="429" t="s">
        <v>775</v>
      </c>
      <c r="F1650" s="430">
        <v>398</v>
      </c>
      <c r="G1650" s="430">
        <v>0</v>
      </c>
      <c r="H1650" s="431">
        <v>0</v>
      </c>
      <c r="I1650" s="430">
        <v>0</v>
      </c>
      <c r="J1650" s="430">
        <v>274</v>
      </c>
      <c r="K1650" s="430">
        <v>20</v>
      </c>
      <c r="L1650" s="430">
        <v>20</v>
      </c>
      <c r="M1650" s="430">
        <v>0</v>
      </c>
      <c r="N1650" s="430">
        <v>314</v>
      </c>
      <c r="O1650" s="430">
        <v>75</v>
      </c>
      <c r="P1650" s="430">
        <v>729</v>
      </c>
      <c r="Q1650" s="431">
        <v>172</v>
      </c>
      <c r="R1650" s="328">
        <f t="shared" si="229"/>
        <v>1715</v>
      </c>
      <c r="S1650" s="365">
        <f t="shared" si="230"/>
        <v>267</v>
      </c>
      <c r="T1650" s="432"/>
      <c r="U1650" s="432"/>
      <c r="V1650" s="432"/>
      <c r="W1650" s="432"/>
      <c r="X1650" s="432"/>
    </row>
    <row r="1651" spans="1:24" ht="12.75">
      <c r="A1651" s="428" t="s">
        <v>576</v>
      </c>
      <c r="B1651" s="429" t="s">
        <v>178</v>
      </c>
      <c r="C1651" s="429" t="s">
        <v>812</v>
      </c>
      <c r="D1651" s="429">
        <v>2016</v>
      </c>
      <c r="E1651" s="429" t="s">
        <v>775</v>
      </c>
      <c r="F1651" s="430">
        <v>349</v>
      </c>
      <c r="G1651" s="430">
        <v>0</v>
      </c>
      <c r="H1651" s="431">
        <v>0</v>
      </c>
      <c r="I1651" s="430">
        <v>0</v>
      </c>
      <c r="J1651" s="430">
        <v>246</v>
      </c>
      <c r="K1651" s="430">
        <v>0</v>
      </c>
      <c r="L1651" s="430">
        <v>0</v>
      </c>
      <c r="M1651" s="430">
        <v>0</v>
      </c>
      <c r="N1651" s="430">
        <v>280</v>
      </c>
      <c r="O1651" s="430">
        <v>6</v>
      </c>
      <c r="P1651" s="430">
        <v>625</v>
      </c>
      <c r="Q1651" s="431">
        <v>18</v>
      </c>
      <c r="R1651" s="328">
        <f t="shared" si="229"/>
        <v>1500</v>
      </c>
      <c r="S1651" s="365">
        <f t="shared" si="230"/>
        <v>24</v>
      </c>
      <c r="T1651" s="432"/>
      <c r="U1651" s="432"/>
      <c r="V1651" s="432"/>
      <c r="W1651" s="432"/>
      <c r="X1651" s="432"/>
    </row>
    <row r="1652" spans="1:24" ht="12.75">
      <c r="A1652" s="428" t="s">
        <v>578</v>
      </c>
      <c r="B1652" s="429" t="s">
        <v>178</v>
      </c>
      <c r="C1652" s="429" t="s">
        <v>812</v>
      </c>
      <c r="D1652" s="429">
        <v>2016</v>
      </c>
      <c r="E1652" s="429" t="s">
        <v>775</v>
      </c>
      <c r="F1652" s="430">
        <v>164</v>
      </c>
      <c r="G1652" s="430">
        <v>0</v>
      </c>
      <c r="H1652" s="431">
        <v>0</v>
      </c>
      <c r="I1652" s="430">
        <v>0</v>
      </c>
      <c r="J1652" s="430">
        <v>114</v>
      </c>
      <c r="K1652" s="430">
        <v>0</v>
      </c>
      <c r="L1652" s="430">
        <v>0</v>
      </c>
      <c r="M1652" s="430">
        <v>0</v>
      </c>
      <c r="N1652" s="430">
        <v>125</v>
      </c>
      <c r="O1652" s="430">
        <v>0</v>
      </c>
      <c r="P1652" s="430">
        <v>294</v>
      </c>
      <c r="Q1652" s="431">
        <v>39</v>
      </c>
      <c r="R1652" s="328">
        <f t="shared" si="229"/>
        <v>697</v>
      </c>
      <c r="S1652" s="365">
        <f t="shared" si="230"/>
        <v>39</v>
      </c>
      <c r="T1652" s="432"/>
      <c r="U1652" s="432"/>
      <c r="V1652" s="432"/>
      <c r="W1652" s="432"/>
      <c r="X1652" s="432"/>
    </row>
    <row r="1653" spans="1:24" ht="12.75">
      <c r="A1653" s="428" t="s">
        <v>579</v>
      </c>
      <c r="B1653" s="429" t="s">
        <v>178</v>
      </c>
      <c r="C1653" s="429" t="s">
        <v>812</v>
      </c>
      <c r="D1653" s="429">
        <v>2016</v>
      </c>
      <c r="E1653" s="429" t="s">
        <v>775</v>
      </c>
      <c r="F1653" s="430">
        <v>38</v>
      </c>
      <c r="G1653" s="430">
        <v>0</v>
      </c>
      <c r="H1653" s="431">
        <v>0</v>
      </c>
      <c r="I1653" s="430">
        <v>0</v>
      </c>
      <c r="J1653" s="430">
        <v>29</v>
      </c>
      <c r="K1653" s="430">
        <v>0</v>
      </c>
      <c r="L1653" s="430">
        <v>0</v>
      </c>
      <c r="M1653" s="430">
        <v>0</v>
      </c>
      <c r="N1653" s="430">
        <v>34</v>
      </c>
      <c r="O1653" s="430">
        <v>6</v>
      </c>
      <c r="P1653" s="430">
        <v>80</v>
      </c>
      <c r="Q1653" s="431">
        <v>2</v>
      </c>
      <c r="R1653" s="328">
        <f t="shared" si="229"/>
        <v>181</v>
      </c>
      <c r="S1653" s="365">
        <f t="shared" si="230"/>
        <v>8</v>
      </c>
      <c r="T1653" s="432"/>
      <c r="U1653" s="432"/>
      <c r="V1653" s="432"/>
      <c r="W1653" s="432"/>
      <c r="X1653" s="432"/>
    </row>
    <row r="1654" spans="1:24" ht="12.75">
      <c r="A1654" s="428" t="s">
        <v>580</v>
      </c>
      <c r="B1654" s="429" t="s">
        <v>178</v>
      </c>
      <c r="C1654" s="429" t="s">
        <v>812</v>
      </c>
      <c r="D1654" s="429">
        <v>2016</v>
      </c>
      <c r="E1654" s="429" t="s">
        <v>775</v>
      </c>
      <c r="F1654" s="430">
        <v>2592</v>
      </c>
      <c r="G1654" s="430">
        <v>0</v>
      </c>
      <c r="H1654" s="431">
        <v>0</v>
      </c>
      <c r="I1654" s="430">
        <v>0</v>
      </c>
      <c r="J1654" s="430">
        <v>1745</v>
      </c>
      <c r="K1654" s="430">
        <v>0</v>
      </c>
      <c r="L1654" s="430">
        <v>0</v>
      </c>
      <c r="M1654" s="430">
        <v>0</v>
      </c>
      <c r="N1654" s="430">
        <v>1977</v>
      </c>
      <c r="O1654" s="430">
        <v>340</v>
      </c>
      <c r="P1654" s="430">
        <v>4547</v>
      </c>
      <c r="Q1654" s="431">
        <v>287</v>
      </c>
      <c r="R1654" s="328">
        <f t="shared" si="229"/>
        <v>10861</v>
      </c>
      <c r="S1654" s="365">
        <f t="shared" si="230"/>
        <v>627</v>
      </c>
      <c r="T1654" s="432"/>
      <c r="U1654" s="432"/>
      <c r="V1654" s="432"/>
      <c r="W1654" s="432"/>
      <c r="X1654" s="432"/>
    </row>
    <row r="1655" spans="1:24" ht="12.75">
      <c r="A1655" s="428" t="s">
        <v>581</v>
      </c>
      <c r="B1655" s="429" t="s">
        <v>178</v>
      </c>
      <c r="C1655" s="429" t="s">
        <v>812</v>
      </c>
      <c r="D1655" s="429">
        <v>2016</v>
      </c>
      <c r="E1655" s="429" t="s">
        <v>775</v>
      </c>
      <c r="F1655" s="430">
        <v>209</v>
      </c>
      <c r="G1655" s="430">
        <v>0</v>
      </c>
      <c r="H1655" s="431">
        <v>0</v>
      </c>
      <c r="I1655" s="430">
        <v>0</v>
      </c>
      <c r="J1655" s="430">
        <v>141</v>
      </c>
      <c r="K1655" s="430">
        <v>0</v>
      </c>
      <c r="L1655" s="430">
        <v>0</v>
      </c>
      <c r="M1655" s="430">
        <v>0</v>
      </c>
      <c r="N1655" s="430">
        <v>158</v>
      </c>
      <c r="O1655" s="430">
        <v>0</v>
      </c>
      <c r="P1655" s="430">
        <v>340</v>
      </c>
      <c r="Q1655" s="431">
        <v>171</v>
      </c>
      <c r="R1655" s="328">
        <f t="shared" si="229"/>
        <v>848</v>
      </c>
      <c r="S1655" s="365">
        <f t="shared" si="230"/>
        <v>171</v>
      </c>
      <c r="T1655" s="432"/>
      <c r="U1655" s="432"/>
      <c r="V1655" s="432"/>
      <c r="W1655" s="432"/>
      <c r="X1655" s="432"/>
    </row>
    <row r="1656" spans="1:24" ht="12.75">
      <c r="A1656" s="428" t="s">
        <v>582</v>
      </c>
      <c r="B1656" s="429" t="s">
        <v>178</v>
      </c>
      <c r="C1656" s="429" t="s">
        <v>812</v>
      </c>
      <c r="D1656" s="429">
        <v>2016</v>
      </c>
      <c r="E1656" s="429" t="s">
        <v>775</v>
      </c>
      <c r="F1656" s="430">
        <v>579</v>
      </c>
      <c r="G1656" s="430">
        <v>0</v>
      </c>
      <c r="H1656" s="431">
        <v>0</v>
      </c>
      <c r="I1656" s="430">
        <v>0</v>
      </c>
      <c r="J1656" s="430">
        <v>396</v>
      </c>
      <c r="K1656" s="430">
        <v>0</v>
      </c>
      <c r="L1656" s="430">
        <v>0</v>
      </c>
      <c r="M1656" s="430">
        <v>0</v>
      </c>
      <c r="N1656" s="430">
        <v>453</v>
      </c>
      <c r="O1656" s="430">
        <v>2</v>
      </c>
      <c r="P1656" s="430">
        <v>1001</v>
      </c>
      <c r="Q1656" s="431">
        <v>42</v>
      </c>
      <c r="R1656" s="328">
        <f t="shared" si="229"/>
        <v>2429</v>
      </c>
      <c r="S1656" s="365">
        <f t="shared" si="230"/>
        <v>44</v>
      </c>
      <c r="T1656" s="432"/>
      <c r="U1656" s="432"/>
      <c r="V1656" s="432"/>
      <c r="W1656" s="432"/>
      <c r="X1656" s="432"/>
    </row>
    <row r="1657" spans="1:24" ht="12.75">
      <c r="A1657" s="428" t="s">
        <v>583</v>
      </c>
      <c r="B1657" s="429" t="s">
        <v>178</v>
      </c>
      <c r="C1657" s="429" t="s">
        <v>812</v>
      </c>
      <c r="D1657" s="429">
        <v>2016</v>
      </c>
      <c r="E1657" s="429" t="s">
        <v>775</v>
      </c>
      <c r="F1657" s="430">
        <v>636</v>
      </c>
      <c r="G1657" s="430">
        <v>0</v>
      </c>
      <c r="H1657" s="431">
        <v>0</v>
      </c>
      <c r="I1657" s="430">
        <v>0</v>
      </c>
      <c r="J1657" s="430">
        <v>432</v>
      </c>
      <c r="K1657" s="430">
        <v>0</v>
      </c>
      <c r="L1657" s="430">
        <v>0</v>
      </c>
      <c r="M1657" s="430">
        <v>0</v>
      </c>
      <c r="N1657" s="430">
        <v>496</v>
      </c>
      <c r="O1657" s="430">
        <v>0</v>
      </c>
      <c r="P1657" s="430">
        <v>1151</v>
      </c>
      <c r="Q1657" s="431">
        <v>5</v>
      </c>
      <c r="R1657" s="328">
        <f t="shared" si="229"/>
        <v>2715</v>
      </c>
      <c r="S1657" s="365">
        <f t="shared" si="230"/>
        <v>5</v>
      </c>
      <c r="T1657" s="432"/>
      <c r="U1657" s="432"/>
      <c r="V1657" s="432"/>
      <c r="W1657" s="432"/>
      <c r="X1657" s="432"/>
    </row>
    <row r="1658" spans="1:24" ht="12.75">
      <c r="A1658" s="428" t="s">
        <v>584</v>
      </c>
      <c r="B1658" s="429" t="s">
        <v>178</v>
      </c>
      <c r="C1658" s="429" t="s">
        <v>812</v>
      </c>
      <c r="D1658" s="429">
        <v>2016</v>
      </c>
      <c r="E1658" s="429" t="s">
        <v>775</v>
      </c>
      <c r="F1658" s="430">
        <v>9</v>
      </c>
      <c r="G1658" s="430">
        <v>33</v>
      </c>
      <c r="H1658" s="431">
        <v>0</v>
      </c>
      <c r="I1658" s="430">
        <v>33</v>
      </c>
      <c r="J1658" s="430">
        <v>6</v>
      </c>
      <c r="K1658" s="430">
        <v>142</v>
      </c>
      <c r="L1658" s="430">
        <v>0</v>
      </c>
      <c r="M1658" s="430">
        <v>142</v>
      </c>
      <c r="N1658" s="430">
        <v>7</v>
      </c>
      <c r="O1658" s="430">
        <v>123</v>
      </c>
      <c r="P1658" s="430">
        <v>17</v>
      </c>
      <c r="Q1658" s="431">
        <v>200</v>
      </c>
      <c r="R1658" s="328">
        <f t="shared" si="229"/>
        <v>39</v>
      </c>
      <c r="S1658" s="365">
        <f t="shared" si="230"/>
        <v>498</v>
      </c>
      <c r="T1658" s="432"/>
      <c r="U1658" s="432"/>
      <c r="V1658" s="432"/>
      <c r="W1658" s="432"/>
      <c r="X1658" s="432"/>
    </row>
    <row r="1659" spans="1:24" ht="12.75">
      <c r="A1659" s="459" t="s">
        <v>585</v>
      </c>
      <c r="B1659" s="460" t="s">
        <v>178</v>
      </c>
      <c r="C1659" s="460" t="s">
        <v>812</v>
      </c>
      <c r="D1659" s="460">
        <v>2016</v>
      </c>
      <c r="E1659" s="460" t="s">
        <v>775</v>
      </c>
      <c r="F1659" s="431">
        <v>103</v>
      </c>
      <c r="G1659" s="430">
        <v>0</v>
      </c>
      <c r="H1659" s="431">
        <v>0</v>
      </c>
      <c r="I1659" s="431">
        <v>0</v>
      </c>
      <c r="J1659" s="430">
        <v>72</v>
      </c>
      <c r="K1659" s="430">
        <v>0</v>
      </c>
      <c r="L1659" s="431">
        <v>0</v>
      </c>
      <c r="M1659" s="431">
        <v>0</v>
      </c>
      <c r="N1659" s="431">
        <v>84</v>
      </c>
      <c r="O1659" s="431">
        <v>1</v>
      </c>
      <c r="P1659" s="431">
        <v>195</v>
      </c>
      <c r="Q1659" s="431">
        <v>0</v>
      </c>
      <c r="R1659" s="328">
        <f t="shared" si="229"/>
        <v>454</v>
      </c>
      <c r="S1659" s="365">
        <f t="shared" si="230"/>
        <v>1</v>
      </c>
      <c r="T1659" s="432"/>
      <c r="U1659" s="432"/>
      <c r="V1659" s="432"/>
      <c r="W1659" s="432"/>
      <c r="X1659" s="432"/>
    </row>
    <row r="1660" spans="1:24" ht="12.75">
      <c r="A1660" s="459" t="s">
        <v>586</v>
      </c>
      <c r="B1660" s="460" t="s">
        <v>178</v>
      </c>
      <c r="C1660" s="460" t="s">
        <v>812</v>
      </c>
      <c r="D1660" s="460">
        <v>2016</v>
      </c>
      <c r="E1660" s="460" t="s">
        <v>775</v>
      </c>
      <c r="F1660" s="431">
        <v>382</v>
      </c>
      <c r="G1660" s="430">
        <v>0</v>
      </c>
      <c r="H1660" s="431">
        <v>0</v>
      </c>
      <c r="I1660" s="431">
        <v>0</v>
      </c>
      <c r="J1660" s="430">
        <v>260</v>
      </c>
      <c r="K1660" s="430">
        <v>0</v>
      </c>
      <c r="L1660" s="431">
        <v>0</v>
      </c>
      <c r="M1660" s="431">
        <v>0</v>
      </c>
      <c r="N1660" s="431">
        <v>294</v>
      </c>
      <c r="O1660" s="431">
        <v>0</v>
      </c>
      <c r="P1660" s="431">
        <v>653</v>
      </c>
      <c r="Q1660" s="431">
        <v>103</v>
      </c>
      <c r="R1660" s="328">
        <f t="shared" si="229"/>
        <v>1589</v>
      </c>
      <c r="S1660" s="365">
        <f t="shared" si="230"/>
        <v>103</v>
      </c>
      <c r="T1660" s="432"/>
      <c r="U1660" s="432"/>
      <c r="V1660" s="432"/>
      <c r="W1660" s="432"/>
      <c r="X1660" s="432"/>
    </row>
    <row r="1661" spans="1:24" ht="12.75">
      <c r="A1661" s="459" t="s">
        <v>588</v>
      </c>
      <c r="B1661" s="460" t="s">
        <v>178</v>
      </c>
      <c r="C1661" s="460" t="s">
        <v>812</v>
      </c>
      <c r="D1661" s="460">
        <v>2016</v>
      </c>
      <c r="E1661" s="460" t="s">
        <v>775</v>
      </c>
      <c r="F1661" s="431">
        <v>376</v>
      </c>
      <c r="G1661" s="430">
        <v>0</v>
      </c>
      <c r="H1661" s="431">
        <v>0</v>
      </c>
      <c r="I1661" s="431">
        <v>0</v>
      </c>
      <c r="J1661" s="431">
        <v>261</v>
      </c>
      <c r="K1661" s="430">
        <v>30</v>
      </c>
      <c r="L1661" s="431">
        <v>30</v>
      </c>
      <c r="M1661" s="431">
        <v>0</v>
      </c>
      <c r="N1661" s="431">
        <v>299</v>
      </c>
      <c r="O1661" s="431">
        <v>17</v>
      </c>
      <c r="P1661" s="431">
        <v>669</v>
      </c>
      <c r="Q1661" s="431">
        <v>102</v>
      </c>
      <c r="R1661" s="328">
        <f t="shared" si="229"/>
        <v>1605</v>
      </c>
      <c r="S1661" s="365">
        <f t="shared" si="230"/>
        <v>149</v>
      </c>
      <c r="T1661" s="432"/>
      <c r="U1661" s="432"/>
      <c r="V1661" s="432"/>
      <c r="W1661" s="432"/>
      <c r="X1661" s="432"/>
    </row>
    <row r="1662" spans="1:24" ht="12.75">
      <c r="A1662" s="459" t="s">
        <v>589</v>
      </c>
      <c r="B1662" s="460" t="s">
        <v>178</v>
      </c>
      <c r="C1662" s="460" t="s">
        <v>812</v>
      </c>
      <c r="D1662" s="460">
        <v>2016</v>
      </c>
      <c r="E1662" s="460" t="s">
        <v>775</v>
      </c>
      <c r="F1662" s="431">
        <v>209</v>
      </c>
      <c r="G1662" s="430">
        <v>0</v>
      </c>
      <c r="H1662" s="431">
        <v>0</v>
      </c>
      <c r="I1662" s="431">
        <v>0</v>
      </c>
      <c r="J1662" s="431">
        <v>149</v>
      </c>
      <c r="K1662" s="430">
        <v>0</v>
      </c>
      <c r="L1662" s="431">
        <v>0</v>
      </c>
      <c r="M1662" s="431">
        <v>0</v>
      </c>
      <c r="N1662" s="431">
        <v>172</v>
      </c>
      <c r="O1662" s="431">
        <v>0</v>
      </c>
      <c r="P1662" s="431">
        <v>400</v>
      </c>
      <c r="Q1662" s="431">
        <v>17</v>
      </c>
      <c r="R1662" s="328">
        <f t="shared" si="229"/>
        <v>930</v>
      </c>
      <c r="S1662" s="365">
        <f t="shared" si="230"/>
        <v>17</v>
      </c>
      <c r="T1662" s="331">
        <f>SUM(G1643:G1662)</f>
        <v>33</v>
      </c>
      <c r="U1662" s="331">
        <f>SUM(K1643:K1662)</f>
        <v>395</v>
      </c>
      <c r="V1662" s="331">
        <f>SUM(O1643:O1662)</f>
        <v>935</v>
      </c>
      <c r="W1662" s="331">
        <f>SUM(Q1643:Q1662)</f>
        <v>2069</v>
      </c>
      <c r="X1662" s="331">
        <f>T1662+U1662+V1662+W1662</f>
        <v>3432</v>
      </c>
    </row>
    <row r="1663" spans="1:24" ht="12.75">
      <c r="A1663" s="433" t="s">
        <v>567</v>
      </c>
      <c r="B1663" s="434" t="s">
        <v>178</v>
      </c>
      <c r="C1663" s="434" t="s">
        <v>812</v>
      </c>
      <c r="D1663" s="434">
        <v>2017</v>
      </c>
      <c r="E1663" s="434" t="s">
        <v>775</v>
      </c>
      <c r="F1663" s="435">
        <v>764</v>
      </c>
      <c r="G1663" s="435">
        <v>0</v>
      </c>
      <c r="H1663" s="436">
        <v>0</v>
      </c>
      <c r="I1663" s="435">
        <v>0</v>
      </c>
      <c r="J1663" s="435">
        <v>541</v>
      </c>
      <c r="K1663" s="435">
        <v>0</v>
      </c>
      <c r="L1663" s="435">
        <v>0</v>
      </c>
      <c r="M1663" s="435">
        <v>0</v>
      </c>
      <c r="N1663" s="435">
        <v>622</v>
      </c>
      <c r="O1663" s="435">
        <v>0</v>
      </c>
      <c r="P1663" s="435">
        <v>1407</v>
      </c>
      <c r="Q1663" s="436">
        <v>0</v>
      </c>
      <c r="R1663" s="336">
        <f t="shared" si="229"/>
        <v>3334</v>
      </c>
      <c r="S1663" s="366">
        <f t="shared" si="230"/>
        <v>0</v>
      </c>
      <c r="T1663" s="437"/>
      <c r="U1663" s="437"/>
      <c r="V1663" s="437"/>
      <c r="W1663" s="437"/>
      <c r="X1663" s="437"/>
    </row>
    <row r="1664" spans="1:24" ht="12.75">
      <c r="A1664" s="433" t="s">
        <v>568</v>
      </c>
      <c r="B1664" s="434" t="s">
        <v>178</v>
      </c>
      <c r="C1664" s="434" t="s">
        <v>812</v>
      </c>
      <c r="D1664" s="434">
        <v>2017</v>
      </c>
      <c r="E1664" s="434" t="s">
        <v>775</v>
      </c>
      <c r="F1664" s="435">
        <v>188</v>
      </c>
      <c r="G1664" s="435">
        <v>0</v>
      </c>
      <c r="H1664" s="436">
        <v>0</v>
      </c>
      <c r="I1664" s="435">
        <v>0</v>
      </c>
      <c r="J1664" s="435">
        <v>138</v>
      </c>
      <c r="K1664" s="435">
        <v>0</v>
      </c>
      <c r="L1664" s="435">
        <v>0</v>
      </c>
      <c r="M1664" s="435">
        <v>0</v>
      </c>
      <c r="N1664" s="435">
        <v>154</v>
      </c>
      <c r="O1664" s="435">
        <v>2</v>
      </c>
      <c r="P1664" s="435">
        <v>363</v>
      </c>
      <c r="Q1664" s="436">
        <v>1</v>
      </c>
      <c r="R1664" s="336">
        <f t="shared" si="229"/>
        <v>843</v>
      </c>
      <c r="S1664" s="366">
        <f t="shared" si="230"/>
        <v>3</v>
      </c>
      <c r="T1664" s="437"/>
      <c r="U1664" s="437"/>
      <c r="V1664" s="437"/>
      <c r="W1664" s="437"/>
      <c r="X1664" s="437"/>
    </row>
    <row r="1665" spans="1:24" ht="12.75">
      <c r="A1665" s="433" t="s">
        <v>569</v>
      </c>
      <c r="B1665" s="434" t="s">
        <v>178</v>
      </c>
      <c r="C1665" s="434" t="s">
        <v>812</v>
      </c>
      <c r="D1665" s="434">
        <v>2017</v>
      </c>
      <c r="E1665" s="434" t="s">
        <v>775</v>
      </c>
      <c r="F1665" s="435">
        <v>1</v>
      </c>
      <c r="G1665" s="435">
        <v>0</v>
      </c>
      <c r="H1665" s="436">
        <v>0</v>
      </c>
      <c r="I1665" s="435">
        <v>0</v>
      </c>
      <c r="J1665" s="435">
        <v>1</v>
      </c>
      <c r="K1665" s="435">
        <v>0</v>
      </c>
      <c r="L1665" s="435">
        <v>0</v>
      </c>
      <c r="M1665" s="435">
        <v>0</v>
      </c>
      <c r="N1665" s="435">
        <v>0</v>
      </c>
      <c r="O1665" s="435">
        <v>4</v>
      </c>
      <c r="P1665" s="435">
        <v>0</v>
      </c>
      <c r="Q1665" s="436">
        <v>23</v>
      </c>
      <c r="R1665" s="336">
        <f t="shared" si="229"/>
        <v>2</v>
      </c>
      <c r="S1665" s="366">
        <f t="shared" si="230"/>
        <v>27</v>
      </c>
      <c r="T1665" s="437"/>
      <c r="U1665" s="437"/>
      <c r="V1665" s="437"/>
      <c r="W1665" s="437"/>
      <c r="X1665" s="437"/>
    </row>
    <row r="1666" spans="1:24" ht="12.75">
      <c r="A1666" s="433" t="s">
        <v>570</v>
      </c>
      <c r="B1666" s="434" t="s">
        <v>178</v>
      </c>
      <c r="C1666" s="434" t="s">
        <v>812</v>
      </c>
      <c r="D1666" s="434">
        <v>2017</v>
      </c>
      <c r="E1666" s="434" t="s">
        <v>775</v>
      </c>
      <c r="F1666" s="435">
        <v>707</v>
      </c>
      <c r="G1666" s="435">
        <v>0</v>
      </c>
      <c r="H1666" s="436">
        <v>0</v>
      </c>
      <c r="I1666" s="435">
        <v>0</v>
      </c>
      <c r="J1666" s="435">
        <v>478</v>
      </c>
      <c r="K1666" s="435">
        <v>0</v>
      </c>
      <c r="L1666" s="435">
        <v>0</v>
      </c>
      <c r="M1666" s="435">
        <v>0</v>
      </c>
      <c r="N1666" s="435">
        <v>533</v>
      </c>
      <c r="O1666" s="435">
        <v>0</v>
      </c>
      <c r="P1666" s="435">
        <v>1176</v>
      </c>
      <c r="Q1666" s="436">
        <v>630</v>
      </c>
      <c r="R1666" s="336">
        <f t="shared" si="229"/>
        <v>2894</v>
      </c>
      <c r="S1666" s="366">
        <f t="shared" si="230"/>
        <v>630</v>
      </c>
      <c r="T1666" s="437"/>
      <c r="U1666" s="437"/>
      <c r="V1666" s="437"/>
      <c r="W1666" s="437"/>
      <c r="X1666" s="437"/>
    </row>
    <row r="1667" spans="1:24" ht="12.75">
      <c r="A1667" s="433" t="s">
        <v>571</v>
      </c>
      <c r="B1667" s="434" t="s">
        <v>178</v>
      </c>
      <c r="C1667" s="434" t="s">
        <v>812</v>
      </c>
      <c r="D1667" s="434">
        <v>2017</v>
      </c>
      <c r="E1667" s="434" t="s">
        <v>775</v>
      </c>
      <c r="F1667" s="435">
        <v>217</v>
      </c>
      <c r="G1667" s="435">
        <v>0</v>
      </c>
      <c r="H1667" s="436">
        <v>0</v>
      </c>
      <c r="I1667" s="435">
        <v>0</v>
      </c>
      <c r="J1667" s="435">
        <v>148</v>
      </c>
      <c r="K1667" s="435">
        <v>0</v>
      </c>
      <c r="L1667" s="435">
        <v>0</v>
      </c>
      <c r="M1667" s="435">
        <v>0</v>
      </c>
      <c r="N1667" s="435">
        <v>164</v>
      </c>
      <c r="O1667" s="435">
        <v>668</v>
      </c>
      <c r="P1667" s="435">
        <v>333</v>
      </c>
      <c r="Q1667" s="436">
        <v>362</v>
      </c>
      <c r="R1667" s="336">
        <f t="shared" si="229"/>
        <v>862</v>
      </c>
      <c r="S1667" s="366">
        <f t="shared" si="230"/>
        <v>1030</v>
      </c>
      <c r="T1667" s="437"/>
      <c r="U1667" s="437"/>
      <c r="V1667" s="437"/>
      <c r="W1667" s="437"/>
      <c r="X1667" s="437"/>
    </row>
    <row r="1668" spans="1:24" ht="12.75">
      <c r="A1668" s="433" t="s">
        <v>572</v>
      </c>
      <c r="B1668" s="434" t="s">
        <v>178</v>
      </c>
      <c r="C1668" s="434" t="s">
        <v>812</v>
      </c>
      <c r="D1668" s="434">
        <v>2017</v>
      </c>
      <c r="E1668" s="434" t="s">
        <v>775</v>
      </c>
      <c r="F1668" s="435">
        <v>443</v>
      </c>
      <c r="G1668" s="435">
        <v>0</v>
      </c>
      <c r="H1668" s="436">
        <v>0</v>
      </c>
      <c r="I1668" s="435">
        <v>0</v>
      </c>
      <c r="J1668" s="435">
        <v>302</v>
      </c>
      <c r="K1668" s="435">
        <v>0</v>
      </c>
      <c r="L1668" s="435">
        <v>0</v>
      </c>
      <c r="M1668" s="435">
        <v>0</v>
      </c>
      <c r="N1668" s="435">
        <v>347</v>
      </c>
      <c r="O1668" s="435">
        <v>2</v>
      </c>
      <c r="P1668" s="435">
        <v>831</v>
      </c>
      <c r="Q1668" s="436">
        <v>16</v>
      </c>
      <c r="R1668" s="336">
        <f t="shared" si="229"/>
        <v>1923</v>
      </c>
      <c r="S1668" s="366">
        <f t="shared" si="230"/>
        <v>18</v>
      </c>
      <c r="T1668" s="437"/>
      <c r="U1668" s="437"/>
      <c r="V1668" s="437"/>
      <c r="W1668" s="437"/>
      <c r="X1668" s="437"/>
    </row>
    <row r="1669" spans="1:24" ht="12.75">
      <c r="A1669" s="433" t="s">
        <v>573</v>
      </c>
      <c r="B1669" s="434" t="s">
        <v>178</v>
      </c>
      <c r="C1669" s="434" t="s">
        <v>812</v>
      </c>
      <c r="D1669" s="434">
        <v>2017</v>
      </c>
      <c r="E1669" s="434" t="s">
        <v>775</v>
      </c>
      <c r="F1669" s="435">
        <v>1442</v>
      </c>
      <c r="G1669" s="435">
        <v>0</v>
      </c>
      <c r="H1669" s="436">
        <v>0</v>
      </c>
      <c r="I1669" s="435">
        <v>0</v>
      </c>
      <c r="J1669" s="435">
        <v>974</v>
      </c>
      <c r="K1669" s="435">
        <v>0</v>
      </c>
      <c r="L1669" s="435">
        <v>0</v>
      </c>
      <c r="M1669" s="435">
        <v>0</v>
      </c>
      <c r="N1669" s="435">
        <v>1090</v>
      </c>
      <c r="O1669" s="435">
        <v>0</v>
      </c>
      <c r="P1669" s="435">
        <v>2471</v>
      </c>
      <c r="Q1669" s="436">
        <v>435</v>
      </c>
      <c r="R1669" s="336">
        <f t="shared" si="229"/>
        <v>5977</v>
      </c>
      <c r="S1669" s="366">
        <f t="shared" si="230"/>
        <v>435</v>
      </c>
      <c r="T1669" s="437"/>
      <c r="U1669" s="437"/>
      <c r="V1669" s="437"/>
      <c r="W1669" s="437"/>
      <c r="X1669" s="437"/>
    </row>
    <row r="1670" spans="1:24" ht="12.75">
      <c r="A1670" s="433" t="s">
        <v>574</v>
      </c>
      <c r="B1670" s="434" t="s">
        <v>178</v>
      </c>
      <c r="C1670" s="434" t="s">
        <v>812</v>
      </c>
      <c r="D1670" s="434">
        <v>2017</v>
      </c>
      <c r="E1670" s="434" t="s">
        <v>775</v>
      </c>
      <c r="F1670" s="435">
        <v>28</v>
      </c>
      <c r="G1670" s="435">
        <v>0</v>
      </c>
      <c r="H1670" s="436">
        <v>0</v>
      </c>
      <c r="I1670" s="435">
        <v>0</v>
      </c>
      <c r="J1670" s="435">
        <v>19</v>
      </c>
      <c r="K1670" s="435">
        <v>0</v>
      </c>
      <c r="L1670" s="435">
        <v>0</v>
      </c>
      <c r="M1670" s="435">
        <v>0</v>
      </c>
      <c r="N1670" s="435">
        <v>22</v>
      </c>
      <c r="O1670" s="435">
        <v>1</v>
      </c>
      <c r="P1670" s="435">
        <v>49</v>
      </c>
      <c r="Q1670" s="436">
        <v>21</v>
      </c>
      <c r="R1670" s="336">
        <f t="shared" si="229"/>
        <v>118</v>
      </c>
      <c r="S1670" s="366">
        <f t="shared" si="230"/>
        <v>22</v>
      </c>
      <c r="T1670" s="437"/>
      <c r="U1670" s="437"/>
      <c r="V1670" s="437"/>
      <c r="W1670" s="437"/>
      <c r="X1670" s="437"/>
    </row>
    <row r="1671" spans="1:24" ht="12.75">
      <c r="A1671" s="433" t="s">
        <v>575</v>
      </c>
      <c r="B1671" s="434" t="s">
        <v>178</v>
      </c>
      <c r="C1671" s="434" t="s">
        <v>812</v>
      </c>
      <c r="D1671" s="434">
        <v>2017</v>
      </c>
      <c r="E1671" s="434" t="s">
        <v>775</v>
      </c>
      <c r="F1671" s="435">
        <v>398</v>
      </c>
      <c r="G1671" s="435">
        <v>0</v>
      </c>
      <c r="H1671" s="436">
        <v>0</v>
      </c>
      <c r="I1671" s="435">
        <v>0</v>
      </c>
      <c r="J1671" s="435">
        <v>274</v>
      </c>
      <c r="K1671" s="435">
        <v>0</v>
      </c>
      <c r="L1671" s="435">
        <v>0</v>
      </c>
      <c r="M1671" s="435">
        <v>0</v>
      </c>
      <c r="N1671" s="435">
        <v>314</v>
      </c>
      <c r="O1671" s="435">
        <v>0</v>
      </c>
      <c r="P1671" s="435">
        <v>729</v>
      </c>
      <c r="Q1671" s="436">
        <v>230</v>
      </c>
      <c r="R1671" s="336">
        <f t="shared" si="229"/>
        <v>1715</v>
      </c>
      <c r="S1671" s="366">
        <f t="shared" si="230"/>
        <v>230</v>
      </c>
      <c r="T1671" s="437"/>
      <c r="U1671" s="437"/>
      <c r="V1671" s="437"/>
      <c r="W1671" s="437"/>
      <c r="X1671" s="437"/>
    </row>
    <row r="1672" spans="1:24" ht="12.75">
      <c r="A1672" s="433" t="s">
        <v>576</v>
      </c>
      <c r="B1672" s="434" t="s">
        <v>178</v>
      </c>
      <c r="C1672" s="434" t="s">
        <v>812</v>
      </c>
      <c r="D1672" s="434">
        <v>2017</v>
      </c>
      <c r="E1672" s="434" t="s">
        <v>775</v>
      </c>
      <c r="F1672" s="435">
        <v>349</v>
      </c>
      <c r="G1672" s="435">
        <v>0</v>
      </c>
      <c r="H1672" s="436">
        <v>0</v>
      </c>
      <c r="I1672" s="435">
        <v>0</v>
      </c>
      <c r="J1672" s="435">
        <v>246</v>
      </c>
      <c r="K1672" s="435">
        <v>0</v>
      </c>
      <c r="L1672" s="435">
        <v>0</v>
      </c>
      <c r="M1672" s="435">
        <v>0</v>
      </c>
      <c r="N1672" s="435">
        <v>280</v>
      </c>
      <c r="O1672" s="435">
        <v>9</v>
      </c>
      <c r="P1672" s="435">
        <v>625</v>
      </c>
      <c r="Q1672" s="436">
        <v>70</v>
      </c>
      <c r="R1672" s="336">
        <f t="shared" si="229"/>
        <v>1500</v>
      </c>
      <c r="S1672" s="366">
        <f t="shared" si="230"/>
        <v>79</v>
      </c>
      <c r="T1672" s="437"/>
      <c r="U1672" s="437"/>
      <c r="V1672" s="437"/>
      <c r="W1672" s="437"/>
      <c r="X1672" s="437"/>
    </row>
    <row r="1673" spans="1:24" ht="12.75">
      <c r="A1673" s="433" t="s">
        <v>578</v>
      </c>
      <c r="B1673" s="434" t="s">
        <v>178</v>
      </c>
      <c r="C1673" s="434" t="s">
        <v>812</v>
      </c>
      <c r="D1673" s="434">
        <v>2017</v>
      </c>
      <c r="E1673" s="434" t="s">
        <v>775</v>
      </c>
      <c r="F1673" s="435">
        <v>164</v>
      </c>
      <c r="G1673" s="435">
        <v>0</v>
      </c>
      <c r="H1673" s="436">
        <v>0</v>
      </c>
      <c r="I1673" s="435">
        <v>0</v>
      </c>
      <c r="J1673" s="435">
        <v>114</v>
      </c>
      <c r="K1673" s="435">
        <v>0</v>
      </c>
      <c r="L1673" s="435">
        <v>0</v>
      </c>
      <c r="M1673" s="435">
        <v>0</v>
      </c>
      <c r="N1673" s="435">
        <v>125</v>
      </c>
      <c r="O1673" s="435">
        <v>0</v>
      </c>
      <c r="P1673" s="435">
        <v>294</v>
      </c>
      <c r="Q1673" s="436">
        <v>66</v>
      </c>
      <c r="R1673" s="336">
        <f t="shared" si="229"/>
        <v>697</v>
      </c>
      <c r="S1673" s="366">
        <f t="shared" si="230"/>
        <v>66</v>
      </c>
      <c r="T1673" s="437"/>
      <c r="U1673" s="437"/>
      <c r="V1673" s="437"/>
      <c r="W1673" s="437"/>
      <c r="X1673" s="437"/>
    </row>
    <row r="1674" spans="1:24" ht="12.75">
      <c r="A1674" s="433" t="s">
        <v>579</v>
      </c>
      <c r="B1674" s="453" t="s">
        <v>178</v>
      </c>
      <c r="C1674" s="434" t="s">
        <v>812</v>
      </c>
      <c r="D1674" s="434">
        <v>2017</v>
      </c>
      <c r="E1674" s="434" t="s">
        <v>775</v>
      </c>
      <c r="F1674" s="435">
        <v>38</v>
      </c>
      <c r="G1674" s="435">
        <v>0</v>
      </c>
      <c r="H1674" s="436">
        <v>0</v>
      </c>
      <c r="I1674" s="435">
        <v>0</v>
      </c>
      <c r="J1674" s="435">
        <v>29</v>
      </c>
      <c r="K1674" s="435">
        <v>0</v>
      </c>
      <c r="L1674" s="435">
        <v>0</v>
      </c>
      <c r="M1674" s="435">
        <v>0</v>
      </c>
      <c r="N1674" s="435">
        <v>34</v>
      </c>
      <c r="O1674" s="435">
        <v>0</v>
      </c>
      <c r="P1674" s="435">
        <v>80</v>
      </c>
      <c r="Q1674" s="436">
        <v>3</v>
      </c>
      <c r="R1674" s="336">
        <f t="shared" si="229"/>
        <v>181</v>
      </c>
      <c r="S1674" s="366">
        <f t="shared" si="230"/>
        <v>3</v>
      </c>
      <c r="T1674" s="437"/>
      <c r="U1674" s="437"/>
      <c r="V1674" s="437"/>
      <c r="W1674" s="437"/>
      <c r="X1674" s="437"/>
    </row>
    <row r="1675" spans="1:24" ht="12.75">
      <c r="A1675" s="433" t="s">
        <v>580</v>
      </c>
      <c r="B1675" s="434" t="s">
        <v>178</v>
      </c>
      <c r="C1675" s="434" t="s">
        <v>812</v>
      </c>
      <c r="D1675" s="434">
        <v>2017</v>
      </c>
      <c r="E1675" s="434" t="s">
        <v>775</v>
      </c>
      <c r="F1675" s="435">
        <v>2592</v>
      </c>
      <c r="G1675" s="435">
        <v>0</v>
      </c>
      <c r="H1675" s="436">
        <v>0</v>
      </c>
      <c r="I1675" s="435">
        <v>0</v>
      </c>
      <c r="J1675" s="435">
        <v>1745</v>
      </c>
      <c r="K1675" s="435">
        <v>0</v>
      </c>
      <c r="L1675" s="435">
        <v>0</v>
      </c>
      <c r="M1675" s="435">
        <v>0</v>
      </c>
      <c r="N1675" s="435">
        <v>1977</v>
      </c>
      <c r="O1675" s="435">
        <v>520</v>
      </c>
      <c r="P1675" s="435">
        <v>4547</v>
      </c>
      <c r="Q1675" s="436">
        <v>1136</v>
      </c>
      <c r="R1675" s="336">
        <f t="shared" si="229"/>
        <v>10861</v>
      </c>
      <c r="S1675" s="366">
        <f t="shared" si="230"/>
        <v>1656</v>
      </c>
      <c r="T1675" s="437"/>
      <c r="U1675" s="437"/>
      <c r="V1675" s="437"/>
      <c r="W1675" s="437"/>
      <c r="X1675" s="437"/>
    </row>
    <row r="1676" spans="1:24" ht="12.75">
      <c r="A1676" s="433" t="s">
        <v>581</v>
      </c>
      <c r="B1676" s="434" t="s">
        <v>178</v>
      </c>
      <c r="C1676" s="434" t="s">
        <v>812</v>
      </c>
      <c r="D1676" s="434">
        <v>2017</v>
      </c>
      <c r="E1676" s="434" t="s">
        <v>775</v>
      </c>
      <c r="F1676" s="435">
        <v>209</v>
      </c>
      <c r="G1676" s="435">
        <v>18</v>
      </c>
      <c r="H1676" s="436">
        <v>18</v>
      </c>
      <c r="I1676" s="435">
        <v>0</v>
      </c>
      <c r="J1676" s="435">
        <v>141</v>
      </c>
      <c r="K1676" s="435">
        <v>11</v>
      </c>
      <c r="L1676" s="435">
        <v>11</v>
      </c>
      <c r="M1676" s="435">
        <v>0</v>
      </c>
      <c r="N1676" s="435">
        <v>158</v>
      </c>
      <c r="O1676" s="435">
        <v>31</v>
      </c>
      <c r="P1676" s="435">
        <v>340</v>
      </c>
      <c r="Q1676" s="436">
        <v>296</v>
      </c>
      <c r="R1676" s="336">
        <f t="shared" si="229"/>
        <v>848</v>
      </c>
      <c r="S1676" s="366">
        <f t="shared" si="230"/>
        <v>356</v>
      </c>
      <c r="T1676" s="437"/>
      <c r="U1676" s="437"/>
      <c r="V1676" s="437"/>
      <c r="W1676" s="437"/>
      <c r="X1676" s="437"/>
    </row>
    <row r="1677" spans="1:24" ht="12.75">
      <c r="A1677" s="433" t="s">
        <v>582</v>
      </c>
      <c r="B1677" s="434" t="s">
        <v>178</v>
      </c>
      <c r="C1677" s="434" t="s">
        <v>812</v>
      </c>
      <c r="D1677" s="434">
        <v>2017</v>
      </c>
      <c r="E1677" s="434" t="s">
        <v>775</v>
      </c>
      <c r="F1677" s="435">
        <v>579</v>
      </c>
      <c r="G1677" s="435">
        <v>0</v>
      </c>
      <c r="H1677" s="436">
        <v>0</v>
      </c>
      <c r="I1677" s="435">
        <v>0</v>
      </c>
      <c r="J1677" s="435">
        <v>396</v>
      </c>
      <c r="K1677" s="435">
        <v>0</v>
      </c>
      <c r="L1677" s="435">
        <v>0</v>
      </c>
      <c r="M1677" s="435">
        <v>0</v>
      </c>
      <c r="N1677" s="435">
        <v>453</v>
      </c>
      <c r="O1677" s="435">
        <v>0</v>
      </c>
      <c r="P1677" s="435">
        <v>1001</v>
      </c>
      <c r="Q1677" s="436">
        <v>96</v>
      </c>
      <c r="R1677" s="336">
        <f t="shared" si="229"/>
        <v>2429</v>
      </c>
      <c r="S1677" s="366">
        <f t="shared" si="230"/>
        <v>96</v>
      </c>
      <c r="T1677" s="437"/>
      <c r="U1677" s="437"/>
      <c r="V1677" s="437"/>
      <c r="W1677" s="437"/>
      <c r="X1677" s="437"/>
    </row>
    <row r="1678" spans="1:24" ht="12.75">
      <c r="A1678" s="433" t="s">
        <v>583</v>
      </c>
      <c r="B1678" s="434" t="s">
        <v>178</v>
      </c>
      <c r="C1678" s="434" t="s">
        <v>812</v>
      </c>
      <c r="D1678" s="434">
        <v>2017</v>
      </c>
      <c r="E1678" s="434" t="s">
        <v>775</v>
      </c>
      <c r="F1678" s="435">
        <v>636</v>
      </c>
      <c r="G1678" s="435">
        <v>0</v>
      </c>
      <c r="H1678" s="436">
        <v>0</v>
      </c>
      <c r="I1678" s="435">
        <v>0</v>
      </c>
      <c r="J1678" s="435">
        <v>432</v>
      </c>
      <c r="K1678" s="435">
        <v>0</v>
      </c>
      <c r="L1678" s="435">
        <v>0</v>
      </c>
      <c r="M1678" s="435">
        <v>0</v>
      </c>
      <c r="N1678" s="435">
        <v>496</v>
      </c>
      <c r="O1678" s="435">
        <v>0</v>
      </c>
      <c r="P1678" s="435">
        <v>1151</v>
      </c>
      <c r="Q1678" s="436">
        <v>7</v>
      </c>
      <c r="R1678" s="336">
        <f t="shared" si="229"/>
        <v>2715</v>
      </c>
      <c r="S1678" s="366">
        <f t="shared" si="230"/>
        <v>7</v>
      </c>
      <c r="T1678" s="437"/>
      <c r="U1678" s="437"/>
      <c r="V1678" s="437"/>
      <c r="W1678" s="437"/>
      <c r="X1678" s="437"/>
    </row>
    <row r="1679" spans="1:24" ht="12.75">
      <c r="A1679" s="433" t="s">
        <v>178</v>
      </c>
      <c r="B1679" s="434" t="s">
        <v>178</v>
      </c>
      <c r="C1679" s="434" t="s">
        <v>812</v>
      </c>
      <c r="D1679" s="434">
        <v>2017</v>
      </c>
      <c r="E1679" s="434" t="s">
        <v>775</v>
      </c>
      <c r="F1679" s="435">
        <v>980</v>
      </c>
      <c r="G1679" s="435">
        <v>0</v>
      </c>
      <c r="H1679" s="436">
        <v>0</v>
      </c>
      <c r="I1679" s="435">
        <v>0</v>
      </c>
      <c r="J1679" s="435">
        <v>696</v>
      </c>
      <c r="K1679" s="435">
        <v>0</v>
      </c>
      <c r="L1679" s="435">
        <v>0</v>
      </c>
      <c r="M1679" s="435">
        <v>0</v>
      </c>
      <c r="N1679" s="435">
        <v>808</v>
      </c>
      <c r="O1679" s="435">
        <v>12</v>
      </c>
      <c r="P1679" s="435">
        <v>1900</v>
      </c>
      <c r="Q1679" s="436">
        <v>0</v>
      </c>
      <c r="R1679" s="336">
        <f t="shared" si="229"/>
        <v>4384</v>
      </c>
      <c r="S1679" s="366">
        <f t="shared" si="230"/>
        <v>12</v>
      </c>
      <c r="T1679" s="437"/>
      <c r="U1679" s="437"/>
      <c r="V1679" s="437"/>
      <c r="W1679" s="437"/>
      <c r="X1679" s="437"/>
    </row>
    <row r="1680" spans="1:24" ht="12.75">
      <c r="A1680" s="433" t="s">
        <v>584</v>
      </c>
      <c r="B1680" s="434" t="s">
        <v>178</v>
      </c>
      <c r="C1680" s="434" t="s">
        <v>812</v>
      </c>
      <c r="D1680" s="434">
        <v>2017</v>
      </c>
      <c r="E1680" s="434" t="s">
        <v>775</v>
      </c>
      <c r="F1680" s="435">
        <v>9</v>
      </c>
      <c r="G1680" s="435">
        <v>51</v>
      </c>
      <c r="H1680" s="436">
        <v>51</v>
      </c>
      <c r="I1680" s="435">
        <v>0</v>
      </c>
      <c r="J1680" s="435">
        <v>6</v>
      </c>
      <c r="K1680" s="435">
        <v>23</v>
      </c>
      <c r="L1680" s="435">
        <v>23</v>
      </c>
      <c r="M1680" s="435">
        <v>0</v>
      </c>
      <c r="N1680" s="435">
        <v>7</v>
      </c>
      <c r="O1680" s="435">
        <v>9</v>
      </c>
      <c r="P1680" s="435">
        <v>17</v>
      </c>
      <c r="Q1680" s="436">
        <v>1</v>
      </c>
      <c r="R1680" s="336">
        <f t="shared" si="229"/>
        <v>39</v>
      </c>
      <c r="S1680" s="366">
        <f t="shared" si="230"/>
        <v>84</v>
      </c>
      <c r="T1680" s="437"/>
      <c r="U1680" s="437"/>
      <c r="V1680" s="437"/>
      <c r="W1680" s="437"/>
      <c r="X1680" s="437"/>
    </row>
    <row r="1681" spans="1:24" ht="12.75">
      <c r="A1681" s="461" t="s">
        <v>585</v>
      </c>
      <c r="B1681" s="462" t="s">
        <v>178</v>
      </c>
      <c r="C1681" s="462" t="s">
        <v>812</v>
      </c>
      <c r="D1681" s="462">
        <v>2017</v>
      </c>
      <c r="E1681" s="462" t="s">
        <v>775</v>
      </c>
      <c r="F1681" s="436">
        <v>103</v>
      </c>
      <c r="G1681" s="435">
        <v>0</v>
      </c>
      <c r="H1681" s="436">
        <v>0</v>
      </c>
      <c r="I1681" s="436">
        <v>0</v>
      </c>
      <c r="J1681" s="435">
        <v>72</v>
      </c>
      <c r="K1681" s="435">
        <v>0</v>
      </c>
      <c r="L1681" s="436">
        <v>0</v>
      </c>
      <c r="M1681" s="436">
        <v>0</v>
      </c>
      <c r="N1681" s="436">
        <v>84</v>
      </c>
      <c r="O1681" s="436">
        <v>10</v>
      </c>
      <c r="P1681" s="436">
        <v>195</v>
      </c>
      <c r="Q1681" s="436">
        <v>0</v>
      </c>
      <c r="R1681" s="336">
        <f t="shared" si="229"/>
        <v>454</v>
      </c>
      <c r="S1681" s="366">
        <f t="shared" si="230"/>
        <v>10</v>
      </c>
      <c r="T1681" s="437"/>
      <c r="U1681" s="437"/>
      <c r="V1681" s="437"/>
      <c r="W1681" s="437"/>
      <c r="X1681" s="437"/>
    </row>
    <row r="1682" spans="1:24" ht="12.75">
      <c r="A1682" s="461" t="s">
        <v>586</v>
      </c>
      <c r="B1682" s="462" t="s">
        <v>178</v>
      </c>
      <c r="C1682" s="462" t="s">
        <v>812</v>
      </c>
      <c r="D1682" s="462">
        <v>2017</v>
      </c>
      <c r="E1682" s="462" t="s">
        <v>775</v>
      </c>
      <c r="F1682" s="436">
        <v>382</v>
      </c>
      <c r="G1682" s="435">
        <v>0</v>
      </c>
      <c r="H1682" s="436">
        <v>0</v>
      </c>
      <c r="I1682" s="436">
        <v>0</v>
      </c>
      <c r="J1682" s="435">
        <v>260</v>
      </c>
      <c r="K1682" s="435">
        <v>0</v>
      </c>
      <c r="L1682" s="436">
        <v>0</v>
      </c>
      <c r="M1682" s="436">
        <v>0</v>
      </c>
      <c r="N1682" s="436">
        <v>294</v>
      </c>
      <c r="O1682" s="436">
        <v>0</v>
      </c>
      <c r="P1682" s="436">
        <v>653</v>
      </c>
      <c r="Q1682" s="436">
        <v>99</v>
      </c>
      <c r="R1682" s="336">
        <f t="shared" si="229"/>
        <v>1589</v>
      </c>
      <c r="S1682" s="366">
        <f t="shared" si="230"/>
        <v>99</v>
      </c>
      <c r="T1682" s="437"/>
      <c r="U1682" s="437"/>
      <c r="V1682" s="437"/>
      <c r="W1682" s="437"/>
      <c r="X1682" s="437"/>
    </row>
    <row r="1683" spans="1:24" ht="12.75">
      <c r="A1683" s="461" t="s">
        <v>587</v>
      </c>
      <c r="B1683" s="462" t="s">
        <v>178</v>
      </c>
      <c r="C1683" s="462" t="s">
        <v>812</v>
      </c>
      <c r="D1683" s="462">
        <v>2017</v>
      </c>
      <c r="E1683" s="462" t="s">
        <v>775</v>
      </c>
      <c r="F1683" s="436">
        <v>1698</v>
      </c>
      <c r="G1683" s="435">
        <v>0</v>
      </c>
      <c r="H1683" s="436">
        <v>0</v>
      </c>
      <c r="I1683" s="436">
        <v>0</v>
      </c>
      <c r="J1683" s="435">
        <v>1207</v>
      </c>
      <c r="K1683" s="435">
        <v>0</v>
      </c>
      <c r="L1683" s="436">
        <v>0</v>
      </c>
      <c r="M1683" s="436">
        <v>0</v>
      </c>
      <c r="N1683" s="436">
        <v>1342</v>
      </c>
      <c r="O1683" s="436">
        <v>104</v>
      </c>
      <c r="P1683" s="436">
        <v>3124</v>
      </c>
      <c r="Q1683" s="436">
        <v>14</v>
      </c>
      <c r="R1683" s="336">
        <f t="shared" si="229"/>
        <v>7371</v>
      </c>
      <c r="S1683" s="366">
        <f t="shared" si="230"/>
        <v>118</v>
      </c>
      <c r="T1683" s="437"/>
      <c r="U1683" s="437"/>
      <c r="V1683" s="437"/>
      <c r="W1683" s="437"/>
      <c r="X1683" s="437"/>
    </row>
    <row r="1684" spans="1:24" ht="12.75">
      <c r="A1684" s="461" t="s">
        <v>588</v>
      </c>
      <c r="B1684" s="462" t="s">
        <v>178</v>
      </c>
      <c r="C1684" s="462" t="s">
        <v>812</v>
      </c>
      <c r="D1684" s="462">
        <v>2017</v>
      </c>
      <c r="E1684" s="462" t="s">
        <v>775</v>
      </c>
      <c r="F1684" s="436">
        <v>376</v>
      </c>
      <c r="G1684" s="435">
        <v>0</v>
      </c>
      <c r="H1684" s="436">
        <v>0</v>
      </c>
      <c r="I1684" s="436">
        <v>0</v>
      </c>
      <c r="J1684" s="436">
        <v>261</v>
      </c>
      <c r="K1684" s="435">
        <v>30</v>
      </c>
      <c r="L1684" s="436">
        <v>30</v>
      </c>
      <c r="M1684" s="436">
        <v>0</v>
      </c>
      <c r="N1684" s="436">
        <v>299</v>
      </c>
      <c r="O1684" s="436">
        <v>18</v>
      </c>
      <c r="P1684" s="436">
        <v>669</v>
      </c>
      <c r="Q1684" s="436">
        <v>9</v>
      </c>
      <c r="R1684" s="336">
        <f t="shared" si="229"/>
        <v>1605</v>
      </c>
      <c r="S1684" s="366">
        <f t="shared" si="230"/>
        <v>57</v>
      </c>
      <c r="T1684" s="437"/>
      <c r="U1684" s="437"/>
      <c r="V1684" s="437"/>
      <c r="W1684" s="437"/>
      <c r="X1684" s="437"/>
    </row>
    <row r="1685" spans="1:24" ht="12.75">
      <c r="A1685" s="461" t="s">
        <v>589</v>
      </c>
      <c r="B1685" s="462" t="s">
        <v>178</v>
      </c>
      <c r="C1685" s="462" t="s">
        <v>812</v>
      </c>
      <c r="D1685" s="462">
        <v>2017</v>
      </c>
      <c r="E1685" s="462" t="s">
        <v>775</v>
      </c>
      <c r="F1685" s="436">
        <v>209</v>
      </c>
      <c r="G1685" s="435">
        <v>0</v>
      </c>
      <c r="H1685" s="436">
        <v>0</v>
      </c>
      <c r="I1685" s="436">
        <v>0</v>
      </c>
      <c r="J1685" s="436">
        <v>149</v>
      </c>
      <c r="K1685" s="435">
        <v>0</v>
      </c>
      <c r="L1685" s="436">
        <v>0</v>
      </c>
      <c r="M1685" s="436">
        <v>0</v>
      </c>
      <c r="N1685" s="436">
        <v>172</v>
      </c>
      <c r="O1685" s="436">
        <v>0</v>
      </c>
      <c r="P1685" s="436">
        <v>400</v>
      </c>
      <c r="Q1685" s="436">
        <v>37</v>
      </c>
      <c r="R1685" s="336">
        <f t="shared" si="229"/>
        <v>930</v>
      </c>
      <c r="S1685" s="366">
        <f t="shared" si="230"/>
        <v>37</v>
      </c>
      <c r="T1685" s="339">
        <f>SUM(G1663:G1685)</f>
        <v>69</v>
      </c>
      <c r="U1685" s="339">
        <f>SUM(K1663:K1685)</f>
        <v>64</v>
      </c>
      <c r="V1685" s="339">
        <f>SUM(O1663:O1685)</f>
        <v>1390</v>
      </c>
      <c r="W1685" s="339">
        <f>SUM(Q1663:Q1685)</f>
        <v>3552</v>
      </c>
      <c r="X1685" s="339">
        <f>T1685+U1685+V1685+W1685</f>
        <v>5075</v>
      </c>
    </row>
    <row r="1686" spans="1:24" ht="12.75">
      <c r="A1686" s="438" t="s">
        <v>568</v>
      </c>
      <c r="B1686" s="439" t="s">
        <v>178</v>
      </c>
      <c r="C1686" s="439" t="s">
        <v>812</v>
      </c>
      <c r="D1686" s="439">
        <v>2018</v>
      </c>
      <c r="E1686" s="439" t="s">
        <v>775</v>
      </c>
      <c r="F1686" s="440">
        <v>188</v>
      </c>
      <c r="G1686" s="454"/>
      <c r="H1686" s="455"/>
      <c r="I1686" s="455"/>
      <c r="J1686" s="440">
        <v>138</v>
      </c>
      <c r="K1686" s="454"/>
      <c r="L1686" s="455"/>
      <c r="M1686" s="455"/>
      <c r="N1686" s="440">
        <v>154</v>
      </c>
      <c r="O1686" s="455"/>
      <c r="P1686" s="440">
        <v>363</v>
      </c>
      <c r="Q1686" s="455"/>
      <c r="R1686" s="344">
        <f t="shared" si="229"/>
        <v>843</v>
      </c>
      <c r="S1686" s="367">
        <f t="shared" si="230"/>
        <v>0</v>
      </c>
      <c r="T1686" s="442"/>
      <c r="U1686" s="442"/>
      <c r="V1686" s="442"/>
      <c r="W1686" s="442"/>
      <c r="X1686" s="442"/>
    </row>
    <row r="1687" spans="1:24" ht="12.75">
      <c r="A1687" s="438" t="s">
        <v>569</v>
      </c>
      <c r="B1687" s="439" t="s">
        <v>178</v>
      </c>
      <c r="C1687" s="439" t="s">
        <v>812</v>
      </c>
      <c r="D1687" s="439">
        <v>2018</v>
      </c>
      <c r="E1687" s="439" t="s">
        <v>775</v>
      </c>
      <c r="F1687" s="440">
        <v>1</v>
      </c>
      <c r="G1687" s="441">
        <v>0</v>
      </c>
      <c r="H1687" s="440">
        <v>0</v>
      </c>
      <c r="I1687" s="440">
        <v>0</v>
      </c>
      <c r="J1687" s="440">
        <v>1</v>
      </c>
      <c r="K1687" s="441">
        <v>2</v>
      </c>
      <c r="L1687" s="440">
        <v>0</v>
      </c>
      <c r="M1687" s="440">
        <v>2</v>
      </c>
      <c r="N1687" s="440">
        <v>0</v>
      </c>
      <c r="O1687" s="440">
        <v>5</v>
      </c>
      <c r="P1687" s="440">
        <v>0</v>
      </c>
      <c r="Q1687" s="440">
        <v>27</v>
      </c>
      <c r="R1687" s="344">
        <f t="shared" si="229"/>
        <v>2</v>
      </c>
      <c r="S1687" s="367">
        <f t="shared" si="230"/>
        <v>34</v>
      </c>
      <c r="T1687" s="442"/>
      <c r="U1687" s="442"/>
      <c r="V1687" s="442"/>
      <c r="W1687" s="442"/>
      <c r="X1687" s="442"/>
    </row>
    <row r="1688" spans="1:24" ht="12.75">
      <c r="A1688" s="438" t="s">
        <v>570</v>
      </c>
      <c r="B1688" s="439" t="s">
        <v>178</v>
      </c>
      <c r="C1688" s="439" t="s">
        <v>812</v>
      </c>
      <c r="D1688" s="439">
        <v>2018</v>
      </c>
      <c r="E1688" s="439" t="s">
        <v>775</v>
      </c>
      <c r="F1688" s="440">
        <v>707</v>
      </c>
      <c r="G1688" s="441">
        <v>0</v>
      </c>
      <c r="H1688" s="440">
        <v>0</v>
      </c>
      <c r="I1688" s="440">
        <v>0</v>
      </c>
      <c r="J1688" s="440">
        <v>478</v>
      </c>
      <c r="K1688" s="441">
        <v>0</v>
      </c>
      <c r="L1688" s="440">
        <v>0</v>
      </c>
      <c r="M1688" s="440">
        <v>0</v>
      </c>
      <c r="N1688" s="440">
        <v>533</v>
      </c>
      <c r="O1688" s="440">
        <v>0</v>
      </c>
      <c r="P1688" s="440">
        <v>1176</v>
      </c>
      <c r="Q1688" s="440">
        <v>521</v>
      </c>
      <c r="R1688" s="344">
        <f t="shared" si="229"/>
        <v>2894</v>
      </c>
      <c r="S1688" s="367">
        <f t="shared" si="230"/>
        <v>521</v>
      </c>
      <c r="T1688" s="442"/>
      <c r="U1688" s="442"/>
      <c r="V1688" s="442"/>
      <c r="W1688" s="442"/>
      <c r="X1688" s="442"/>
    </row>
    <row r="1689" spans="1:24" ht="12.75">
      <c r="A1689" s="438" t="s">
        <v>571</v>
      </c>
      <c r="B1689" s="439" t="s">
        <v>178</v>
      </c>
      <c r="C1689" s="439" t="s">
        <v>812</v>
      </c>
      <c r="D1689" s="439">
        <v>2018</v>
      </c>
      <c r="E1689" s="439" t="s">
        <v>775</v>
      </c>
      <c r="F1689" s="440">
        <v>217</v>
      </c>
      <c r="G1689" s="441">
        <v>0</v>
      </c>
      <c r="H1689" s="440">
        <v>0</v>
      </c>
      <c r="I1689" s="440">
        <v>0</v>
      </c>
      <c r="J1689" s="440">
        <v>148</v>
      </c>
      <c r="K1689" s="441">
        <v>0</v>
      </c>
      <c r="L1689" s="440">
        <v>0</v>
      </c>
      <c r="M1689" s="440">
        <v>0</v>
      </c>
      <c r="N1689" s="440">
        <v>164</v>
      </c>
      <c r="O1689" s="440">
        <v>0</v>
      </c>
      <c r="P1689" s="440">
        <v>333</v>
      </c>
      <c r="Q1689" s="440">
        <v>224</v>
      </c>
      <c r="R1689" s="344">
        <f t="shared" si="229"/>
        <v>862</v>
      </c>
      <c r="S1689" s="367">
        <f t="shared" si="230"/>
        <v>224</v>
      </c>
      <c r="T1689" s="442"/>
      <c r="U1689" s="442"/>
      <c r="V1689" s="442"/>
      <c r="W1689" s="442"/>
      <c r="X1689" s="442"/>
    </row>
    <row r="1690" spans="1:24" ht="12.75">
      <c r="A1690" s="438" t="s">
        <v>572</v>
      </c>
      <c r="B1690" s="439" t="s">
        <v>178</v>
      </c>
      <c r="C1690" s="439" t="s">
        <v>812</v>
      </c>
      <c r="D1690" s="439">
        <v>2018</v>
      </c>
      <c r="E1690" s="439" t="s">
        <v>775</v>
      </c>
      <c r="F1690" s="440">
        <v>443</v>
      </c>
      <c r="G1690" s="441">
        <v>0</v>
      </c>
      <c r="H1690" s="440">
        <v>0</v>
      </c>
      <c r="I1690" s="440">
        <v>0</v>
      </c>
      <c r="J1690" s="440">
        <v>302</v>
      </c>
      <c r="K1690" s="441">
        <v>0</v>
      </c>
      <c r="L1690" s="440">
        <v>0</v>
      </c>
      <c r="M1690" s="440">
        <v>0</v>
      </c>
      <c r="N1690" s="440">
        <v>347</v>
      </c>
      <c r="O1690" s="440">
        <v>0</v>
      </c>
      <c r="P1690" s="440">
        <v>831</v>
      </c>
      <c r="Q1690" s="440">
        <v>69</v>
      </c>
      <c r="R1690" s="344">
        <f t="shared" si="229"/>
        <v>1923</v>
      </c>
      <c r="S1690" s="367">
        <f t="shared" si="230"/>
        <v>69</v>
      </c>
      <c r="T1690" s="442"/>
      <c r="U1690" s="442"/>
      <c r="V1690" s="442"/>
      <c r="W1690" s="442"/>
      <c r="X1690" s="442"/>
    </row>
    <row r="1691" spans="1:24" ht="12.75">
      <c r="A1691" s="438" t="s">
        <v>573</v>
      </c>
      <c r="B1691" s="439" t="s">
        <v>178</v>
      </c>
      <c r="C1691" s="439" t="s">
        <v>812</v>
      </c>
      <c r="D1691" s="439">
        <v>2018</v>
      </c>
      <c r="E1691" s="439" t="s">
        <v>775</v>
      </c>
      <c r="F1691" s="440">
        <v>1442</v>
      </c>
      <c r="G1691" s="441">
        <v>0</v>
      </c>
      <c r="H1691" s="440">
        <v>0</v>
      </c>
      <c r="I1691" s="440">
        <v>0</v>
      </c>
      <c r="J1691" s="440">
        <v>974</v>
      </c>
      <c r="K1691" s="441">
        <v>0</v>
      </c>
      <c r="L1691" s="440">
        <v>0</v>
      </c>
      <c r="M1691" s="440">
        <v>0</v>
      </c>
      <c r="N1691" s="440">
        <v>1090</v>
      </c>
      <c r="O1691" s="440">
        <v>0</v>
      </c>
      <c r="P1691" s="440">
        <v>2471</v>
      </c>
      <c r="Q1691" s="440">
        <v>413</v>
      </c>
      <c r="R1691" s="344">
        <f t="shared" si="229"/>
        <v>5977</v>
      </c>
      <c r="S1691" s="367">
        <f t="shared" si="230"/>
        <v>413</v>
      </c>
      <c r="T1691" s="442"/>
      <c r="U1691" s="442"/>
      <c r="V1691" s="442"/>
      <c r="W1691" s="442"/>
      <c r="X1691" s="442"/>
    </row>
    <row r="1692" spans="1:24" ht="12.75">
      <c r="A1692" s="438" t="s">
        <v>574</v>
      </c>
      <c r="B1692" s="439" t="s">
        <v>178</v>
      </c>
      <c r="C1692" s="439" t="s">
        <v>812</v>
      </c>
      <c r="D1692" s="439">
        <v>2018</v>
      </c>
      <c r="E1692" s="439" t="s">
        <v>775</v>
      </c>
      <c r="F1692" s="440">
        <v>28</v>
      </c>
      <c r="G1692" s="441">
        <v>1</v>
      </c>
      <c r="H1692" s="440">
        <v>1</v>
      </c>
      <c r="I1692" s="440">
        <v>0</v>
      </c>
      <c r="J1692" s="440">
        <v>19</v>
      </c>
      <c r="K1692" s="441">
        <v>1</v>
      </c>
      <c r="L1692" s="440">
        <v>1</v>
      </c>
      <c r="M1692" s="440">
        <v>0</v>
      </c>
      <c r="N1692" s="440">
        <v>22</v>
      </c>
      <c r="O1692" s="440">
        <v>0</v>
      </c>
      <c r="P1692" s="440">
        <v>49</v>
      </c>
      <c r="Q1692" s="440">
        <v>17</v>
      </c>
      <c r="R1692" s="344">
        <f t="shared" si="229"/>
        <v>118</v>
      </c>
      <c r="S1692" s="367">
        <f t="shared" si="230"/>
        <v>19</v>
      </c>
      <c r="T1692" s="442"/>
      <c r="U1692" s="442"/>
      <c r="V1692" s="442"/>
      <c r="W1692" s="442"/>
      <c r="X1692" s="442"/>
    </row>
    <row r="1693" spans="1:24" ht="12.75">
      <c r="A1693" s="438" t="s">
        <v>576</v>
      </c>
      <c r="B1693" s="439" t="s">
        <v>178</v>
      </c>
      <c r="C1693" s="439" t="s">
        <v>812</v>
      </c>
      <c r="D1693" s="439">
        <v>2018</v>
      </c>
      <c r="E1693" s="439" t="s">
        <v>775</v>
      </c>
      <c r="F1693" s="440">
        <v>349</v>
      </c>
      <c r="G1693" s="441">
        <v>0</v>
      </c>
      <c r="H1693" s="440">
        <v>0</v>
      </c>
      <c r="I1693" s="440">
        <v>0</v>
      </c>
      <c r="J1693" s="440">
        <v>246</v>
      </c>
      <c r="K1693" s="441">
        <v>0</v>
      </c>
      <c r="L1693" s="440">
        <v>0</v>
      </c>
      <c r="M1693" s="440">
        <v>0</v>
      </c>
      <c r="N1693" s="440">
        <v>280</v>
      </c>
      <c r="O1693" s="440">
        <v>0</v>
      </c>
      <c r="P1693" s="440">
        <v>625</v>
      </c>
      <c r="Q1693" s="440">
        <v>17</v>
      </c>
      <c r="R1693" s="344">
        <f t="shared" si="229"/>
        <v>1500</v>
      </c>
      <c r="S1693" s="367">
        <f t="shared" si="230"/>
        <v>17</v>
      </c>
      <c r="T1693" s="442"/>
      <c r="U1693" s="442"/>
      <c r="V1693" s="442"/>
      <c r="W1693" s="442"/>
      <c r="X1693" s="442"/>
    </row>
    <row r="1694" spans="1:24" ht="12.75">
      <c r="A1694" s="438" t="s">
        <v>577</v>
      </c>
      <c r="B1694" s="439" t="s">
        <v>178</v>
      </c>
      <c r="C1694" s="439" t="s">
        <v>812</v>
      </c>
      <c r="D1694" s="439">
        <v>2018</v>
      </c>
      <c r="E1694" s="439" t="s">
        <v>775</v>
      </c>
      <c r="F1694" s="440">
        <v>254</v>
      </c>
      <c r="G1694" s="441">
        <v>36</v>
      </c>
      <c r="H1694" s="440">
        <v>0</v>
      </c>
      <c r="I1694" s="440">
        <v>36</v>
      </c>
      <c r="J1694" s="440">
        <v>177</v>
      </c>
      <c r="K1694" s="441">
        <v>50</v>
      </c>
      <c r="L1694" s="440">
        <v>0</v>
      </c>
      <c r="M1694" s="440">
        <v>50</v>
      </c>
      <c r="N1694" s="440">
        <v>202</v>
      </c>
      <c r="O1694" s="440">
        <v>1</v>
      </c>
      <c r="P1694" s="440">
        <v>462</v>
      </c>
      <c r="Q1694" s="440">
        <v>40</v>
      </c>
      <c r="R1694" s="344">
        <f t="shared" si="229"/>
        <v>1095</v>
      </c>
      <c r="S1694" s="367">
        <f t="shared" si="230"/>
        <v>127</v>
      </c>
      <c r="T1694" s="442"/>
      <c r="U1694" s="442"/>
      <c r="V1694" s="442"/>
      <c r="W1694" s="442"/>
      <c r="X1694" s="442"/>
    </row>
    <row r="1695" spans="1:24" ht="12.75">
      <c r="A1695" s="438" t="s">
        <v>578</v>
      </c>
      <c r="B1695" s="439" t="s">
        <v>178</v>
      </c>
      <c r="C1695" s="439" t="s">
        <v>812</v>
      </c>
      <c r="D1695" s="439">
        <v>2018</v>
      </c>
      <c r="E1695" s="439" t="s">
        <v>775</v>
      </c>
      <c r="F1695" s="440">
        <v>164</v>
      </c>
      <c r="G1695" s="441">
        <v>0</v>
      </c>
      <c r="H1695" s="440">
        <v>0</v>
      </c>
      <c r="I1695" s="440">
        <v>0</v>
      </c>
      <c r="J1695" s="440">
        <v>114</v>
      </c>
      <c r="K1695" s="441">
        <v>0</v>
      </c>
      <c r="L1695" s="440">
        <v>0</v>
      </c>
      <c r="M1695" s="440">
        <v>0</v>
      </c>
      <c r="N1695" s="440">
        <v>125</v>
      </c>
      <c r="O1695" s="440">
        <v>0</v>
      </c>
      <c r="P1695" s="440">
        <v>294</v>
      </c>
      <c r="Q1695" s="440">
        <v>221</v>
      </c>
      <c r="R1695" s="344">
        <f t="shared" si="229"/>
        <v>697</v>
      </c>
      <c r="S1695" s="367">
        <f t="shared" si="230"/>
        <v>221</v>
      </c>
      <c r="T1695" s="442"/>
      <c r="U1695" s="442"/>
      <c r="V1695" s="442"/>
      <c r="W1695" s="442"/>
      <c r="X1695" s="442"/>
    </row>
    <row r="1696" spans="1:24" ht="12.75">
      <c r="A1696" s="438" t="s">
        <v>580</v>
      </c>
      <c r="B1696" s="439" t="s">
        <v>178</v>
      </c>
      <c r="C1696" s="439" t="s">
        <v>812</v>
      </c>
      <c r="D1696" s="439">
        <v>2018</v>
      </c>
      <c r="E1696" s="439" t="s">
        <v>775</v>
      </c>
      <c r="F1696" s="440">
        <v>2592</v>
      </c>
      <c r="G1696" s="441">
        <v>50</v>
      </c>
      <c r="H1696" s="440">
        <v>50</v>
      </c>
      <c r="I1696" s="440">
        <v>0</v>
      </c>
      <c r="J1696" s="440">
        <v>1745</v>
      </c>
      <c r="K1696" s="441">
        <v>24</v>
      </c>
      <c r="L1696" s="440">
        <v>24</v>
      </c>
      <c r="M1696" s="440">
        <v>0</v>
      </c>
      <c r="N1696" s="440">
        <v>1977</v>
      </c>
      <c r="O1696" s="440">
        <v>72</v>
      </c>
      <c r="P1696" s="440">
        <v>4547</v>
      </c>
      <c r="Q1696" s="440">
        <v>1167</v>
      </c>
      <c r="R1696" s="344">
        <f t="shared" si="229"/>
        <v>10861</v>
      </c>
      <c r="S1696" s="367">
        <f t="shared" si="230"/>
        <v>1313</v>
      </c>
      <c r="T1696" s="442"/>
      <c r="U1696" s="442"/>
      <c r="V1696" s="442"/>
      <c r="W1696" s="442"/>
      <c r="X1696" s="442"/>
    </row>
    <row r="1697" spans="1:24" ht="12.75">
      <c r="A1697" s="438" t="s">
        <v>581</v>
      </c>
      <c r="B1697" s="439" t="s">
        <v>178</v>
      </c>
      <c r="C1697" s="439" t="s">
        <v>812</v>
      </c>
      <c r="D1697" s="439">
        <v>2018</v>
      </c>
      <c r="E1697" s="439" t="s">
        <v>775</v>
      </c>
      <c r="F1697" s="440">
        <v>209</v>
      </c>
      <c r="G1697" s="441">
        <v>0</v>
      </c>
      <c r="H1697" s="440">
        <v>0</v>
      </c>
      <c r="I1697" s="440">
        <v>0</v>
      </c>
      <c r="J1697" s="440">
        <v>141</v>
      </c>
      <c r="K1697" s="441">
        <v>0</v>
      </c>
      <c r="L1697" s="440">
        <v>0</v>
      </c>
      <c r="M1697" s="440">
        <v>0</v>
      </c>
      <c r="N1697" s="440">
        <v>158</v>
      </c>
      <c r="O1697" s="440">
        <v>0</v>
      </c>
      <c r="P1697" s="440">
        <v>340</v>
      </c>
      <c r="Q1697" s="440">
        <v>255</v>
      </c>
      <c r="R1697" s="344">
        <f t="shared" si="229"/>
        <v>848</v>
      </c>
      <c r="S1697" s="367">
        <f t="shared" si="230"/>
        <v>255</v>
      </c>
      <c r="T1697" s="442"/>
      <c r="U1697" s="442"/>
      <c r="V1697" s="442"/>
      <c r="W1697" s="442"/>
      <c r="X1697" s="442"/>
    </row>
    <row r="1698" spans="1:24" ht="12.75">
      <c r="A1698" s="438" t="s">
        <v>584</v>
      </c>
      <c r="B1698" s="439" t="s">
        <v>178</v>
      </c>
      <c r="C1698" s="439" t="s">
        <v>812</v>
      </c>
      <c r="D1698" s="439">
        <v>2018</v>
      </c>
      <c r="E1698" s="439" t="s">
        <v>775</v>
      </c>
      <c r="F1698" s="440">
        <v>9</v>
      </c>
      <c r="G1698" s="441">
        <v>1</v>
      </c>
      <c r="H1698" s="440">
        <v>0</v>
      </c>
      <c r="I1698" s="440">
        <v>1</v>
      </c>
      <c r="J1698" s="440">
        <v>6</v>
      </c>
      <c r="K1698" s="441">
        <v>6</v>
      </c>
      <c r="L1698" s="440">
        <v>0</v>
      </c>
      <c r="M1698" s="440">
        <v>6</v>
      </c>
      <c r="N1698" s="440">
        <v>7</v>
      </c>
      <c r="O1698" s="440">
        <v>53</v>
      </c>
      <c r="P1698" s="440">
        <v>17</v>
      </c>
      <c r="Q1698" s="440">
        <v>247</v>
      </c>
      <c r="R1698" s="344">
        <f t="shared" si="229"/>
        <v>39</v>
      </c>
      <c r="S1698" s="367">
        <f t="shared" si="230"/>
        <v>307</v>
      </c>
      <c r="T1698" s="442"/>
      <c r="U1698" s="442"/>
      <c r="V1698" s="442"/>
      <c r="W1698" s="442"/>
      <c r="X1698" s="442"/>
    </row>
    <row r="1699" spans="1:24" ht="12.75">
      <c r="A1699" s="438" t="s">
        <v>585</v>
      </c>
      <c r="B1699" s="439" t="s">
        <v>178</v>
      </c>
      <c r="C1699" s="439" t="s">
        <v>812</v>
      </c>
      <c r="D1699" s="439">
        <v>2018</v>
      </c>
      <c r="E1699" s="439" t="s">
        <v>775</v>
      </c>
      <c r="F1699" s="440">
        <v>103</v>
      </c>
      <c r="G1699" s="441">
        <v>0</v>
      </c>
      <c r="H1699" s="440">
        <v>0</v>
      </c>
      <c r="I1699" s="440">
        <v>0</v>
      </c>
      <c r="J1699" s="440">
        <v>72</v>
      </c>
      <c r="K1699" s="441">
        <v>10</v>
      </c>
      <c r="L1699" s="440">
        <v>0</v>
      </c>
      <c r="M1699" s="440">
        <v>10</v>
      </c>
      <c r="N1699" s="440">
        <v>84</v>
      </c>
      <c r="O1699" s="440">
        <v>28</v>
      </c>
      <c r="P1699" s="440">
        <v>195</v>
      </c>
      <c r="Q1699" s="440">
        <v>0</v>
      </c>
      <c r="R1699" s="344">
        <f t="shared" si="229"/>
        <v>454</v>
      </c>
      <c r="S1699" s="367">
        <f t="shared" si="230"/>
        <v>38</v>
      </c>
      <c r="T1699" s="442"/>
      <c r="U1699" s="442"/>
      <c r="V1699" s="442"/>
      <c r="W1699" s="442"/>
      <c r="X1699" s="442"/>
    </row>
    <row r="1700" spans="1:24" ht="12.75">
      <c r="A1700" s="438" t="s">
        <v>586</v>
      </c>
      <c r="B1700" s="439" t="s">
        <v>178</v>
      </c>
      <c r="C1700" s="439" t="s">
        <v>812</v>
      </c>
      <c r="D1700" s="439">
        <v>2018</v>
      </c>
      <c r="E1700" s="439" t="s">
        <v>775</v>
      </c>
      <c r="F1700" s="440">
        <v>382</v>
      </c>
      <c r="G1700" s="454"/>
      <c r="H1700" s="455"/>
      <c r="I1700" s="455"/>
      <c r="J1700" s="440">
        <v>260</v>
      </c>
      <c r="K1700" s="454"/>
      <c r="L1700" s="455"/>
      <c r="M1700" s="455"/>
      <c r="N1700" s="440">
        <v>294</v>
      </c>
      <c r="O1700" s="455"/>
      <c r="P1700" s="440">
        <v>653</v>
      </c>
      <c r="Q1700" s="455"/>
      <c r="R1700" s="344">
        <f t="shared" si="229"/>
        <v>1589</v>
      </c>
      <c r="S1700" s="367">
        <f t="shared" si="230"/>
        <v>0</v>
      </c>
      <c r="T1700" s="442"/>
      <c r="U1700" s="442"/>
      <c r="V1700" s="442"/>
      <c r="W1700" s="442"/>
      <c r="X1700" s="442"/>
    </row>
    <row r="1701" spans="1:24" ht="12.75">
      <c r="A1701" s="438" t="s">
        <v>587</v>
      </c>
      <c r="B1701" s="439" t="s">
        <v>178</v>
      </c>
      <c r="C1701" s="439" t="s">
        <v>812</v>
      </c>
      <c r="D1701" s="439">
        <v>2018</v>
      </c>
      <c r="E1701" s="439" t="s">
        <v>775</v>
      </c>
      <c r="F1701" s="440">
        <v>1698</v>
      </c>
      <c r="G1701" s="454"/>
      <c r="H1701" s="455"/>
      <c r="I1701" s="455"/>
      <c r="J1701" s="440">
        <v>1207</v>
      </c>
      <c r="K1701" s="454"/>
      <c r="L1701" s="455"/>
      <c r="M1701" s="455"/>
      <c r="N1701" s="440">
        <v>1342</v>
      </c>
      <c r="O1701" s="455"/>
      <c r="P1701" s="440">
        <v>3124</v>
      </c>
      <c r="Q1701" s="455"/>
      <c r="R1701" s="344">
        <f t="shared" si="229"/>
        <v>7371</v>
      </c>
      <c r="S1701" s="367">
        <f t="shared" si="230"/>
        <v>0</v>
      </c>
      <c r="T1701" s="442"/>
      <c r="U1701" s="442"/>
      <c r="V1701" s="442"/>
      <c r="W1701" s="442"/>
      <c r="X1701" s="442"/>
    </row>
    <row r="1702" spans="1:24" ht="12.75">
      <c r="A1702" s="438" t="s">
        <v>588</v>
      </c>
      <c r="B1702" s="439" t="s">
        <v>178</v>
      </c>
      <c r="C1702" s="439" t="s">
        <v>812</v>
      </c>
      <c r="D1702" s="439">
        <v>2018</v>
      </c>
      <c r="E1702" s="439" t="s">
        <v>775</v>
      </c>
      <c r="F1702" s="440">
        <v>376</v>
      </c>
      <c r="G1702" s="441">
        <v>19</v>
      </c>
      <c r="H1702" s="440">
        <v>19</v>
      </c>
      <c r="I1702" s="440">
        <v>0</v>
      </c>
      <c r="J1702" s="440">
        <v>261</v>
      </c>
      <c r="K1702" s="441">
        <v>77</v>
      </c>
      <c r="L1702" s="440">
        <v>77</v>
      </c>
      <c r="M1702" s="440">
        <v>0</v>
      </c>
      <c r="N1702" s="440">
        <v>299</v>
      </c>
      <c r="O1702" s="440">
        <v>0</v>
      </c>
      <c r="P1702" s="440">
        <v>669</v>
      </c>
      <c r="Q1702" s="440">
        <v>13</v>
      </c>
      <c r="R1702" s="344">
        <f t="shared" si="229"/>
        <v>1605</v>
      </c>
      <c r="S1702" s="367">
        <f t="shared" si="230"/>
        <v>109</v>
      </c>
      <c r="T1702" s="442"/>
      <c r="U1702" s="442"/>
      <c r="V1702" s="442"/>
      <c r="W1702" s="442"/>
      <c r="X1702" s="442"/>
    </row>
    <row r="1703" spans="1:24" ht="12.75">
      <c r="A1703" s="438" t="s">
        <v>589</v>
      </c>
      <c r="B1703" s="439" t="s">
        <v>178</v>
      </c>
      <c r="C1703" s="439" t="s">
        <v>812</v>
      </c>
      <c r="D1703" s="439">
        <v>2018</v>
      </c>
      <c r="E1703" s="439" t="s">
        <v>775</v>
      </c>
      <c r="F1703" s="440">
        <v>209</v>
      </c>
      <c r="G1703" s="441">
        <v>0</v>
      </c>
      <c r="H1703" s="440">
        <v>0</v>
      </c>
      <c r="I1703" s="440">
        <v>0</v>
      </c>
      <c r="J1703" s="440">
        <v>149</v>
      </c>
      <c r="K1703" s="441">
        <v>0</v>
      </c>
      <c r="L1703" s="440">
        <v>0</v>
      </c>
      <c r="M1703" s="440">
        <v>0</v>
      </c>
      <c r="N1703" s="440">
        <v>172</v>
      </c>
      <c r="O1703" s="440">
        <v>0</v>
      </c>
      <c r="P1703" s="440">
        <v>400</v>
      </c>
      <c r="Q1703" s="440">
        <v>38</v>
      </c>
      <c r="R1703" s="344">
        <f t="shared" si="229"/>
        <v>930</v>
      </c>
      <c r="S1703" s="367">
        <f t="shared" si="230"/>
        <v>38</v>
      </c>
      <c r="T1703" s="345">
        <f>SUM(G1686:G1703)</f>
        <v>107</v>
      </c>
      <c r="U1703" s="345">
        <f>SUM(K1686:K1703)</f>
        <v>170</v>
      </c>
      <c r="V1703" s="345">
        <f>SUM(O1686:O1703)</f>
        <v>159</v>
      </c>
      <c r="W1703" s="345">
        <f>SUM(Q1686:Q1703)</f>
        <v>3269</v>
      </c>
      <c r="X1703" s="345">
        <f>T1703+U1703+V1703+W1703</f>
        <v>3705</v>
      </c>
    </row>
    <row r="1704" spans="1:24" ht="12.75">
      <c r="A1704" s="346" t="s">
        <v>567</v>
      </c>
      <c r="B1704" s="347" t="s">
        <v>178</v>
      </c>
      <c r="C1704" s="347" t="s">
        <v>813</v>
      </c>
      <c r="D1704" s="347">
        <v>2019</v>
      </c>
      <c r="E1704" s="347" t="s">
        <v>775</v>
      </c>
      <c r="F1704" s="348">
        <v>764</v>
      </c>
      <c r="G1704" s="348">
        <v>0</v>
      </c>
      <c r="H1704" s="348">
        <v>0</v>
      </c>
      <c r="I1704" s="348">
        <v>0</v>
      </c>
      <c r="J1704" s="348">
        <v>541</v>
      </c>
      <c r="K1704" s="348">
        <v>0</v>
      </c>
      <c r="L1704" s="348">
        <v>0</v>
      </c>
      <c r="M1704" s="348">
        <v>0</v>
      </c>
      <c r="N1704" s="348">
        <v>622</v>
      </c>
      <c r="O1704" s="348">
        <v>0</v>
      </c>
      <c r="P1704" s="348">
        <v>1407</v>
      </c>
      <c r="Q1704" s="348">
        <v>0</v>
      </c>
      <c r="R1704" s="350">
        <f t="shared" si="229"/>
        <v>3334</v>
      </c>
      <c r="S1704" s="348">
        <f t="shared" si="230"/>
        <v>0</v>
      </c>
      <c r="T1704" s="348"/>
      <c r="U1704" s="348"/>
      <c r="V1704" s="348"/>
      <c r="W1704" s="349"/>
      <c r="X1704" s="349"/>
    </row>
    <row r="1705" spans="1:24" ht="12.75">
      <c r="A1705" s="346" t="s">
        <v>568</v>
      </c>
      <c r="B1705" s="347" t="s">
        <v>178</v>
      </c>
      <c r="C1705" s="347" t="s">
        <v>813</v>
      </c>
      <c r="D1705" s="347">
        <v>2019</v>
      </c>
      <c r="E1705" s="347" t="s">
        <v>775</v>
      </c>
      <c r="F1705" s="348">
        <v>188</v>
      </c>
      <c r="G1705" s="348">
        <v>0</v>
      </c>
      <c r="H1705" s="348">
        <v>0</v>
      </c>
      <c r="I1705" s="348">
        <v>0</v>
      </c>
      <c r="J1705" s="348">
        <v>138</v>
      </c>
      <c r="K1705" s="348">
        <v>0</v>
      </c>
      <c r="L1705" s="348">
        <v>0</v>
      </c>
      <c r="M1705" s="348">
        <v>0</v>
      </c>
      <c r="N1705" s="348">
        <v>154</v>
      </c>
      <c r="O1705" s="348">
        <v>0</v>
      </c>
      <c r="P1705" s="348">
        <v>363</v>
      </c>
      <c r="Q1705" s="348">
        <v>0</v>
      </c>
      <c r="R1705" s="350">
        <f t="shared" si="229"/>
        <v>843</v>
      </c>
      <c r="S1705" s="348">
        <f t="shared" si="230"/>
        <v>0</v>
      </c>
      <c r="T1705" s="348"/>
      <c r="U1705" s="348"/>
      <c r="V1705" s="348"/>
      <c r="W1705" s="349"/>
      <c r="X1705" s="349"/>
    </row>
    <row r="1706" spans="1:24" ht="12.75">
      <c r="A1706" s="346" t="s">
        <v>569</v>
      </c>
      <c r="B1706" s="347" t="s">
        <v>178</v>
      </c>
      <c r="C1706" s="347" t="s">
        <v>813</v>
      </c>
      <c r="D1706" s="347">
        <v>2019</v>
      </c>
      <c r="E1706" s="347" t="s">
        <v>775</v>
      </c>
      <c r="F1706" s="348">
        <v>1</v>
      </c>
      <c r="G1706" s="348">
        <v>0</v>
      </c>
      <c r="H1706" s="348">
        <v>0</v>
      </c>
      <c r="I1706" s="348">
        <v>0</v>
      </c>
      <c r="J1706" s="348">
        <v>1</v>
      </c>
      <c r="K1706" s="348">
        <v>2</v>
      </c>
      <c r="L1706" s="348">
        <v>0</v>
      </c>
      <c r="M1706" s="348">
        <v>2</v>
      </c>
      <c r="N1706" s="348">
        <v>0</v>
      </c>
      <c r="O1706" s="348">
        <v>1</v>
      </c>
      <c r="P1706" s="348">
        <v>0</v>
      </c>
      <c r="Q1706" s="348">
        <v>27</v>
      </c>
      <c r="R1706" s="350">
        <f t="shared" si="229"/>
        <v>2</v>
      </c>
      <c r="S1706" s="348">
        <f t="shared" si="230"/>
        <v>30</v>
      </c>
      <c r="T1706" s="348"/>
      <c r="U1706" s="348"/>
      <c r="V1706" s="348"/>
      <c r="W1706" s="349"/>
      <c r="X1706" s="349"/>
    </row>
    <row r="1707" spans="1:24" ht="12.75">
      <c r="A1707" s="346" t="s">
        <v>570</v>
      </c>
      <c r="B1707" s="347" t="s">
        <v>178</v>
      </c>
      <c r="C1707" s="347" t="s">
        <v>813</v>
      </c>
      <c r="D1707" s="347">
        <v>2019</v>
      </c>
      <c r="E1707" s="347" t="s">
        <v>775</v>
      </c>
      <c r="F1707" s="348">
        <v>707</v>
      </c>
      <c r="G1707" s="348">
        <v>0</v>
      </c>
      <c r="H1707" s="348">
        <v>0</v>
      </c>
      <c r="I1707" s="348">
        <v>0</v>
      </c>
      <c r="J1707" s="348">
        <v>478</v>
      </c>
      <c r="K1707" s="348">
        <v>0</v>
      </c>
      <c r="L1707" s="348">
        <v>0</v>
      </c>
      <c r="M1707" s="348">
        <v>0</v>
      </c>
      <c r="N1707" s="348">
        <v>533</v>
      </c>
      <c r="O1707" s="348">
        <v>0</v>
      </c>
      <c r="P1707" s="348">
        <v>1176</v>
      </c>
      <c r="Q1707" s="348">
        <v>550</v>
      </c>
      <c r="R1707" s="350">
        <f t="shared" si="229"/>
        <v>2894</v>
      </c>
      <c r="S1707" s="348">
        <f t="shared" si="230"/>
        <v>550</v>
      </c>
      <c r="T1707" s="348"/>
      <c r="U1707" s="348"/>
      <c r="V1707" s="348"/>
      <c r="W1707" s="349"/>
      <c r="X1707" s="349"/>
    </row>
    <row r="1708" spans="1:24" ht="12.75">
      <c r="A1708" s="346" t="s">
        <v>571</v>
      </c>
      <c r="B1708" s="347" t="s">
        <v>178</v>
      </c>
      <c r="C1708" s="347" t="s">
        <v>813</v>
      </c>
      <c r="D1708" s="347">
        <v>2019</v>
      </c>
      <c r="E1708" s="347" t="s">
        <v>775</v>
      </c>
      <c r="F1708" s="348">
        <v>217</v>
      </c>
      <c r="G1708" s="348">
        <v>0</v>
      </c>
      <c r="H1708" s="348">
        <v>0</v>
      </c>
      <c r="I1708" s="348">
        <v>0</v>
      </c>
      <c r="J1708" s="348">
        <v>148</v>
      </c>
      <c r="K1708" s="348">
        <v>0</v>
      </c>
      <c r="L1708" s="348">
        <v>0</v>
      </c>
      <c r="M1708" s="348">
        <v>0</v>
      </c>
      <c r="N1708" s="348">
        <v>164</v>
      </c>
      <c r="O1708" s="348">
        <v>0</v>
      </c>
      <c r="P1708" s="348">
        <v>333</v>
      </c>
      <c r="Q1708" s="348">
        <v>60</v>
      </c>
      <c r="R1708" s="350">
        <f t="shared" si="229"/>
        <v>862</v>
      </c>
      <c r="S1708" s="348">
        <f t="shared" si="230"/>
        <v>60</v>
      </c>
      <c r="T1708" s="348"/>
      <c r="U1708" s="348"/>
      <c r="V1708" s="348"/>
      <c r="W1708" s="349"/>
      <c r="X1708" s="349"/>
    </row>
    <row r="1709" spans="1:24" ht="12.75">
      <c r="A1709" s="346" t="s">
        <v>572</v>
      </c>
      <c r="B1709" s="347" t="s">
        <v>178</v>
      </c>
      <c r="C1709" s="347" t="s">
        <v>813</v>
      </c>
      <c r="D1709" s="347">
        <v>2019</v>
      </c>
      <c r="E1709" s="347" t="s">
        <v>775</v>
      </c>
      <c r="F1709" s="348">
        <v>443</v>
      </c>
      <c r="G1709" s="348">
        <v>0</v>
      </c>
      <c r="H1709" s="348">
        <v>0</v>
      </c>
      <c r="I1709" s="348">
        <v>0</v>
      </c>
      <c r="J1709" s="348">
        <v>302</v>
      </c>
      <c r="K1709" s="348">
        <v>0</v>
      </c>
      <c r="L1709" s="348">
        <v>0</v>
      </c>
      <c r="M1709" s="348">
        <v>0</v>
      </c>
      <c r="N1709" s="348">
        <v>347</v>
      </c>
      <c r="O1709" s="348">
        <v>0</v>
      </c>
      <c r="P1709" s="348">
        <v>831</v>
      </c>
      <c r="Q1709" s="348">
        <v>61</v>
      </c>
      <c r="R1709" s="350">
        <f t="shared" si="229"/>
        <v>1923</v>
      </c>
      <c r="S1709" s="348">
        <f t="shared" si="230"/>
        <v>61</v>
      </c>
      <c r="T1709" s="348"/>
      <c r="U1709" s="348"/>
      <c r="V1709" s="348"/>
      <c r="W1709" s="349"/>
      <c r="X1709" s="349"/>
    </row>
    <row r="1710" spans="1:24" ht="12.75">
      <c r="A1710" s="346" t="s">
        <v>573</v>
      </c>
      <c r="B1710" s="347" t="s">
        <v>178</v>
      </c>
      <c r="C1710" s="347" t="s">
        <v>813</v>
      </c>
      <c r="D1710" s="347">
        <v>2019</v>
      </c>
      <c r="E1710" s="347" t="s">
        <v>775</v>
      </c>
      <c r="F1710" s="348">
        <v>1442</v>
      </c>
      <c r="G1710" s="348">
        <v>0</v>
      </c>
      <c r="H1710" s="348">
        <v>0</v>
      </c>
      <c r="I1710" s="348">
        <v>0</v>
      </c>
      <c r="J1710" s="348">
        <v>974</v>
      </c>
      <c r="K1710" s="348">
        <v>0</v>
      </c>
      <c r="L1710" s="348">
        <v>0</v>
      </c>
      <c r="M1710" s="348">
        <v>0</v>
      </c>
      <c r="N1710" s="348">
        <v>1090</v>
      </c>
      <c r="O1710" s="348">
        <v>0</v>
      </c>
      <c r="P1710" s="348">
        <v>2471</v>
      </c>
      <c r="Q1710" s="348">
        <v>835</v>
      </c>
      <c r="R1710" s="350">
        <f t="shared" si="229"/>
        <v>5977</v>
      </c>
      <c r="S1710" s="348">
        <f t="shared" si="230"/>
        <v>835</v>
      </c>
      <c r="T1710" s="348"/>
      <c r="U1710" s="348"/>
      <c r="V1710" s="348"/>
      <c r="W1710" s="349"/>
      <c r="X1710" s="349"/>
    </row>
    <row r="1711" spans="1:24" ht="12.75">
      <c r="A1711" s="346" t="s">
        <v>574</v>
      </c>
      <c r="B1711" s="347" t="s">
        <v>178</v>
      </c>
      <c r="C1711" s="347" t="s">
        <v>813</v>
      </c>
      <c r="D1711" s="347">
        <v>2019</v>
      </c>
      <c r="E1711" s="347" t="s">
        <v>775</v>
      </c>
      <c r="F1711" s="348">
        <v>28</v>
      </c>
      <c r="G1711" s="348">
        <v>0</v>
      </c>
      <c r="H1711" s="348">
        <v>0</v>
      </c>
      <c r="I1711" s="348">
        <v>0</v>
      </c>
      <c r="J1711" s="348">
        <v>19</v>
      </c>
      <c r="K1711" s="348">
        <v>0</v>
      </c>
      <c r="L1711" s="348">
        <v>0</v>
      </c>
      <c r="M1711" s="348">
        <v>0</v>
      </c>
      <c r="N1711" s="348">
        <v>22</v>
      </c>
      <c r="O1711" s="348">
        <v>1</v>
      </c>
      <c r="P1711" s="348">
        <v>49</v>
      </c>
      <c r="Q1711" s="348">
        <v>18</v>
      </c>
      <c r="R1711" s="350">
        <f t="shared" si="229"/>
        <v>118</v>
      </c>
      <c r="S1711" s="348">
        <f t="shared" si="230"/>
        <v>19</v>
      </c>
      <c r="T1711" s="348"/>
      <c r="U1711" s="348"/>
      <c r="V1711" s="348"/>
      <c r="W1711" s="349"/>
      <c r="X1711" s="349"/>
    </row>
    <row r="1712" spans="1:24" ht="12.75">
      <c r="A1712" s="346" t="s">
        <v>576</v>
      </c>
      <c r="B1712" s="347" t="s">
        <v>178</v>
      </c>
      <c r="C1712" s="347" t="s">
        <v>813</v>
      </c>
      <c r="D1712" s="347">
        <v>2019</v>
      </c>
      <c r="E1712" s="347" t="s">
        <v>775</v>
      </c>
      <c r="F1712" s="348">
        <v>349</v>
      </c>
      <c r="G1712" s="348">
        <v>0</v>
      </c>
      <c r="H1712" s="348">
        <v>0</v>
      </c>
      <c r="I1712" s="348">
        <v>0</v>
      </c>
      <c r="J1712" s="348">
        <v>246</v>
      </c>
      <c r="K1712" s="348">
        <v>0</v>
      </c>
      <c r="L1712" s="348">
        <v>0</v>
      </c>
      <c r="M1712" s="348">
        <v>0</v>
      </c>
      <c r="N1712" s="348">
        <v>280</v>
      </c>
      <c r="O1712" s="348">
        <v>2</v>
      </c>
      <c r="P1712" s="348">
        <v>625</v>
      </c>
      <c r="Q1712" s="348">
        <v>3</v>
      </c>
      <c r="R1712" s="350">
        <f t="shared" si="229"/>
        <v>1500</v>
      </c>
      <c r="S1712" s="348">
        <f t="shared" si="230"/>
        <v>5</v>
      </c>
      <c r="T1712" s="348"/>
      <c r="U1712" s="348"/>
      <c r="V1712" s="348"/>
      <c r="W1712" s="349"/>
      <c r="X1712" s="349"/>
    </row>
    <row r="1713" spans="1:24" ht="12.75">
      <c r="A1713" s="346" t="s">
        <v>577</v>
      </c>
      <c r="B1713" s="347" t="s">
        <v>178</v>
      </c>
      <c r="C1713" s="347" t="s">
        <v>813</v>
      </c>
      <c r="D1713" s="347">
        <v>2019</v>
      </c>
      <c r="E1713" s="347" t="s">
        <v>775</v>
      </c>
      <c r="F1713" s="348">
        <v>254</v>
      </c>
      <c r="G1713" s="348">
        <v>0</v>
      </c>
      <c r="H1713" s="348">
        <v>0</v>
      </c>
      <c r="I1713" s="348">
        <v>0</v>
      </c>
      <c r="J1713" s="348">
        <v>177</v>
      </c>
      <c r="K1713" s="348">
        <v>0</v>
      </c>
      <c r="L1713" s="348">
        <v>0</v>
      </c>
      <c r="M1713" s="348">
        <v>0</v>
      </c>
      <c r="N1713" s="348">
        <v>202</v>
      </c>
      <c r="O1713" s="348">
        <v>0</v>
      </c>
      <c r="P1713" s="348">
        <v>462</v>
      </c>
      <c r="Q1713" s="348">
        <v>91</v>
      </c>
      <c r="R1713" s="350">
        <f t="shared" si="229"/>
        <v>1095</v>
      </c>
      <c r="S1713" s="348">
        <f t="shared" si="230"/>
        <v>91</v>
      </c>
      <c r="T1713" s="348"/>
      <c r="U1713" s="348"/>
      <c r="V1713" s="348"/>
      <c r="W1713" s="349"/>
      <c r="X1713" s="349"/>
    </row>
    <row r="1714" spans="1:24" ht="12.75">
      <c r="A1714" s="346" t="s">
        <v>578</v>
      </c>
      <c r="B1714" s="347" t="s">
        <v>178</v>
      </c>
      <c r="C1714" s="347" t="s">
        <v>813</v>
      </c>
      <c r="D1714" s="347">
        <v>2019</v>
      </c>
      <c r="E1714" s="347" t="s">
        <v>775</v>
      </c>
      <c r="F1714" s="348">
        <v>164</v>
      </c>
      <c r="G1714" s="348">
        <v>0</v>
      </c>
      <c r="H1714" s="348">
        <v>0</v>
      </c>
      <c r="I1714" s="348">
        <v>0</v>
      </c>
      <c r="J1714" s="348">
        <v>114</v>
      </c>
      <c r="K1714" s="348">
        <v>0</v>
      </c>
      <c r="L1714" s="348">
        <v>0</v>
      </c>
      <c r="M1714" s="348">
        <v>0</v>
      </c>
      <c r="N1714" s="348">
        <v>125</v>
      </c>
      <c r="O1714" s="348">
        <v>0</v>
      </c>
      <c r="P1714" s="348">
        <v>294</v>
      </c>
      <c r="Q1714" s="348">
        <v>0</v>
      </c>
      <c r="R1714" s="350">
        <f t="shared" si="229"/>
        <v>697</v>
      </c>
      <c r="S1714" s="348">
        <f t="shared" si="230"/>
        <v>0</v>
      </c>
      <c r="T1714" s="348"/>
      <c r="U1714" s="348"/>
      <c r="V1714" s="348"/>
      <c r="W1714" s="349"/>
      <c r="X1714" s="349"/>
    </row>
    <row r="1715" spans="1:24" ht="12.75">
      <c r="A1715" s="346" t="s">
        <v>579</v>
      </c>
      <c r="B1715" s="347" t="s">
        <v>178</v>
      </c>
      <c r="C1715" s="347" t="s">
        <v>813</v>
      </c>
      <c r="D1715" s="347">
        <v>2019</v>
      </c>
      <c r="E1715" s="347" t="s">
        <v>775</v>
      </c>
      <c r="F1715" s="348">
        <v>38</v>
      </c>
      <c r="G1715" s="348">
        <v>0</v>
      </c>
      <c r="H1715" s="348">
        <v>0</v>
      </c>
      <c r="I1715" s="348">
        <v>0</v>
      </c>
      <c r="J1715" s="348">
        <v>29</v>
      </c>
      <c r="K1715" s="348">
        <v>0</v>
      </c>
      <c r="L1715" s="348">
        <v>0</v>
      </c>
      <c r="M1715" s="348">
        <v>0</v>
      </c>
      <c r="N1715" s="348">
        <v>34</v>
      </c>
      <c r="O1715" s="348">
        <v>2</v>
      </c>
      <c r="P1715" s="348">
        <v>80</v>
      </c>
      <c r="Q1715" s="348">
        <v>0</v>
      </c>
      <c r="R1715" s="350">
        <f t="shared" si="229"/>
        <v>181</v>
      </c>
      <c r="S1715" s="348">
        <f t="shared" si="230"/>
        <v>2</v>
      </c>
      <c r="T1715" s="348"/>
      <c r="U1715" s="348"/>
      <c r="V1715" s="348"/>
      <c r="W1715" s="349"/>
      <c r="X1715" s="349"/>
    </row>
    <row r="1716" spans="1:24" ht="12.75">
      <c r="A1716" s="346" t="s">
        <v>580</v>
      </c>
      <c r="B1716" s="347" t="s">
        <v>178</v>
      </c>
      <c r="C1716" s="347" t="s">
        <v>813</v>
      </c>
      <c r="D1716" s="347">
        <v>2019</v>
      </c>
      <c r="E1716" s="347" t="s">
        <v>775</v>
      </c>
      <c r="F1716" s="348">
        <v>2592</v>
      </c>
      <c r="G1716" s="348">
        <v>58</v>
      </c>
      <c r="H1716" s="348">
        <v>58</v>
      </c>
      <c r="I1716" s="348">
        <v>0</v>
      </c>
      <c r="J1716" s="348">
        <v>1745</v>
      </c>
      <c r="K1716" s="348">
        <v>42</v>
      </c>
      <c r="L1716" s="348">
        <v>42</v>
      </c>
      <c r="M1716" s="348">
        <v>0</v>
      </c>
      <c r="N1716" s="348">
        <v>1977</v>
      </c>
      <c r="O1716" s="348">
        <v>0</v>
      </c>
      <c r="P1716" s="348">
        <v>4547</v>
      </c>
      <c r="Q1716" s="348">
        <v>1452</v>
      </c>
      <c r="R1716" s="350">
        <f t="shared" si="229"/>
        <v>10861</v>
      </c>
      <c r="S1716" s="348">
        <f t="shared" si="230"/>
        <v>1552</v>
      </c>
      <c r="T1716" s="348"/>
      <c r="U1716" s="348"/>
      <c r="V1716" s="348"/>
      <c r="W1716" s="349"/>
      <c r="X1716" s="349"/>
    </row>
    <row r="1717" spans="1:24" ht="12.75">
      <c r="A1717" s="346" t="s">
        <v>581</v>
      </c>
      <c r="B1717" s="347" t="s">
        <v>178</v>
      </c>
      <c r="C1717" s="347" t="s">
        <v>813</v>
      </c>
      <c r="D1717" s="347">
        <v>2019</v>
      </c>
      <c r="E1717" s="347" t="s">
        <v>775</v>
      </c>
      <c r="F1717" s="348">
        <v>209</v>
      </c>
      <c r="G1717" s="348">
        <v>0</v>
      </c>
      <c r="H1717" s="348">
        <v>0</v>
      </c>
      <c r="I1717" s="348">
        <v>0</v>
      </c>
      <c r="J1717" s="348">
        <v>141</v>
      </c>
      <c r="K1717" s="348">
        <v>0</v>
      </c>
      <c r="L1717" s="348">
        <v>0</v>
      </c>
      <c r="M1717" s="348">
        <v>0</v>
      </c>
      <c r="N1717" s="348">
        <v>158</v>
      </c>
      <c r="O1717" s="348">
        <v>140</v>
      </c>
      <c r="P1717" s="348">
        <v>340</v>
      </c>
      <c r="Q1717" s="348">
        <v>300</v>
      </c>
      <c r="R1717" s="350">
        <f t="shared" si="229"/>
        <v>848</v>
      </c>
      <c r="S1717" s="348">
        <f t="shared" si="230"/>
        <v>440</v>
      </c>
      <c r="T1717" s="348"/>
      <c r="U1717" s="348"/>
      <c r="V1717" s="348"/>
      <c r="W1717" s="349"/>
      <c r="X1717" s="349"/>
    </row>
    <row r="1718" spans="1:24" ht="12.75">
      <c r="A1718" s="346" t="s">
        <v>582</v>
      </c>
      <c r="B1718" s="347" t="s">
        <v>178</v>
      </c>
      <c r="C1718" s="347" t="s">
        <v>813</v>
      </c>
      <c r="D1718" s="347">
        <v>2019</v>
      </c>
      <c r="E1718" s="347" t="s">
        <v>775</v>
      </c>
      <c r="F1718" s="348">
        <v>579</v>
      </c>
      <c r="G1718" s="348">
        <v>1</v>
      </c>
      <c r="H1718" s="348">
        <v>0</v>
      </c>
      <c r="I1718" s="348">
        <v>1</v>
      </c>
      <c r="J1718" s="348">
        <v>396</v>
      </c>
      <c r="K1718" s="348">
        <v>10</v>
      </c>
      <c r="L1718" s="348">
        <v>0</v>
      </c>
      <c r="M1718" s="348">
        <v>10</v>
      </c>
      <c r="N1718" s="348">
        <v>453</v>
      </c>
      <c r="O1718" s="348">
        <v>0</v>
      </c>
      <c r="P1718" s="348">
        <v>1001</v>
      </c>
      <c r="Q1718" s="348">
        <v>122</v>
      </c>
      <c r="R1718" s="350">
        <f t="shared" si="229"/>
        <v>2429</v>
      </c>
      <c r="S1718" s="348">
        <f t="shared" si="230"/>
        <v>133</v>
      </c>
      <c r="T1718" s="348"/>
      <c r="U1718" s="348"/>
      <c r="V1718" s="348"/>
      <c r="W1718" s="349"/>
      <c r="X1718" s="349"/>
    </row>
    <row r="1719" spans="1:24" ht="12.75">
      <c r="A1719" s="346" t="s">
        <v>583</v>
      </c>
      <c r="B1719" s="347" t="s">
        <v>178</v>
      </c>
      <c r="C1719" s="347" t="s">
        <v>813</v>
      </c>
      <c r="D1719" s="347">
        <v>2019</v>
      </c>
      <c r="E1719" s="347" t="s">
        <v>775</v>
      </c>
      <c r="F1719" s="348">
        <v>636</v>
      </c>
      <c r="G1719" s="348">
        <v>0</v>
      </c>
      <c r="H1719" s="348">
        <v>0</v>
      </c>
      <c r="I1719" s="348">
        <v>0</v>
      </c>
      <c r="J1719" s="348">
        <v>432</v>
      </c>
      <c r="K1719" s="348">
        <v>1</v>
      </c>
      <c r="L1719" s="348">
        <v>0</v>
      </c>
      <c r="M1719" s="348">
        <v>1</v>
      </c>
      <c r="N1719" s="348">
        <v>496</v>
      </c>
      <c r="O1719" s="348">
        <v>0</v>
      </c>
      <c r="P1719" s="348">
        <v>1151</v>
      </c>
      <c r="Q1719" s="348">
        <v>53</v>
      </c>
      <c r="R1719" s="350">
        <f t="shared" si="229"/>
        <v>2715</v>
      </c>
      <c r="S1719" s="348">
        <f t="shared" si="230"/>
        <v>54</v>
      </c>
      <c r="T1719" s="348"/>
      <c r="U1719" s="348"/>
      <c r="V1719" s="348"/>
      <c r="W1719" s="349"/>
      <c r="X1719" s="349"/>
    </row>
    <row r="1720" spans="1:24" ht="12.75">
      <c r="A1720" s="346" t="s">
        <v>584</v>
      </c>
      <c r="B1720" s="347" t="s">
        <v>178</v>
      </c>
      <c r="C1720" s="347" t="s">
        <v>813</v>
      </c>
      <c r="D1720" s="347">
        <v>2019</v>
      </c>
      <c r="E1720" s="347" t="s">
        <v>775</v>
      </c>
      <c r="F1720" s="348">
        <v>9</v>
      </c>
      <c r="G1720" s="348">
        <v>1</v>
      </c>
      <c r="H1720" s="348">
        <v>0</v>
      </c>
      <c r="I1720" s="348">
        <v>1</v>
      </c>
      <c r="J1720" s="348">
        <v>6</v>
      </c>
      <c r="K1720" s="348">
        <v>51</v>
      </c>
      <c r="L1720" s="348">
        <v>0</v>
      </c>
      <c r="M1720" s="348">
        <v>51</v>
      </c>
      <c r="N1720" s="348">
        <v>7</v>
      </c>
      <c r="O1720" s="348">
        <v>99</v>
      </c>
      <c r="P1720" s="348">
        <v>17</v>
      </c>
      <c r="Q1720" s="348">
        <v>289</v>
      </c>
      <c r="R1720" s="350">
        <f t="shared" si="229"/>
        <v>39</v>
      </c>
      <c r="S1720" s="348">
        <f t="shared" si="230"/>
        <v>440</v>
      </c>
      <c r="T1720" s="348"/>
      <c r="U1720" s="348"/>
      <c r="V1720" s="348"/>
      <c r="W1720" s="349"/>
      <c r="X1720" s="349"/>
    </row>
    <row r="1721" spans="1:24" ht="12.75">
      <c r="A1721" s="346" t="s">
        <v>585</v>
      </c>
      <c r="B1721" s="347" t="s">
        <v>178</v>
      </c>
      <c r="C1721" s="347" t="s">
        <v>813</v>
      </c>
      <c r="D1721" s="347">
        <v>2019</v>
      </c>
      <c r="E1721" s="347" t="s">
        <v>775</v>
      </c>
      <c r="F1721" s="348">
        <v>103</v>
      </c>
      <c r="G1721" s="348">
        <v>0</v>
      </c>
      <c r="H1721" s="348">
        <v>0</v>
      </c>
      <c r="I1721" s="348">
        <v>0</v>
      </c>
      <c r="J1721" s="348">
        <v>72</v>
      </c>
      <c r="K1721" s="348">
        <v>0</v>
      </c>
      <c r="L1721" s="348">
        <v>0</v>
      </c>
      <c r="M1721" s="348">
        <v>0</v>
      </c>
      <c r="N1721" s="348">
        <v>84</v>
      </c>
      <c r="O1721" s="348">
        <v>5</v>
      </c>
      <c r="P1721" s="348">
        <v>195</v>
      </c>
      <c r="Q1721" s="348">
        <v>0</v>
      </c>
      <c r="R1721" s="350">
        <f t="shared" si="229"/>
        <v>454</v>
      </c>
      <c r="S1721" s="348">
        <f t="shared" si="230"/>
        <v>5</v>
      </c>
      <c r="T1721" s="348"/>
      <c r="U1721" s="348"/>
      <c r="V1721" s="348"/>
      <c r="W1721" s="349"/>
      <c r="X1721" s="349"/>
    </row>
    <row r="1722" spans="1:24" ht="12.75">
      <c r="A1722" s="346" t="s">
        <v>586</v>
      </c>
      <c r="B1722" s="347" t="s">
        <v>178</v>
      </c>
      <c r="C1722" s="347" t="s">
        <v>813</v>
      </c>
      <c r="D1722" s="347">
        <v>2019</v>
      </c>
      <c r="E1722" s="347" t="s">
        <v>775</v>
      </c>
      <c r="F1722" s="348">
        <v>382</v>
      </c>
      <c r="G1722" s="348">
        <v>0</v>
      </c>
      <c r="H1722" s="348">
        <v>0</v>
      </c>
      <c r="I1722" s="348">
        <v>0</v>
      </c>
      <c r="J1722" s="348">
        <v>260</v>
      </c>
      <c r="K1722" s="348">
        <v>0</v>
      </c>
      <c r="L1722" s="348">
        <v>0</v>
      </c>
      <c r="M1722" s="348">
        <v>0</v>
      </c>
      <c r="N1722" s="348">
        <v>294</v>
      </c>
      <c r="O1722" s="348">
        <v>14</v>
      </c>
      <c r="P1722" s="348">
        <v>653</v>
      </c>
      <c r="Q1722" s="348">
        <v>511</v>
      </c>
      <c r="R1722" s="350">
        <f t="shared" si="229"/>
        <v>1589</v>
      </c>
      <c r="S1722" s="348">
        <f t="shared" si="230"/>
        <v>525</v>
      </c>
      <c r="T1722" s="348"/>
      <c r="U1722" s="348"/>
      <c r="V1722" s="348"/>
      <c r="W1722" s="349"/>
      <c r="X1722" s="349"/>
    </row>
    <row r="1723" spans="1:24" ht="12.75">
      <c r="A1723" s="346" t="s">
        <v>587</v>
      </c>
      <c r="B1723" s="347" t="s">
        <v>178</v>
      </c>
      <c r="C1723" s="347" t="s">
        <v>813</v>
      </c>
      <c r="D1723" s="347">
        <v>2019</v>
      </c>
      <c r="E1723" s="347" t="s">
        <v>775</v>
      </c>
      <c r="F1723" s="348">
        <v>1698</v>
      </c>
      <c r="G1723" s="348">
        <v>7</v>
      </c>
      <c r="H1723" s="348">
        <v>0</v>
      </c>
      <c r="I1723" s="348">
        <v>7</v>
      </c>
      <c r="J1723" s="348">
        <v>1207</v>
      </c>
      <c r="K1723" s="348">
        <v>0</v>
      </c>
      <c r="L1723" s="348">
        <v>0</v>
      </c>
      <c r="M1723" s="348">
        <v>0</v>
      </c>
      <c r="N1723" s="348">
        <v>1342</v>
      </c>
      <c r="O1723" s="348">
        <v>144</v>
      </c>
      <c r="P1723" s="348">
        <v>3124</v>
      </c>
      <c r="Q1723" s="348">
        <v>288</v>
      </c>
      <c r="R1723" s="350">
        <f t="shared" si="229"/>
        <v>7371</v>
      </c>
      <c r="S1723" s="348">
        <f t="shared" si="230"/>
        <v>439</v>
      </c>
      <c r="T1723" s="348"/>
      <c r="U1723" s="349"/>
      <c r="V1723" s="349"/>
      <c r="W1723" s="349"/>
      <c r="X1723" s="349"/>
    </row>
    <row r="1724" spans="1:24" ht="12.75">
      <c r="A1724" s="346" t="s">
        <v>588</v>
      </c>
      <c r="B1724" s="347" t="s">
        <v>178</v>
      </c>
      <c r="C1724" s="347" t="s">
        <v>813</v>
      </c>
      <c r="D1724" s="347">
        <v>2019</v>
      </c>
      <c r="E1724" s="347" t="s">
        <v>775</v>
      </c>
      <c r="F1724" s="348">
        <v>376</v>
      </c>
      <c r="G1724" s="348">
        <v>0</v>
      </c>
      <c r="H1724" s="348">
        <v>0</v>
      </c>
      <c r="I1724" s="348">
        <v>0</v>
      </c>
      <c r="J1724" s="348">
        <v>261</v>
      </c>
      <c r="K1724" s="348">
        <v>5</v>
      </c>
      <c r="L1724" s="348">
        <v>0</v>
      </c>
      <c r="M1724" s="348">
        <v>5</v>
      </c>
      <c r="N1724" s="348">
        <v>299</v>
      </c>
      <c r="O1724" s="348">
        <v>0</v>
      </c>
      <c r="P1724" s="348">
        <v>669</v>
      </c>
      <c r="Q1724" s="348">
        <v>33</v>
      </c>
      <c r="R1724" s="350">
        <f t="shared" si="229"/>
        <v>1605</v>
      </c>
      <c r="S1724" s="348">
        <f t="shared" si="230"/>
        <v>38</v>
      </c>
      <c r="T1724" s="348"/>
      <c r="U1724" s="348"/>
      <c r="V1724" s="348"/>
      <c r="W1724" s="349"/>
      <c r="X1724" s="349"/>
    </row>
    <row r="1725" spans="1:24" ht="12.75">
      <c r="A1725" s="346" t="s">
        <v>589</v>
      </c>
      <c r="B1725" s="347" t="s">
        <v>178</v>
      </c>
      <c r="C1725" s="347" t="s">
        <v>813</v>
      </c>
      <c r="D1725" s="347">
        <v>2019</v>
      </c>
      <c r="E1725" s="347" t="s">
        <v>775</v>
      </c>
      <c r="F1725" s="348">
        <v>209</v>
      </c>
      <c r="G1725" s="348">
        <v>0</v>
      </c>
      <c r="H1725" s="348">
        <v>0</v>
      </c>
      <c r="I1725" s="348">
        <v>0</v>
      </c>
      <c r="J1725" s="348">
        <v>149</v>
      </c>
      <c r="K1725" s="348">
        <v>0</v>
      </c>
      <c r="L1725" s="348">
        <v>0</v>
      </c>
      <c r="M1725" s="348">
        <v>0</v>
      </c>
      <c r="N1725" s="348">
        <v>172</v>
      </c>
      <c r="O1725" s="348">
        <v>0</v>
      </c>
      <c r="P1725" s="348">
        <v>400</v>
      </c>
      <c r="Q1725" s="348">
        <v>21</v>
      </c>
      <c r="R1725" s="350">
        <f t="shared" si="229"/>
        <v>930</v>
      </c>
      <c r="S1725" s="348">
        <f t="shared" si="230"/>
        <v>21</v>
      </c>
      <c r="T1725" s="352">
        <f>SUM(G1704:G1725)</f>
        <v>67</v>
      </c>
      <c r="U1725" s="352">
        <f>SUM(K1704:K1725)</f>
        <v>111</v>
      </c>
      <c r="V1725" s="352">
        <f>SUM(O1704:O1725)</f>
        <v>408</v>
      </c>
      <c r="W1725" s="352">
        <f>SUM(Q1704:Q1725)</f>
        <v>4714</v>
      </c>
      <c r="X1725" s="352">
        <f>T1725+U1725+V1725+W1725</f>
        <v>5300</v>
      </c>
    </row>
    <row r="1726" spans="1:24" ht="12.75">
      <c r="A1726" s="449"/>
      <c r="B1726" s="450"/>
      <c r="C1726" s="450"/>
      <c r="D1726" s="450"/>
      <c r="E1726" s="450"/>
      <c r="F1726" s="451"/>
      <c r="G1726" s="451"/>
      <c r="H1726" s="451"/>
      <c r="I1726" s="451"/>
      <c r="J1726" s="451"/>
      <c r="K1726" s="451"/>
      <c r="L1726" s="451"/>
      <c r="M1726" s="451"/>
      <c r="N1726" s="451"/>
      <c r="O1726" s="451"/>
      <c r="P1726" s="451"/>
      <c r="Q1726" s="451"/>
      <c r="R1726" s="182"/>
      <c r="S1726" s="456" t="s">
        <v>783</v>
      </c>
      <c r="T1726" s="466">
        <f t="shared" ref="T1726:X1726" si="231">SUM(T1607:T1725)</f>
        <v>605</v>
      </c>
      <c r="U1726" s="466">
        <f t="shared" si="231"/>
        <v>1244</v>
      </c>
      <c r="V1726" s="466">
        <f t="shared" si="231"/>
        <v>4081</v>
      </c>
      <c r="W1726" s="466">
        <f t="shared" si="231"/>
        <v>17489</v>
      </c>
      <c r="X1726" s="466">
        <f t="shared" si="231"/>
        <v>23419</v>
      </c>
    </row>
    <row r="1727" spans="1:24" ht="12.75">
      <c r="A1727" s="449"/>
      <c r="B1727" s="450"/>
      <c r="C1727" s="450"/>
      <c r="D1727" s="450"/>
      <c r="E1727" s="450"/>
      <c r="F1727" s="451"/>
      <c r="G1727" s="451"/>
      <c r="H1727" s="451"/>
      <c r="I1727" s="451"/>
      <c r="J1727" s="451"/>
      <c r="K1727" s="451"/>
      <c r="L1727" s="451"/>
      <c r="M1727" s="451"/>
      <c r="N1727" s="451"/>
      <c r="O1727" s="451"/>
      <c r="P1727" s="451"/>
      <c r="Q1727" s="451"/>
      <c r="R1727" s="182"/>
      <c r="S1727" s="362"/>
      <c r="T1727" s="97"/>
      <c r="U1727" s="97"/>
      <c r="V1727" s="97"/>
      <c r="W1727" s="97"/>
      <c r="X1727" s="97"/>
    </row>
    <row r="1728" spans="1:24" ht="12.75">
      <c r="A1728" s="467" t="s">
        <v>590</v>
      </c>
      <c r="B1728" s="468" t="s">
        <v>179</v>
      </c>
      <c r="C1728" s="468" t="s">
        <v>855</v>
      </c>
      <c r="D1728" s="468">
        <v>2013</v>
      </c>
      <c r="E1728" s="468" t="s">
        <v>775</v>
      </c>
      <c r="F1728" s="469">
        <v>912</v>
      </c>
      <c r="G1728" s="469">
        <v>35</v>
      </c>
      <c r="H1728" s="470">
        <v>35</v>
      </c>
      <c r="I1728" s="469">
        <v>0</v>
      </c>
      <c r="J1728" s="469">
        <v>693</v>
      </c>
      <c r="K1728" s="469">
        <v>29</v>
      </c>
      <c r="L1728" s="469">
        <v>28</v>
      </c>
      <c r="M1728" s="469">
        <v>1</v>
      </c>
      <c r="N1728" s="469">
        <v>1062</v>
      </c>
      <c r="O1728" s="469">
        <v>104</v>
      </c>
      <c r="P1728" s="469">
        <v>2332</v>
      </c>
      <c r="Q1728" s="470">
        <v>1136</v>
      </c>
      <c r="R1728" s="381">
        <f t="shared" ref="R1728:R1860" si="232">F1728+J1728+N1728+P1728</f>
        <v>4999</v>
      </c>
      <c r="S1728" s="382">
        <f t="shared" ref="S1728:S1860" si="233">K1728+O1728+G1728+Q1728</f>
        <v>1304</v>
      </c>
      <c r="T1728" s="471"/>
      <c r="U1728" s="471"/>
      <c r="V1728" s="471"/>
      <c r="W1728" s="471"/>
      <c r="X1728" s="471"/>
    </row>
    <row r="1729" spans="1:24" ht="12.75">
      <c r="A1729" s="467" t="s">
        <v>591</v>
      </c>
      <c r="B1729" s="468" t="s">
        <v>179</v>
      </c>
      <c r="C1729" s="468" t="s">
        <v>855</v>
      </c>
      <c r="D1729" s="468">
        <v>2013</v>
      </c>
      <c r="E1729" s="468" t="s">
        <v>775</v>
      </c>
      <c r="F1729" s="469">
        <v>3209</v>
      </c>
      <c r="G1729" s="469">
        <v>69</v>
      </c>
      <c r="H1729" s="470">
        <v>69</v>
      </c>
      <c r="I1729" s="469">
        <v>0</v>
      </c>
      <c r="J1729" s="469">
        <v>2439</v>
      </c>
      <c r="K1729" s="469">
        <v>371</v>
      </c>
      <c r="L1729" s="469">
        <v>371</v>
      </c>
      <c r="M1729" s="469">
        <v>0</v>
      </c>
      <c r="N1729" s="469">
        <v>2257</v>
      </c>
      <c r="O1729" s="469">
        <v>302</v>
      </c>
      <c r="P1729" s="469">
        <v>4956</v>
      </c>
      <c r="Q1729" s="470">
        <v>2300</v>
      </c>
      <c r="R1729" s="381">
        <f t="shared" si="232"/>
        <v>12861</v>
      </c>
      <c r="S1729" s="382">
        <f t="shared" si="233"/>
        <v>3042</v>
      </c>
      <c r="T1729" s="471"/>
      <c r="U1729" s="471"/>
      <c r="V1729" s="471"/>
      <c r="W1729" s="471"/>
      <c r="X1729" s="471"/>
    </row>
    <row r="1730" spans="1:24" ht="12.75">
      <c r="A1730" s="467" t="s">
        <v>592</v>
      </c>
      <c r="B1730" s="468" t="s">
        <v>179</v>
      </c>
      <c r="C1730" s="468" t="s">
        <v>855</v>
      </c>
      <c r="D1730" s="468">
        <v>2013</v>
      </c>
      <c r="E1730" s="468" t="s">
        <v>775</v>
      </c>
      <c r="F1730" s="469">
        <v>13</v>
      </c>
      <c r="G1730" s="469">
        <v>12</v>
      </c>
      <c r="H1730" s="470">
        <v>12</v>
      </c>
      <c r="I1730" s="469">
        <v>0</v>
      </c>
      <c r="J1730" s="469">
        <v>9</v>
      </c>
      <c r="K1730" s="469">
        <v>0</v>
      </c>
      <c r="L1730" s="469">
        <v>0</v>
      </c>
      <c r="M1730" s="469">
        <v>0</v>
      </c>
      <c r="N1730" s="469">
        <v>9</v>
      </c>
      <c r="O1730" s="469">
        <v>0</v>
      </c>
      <c r="P1730" s="469">
        <v>19</v>
      </c>
      <c r="Q1730" s="470">
        <v>113</v>
      </c>
      <c r="R1730" s="381">
        <f t="shared" si="232"/>
        <v>50</v>
      </c>
      <c r="S1730" s="382">
        <f t="shared" si="233"/>
        <v>125</v>
      </c>
      <c r="T1730" s="471"/>
      <c r="U1730" s="471"/>
      <c r="V1730" s="471"/>
      <c r="W1730" s="471"/>
      <c r="X1730" s="471"/>
    </row>
    <row r="1731" spans="1:24" ht="12.75">
      <c r="A1731" s="467" t="s">
        <v>593</v>
      </c>
      <c r="B1731" s="468" t="s">
        <v>179</v>
      </c>
      <c r="C1731" s="468" t="s">
        <v>855</v>
      </c>
      <c r="D1731" s="468">
        <v>2013</v>
      </c>
      <c r="E1731" s="468" t="s">
        <v>775</v>
      </c>
      <c r="F1731" s="469">
        <v>7</v>
      </c>
      <c r="G1731" s="469">
        <v>0</v>
      </c>
      <c r="H1731" s="470">
        <v>0</v>
      </c>
      <c r="I1731" s="469">
        <v>0</v>
      </c>
      <c r="J1731" s="469">
        <v>5</v>
      </c>
      <c r="K1731" s="469">
        <v>0</v>
      </c>
      <c r="L1731" s="469">
        <v>0</v>
      </c>
      <c r="M1731" s="469">
        <v>0</v>
      </c>
      <c r="N1731" s="469">
        <v>15</v>
      </c>
      <c r="O1731" s="469">
        <v>0</v>
      </c>
      <c r="P1731" s="469">
        <v>34</v>
      </c>
      <c r="Q1731" s="470">
        <v>7</v>
      </c>
      <c r="R1731" s="381">
        <f t="shared" si="232"/>
        <v>61</v>
      </c>
      <c r="S1731" s="382">
        <f t="shared" si="233"/>
        <v>7</v>
      </c>
      <c r="T1731" s="471"/>
      <c r="U1731" s="471"/>
      <c r="V1731" s="471"/>
      <c r="W1731" s="471"/>
      <c r="X1731" s="471"/>
    </row>
    <row r="1732" spans="1:24" ht="12.75">
      <c r="A1732" s="467" t="s">
        <v>594</v>
      </c>
      <c r="B1732" s="468" t="s">
        <v>179</v>
      </c>
      <c r="C1732" s="468" t="s">
        <v>855</v>
      </c>
      <c r="D1732" s="468">
        <v>2013</v>
      </c>
      <c r="E1732" s="468" t="s">
        <v>775</v>
      </c>
      <c r="F1732" s="469">
        <v>1448</v>
      </c>
      <c r="G1732" s="469">
        <v>48</v>
      </c>
      <c r="H1732" s="470">
        <v>48</v>
      </c>
      <c r="I1732" s="469">
        <v>0</v>
      </c>
      <c r="J1732" s="469">
        <v>1101</v>
      </c>
      <c r="K1732" s="469">
        <v>2</v>
      </c>
      <c r="L1732" s="469">
        <v>2</v>
      </c>
      <c r="M1732" s="469">
        <v>0</v>
      </c>
      <c r="N1732" s="469">
        <v>1019</v>
      </c>
      <c r="O1732" s="469">
        <v>24</v>
      </c>
      <c r="P1732" s="469">
        <v>2237</v>
      </c>
      <c r="Q1732" s="470">
        <v>12</v>
      </c>
      <c r="R1732" s="381">
        <f t="shared" si="232"/>
        <v>5805</v>
      </c>
      <c r="S1732" s="382">
        <f t="shared" si="233"/>
        <v>86</v>
      </c>
      <c r="T1732" s="471"/>
      <c r="U1732" s="471"/>
      <c r="V1732" s="471"/>
      <c r="W1732" s="471"/>
      <c r="X1732" s="471"/>
    </row>
    <row r="1733" spans="1:24" ht="12.75">
      <c r="A1733" s="467" t="s">
        <v>595</v>
      </c>
      <c r="B1733" s="468" t="s">
        <v>179</v>
      </c>
      <c r="C1733" s="468" t="s">
        <v>855</v>
      </c>
      <c r="D1733" s="468">
        <v>2013</v>
      </c>
      <c r="E1733" s="468" t="s">
        <v>775</v>
      </c>
      <c r="F1733" s="469">
        <v>587</v>
      </c>
      <c r="G1733" s="469">
        <v>32</v>
      </c>
      <c r="H1733" s="470">
        <v>31</v>
      </c>
      <c r="I1733" s="469">
        <v>1</v>
      </c>
      <c r="J1733" s="469">
        <v>446</v>
      </c>
      <c r="K1733" s="469">
        <v>10</v>
      </c>
      <c r="L1733" s="469">
        <v>9</v>
      </c>
      <c r="M1733" s="469">
        <v>1</v>
      </c>
      <c r="N1733" s="469">
        <v>413</v>
      </c>
      <c r="O1733" s="469">
        <v>0</v>
      </c>
      <c r="P1733" s="469">
        <v>907</v>
      </c>
      <c r="Q1733" s="470">
        <v>283</v>
      </c>
      <c r="R1733" s="381">
        <f t="shared" si="232"/>
        <v>2353</v>
      </c>
      <c r="S1733" s="382">
        <f t="shared" si="233"/>
        <v>325</v>
      </c>
      <c r="T1733" s="471"/>
      <c r="U1733" s="471"/>
      <c r="V1733" s="471"/>
      <c r="W1733" s="471"/>
      <c r="X1733" s="471"/>
    </row>
    <row r="1734" spans="1:24" ht="12.75">
      <c r="A1734" s="467" t="s">
        <v>596</v>
      </c>
      <c r="B1734" s="468" t="s">
        <v>179</v>
      </c>
      <c r="C1734" s="468" t="s">
        <v>855</v>
      </c>
      <c r="D1734" s="468">
        <v>2013</v>
      </c>
      <c r="E1734" s="468" t="s">
        <v>775</v>
      </c>
      <c r="F1734" s="469">
        <v>1042</v>
      </c>
      <c r="G1734" s="469">
        <v>46</v>
      </c>
      <c r="H1734" s="470">
        <v>46</v>
      </c>
      <c r="I1734" s="469">
        <v>0</v>
      </c>
      <c r="J1734" s="469">
        <v>791</v>
      </c>
      <c r="K1734" s="469">
        <v>44</v>
      </c>
      <c r="L1734" s="469">
        <v>44</v>
      </c>
      <c r="M1734" s="469">
        <v>0</v>
      </c>
      <c r="N1734" s="469">
        <v>733</v>
      </c>
      <c r="O1734" s="469">
        <v>7</v>
      </c>
      <c r="P1734" s="469">
        <v>1609</v>
      </c>
      <c r="Q1734" s="470">
        <v>497</v>
      </c>
      <c r="R1734" s="381">
        <f t="shared" si="232"/>
        <v>4175</v>
      </c>
      <c r="S1734" s="382">
        <f t="shared" si="233"/>
        <v>594</v>
      </c>
      <c r="T1734" s="471"/>
      <c r="U1734" s="471"/>
      <c r="V1734" s="471"/>
      <c r="W1734" s="471"/>
      <c r="X1734" s="471"/>
    </row>
    <row r="1735" spans="1:24" ht="12.75">
      <c r="A1735" s="467" t="s">
        <v>597</v>
      </c>
      <c r="B1735" s="468" t="s">
        <v>179</v>
      </c>
      <c r="C1735" s="468" t="s">
        <v>855</v>
      </c>
      <c r="D1735" s="468">
        <v>2013</v>
      </c>
      <c r="E1735" s="468" t="s">
        <v>775</v>
      </c>
      <c r="F1735" s="469">
        <v>63</v>
      </c>
      <c r="G1735" s="469">
        <v>3</v>
      </c>
      <c r="H1735" s="470">
        <v>3</v>
      </c>
      <c r="I1735" s="469">
        <v>0</v>
      </c>
      <c r="J1735" s="469">
        <v>48</v>
      </c>
      <c r="K1735" s="469">
        <v>26</v>
      </c>
      <c r="L1735" s="469">
        <v>26</v>
      </c>
      <c r="M1735" s="469">
        <v>0</v>
      </c>
      <c r="N1735" s="469">
        <v>45</v>
      </c>
      <c r="O1735" s="469">
        <v>5</v>
      </c>
      <c r="P1735" s="469">
        <v>98</v>
      </c>
      <c r="Q1735" s="470">
        <v>22</v>
      </c>
      <c r="R1735" s="381">
        <f t="shared" si="232"/>
        <v>254</v>
      </c>
      <c r="S1735" s="382">
        <f t="shared" si="233"/>
        <v>56</v>
      </c>
      <c r="T1735" s="471"/>
      <c r="U1735" s="471"/>
      <c r="V1735" s="471"/>
      <c r="W1735" s="471"/>
      <c r="X1735" s="471"/>
    </row>
    <row r="1736" spans="1:24" ht="12.75">
      <c r="A1736" s="467" t="s">
        <v>598</v>
      </c>
      <c r="B1736" s="468" t="s">
        <v>179</v>
      </c>
      <c r="C1736" s="468" t="s">
        <v>855</v>
      </c>
      <c r="D1736" s="468">
        <v>2013</v>
      </c>
      <c r="E1736" s="468" t="s">
        <v>775</v>
      </c>
      <c r="F1736" s="469">
        <v>430</v>
      </c>
      <c r="G1736" s="469">
        <v>18</v>
      </c>
      <c r="H1736" s="470">
        <v>18</v>
      </c>
      <c r="I1736" s="469">
        <v>0</v>
      </c>
      <c r="J1736" s="469">
        <v>326</v>
      </c>
      <c r="K1736" s="469">
        <v>0</v>
      </c>
      <c r="L1736" s="469">
        <v>0</v>
      </c>
      <c r="M1736" s="469">
        <v>0</v>
      </c>
      <c r="N1736" s="469">
        <v>302</v>
      </c>
      <c r="O1736" s="469">
        <v>279</v>
      </c>
      <c r="P1736" s="469">
        <v>664</v>
      </c>
      <c r="Q1736" s="470">
        <v>241</v>
      </c>
      <c r="R1736" s="381">
        <f t="shared" si="232"/>
        <v>1722</v>
      </c>
      <c r="S1736" s="382">
        <f t="shared" si="233"/>
        <v>538</v>
      </c>
      <c r="T1736" s="471"/>
      <c r="U1736" s="471"/>
      <c r="V1736" s="471"/>
      <c r="W1736" s="471"/>
      <c r="X1736" s="471"/>
    </row>
    <row r="1737" spans="1:24" ht="12.75">
      <c r="A1737" s="467" t="s">
        <v>599</v>
      </c>
      <c r="B1737" s="468" t="s">
        <v>179</v>
      </c>
      <c r="C1737" s="468" t="s">
        <v>855</v>
      </c>
      <c r="D1737" s="468">
        <v>2013</v>
      </c>
      <c r="E1737" s="468" t="s">
        <v>775</v>
      </c>
      <c r="F1737" s="469">
        <v>77</v>
      </c>
      <c r="G1737" s="469">
        <v>89</v>
      </c>
      <c r="H1737" s="470">
        <v>89</v>
      </c>
      <c r="I1737" s="469">
        <v>0</v>
      </c>
      <c r="J1737" s="469">
        <v>59</v>
      </c>
      <c r="K1737" s="469">
        <v>81</v>
      </c>
      <c r="L1737" s="469">
        <v>81</v>
      </c>
      <c r="M1737" s="469">
        <v>0</v>
      </c>
      <c r="N1737" s="469">
        <v>54</v>
      </c>
      <c r="O1737" s="469">
        <v>6</v>
      </c>
      <c r="P1737" s="469">
        <v>119</v>
      </c>
      <c r="Q1737" s="470">
        <v>1</v>
      </c>
      <c r="R1737" s="381">
        <f t="shared" si="232"/>
        <v>309</v>
      </c>
      <c r="S1737" s="382">
        <f t="shared" si="233"/>
        <v>177</v>
      </c>
      <c r="T1737" s="471"/>
      <c r="U1737" s="471"/>
      <c r="V1737" s="471"/>
      <c r="W1737" s="471"/>
      <c r="X1737" s="471"/>
    </row>
    <row r="1738" spans="1:24" ht="12.75">
      <c r="A1738" s="467" t="s">
        <v>600</v>
      </c>
      <c r="B1738" s="468" t="s">
        <v>179</v>
      </c>
      <c r="C1738" s="468" t="s">
        <v>855</v>
      </c>
      <c r="D1738" s="468">
        <v>2013</v>
      </c>
      <c r="E1738" s="468" t="s">
        <v>775</v>
      </c>
      <c r="F1738" s="469">
        <v>465</v>
      </c>
      <c r="G1738" s="469">
        <v>0</v>
      </c>
      <c r="H1738" s="470">
        <v>0</v>
      </c>
      <c r="I1738" s="469">
        <v>0</v>
      </c>
      <c r="J1738" s="469">
        <v>353</v>
      </c>
      <c r="K1738" s="469">
        <v>8</v>
      </c>
      <c r="L1738" s="469">
        <v>8</v>
      </c>
      <c r="M1738" s="469">
        <v>0</v>
      </c>
      <c r="N1738" s="469">
        <v>327</v>
      </c>
      <c r="O1738" s="469">
        <v>0</v>
      </c>
      <c r="P1738" s="469">
        <v>718</v>
      </c>
      <c r="Q1738" s="470">
        <v>67</v>
      </c>
      <c r="R1738" s="381">
        <f t="shared" si="232"/>
        <v>1863</v>
      </c>
      <c r="S1738" s="382">
        <f t="shared" si="233"/>
        <v>75</v>
      </c>
      <c r="T1738" s="471"/>
      <c r="U1738" s="471"/>
      <c r="V1738" s="471"/>
      <c r="W1738" s="471"/>
      <c r="X1738" s="471"/>
    </row>
    <row r="1739" spans="1:24" ht="12.75">
      <c r="A1739" s="467" t="s">
        <v>601</v>
      </c>
      <c r="B1739" s="468" t="s">
        <v>179</v>
      </c>
      <c r="C1739" s="468" t="s">
        <v>855</v>
      </c>
      <c r="D1739" s="468">
        <v>2013</v>
      </c>
      <c r="E1739" s="468" t="s">
        <v>775</v>
      </c>
      <c r="F1739" s="469">
        <v>1549</v>
      </c>
      <c r="G1739" s="469">
        <v>267</v>
      </c>
      <c r="H1739" s="470">
        <v>244</v>
      </c>
      <c r="I1739" s="469">
        <v>23</v>
      </c>
      <c r="J1739" s="469">
        <v>1178</v>
      </c>
      <c r="K1739" s="469">
        <v>57</v>
      </c>
      <c r="L1739" s="469">
        <v>55</v>
      </c>
      <c r="M1739" s="469">
        <v>2</v>
      </c>
      <c r="N1739" s="469">
        <v>1090</v>
      </c>
      <c r="O1739" s="469">
        <v>102</v>
      </c>
      <c r="P1739" s="469">
        <v>2393</v>
      </c>
      <c r="Q1739" s="470">
        <v>362</v>
      </c>
      <c r="R1739" s="381">
        <f t="shared" si="232"/>
        <v>6210</v>
      </c>
      <c r="S1739" s="382">
        <f t="shared" si="233"/>
        <v>788</v>
      </c>
      <c r="T1739" s="471"/>
      <c r="U1739" s="471"/>
      <c r="V1739" s="471"/>
      <c r="W1739" s="471"/>
      <c r="X1739" s="471"/>
    </row>
    <row r="1740" spans="1:24" ht="12.75">
      <c r="A1740" s="467" t="s">
        <v>602</v>
      </c>
      <c r="B1740" s="468" t="s">
        <v>179</v>
      </c>
      <c r="C1740" s="468" t="s">
        <v>855</v>
      </c>
      <c r="D1740" s="468">
        <v>2013</v>
      </c>
      <c r="E1740" s="468" t="s">
        <v>775</v>
      </c>
      <c r="F1740" s="469">
        <v>201</v>
      </c>
      <c r="G1740" s="469">
        <v>26</v>
      </c>
      <c r="H1740" s="470">
        <v>26</v>
      </c>
      <c r="I1740" s="469">
        <v>0</v>
      </c>
      <c r="J1740" s="469">
        <v>152</v>
      </c>
      <c r="K1740" s="469">
        <v>26</v>
      </c>
      <c r="L1740" s="469">
        <v>26</v>
      </c>
      <c r="M1740" s="469">
        <v>0</v>
      </c>
      <c r="N1740" s="469">
        <v>282</v>
      </c>
      <c r="O1740" s="469">
        <v>0</v>
      </c>
      <c r="P1740" s="469">
        <v>618</v>
      </c>
      <c r="Q1740" s="470">
        <v>64</v>
      </c>
      <c r="R1740" s="381">
        <f t="shared" si="232"/>
        <v>1253</v>
      </c>
      <c r="S1740" s="382">
        <f t="shared" si="233"/>
        <v>116</v>
      </c>
      <c r="T1740" s="471"/>
      <c r="U1740" s="471"/>
      <c r="V1740" s="471"/>
      <c r="W1740" s="471"/>
      <c r="X1740" s="471"/>
    </row>
    <row r="1741" spans="1:24" ht="12.75">
      <c r="A1741" s="467" t="s">
        <v>179</v>
      </c>
      <c r="B1741" s="468" t="s">
        <v>179</v>
      </c>
      <c r="C1741" s="468" t="s">
        <v>855</v>
      </c>
      <c r="D1741" s="468">
        <v>2013</v>
      </c>
      <c r="E1741" s="468" t="s">
        <v>775</v>
      </c>
      <c r="F1741" s="469">
        <v>21977</v>
      </c>
      <c r="G1741" s="469">
        <v>609</v>
      </c>
      <c r="H1741" s="470">
        <v>609</v>
      </c>
      <c r="I1741" s="469">
        <v>0</v>
      </c>
      <c r="J1741" s="469">
        <v>16703</v>
      </c>
      <c r="K1741" s="469">
        <v>915</v>
      </c>
      <c r="L1741" s="469">
        <v>915</v>
      </c>
      <c r="M1741" s="469">
        <v>0</v>
      </c>
      <c r="N1741" s="469">
        <v>15462</v>
      </c>
      <c r="O1741" s="469">
        <v>0</v>
      </c>
      <c r="P1741" s="469">
        <v>33954</v>
      </c>
      <c r="Q1741" s="470">
        <v>7665</v>
      </c>
      <c r="R1741" s="381">
        <f t="shared" si="232"/>
        <v>88096</v>
      </c>
      <c r="S1741" s="382">
        <f t="shared" si="233"/>
        <v>9189</v>
      </c>
      <c r="T1741" s="471"/>
      <c r="U1741" s="471"/>
      <c r="V1741" s="471"/>
      <c r="W1741" s="471"/>
      <c r="X1741" s="471"/>
    </row>
    <row r="1742" spans="1:24" ht="12.75">
      <c r="A1742" s="467" t="s">
        <v>603</v>
      </c>
      <c r="B1742" s="468" t="s">
        <v>179</v>
      </c>
      <c r="C1742" s="468" t="s">
        <v>855</v>
      </c>
      <c r="D1742" s="468">
        <v>2013</v>
      </c>
      <c r="E1742" s="468" t="s">
        <v>775</v>
      </c>
      <c r="F1742" s="469">
        <v>2085</v>
      </c>
      <c r="G1742" s="469">
        <v>23</v>
      </c>
      <c r="H1742" s="470">
        <v>23</v>
      </c>
      <c r="I1742" s="469">
        <v>0</v>
      </c>
      <c r="J1742" s="469">
        <v>1585</v>
      </c>
      <c r="K1742" s="469">
        <v>145</v>
      </c>
      <c r="L1742" s="469">
        <v>145</v>
      </c>
      <c r="M1742" s="469">
        <v>0</v>
      </c>
      <c r="N1742" s="469">
        <v>5864</v>
      </c>
      <c r="O1742" s="469">
        <v>200</v>
      </c>
      <c r="P1742" s="469">
        <v>12878</v>
      </c>
      <c r="Q1742" s="470">
        <v>1225</v>
      </c>
      <c r="R1742" s="381">
        <f t="shared" si="232"/>
        <v>22412</v>
      </c>
      <c r="S1742" s="382">
        <f t="shared" si="233"/>
        <v>1593</v>
      </c>
      <c r="T1742" s="471"/>
      <c r="U1742" s="471"/>
      <c r="V1742" s="471"/>
      <c r="W1742" s="471"/>
      <c r="X1742" s="471"/>
    </row>
    <row r="1743" spans="1:24" ht="12.75">
      <c r="A1743" s="467" t="s">
        <v>604</v>
      </c>
      <c r="B1743" s="468" t="s">
        <v>179</v>
      </c>
      <c r="C1743" s="468" t="s">
        <v>855</v>
      </c>
      <c r="D1743" s="468">
        <v>2013</v>
      </c>
      <c r="E1743" s="468" t="s">
        <v>775</v>
      </c>
      <c r="F1743" s="469">
        <v>1043</v>
      </c>
      <c r="G1743" s="469">
        <v>136</v>
      </c>
      <c r="H1743" s="470">
        <v>136</v>
      </c>
      <c r="I1743" s="469">
        <v>0</v>
      </c>
      <c r="J1743" s="469">
        <v>793</v>
      </c>
      <c r="K1743" s="469">
        <v>50</v>
      </c>
      <c r="L1743" s="469">
        <v>50</v>
      </c>
      <c r="M1743" s="469">
        <v>0</v>
      </c>
      <c r="N1743" s="469">
        <v>734</v>
      </c>
      <c r="O1743" s="469">
        <v>63</v>
      </c>
      <c r="P1743" s="469">
        <v>1613</v>
      </c>
      <c r="Q1743" s="470">
        <v>1684</v>
      </c>
      <c r="R1743" s="381">
        <f t="shared" si="232"/>
        <v>4183</v>
      </c>
      <c r="S1743" s="382">
        <f t="shared" si="233"/>
        <v>1933</v>
      </c>
      <c r="T1743" s="471"/>
      <c r="U1743" s="471"/>
      <c r="V1743" s="471"/>
      <c r="W1743" s="471"/>
      <c r="X1743" s="471"/>
    </row>
    <row r="1744" spans="1:24" ht="12.75">
      <c r="A1744" s="467" t="s">
        <v>605</v>
      </c>
      <c r="B1744" s="468" t="s">
        <v>179</v>
      </c>
      <c r="C1744" s="468" t="s">
        <v>855</v>
      </c>
      <c r="D1744" s="468">
        <v>2013</v>
      </c>
      <c r="E1744" s="468" t="s">
        <v>775</v>
      </c>
      <c r="F1744" s="469">
        <v>914</v>
      </c>
      <c r="G1744" s="469">
        <v>10</v>
      </c>
      <c r="H1744" s="470">
        <v>10</v>
      </c>
      <c r="I1744" s="469">
        <v>0</v>
      </c>
      <c r="J1744" s="469">
        <v>694</v>
      </c>
      <c r="K1744" s="469">
        <v>41</v>
      </c>
      <c r="L1744" s="469">
        <v>37</v>
      </c>
      <c r="M1744" s="469">
        <v>4</v>
      </c>
      <c r="N1744" s="469">
        <v>642</v>
      </c>
      <c r="O1744" s="469">
        <v>80</v>
      </c>
      <c r="P1744" s="469">
        <v>1410</v>
      </c>
      <c r="Q1744" s="470">
        <v>368</v>
      </c>
      <c r="R1744" s="381">
        <f t="shared" si="232"/>
        <v>3660</v>
      </c>
      <c r="S1744" s="382">
        <f t="shared" si="233"/>
        <v>499</v>
      </c>
      <c r="T1744" s="471"/>
      <c r="U1744" s="471"/>
      <c r="V1744" s="471"/>
      <c r="W1744" s="471"/>
      <c r="X1744" s="471"/>
    </row>
    <row r="1745" spans="1:24" ht="12.75">
      <c r="A1745" s="467" t="s">
        <v>606</v>
      </c>
      <c r="B1745" s="468" t="s">
        <v>179</v>
      </c>
      <c r="C1745" s="468" t="s">
        <v>855</v>
      </c>
      <c r="D1745" s="468">
        <v>2013</v>
      </c>
      <c r="E1745" s="468" t="s">
        <v>775</v>
      </c>
      <c r="F1745" s="469">
        <v>85</v>
      </c>
      <c r="G1745" s="469">
        <v>0</v>
      </c>
      <c r="H1745" s="470">
        <v>0</v>
      </c>
      <c r="I1745" s="469">
        <v>0</v>
      </c>
      <c r="J1745" s="469">
        <v>65</v>
      </c>
      <c r="K1745" s="469">
        <v>1</v>
      </c>
      <c r="L1745" s="469">
        <v>0</v>
      </c>
      <c r="M1745" s="469">
        <v>1</v>
      </c>
      <c r="N1745" s="469">
        <v>59</v>
      </c>
      <c r="O1745" s="469">
        <v>0</v>
      </c>
      <c r="P1745" s="469">
        <v>131</v>
      </c>
      <c r="Q1745" s="470">
        <v>11</v>
      </c>
      <c r="R1745" s="381">
        <f t="shared" si="232"/>
        <v>340</v>
      </c>
      <c r="S1745" s="382">
        <f t="shared" si="233"/>
        <v>12</v>
      </c>
      <c r="T1745" s="471"/>
      <c r="U1745" s="471"/>
      <c r="V1745" s="471"/>
      <c r="W1745" s="471"/>
      <c r="X1745" s="471"/>
    </row>
    <row r="1746" spans="1:24" ht="12.75">
      <c r="A1746" s="488" t="s">
        <v>607</v>
      </c>
      <c r="B1746" s="489" t="s">
        <v>179</v>
      </c>
      <c r="C1746" s="489" t="s">
        <v>855</v>
      </c>
      <c r="D1746" s="489">
        <v>2013</v>
      </c>
      <c r="E1746" s="489" t="s">
        <v>775</v>
      </c>
      <c r="F1746" s="470">
        <v>343</v>
      </c>
      <c r="G1746" s="469">
        <v>48</v>
      </c>
      <c r="H1746" s="470">
        <v>48</v>
      </c>
      <c r="I1746" s="470">
        <v>0</v>
      </c>
      <c r="J1746" s="469">
        <v>260</v>
      </c>
      <c r="K1746" s="469">
        <v>36</v>
      </c>
      <c r="L1746" s="470">
        <v>36</v>
      </c>
      <c r="M1746" s="470">
        <v>0</v>
      </c>
      <c r="N1746" s="470">
        <v>241</v>
      </c>
      <c r="O1746" s="470">
        <v>1</v>
      </c>
      <c r="P1746" s="470">
        <v>530</v>
      </c>
      <c r="Q1746" s="470">
        <v>252</v>
      </c>
      <c r="R1746" s="381">
        <f t="shared" si="232"/>
        <v>1374</v>
      </c>
      <c r="S1746" s="382">
        <f t="shared" si="233"/>
        <v>337</v>
      </c>
      <c r="T1746" s="383">
        <f>SUM(G1728:G1746)</f>
        <v>1471</v>
      </c>
      <c r="U1746" s="383">
        <f>SUM(K1728:K1746)</f>
        <v>1842</v>
      </c>
      <c r="V1746" s="383">
        <f>SUM(O1728:O1746)</f>
        <v>1173</v>
      </c>
      <c r="W1746" s="383">
        <f>SUM(Q1728:Q1746)</f>
        <v>16310</v>
      </c>
      <c r="X1746" s="383">
        <f>T1746+U1746+V1746+W1746</f>
        <v>20796</v>
      </c>
    </row>
    <row r="1747" spans="1:24" ht="12.75">
      <c r="A1747" s="417" t="s">
        <v>590</v>
      </c>
      <c r="B1747" s="418" t="s">
        <v>179</v>
      </c>
      <c r="C1747" s="418" t="s">
        <v>855</v>
      </c>
      <c r="D1747" s="418">
        <v>2014</v>
      </c>
      <c r="E1747" s="418" t="s">
        <v>775</v>
      </c>
      <c r="F1747" s="419">
        <v>912</v>
      </c>
      <c r="G1747" s="419">
        <v>0</v>
      </c>
      <c r="H1747" s="420">
        <v>0</v>
      </c>
      <c r="I1747" s="419">
        <v>0</v>
      </c>
      <c r="J1747" s="419">
        <v>693</v>
      </c>
      <c r="K1747" s="419">
        <v>7</v>
      </c>
      <c r="L1747" s="419">
        <v>7</v>
      </c>
      <c r="M1747" s="419">
        <v>0</v>
      </c>
      <c r="N1747" s="419">
        <v>1062</v>
      </c>
      <c r="O1747" s="419">
        <v>13</v>
      </c>
      <c r="P1747" s="419">
        <v>2332</v>
      </c>
      <c r="Q1747" s="420">
        <v>235</v>
      </c>
      <c r="R1747" s="311">
        <f t="shared" si="232"/>
        <v>4999</v>
      </c>
      <c r="S1747" s="363">
        <f t="shared" si="233"/>
        <v>255</v>
      </c>
      <c r="T1747" s="421"/>
      <c r="U1747" s="421"/>
      <c r="V1747" s="421"/>
      <c r="W1747" s="421"/>
      <c r="X1747" s="421"/>
    </row>
    <row r="1748" spans="1:24" ht="12.75">
      <c r="A1748" s="417" t="s">
        <v>591</v>
      </c>
      <c r="B1748" s="418" t="s">
        <v>179</v>
      </c>
      <c r="C1748" s="418" t="s">
        <v>855</v>
      </c>
      <c r="D1748" s="418">
        <v>2014</v>
      </c>
      <c r="E1748" s="418" t="s">
        <v>775</v>
      </c>
      <c r="F1748" s="419">
        <v>3209</v>
      </c>
      <c r="G1748" s="419">
        <v>24</v>
      </c>
      <c r="H1748" s="420">
        <v>24</v>
      </c>
      <c r="I1748" s="419">
        <v>0</v>
      </c>
      <c r="J1748" s="419">
        <v>2439</v>
      </c>
      <c r="K1748" s="419">
        <v>8</v>
      </c>
      <c r="L1748" s="419">
        <v>8</v>
      </c>
      <c r="M1748" s="419">
        <v>0</v>
      </c>
      <c r="N1748" s="419">
        <v>2257</v>
      </c>
      <c r="O1748" s="419">
        <v>11</v>
      </c>
      <c r="P1748" s="419">
        <v>4956</v>
      </c>
      <c r="Q1748" s="420">
        <v>956</v>
      </c>
      <c r="R1748" s="311">
        <f t="shared" si="232"/>
        <v>12861</v>
      </c>
      <c r="S1748" s="363">
        <f t="shared" si="233"/>
        <v>999</v>
      </c>
      <c r="T1748" s="421"/>
      <c r="U1748" s="421"/>
      <c r="V1748" s="421"/>
      <c r="W1748" s="421"/>
      <c r="X1748" s="421"/>
    </row>
    <row r="1749" spans="1:24" ht="12.75">
      <c r="A1749" s="417" t="s">
        <v>592</v>
      </c>
      <c r="B1749" s="418" t="s">
        <v>179</v>
      </c>
      <c r="C1749" s="418" t="s">
        <v>855</v>
      </c>
      <c r="D1749" s="418">
        <v>2014</v>
      </c>
      <c r="E1749" s="418" t="s">
        <v>775</v>
      </c>
      <c r="F1749" s="419">
        <v>13</v>
      </c>
      <c r="G1749" s="419">
        <v>0</v>
      </c>
      <c r="H1749" s="420">
        <v>0</v>
      </c>
      <c r="I1749" s="419">
        <v>0</v>
      </c>
      <c r="J1749" s="419">
        <v>9</v>
      </c>
      <c r="K1749" s="419">
        <v>0</v>
      </c>
      <c r="L1749" s="419">
        <v>0</v>
      </c>
      <c r="M1749" s="419">
        <v>0</v>
      </c>
      <c r="N1749" s="419">
        <v>9</v>
      </c>
      <c r="O1749" s="419">
        <v>0</v>
      </c>
      <c r="P1749" s="419">
        <v>19</v>
      </c>
      <c r="Q1749" s="420">
        <v>37</v>
      </c>
      <c r="R1749" s="311">
        <f t="shared" si="232"/>
        <v>50</v>
      </c>
      <c r="S1749" s="363">
        <f t="shared" si="233"/>
        <v>37</v>
      </c>
      <c r="T1749" s="421"/>
      <c r="U1749" s="421"/>
      <c r="V1749" s="421"/>
      <c r="W1749" s="421"/>
      <c r="X1749" s="421"/>
    </row>
    <row r="1750" spans="1:24" ht="12.75">
      <c r="A1750" s="417" t="s">
        <v>593</v>
      </c>
      <c r="B1750" s="418" t="s">
        <v>179</v>
      </c>
      <c r="C1750" s="418" t="s">
        <v>855</v>
      </c>
      <c r="D1750" s="418">
        <v>2014</v>
      </c>
      <c r="E1750" s="418" t="s">
        <v>775</v>
      </c>
      <c r="F1750" s="419">
        <v>7</v>
      </c>
      <c r="G1750" s="419">
        <v>0</v>
      </c>
      <c r="H1750" s="420">
        <v>0</v>
      </c>
      <c r="I1750" s="419">
        <v>0</v>
      </c>
      <c r="J1750" s="419">
        <v>5</v>
      </c>
      <c r="K1750" s="419">
        <v>0</v>
      </c>
      <c r="L1750" s="419">
        <v>0</v>
      </c>
      <c r="M1750" s="419">
        <v>0</v>
      </c>
      <c r="N1750" s="419">
        <v>15</v>
      </c>
      <c r="O1750" s="419">
        <v>0</v>
      </c>
      <c r="P1750" s="419">
        <v>34</v>
      </c>
      <c r="Q1750" s="420">
        <v>3</v>
      </c>
      <c r="R1750" s="311">
        <f t="shared" si="232"/>
        <v>61</v>
      </c>
      <c r="S1750" s="363">
        <f t="shared" si="233"/>
        <v>3</v>
      </c>
      <c r="T1750" s="421"/>
      <c r="U1750" s="421"/>
      <c r="V1750" s="421"/>
      <c r="W1750" s="421"/>
      <c r="X1750" s="421"/>
    </row>
    <row r="1751" spans="1:24" ht="12.75">
      <c r="A1751" s="417" t="s">
        <v>594</v>
      </c>
      <c r="B1751" s="418" t="s">
        <v>179</v>
      </c>
      <c r="C1751" s="418" t="s">
        <v>855</v>
      </c>
      <c r="D1751" s="418">
        <v>2014</v>
      </c>
      <c r="E1751" s="418" t="s">
        <v>775</v>
      </c>
      <c r="F1751" s="419">
        <v>1448</v>
      </c>
      <c r="G1751" s="419">
        <v>0</v>
      </c>
      <c r="H1751" s="420">
        <v>0</v>
      </c>
      <c r="I1751" s="419">
        <v>0</v>
      </c>
      <c r="J1751" s="419">
        <v>1101</v>
      </c>
      <c r="K1751" s="419">
        <v>0</v>
      </c>
      <c r="L1751" s="419">
        <v>0</v>
      </c>
      <c r="M1751" s="419">
        <v>0</v>
      </c>
      <c r="N1751" s="419">
        <v>1019</v>
      </c>
      <c r="O1751" s="419">
        <v>8</v>
      </c>
      <c r="P1751" s="419">
        <v>2237</v>
      </c>
      <c r="Q1751" s="420">
        <v>24</v>
      </c>
      <c r="R1751" s="311">
        <f t="shared" si="232"/>
        <v>5805</v>
      </c>
      <c r="S1751" s="363">
        <f t="shared" si="233"/>
        <v>32</v>
      </c>
      <c r="T1751" s="421"/>
      <c r="U1751" s="421"/>
      <c r="V1751" s="421"/>
      <c r="W1751" s="421"/>
      <c r="X1751" s="421"/>
    </row>
    <row r="1752" spans="1:24" ht="12.75">
      <c r="A1752" s="417" t="s">
        <v>595</v>
      </c>
      <c r="B1752" s="418" t="s">
        <v>179</v>
      </c>
      <c r="C1752" s="418" t="s">
        <v>855</v>
      </c>
      <c r="D1752" s="418">
        <v>2014</v>
      </c>
      <c r="E1752" s="418" t="s">
        <v>775</v>
      </c>
      <c r="F1752" s="419">
        <v>587</v>
      </c>
      <c r="G1752" s="419">
        <v>1</v>
      </c>
      <c r="H1752" s="420">
        <v>1</v>
      </c>
      <c r="I1752" s="419">
        <v>0</v>
      </c>
      <c r="J1752" s="419">
        <v>446</v>
      </c>
      <c r="K1752" s="419">
        <v>8</v>
      </c>
      <c r="L1752" s="419">
        <v>8</v>
      </c>
      <c r="M1752" s="419">
        <v>0</v>
      </c>
      <c r="N1752" s="419">
        <v>413</v>
      </c>
      <c r="O1752" s="419">
        <v>3</v>
      </c>
      <c r="P1752" s="419">
        <v>907</v>
      </c>
      <c r="Q1752" s="420">
        <v>150</v>
      </c>
      <c r="R1752" s="311">
        <f t="shared" si="232"/>
        <v>2353</v>
      </c>
      <c r="S1752" s="363">
        <f t="shared" si="233"/>
        <v>162</v>
      </c>
      <c r="T1752" s="421"/>
      <c r="U1752" s="421"/>
      <c r="V1752" s="421"/>
      <c r="W1752" s="421"/>
      <c r="X1752" s="421"/>
    </row>
    <row r="1753" spans="1:24" ht="12.75">
      <c r="A1753" s="417" t="s">
        <v>596</v>
      </c>
      <c r="B1753" s="463" t="s">
        <v>179</v>
      </c>
      <c r="C1753" s="418" t="s">
        <v>855</v>
      </c>
      <c r="D1753" s="418">
        <v>2014</v>
      </c>
      <c r="E1753" s="418" t="s">
        <v>775</v>
      </c>
      <c r="F1753" s="419">
        <v>1042</v>
      </c>
      <c r="G1753" s="419">
        <v>0</v>
      </c>
      <c r="H1753" s="420">
        <v>0</v>
      </c>
      <c r="I1753" s="419">
        <v>0</v>
      </c>
      <c r="J1753" s="419">
        <v>791</v>
      </c>
      <c r="K1753" s="419">
        <v>0</v>
      </c>
      <c r="L1753" s="419">
        <v>0</v>
      </c>
      <c r="M1753" s="419">
        <v>0</v>
      </c>
      <c r="N1753" s="419">
        <v>733</v>
      </c>
      <c r="O1753" s="419">
        <v>0</v>
      </c>
      <c r="P1753" s="419">
        <v>1609</v>
      </c>
      <c r="Q1753" s="420">
        <v>56</v>
      </c>
      <c r="R1753" s="311">
        <f t="shared" si="232"/>
        <v>4175</v>
      </c>
      <c r="S1753" s="363">
        <f t="shared" si="233"/>
        <v>56</v>
      </c>
      <c r="T1753" s="421"/>
      <c r="U1753" s="421"/>
      <c r="V1753" s="421"/>
      <c r="W1753" s="421"/>
      <c r="X1753" s="421"/>
    </row>
    <row r="1754" spans="1:24" ht="12.75">
      <c r="A1754" s="417" t="s">
        <v>597</v>
      </c>
      <c r="B1754" s="418" t="s">
        <v>179</v>
      </c>
      <c r="C1754" s="418" t="s">
        <v>855</v>
      </c>
      <c r="D1754" s="418">
        <v>2014</v>
      </c>
      <c r="E1754" s="418" t="s">
        <v>775</v>
      </c>
      <c r="F1754" s="419">
        <v>63</v>
      </c>
      <c r="G1754" s="419">
        <v>0</v>
      </c>
      <c r="H1754" s="420">
        <v>0</v>
      </c>
      <c r="I1754" s="419">
        <v>0</v>
      </c>
      <c r="J1754" s="419">
        <v>48</v>
      </c>
      <c r="K1754" s="419">
        <v>6</v>
      </c>
      <c r="L1754" s="419">
        <v>6</v>
      </c>
      <c r="M1754" s="419">
        <v>0</v>
      </c>
      <c r="N1754" s="419">
        <v>45</v>
      </c>
      <c r="O1754" s="419">
        <v>0</v>
      </c>
      <c r="P1754" s="419">
        <v>98</v>
      </c>
      <c r="Q1754" s="420">
        <v>40</v>
      </c>
      <c r="R1754" s="311">
        <f t="shared" si="232"/>
        <v>254</v>
      </c>
      <c r="S1754" s="363">
        <f t="shared" si="233"/>
        <v>46</v>
      </c>
      <c r="T1754" s="421"/>
      <c r="U1754" s="421"/>
      <c r="V1754" s="421"/>
      <c r="W1754" s="421"/>
      <c r="X1754" s="421"/>
    </row>
    <row r="1755" spans="1:24" ht="12.75">
      <c r="A1755" s="417" t="s">
        <v>598</v>
      </c>
      <c r="B1755" s="418" t="s">
        <v>179</v>
      </c>
      <c r="C1755" s="418" t="s">
        <v>855</v>
      </c>
      <c r="D1755" s="418">
        <v>2014</v>
      </c>
      <c r="E1755" s="418" t="s">
        <v>775</v>
      </c>
      <c r="F1755" s="419">
        <v>430</v>
      </c>
      <c r="G1755" s="419">
        <v>0</v>
      </c>
      <c r="H1755" s="420">
        <v>0</v>
      </c>
      <c r="I1755" s="419">
        <v>0</v>
      </c>
      <c r="J1755" s="419">
        <v>326</v>
      </c>
      <c r="K1755" s="419">
        <v>1</v>
      </c>
      <c r="L1755" s="419">
        <v>0</v>
      </c>
      <c r="M1755" s="419">
        <v>1</v>
      </c>
      <c r="N1755" s="419">
        <v>302</v>
      </c>
      <c r="O1755" s="419">
        <v>0</v>
      </c>
      <c r="P1755" s="419">
        <v>664</v>
      </c>
      <c r="Q1755" s="420">
        <v>310</v>
      </c>
      <c r="R1755" s="311">
        <f t="shared" si="232"/>
        <v>1722</v>
      </c>
      <c r="S1755" s="363">
        <f t="shared" si="233"/>
        <v>311</v>
      </c>
      <c r="T1755" s="421"/>
      <c r="U1755" s="421"/>
      <c r="V1755" s="421"/>
      <c r="W1755" s="421"/>
      <c r="X1755" s="421"/>
    </row>
    <row r="1756" spans="1:24" ht="12.75">
      <c r="A1756" s="417" t="s">
        <v>599</v>
      </c>
      <c r="B1756" s="418" t="s">
        <v>179</v>
      </c>
      <c r="C1756" s="418" t="s">
        <v>855</v>
      </c>
      <c r="D1756" s="418">
        <v>2014</v>
      </c>
      <c r="E1756" s="418" t="s">
        <v>775</v>
      </c>
      <c r="F1756" s="419">
        <v>77</v>
      </c>
      <c r="G1756" s="419">
        <v>0</v>
      </c>
      <c r="H1756" s="420">
        <v>0</v>
      </c>
      <c r="I1756" s="419">
        <v>0</v>
      </c>
      <c r="J1756" s="419">
        <v>59</v>
      </c>
      <c r="K1756" s="419">
        <v>0</v>
      </c>
      <c r="L1756" s="419">
        <v>0</v>
      </c>
      <c r="M1756" s="419">
        <v>0</v>
      </c>
      <c r="N1756" s="419">
        <v>54</v>
      </c>
      <c r="O1756" s="419">
        <v>0</v>
      </c>
      <c r="P1756" s="419">
        <v>119</v>
      </c>
      <c r="Q1756" s="420">
        <v>23</v>
      </c>
      <c r="R1756" s="311">
        <f t="shared" si="232"/>
        <v>309</v>
      </c>
      <c r="S1756" s="363">
        <f t="shared" si="233"/>
        <v>23</v>
      </c>
      <c r="T1756" s="421"/>
      <c r="U1756" s="421"/>
      <c r="V1756" s="421"/>
      <c r="W1756" s="421"/>
      <c r="X1756" s="421"/>
    </row>
    <row r="1757" spans="1:24" ht="12.75">
      <c r="A1757" s="417" t="s">
        <v>600</v>
      </c>
      <c r="B1757" s="418" t="s">
        <v>179</v>
      </c>
      <c r="C1757" s="418" t="s">
        <v>855</v>
      </c>
      <c r="D1757" s="418">
        <v>2014</v>
      </c>
      <c r="E1757" s="418" t="s">
        <v>775</v>
      </c>
      <c r="F1757" s="419">
        <v>465</v>
      </c>
      <c r="G1757" s="419">
        <v>0</v>
      </c>
      <c r="H1757" s="420">
        <v>0</v>
      </c>
      <c r="I1757" s="419">
        <v>0</v>
      </c>
      <c r="J1757" s="419">
        <v>353</v>
      </c>
      <c r="K1757" s="419">
        <v>108</v>
      </c>
      <c r="L1757" s="419">
        <v>108</v>
      </c>
      <c r="M1757" s="419">
        <v>0</v>
      </c>
      <c r="N1757" s="419">
        <v>327</v>
      </c>
      <c r="O1757" s="419">
        <v>1</v>
      </c>
      <c r="P1757" s="419">
        <v>718</v>
      </c>
      <c r="Q1757" s="420">
        <v>16</v>
      </c>
      <c r="R1757" s="311">
        <f t="shared" si="232"/>
        <v>1863</v>
      </c>
      <c r="S1757" s="363">
        <f t="shared" si="233"/>
        <v>125</v>
      </c>
      <c r="T1757" s="421"/>
      <c r="U1757" s="421"/>
      <c r="V1757" s="421"/>
      <c r="W1757" s="421"/>
      <c r="X1757" s="421"/>
    </row>
    <row r="1758" spans="1:24" ht="12.75">
      <c r="A1758" s="417" t="s">
        <v>601</v>
      </c>
      <c r="B1758" s="418" t="s">
        <v>179</v>
      </c>
      <c r="C1758" s="418" t="s">
        <v>855</v>
      </c>
      <c r="D1758" s="418">
        <v>2014</v>
      </c>
      <c r="E1758" s="418" t="s">
        <v>775</v>
      </c>
      <c r="F1758" s="419">
        <v>1549</v>
      </c>
      <c r="G1758" s="419">
        <v>0</v>
      </c>
      <c r="H1758" s="420">
        <v>0</v>
      </c>
      <c r="I1758" s="419">
        <v>0</v>
      </c>
      <c r="J1758" s="419">
        <v>1178</v>
      </c>
      <c r="K1758" s="419">
        <v>0</v>
      </c>
      <c r="L1758" s="419">
        <v>0</v>
      </c>
      <c r="M1758" s="419">
        <v>0</v>
      </c>
      <c r="N1758" s="419">
        <v>1090</v>
      </c>
      <c r="O1758" s="419">
        <v>20</v>
      </c>
      <c r="P1758" s="419">
        <v>2393</v>
      </c>
      <c r="Q1758" s="420">
        <v>92</v>
      </c>
      <c r="R1758" s="311">
        <f t="shared" si="232"/>
        <v>6210</v>
      </c>
      <c r="S1758" s="363">
        <f t="shared" si="233"/>
        <v>112</v>
      </c>
      <c r="T1758" s="421"/>
      <c r="U1758" s="421"/>
      <c r="V1758" s="421"/>
      <c r="W1758" s="421"/>
      <c r="X1758" s="421"/>
    </row>
    <row r="1759" spans="1:24" ht="12.75">
      <c r="A1759" s="417" t="s">
        <v>602</v>
      </c>
      <c r="B1759" s="418" t="s">
        <v>179</v>
      </c>
      <c r="C1759" s="418" t="s">
        <v>855</v>
      </c>
      <c r="D1759" s="418">
        <v>2014</v>
      </c>
      <c r="E1759" s="418" t="s">
        <v>775</v>
      </c>
      <c r="F1759" s="419">
        <v>201</v>
      </c>
      <c r="G1759" s="419">
        <v>0</v>
      </c>
      <c r="H1759" s="420">
        <v>0</v>
      </c>
      <c r="I1759" s="419">
        <v>0</v>
      </c>
      <c r="J1759" s="419">
        <v>152</v>
      </c>
      <c r="K1759" s="419">
        <v>0</v>
      </c>
      <c r="L1759" s="419">
        <v>0</v>
      </c>
      <c r="M1759" s="419">
        <v>0</v>
      </c>
      <c r="N1759" s="419">
        <v>282</v>
      </c>
      <c r="O1759" s="419">
        <v>0</v>
      </c>
      <c r="P1759" s="419">
        <v>618</v>
      </c>
      <c r="Q1759" s="420">
        <v>11</v>
      </c>
      <c r="R1759" s="311">
        <f t="shared" si="232"/>
        <v>1253</v>
      </c>
      <c r="S1759" s="363">
        <f t="shared" si="233"/>
        <v>11</v>
      </c>
      <c r="T1759" s="421"/>
      <c r="U1759" s="421"/>
      <c r="V1759" s="421"/>
      <c r="W1759" s="421"/>
      <c r="X1759" s="421"/>
    </row>
    <row r="1760" spans="1:24" ht="12.75">
      <c r="A1760" s="417" t="s">
        <v>179</v>
      </c>
      <c r="B1760" s="418" t="s">
        <v>179</v>
      </c>
      <c r="C1760" s="418" t="s">
        <v>855</v>
      </c>
      <c r="D1760" s="418">
        <v>2014</v>
      </c>
      <c r="E1760" s="418" t="s">
        <v>775</v>
      </c>
      <c r="F1760" s="419">
        <v>21977</v>
      </c>
      <c r="G1760" s="419">
        <v>229</v>
      </c>
      <c r="H1760" s="420">
        <v>229</v>
      </c>
      <c r="I1760" s="419">
        <v>0</v>
      </c>
      <c r="J1760" s="419">
        <v>16703</v>
      </c>
      <c r="K1760" s="419">
        <v>184</v>
      </c>
      <c r="L1760" s="419">
        <v>184</v>
      </c>
      <c r="M1760" s="419">
        <v>0</v>
      </c>
      <c r="N1760" s="419">
        <v>15462</v>
      </c>
      <c r="O1760" s="419">
        <v>4</v>
      </c>
      <c r="P1760" s="419">
        <v>33954</v>
      </c>
      <c r="Q1760" s="420">
        <v>1991</v>
      </c>
      <c r="R1760" s="311">
        <f t="shared" si="232"/>
        <v>88096</v>
      </c>
      <c r="S1760" s="363">
        <f t="shared" si="233"/>
        <v>2408</v>
      </c>
      <c r="T1760" s="421"/>
      <c r="U1760" s="421"/>
      <c r="V1760" s="421"/>
      <c r="W1760" s="421"/>
      <c r="X1760" s="421"/>
    </row>
    <row r="1761" spans="1:24" ht="12.75">
      <c r="A1761" s="417" t="s">
        <v>603</v>
      </c>
      <c r="B1761" s="418" t="s">
        <v>179</v>
      </c>
      <c r="C1761" s="418" t="s">
        <v>855</v>
      </c>
      <c r="D1761" s="418">
        <v>2014</v>
      </c>
      <c r="E1761" s="418" t="s">
        <v>775</v>
      </c>
      <c r="F1761" s="419">
        <v>2085</v>
      </c>
      <c r="G1761" s="419">
        <v>0</v>
      </c>
      <c r="H1761" s="420">
        <v>0</v>
      </c>
      <c r="I1761" s="419">
        <v>0</v>
      </c>
      <c r="J1761" s="419">
        <v>1585</v>
      </c>
      <c r="K1761" s="419">
        <v>27</v>
      </c>
      <c r="L1761" s="419">
        <v>27</v>
      </c>
      <c r="M1761" s="419">
        <v>0</v>
      </c>
      <c r="N1761" s="419">
        <v>5864</v>
      </c>
      <c r="O1761" s="419">
        <v>114</v>
      </c>
      <c r="P1761" s="419">
        <v>12878</v>
      </c>
      <c r="Q1761" s="420">
        <v>576</v>
      </c>
      <c r="R1761" s="311">
        <f t="shared" si="232"/>
        <v>22412</v>
      </c>
      <c r="S1761" s="363">
        <f t="shared" si="233"/>
        <v>717</v>
      </c>
      <c r="T1761" s="421"/>
      <c r="U1761" s="421"/>
      <c r="V1761" s="421"/>
      <c r="W1761" s="421"/>
      <c r="X1761" s="421"/>
    </row>
    <row r="1762" spans="1:24" ht="12.75">
      <c r="A1762" s="417" t="s">
        <v>604</v>
      </c>
      <c r="B1762" s="418" t="s">
        <v>179</v>
      </c>
      <c r="C1762" s="418" t="s">
        <v>855</v>
      </c>
      <c r="D1762" s="418">
        <v>2014</v>
      </c>
      <c r="E1762" s="418" t="s">
        <v>775</v>
      </c>
      <c r="F1762" s="419">
        <v>1043</v>
      </c>
      <c r="G1762" s="419">
        <v>0</v>
      </c>
      <c r="H1762" s="420">
        <v>0</v>
      </c>
      <c r="I1762" s="419">
        <v>0</v>
      </c>
      <c r="J1762" s="419">
        <v>793</v>
      </c>
      <c r="K1762" s="419">
        <v>0</v>
      </c>
      <c r="L1762" s="419">
        <v>0</v>
      </c>
      <c r="M1762" s="419">
        <v>0</v>
      </c>
      <c r="N1762" s="419">
        <v>734</v>
      </c>
      <c r="O1762" s="419">
        <v>0</v>
      </c>
      <c r="P1762" s="419">
        <v>1613</v>
      </c>
      <c r="Q1762" s="420">
        <v>97</v>
      </c>
      <c r="R1762" s="311">
        <f t="shared" si="232"/>
        <v>4183</v>
      </c>
      <c r="S1762" s="363">
        <f t="shared" si="233"/>
        <v>97</v>
      </c>
      <c r="T1762" s="421"/>
      <c r="U1762" s="421"/>
      <c r="V1762" s="421"/>
      <c r="W1762" s="421"/>
      <c r="X1762" s="421"/>
    </row>
    <row r="1763" spans="1:24" ht="12.75">
      <c r="A1763" s="417" t="s">
        <v>605</v>
      </c>
      <c r="B1763" s="418" t="s">
        <v>179</v>
      </c>
      <c r="C1763" s="418" t="s">
        <v>855</v>
      </c>
      <c r="D1763" s="418">
        <v>2014</v>
      </c>
      <c r="E1763" s="418" t="s">
        <v>775</v>
      </c>
      <c r="F1763" s="419">
        <v>914</v>
      </c>
      <c r="G1763" s="419">
        <v>0</v>
      </c>
      <c r="H1763" s="420">
        <v>0</v>
      </c>
      <c r="I1763" s="419">
        <v>0</v>
      </c>
      <c r="J1763" s="419">
        <v>694</v>
      </c>
      <c r="K1763" s="419">
        <v>0</v>
      </c>
      <c r="L1763" s="419">
        <v>0</v>
      </c>
      <c r="M1763" s="419">
        <v>0</v>
      </c>
      <c r="N1763" s="419">
        <v>642</v>
      </c>
      <c r="O1763" s="419">
        <v>0</v>
      </c>
      <c r="P1763" s="419">
        <v>1410</v>
      </c>
      <c r="Q1763" s="420">
        <v>175</v>
      </c>
      <c r="R1763" s="311">
        <f t="shared" si="232"/>
        <v>3660</v>
      </c>
      <c r="S1763" s="363">
        <f t="shared" si="233"/>
        <v>175</v>
      </c>
      <c r="T1763" s="421"/>
      <c r="U1763" s="421"/>
      <c r="V1763" s="421"/>
      <c r="W1763" s="421"/>
      <c r="X1763" s="421"/>
    </row>
    <row r="1764" spans="1:24" ht="12.75">
      <c r="A1764" s="417" t="s">
        <v>606</v>
      </c>
      <c r="B1764" s="418" t="s">
        <v>179</v>
      </c>
      <c r="C1764" s="418" t="s">
        <v>855</v>
      </c>
      <c r="D1764" s="418">
        <v>2014</v>
      </c>
      <c r="E1764" s="418" t="s">
        <v>775</v>
      </c>
      <c r="F1764" s="419">
        <v>85</v>
      </c>
      <c r="G1764" s="419">
        <v>0</v>
      </c>
      <c r="H1764" s="420">
        <v>0</v>
      </c>
      <c r="I1764" s="419">
        <v>0</v>
      </c>
      <c r="J1764" s="419">
        <v>65</v>
      </c>
      <c r="K1764" s="419">
        <v>0</v>
      </c>
      <c r="L1764" s="419">
        <v>0</v>
      </c>
      <c r="M1764" s="419">
        <v>0</v>
      </c>
      <c r="N1764" s="419">
        <v>59</v>
      </c>
      <c r="O1764" s="419">
        <v>0</v>
      </c>
      <c r="P1764" s="419">
        <v>131</v>
      </c>
      <c r="Q1764" s="420">
        <v>5</v>
      </c>
      <c r="R1764" s="311">
        <f t="shared" si="232"/>
        <v>340</v>
      </c>
      <c r="S1764" s="363">
        <f t="shared" si="233"/>
        <v>5</v>
      </c>
      <c r="T1764" s="421"/>
      <c r="U1764" s="421"/>
      <c r="V1764" s="421"/>
      <c r="W1764" s="421"/>
      <c r="X1764" s="421"/>
    </row>
    <row r="1765" spans="1:24" ht="12.75">
      <c r="A1765" s="464" t="s">
        <v>607</v>
      </c>
      <c r="B1765" s="465" t="s">
        <v>179</v>
      </c>
      <c r="C1765" s="465" t="s">
        <v>855</v>
      </c>
      <c r="D1765" s="465">
        <v>2014</v>
      </c>
      <c r="E1765" s="465" t="s">
        <v>775</v>
      </c>
      <c r="F1765" s="420">
        <v>343</v>
      </c>
      <c r="G1765" s="419">
        <v>48</v>
      </c>
      <c r="H1765" s="420">
        <v>48</v>
      </c>
      <c r="I1765" s="420">
        <v>0</v>
      </c>
      <c r="J1765" s="419">
        <v>260</v>
      </c>
      <c r="K1765" s="419">
        <v>18</v>
      </c>
      <c r="L1765" s="420">
        <v>18</v>
      </c>
      <c r="M1765" s="420">
        <v>0</v>
      </c>
      <c r="N1765" s="420">
        <v>241</v>
      </c>
      <c r="O1765" s="420">
        <v>0</v>
      </c>
      <c r="P1765" s="420">
        <v>530</v>
      </c>
      <c r="Q1765" s="420">
        <v>691</v>
      </c>
      <c r="R1765" s="311">
        <f t="shared" si="232"/>
        <v>1374</v>
      </c>
      <c r="S1765" s="363">
        <f t="shared" si="233"/>
        <v>757</v>
      </c>
      <c r="T1765" s="314">
        <f>SUM(G1747:G1765)</f>
        <v>302</v>
      </c>
      <c r="U1765" s="314">
        <f>SUM(K1747:K1765)</f>
        <v>367</v>
      </c>
      <c r="V1765" s="314">
        <f>SUM(O1747:O1765)</f>
        <v>174</v>
      </c>
      <c r="W1765" s="314">
        <f>SUM(Q1747:Q1765)</f>
        <v>5488</v>
      </c>
      <c r="X1765" s="314">
        <f>T1765+U1765+V1765+W1765</f>
        <v>6331</v>
      </c>
    </row>
    <row r="1766" spans="1:24" ht="12.75">
      <c r="A1766" s="422" t="s">
        <v>590</v>
      </c>
      <c r="B1766" s="423" t="s">
        <v>179</v>
      </c>
      <c r="C1766" s="423" t="s">
        <v>855</v>
      </c>
      <c r="D1766" s="423">
        <v>2015</v>
      </c>
      <c r="E1766" s="423" t="s">
        <v>775</v>
      </c>
      <c r="F1766" s="424">
        <v>912</v>
      </c>
      <c r="G1766" s="424">
        <v>0</v>
      </c>
      <c r="H1766" s="425">
        <v>0</v>
      </c>
      <c r="I1766" s="424">
        <v>0</v>
      </c>
      <c r="J1766" s="424">
        <v>693</v>
      </c>
      <c r="K1766" s="424">
        <v>9</v>
      </c>
      <c r="L1766" s="424">
        <v>9</v>
      </c>
      <c r="M1766" s="424">
        <v>0</v>
      </c>
      <c r="N1766" s="424">
        <v>1062</v>
      </c>
      <c r="O1766" s="424">
        <v>20</v>
      </c>
      <c r="P1766" s="424">
        <v>2332</v>
      </c>
      <c r="Q1766" s="425">
        <v>200</v>
      </c>
      <c r="R1766" s="319">
        <f t="shared" si="232"/>
        <v>4999</v>
      </c>
      <c r="S1766" s="364">
        <f t="shared" si="233"/>
        <v>229</v>
      </c>
      <c r="T1766" s="426"/>
      <c r="U1766" s="426"/>
      <c r="V1766" s="426"/>
      <c r="W1766" s="426"/>
      <c r="X1766" s="426"/>
    </row>
    <row r="1767" spans="1:24" ht="12.75">
      <c r="A1767" s="422" t="s">
        <v>591</v>
      </c>
      <c r="B1767" s="423" t="s">
        <v>179</v>
      </c>
      <c r="C1767" s="423" t="s">
        <v>855</v>
      </c>
      <c r="D1767" s="423">
        <v>2015</v>
      </c>
      <c r="E1767" s="423" t="s">
        <v>775</v>
      </c>
      <c r="F1767" s="424">
        <v>3209</v>
      </c>
      <c r="G1767" s="424">
        <v>0</v>
      </c>
      <c r="H1767" s="425">
        <v>0</v>
      </c>
      <c r="I1767" s="424">
        <v>0</v>
      </c>
      <c r="J1767" s="424">
        <v>2439</v>
      </c>
      <c r="K1767" s="424">
        <v>0</v>
      </c>
      <c r="L1767" s="424">
        <v>0</v>
      </c>
      <c r="M1767" s="424">
        <v>0</v>
      </c>
      <c r="N1767" s="424">
        <v>2257</v>
      </c>
      <c r="O1767" s="424">
        <v>0</v>
      </c>
      <c r="P1767" s="424">
        <v>4956</v>
      </c>
      <c r="Q1767" s="425">
        <v>689</v>
      </c>
      <c r="R1767" s="319">
        <f t="shared" si="232"/>
        <v>12861</v>
      </c>
      <c r="S1767" s="364">
        <f t="shared" si="233"/>
        <v>689</v>
      </c>
      <c r="T1767" s="426"/>
      <c r="U1767" s="426"/>
      <c r="V1767" s="426"/>
      <c r="W1767" s="426"/>
      <c r="X1767" s="426"/>
    </row>
    <row r="1768" spans="1:24" ht="12.75">
      <c r="A1768" s="422" t="s">
        <v>592</v>
      </c>
      <c r="B1768" s="423" t="s">
        <v>179</v>
      </c>
      <c r="C1768" s="423" t="s">
        <v>855</v>
      </c>
      <c r="D1768" s="423">
        <v>2015</v>
      </c>
      <c r="E1768" s="423" t="s">
        <v>775</v>
      </c>
      <c r="F1768" s="424">
        <v>13</v>
      </c>
      <c r="G1768" s="424">
        <v>0</v>
      </c>
      <c r="H1768" s="425">
        <v>0</v>
      </c>
      <c r="I1768" s="424">
        <v>0</v>
      </c>
      <c r="J1768" s="424">
        <v>9</v>
      </c>
      <c r="K1768" s="424">
        <v>0</v>
      </c>
      <c r="L1768" s="424">
        <v>0</v>
      </c>
      <c r="M1768" s="424">
        <v>0</v>
      </c>
      <c r="N1768" s="424">
        <v>9</v>
      </c>
      <c r="O1768" s="424">
        <v>0</v>
      </c>
      <c r="P1768" s="424">
        <v>19</v>
      </c>
      <c r="Q1768" s="425">
        <v>53</v>
      </c>
      <c r="R1768" s="319">
        <f t="shared" si="232"/>
        <v>50</v>
      </c>
      <c r="S1768" s="364">
        <f t="shared" si="233"/>
        <v>53</v>
      </c>
      <c r="T1768" s="426"/>
      <c r="U1768" s="426"/>
      <c r="V1768" s="426"/>
      <c r="W1768" s="426"/>
      <c r="X1768" s="426"/>
    </row>
    <row r="1769" spans="1:24" ht="12.75">
      <c r="A1769" s="422" t="s">
        <v>593</v>
      </c>
      <c r="B1769" s="423" t="s">
        <v>179</v>
      </c>
      <c r="C1769" s="423" t="s">
        <v>855</v>
      </c>
      <c r="D1769" s="423">
        <v>2015</v>
      </c>
      <c r="E1769" s="423" t="s">
        <v>775</v>
      </c>
      <c r="F1769" s="424">
        <v>7</v>
      </c>
      <c r="G1769" s="424">
        <v>0</v>
      </c>
      <c r="H1769" s="425">
        <v>0</v>
      </c>
      <c r="I1769" s="424">
        <v>0</v>
      </c>
      <c r="J1769" s="424">
        <v>5</v>
      </c>
      <c r="K1769" s="424">
        <v>0</v>
      </c>
      <c r="L1769" s="424">
        <v>0</v>
      </c>
      <c r="M1769" s="424">
        <v>0</v>
      </c>
      <c r="N1769" s="424">
        <v>15</v>
      </c>
      <c r="O1769" s="424">
        <v>0</v>
      </c>
      <c r="P1769" s="424">
        <v>34</v>
      </c>
      <c r="Q1769" s="425">
        <v>4</v>
      </c>
      <c r="R1769" s="319">
        <f t="shared" si="232"/>
        <v>61</v>
      </c>
      <c r="S1769" s="364">
        <f t="shared" si="233"/>
        <v>4</v>
      </c>
      <c r="T1769" s="426"/>
      <c r="U1769" s="426"/>
      <c r="V1769" s="426"/>
      <c r="W1769" s="426"/>
      <c r="X1769" s="426"/>
    </row>
    <row r="1770" spans="1:24" ht="12.75">
      <c r="A1770" s="422" t="s">
        <v>594</v>
      </c>
      <c r="B1770" s="423" t="s">
        <v>179</v>
      </c>
      <c r="C1770" s="423" t="s">
        <v>855</v>
      </c>
      <c r="D1770" s="423">
        <v>2015</v>
      </c>
      <c r="E1770" s="423" t="s">
        <v>775</v>
      </c>
      <c r="F1770" s="424">
        <v>1448</v>
      </c>
      <c r="G1770" s="424">
        <v>0</v>
      </c>
      <c r="H1770" s="425">
        <v>0</v>
      </c>
      <c r="I1770" s="424">
        <v>0</v>
      </c>
      <c r="J1770" s="424">
        <v>1101</v>
      </c>
      <c r="K1770" s="424">
        <v>1</v>
      </c>
      <c r="L1770" s="424">
        <v>1</v>
      </c>
      <c r="M1770" s="424">
        <v>0</v>
      </c>
      <c r="N1770" s="424">
        <v>1019</v>
      </c>
      <c r="O1770" s="424">
        <v>2</v>
      </c>
      <c r="P1770" s="424">
        <v>2237</v>
      </c>
      <c r="Q1770" s="425">
        <v>23</v>
      </c>
      <c r="R1770" s="319">
        <f t="shared" si="232"/>
        <v>5805</v>
      </c>
      <c r="S1770" s="364">
        <f t="shared" si="233"/>
        <v>26</v>
      </c>
      <c r="T1770" s="426"/>
      <c r="U1770" s="426"/>
      <c r="V1770" s="426"/>
      <c r="W1770" s="426"/>
      <c r="X1770" s="426"/>
    </row>
    <row r="1771" spans="1:24" ht="12.75">
      <c r="A1771" s="422" t="s">
        <v>595</v>
      </c>
      <c r="B1771" s="423" t="s">
        <v>179</v>
      </c>
      <c r="C1771" s="423" t="s">
        <v>855</v>
      </c>
      <c r="D1771" s="423">
        <v>2015</v>
      </c>
      <c r="E1771" s="423" t="s">
        <v>775</v>
      </c>
      <c r="F1771" s="424">
        <v>587</v>
      </c>
      <c r="G1771" s="424">
        <v>0</v>
      </c>
      <c r="H1771" s="425">
        <v>0</v>
      </c>
      <c r="I1771" s="424">
        <v>0</v>
      </c>
      <c r="J1771" s="424">
        <v>446</v>
      </c>
      <c r="K1771" s="424">
        <v>3</v>
      </c>
      <c r="L1771" s="424">
        <v>3</v>
      </c>
      <c r="M1771" s="424">
        <v>0</v>
      </c>
      <c r="N1771" s="424">
        <v>413</v>
      </c>
      <c r="O1771" s="424">
        <v>0</v>
      </c>
      <c r="P1771" s="424">
        <v>907</v>
      </c>
      <c r="Q1771" s="425">
        <v>155</v>
      </c>
      <c r="R1771" s="319">
        <f t="shared" si="232"/>
        <v>2353</v>
      </c>
      <c r="S1771" s="364">
        <f t="shared" si="233"/>
        <v>158</v>
      </c>
      <c r="T1771" s="426"/>
      <c r="U1771" s="426"/>
      <c r="V1771" s="426"/>
      <c r="W1771" s="426"/>
      <c r="X1771" s="426"/>
    </row>
    <row r="1772" spans="1:24" ht="12.75">
      <c r="A1772" s="422" t="s">
        <v>596</v>
      </c>
      <c r="B1772" s="473" t="s">
        <v>179</v>
      </c>
      <c r="C1772" s="423" t="s">
        <v>855</v>
      </c>
      <c r="D1772" s="423">
        <v>2015</v>
      </c>
      <c r="E1772" s="423" t="s">
        <v>775</v>
      </c>
      <c r="F1772" s="424">
        <v>1042</v>
      </c>
      <c r="G1772" s="424">
        <v>0</v>
      </c>
      <c r="H1772" s="425">
        <v>0</v>
      </c>
      <c r="I1772" s="424">
        <v>0</v>
      </c>
      <c r="J1772" s="424">
        <v>791</v>
      </c>
      <c r="K1772" s="424">
        <v>11</v>
      </c>
      <c r="L1772" s="424">
        <v>11</v>
      </c>
      <c r="M1772" s="424">
        <v>0</v>
      </c>
      <c r="N1772" s="424">
        <v>733</v>
      </c>
      <c r="O1772" s="424">
        <v>0</v>
      </c>
      <c r="P1772" s="424">
        <v>1609</v>
      </c>
      <c r="Q1772" s="425">
        <v>7</v>
      </c>
      <c r="R1772" s="319">
        <f t="shared" si="232"/>
        <v>4175</v>
      </c>
      <c r="S1772" s="364">
        <f t="shared" si="233"/>
        <v>18</v>
      </c>
      <c r="T1772" s="426"/>
      <c r="U1772" s="426"/>
      <c r="V1772" s="426"/>
      <c r="W1772" s="426"/>
      <c r="X1772" s="426"/>
    </row>
    <row r="1773" spans="1:24" ht="12.75">
      <c r="A1773" s="422" t="s">
        <v>597</v>
      </c>
      <c r="B1773" s="423" t="s">
        <v>179</v>
      </c>
      <c r="C1773" s="423" t="s">
        <v>855</v>
      </c>
      <c r="D1773" s="423">
        <v>2015</v>
      </c>
      <c r="E1773" s="423" t="s">
        <v>775</v>
      </c>
      <c r="F1773" s="424">
        <v>63</v>
      </c>
      <c r="G1773" s="424">
        <v>0</v>
      </c>
      <c r="H1773" s="425">
        <v>0</v>
      </c>
      <c r="I1773" s="424">
        <v>0</v>
      </c>
      <c r="J1773" s="424">
        <v>48</v>
      </c>
      <c r="K1773" s="424">
        <v>0</v>
      </c>
      <c r="L1773" s="424">
        <v>0</v>
      </c>
      <c r="M1773" s="424">
        <v>0</v>
      </c>
      <c r="N1773" s="424">
        <v>45</v>
      </c>
      <c r="O1773" s="424">
        <v>0</v>
      </c>
      <c r="P1773" s="424">
        <v>98</v>
      </c>
      <c r="Q1773" s="425">
        <v>20</v>
      </c>
      <c r="R1773" s="319">
        <f t="shared" si="232"/>
        <v>254</v>
      </c>
      <c r="S1773" s="364">
        <f t="shared" si="233"/>
        <v>20</v>
      </c>
      <c r="T1773" s="426"/>
      <c r="U1773" s="426"/>
      <c r="V1773" s="426"/>
      <c r="W1773" s="426"/>
      <c r="X1773" s="426"/>
    </row>
    <row r="1774" spans="1:24" ht="12.75">
      <c r="A1774" s="422" t="s">
        <v>598</v>
      </c>
      <c r="B1774" s="423" t="s">
        <v>179</v>
      </c>
      <c r="C1774" s="423" t="s">
        <v>855</v>
      </c>
      <c r="D1774" s="423">
        <v>2015</v>
      </c>
      <c r="E1774" s="423" t="s">
        <v>775</v>
      </c>
      <c r="F1774" s="424">
        <v>430</v>
      </c>
      <c r="G1774" s="424">
        <v>0</v>
      </c>
      <c r="H1774" s="425">
        <v>0</v>
      </c>
      <c r="I1774" s="424">
        <v>0</v>
      </c>
      <c r="J1774" s="424">
        <v>326</v>
      </c>
      <c r="K1774" s="424">
        <v>1</v>
      </c>
      <c r="L1774" s="424">
        <v>0</v>
      </c>
      <c r="M1774" s="424">
        <v>1</v>
      </c>
      <c r="N1774" s="424">
        <v>302</v>
      </c>
      <c r="O1774" s="424">
        <v>0</v>
      </c>
      <c r="P1774" s="424">
        <v>664</v>
      </c>
      <c r="Q1774" s="425">
        <v>28</v>
      </c>
      <c r="R1774" s="319">
        <f t="shared" si="232"/>
        <v>1722</v>
      </c>
      <c r="S1774" s="364">
        <f t="shared" si="233"/>
        <v>29</v>
      </c>
      <c r="T1774" s="426"/>
      <c r="U1774" s="426"/>
      <c r="V1774" s="426"/>
      <c r="W1774" s="426"/>
      <c r="X1774" s="426"/>
    </row>
    <row r="1775" spans="1:24" ht="12.75">
      <c r="A1775" s="422" t="s">
        <v>599</v>
      </c>
      <c r="B1775" s="423" t="s">
        <v>179</v>
      </c>
      <c r="C1775" s="423" t="s">
        <v>855</v>
      </c>
      <c r="D1775" s="423">
        <v>2015</v>
      </c>
      <c r="E1775" s="423" t="s">
        <v>775</v>
      </c>
      <c r="F1775" s="424">
        <v>77</v>
      </c>
      <c r="G1775" s="424">
        <v>0</v>
      </c>
      <c r="H1775" s="425">
        <v>0</v>
      </c>
      <c r="I1775" s="424">
        <v>0</v>
      </c>
      <c r="J1775" s="424">
        <v>59</v>
      </c>
      <c r="K1775" s="424">
        <v>5</v>
      </c>
      <c r="L1775" s="424">
        <v>5</v>
      </c>
      <c r="M1775" s="424">
        <v>0</v>
      </c>
      <c r="N1775" s="424">
        <v>54</v>
      </c>
      <c r="O1775" s="424">
        <v>0</v>
      </c>
      <c r="P1775" s="424">
        <v>119</v>
      </c>
      <c r="Q1775" s="425">
        <v>72</v>
      </c>
      <c r="R1775" s="319">
        <f t="shared" si="232"/>
        <v>309</v>
      </c>
      <c r="S1775" s="364">
        <f t="shared" si="233"/>
        <v>77</v>
      </c>
      <c r="T1775" s="426"/>
      <c r="U1775" s="426"/>
      <c r="V1775" s="426"/>
      <c r="W1775" s="426"/>
      <c r="X1775" s="426"/>
    </row>
    <row r="1776" spans="1:24" ht="12.75">
      <c r="A1776" s="422" t="s">
        <v>600</v>
      </c>
      <c r="B1776" s="423" t="s">
        <v>179</v>
      </c>
      <c r="C1776" s="423" t="s">
        <v>855</v>
      </c>
      <c r="D1776" s="423">
        <v>2015</v>
      </c>
      <c r="E1776" s="423" t="s">
        <v>775</v>
      </c>
      <c r="F1776" s="424">
        <v>465</v>
      </c>
      <c r="G1776" s="424">
        <v>0</v>
      </c>
      <c r="H1776" s="425">
        <v>0</v>
      </c>
      <c r="I1776" s="424">
        <v>0</v>
      </c>
      <c r="J1776" s="424">
        <v>353</v>
      </c>
      <c r="K1776" s="424">
        <v>0</v>
      </c>
      <c r="L1776" s="424">
        <v>0</v>
      </c>
      <c r="M1776" s="424">
        <v>0</v>
      </c>
      <c r="N1776" s="424">
        <v>327</v>
      </c>
      <c r="O1776" s="424">
        <v>0</v>
      </c>
      <c r="P1776" s="424">
        <v>718</v>
      </c>
      <c r="Q1776" s="425">
        <v>143</v>
      </c>
      <c r="R1776" s="319">
        <f t="shared" si="232"/>
        <v>1863</v>
      </c>
      <c r="S1776" s="364">
        <f t="shared" si="233"/>
        <v>143</v>
      </c>
      <c r="T1776" s="426"/>
      <c r="U1776" s="426"/>
      <c r="V1776" s="426"/>
      <c r="W1776" s="426"/>
      <c r="X1776" s="426"/>
    </row>
    <row r="1777" spans="1:24" ht="12.75">
      <c r="A1777" s="422" t="s">
        <v>601</v>
      </c>
      <c r="B1777" s="423" t="s">
        <v>179</v>
      </c>
      <c r="C1777" s="423" t="s">
        <v>855</v>
      </c>
      <c r="D1777" s="423">
        <v>2015</v>
      </c>
      <c r="E1777" s="423" t="s">
        <v>775</v>
      </c>
      <c r="F1777" s="424">
        <v>1549</v>
      </c>
      <c r="G1777" s="424">
        <v>0</v>
      </c>
      <c r="H1777" s="425">
        <v>0</v>
      </c>
      <c r="I1777" s="424">
        <v>0</v>
      </c>
      <c r="J1777" s="424">
        <v>1178</v>
      </c>
      <c r="K1777" s="424">
        <v>0</v>
      </c>
      <c r="L1777" s="424">
        <v>0</v>
      </c>
      <c r="M1777" s="424">
        <v>0</v>
      </c>
      <c r="N1777" s="424">
        <v>1090</v>
      </c>
      <c r="O1777" s="424">
        <v>27</v>
      </c>
      <c r="P1777" s="424">
        <v>2393</v>
      </c>
      <c r="Q1777" s="425">
        <v>73</v>
      </c>
      <c r="R1777" s="319">
        <f t="shared" si="232"/>
        <v>6210</v>
      </c>
      <c r="S1777" s="364">
        <f t="shared" si="233"/>
        <v>100</v>
      </c>
      <c r="T1777" s="426"/>
      <c r="U1777" s="426"/>
      <c r="V1777" s="426"/>
      <c r="W1777" s="426"/>
      <c r="X1777" s="426"/>
    </row>
    <row r="1778" spans="1:24" ht="12.75">
      <c r="A1778" s="422" t="s">
        <v>602</v>
      </c>
      <c r="B1778" s="423" t="s">
        <v>179</v>
      </c>
      <c r="C1778" s="423" t="s">
        <v>855</v>
      </c>
      <c r="D1778" s="423">
        <v>2015</v>
      </c>
      <c r="E1778" s="423" t="s">
        <v>775</v>
      </c>
      <c r="F1778" s="424">
        <v>201</v>
      </c>
      <c r="G1778" s="424">
        <v>0</v>
      </c>
      <c r="H1778" s="425">
        <v>0</v>
      </c>
      <c r="I1778" s="424">
        <v>0</v>
      </c>
      <c r="J1778" s="424">
        <v>152</v>
      </c>
      <c r="K1778" s="424">
        <v>0</v>
      </c>
      <c r="L1778" s="424">
        <v>0</v>
      </c>
      <c r="M1778" s="424">
        <v>0</v>
      </c>
      <c r="N1778" s="424">
        <v>282</v>
      </c>
      <c r="O1778" s="424">
        <v>0</v>
      </c>
      <c r="P1778" s="424">
        <v>618</v>
      </c>
      <c r="Q1778" s="425">
        <v>11</v>
      </c>
      <c r="R1778" s="319">
        <f t="shared" si="232"/>
        <v>1253</v>
      </c>
      <c r="S1778" s="364">
        <f t="shared" si="233"/>
        <v>11</v>
      </c>
      <c r="T1778" s="426"/>
      <c r="U1778" s="426"/>
      <c r="V1778" s="426"/>
      <c r="W1778" s="426"/>
      <c r="X1778" s="426"/>
    </row>
    <row r="1779" spans="1:24" ht="12.75">
      <c r="A1779" s="422" t="s">
        <v>179</v>
      </c>
      <c r="B1779" s="423" t="s">
        <v>179</v>
      </c>
      <c r="C1779" s="423" t="s">
        <v>855</v>
      </c>
      <c r="D1779" s="423">
        <v>2015</v>
      </c>
      <c r="E1779" s="423" t="s">
        <v>775</v>
      </c>
      <c r="F1779" s="424">
        <v>21977</v>
      </c>
      <c r="G1779" s="424">
        <v>265</v>
      </c>
      <c r="H1779" s="425">
        <v>265</v>
      </c>
      <c r="I1779" s="424">
        <v>0</v>
      </c>
      <c r="J1779" s="424">
        <v>16703</v>
      </c>
      <c r="K1779" s="424">
        <v>446</v>
      </c>
      <c r="L1779" s="424">
        <v>446</v>
      </c>
      <c r="M1779" s="424">
        <v>0</v>
      </c>
      <c r="N1779" s="424">
        <v>15462</v>
      </c>
      <c r="O1779" s="424">
        <v>0</v>
      </c>
      <c r="P1779" s="424">
        <v>33954</v>
      </c>
      <c r="Q1779" s="425">
        <v>4221</v>
      </c>
      <c r="R1779" s="319">
        <f t="shared" si="232"/>
        <v>88096</v>
      </c>
      <c r="S1779" s="364">
        <f t="shared" si="233"/>
        <v>4932</v>
      </c>
      <c r="T1779" s="426"/>
      <c r="U1779" s="426"/>
      <c r="V1779" s="426"/>
      <c r="W1779" s="426"/>
      <c r="X1779" s="426"/>
    </row>
    <row r="1780" spans="1:24" ht="12.75">
      <c r="A1780" s="422" t="s">
        <v>603</v>
      </c>
      <c r="B1780" s="423" t="s">
        <v>179</v>
      </c>
      <c r="C1780" s="423" t="s">
        <v>855</v>
      </c>
      <c r="D1780" s="423">
        <v>2015</v>
      </c>
      <c r="E1780" s="423" t="s">
        <v>775</v>
      </c>
      <c r="F1780" s="424">
        <v>2085</v>
      </c>
      <c r="G1780" s="424">
        <v>2</v>
      </c>
      <c r="H1780" s="425">
        <v>2</v>
      </c>
      <c r="I1780" s="424">
        <v>0</v>
      </c>
      <c r="J1780" s="424">
        <v>1585</v>
      </c>
      <c r="K1780" s="424">
        <v>24</v>
      </c>
      <c r="L1780" s="424">
        <v>24</v>
      </c>
      <c r="M1780" s="424">
        <v>0</v>
      </c>
      <c r="N1780" s="424">
        <v>5864</v>
      </c>
      <c r="O1780" s="424">
        <v>228</v>
      </c>
      <c r="P1780" s="424">
        <v>12878</v>
      </c>
      <c r="Q1780" s="425">
        <v>613</v>
      </c>
      <c r="R1780" s="319">
        <f t="shared" si="232"/>
        <v>22412</v>
      </c>
      <c r="S1780" s="364">
        <f t="shared" si="233"/>
        <v>867</v>
      </c>
      <c r="T1780" s="426"/>
      <c r="U1780" s="426"/>
      <c r="V1780" s="426"/>
      <c r="W1780" s="426"/>
      <c r="X1780" s="426"/>
    </row>
    <row r="1781" spans="1:24" ht="12.75">
      <c r="A1781" s="422" t="s">
        <v>604</v>
      </c>
      <c r="B1781" s="423" t="s">
        <v>179</v>
      </c>
      <c r="C1781" s="423" t="s">
        <v>855</v>
      </c>
      <c r="D1781" s="423">
        <v>2015</v>
      </c>
      <c r="E1781" s="423" t="s">
        <v>775</v>
      </c>
      <c r="F1781" s="424">
        <v>1043</v>
      </c>
      <c r="G1781" s="424">
        <v>51</v>
      </c>
      <c r="H1781" s="425">
        <v>51</v>
      </c>
      <c r="I1781" s="424">
        <v>0</v>
      </c>
      <c r="J1781" s="424">
        <v>793</v>
      </c>
      <c r="K1781" s="424">
        <v>54</v>
      </c>
      <c r="L1781" s="424">
        <v>54</v>
      </c>
      <c r="M1781" s="424">
        <v>0</v>
      </c>
      <c r="N1781" s="424">
        <v>734</v>
      </c>
      <c r="O1781" s="424">
        <v>1</v>
      </c>
      <c r="P1781" s="424">
        <v>1613</v>
      </c>
      <c r="Q1781" s="425">
        <v>487</v>
      </c>
      <c r="R1781" s="319">
        <f t="shared" si="232"/>
        <v>4183</v>
      </c>
      <c r="S1781" s="364">
        <f t="shared" si="233"/>
        <v>593</v>
      </c>
      <c r="T1781" s="426"/>
      <c r="U1781" s="426"/>
      <c r="V1781" s="426"/>
      <c r="W1781" s="426"/>
      <c r="X1781" s="426"/>
    </row>
    <row r="1782" spans="1:24" ht="12.75">
      <c r="A1782" s="422" t="s">
        <v>605</v>
      </c>
      <c r="B1782" s="423" t="s">
        <v>179</v>
      </c>
      <c r="C1782" s="423" t="s">
        <v>855</v>
      </c>
      <c r="D1782" s="423">
        <v>2015</v>
      </c>
      <c r="E1782" s="423" t="s">
        <v>775</v>
      </c>
      <c r="F1782" s="424">
        <v>914</v>
      </c>
      <c r="G1782" s="424">
        <v>0</v>
      </c>
      <c r="H1782" s="425">
        <v>0</v>
      </c>
      <c r="I1782" s="424">
        <v>0</v>
      </c>
      <c r="J1782" s="424">
        <v>694</v>
      </c>
      <c r="K1782" s="424">
        <v>0</v>
      </c>
      <c r="L1782" s="424">
        <v>0</v>
      </c>
      <c r="M1782" s="424">
        <v>0</v>
      </c>
      <c r="N1782" s="424">
        <v>642</v>
      </c>
      <c r="O1782" s="424">
        <v>0</v>
      </c>
      <c r="P1782" s="424">
        <v>1410</v>
      </c>
      <c r="Q1782" s="425">
        <v>5</v>
      </c>
      <c r="R1782" s="319">
        <f t="shared" si="232"/>
        <v>3660</v>
      </c>
      <c r="S1782" s="364">
        <f t="shared" si="233"/>
        <v>5</v>
      </c>
      <c r="T1782" s="426"/>
      <c r="U1782" s="426"/>
      <c r="V1782" s="426"/>
      <c r="W1782" s="426"/>
      <c r="X1782" s="426"/>
    </row>
    <row r="1783" spans="1:24" ht="12.75">
      <c r="A1783" s="422" t="s">
        <v>606</v>
      </c>
      <c r="B1783" s="423" t="s">
        <v>179</v>
      </c>
      <c r="C1783" s="423" t="s">
        <v>855</v>
      </c>
      <c r="D1783" s="423">
        <v>2015</v>
      </c>
      <c r="E1783" s="423" t="s">
        <v>775</v>
      </c>
      <c r="F1783" s="424">
        <v>85</v>
      </c>
      <c r="G1783" s="424">
        <v>0</v>
      </c>
      <c r="H1783" s="425">
        <v>0</v>
      </c>
      <c r="I1783" s="424">
        <v>0</v>
      </c>
      <c r="J1783" s="424">
        <v>65</v>
      </c>
      <c r="K1783" s="424">
        <v>1</v>
      </c>
      <c r="L1783" s="424">
        <v>1</v>
      </c>
      <c r="M1783" s="424">
        <v>0</v>
      </c>
      <c r="N1783" s="424">
        <v>59</v>
      </c>
      <c r="O1783" s="424">
        <v>0</v>
      </c>
      <c r="P1783" s="424">
        <v>131</v>
      </c>
      <c r="Q1783" s="425">
        <v>3</v>
      </c>
      <c r="R1783" s="319">
        <f t="shared" si="232"/>
        <v>340</v>
      </c>
      <c r="S1783" s="364">
        <f t="shared" si="233"/>
        <v>4</v>
      </c>
      <c r="T1783" s="426"/>
      <c r="U1783" s="426"/>
      <c r="V1783" s="426"/>
      <c r="W1783" s="426"/>
      <c r="X1783" s="426"/>
    </row>
    <row r="1784" spans="1:24" ht="12.75">
      <c r="A1784" s="457" t="s">
        <v>607</v>
      </c>
      <c r="B1784" s="458" t="s">
        <v>179</v>
      </c>
      <c r="C1784" s="458" t="s">
        <v>855</v>
      </c>
      <c r="D1784" s="458">
        <v>2015</v>
      </c>
      <c r="E1784" s="458" t="s">
        <v>775</v>
      </c>
      <c r="F1784" s="425">
        <v>343</v>
      </c>
      <c r="G1784" s="424">
        <v>0</v>
      </c>
      <c r="H1784" s="425">
        <v>0</v>
      </c>
      <c r="I1784" s="425">
        <v>0</v>
      </c>
      <c r="J1784" s="424">
        <v>260</v>
      </c>
      <c r="K1784" s="424">
        <v>0</v>
      </c>
      <c r="L1784" s="425">
        <v>0</v>
      </c>
      <c r="M1784" s="425">
        <v>0</v>
      </c>
      <c r="N1784" s="425">
        <v>241</v>
      </c>
      <c r="O1784" s="425">
        <v>0</v>
      </c>
      <c r="P1784" s="425">
        <v>530</v>
      </c>
      <c r="Q1784" s="425">
        <v>415</v>
      </c>
      <c r="R1784" s="319">
        <f t="shared" si="232"/>
        <v>1374</v>
      </c>
      <c r="S1784" s="364">
        <f t="shared" si="233"/>
        <v>415</v>
      </c>
      <c r="T1784" s="323">
        <f>SUM(G1766:G1784)</f>
        <v>318</v>
      </c>
      <c r="U1784" s="323">
        <f>SUM(K1766:K1784)</f>
        <v>555</v>
      </c>
      <c r="V1784" s="323">
        <f>SUM(O1766:O1784)</f>
        <v>278</v>
      </c>
      <c r="W1784" s="323">
        <f>SUM(Q1766:Q1784)</f>
        <v>7222</v>
      </c>
      <c r="X1784" s="323">
        <f>T1784+U1784+V1784+W1784</f>
        <v>8373</v>
      </c>
    </row>
    <row r="1785" spans="1:24" ht="12.75">
      <c r="A1785" s="428" t="s">
        <v>590</v>
      </c>
      <c r="B1785" s="429" t="s">
        <v>179</v>
      </c>
      <c r="C1785" s="429" t="s">
        <v>855</v>
      </c>
      <c r="D1785" s="429">
        <v>2016</v>
      </c>
      <c r="E1785" s="429" t="s">
        <v>775</v>
      </c>
      <c r="F1785" s="430">
        <v>912</v>
      </c>
      <c r="G1785" s="430">
        <v>7</v>
      </c>
      <c r="H1785" s="431">
        <v>7</v>
      </c>
      <c r="I1785" s="430">
        <v>0</v>
      </c>
      <c r="J1785" s="430">
        <v>693</v>
      </c>
      <c r="K1785" s="430">
        <v>163</v>
      </c>
      <c r="L1785" s="430">
        <v>163</v>
      </c>
      <c r="M1785" s="430">
        <v>0</v>
      </c>
      <c r="N1785" s="430">
        <v>1062</v>
      </c>
      <c r="O1785" s="430">
        <v>74</v>
      </c>
      <c r="P1785" s="430">
        <v>2332</v>
      </c>
      <c r="Q1785" s="431">
        <v>439</v>
      </c>
      <c r="R1785" s="328">
        <f t="shared" si="232"/>
        <v>4999</v>
      </c>
      <c r="S1785" s="365">
        <f t="shared" si="233"/>
        <v>683</v>
      </c>
      <c r="T1785" s="432"/>
      <c r="U1785" s="432"/>
      <c r="V1785" s="432"/>
      <c r="W1785" s="432"/>
      <c r="X1785" s="432"/>
    </row>
    <row r="1786" spans="1:24" ht="12.75">
      <c r="A1786" s="428" t="s">
        <v>591</v>
      </c>
      <c r="B1786" s="429" t="s">
        <v>179</v>
      </c>
      <c r="C1786" s="429" t="s">
        <v>855</v>
      </c>
      <c r="D1786" s="429">
        <v>2016</v>
      </c>
      <c r="E1786" s="429" t="s">
        <v>775</v>
      </c>
      <c r="F1786" s="430">
        <v>3209</v>
      </c>
      <c r="G1786" s="430">
        <v>22</v>
      </c>
      <c r="H1786" s="431">
        <v>22</v>
      </c>
      <c r="I1786" s="430">
        <v>0</v>
      </c>
      <c r="J1786" s="430">
        <v>2439</v>
      </c>
      <c r="K1786" s="430">
        <v>186</v>
      </c>
      <c r="L1786" s="430">
        <v>186</v>
      </c>
      <c r="M1786" s="430">
        <v>0</v>
      </c>
      <c r="N1786" s="430">
        <v>2257</v>
      </c>
      <c r="O1786" s="430">
        <v>2</v>
      </c>
      <c r="P1786" s="430">
        <v>4956</v>
      </c>
      <c r="Q1786" s="431">
        <v>849</v>
      </c>
      <c r="R1786" s="328">
        <f t="shared" si="232"/>
        <v>12861</v>
      </c>
      <c r="S1786" s="365">
        <f t="shared" si="233"/>
        <v>1059</v>
      </c>
      <c r="T1786" s="432"/>
      <c r="U1786" s="432"/>
      <c r="V1786" s="432"/>
      <c r="W1786" s="432"/>
      <c r="X1786" s="432"/>
    </row>
    <row r="1787" spans="1:24" ht="12.75">
      <c r="A1787" s="428" t="s">
        <v>592</v>
      </c>
      <c r="B1787" s="429" t="s">
        <v>179</v>
      </c>
      <c r="C1787" s="429" t="s">
        <v>855</v>
      </c>
      <c r="D1787" s="429">
        <v>2016</v>
      </c>
      <c r="E1787" s="429" t="s">
        <v>775</v>
      </c>
      <c r="F1787" s="430">
        <v>13</v>
      </c>
      <c r="G1787" s="430">
        <v>0</v>
      </c>
      <c r="H1787" s="431">
        <v>0</v>
      </c>
      <c r="I1787" s="430">
        <v>0</v>
      </c>
      <c r="J1787" s="430">
        <v>9</v>
      </c>
      <c r="K1787" s="430">
        <v>0</v>
      </c>
      <c r="L1787" s="430">
        <v>0</v>
      </c>
      <c r="M1787" s="430">
        <v>0</v>
      </c>
      <c r="N1787" s="430">
        <v>9</v>
      </c>
      <c r="O1787" s="430">
        <v>0</v>
      </c>
      <c r="P1787" s="430">
        <v>19</v>
      </c>
      <c r="Q1787" s="431">
        <v>63</v>
      </c>
      <c r="R1787" s="328">
        <f t="shared" si="232"/>
        <v>50</v>
      </c>
      <c r="S1787" s="365">
        <f t="shared" si="233"/>
        <v>63</v>
      </c>
      <c r="T1787" s="432"/>
      <c r="U1787" s="432"/>
      <c r="V1787" s="432"/>
      <c r="W1787" s="432"/>
      <c r="X1787" s="432"/>
    </row>
    <row r="1788" spans="1:24" ht="12.75">
      <c r="A1788" s="428" t="s">
        <v>593</v>
      </c>
      <c r="B1788" s="429" t="s">
        <v>179</v>
      </c>
      <c r="C1788" s="429" t="s">
        <v>855</v>
      </c>
      <c r="D1788" s="429">
        <v>2016</v>
      </c>
      <c r="E1788" s="429" t="s">
        <v>775</v>
      </c>
      <c r="F1788" s="430">
        <v>7</v>
      </c>
      <c r="G1788" s="430">
        <v>0</v>
      </c>
      <c r="H1788" s="431">
        <v>0</v>
      </c>
      <c r="I1788" s="430">
        <v>0</v>
      </c>
      <c r="J1788" s="430">
        <v>5</v>
      </c>
      <c r="K1788" s="430">
        <v>0</v>
      </c>
      <c r="L1788" s="430">
        <v>0</v>
      </c>
      <c r="M1788" s="430">
        <v>0</v>
      </c>
      <c r="N1788" s="430">
        <v>15</v>
      </c>
      <c r="O1788" s="430">
        <v>0</v>
      </c>
      <c r="P1788" s="430">
        <v>34</v>
      </c>
      <c r="Q1788" s="431">
        <v>11</v>
      </c>
      <c r="R1788" s="328">
        <f t="shared" si="232"/>
        <v>61</v>
      </c>
      <c r="S1788" s="365">
        <f t="shared" si="233"/>
        <v>11</v>
      </c>
      <c r="T1788" s="432"/>
      <c r="U1788" s="432"/>
      <c r="V1788" s="432"/>
      <c r="W1788" s="432"/>
      <c r="X1788" s="432"/>
    </row>
    <row r="1789" spans="1:24" ht="12.75">
      <c r="A1789" s="428" t="s">
        <v>594</v>
      </c>
      <c r="B1789" s="429" t="s">
        <v>179</v>
      </c>
      <c r="C1789" s="429" t="s">
        <v>855</v>
      </c>
      <c r="D1789" s="429">
        <v>2016</v>
      </c>
      <c r="E1789" s="429" t="s">
        <v>775</v>
      </c>
      <c r="F1789" s="430">
        <v>1448</v>
      </c>
      <c r="G1789" s="430">
        <v>0</v>
      </c>
      <c r="H1789" s="431">
        <v>0</v>
      </c>
      <c r="I1789" s="430">
        <v>0</v>
      </c>
      <c r="J1789" s="430">
        <v>1101</v>
      </c>
      <c r="K1789" s="430">
        <v>6</v>
      </c>
      <c r="L1789" s="430">
        <v>6</v>
      </c>
      <c r="M1789" s="430">
        <v>0</v>
      </c>
      <c r="N1789" s="430">
        <v>1019</v>
      </c>
      <c r="O1789" s="430">
        <v>0</v>
      </c>
      <c r="P1789" s="430">
        <v>2237</v>
      </c>
      <c r="Q1789" s="431">
        <v>78</v>
      </c>
      <c r="R1789" s="328">
        <f t="shared" si="232"/>
        <v>5805</v>
      </c>
      <c r="S1789" s="365">
        <f t="shared" si="233"/>
        <v>84</v>
      </c>
      <c r="T1789" s="432"/>
      <c r="U1789" s="432"/>
      <c r="V1789" s="432"/>
      <c r="W1789" s="432"/>
      <c r="X1789" s="432"/>
    </row>
    <row r="1790" spans="1:24" ht="12.75">
      <c r="A1790" s="428" t="s">
        <v>595</v>
      </c>
      <c r="B1790" s="429" t="s">
        <v>179</v>
      </c>
      <c r="C1790" s="429" t="s">
        <v>855</v>
      </c>
      <c r="D1790" s="429">
        <v>2016</v>
      </c>
      <c r="E1790" s="429" t="s">
        <v>775</v>
      </c>
      <c r="F1790" s="430">
        <v>587</v>
      </c>
      <c r="G1790" s="430">
        <v>0</v>
      </c>
      <c r="H1790" s="431">
        <v>0</v>
      </c>
      <c r="I1790" s="430">
        <v>0</v>
      </c>
      <c r="J1790" s="430">
        <v>446</v>
      </c>
      <c r="K1790" s="430">
        <v>2</v>
      </c>
      <c r="L1790" s="430">
        <v>2</v>
      </c>
      <c r="M1790" s="430">
        <v>0</v>
      </c>
      <c r="N1790" s="430">
        <v>413</v>
      </c>
      <c r="O1790" s="430">
        <v>1</v>
      </c>
      <c r="P1790" s="430">
        <v>907</v>
      </c>
      <c r="Q1790" s="431">
        <v>87</v>
      </c>
      <c r="R1790" s="328">
        <f t="shared" si="232"/>
        <v>2353</v>
      </c>
      <c r="S1790" s="365">
        <f t="shared" si="233"/>
        <v>90</v>
      </c>
      <c r="T1790" s="432"/>
      <c r="U1790" s="432"/>
      <c r="V1790" s="432"/>
      <c r="W1790" s="432"/>
      <c r="X1790" s="432"/>
    </row>
    <row r="1791" spans="1:24" ht="12.75">
      <c r="A1791" s="428" t="s">
        <v>596</v>
      </c>
      <c r="B1791" s="429" t="s">
        <v>179</v>
      </c>
      <c r="C1791" s="429" t="s">
        <v>855</v>
      </c>
      <c r="D1791" s="429">
        <v>2016</v>
      </c>
      <c r="E1791" s="429" t="s">
        <v>775</v>
      </c>
      <c r="F1791" s="430">
        <v>1042</v>
      </c>
      <c r="G1791" s="430">
        <v>0</v>
      </c>
      <c r="H1791" s="431">
        <v>0</v>
      </c>
      <c r="I1791" s="430">
        <v>0</v>
      </c>
      <c r="J1791" s="430">
        <v>791</v>
      </c>
      <c r="K1791" s="430">
        <v>0</v>
      </c>
      <c r="L1791" s="430">
        <v>0</v>
      </c>
      <c r="M1791" s="430">
        <v>0</v>
      </c>
      <c r="N1791" s="430">
        <v>733</v>
      </c>
      <c r="O1791" s="430">
        <v>1</v>
      </c>
      <c r="P1791" s="430">
        <v>1609</v>
      </c>
      <c r="Q1791" s="431">
        <v>163</v>
      </c>
      <c r="R1791" s="328">
        <f t="shared" si="232"/>
        <v>4175</v>
      </c>
      <c r="S1791" s="365">
        <f t="shared" si="233"/>
        <v>164</v>
      </c>
      <c r="T1791" s="432"/>
      <c r="U1791" s="432"/>
      <c r="V1791" s="432"/>
      <c r="W1791" s="432"/>
      <c r="X1791" s="432"/>
    </row>
    <row r="1792" spans="1:24" ht="12.75">
      <c r="A1792" s="428" t="s">
        <v>597</v>
      </c>
      <c r="B1792" s="429" t="s">
        <v>179</v>
      </c>
      <c r="C1792" s="429" t="s">
        <v>855</v>
      </c>
      <c r="D1792" s="429">
        <v>2016</v>
      </c>
      <c r="E1792" s="429" t="s">
        <v>775</v>
      </c>
      <c r="F1792" s="430">
        <v>63</v>
      </c>
      <c r="G1792" s="430">
        <v>0</v>
      </c>
      <c r="H1792" s="431">
        <v>0</v>
      </c>
      <c r="I1792" s="430">
        <v>0</v>
      </c>
      <c r="J1792" s="430">
        <v>48</v>
      </c>
      <c r="K1792" s="430">
        <v>0</v>
      </c>
      <c r="L1792" s="430">
        <v>0</v>
      </c>
      <c r="M1792" s="430">
        <v>0</v>
      </c>
      <c r="N1792" s="430">
        <v>45</v>
      </c>
      <c r="O1792" s="430">
        <v>0</v>
      </c>
      <c r="P1792" s="430">
        <v>98</v>
      </c>
      <c r="Q1792" s="431">
        <v>13</v>
      </c>
      <c r="R1792" s="328">
        <f t="shared" si="232"/>
        <v>254</v>
      </c>
      <c r="S1792" s="365">
        <f t="shared" si="233"/>
        <v>13</v>
      </c>
      <c r="T1792" s="432"/>
      <c r="U1792" s="432"/>
      <c r="V1792" s="432"/>
      <c r="W1792" s="432"/>
      <c r="X1792" s="432"/>
    </row>
    <row r="1793" spans="1:24" ht="12.75">
      <c r="A1793" s="428" t="s">
        <v>598</v>
      </c>
      <c r="B1793" s="429" t="s">
        <v>179</v>
      </c>
      <c r="C1793" s="429" t="s">
        <v>855</v>
      </c>
      <c r="D1793" s="429">
        <v>2016</v>
      </c>
      <c r="E1793" s="429" t="s">
        <v>775</v>
      </c>
      <c r="F1793" s="430">
        <v>430</v>
      </c>
      <c r="G1793" s="430">
        <v>0</v>
      </c>
      <c r="H1793" s="431">
        <v>0</v>
      </c>
      <c r="I1793" s="430">
        <v>0</v>
      </c>
      <c r="J1793" s="430">
        <v>326</v>
      </c>
      <c r="K1793" s="430">
        <v>0</v>
      </c>
      <c r="L1793" s="430">
        <v>0</v>
      </c>
      <c r="M1793" s="430">
        <v>0</v>
      </c>
      <c r="N1793" s="430">
        <v>302</v>
      </c>
      <c r="O1793" s="430">
        <v>0</v>
      </c>
      <c r="P1793" s="430">
        <v>664</v>
      </c>
      <c r="Q1793" s="431">
        <v>106</v>
      </c>
      <c r="R1793" s="328">
        <f t="shared" si="232"/>
        <v>1722</v>
      </c>
      <c r="S1793" s="365">
        <f t="shared" si="233"/>
        <v>106</v>
      </c>
      <c r="T1793" s="432"/>
      <c r="U1793" s="432"/>
      <c r="V1793" s="432"/>
      <c r="W1793" s="432"/>
      <c r="X1793" s="432"/>
    </row>
    <row r="1794" spans="1:24" ht="12.75">
      <c r="A1794" s="428" t="s">
        <v>599</v>
      </c>
      <c r="B1794" s="480" t="s">
        <v>179</v>
      </c>
      <c r="C1794" s="429" t="s">
        <v>855</v>
      </c>
      <c r="D1794" s="429">
        <v>2016</v>
      </c>
      <c r="E1794" s="429" t="s">
        <v>775</v>
      </c>
      <c r="F1794" s="430">
        <v>77</v>
      </c>
      <c r="G1794" s="430">
        <v>1</v>
      </c>
      <c r="H1794" s="431">
        <v>1</v>
      </c>
      <c r="I1794" s="430">
        <v>0</v>
      </c>
      <c r="J1794" s="430">
        <v>59</v>
      </c>
      <c r="K1794" s="430">
        <v>2</v>
      </c>
      <c r="L1794" s="430">
        <v>2</v>
      </c>
      <c r="M1794" s="430">
        <v>0</v>
      </c>
      <c r="N1794" s="430">
        <v>54</v>
      </c>
      <c r="O1794" s="430">
        <v>15</v>
      </c>
      <c r="P1794" s="430">
        <v>119</v>
      </c>
      <c r="Q1794" s="431">
        <v>0</v>
      </c>
      <c r="R1794" s="328">
        <f t="shared" si="232"/>
        <v>309</v>
      </c>
      <c r="S1794" s="365">
        <f t="shared" si="233"/>
        <v>18</v>
      </c>
      <c r="T1794" s="432"/>
      <c r="U1794" s="432"/>
      <c r="V1794" s="432"/>
      <c r="W1794" s="432"/>
      <c r="X1794" s="432"/>
    </row>
    <row r="1795" spans="1:24" ht="12.75">
      <c r="A1795" s="428" t="s">
        <v>600</v>
      </c>
      <c r="B1795" s="429" t="s">
        <v>179</v>
      </c>
      <c r="C1795" s="429" t="s">
        <v>855</v>
      </c>
      <c r="D1795" s="429">
        <v>2016</v>
      </c>
      <c r="E1795" s="429" t="s">
        <v>775</v>
      </c>
      <c r="F1795" s="430">
        <v>465</v>
      </c>
      <c r="G1795" s="430">
        <v>45</v>
      </c>
      <c r="H1795" s="431">
        <v>45</v>
      </c>
      <c r="I1795" s="430">
        <v>0</v>
      </c>
      <c r="J1795" s="430">
        <v>353</v>
      </c>
      <c r="K1795" s="430">
        <v>0</v>
      </c>
      <c r="L1795" s="430">
        <v>0</v>
      </c>
      <c r="M1795" s="430">
        <v>0</v>
      </c>
      <c r="N1795" s="430">
        <v>327</v>
      </c>
      <c r="O1795" s="430">
        <v>46</v>
      </c>
      <c r="P1795" s="430">
        <v>718</v>
      </c>
      <c r="Q1795" s="431">
        <v>12</v>
      </c>
      <c r="R1795" s="328">
        <f t="shared" si="232"/>
        <v>1863</v>
      </c>
      <c r="S1795" s="365">
        <f t="shared" si="233"/>
        <v>103</v>
      </c>
      <c r="T1795" s="432"/>
      <c r="U1795" s="432"/>
      <c r="V1795" s="432"/>
      <c r="W1795" s="432"/>
      <c r="X1795" s="432"/>
    </row>
    <row r="1796" spans="1:24" ht="12.75">
      <c r="A1796" s="428" t="s">
        <v>601</v>
      </c>
      <c r="B1796" s="429" t="s">
        <v>179</v>
      </c>
      <c r="C1796" s="429" t="s">
        <v>855</v>
      </c>
      <c r="D1796" s="429">
        <v>2016</v>
      </c>
      <c r="E1796" s="429" t="s">
        <v>775</v>
      </c>
      <c r="F1796" s="430">
        <v>1549</v>
      </c>
      <c r="G1796" s="430">
        <v>0</v>
      </c>
      <c r="H1796" s="431">
        <v>0</v>
      </c>
      <c r="I1796" s="430">
        <v>0</v>
      </c>
      <c r="J1796" s="430">
        <v>1178</v>
      </c>
      <c r="K1796" s="430">
        <v>0</v>
      </c>
      <c r="L1796" s="430">
        <v>0</v>
      </c>
      <c r="M1796" s="430">
        <v>0</v>
      </c>
      <c r="N1796" s="430">
        <v>1090</v>
      </c>
      <c r="O1796" s="430">
        <v>0</v>
      </c>
      <c r="P1796" s="430">
        <v>2393</v>
      </c>
      <c r="Q1796" s="431">
        <v>0</v>
      </c>
      <c r="R1796" s="328">
        <f t="shared" si="232"/>
        <v>6210</v>
      </c>
      <c r="S1796" s="365">
        <f t="shared" si="233"/>
        <v>0</v>
      </c>
      <c r="T1796" s="432"/>
      <c r="U1796" s="432"/>
      <c r="V1796" s="432"/>
      <c r="W1796" s="432"/>
      <c r="X1796" s="432"/>
    </row>
    <row r="1797" spans="1:24" ht="12.75">
      <c r="A1797" s="428" t="s">
        <v>602</v>
      </c>
      <c r="B1797" s="429" t="s">
        <v>179</v>
      </c>
      <c r="C1797" s="429" t="s">
        <v>855</v>
      </c>
      <c r="D1797" s="429">
        <v>2016</v>
      </c>
      <c r="E1797" s="429" t="s">
        <v>775</v>
      </c>
      <c r="F1797" s="430">
        <v>201</v>
      </c>
      <c r="G1797" s="430">
        <v>0</v>
      </c>
      <c r="H1797" s="431">
        <v>0</v>
      </c>
      <c r="I1797" s="430">
        <v>0</v>
      </c>
      <c r="J1797" s="430">
        <v>152</v>
      </c>
      <c r="K1797" s="430">
        <v>0</v>
      </c>
      <c r="L1797" s="430">
        <v>0</v>
      </c>
      <c r="M1797" s="430">
        <v>0</v>
      </c>
      <c r="N1797" s="430">
        <v>282</v>
      </c>
      <c r="O1797" s="430">
        <v>0</v>
      </c>
      <c r="P1797" s="430">
        <v>618</v>
      </c>
      <c r="Q1797" s="431">
        <v>17</v>
      </c>
      <c r="R1797" s="328">
        <f t="shared" si="232"/>
        <v>1253</v>
      </c>
      <c r="S1797" s="365">
        <f t="shared" si="233"/>
        <v>17</v>
      </c>
      <c r="T1797" s="432"/>
      <c r="U1797" s="432"/>
      <c r="V1797" s="432"/>
      <c r="W1797" s="432"/>
      <c r="X1797" s="432"/>
    </row>
    <row r="1798" spans="1:24" ht="12.75">
      <c r="A1798" s="428" t="s">
        <v>179</v>
      </c>
      <c r="B1798" s="429" t="s">
        <v>179</v>
      </c>
      <c r="C1798" s="429" t="s">
        <v>855</v>
      </c>
      <c r="D1798" s="429">
        <v>2016</v>
      </c>
      <c r="E1798" s="429" t="s">
        <v>775</v>
      </c>
      <c r="F1798" s="430">
        <v>21977</v>
      </c>
      <c r="G1798" s="430">
        <v>103</v>
      </c>
      <c r="H1798" s="431">
        <v>103</v>
      </c>
      <c r="I1798" s="430">
        <v>0</v>
      </c>
      <c r="J1798" s="430">
        <v>16703</v>
      </c>
      <c r="K1798" s="430">
        <v>253</v>
      </c>
      <c r="L1798" s="430">
        <v>253</v>
      </c>
      <c r="M1798" s="430">
        <v>0</v>
      </c>
      <c r="N1798" s="430">
        <v>15462</v>
      </c>
      <c r="O1798" s="430">
        <v>0</v>
      </c>
      <c r="P1798" s="430">
        <v>33954</v>
      </c>
      <c r="Q1798" s="431">
        <v>7028</v>
      </c>
      <c r="R1798" s="328">
        <f t="shared" si="232"/>
        <v>88096</v>
      </c>
      <c r="S1798" s="365">
        <f t="shared" si="233"/>
        <v>7384</v>
      </c>
      <c r="T1798" s="432"/>
      <c r="U1798" s="432"/>
      <c r="V1798" s="432"/>
      <c r="W1798" s="432"/>
      <c r="X1798" s="432"/>
    </row>
    <row r="1799" spans="1:24" ht="12.75">
      <c r="A1799" s="428" t="s">
        <v>603</v>
      </c>
      <c r="B1799" s="429" t="s">
        <v>179</v>
      </c>
      <c r="C1799" s="429" t="s">
        <v>855</v>
      </c>
      <c r="D1799" s="429">
        <v>2016</v>
      </c>
      <c r="E1799" s="429" t="s">
        <v>775</v>
      </c>
      <c r="F1799" s="430">
        <v>2085</v>
      </c>
      <c r="G1799" s="430">
        <v>0</v>
      </c>
      <c r="H1799" s="431">
        <v>0</v>
      </c>
      <c r="I1799" s="430">
        <v>0</v>
      </c>
      <c r="J1799" s="430">
        <v>1585</v>
      </c>
      <c r="K1799" s="430">
        <v>24</v>
      </c>
      <c r="L1799" s="430">
        <v>24</v>
      </c>
      <c r="M1799" s="430">
        <v>0</v>
      </c>
      <c r="N1799" s="430">
        <v>5864</v>
      </c>
      <c r="O1799" s="430">
        <v>177</v>
      </c>
      <c r="P1799" s="430">
        <v>12878</v>
      </c>
      <c r="Q1799" s="431">
        <v>381</v>
      </c>
      <c r="R1799" s="328">
        <f t="shared" si="232"/>
        <v>22412</v>
      </c>
      <c r="S1799" s="365">
        <f t="shared" si="233"/>
        <v>582</v>
      </c>
      <c r="T1799" s="432"/>
      <c r="U1799" s="432"/>
      <c r="V1799" s="432"/>
      <c r="W1799" s="432"/>
      <c r="X1799" s="432"/>
    </row>
    <row r="1800" spans="1:24" ht="12.75">
      <c r="A1800" s="428" t="s">
        <v>604</v>
      </c>
      <c r="B1800" s="429" t="s">
        <v>179</v>
      </c>
      <c r="C1800" s="429" t="s">
        <v>855</v>
      </c>
      <c r="D1800" s="429">
        <v>2016</v>
      </c>
      <c r="E1800" s="429" t="s">
        <v>775</v>
      </c>
      <c r="F1800" s="430">
        <v>1043</v>
      </c>
      <c r="G1800" s="430">
        <v>0</v>
      </c>
      <c r="H1800" s="431">
        <v>0</v>
      </c>
      <c r="I1800" s="430">
        <v>0</v>
      </c>
      <c r="J1800" s="430">
        <v>793</v>
      </c>
      <c r="K1800" s="430">
        <v>0</v>
      </c>
      <c r="L1800" s="430">
        <v>0</v>
      </c>
      <c r="M1800" s="430">
        <v>0</v>
      </c>
      <c r="N1800" s="430">
        <v>734</v>
      </c>
      <c r="O1800" s="430">
        <v>0</v>
      </c>
      <c r="P1800" s="430">
        <v>1613</v>
      </c>
      <c r="Q1800" s="431">
        <v>329</v>
      </c>
      <c r="R1800" s="328">
        <f t="shared" si="232"/>
        <v>4183</v>
      </c>
      <c r="S1800" s="365">
        <f t="shared" si="233"/>
        <v>329</v>
      </c>
      <c r="T1800" s="432"/>
      <c r="U1800" s="432"/>
      <c r="V1800" s="432"/>
      <c r="W1800" s="432"/>
      <c r="X1800" s="432"/>
    </row>
    <row r="1801" spans="1:24" ht="12.75">
      <c r="A1801" s="428" t="s">
        <v>605</v>
      </c>
      <c r="B1801" s="429" t="s">
        <v>179</v>
      </c>
      <c r="C1801" s="429" t="s">
        <v>855</v>
      </c>
      <c r="D1801" s="429">
        <v>2016</v>
      </c>
      <c r="E1801" s="429" t="s">
        <v>775</v>
      </c>
      <c r="F1801" s="430">
        <v>914</v>
      </c>
      <c r="G1801" s="430">
        <v>0</v>
      </c>
      <c r="H1801" s="431">
        <v>0</v>
      </c>
      <c r="I1801" s="430">
        <v>0</v>
      </c>
      <c r="J1801" s="430">
        <v>694</v>
      </c>
      <c r="K1801" s="430">
        <v>2</v>
      </c>
      <c r="L1801" s="430">
        <v>0</v>
      </c>
      <c r="M1801" s="430">
        <v>2</v>
      </c>
      <c r="N1801" s="430">
        <v>642</v>
      </c>
      <c r="O1801" s="430">
        <v>0</v>
      </c>
      <c r="P1801" s="430">
        <v>1410</v>
      </c>
      <c r="Q1801" s="431">
        <v>50</v>
      </c>
      <c r="R1801" s="328">
        <f t="shared" si="232"/>
        <v>3660</v>
      </c>
      <c r="S1801" s="365">
        <f t="shared" si="233"/>
        <v>52</v>
      </c>
      <c r="T1801" s="432"/>
      <c r="U1801" s="432"/>
      <c r="V1801" s="432"/>
      <c r="W1801" s="432"/>
      <c r="X1801" s="432"/>
    </row>
    <row r="1802" spans="1:24" ht="12.75">
      <c r="A1802" s="428" t="s">
        <v>606</v>
      </c>
      <c r="B1802" s="429" t="s">
        <v>179</v>
      </c>
      <c r="C1802" s="429" t="s">
        <v>855</v>
      </c>
      <c r="D1802" s="429">
        <v>2016</v>
      </c>
      <c r="E1802" s="429" t="s">
        <v>775</v>
      </c>
      <c r="F1802" s="430">
        <v>85</v>
      </c>
      <c r="G1802" s="430">
        <v>0</v>
      </c>
      <c r="H1802" s="431">
        <v>0</v>
      </c>
      <c r="I1802" s="430">
        <v>0</v>
      </c>
      <c r="J1802" s="430">
        <v>65</v>
      </c>
      <c r="K1802" s="430">
        <v>1</v>
      </c>
      <c r="L1802" s="430">
        <v>1</v>
      </c>
      <c r="M1802" s="430">
        <v>0</v>
      </c>
      <c r="N1802" s="430">
        <v>59</v>
      </c>
      <c r="O1802" s="430">
        <v>0</v>
      </c>
      <c r="P1802" s="430">
        <v>131</v>
      </c>
      <c r="Q1802" s="431">
        <v>5</v>
      </c>
      <c r="R1802" s="328">
        <f t="shared" si="232"/>
        <v>340</v>
      </c>
      <c r="S1802" s="365">
        <f t="shared" si="233"/>
        <v>6</v>
      </c>
      <c r="T1802" s="432"/>
      <c r="U1802" s="432"/>
      <c r="V1802" s="432"/>
      <c r="W1802" s="432"/>
      <c r="X1802" s="432"/>
    </row>
    <row r="1803" spans="1:24" ht="12.75">
      <c r="A1803" s="459" t="s">
        <v>607</v>
      </c>
      <c r="B1803" s="460" t="s">
        <v>179</v>
      </c>
      <c r="C1803" s="460" t="s">
        <v>855</v>
      </c>
      <c r="D1803" s="460">
        <v>2016</v>
      </c>
      <c r="E1803" s="460" t="s">
        <v>775</v>
      </c>
      <c r="F1803" s="431">
        <v>343</v>
      </c>
      <c r="G1803" s="430">
        <v>0</v>
      </c>
      <c r="H1803" s="431">
        <v>0</v>
      </c>
      <c r="I1803" s="431">
        <v>0</v>
      </c>
      <c r="J1803" s="430">
        <v>260</v>
      </c>
      <c r="K1803" s="430">
        <v>0</v>
      </c>
      <c r="L1803" s="431">
        <v>0</v>
      </c>
      <c r="M1803" s="431">
        <v>0</v>
      </c>
      <c r="N1803" s="431">
        <v>241</v>
      </c>
      <c r="O1803" s="431">
        <v>0</v>
      </c>
      <c r="P1803" s="431">
        <v>530</v>
      </c>
      <c r="Q1803" s="431">
        <v>35</v>
      </c>
      <c r="R1803" s="328">
        <f t="shared" si="232"/>
        <v>1374</v>
      </c>
      <c r="S1803" s="365">
        <f t="shared" si="233"/>
        <v>35</v>
      </c>
      <c r="T1803" s="331">
        <f>SUM(G1785:G1803)</f>
        <v>178</v>
      </c>
      <c r="U1803" s="331">
        <f>SUM(K1785:K1803)</f>
        <v>639</v>
      </c>
      <c r="V1803" s="331">
        <f>SUM(O1785:O1803)</f>
        <v>316</v>
      </c>
      <c r="W1803" s="331">
        <f>SUM(Q1785:Q1803)</f>
        <v>9666</v>
      </c>
      <c r="X1803" s="331">
        <f>T1803+U1803+V1803+W1803</f>
        <v>10799</v>
      </c>
    </row>
    <row r="1804" spans="1:24" ht="12.75">
      <c r="A1804" s="433" t="s">
        <v>590</v>
      </c>
      <c r="B1804" s="434" t="s">
        <v>179</v>
      </c>
      <c r="C1804" s="434" t="s">
        <v>855</v>
      </c>
      <c r="D1804" s="434">
        <v>2017</v>
      </c>
      <c r="E1804" s="434" t="s">
        <v>775</v>
      </c>
      <c r="F1804" s="435">
        <v>912</v>
      </c>
      <c r="G1804" s="435">
        <v>0</v>
      </c>
      <c r="H1804" s="436">
        <v>0</v>
      </c>
      <c r="I1804" s="435">
        <v>0</v>
      </c>
      <c r="J1804" s="435">
        <v>693</v>
      </c>
      <c r="K1804" s="435">
        <v>10</v>
      </c>
      <c r="L1804" s="435">
        <v>8</v>
      </c>
      <c r="M1804" s="435">
        <v>2</v>
      </c>
      <c r="N1804" s="435">
        <v>1062</v>
      </c>
      <c r="O1804" s="435">
        <v>18</v>
      </c>
      <c r="P1804" s="435">
        <v>2332</v>
      </c>
      <c r="Q1804" s="436">
        <v>624</v>
      </c>
      <c r="R1804" s="336">
        <f t="shared" si="232"/>
        <v>4999</v>
      </c>
      <c r="S1804" s="366">
        <f t="shared" si="233"/>
        <v>652</v>
      </c>
      <c r="T1804" s="437"/>
      <c r="U1804" s="437"/>
      <c r="V1804" s="437"/>
      <c r="W1804" s="437"/>
      <c r="X1804" s="437"/>
    </row>
    <row r="1805" spans="1:24" ht="12.75">
      <c r="A1805" s="433" t="s">
        <v>591</v>
      </c>
      <c r="B1805" s="434" t="s">
        <v>179</v>
      </c>
      <c r="C1805" s="434" t="s">
        <v>855</v>
      </c>
      <c r="D1805" s="434">
        <v>2017</v>
      </c>
      <c r="E1805" s="434" t="s">
        <v>775</v>
      </c>
      <c r="F1805" s="435">
        <v>3209</v>
      </c>
      <c r="G1805" s="435">
        <v>0</v>
      </c>
      <c r="H1805" s="436">
        <v>0</v>
      </c>
      <c r="I1805" s="435">
        <v>0</v>
      </c>
      <c r="J1805" s="435">
        <v>2439</v>
      </c>
      <c r="K1805" s="435">
        <v>0</v>
      </c>
      <c r="L1805" s="435">
        <v>0</v>
      </c>
      <c r="M1805" s="435">
        <v>0</v>
      </c>
      <c r="N1805" s="435">
        <v>2257</v>
      </c>
      <c r="O1805" s="435">
        <v>13</v>
      </c>
      <c r="P1805" s="435">
        <v>4956</v>
      </c>
      <c r="Q1805" s="436">
        <v>1043</v>
      </c>
      <c r="R1805" s="336">
        <f t="shared" si="232"/>
        <v>12861</v>
      </c>
      <c r="S1805" s="366">
        <f t="shared" si="233"/>
        <v>1056</v>
      </c>
      <c r="T1805" s="437"/>
      <c r="U1805" s="437"/>
      <c r="V1805" s="437"/>
      <c r="W1805" s="437"/>
      <c r="X1805" s="437"/>
    </row>
    <row r="1806" spans="1:24" ht="12.75">
      <c r="A1806" s="433" t="s">
        <v>592</v>
      </c>
      <c r="B1806" s="434" t="s">
        <v>179</v>
      </c>
      <c r="C1806" s="434" t="s">
        <v>855</v>
      </c>
      <c r="D1806" s="434">
        <v>2017</v>
      </c>
      <c r="E1806" s="434" t="s">
        <v>775</v>
      </c>
      <c r="F1806" s="435">
        <v>13</v>
      </c>
      <c r="G1806" s="435">
        <v>0</v>
      </c>
      <c r="H1806" s="436">
        <v>0</v>
      </c>
      <c r="I1806" s="435">
        <v>0</v>
      </c>
      <c r="J1806" s="435">
        <v>9</v>
      </c>
      <c r="K1806" s="435">
        <v>0</v>
      </c>
      <c r="L1806" s="435">
        <v>0</v>
      </c>
      <c r="M1806" s="435">
        <v>0</v>
      </c>
      <c r="N1806" s="435">
        <v>9</v>
      </c>
      <c r="O1806" s="435">
        <v>0</v>
      </c>
      <c r="P1806" s="435">
        <v>19</v>
      </c>
      <c r="Q1806" s="436">
        <v>36</v>
      </c>
      <c r="R1806" s="336">
        <f t="shared" si="232"/>
        <v>50</v>
      </c>
      <c r="S1806" s="366">
        <f t="shared" si="233"/>
        <v>36</v>
      </c>
      <c r="T1806" s="437"/>
      <c r="U1806" s="437"/>
      <c r="V1806" s="437"/>
      <c r="W1806" s="437"/>
      <c r="X1806" s="437"/>
    </row>
    <row r="1807" spans="1:24" ht="12.75">
      <c r="A1807" s="433" t="s">
        <v>593</v>
      </c>
      <c r="B1807" s="434" t="s">
        <v>179</v>
      </c>
      <c r="C1807" s="434" t="s">
        <v>855</v>
      </c>
      <c r="D1807" s="434">
        <v>2017</v>
      </c>
      <c r="E1807" s="434" t="s">
        <v>775</v>
      </c>
      <c r="F1807" s="435">
        <v>7</v>
      </c>
      <c r="G1807" s="435">
        <v>0</v>
      </c>
      <c r="H1807" s="436">
        <v>0</v>
      </c>
      <c r="I1807" s="435">
        <v>0</v>
      </c>
      <c r="J1807" s="435">
        <v>5</v>
      </c>
      <c r="K1807" s="435">
        <v>0</v>
      </c>
      <c r="L1807" s="435">
        <v>0</v>
      </c>
      <c r="M1807" s="435">
        <v>0</v>
      </c>
      <c r="N1807" s="435">
        <v>15</v>
      </c>
      <c r="O1807" s="435">
        <v>0</v>
      </c>
      <c r="P1807" s="435">
        <v>34</v>
      </c>
      <c r="Q1807" s="436">
        <v>7</v>
      </c>
      <c r="R1807" s="336">
        <f t="shared" si="232"/>
        <v>61</v>
      </c>
      <c r="S1807" s="366">
        <f t="shared" si="233"/>
        <v>7</v>
      </c>
      <c r="T1807" s="437"/>
      <c r="U1807" s="437"/>
      <c r="V1807" s="437"/>
      <c r="W1807" s="437"/>
      <c r="X1807" s="437"/>
    </row>
    <row r="1808" spans="1:24" ht="12.75">
      <c r="A1808" s="433" t="s">
        <v>594</v>
      </c>
      <c r="B1808" s="434" t="s">
        <v>179</v>
      </c>
      <c r="C1808" s="434" t="s">
        <v>855</v>
      </c>
      <c r="D1808" s="434">
        <v>2017</v>
      </c>
      <c r="E1808" s="434" t="s">
        <v>775</v>
      </c>
      <c r="F1808" s="435">
        <v>1448</v>
      </c>
      <c r="G1808" s="435">
        <v>0</v>
      </c>
      <c r="H1808" s="436">
        <v>0</v>
      </c>
      <c r="I1808" s="435">
        <v>0</v>
      </c>
      <c r="J1808" s="435">
        <v>1101</v>
      </c>
      <c r="K1808" s="435">
        <v>0</v>
      </c>
      <c r="L1808" s="435">
        <v>0</v>
      </c>
      <c r="M1808" s="435">
        <v>0</v>
      </c>
      <c r="N1808" s="435">
        <v>1019</v>
      </c>
      <c r="O1808" s="435">
        <v>0</v>
      </c>
      <c r="P1808" s="435">
        <v>2237</v>
      </c>
      <c r="Q1808" s="436">
        <v>51</v>
      </c>
      <c r="R1808" s="336">
        <f t="shared" si="232"/>
        <v>5805</v>
      </c>
      <c r="S1808" s="366">
        <f t="shared" si="233"/>
        <v>51</v>
      </c>
      <c r="T1808" s="437"/>
      <c r="U1808" s="437"/>
      <c r="V1808" s="437"/>
      <c r="W1808" s="437"/>
      <c r="X1808" s="437"/>
    </row>
    <row r="1809" spans="1:24" ht="12.75">
      <c r="A1809" s="433" t="s">
        <v>595</v>
      </c>
      <c r="B1809" s="434" t="s">
        <v>179</v>
      </c>
      <c r="C1809" s="434" t="s">
        <v>855</v>
      </c>
      <c r="D1809" s="434">
        <v>2017</v>
      </c>
      <c r="E1809" s="434" t="s">
        <v>775</v>
      </c>
      <c r="F1809" s="435">
        <v>587</v>
      </c>
      <c r="G1809" s="435">
        <v>4</v>
      </c>
      <c r="H1809" s="436">
        <v>4</v>
      </c>
      <c r="I1809" s="435">
        <v>0</v>
      </c>
      <c r="J1809" s="435">
        <v>446</v>
      </c>
      <c r="K1809" s="435">
        <v>1</v>
      </c>
      <c r="L1809" s="435">
        <v>1</v>
      </c>
      <c r="M1809" s="435">
        <v>0</v>
      </c>
      <c r="N1809" s="435">
        <v>413</v>
      </c>
      <c r="O1809" s="435">
        <v>0</v>
      </c>
      <c r="P1809" s="435">
        <v>907</v>
      </c>
      <c r="Q1809" s="436">
        <v>109</v>
      </c>
      <c r="R1809" s="336">
        <f t="shared" si="232"/>
        <v>2353</v>
      </c>
      <c r="S1809" s="366">
        <f t="shared" si="233"/>
        <v>114</v>
      </c>
      <c r="T1809" s="437"/>
      <c r="U1809" s="437"/>
      <c r="V1809" s="437"/>
      <c r="W1809" s="437"/>
      <c r="X1809" s="437"/>
    </row>
    <row r="1810" spans="1:24" ht="12.75">
      <c r="A1810" s="433" t="s">
        <v>596</v>
      </c>
      <c r="B1810" s="434" t="s">
        <v>179</v>
      </c>
      <c r="C1810" s="434" t="s">
        <v>855</v>
      </c>
      <c r="D1810" s="434">
        <v>2017</v>
      </c>
      <c r="E1810" s="434" t="s">
        <v>775</v>
      </c>
      <c r="F1810" s="435">
        <v>1042</v>
      </c>
      <c r="G1810" s="435">
        <v>46</v>
      </c>
      <c r="H1810" s="436">
        <v>46</v>
      </c>
      <c r="I1810" s="435">
        <v>0</v>
      </c>
      <c r="J1810" s="435">
        <v>791</v>
      </c>
      <c r="K1810" s="435">
        <v>34</v>
      </c>
      <c r="L1810" s="435">
        <v>34</v>
      </c>
      <c r="M1810" s="435">
        <v>0</v>
      </c>
      <c r="N1810" s="435">
        <v>733</v>
      </c>
      <c r="O1810" s="435">
        <v>5</v>
      </c>
      <c r="P1810" s="435">
        <v>1609</v>
      </c>
      <c r="Q1810" s="436">
        <v>410</v>
      </c>
      <c r="R1810" s="336">
        <f t="shared" si="232"/>
        <v>4175</v>
      </c>
      <c r="S1810" s="366">
        <f t="shared" si="233"/>
        <v>495</v>
      </c>
      <c r="T1810" s="437"/>
      <c r="U1810" s="437"/>
      <c r="V1810" s="437"/>
      <c r="W1810" s="437"/>
      <c r="X1810" s="437"/>
    </row>
    <row r="1811" spans="1:24" ht="12.75">
      <c r="A1811" s="433" t="s">
        <v>597</v>
      </c>
      <c r="B1811" s="434" t="s">
        <v>179</v>
      </c>
      <c r="C1811" s="434" t="s">
        <v>855</v>
      </c>
      <c r="D1811" s="434">
        <v>2017</v>
      </c>
      <c r="E1811" s="434" t="s">
        <v>775</v>
      </c>
      <c r="F1811" s="435">
        <v>63</v>
      </c>
      <c r="G1811" s="435">
        <v>0</v>
      </c>
      <c r="H1811" s="436">
        <v>0</v>
      </c>
      <c r="I1811" s="435">
        <v>0</v>
      </c>
      <c r="J1811" s="435">
        <v>48</v>
      </c>
      <c r="K1811" s="435">
        <v>0</v>
      </c>
      <c r="L1811" s="435">
        <v>0</v>
      </c>
      <c r="M1811" s="435">
        <v>0</v>
      </c>
      <c r="N1811" s="435">
        <v>45</v>
      </c>
      <c r="O1811" s="435">
        <v>0</v>
      </c>
      <c r="P1811" s="435">
        <v>98</v>
      </c>
      <c r="Q1811" s="436">
        <v>117</v>
      </c>
      <c r="R1811" s="336">
        <f t="shared" si="232"/>
        <v>254</v>
      </c>
      <c r="S1811" s="366">
        <f t="shared" si="233"/>
        <v>117</v>
      </c>
      <c r="T1811" s="437"/>
      <c r="U1811" s="437"/>
      <c r="V1811" s="437"/>
      <c r="W1811" s="437"/>
      <c r="X1811" s="437"/>
    </row>
    <row r="1812" spans="1:24" ht="12.75">
      <c r="A1812" s="433" t="s">
        <v>598</v>
      </c>
      <c r="B1812" s="434" t="s">
        <v>179</v>
      </c>
      <c r="C1812" s="434" t="s">
        <v>855</v>
      </c>
      <c r="D1812" s="434">
        <v>2017</v>
      </c>
      <c r="E1812" s="434" t="s">
        <v>775</v>
      </c>
      <c r="F1812" s="435">
        <v>430</v>
      </c>
      <c r="G1812" s="435">
        <v>0</v>
      </c>
      <c r="H1812" s="436">
        <v>0</v>
      </c>
      <c r="I1812" s="435">
        <v>0</v>
      </c>
      <c r="J1812" s="435">
        <v>326</v>
      </c>
      <c r="K1812" s="435">
        <v>7</v>
      </c>
      <c r="L1812" s="435">
        <v>0</v>
      </c>
      <c r="M1812" s="435">
        <v>7</v>
      </c>
      <c r="N1812" s="435">
        <v>302</v>
      </c>
      <c r="O1812" s="435">
        <v>0</v>
      </c>
      <c r="P1812" s="435">
        <v>664</v>
      </c>
      <c r="Q1812" s="436">
        <v>24</v>
      </c>
      <c r="R1812" s="336">
        <f t="shared" si="232"/>
        <v>1722</v>
      </c>
      <c r="S1812" s="366">
        <f t="shared" si="233"/>
        <v>31</v>
      </c>
      <c r="T1812" s="437"/>
      <c r="U1812" s="437"/>
      <c r="V1812" s="437"/>
      <c r="W1812" s="437"/>
      <c r="X1812" s="437"/>
    </row>
    <row r="1813" spans="1:24" ht="12.75">
      <c r="A1813" s="433" t="s">
        <v>599</v>
      </c>
      <c r="B1813" s="434" t="s">
        <v>179</v>
      </c>
      <c r="C1813" s="434" t="s">
        <v>855</v>
      </c>
      <c r="D1813" s="434">
        <v>2017</v>
      </c>
      <c r="E1813" s="434" t="s">
        <v>775</v>
      </c>
      <c r="F1813" s="435">
        <v>77</v>
      </c>
      <c r="G1813" s="435">
        <v>0</v>
      </c>
      <c r="H1813" s="436">
        <v>0</v>
      </c>
      <c r="I1813" s="435">
        <v>0</v>
      </c>
      <c r="J1813" s="435">
        <v>59</v>
      </c>
      <c r="K1813" s="435">
        <v>5</v>
      </c>
      <c r="L1813" s="435">
        <v>5</v>
      </c>
      <c r="M1813" s="435">
        <v>0</v>
      </c>
      <c r="N1813" s="435">
        <v>54</v>
      </c>
      <c r="O1813" s="435">
        <v>14</v>
      </c>
      <c r="P1813" s="435">
        <v>119</v>
      </c>
      <c r="Q1813" s="436">
        <v>7</v>
      </c>
      <c r="R1813" s="336">
        <f t="shared" si="232"/>
        <v>309</v>
      </c>
      <c r="S1813" s="366">
        <f t="shared" si="233"/>
        <v>26</v>
      </c>
      <c r="T1813" s="437"/>
      <c r="U1813" s="437"/>
      <c r="V1813" s="437"/>
      <c r="W1813" s="437"/>
      <c r="X1813" s="437"/>
    </row>
    <row r="1814" spans="1:24" ht="12.75">
      <c r="A1814" s="433" t="s">
        <v>600</v>
      </c>
      <c r="B1814" s="434" t="s">
        <v>179</v>
      </c>
      <c r="C1814" s="434" t="s">
        <v>855</v>
      </c>
      <c r="D1814" s="434">
        <v>2017</v>
      </c>
      <c r="E1814" s="434" t="s">
        <v>775</v>
      </c>
      <c r="F1814" s="435">
        <v>465</v>
      </c>
      <c r="G1814" s="435">
        <v>0</v>
      </c>
      <c r="H1814" s="436">
        <v>0</v>
      </c>
      <c r="I1814" s="435">
        <v>0</v>
      </c>
      <c r="J1814" s="435">
        <v>353</v>
      </c>
      <c r="K1814" s="435">
        <v>0</v>
      </c>
      <c r="L1814" s="435">
        <v>0</v>
      </c>
      <c r="M1814" s="435">
        <v>0</v>
      </c>
      <c r="N1814" s="435">
        <v>327</v>
      </c>
      <c r="O1814" s="435">
        <v>116</v>
      </c>
      <c r="P1814" s="435">
        <v>718</v>
      </c>
      <c r="Q1814" s="436">
        <v>7</v>
      </c>
      <c r="R1814" s="336">
        <f t="shared" si="232"/>
        <v>1863</v>
      </c>
      <c r="S1814" s="366">
        <f t="shared" si="233"/>
        <v>123</v>
      </c>
      <c r="T1814" s="437"/>
      <c r="U1814" s="437"/>
      <c r="V1814" s="437"/>
      <c r="W1814" s="437"/>
      <c r="X1814" s="437"/>
    </row>
    <row r="1815" spans="1:24" ht="12.75">
      <c r="A1815" s="433" t="s">
        <v>601</v>
      </c>
      <c r="B1815" s="434" t="s">
        <v>179</v>
      </c>
      <c r="C1815" s="434" t="s">
        <v>855</v>
      </c>
      <c r="D1815" s="434">
        <v>2017</v>
      </c>
      <c r="E1815" s="434" t="s">
        <v>775</v>
      </c>
      <c r="F1815" s="435">
        <v>1549</v>
      </c>
      <c r="G1815" s="435">
        <v>43</v>
      </c>
      <c r="H1815" s="436">
        <v>43</v>
      </c>
      <c r="I1815" s="435">
        <v>0</v>
      </c>
      <c r="J1815" s="435">
        <v>1178</v>
      </c>
      <c r="K1815" s="435">
        <v>117</v>
      </c>
      <c r="L1815" s="435">
        <v>117</v>
      </c>
      <c r="M1815" s="435">
        <v>0</v>
      </c>
      <c r="N1815" s="435">
        <v>1090</v>
      </c>
      <c r="O1815" s="435">
        <v>0</v>
      </c>
      <c r="P1815" s="435">
        <v>2393</v>
      </c>
      <c r="Q1815" s="436">
        <v>39</v>
      </c>
      <c r="R1815" s="336">
        <f t="shared" si="232"/>
        <v>6210</v>
      </c>
      <c r="S1815" s="366">
        <f t="shared" si="233"/>
        <v>199</v>
      </c>
      <c r="T1815" s="437"/>
      <c r="U1815" s="437"/>
      <c r="V1815" s="437"/>
      <c r="W1815" s="437"/>
      <c r="X1815" s="437"/>
    </row>
    <row r="1816" spans="1:24" ht="12.75">
      <c r="A1816" s="433" t="s">
        <v>602</v>
      </c>
      <c r="B1816" s="434" t="s">
        <v>179</v>
      </c>
      <c r="C1816" s="434" t="s">
        <v>855</v>
      </c>
      <c r="D1816" s="434">
        <v>2017</v>
      </c>
      <c r="E1816" s="434" t="s">
        <v>775</v>
      </c>
      <c r="F1816" s="435">
        <v>201</v>
      </c>
      <c r="G1816" s="435">
        <v>0</v>
      </c>
      <c r="H1816" s="436">
        <v>0</v>
      </c>
      <c r="I1816" s="435">
        <v>0</v>
      </c>
      <c r="J1816" s="435">
        <v>152</v>
      </c>
      <c r="K1816" s="435">
        <v>0</v>
      </c>
      <c r="L1816" s="435">
        <v>0</v>
      </c>
      <c r="M1816" s="435">
        <v>0</v>
      </c>
      <c r="N1816" s="435">
        <v>282</v>
      </c>
      <c r="O1816" s="435">
        <v>0</v>
      </c>
      <c r="P1816" s="435">
        <v>618</v>
      </c>
      <c r="Q1816" s="436">
        <v>24</v>
      </c>
      <c r="R1816" s="336">
        <f t="shared" si="232"/>
        <v>1253</v>
      </c>
      <c r="S1816" s="366">
        <f t="shared" si="233"/>
        <v>24</v>
      </c>
      <c r="T1816" s="437"/>
      <c r="U1816" s="437"/>
      <c r="V1816" s="437"/>
      <c r="W1816" s="437"/>
      <c r="X1816" s="437"/>
    </row>
    <row r="1817" spans="1:24" ht="12.75">
      <c r="A1817" s="433" t="s">
        <v>179</v>
      </c>
      <c r="B1817" s="434" t="s">
        <v>179</v>
      </c>
      <c r="C1817" s="434" t="s">
        <v>855</v>
      </c>
      <c r="D1817" s="434">
        <v>2017</v>
      </c>
      <c r="E1817" s="434" t="s">
        <v>775</v>
      </c>
      <c r="F1817" s="435">
        <v>21977</v>
      </c>
      <c r="G1817" s="435">
        <v>324</v>
      </c>
      <c r="H1817" s="436">
        <v>324</v>
      </c>
      <c r="I1817" s="435">
        <v>0</v>
      </c>
      <c r="J1817" s="435">
        <v>16703</v>
      </c>
      <c r="K1817" s="435">
        <v>301</v>
      </c>
      <c r="L1817" s="435">
        <v>295</v>
      </c>
      <c r="M1817" s="435">
        <v>6</v>
      </c>
      <c r="N1817" s="435">
        <v>15462</v>
      </c>
      <c r="O1817" s="435">
        <v>0</v>
      </c>
      <c r="P1817" s="435">
        <v>33954</v>
      </c>
      <c r="Q1817" s="436">
        <v>4395</v>
      </c>
      <c r="R1817" s="336">
        <f t="shared" si="232"/>
        <v>88096</v>
      </c>
      <c r="S1817" s="366">
        <f t="shared" si="233"/>
        <v>5020</v>
      </c>
      <c r="T1817" s="437"/>
      <c r="U1817" s="437"/>
      <c r="V1817" s="437"/>
      <c r="W1817" s="437"/>
      <c r="X1817" s="437"/>
    </row>
    <row r="1818" spans="1:24" ht="12.75">
      <c r="A1818" s="433" t="s">
        <v>603</v>
      </c>
      <c r="B1818" s="434" t="s">
        <v>179</v>
      </c>
      <c r="C1818" s="434" t="s">
        <v>855</v>
      </c>
      <c r="D1818" s="434">
        <v>2017</v>
      </c>
      <c r="E1818" s="434" t="s">
        <v>775</v>
      </c>
      <c r="F1818" s="435">
        <v>2085</v>
      </c>
      <c r="G1818" s="435">
        <v>0</v>
      </c>
      <c r="H1818" s="436">
        <v>0</v>
      </c>
      <c r="I1818" s="435">
        <v>0</v>
      </c>
      <c r="J1818" s="435">
        <v>1585</v>
      </c>
      <c r="K1818" s="435">
        <v>52</v>
      </c>
      <c r="L1818" s="435">
        <v>0</v>
      </c>
      <c r="M1818" s="435">
        <v>52</v>
      </c>
      <c r="N1818" s="435">
        <v>5864</v>
      </c>
      <c r="O1818" s="435">
        <v>71</v>
      </c>
      <c r="P1818" s="435">
        <v>12878</v>
      </c>
      <c r="Q1818" s="436">
        <v>532</v>
      </c>
      <c r="R1818" s="336">
        <f t="shared" si="232"/>
        <v>22412</v>
      </c>
      <c r="S1818" s="366">
        <f t="shared" si="233"/>
        <v>655</v>
      </c>
      <c r="T1818" s="437"/>
      <c r="U1818" s="437"/>
      <c r="V1818" s="437"/>
      <c r="W1818" s="437"/>
      <c r="X1818" s="437"/>
    </row>
    <row r="1819" spans="1:24" ht="12.75">
      <c r="A1819" s="433" t="s">
        <v>604</v>
      </c>
      <c r="B1819" s="434" t="s">
        <v>179</v>
      </c>
      <c r="C1819" s="434" t="s">
        <v>855</v>
      </c>
      <c r="D1819" s="434">
        <v>2017</v>
      </c>
      <c r="E1819" s="434" t="s">
        <v>775</v>
      </c>
      <c r="F1819" s="435">
        <v>1043</v>
      </c>
      <c r="G1819" s="435">
        <v>31</v>
      </c>
      <c r="H1819" s="436">
        <v>31</v>
      </c>
      <c r="I1819" s="435">
        <v>0</v>
      </c>
      <c r="J1819" s="435">
        <v>793</v>
      </c>
      <c r="K1819" s="435">
        <v>11</v>
      </c>
      <c r="L1819" s="435">
        <v>11</v>
      </c>
      <c r="M1819" s="435">
        <v>0</v>
      </c>
      <c r="N1819" s="435">
        <v>734</v>
      </c>
      <c r="O1819" s="435">
        <v>0</v>
      </c>
      <c r="P1819" s="435">
        <v>1613</v>
      </c>
      <c r="Q1819" s="436">
        <v>436</v>
      </c>
      <c r="R1819" s="336">
        <f t="shared" si="232"/>
        <v>4183</v>
      </c>
      <c r="S1819" s="366">
        <f t="shared" si="233"/>
        <v>478</v>
      </c>
      <c r="T1819" s="437"/>
      <c r="U1819" s="437"/>
      <c r="V1819" s="437"/>
      <c r="W1819" s="437"/>
      <c r="X1819" s="437"/>
    </row>
    <row r="1820" spans="1:24" ht="12.75">
      <c r="A1820" s="433" t="s">
        <v>605</v>
      </c>
      <c r="B1820" s="434" t="s">
        <v>179</v>
      </c>
      <c r="C1820" s="434" t="s">
        <v>855</v>
      </c>
      <c r="D1820" s="434">
        <v>2017</v>
      </c>
      <c r="E1820" s="434" t="s">
        <v>775</v>
      </c>
      <c r="F1820" s="435">
        <v>914</v>
      </c>
      <c r="G1820" s="435">
        <v>0</v>
      </c>
      <c r="H1820" s="436">
        <v>0</v>
      </c>
      <c r="I1820" s="435">
        <v>0</v>
      </c>
      <c r="J1820" s="435">
        <v>694</v>
      </c>
      <c r="K1820" s="435">
        <v>0</v>
      </c>
      <c r="L1820" s="435">
        <v>0</v>
      </c>
      <c r="M1820" s="435">
        <v>0</v>
      </c>
      <c r="N1820" s="435">
        <v>642</v>
      </c>
      <c r="O1820" s="435">
        <v>16</v>
      </c>
      <c r="P1820" s="435">
        <v>1410</v>
      </c>
      <c r="Q1820" s="436">
        <v>128</v>
      </c>
      <c r="R1820" s="336">
        <f t="shared" si="232"/>
        <v>3660</v>
      </c>
      <c r="S1820" s="366">
        <f t="shared" si="233"/>
        <v>144</v>
      </c>
      <c r="T1820" s="437"/>
      <c r="U1820" s="437"/>
      <c r="V1820" s="437"/>
      <c r="W1820" s="437"/>
      <c r="X1820" s="437"/>
    </row>
    <row r="1821" spans="1:24" ht="12.75">
      <c r="A1821" s="433" t="s">
        <v>606</v>
      </c>
      <c r="B1821" s="434" t="s">
        <v>179</v>
      </c>
      <c r="C1821" s="434" t="s">
        <v>855</v>
      </c>
      <c r="D1821" s="434">
        <v>2017</v>
      </c>
      <c r="E1821" s="434" t="s">
        <v>775</v>
      </c>
      <c r="F1821" s="435">
        <v>85</v>
      </c>
      <c r="G1821" s="435">
        <v>0</v>
      </c>
      <c r="H1821" s="436">
        <v>0</v>
      </c>
      <c r="I1821" s="435">
        <v>0</v>
      </c>
      <c r="J1821" s="435">
        <v>65</v>
      </c>
      <c r="K1821" s="435">
        <v>2</v>
      </c>
      <c r="L1821" s="435">
        <v>2</v>
      </c>
      <c r="M1821" s="435">
        <v>0</v>
      </c>
      <c r="N1821" s="435">
        <v>59</v>
      </c>
      <c r="O1821" s="435">
        <v>3</v>
      </c>
      <c r="P1821" s="435">
        <v>131</v>
      </c>
      <c r="Q1821" s="436">
        <v>12</v>
      </c>
      <c r="R1821" s="336">
        <f t="shared" si="232"/>
        <v>340</v>
      </c>
      <c r="S1821" s="366">
        <f t="shared" si="233"/>
        <v>17</v>
      </c>
      <c r="T1821" s="437"/>
      <c r="U1821" s="437"/>
      <c r="V1821" s="437"/>
      <c r="W1821" s="437"/>
      <c r="X1821" s="437"/>
    </row>
    <row r="1822" spans="1:24" ht="12.75">
      <c r="A1822" s="461" t="s">
        <v>607</v>
      </c>
      <c r="B1822" s="462" t="s">
        <v>179</v>
      </c>
      <c r="C1822" s="462" t="s">
        <v>855</v>
      </c>
      <c r="D1822" s="462">
        <v>2017</v>
      </c>
      <c r="E1822" s="462" t="s">
        <v>775</v>
      </c>
      <c r="F1822" s="436">
        <v>343</v>
      </c>
      <c r="G1822" s="435">
        <v>0</v>
      </c>
      <c r="H1822" s="436">
        <v>0</v>
      </c>
      <c r="I1822" s="436">
        <v>0</v>
      </c>
      <c r="J1822" s="435">
        <v>260</v>
      </c>
      <c r="K1822" s="435">
        <v>0</v>
      </c>
      <c r="L1822" s="436">
        <v>0</v>
      </c>
      <c r="M1822" s="436">
        <v>0</v>
      </c>
      <c r="N1822" s="436">
        <v>241</v>
      </c>
      <c r="O1822" s="436">
        <v>0</v>
      </c>
      <c r="P1822" s="436">
        <v>530</v>
      </c>
      <c r="Q1822" s="436">
        <v>154</v>
      </c>
      <c r="R1822" s="336">
        <f t="shared" si="232"/>
        <v>1374</v>
      </c>
      <c r="S1822" s="366">
        <f t="shared" si="233"/>
        <v>154</v>
      </c>
      <c r="T1822" s="339">
        <f>SUM(G1804:G1822)</f>
        <v>448</v>
      </c>
      <c r="U1822" s="339">
        <f>SUM(K1804:K1822)</f>
        <v>540</v>
      </c>
      <c r="V1822" s="339">
        <f>SUM(O1804:O1822)</f>
        <v>256</v>
      </c>
      <c r="W1822" s="339">
        <f>SUM(Q1804:Q1822)</f>
        <v>8155</v>
      </c>
      <c r="X1822" s="339">
        <f>T1822+U1822+V1822+W1822</f>
        <v>9399</v>
      </c>
    </row>
    <row r="1823" spans="1:24" ht="12.75">
      <c r="A1823" s="438" t="s">
        <v>590</v>
      </c>
      <c r="B1823" s="439" t="s">
        <v>179</v>
      </c>
      <c r="C1823" s="439" t="s">
        <v>855</v>
      </c>
      <c r="D1823" s="439">
        <v>2018</v>
      </c>
      <c r="E1823" s="439" t="s">
        <v>775</v>
      </c>
      <c r="F1823" s="440">
        <v>912</v>
      </c>
      <c r="G1823" s="441">
        <v>0</v>
      </c>
      <c r="H1823" s="440">
        <v>0</v>
      </c>
      <c r="I1823" s="440">
        <v>0</v>
      </c>
      <c r="J1823" s="440">
        <v>693</v>
      </c>
      <c r="K1823" s="441">
        <v>5</v>
      </c>
      <c r="L1823" s="440">
        <v>4</v>
      </c>
      <c r="M1823" s="440">
        <v>1</v>
      </c>
      <c r="N1823" s="440">
        <v>1062</v>
      </c>
      <c r="O1823" s="440">
        <v>28</v>
      </c>
      <c r="P1823" s="440">
        <v>2332</v>
      </c>
      <c r="Q1823" s="440">
        <v>182</v>
      </c>
      <c r="R1823" s="344">
        <f t="shared" si="232"/>
        <v>4999</v>
      </c>
      <c r="S1823" s="367">
        <f t="shared" si="233"/>
        <v>215</v>
      </c>
      <c r="T1823" s="442"/>
      <c r="U1823" s="442"/>
      <c r="V1823" s="442"/>
      <c r="W1823" s="442"/>
      <c r="X1823" s="442"/>
    </row>
    <row r="1824" spans="1:24" ht="12.75">
      <c r="A1824" s="438" t="s">
        <v>591</v>
      </c>
      <c r="B1824" s="439" t="s">
        <v>179</v>
      </c>
      <c r="C1824" s="439" t="s">
        <v>855</v>
      </c>
      <c r="D1824" s="439">
        <v>2018</v>
      </c>
      <c r="E1824" s="439" t="s">
        <v>775</v>
      </c>
      <c r="F1824" s="440">
        <v>3209</v>
      </c>
      <c r="G1824" s="441">
        <v>0</v>
      </c>
      <c r="H1824" s="440">
        <v>0</v>
      </c>
      <c r="I1824" s="440">
        <v>0</v>
      </c>
      <c r="J1824" s="440">
        <v>2439</v>
      </c>
      <c r="K1824" s="441">
        <v>0</v>
      </c>
      <c r="L1824" s="440">
        <v>0</v>
      </c>
      <c r="M1824" s="440">
        <v>0</v>
      </c>
      <c r="N1824" s="440">
        <v>2257</v>
      </c>
      <c r="O1824" s="440">
        <v>0</v>
      </c>
      <c r="P1824" s="440">
        <v>4956</v>
      </c>
      <c r="Q1824" s="440">
        <v>1777</v>
      </c>
      <c r="R1824" s="344">
        <f t="shared" si="232"/>
        <v>12861</v>
      </c>
      <c r="S1824" s="367">
        <f t="shared" si="233"/>
        <v>1777</v>
      </c>
      <c r="T1824" s="442"/>
      <c r="U1824" s="442"/>
      <c r="V1824" s="442"/>
      <c r="W1824" s="442"/>
      <c r="X1824" s="442"/>
    </row>
    <row r="1825" spans="1:24" ht="12.75">
      <c r="A1825" s="438" t="s">
        <v>592</v>
      </c>
      <c r="B1825" s="439" t="s">
        <v>179</v>
      </c>
      <c r="C1825" s="439" t="s">
        <v>855</v>
      </c>
      <c r="D1825" s="439">
        <v>2018</v>
      </c>
      <c r="E1825" s="439" t="s">
        <v>775</v>
      </c>
      <c r="F1825" s="440">
        <v>13</v>
      </c>
      <c r="G1825" s="441">
        <v>0</v>
      </c>
      <c r="H1825" s="440">
        <v>0</v>
      </c>
      <c r="I1825" s="440">
        <v>0</v>
      </c>
      <c r="J1825" s="440">
        <v>9</v>
      </c>
      <c r="K1825" s="441">
        <v>0</v>
      </c>
      <c r="L1825" s="440">
        <v>0</v>
      </c>
      <c r="M1825" s="440">
        <v>0</v>
      </c>
      <c r="N1825" s="440">
        <v>9</v>
      </c>
      <c r="O1825" s="440">
        <v>0</v>
      </c>
      <c r="P1825" s="440">
        <v>19</v>
      </c>
      <c r="Q1825" s="440">
        <v>15</v>
      </c>
      <c r="R1825" s="344">
        <f t="shared" si="232"/>
        <v>50</v>
      </c>
      <c r="S1825" s="367">
        <f t="shared" si="233"/>
        <v>15</v>
      </c>
      <c r="T1825" s="442"/>
      <c r="U1825" s="442"/>
      <c r="V1825" s="442"/>
      <c r="W1825" s="442"/>
      <c r="X1825" s="442"/>
    </row>
    <row r="1826" spans="1:24" ht="12.75">
      <c r="A1826" s="438" t="s">
        <v>593</v>
      </c>
      <c r="B1826" s="439" t="s">
        <v>179</v>
      </c>
      <c r="C1826" s="439" t="s">
        <v>855</v>
      </c>
      <c r="D1826" s="439">
        <v>2018</v>
      </c>
      <c r="E1826" s="439" t="s">
        <v>775</v>
      </c>
      <c r="F1826" s="440">
        <v>7</v>
      </c>
      <c r="G1826" s="441">
        <v>0</v>
      </c>
      <c r="H1826" s="440">
        <v>0</v>
      </c>
      <c r="I1826" s="440">
        <v>0</v>
      </c>
      <c r="J1826" s="440">
        <v>5</v>
      </c>
      <c r="K1826" s="441">
        <v>0</v>
      </c>
      <c r="L1826" s="440">
        <v>0</v>
      </c>
      <c r="M1826" s="440">
        <v>0</v>
      </c>
      <c r="N1826" s="440">
        <v>15</v>
      </c>
      <c r="O1826" s="440">
        <v>1</v>
      </c>
      <c r="P1826" s="440">
        <v>34</v>
      </c>
      <c r="Q1826" s="440">
        <v>0</v>
      </c>
      <c r="R1826" s="344">
        <f t="shared" si="232"/>
        <v>61</v>
      </c>
      <c r="S1826" s="367">
        <f t="shared" si="233"/>
        <v>1</v>
      </c>
      <c r="T1826" s="442"/>
      <c r="U1826" s="442"/>
      <c r="V1826" s="442"/>
      <c r="W1826" s="442"/>
      <c r="X1826" s="442"/>
    </row>
    <row r="1827" spans="1:24" ht="12.75">
      <c r="A1827" s="438" t="s">
        <v>594</v>
      </c>
      <c r="B1827" s="439" t="s">
        <v>179</v>
      </c>
      <c r="C1827" s="439" t="s">
        <v>855</v>
      </c>
      <c r="D1827" s="439">
        <v>2018</v>
      </c>
      <c r="E1827" s="439" t="s">
        <v>775</v>
      </c>
      <c r="F1827" s="440">
        <v>1448</v>
      </c>
      <c r="G1827" s="441">
        <v>0</v>
      </c>
      <c r="H1827" s="440">
        <v>0</v>
      </c>
      <c r="I1827" s="440">
        <v>0</v>
      </c>
      <c r="J1827" s="440">
        <v>1101</v>
      </c>
      <c r="K1827" s="441">
        <v>74</v>
      </c>
      <c r="L1827" s="440">
        <v>74</v>
      </c>
      <c r="M1827" s="440">
        <v>0</v>
      </c>
      <c r="N1827" s="440">
        <v>1019</v>
      </c>
      <c r="O1827" s="440">
        <v>0</v>
      </c>
      <c r="P1827" s="440">
        <v>2237</v>
      </c>
      <c r="Q1827" s="440">
        <v>94</v>
      </c>
      <c r="R1827" s="344">
        <f t="shared" si="232"/>
        <v>5805</v>
      </c>
      <c r="S1827" s="367">
        <f t="shared" si="233"/>
        <v>168</v>
      </c>
      <c r="T1827" s="442"/>
      <c r="U1827" s="442"/>
      <c r="V1827" s="442"/>
      <c r="W1827" s="442"/>
      <c r="X1827" s="442"/>
    </row>
    <row r="1828" spans="1:24" ht="12.75">
      <c r="A1828" s="438" t="s">
        <v>595</v>
      </c>
      <c r="B1828" s="439" t="s">
        <v>179</v>
      </c>
      <c r="C1828" s="439" t="s">
        <v>855</v>
      </c>
      <c r="D1828" s="439">
        <v>2018</v>
      </c>
      <c r="E1828" s="439" t="s">
        <v>775</v>
      </c>
      <c r="F1828" s="440">
        <v>587</v>
      </c>
      <c r="G1828" s="441">
        <v>8</v>
      </c>
      <c r="H1828" s="440">
        <v>2</v>
      </c>
      <c r="I1828" s="440">
        <v>6</v>
      </c>
      <c r="J1828" s="440">
        <v>446</v>
      </c>
      <c r="K1828" s="441">
        <v>2</v>
      </c>
      <c r="L1828" s="440">
        <v>0</v>
      </c>
      <c r="M1828" s="440">
        <v>2</v>
      </c>
      <c r="N1828" s="440">
        <v>413</v>
      </c>
      <c r="O1828" s="440">
        <v>7</v>
      </c>
      <c r="P1828" s="440">
        <v>907</v>
      </c>
      <c r="Q1828" s="440">
        <v>131</v>
      </c>
      <c r="R1828" s="344">
        <f t="shared" si="232"/>
        <v>2353</v>
      </c>
      <c r="S1828" s="367">
        <f t="shared" si="233"/>
        <v>148</v>
      </c>
      <c r="T1828" s="442"/>
      <c r="U1828" s="442"/>
      <c r="V1828" s="442"/>
      <c r="W1828" s="442"/>
      <c r="X1828" s="442"/>
    </row>
    <row r="1829" spans="1:24" ht="12.75">
      <c r="A1829" s="438" t="s">
        <v>596</v>
      </c>
      <c r="B1829" s="439" t="s">
        <v>179</v>
      </c>
      <c r="C1829" s="439" t="s">
        <v>855</v>
      </c>
      <c r="D1829" s="439">
        <v>2018</v>
      </c>
      <c r="E1829" s="439" t="s">
        <v>775</v>
      </c>
      <c r="F1829" s="440">
        <v>1042</v>
      </c>
      <c r="G1829" s="441">
        <v>1</v>
      </c>
      <c r="H1829" s="440">
        <v>0</v>
      </c>
      <c r="I1829" s="440">
        <v>1</v>
      </c>
      <c r="J1829" s="440">
        <v>791</v>
      </c>
      <c r="K1829" s="441">
        <v>1</v>
      </c>
      <c r="L1829" s="440">
        <v>0</v>
      </c>
      <c r="M1829" s="440">
        <v>1</v>
      </c>
      <c r="N1829" s="440">
        <v>733</v>
      </c>
      <c r="O1829" s="440">
        <v>18</v>
      </c>
      <c r="P1829" s="440">
        <v>1609</v>
      </c>
      <c r="Q1829" s="440">
        <v>220</v>
      </c>
      <c r="R1829" s="344">
        <f t="shared" si="232"/>
        <v>4175</v>
      </c>
      <c r="S1829" s="367">
        <f t="shared" si="233"/>
        <v>240</v>
      </c>
      <c r="T1829" s="442"/>
      <c r="U1829" s="442"/>
      <c r="V1829" s="442"/>
      <c r="W1829" s="442"/>
      <c r="X1829" s="442"/>
    </row>
    <row r="1830" spans="1:24" ht="12.75">
      <c r="A1830" s="438" t="s">
        <v>597</v>
      </c>
      <c r="B1830" s="439" t="s">
        <v>179</v>
      </c>
      <c r="C1830" s="439" t="s">
        <v>855</v>
      </c>
      <c r="D1830" s="439">
        <v>2018</v>
      </c>
      <c r="E1830" s="439" t="s">
        <v>775</v>
      </c>
      <c r="F1830" s="440">
        <v>63</v>
      </c>
      <c r="G1830" s="441">
        <v>0</v>
      </c>
      <c r="H1830" s="440">
        <v>0</v>
      </c>
      <c r="I1830" s="440">
        <v>0</v>
      </c>
      <c r="J1830" s="440">
        <v>48</v>
      </c>
      <c r="K1830" s="441">
        <v>0</v>
      </c>
      <c r="L1830" s="440">
        <v>0</v>
      </c>
      <c r="M1830" s="440">
        <v>0</v>
      </c>
      <c r="N1830" s="440">
        <v>45</v>
      </c>
      <c r="O1830" s="440">
        <v>0</v>
      </c>
      <c r="P1830" s="440">
        <v>98</v>
      </c>
      <c r="Q1830" s="440">
        <v>64</v>
      </c>
      <c r="R1830" s="344">
        <f t="shared" si="232"/>
        <v>254</v>
      </c>
      <c r="S1830" s="367">
        <f t="shared" si="233"/>
        <v>64</v>
      </c>
      <c r="T1830" s="442"/>
      <c r="U1830" s="442"/>
      <c r="V1830" s="442"/>
      <c r="W1830" s="442"/>
      <c r="X1830" s="442"/>
    </row>
    <row r="1831" spans="1:24" ht="12.75">
      <c r="A1831" s="438" t="s">
        <v>598</v>
      </c>
      <c r="B1831" s="439" t="s">
        <v>179</v>
      </c>
      <c r="C1831" s="439" t="s">
        <v>855</v>
      </c>
      <c r="D1831" s="439">
        <v>2018</v>
      </c>
      <c r="E1831" s="439" t="s">
        <v>775</v>
      </c>
      <c r="F1831" s="440">
        <v>430</v>
      </c>
      <c r="G1831" s="441">
        <v>0</v>
      </c>
      <c r="H1831" s="440">
        <v>0</v>
      </c>
      <c r="I1831" s="440">
        <v>0</v>
      </c>
      <c r="J1831" s="440">
        <v>326</v>
      </c>
      <c r="K1831" s="441">
        <v>0</v>
      </c>
      <c r="L1831" s="440">
        <v>0</v>
      </c>
      <c r="M1831" s="440">
        <v>0</v>
      </c>
      <c r="N1831" s="440">
        <v>302</v>
      </c>
      <c r="O1831" s="440">
        <v>0</v>
      </c>
      <c r="P1831" s="440">
        <v>664</v>
      </c>
      <c r="Q1831" s="440">
        <v>122</v>
      </c>
      <c r="R1831" s="344">
        <f t="shared" si="232"/>
        <v>1722</v>
      </c>
      <c r="S1831" s="367">
        <f t="shared" si="233"/>
        <v>122</v>
      </c>
      <c r="T1831" s="442"/>
      <c r="U1831" s="442"/>
      <c r="V1831" s="442"/>
      <c r="W1831" s="442"/>
      <c r="X1831" s="442"/>
    </row>
    <row r="1832" spans="1:24" ht="12.75">
      <c r="A1832" s="438" t="s">
        <v>599</v>
      </c>
      <c r="B1832" s="439" t="s">
        <v>179</v>
      </c>
      <c r="C1832" s="439" t="s">
        <v>855</v>
      </c>
      <c r="D1832" s="439">
        <v>2018</v>
      </c>
      <c r="E1832" s="439" t="s">
        <v>775</v>
      </c>
      <c r="F1832" s="440">
        <v>77</v>
      </c>
      <c r="G1832" s="441">
        <v>0</v>
      </c>
      <c r="H1832" s="440">
        <v>0</v>
      </c>
      <c r="I1832" s="440">
        <v>0</v>
      </c>
      <c r="J1832" s="440">
        <v>59</v>
      </c>
      <c r="K1832" s="441">
        <v>1</v>
      </c>
      <c r="L1832" s="440">
        <v>0</v>
      </c>
      <c r="M1832" s="440">
        <v>1</v>
      </c>
      <c r="N1832" s="440">
        <v>54</v>
      </c>
      <c r="O1832" s="440">
        <v>24</v>
      </c>
      <c r="P1832" s="440">
        <v>119</v>
      </c>
      <c r="Q1832" s="440">
        <v>3</v>
      </c>
      <c r="R1832" s="344">
        <f t="shared" si="232"/>
        <v>309</v>
      </c>
      <c r="S1832" s="367">
        <f t="shared" si="233"/>
        <v>28</v>
      </c>
      <c r="T1832" s="442"/>
      <c r="U1832" s="442"/>
      <c r="V1832" s="442"/>
      <c r="W1832" s="442"/>
      <c r="X1832" s="442"/>
    </row>
    <row r="1833" spans="1:24" ht="12.75">
      <c r="A1833" s="438" t="s">
        <v>600</v>
      </c>
      <c r="B1833" s="439" t="s">
        <v>179</v>
      </c>
      <c r="C1833" s="439" t="s">
        <v>855</v>
      </c>
      <c r="D1833" s="439">
        <v>2018</v>
      </c>
      <c r="E1833" s="439" t="s">
        <v>775</v>
      </c>
      <c r="F1833" s="440">
        <v>465</v>
      </c>
      <c r="G1833" s="441">
        <v>0</v>
      </c>
      <c r="H1833" s="440">
        <v>0</v>
      </c>
      <c r="I1833" s="440">
        <v>0</v>
      </c>
      <c r="J1833" s="440">
        <v>353</v>
      </c>
      <c r="K1833" s="441">
        <v>0</v>
      </c>
      <c r="L1833" s="440">
        <v>0</v>
      </c>
      <c r="M1833" s="440">
        <v>0</v>
      </c>
      <c r="N1833" s="440">
        <v>327</v>
      </c>
      <c r="O1833" s="440">
        <v>0</v>
      </c>
      <c r="P1833" s="440">
        <v>718</v>
      </c>
      <c r="Q1833" s="440">
        <v>60</v>
      </c>
      <c r="R1833" s="344">
        <f t="shared" si="232"/>
        <v>1863</v>
      </c>
      <c r="S1833" s="367">
        <f t="shared" si="233"/>
        <v>60</v>
      </c>
      <c r="T1833" s="442"/>
      <c r="U1833" s="442"/>
      <c r="V1833" s="442"/>
      <c r="W1833" s="442"/>
      <c r="X1833" s="442"/>
    </row>
    <row r="1834" spans="1:24" ht="12.75">
      <c r="A1834" s="438" t="s">
        <v>601</v>
      </c>
      <c r="B1834" s="439" t="s">
        <v>179</v>
      </c>
      <c r="C1834" s="439" t="s">
        <v>855</v>
      </c>
      <c r="D1834" s="439">
        <v>2018</v>
      </c>
      <c r="E1834" s="439" t="s">
        <v>775</v>
      </c>
      <c r="F1834" s="440">
        <v>1549</v>
      </c>
      <c r="G1834" s="441">
        <v>0</v>
      </c>
      <c r="H1834" s="440">
        <v>0</v>
      </c>
      <c r="I1834" s="440">
        <v>0</v>
      </c>
      <c r="J1834" s="440">
        <v>1178</v>
      </c>
      <c r="K1834" s="441">
        <v>0</v>
      </c>
      <c r="L1834" s="440">
        <v>0</v>
      </c>
      <c r="M1834" s="440">
        <v>0</v>
      </c>
      <c r="N1834" s="440">
        <v>1090</v>
      </c>
      <c r="O1834" s="440">
        <v>27</v>
      </c>
      <c r="P1834" s="440">
        <v>2393</v>
      </c>
      <c r="Q1834" s="440">
        <v>267</v>
      </c>
      <c r="R1834" s="344">
        <f t="shared" si="232"/>
        <v>6210</v>
      </c>
      <c r="S1834" s="367">
        <f t="shared" si="233"/>
        <v>294</v>
      </c>
      <c r="T1834" s="442"/>
      <c r="U1834" s="442"/>
      <c r="V1834" s="442"/>
      <c r="W1834" s="442"/>
      <c r="X1834" s="442"/>
    </row>
    <row r="1835" spans="1:24" ht="12.75">
      <c r="A1835" s="438" t="s">
        <v>602</v>
      </c>
      <c r="B1835" s="439" t="s">
        <v>179</v>
      </c>
      <c r="C1835" s="439" t="s">
        <v>855</v>
      </c>
      <c r="D1835" s="439">
        <v>2018</v>
      </c>
      <c r="E1835" s="439" t="s">
        <v>775</v>
      </c>
      <c r="F1835" s="440">
        <v>201</v>
      </c>
      <c r="G1835" s="441">
        <v>0</v>
      </c>
      <c r="H1835" s="440">
        <v>0</v>
      </c>
      <c r="I1835" s="440">
        <v>0</v>
      </c>
      <c r="J1835" s="440">
        <v>152</v>
      </c>
      <c r="K1835" s="441">
        <v>0</v>
      </c>
      <c r="L1835" s="440">
        <v>0</v>
      </c>
      <c r="M1835" s="440">
        <v>0</v>
      </c>
      <c r="N1835" s="440">
        <v>282</v>
      </c>
      <c r="O1835" s="440">
        <v>0</v>
      </c>
      <c r="P1835" s="440">
        <v>618</v>
      </c>
      <c r="Q1835" s="440">
        <v>15</v>
      </c>
      <c r="R1835" s="344">
        <f t="shared" si="232"/>
        <v>1253</v>
      </c>
      <c r="S1835" s="367">
        <f t="shared" si="233"/>
        <v>15</v>
      </c>
      <c r="T1835" s="442"/>
      <c r="U1835" s="442"/>
      <c r="V1835" s="442"/>
      <c r="W1835" s="442"/>
      <c r="X1835" s="442"/>
    </row>
    <row r="1836" spans="1:24" ht="12.75">
      <c r="A1836" s="438" t="s">
        <v>179</v>
      </c>
      <c r="B1836" s="439" t="s">
        <v>179</v>
      </c>
      <c r="C1836" s="439" t="s">
        <v>855</v>
      </c>
      <c r="D1836" s="439">
        <v>2018</v>
      </c>
      <c r="E1836" s="439" t="s">
        <v>775</v>
      </c>
      <c r="F1836" s="440">
        <v>21977</v>
      </c>
      <c r="G1836" s="441">
        <v>249</v>
      </c>
      <c r="H1836" s="440">
        <v>249</v>
      </c>
      <c r="I1836" s="440">
        <v>0</v>
      </c>
      <c r="J1836" s="440">
        <v>16703</v>
      </c>
      <c r="K1836" s="441">
        <v>203</v>
      </c>
      <c r="L1836" s="440">
        <v>203</v>
      </c>
      <c r="M1836" s="440">
        <v>0</v>
      </c>
      <c r="N1836" s="440">
        <v>15462</v>
      </c>
      <c r="O1836" s="440">
        <v>6</v>
      </c>
      <c r="P1836" s="440">
        <v>33954</v>
      </c>
      <c r="Q1836" s="440">
        <v>3437</v>
      </c>
      <c r="R1836" s="344">
        <f t="shared" si="232"/>
        <v>88096</v>
      </c>
      <c r="S1836" s="367">
        <f t="shared" si="233"/>
        <v>3895</v>
      </c>
      <c r="T1836" s="442"/>
      <c r="U1836" s="442"/>
      <c r="V1836" s="442"/>
      <c r="W1836" s="442"/>
      <c r="X1836" s="442"/>
    </row>
    <row r="1837" spans="1:24" ht="12.75">
      <c r="A1837" s="438" t="s">
        <v>603</v>
      </c>
      <c r="B1837" s="439" t="s">
        <v>179</v>
      </c>
      <c r="C1837" s="439" t="s">
        <v>855</v>
      </c>
      <c r="D1837" s="439">
        <v>2018</v>
      </c>
      <c r="E1837" s="439" t="s">
        <v>775</v>
      </c>
      <c r="F1837" s="440">
        <v>2085</v>
      </c>
      <c r="G1837" s="441">
        <v>10</v>
      </c>
      <c r="H1837" s="440">
        <v>0</v>
      </c>
      <c r="I1837" s="440">
        <v>10</v>
      </c>
      <c r="J1837" s="440">
        <v>1585</v>
      </c>
      <c r="K1837" s="441">
        <v>142</v>
      </c>
      <c r="L1837" s="440">
        <v>0</v>
      </c>
      <c r="M1837" s="440">
        <v>142</v>
      </c>
      <c r="N1837" s="440">
        <v>5864</v>
      </c>
      <c r="O1837" s="440">
        <v>177</v>
      </c>
      <c r="P1837" s="440">
        <v>12878</v>
      </c>
      <c r="Q1837" s="440">
        <v>399</v>
      </c>
      <c r="R1837" s="344">
        <f t="shared" si="232"/>
        <v>22412</v>
      </c>
      <c r="S1837" s="367">
        <f t="shared" si="233"/>
        <v>728</v>
      </c>
      <c r="T1837" s="442"/>
      <c r="U1837" s="442"/>
      <c r="V1837" s="442"/>
      <c r="W1837" s="442"/>
      <c r="X1837" s="442"/>
    </row>
    <row r="1838" spans="1:24" ht="12.75">
      <c r="A1838" s="438" t="s">
        <v>604</v>
      </c>
      <c r="B1838" s="439" t="s">
        <v>179</v>
      </c>
      <c r="C1838" s="439" t="s">
        <v>855</v>
      </c>
      <c r="D1838" s="439">
        <v>2018</v>
      </c>
      <c r="E1838" s="439" t="s">
        <v>775</v>
      </c>
      <c r="F1838" s="440">
        <v>1043</v>
      </c>
      <c r="G1838" s="441">
        <v>2</v>
      </c>
      <c r="H1838" s="440">
        <v>2</v>
      </c>
      <c r="I1838" s="440">
        <v>0</v>
      </c>
      <c r="J1838" s="440">
        <v>793</v>
      </c>
      <c r="K1838" s="441">
        <v>0</v>
      </c>
      <c r="L1838" s="440">
        <v>0</v>
      </c>
      <c r="M1838" s="440">
        <v>0</v>
      </c>
      <c r="N1838" s="440">
        <v>734</v>
      </c>
      <c r="O1838" s="440">
        <v>0</v>
      </c>
      <c r="P1838" s="440">
        <v>1613</v>
      </c>
      <c r="Q1838" s="440">
        <v>253</v>
      </c>
      <c r="R1838" s="344">
        <f t="shared" si="232"/>
        <v>4183</v>
      </c>
      <c r="S1838" s="367">
        <f t="shared" si="233"/>
        <v>255</v>
      </c>
      <c r="T1838" s="442"/>
      <c r="U1838" s="442"/>
      <c r="V1838" s="442"/>
      <c r="W1838" s="442"/>
      <c r="X1838" s="442"/>
    </row>
    <row r="1839" spans="1:24" ht="12.75">
      <c r="A1839" s="438" t="s">
        <v>605</v>
      </c>
      <c r="B1839" s="439" t="s">
        <v>179</v>
      </c>
      <c r="C1839" s="439" t="s">
        <v>855</v>
      </c>
      <c r="D1839" s="439">
        <v>2018</v>
      </c>
      <c r="E1839" s="439" t="s">
        <v>775</v>
      </c>
      <c r="F1839" s="440">
        <v>914</v>
      </c>
      <c r="G1839" s="441">
        <v>0</v>
      </c>
      <c r="H1839" s="440">
        <v>0</v>
      </c>
      <c r="I1839" s="440">
        <v>0</v>
      </c>
      <c r="J1839" s="440">
        <v>694</v>
      </c>
      <c r="K1839" s="441">
        <v>0</v>
      </c>
      <c r="L1839" s="440">
        <v>0</v>
      </c>
      <c r="M1839" s="440">
        <v>0</v>
      </c>
      <c r="N1839" s="440">
        <v>642</v>
      </c>
      <c r="O1839" s="440">
        <v>0</v>
      </c>
      <c r="P1839" s="440">
        <v>1410</v>
      </c>
      <c r="Q1839" s="440">
        <v>157</v>
      </c>
      <c r="R1839" s="344">
        <f t="shared" si="232"/>
        <v>3660</v>
      </c>
      <c r="S1839" s="367">
        <f t="shared" si="233"/>
        <v>157</v>
      </c>
      <c r="T1839" s="442"/>
      <c r="U1839" s="442"/>
      <c r="V1839" s="442"/>
      <c r="W1839" s="442"/>
      <c r="X1839" s="442"/>
    </row>
    <row r="1840" spans="1:24" ht="12.75">
      <c r="A1840" s="438" t="s">
        <v>606</v>
      </c>
      <c r="B1840" s="439" t="s">
        <v>179</v>
      </c>
      <c r="C1840" s="439" t="s">
        <v>855</v>
      </c>
      <c r="D1840" s="439">
        <v>2018</v>
      </c>
      <c r="E1840" s="439" t="s">
        <v>775</v>
      </c>
      <c r="F1840" s="440">
        <v>85</v>
      </c>
      <c r="G1840" s="441">
        <v>0</v>
      </c>
      <c r="H1840" s="440">
        <v>0</v>
      </c>
      <c r="I1840" s="440">
        <v>0</v>
      </c>
      <c r="J1840" s="440">
        <v>65</v>
      </c>
      <c r="K1840" s="441">
        <v>1</v>
      </c>
      <c r="L1840" s="440">
        <v>1</v>
      </c>
      <c r="M1840" s="440">
        <v>0</v>
      </c>
      <c r="N1840" s="440">
        <v>59</v>
      </c>
      <c r="O1840" s="440">
        <v>5</v>
      </c>
      <c r="P1840" s="440">
        <v>131</v>
      </c>
      <c r="Q1840" s="440">
        <v>11</v>
      </c>
      <c r="R1840" s="344">
        <f t="shared" si="232"/>
        <v>340</v>
      </c>
      <c r="S1840" s="367">
        <f t="shared" si="233"/>
        <v>17</v>
      </c>
      <c r="T1840" s="442"/>
      <c r="U1840" s="442"/>
      <c r="V1840" s="442"/>
      <c r="W1840" s="442"/>
      <c r="X1840" s="442"/>
    </row>
    <row r="1841" spans="1:24" ht="12.75">
      <c r="A1841" s="438" t="s">
        <v>607</v>
      </c>
      <c r="B1841" s="439" t="s">
        <v>179</v>
      </c>
      <c r="C1841" s="439" t="s">
        <v>855</v>
      </c>
      <c r="D1841" s="439">
        <v>2018</v>
      </c>
      <c r="E1841" s="439" t="s">
        <v>775</v>
      </c>
      <c r="F1841" s="440">
        <v>343</v>
      </c>
      <c r="G1841" s="441">
        <v>0</v>
      </c>
      <c r="H1841" s="440">
        <v>0</v>
      </c>
      <c r="I1841" s="440">
        <v>0</v>
      </c>
      <c r="J1841" s="440">
        <v>260</v>
      </c>
      <c r="K1841" s="441">
        <v>0</v>
      </c>
      <c r="L1841" s="440">
        <v>0</v>
      </c>
      <c r="M1841" s="440">
        <v>0</v>
      </c>
      <c r="N1841" s="440">
        <v>241</v>
      </c>
      <c r="O1841" s="440">
        <v>0</v>
      </c>
      <c r="P1841" s="440">
        <v>530</v>
      </c>
      <c r="Q1841" s="440">
        <v>475</v>
      </c>
      <c r="R1841" s="344">
        <f t="shared" si="232"/>
        <v>1374</v>
      </c>
      <c r="S1841" s="367">
        <f t="shared" si="233"/>
        <v>475</v>
      </c>
      <c r="T1841" s="345">
        <f>SUM(G1823:G1841)</f>
        <v>270</v>
      </c>
      <c r="U1841" s="345">
        <f>SUM(K1823:K1841)</f>
        <v>429</v>
      </c>
      <c r="V1841" s="345">
        <f>SUM(O1823:O1841)</f>
        <v>293</v>
      </c>
      <c r="W1841" s="345">
        <f>SUM(Q1823:Q1841)</f>
        <v>7682</v>
      </c>
      <c r="X1841" s="345">
        <f>T1841+U1841+V1841+W1841</f>
        <v>8674</v>
      </c>
    </row>
    <row r="1842" spans="1:24" ht="12.75">
      <c r="A1842" s="346" t="s">
        <v>590</v>
      </c>
      <c r="B1842" s="347" t="s">
        <v>179</v>
      </c>
      <c r="C1842" s="347" t="s">
        <v>856</v>
      </c>
      <c r="D1842" s="347">
        <v>2019</v>
      </c>
      <c r="E1842" s="347" t="s">
        <v>775</v>
      </c>
      <c r="F1842" s="348">
        <v>912</v>
      </c>
      <c r="G1842" s="348">
        <v>2</v>
      </c>
      <c r="H1842" s="348">
        <v>0</v>
      </c>
      <c r="I1842" s="348">
        <v>2</v>
      </c>
      <c r="J1842" s="348">
        <v>693</v>
      </c>
      <c r="K1842" s="348">
        <v>49</v>
      </c>
      <c r="L1842" s="348">
        <v>47</v>
      </c>
      <c r="M1842" s="348">
        <v>2</v>
      </c>
      <c r="N1842" s="348">
        <v>1062</v>
      </c>
      <c r="O1842" s="348">
        <v>59</v>
      </c>
      <c r="P1842" s="348">
        <v>2332</v>
      </c>
      <c r="Q1842" s="348">
        <v>212</v>
      </c>
      <c r="R1842" s="350">
        <f t="shared" si="232"/>
        <v>4999</v>
      </c>
      <c r="S1842" s="348">
        <f t="shared" si="233"/>
        <v>322</v>
      </c>
      <c r="T1842" s="348"/>
      <c r="U1842" s="348"/>
      <c r="V1842" s="348"/>
      <c r="W1842" s="349"/>
      <c r="X1842" s="349"/>
    </row>
    <row r="1843" spans="1:24" ht="12.75">
      <c r="A1843" s="346" t="s">
        <v>591</v>
      </c>
      <c r="B1843" s="347" t="s">
        <v>179</v>
      </c>
      <c r="C1843" s="347" t="s">
        <v>856</v>
      </c>
      <c r="D1843" s="347">
        <v>2019</v>
      </c>
      <c r="E1843" s="347" t="s">
        <v>775</v>
      </c>
      <c r="F1843" s="348">
        <v>3209</v>
      </c>
      <c r="G1843" s="348">
        <v>0</v>
      </c>
      <c r="H1843" s="348">
        <v>0</v>
      </c>
      <c r="I1843" s="348">
        <v>0</v>
      </c>
      <c r="J1843" s="348">
        <v>2439</v>
      </c>
      <c r="K1843" s="348">
        <v>0</v>
      </c>
      <c r="L1843" s="348">
        <v>0</v>
      </c>
      <c r="M1843" s="348">
        <v>0</v>
      </c>
      <c r="N1843" s="348">
        <v>2257</v>
      </c>
      <c r="O1843" s="348">
        <v>0</v>
      </c>
      <c r="P1843" s="348">
        <v>4956</v>
      </c>
      <c r="Q1843" s="348">
        <v>840</v>
      </c>
      <c r="R1843" s="350">
        <f t="shared" si="232"/>
        <v>12861</v>
      </c>
      <c r="S1843" s="348">
        <f t="shared" si="233"/>
        <v>840</v>
      </c>
      <c r="T1843" s="348"/>
      <c r="U1843" s="348"/>
      <c r="V1843" s="348"/>
      <c r="W1843" s="349"/>
      <c r="X1843" s="349"/>
    </row>
    <row r="1844" spans="1:24" ht="12.75">
      <c r="A1844" s="346" t="s">
        <v>592</v>
      </c>
      <c r="B1844" s="347" t="s">
        <v>179</v>
      </c>
      <c r="C1844" s="347" t="s">
        <v>856</v>
      </c>
      <c r="D1844" s="347">
        <v>2019</v>
      </c>
      <c r="E1844" s="347" t="s">
        <v>775</v>
      </c>
      <c r="F1844" s="348">
        <v>13</v>
      </c>
      <c r="G1844" s="348">
        <v>0</v>
      </c>
      <c r="H1844" s="348">
        <v>0</v>
      </c>
      <c r="I1844" s="348">
        <v>0</v>
      </c>
      <c r="J1844" s="348">
        <v>9</v>
      </c>
      <c r="K1844" s="348">
        <v>0</v>
      </c>
      <c r="L1844" s="348">
        <v>0</v>
      </c>
      <c r="M1844" s="348">
        <v>0</v>
      </c>
      <c r="N1844" s="348">
        <v>9</v>
      </c>
      <c r="O1844" s="348">
        <v>0</v>
      </c>
      <c r="P1844" s="348">
        <v>19</v>
      </c>
      <c r="Q1844" s="348">
        <v>28</v>
      </c>
      <c r="R1844" s="350">
        <f t="shared" si="232"/>
        <v>50</v>
      </c>
      <c r="S1844" s="348">
        <f t="shared" si="233"/>
        <v>28</v>
      </c>
      <c r="T1844" s="348"/>
      <c r="U1844" s="348"/>
      <c r="V1844" s="348"/>
      <c r="W1844" s="349"/>
      <c r="X1844" s="349"/>
    </row>
    <row r="1845" spans="1:24" ht="12.75">
      <c r="A1845" s="346" t="s">
        <v>593</v>
      </c>
      <c r="B1845" s="347" t="s">
        <v>179</v>
      </c>
      <c r="C1845" s="347" t="s">
        <v>856</v>
      </c>
      <c r="D1845" s="347">
        <v>2019</v>
      </c>
      <c r="E1845" s="347" t="s">
        <v>775</v>
      </c>
      <c r="F1845" s="348">
        <v>7</v>
      </c>
      <c r="G1845" s="348">
        <v>0</v>
      </c>
      <c r="H1845" s="348">
        <v>0</v>
      </c>
      <c r="I1845" s="348">
        <v>0</v>
      </c>
      <c r="J1845" s="348">
        <v>5</v>
      </c>
      <c r="K1845" s="348">
        <v>1</v>
      </c>
      <c r="L1845" s="348">
        <v>1</v>
      </c>
      <c r="M1845" s="348">
        <v>0</v>
      </c>
      <c r="N1845" s="348">
        <v>15</v>
      </c>
      <c r="O1845" s="348">
        <v>3</v>
      </c>
      <c r="P1845" s="348">
        <v>34</v>
      </c>
      <c r="Q1845" s="348">
        <v>1</v>
      </c>
      <c r="R1845" s="350">
        <f t="shared" si="232"/>
        <v>61</v>
      </c>
      <c r="S1845" s="348">
        <f t="shared" si="233"/>
        <v>5</v>
      </c>
      <c r="T1845" s="348"/>
      <c r="U1845" s="348"/>
      <c r="V1845" s="348"/>
      <c r="W1845" s="349"/>
      <c r="X1845" s="349"/>
    </row>
    <row r="1846" spans="1:24" ht="12.75">
      <c r="A1846" s="346" t="s">
        <v>594</v>
      </c>
      <c r="B1846" s="347" t="s">
        <v>179</v>
      </c>
      <c r="C1846" s="347" t="s">
        <v>856</v>
      </c>
      <c r="D1846" s="347">
        <v>2019</v>
      </c>
      <c r="E1846" s="347" t="s">
        <v>775</v>
      </c>
      <c r="F1846" s="348">
        <v>1448</v>
      </c>
      <c r="G1846" s="348">
        <v>0</v>
      </c>
      <c r="H1846" s="348">
        <v>0</v>
      </c>
      <c r="I1846" s="348">
        <v>0</v>
      </c>
      <c r="J1846" s="348">
        <v>1101</v>
      </c>
      <c r="K1846" s="348">
        <v>85</v>
      </c>
      <c r="L1846" s="348">
        <v>1</v>
      </c>
      <c r="M1846" s="348">
        <v>84</v>
      </c>
      <c r="N1846" s="348">
        <v>1019</v>
      </c>
      <c r="O1846" s="348">
        <v>0</v>
      </c>
      <c r="P1846" s="348">
        <v>2237</v>
      </c>
      <c r="Q1846" s="348">
        <v>147</v>
      </c>
      <c r="R1846" s="350">
        <f t="shared" si="232"/>
        <v>5805</v>
      </c>
      <c r="S1846" s="348">
        <f t="shared" si="233"/>
        <v>232</v>
      </c>
      <c r="T1846" s="348"/>
      <c r="U1846" s="348"/>
      <c r="V1846" s="348"/>
      <c r="W1846" s="349"/>
      <c r="X1846" s="349"/>
    </row>
    <row r="1847" spans="1:24" ht="12.75">
      <c r="A1847" s="346" t="s">
        <v>595</v>
      </c>
      <c r="B1847" s="347" t="s">
        <v>179</v>
      </c>
      <c r="C1847" s="347" t="s">
        <v>856</v>
      </c>
      <c r="D1847" s="347">
        <v>2019</v>
      </c>
      <c r="E1847" s="347" t="s">
        <v>775</v>
      </c>
      <c r="F1847" s="348">
        <v>587</v>
      </c>
      <c r="G1847" s="348">
        <v>15</v>
      </c>
      <c r="H1847" s="348">
        <v>4</v>
      </c>
      <c r="I1847" s="348">
        <v>11</v>
      </c>
      <c r="J1847" s="348">
        <v>446</v>
      </c>
      <c r="K1847" s="348">
        <v>8</v>
      </c>
      <c r="L1847" s="348">
        <v>0</v>
      </c>
      <c r="M1847" s="348">
        <v>8</v>
      </c>
      <c r="N1847" s="348">
        <v>413</v>
      </c>
      <c r="O1847" s="348">
        <v>32</v>
      </c>
      <c r="P1847" s="348">
        <v>907</v>
      </c>
      <c r="Q1847" s="348">
        <v>133</v>
      </c>
      <c r="R1847" s="350">
        <f t="shared" si="232"/>
        <v>2353</v>
      </c>
      <c r="S1847" s="348">
        <f t="shared" si="233"/>
        <v>188</v>
      </c>
      <c r="T1847" s="348"/>
      <c r="U1847" s="348"/>
      <c r="V1847" s="348"/>
      <c r="W1847" s="349"/>
      <c r="X1847" s="349"/>
    </row>
    <row r="1848" spans="1:24" ht="12.75">
      <c r="A1848" s="346" t="s">
        <v>596</v>
      </c>
      <c r="B1848" s="347" t="s">
        <v>179</v>
      </c>
      <c r="C1848" s="347" t="s">
        <v>856</v>
      </c>
      <c r="D1848" s="347">
        <v>2019</v>
      </c>
      <c r="E1848" s="347" t="s">
        <v>775</v>
      </c>
      <c r="F1848" s="348">
        <v>1042</v>
      </c>
      <c r="G1848" s="348">
        <v>5</v>
      </c>
      <c r="H1848" s="348">
        <v>0</v>
      </c>
      <c r="I1848" s="348">
        <v>5</v>
      </c>
      <c r="J1848" s="348">
        <v>791</v>
      </c>
      <c r="K1848" s="348">
        <v>2</v>
      </c>
      <c r="L1848" s="348">
        <v>0</v>
      </c>
      <c r="M1848" s="348">
        <v>2</v>
      </c>
      <c r="N1848" s="348">
        <v>733</v>
      </c>
      <c r="O1848" s="348">
        <v>20</v>
      </c>
      <c r="P1848" s="348">
        <v>1609</v>
      </c>
      <c r="Q1848" s="348">
        <v>10</v>
      </c>
      <c r="R1848" s="350">
        <f t="shared" si="232"/>
        <v>4175</v>
      </c>
      <c r="S1848" s="348">
        <f t="shared" si="233"/>
        <v>37</v>
      </c>
      <c r="T1848" s="348"/>
      <c r="U1848" s="348"/>
      <c r="V1848" s="348"/>
      <c r="W1848" s="349"/>
      <c r="X1848" s="349"/>
    </row>
    <row r="1849" spans="1:24" ht="12.75">
      <c r="A1849" s="346" t="s">
        <v>597</v>
      </c>
      <c r="B1849" s="347" t="s">
        <v>179</v>
      </c>
      <c r="C1849" s="347" t="s">
        <v>856</v>
      </c>
      <c r="D1849" s="347">
        <v>2019</v>
      </c>
      <c r="E1849" s="347" t="s">
        <v>775</v>
      </c>
      <c r="F1849" s="348">
        <v>63</v>
      </c>
      <c r="G1849" s="348">
        <v>0</v>
      </c>
      <c r="H1849" s="348">
        <v>0</v>
      </c>
      <c r="I1849" s="348">
        <v>0</v>
      </c>
      <c r="J1849" s="348">
        <v>48</v>
      </c>
      <c r="K1849" s="348">
        <v>0</v>
      </c>
      <c r="L1849" s="348">
        <v>0</v>
      </c>
      <c r="M1849" s="348">
        <v>0</v>
      </c>
      <c r="N1849" s="348">
        <v>45</v>
      </c>
      <c r="O1849" s="348">
        <v>0</v>
      </c>
      <c r="P1849" s="348">
        <v>98</v>
      </c>
      <c r="Q1849" s="348">
        <v>28</v>
      </c>
      <c r="R1849" s="350">
        <f t="shared" si="232"/>
        <v>254</v>
      </c>
      <c r="S1849" s="348">
        <f t="shared" si="233"/>
        <v>28</v>
      </c>
      <c r="T1849" s="348"/>
      <c r="U1849" s="348"/>
      <c r="V1849" s="348"/>
      <c r="W1849" s="349"/>
      <c r="X1849" s="349"/>
    </row>
    <row r="1850" spans="1:24" ht="12.75">
      <c r="A1850" s="346" t="s">
        <v>598</v>
      </c>
      <c r="B1850" s="347" t="s">
        <v>179</v>
      </c>
      <c r="C1850" s="347" t="s">
        <v>856</v>
      </c>
      <c r="D1850" s="347">
        <v>2019</v>
      </c>
      <c r="E1850" s="347" t="s">
        <v>775</v>
      </c>
      <c r="F1850" s="348">
        <v>430</v>
      </c>
      <c r="G1850" s="348">
        <v>0</v>
      </c>
      <c r="H1850" s="348">
        <v>0</v>
      </c>
      <c r="I1850" s="348">
        <v>0</v>
      </c>
      <c r="J1850" s="348">
        <v>326</v>
      </c>
      <c r="K1850" s="348">
        <v>13</v>
      </c>
      <c r="L1850" s="348">
        <v>13</v>
      </c>
      <c r="M1850" s="348">
        <v>0</v>
      </c>
      <c r="N1850" s="348">
        <v>302</v>
      </c>
      <c r="O1850" s="348">
        <v>0</v>
      </c>
      <c r="P1850" s="348">
        <v>664</v>
      </c>
      <c r="Q1850" s="348">
        <v>168</v>
      </c>
      <c r="R1850" s="350">
        <f t="shared" si="232"/>
        <v>1722</v>
      </c>
      <c r="S1850" s="348">
        <f t="shared" si="233"/>
        <v>181</v>
      </c>
      <c r="T1850" s="348"/>
      <c r="U1850" s="348"/>
      <c r="V1850" s="348"/>
      <c r="W1850" s="349"/>
      <c r="X1850" s="349"/>
    </row>
    <row r="1851" spans="1:24" ht="12.75">
      <c r="A1851" s="346" t="s">
        <v>599</v>
      </c>
      <c r="B1851" s="347" t="s">
        <v>179</v>
      </c>
      <c r="C1851" s="347" t="s">
        <v>856</v>
      </c>
      <c r="D1851" s="347">
        <v>2019</v>
      </c>
      <c r="E1851" s="347" t="s">
        <v>775</v>
      </c>
      <c r="F1851" s="348">
        <v>77</v>
      </c>
      <c r="G1851" s="348">
        <v>0</v>
      </c>
      <c r="H1851" s="348">
        <v>0</v>
      </c>
      <c r="I1851" s="348">
        <v>0</v>
      </c>
      <c r="J1851" s="348">
        <v>59</v>
      </c>
      <c r="K1851" s="348">
        <v>4</v>
      </c>
      <c r="L1851" s="348">
        <v>0</v>
      </c>
      <c r="M1851" s="348">
        <v>4</v>
      </c>
      <c r="N1851" s="348">
        <v>54</v>
      </c>
      <c r="O1851" s="348">
        <v>3</v>
      </c>
      <c r="P1851" s="348">
        <v>119</v>
      </c>
      <c r="Q1851" s="348">
        <v>2</v>
      </c>
      <c r="R1851" s="350">
        <f t="shared" si="232"/>
        <v>309</v>
      </c>
      <c r="S1851" s="348">
        <f t="shared" si="233"/>
        <v>9</v>
      </c>
      <c r="T1851" s="348"/>
      <c r="U1851" s="348"/>
      <c r="V1851" s="348"/>
      <c r="W1851" s="349"/>
      <c r="X1851" s="349"/>
    </row>
    <row r="1852" spans="1:24" ht="12.75">
      <c r="A1852" s="346" t="s">
        <v>600</v>
      </c>
      <c r="B1852" s="347" t="s">
        <v>179</v>
      </c>
      <c r="C1852" s="347" t="s">
        <v>856</v>
      </c>
      <c r="D1852" s="347">
        <v>2019</v>
      </c>
      <c r="E1852" s="347" t="s">
        <v>775</v>
      </c>
      <c r="F1852" s="348">
        <v>465</v>
      </c>
      <c r="G1852" s="348">
        <v>0</v>
      </c>
      <c r="H1852" s="348">
        <v>0</v>
      </c>
      <c r="I1852" s="348">
        <v>0</v>
      </c>
      <c r="J1852" s="348">
        <v>353</v>
      </c>
      <c r="K1852" s="348">
        <v>0</v>
      </c>
      <c r="L1852" s="348">
        <v>0</v>
      </c>
      <c r="M1852" s="348">
        <v>0</v>
      </c>
      <c r="N1852" s="348">
        <v>327</v>
      </c>
      <c r="O1852" s="348">
        <v>0</v>
      </c>
      <c r="P1852" s="348">
        <v>718</v>
      </c>
      <c r="Q1852" s="348">
        <v>166</v>
      </c>
      <c r="R1852" s="350">
        <f t="shared" si="232"/>
        <v>1863</v>
      </c>
      <c r="S1852" s="348">
        <f t="shared" si="233"/>
        <v>166</v>
      </c>
      <c r="T1852" s="348"/>
      <c r="U1852" s="348"/>
      <c r="V1852" s="348"/>
      <c r="W1852" s="349"/>
      <c r="X1852" s="349"/>
    </row>
    <row r="1853" spans="1:24" ht="12.75">
      <c r="A1853" s="346" t="s">
        <v>601</v>
      </c>
      <c r="B1853" s="347" t="s">
        <v>179</v>
      </c>
      <c r="C1853" s="347" t="s">
        <v>856</v>
      </c>
      <c r="D1853" s="347">
        <v>2019</v>
      </c>
      <c r="E1853" s="347" t="s">
        <v>775</v>
      </c>
      <c r="F1853" s="348">
        <v>1549</v>
      </c>
      <c r="G1853" s="348">
        <v>0</v>
      </c>
      <c r="H1853" s="348">
        <v>0</v>
      </c>
      <c r="I1853" s="348">
        <v>0</v>
      </c>
      <c r="J1853" s="348">
        <v>1178</v>
      </c>
      <c r="K1853" s="348">
        <v>13</v>
      </c>
      <c r="L1853" s="348">
        <v>0</v>
      </c>
      <c r="M1853" s="348">
        <v>13</v>
      </c>
      <c r="N1853" s="348">
        <v>1090</v>
      </c>
      <c r="O1853" s="348">
        <v>20</v>
      </c>
      <c r="P1853" s="348">
        <v>2393</v>
      </c>
      <c r="Q1853" s="348">
        <v>247</v>
      </c>
      <c r="R1853" s="350">
        <f t="shared" si="232"/>
        <v>6210</v>
      </c>
      <c r="S1853" s="348">
        <f t="shared" si="233"/>
        <v>280</v>
      </c>
      <c r="T1853" s="348"/>
      <c r="U1853" s="348"/>
      <c r="V1853" s="348"/>
      <c r="W1853" s="349"/>
      <c r="X1853" s="349"/>
    </row>
    <row r="1854" spans="1:24" ht="12.75">
      <c r="A1854" s="346" t="s">
        <v>602</v>
      </c>
      <c r="B1854" s="347" t="s">
        <v>179</v>
      </c>
      <c r="C1854" s="347" t="s">
        <v>856</v>
      </c>
      <c r="D1854" s="347">
        <v>2019</v>
      </c>
      <c r="E1854" s="347" t="s">
        <v>775</v>
      </c>
      <c r="F1854" s="348">
        <v>201</v>
      </c>
      <c r="G1854" s="348">
        <v>33</v>
      </c>
      <c r="H1854" s="348">
        <v>33</v>
      </c>
      <c r="I1854" s="348">
        <v>0</v>
      </c>
      <c r="J1854" s="348">
        <v>152</v>
      </c>
      <c r="K1854" s="348">
        <v>20</v>
      </c>
      <c r="L1854" s="348">
        <v>20</v>
      </c>
      <c r="M1854" s="348">
        <v>0</v>
      </c>
      <c r="N1854" s="348">
        <v>282</v>
      </c>
      <c r="O1854" s="348">
        <v>0</v>
      </c>
      <c r="P1854" s="348">
        <v>618</v>
      </c>
      <c r="Q1854" s="348">
        <v>17</v>
      </c>
      <c r="R1854" s="350">
        <f t="shared" si="232"/>
        <v>1253</v>
      </c>
      <c r="S1854" s="348">
        <f t="shared" si="233"/>
        <v>70</v>
      </c>
      <c r="T1854" s="348"/>
      <c r="U1854" s="348"/>
      <c r="V1854" s="348"/>
      <c r="W1854" s="349"/>
      <c r="X1854" s="349"/>
    </row>
    <row r="1855" spans="1:24" ht="12.75">
      <c r="A1855" s="346" t="s">
        <v>179</v>
      </c>
      <c r="B1855" s="347" t="s">
        <v>179</v>
      </c>
      <c r="C1855" s="347" t="s">
        <v>856</v>
      </c>
      <c r="D1855" s="347">
        <v>2019</v>
      </c>
      <c r="E1855" s="347" t="s">
        <v>775</v>
      </c>
      <c r="F1855" s="348">
        <v>21977</v>
      </c>
      <c r="G1855" s="348">
        <v>602</v>
      </c>
      <c r="H1855" s="348">
        <v>602</v>
      </c>
      <c r="I1855" s="348">
        <v>0</v>
      </c>
      <c r="J1855" s="348">
        <v>16703</v>
      </c>
      <c r="K1855" s="348">
        <v>314</v>
      </c>
      <c r="L1855" s="348">
        <v>314</v>
      </c>
      <c r="M1855" s="348">
        <v>0</v>
      </c>
      <c r="N1855" s="348">
        <v>15462</v>
      </c>
      <c r="O1855" s="348">
        <v>24</v>
      </c>
      <c r="P1855" s="348">
        <v>33954</v>
      </c>
      <c r="Q1855" s="348">
        <v>4281</v>
      </c>
      <c r="R1855" s="350">
        <f t="shared" si="232"/>
        <v>88096</v>
      </c>
      <c r="S1855" s="348">
        <f t="shared" si="233"/>
        <v>5221</v>
      </c>
      <c r="T1855" s="348"/>
      <c r="U1855" s="348"/>
      <c r="V1855" s="348"/>
      <c r="W1855" s="349"/>
      <c r="X1855" s="349"/>
    </row>
    <row r="1856" spans="1:24" ht="12.75">
      <c r="A1856" s="346" t="s">
        <v>603</v>
      </c>
      <c r="B1856" s="347" t="s">
        <v>179</v>
      </c>
      <c r="C1856" s="347" t="s">
        <v>856</v>
      </c>
      <c r="D1856" s="347">
        <v>2019</v>
      </c>
      <c r="E1856" s="347" t="s">
        <v>775</v>
      </c>
      <c r="F1856" s="348">
        <v>2085</v>
      </c>
      <c r="G1856" s="348">
        <v>71</v>
      </c>
      <c r="H1856" s="348">
        <v>0</v>
      </c>
      <c r="I1856" s="348">
        <v>71</v>
      </c>
      <c r="J1856" s="348">
        <v>1585</v>
      </c>
      <c r="K1856" s="348">
        <v>214</v>
      </c>
      <c r="L1856" s="348">
        <v>0</v>
      </c>
      <c r="M1856" s="348">
        <v>214</v>
      </c>
      <c r="N1856" s="348">
        <v>5864</v>
      </c>
      <c r="O1856" s="348">
        <v>32</v>
      </c>
      <c r="P1856" s="348">
        <v>12878</v>
      </c>
      <c r="Q1856" s="348">
        <v>545</v>
      </c>
      <c r="R1856" s="350">
        <f t="shared" si="232"/>
        <v>22412</v>
      </c>
      <c r="S1856" s="348">
        <f t="shared" si="233"/>
        <v>862</v>
      </c>
      <c r="T1856" s="348"/>
      <c r="U1856" s="348"/>
      <c r="V1856" s="348"/>
      <c r="W1856" s="349"/>
      <c r="X1856" s="349"/>
    </row>
    <row r="1857" spans="1:24" ht="12.75">
      <c r="A1857" s="346" t="s">
        <v>604</v>
      </c>
      <c r="B1857" s="347" t="s">
        <v>179</v>
      </c>
      <c r="C1857" s="347" t="s">
        <v>856</v>
      </c>
      <c r="D1857" s="347">
        <v>2019</v>
      </c>
      <c r="E1857" s="347" t="s">
        <v>775</v>
      </c>
      <c r="F1857" s="348">
        <v>1043</v>
      </c>
      <c r="G1857" s="348">
        <v>0</v>
      </c>
      <c r="H1857" s="348">
        <v>0</v>
      </c>
      <c r="I1857" s="348">
        <v>0</v>
      </c>
      <c r="J1857" s="348">
        <v>793</v>
      </c>
      <c r="K1857" s="348">
        <v>0</v>
      </c>
      <c r="L1857" s="348">
        <v>0</v>
      </c>
      <c r="M1857" s="348">
        <v>0</v>
      </c>
      <c r="N1857" s="348">
        <v>734</v>
      </c>
      <c r="O1857" s="348">
        <v>0</v>
      </c>
      <c r="P1857" s="348">
        <v>1613</v>
      </c>
      <c r="Q1857" s="348">
        <v>215</v>
      </c>
      <c r="R1857" s="350">
        <f t="shared" si="232"/>
        <v>4183</v>
      </c>
      <c r="S1857" s="348">
        <f t="shared" si="233"/>
        <v>215</v>
      </c>
      <c r="T1857" s="348"/>
      <c r="U1857" s="348"/>
      <c r="V1857" s="348"/>
      <c r="W1857" s="349"/>
      <c r="X1857" s="349"/>
    </row>
    <row r="1858" spans="1:24" ht="12.75">
      <c r="A1858" s="346" t="s">
        <v>605</v>
      </c>
      <c r="B1858" s="347" t="s">
        <v>179</v>
      </c>
      <c r="C1858" s="347" t="s">
        <v>856</v>
      </c>
      <c r="D1858" s="347">
        <v>2019</v>
      </c>
      <c r="E1858" s="347" t="s">
        <v>775</v>
      </c>
      <c r="F1858" s="348">
        <v>914</v>
      </c>
      <c r="G1858" s="348">
        <v>0</v>
      </c>
      <c r="H1858" s="348">
        <v>0</v>
      </c>
      <c r="I1858" s="348">
        <v>0</v>
      </c>
      <c r="J1858" s="348">
        <v>694</v>
      </c>
      <c r="K1858" s="348">
        <v>0</v>
      </c>
      <c r="L1858" s="348">
        <v>0</v>
      </c>
      <c r="M1858" s="348">
        <v>0</v>
      </c>
      <c r="N1858" s="348">
        <v>642</v>
      </c>
      <c r="O1858" s="348">
        <v>1</v>
      </c>
      <c r="P1858" s="348">
        <v>1410</v>
      </c>
      <c r="Q1858" s="348">
        <v>114</v>
      </c>
      <c r="R1858" s="350">
        <f t="shared" si="232"/>
        <v>3660</v>
      </c>
      <c r="S1858" s="348">
        <f t="shared" si="233"/>
        <v>115</v>
      </c>
      <c r="T1858" s="348"/>
      <c r="U1858" s="348"/>
      <c r="V1858" s="348"/>
      <c r="W1858" s="349"/>
      <c r="X1858" s="349"/>
    </row>
    <row r="1859" spans="1:24" ht="12.75">
      <c r="A1859" s="346" t="s">
        <v>606</v>
      </c>
      <c r="B1859" s="347" t="s">
        <v>179</v>
      </c>
      <c r="C1859" s="347" t="s">
        <v>856</v>
      </c>
      <c r="D1859" s="347">
        <v>2019</v>
      </c>
      <c r="E1859" s="347" t="s">
        <v>775</v>
      </c>
      <c r="F1859" s="348">
        <v>85</v>
      </c>
      <c r="G1859" s="348">
        <v>0</v>
      </c>
      <c r="H1859" s="348">
        <v>0</v>
      </c>
      <c r="I1859" s="348">
        <v>0</v>
      </c>
      <c r="J1859" s="348">
        <v>65</v>
      </c>
      <c r="K1859" s="348">
        <v>0</v>
      </c>
      <c r="L1859" s="348">
        <v>0</v>
      </c>
      <c r="M1859" s="348">
        <v>0</v>
      </c>
      <c r="N1859" s="348">
        <v>59</v>
      </c>
      <c r="O1859" s="348">
        <v>6</v>
      </c>
      <c r="P1859" s="348">
        <v>131</v>
      </c>
      <c r="Q1859" s="348">
        <v>3</v>
      </c>
      <c r="R1859" s="350">
        <f t="shared" si="232"/>
        <v>340</v>
      </c>
      <c r="S1859" s="348">
        <f t="shared" si="233"/>
        <v>9</v>
      </c>
      <c r="T1859" s="348"/>
      <c r="U1859" s="348"/>
      <c r="V1859" s="348"/>
      <c r="W1859" s="349"/>
      <c r="X1859" s="349"/>
    </row>
    <row r="1860" spans="1:24" ht="12.75">
      <c r="A1860" s="346" t="s">
        <v>607</v>
      </c>
      <c r="B1860" s="347" t="s">
        <v>179</v>
      </c>
      <c r="C1860" s="347" t="s">
        <v>856</v>
      </c>
      <c r="D1860" s="347">
        <v>2019</v>
      </c>
      <c r="E1860" s="347" t="s">
        <v>775</v>
      </c>
      <c r="F1860" s="348">
        <v>343</v>
      </c>
      <c r="G1860" s="348">
        <v>60</v>
      </c>
      <c r="H1860" s="348">
        <v>60</v>
      </c>
      <c r="I1860" s="348">
        <v>0</v>
      </c>
      <c r="J1860" s="348">
        <v>260</v>
      </c>
      <c r="K1860" s="348">
        <v>31</v>
      </c>
      <c r="L1860" s="348">
        <v>31</v>
      </c>
      <c r="M1860" s="348">
        <v>0</v>
      </c>
      <c r="N1860" s="348">
        <v>241</v>
      </c>
      <c r="O1860" s="348">
        <v>0</v>
      </c>
      <c r="P1860" s="348">
        <v>530</v>
      </c>
      <c r="Q1860" s="348">
        <v>307</v>
      </c>
      <c r="R1860" s="350">
        <f t="shared" si="232"/>
        <v>1374</v>
      </c>
      <c r="S1860" s="348">
        <f t="shared" si="233"/>
        <v>398</v>
      </c>
      <c r="T1860" s="352">
        <f>SUM(G1842:G1860)</f>
        <v>788</v>
      </c>
      <c r="U1860" s="352">
        <f>SUM(K1842:K1860)</f>
        <v>754</v>
      </c>
      <c r="V1860" s="352">
        <f>SUM(O1842:O1860)</f>
        <v>200</v>
      </c>
      <c r="W1860" s="352">
        <f>SUM(Q1842:Q1860)</f>
        <v>7464</v>
      </c>
      <c r="X1860" s="352">
        <f>T1860+U1860+V1860+W1860</f>
        <v>9206</v>
      </c>
    </row>
    <row r="1861" spans="1:24" ht="12.75">
      <c r="A1861" s="449"/>
      <c r="B1861" s="450"/>
      <c r="C1861" s="450"/>
      <c r="D1861" s="450"/>
      <c r="E1861" s="450"/>
      <c r="F1861" s="451"/>
      <c r="G1861" s="451"/>
      <c r="H1861" s="451"/>
      <c r="I1861" s="451"/>
      <c r="J1861" s="451"/>
      <c r="K1861" s="451"/>
      <c r="L1861" s="451"/>
      <c r="M1861" s="451"/>
      <c r="N1861" s="451"/>
      <c r="O1861" s="451"/>
      <c r="P1861" s="451"/>
      <c r="Q1861" s="451"/>
      <c r="R1861" s="182"/>
      <c r="S1861" s="456" t="s">
        <v>783</v>
      </c>
      <c r="T1861" s="466">
        <f t="shared" ref="T1861:X1861" si="234">SUM(T1728:T1860)</f>
        <v>3775</v>
      </c>
      <c r="U1861" s="466">
        <f t="shared" si="234"/>
        <v>5126</v>
      </c>
      <c r="V1861" s="466">
        <f t="shared" si="234"/>
        <v>2690</v>
      </c>
      <c r="W1861" s="466">
        <f t="shared" si="234"/>
        <v>61987</v>
      </c>
      <c r="X1861" s="466">
        <f t="shared" si="234"/>
        <v>73578</v>
      </c>
    </row>
    <row r="1862" spans="1:24" ht="12.75">
      <c r="A1862" s="449"/>
      <c r="B1862" s="450"/>
      <c r="C1862" s="450"/>
      <c r="D1862" s="450"/>
      <c r="E1862" s="450"/>
      <c r="F1862" s="451"/>
      <c r="G1862" s="451"/>
      <c r="H1862" s="451"/>
      <c r="I1862" s="451"/>
      <c r="J1862" s="451"/>
      <c r="K1862" s="451"/>
      <c r="L1862" s="451"/>
      <c r="M1862" s="451"/>
      <c r="N1862" s="451"/>
      <c r="O1862" s="451"/>
      <c r="P1862" s="451"/>
      <c r="Q1862" s="451"/>
      <c r="R1862" s="182"/>
      <c r="S1862" s="362"/>
      <c r="T1862" s="97"/>
      <c r="U1862" s="97"/>
      <c r="V1862" s="97"/>
      <c r="W1862" s="97"/>
      <c r="X1862" s="97"/>
    </row>
    <row r="1863" spans="1:24" ht="12.75">
      <c r="A1863" s="417" t="s">
        <v>181</v>
      </c>
      <c r="B1863" s="418" t="s">
        <v>181</v>
      </c>
      <c r="C1863" s="418" t="s">
        <v>774</v>
      </c>
      <c r="D1863" s="418">
        <v>2014</v>
      </c>
      <c r="E1863" s="418" t="s">
        <v>775</v>
      </c>
      <c r="F1863" s="419">
        <v>6234</v>
      </c>
      <c r="G1863" s="419">
        <v>552</v>
      </c>
      <c r="H1863" s="420">
        <v>552</v>
      </c>
      <c r="I1863" s="419">
        <v>0</v>
      </c>
      <c r="J1863" s="419">
        <v>4639</v>
      </c>
      <c r="K1863" s="419">
        <v>377</v>
      </c>
      <c r="L1863" s="419">
        <v>377</v>
      </c>
      <c r="M1863" s="419">
        <v>0</v>
      </c>
      <c r="N1863" s="419">
        <v>5460</v>
      </c>
      <c r="O1863" s="419">
        <v>77</v>
      </c>
      <c r="P1863" s="419">
        <v>12536</v>
      </c>
      <c r="Q1863" s="420">
        <v>2430</v>
      </c>
      <c r="R1863" s="311">
        <f t="shared" ref="R1863:R1868" si="235">F1863+J1863+N1863+P1863</f>
        <v>28869</v>
      </c>
      <c r="S1863" s="363">
        <f t="shared" ref="S1863:S1868" si="236">K1863+O1863+G1863+Q1863</f>
        <v>3436</v>
      </c>
      <c r="T1863" s="490">
        <f t="shared" ref="T1863:T1868" si="237">G1863</f>
        <v>552</v>
      </c>
      <c r="U1863" s="490">
        <f t="shared" ref="U1863:U1868" si="238">K1863</f>
        <v>377</v>
      </c>
      <c r="V1863" s="490">
        <f t="shared" ref="V1863:V1868" si="239">O1863</f>
        <v>77</v>
      </c>
      <c r="W1863" s="490">
        <f t="shared" ref="W1863:W1868" si="240">Q1863</f>
        <v>2430</v>
      </c>
      <c r="X1863" s="490">
        <f t="shared" ref="X1863:X1868" si="241">T1863+U1863+V1863+W1863</f>
        <v>3436</v>
      </c>
    </row>
    <row r="1864" spans="1:24" ht="12.75">
      <c r="A1864" s="422" t="s">
        <v>181</v>
      </c>
      <c r="B1864" s="423" t="s">
        <v>181</v>
      </c>
      <c r="C1864" s="423" t="s">
        <v>774</v>
      </c>
      <c r="D1864" s="423">
        <v>2015</v>
      </c>
      <c r="E1864" s="423" t="s">
        <v>775</v>
      </c>
      <c r="F1864" s="424">
        <v>6234</v>
      </c>
      <c r="G1864" s="424">
        <v>429</v>
      </c>
      <c r="H1864" s="425">
        <v>429</v>
      </c>
      <c r="I1864" s="424">
        <v>0</v>
      </c>
      <c r="J1864" s="424">
        <v>4639</v>
      </c>
      <c r="K1864" s="424">
        <v>179</v>
      </c>
      <c r="L1864" s="424">
        <v>179</v>
      </c>
      <c r="M1864" s="424">
        <v>0</v>
      </c>
      <c r="N1864" s="424">
        <v>5460</v>
      </c>
      <c r="O1864" s="424">
        <v>113</v>
      </c>
      <c r="P1864" s="424">
        <v>12536</v>
      </c>
      <c r="Q1864" s="425">
        <v>2874</v>
      </c>
      <c r="R1864" s="319">
        <f t="shared" si="235"/>
        <v>28869</v>
      </c>
      <c r="S1864" s="364">
        <f t="shared" si="236"/>
        <v>3595</v>
      </c>
      <c r="T1864" s="491">
        <f t="shared" si="237"/>
        <v>429</v>
      </c>
      <c r="U1864" s="491">
        <f t="shared" si="238"/>
        <v>179</v>
      </c>
      <c r="V1864" s="491">
        <f t="shared" si="239"/>
        <v>113</v>
      </c>
      <c r="W1864" s="491">
        <f t="shared" si="240"/>
        <v>2874</v>
      </c>
      <c r="X1864" s="491">
        <f t="shared" si="241"/>
        <v>3595</v>
      </c>
    </row>
    <row r="1865" spans="1:24" ht="12.75">
      <c r="A1865" s="428" t="s">
        <v>181</v>
      </c>
      <c r="B1865" s="429" t="s">
        <v>181</v>
      </c>
      <c r="C1865" s="429" t="s">
        <v>774</v>
      </c>
      <c r="D1865" s="429">
        <v>2016</v>
      </c>
      <c r="E1865" s="429" t="s">
        <v>775</v>
      </c>
      <c r="F1865" s="430">
        <v>6234</v>
      </c>
      <c r="G1865" s="430">
        <v>410</v>
      </c>
      <c r="H1865" s="431">
        <v>410</v>
      </c>
      <c r="I1865" s="430">
        <v>0</v>
      </c>
      <c r="J1865" s="430">
        <v>4639</v>
      </c>
      <c r="K1865" s="430">
        <v>353</v>
      </c>
      <c r="L1865" s="430">
        <v>353</v>
      </c>
      <c r="M1865" s="430">
        <v>0</v>
      </c>
      <c r="N1865" s="430">
        <v>5460</v>
      </c>
      <c r="O1865" s="430">
        <v>333</v>
      </c>
      <c r="P1865" s="430">
        <v>12536</v>
      </c>
      <c r="Q1865" s="431">
        <v>3604</v>
      </c>
      <c r="R1865" s="328">
        <f t="shared" si="235"/>
        <v>28869</v>
      </c>
      <c r="S1865" s="365">
        <f t="shared" si="236"/>
        <v>4700</v>
      </c>
      <c r="T1865" s="492">
        <f t="shared" si="237"/>
        <v>410</v>
      </c>
      <c r="U1865" s="492">
        <f t="shared" si="238"/>
        <v>353</v>
      </c>
      <c r="V1865" s="492">
        <f t="shared" si="239"/>
        <v>333</v>
      </c>
      <c r="W1865" s="492">
        <f t="shared" si="240"/>
        <v>3604</v>
      </c>
      <c r="X1865" s="492">
        <f t="shared" si="241"/>
        <v>4700</v>
      </c>
    </row>
    <row r="1866" spans="1:24" ht="12.75">
      <c r="A1866" s="433" t="s">
        <v>181</v>
      </c>
      <c r="B1866" s="434" t="s">
        <v>181</v>
      </c>
      <c r="C1866" s="434" t="s">
        <v>774</v>
      </c>
      <c r="D1866" s="434">
        <v>2017</v>
      </c>
      <c r="E1866" s="434" t="s">
        <v>775</v>
      </c>
      <c r="F1866" s="435">
        <v>6234</v>
      </c>
      <c r="G1866" s="435">
        <v>468</v>
      </c>
      <c r="H1866" s="436">
        <v>468</v>
      </c>
      <c r="I1866" s="435">
        <v>0</v>
      </c>
      <c r="J1866" s="435">
        <v>4639</v>
      </c>
      <c r="K1866" s="435">
        <v>427</v>
      </c>
      <c r="L1866" s="435">
        <v>427</v>
      </c>
      <c r="M1866" s="435">
        <v>0</v>
      </c>
      <c r="N1866" s="435">
        <v>5460</v>
      </c>
      <c r="O1866" s="435">
        <v>268</v>
      </c>
      <c r="P1866" s="435">
        <v>12536</v>
      </c>
      <c r="Q1866" s="436">
        <v>4641</v>
      </c>
      <c r="R1866" s="336">
        <f t="shared" si="235"/>
        <v>28869</v>
      </c>
      <c r="S1866" s="366">
        <f t="shared" si="236"/>
        <v>5804</v>
      </c>
      <c r="T1866" s="493">
        <f t="shared" si="237"/>
        <v>468</v>
      </c>
      <c r="U1866" s="493">
        <f t="shared" si="238"/>
        <v>427</v>
      </c>
      <c r="V1866" s="493">
        <f t="shared" si="239"/>
        <v>268</v>
      </c>
      <c r="W1866" s="493">
        <f t="shared" si="240"/>
        <v>4641</v>
      </c>
      <c r="X1866" s="493">
        <f t="shared" si="241"/>
        <v>5804</v>
      </c>
    </row>
    <row r="1867" spans="1:24" ht="12.75">
      <c r="A1867" s="438" t="s">
        <v>181</v>
      </c>
      <c r="B1867" s="439" t="s">
        <v>181</v>
      </c>
      <c r="C1867" s="439" t="s">
        <v>774</v>
      </c>
      <c r="D1867" s="439">
        <v>2018</v>
      </c>
      <c r="E1867" s="439" t="s">
        <v>775</v>
      </c>
      <c r="F1867" s="440">
        <v>6234</v>
      </c>
      <c r="G1867" s="441">
        <v>0</v>
      </c>
      <c r="H1867" s="440">
        <v>0</v>
      </c>
      <c r="I1867" s="440">
        <v>0</v>
      </c>
      <c r="J1867" s="440">
        <v>4639</v>
      </c>
      <c r="K1867" s="441">
        <v>922</v>
      </c>
      <c r="L1867" s="440">
        <v>922</v>
      </c>
      <c r="M1867" s="440">
        <v>0</v>
      </c>
      <c r="N1867" s="440">
        <v>5460</v>
      </c>
      <c r="O1867" s="440">
        <v>492</v>
      </c>
      <c r="P1867" s="440">
        <v>12536</v>
      </c>
      <c r="Q1867" s="440">
        <v>4683</v>
      </c>
      <c r="R1867" s="344">
        <f t="shared" si="235"/>
        <v>28869</v>
      </c>
      <c r="S1867" s="367">
        <f t="shared" si="236"/>
        <v>6097</v>
      </c>
      <c r="T1867" s="494">
        <f t="shared" si="237"/>
        <v>0</v>
      </c>
      <c r="U1867" s="494">
        <f t="shared" si="238"/>
        <v>922</v>
      </c>
      <c r="V1867" s="494">
        <f t="shared" si="239"/>
        <v>492</v>
      </c>
      <c r="W1867" s="494">
        <f t="shared" si="240"/>
        <v>4683</v>
      </c>
      <c r="X1867" s="494">
        <f t="shared" si="241"/>
        <v>6097</v>
      </c>
    </row>
    <row r="1868" spans="1:24" ht="12.75">
      <c r="A1868" s="495" t="s">
        <v>181</v>
      </c>
      <c r="B1868" s="496" t="s">
        <v>181</v>
      </c>
      <c r="C1868" s="496" t="s">
        <v>782</v>
      </c>
      <c r="D1868" s="496">
        <v>2019</v>
      </c>
      <c r="E1868" s="496" t="s">
        <v>775</v>
      </c>
      <c r="F1868" s="497">
        <v>6234</v>
      </c>
      <c r="G1868" s="497">
        <v>654</v>
      </c>
      <c r="H1868" s="497">
        <v>654</v>
      </c>
      <c r="I1868" s="497">
        <v>0</v>
      </c>
      <c r="J1868" s="497">
        <v>4639</v>
      </c>
      <c r="K1868" s="497">
        <v>478</v>
      </c>
      <c r="L1868" s="497">
        <v>478</v>
      </c>
      <c r="M1868" s="497">
        <v>0</v>
      </c>
      <c r="N1868" s="497">
        <v>5460</v>
      </c>
      <c r="O1868" s="497">
        <v>598</v>
      </c>
      <c r="P1868" s="497">
        <v>12536</v>
      </c>
      <c r="Q1868" s="497">
        <v>1567</v>
      </c>
      <c r="R1868" s="350">
        <f t="shared" si="235"/>
        <v>28869</v>
      </c>
      <c r="S1868" s="348">
        <f t="shared" si="236"/>
        <v>3297</v>
      </c>
      <c r="T1868" s="498">
        <f t="shared" si="237"/>
        <v>654</v>
      </c>
      <c r="U1868" s="498">
        <f t="shared" si="238"/>
        <v>478</v>
      </c>
      <c r="V1868" s="498">
        <f t="shared" si="239"/>
        <v>598</v>
      </c>
      <c r="W1868" s="498">
        <f t="shared" si="240"/>
        <v>1567</v>
      </c>
      <c r="X1868" s="498">
        <f t="shared" si="241"/>
        <v>3297</v>
      </c>
    </row>
    <row r="1869" spans="1:24" ht="12.75">
      <c r="A1869" s="449"/>
      <c r="B1869" s="450"/>
      <c r="C1869" s="450"/>
      <c r="D1869" s="450"/>
      <c r="E1869" s="450"/>
      <c r="F1869" s="451"/>
      <c r="G1869" s="451"/>
      <c r="H1869" s="452"/>
      <c r="I1869" s="451"/>
      <c r="J1869" s="451"/>
      <c r="K1869" s="451"/>
      <c r="L1869" s="451"/>
      <c r="M1869" s="451"/>
      <c r="N1869" s="451"/>
      <c r="O1869" s="451"/>
      <c r="P1869" s="451"/>
      <c r="Q1869" s="452"/>
      <c r="R1869" s="182"/>
      <c r="S1869" s="456" t="s">
        <v>783</v>
      </c>
      <c r="T1869" s="466">
        <f t="shared" ref="T1869:X1869" si="242">SUM(T1863:T1868)</f>
        <v>2513</v>
      </c>
      <c r="U1869" s="466">
        <f t="shared" si="242"/>
        <v>2736</v>
      </c>
      <c r="V1869" s="466">
        <f t="shared" si="242"/>
        <v>1881</v>
      </c>
      <c r="W1869" s="466">
        <f t="shared" si="242"/>
        <v>19799</v>
      </c>
      <c r="X1869" s="466">
        <f t="shared" si="242"/>
        <v>26929</v>
      </c>
    </row>
    <row r="1870" spans="1:24" ht="12.75">
      <c r="A1870" s="449"/>
      <c r="B1870" s="450"/>
      <c r="C1870" s="450"/>
      <c r="D1870" s="450"/>
      <c r="E1870" s="450"/>
      <c r="F1870" s="451"/>
      <c r="G1870" s="451"/>
      <c r="H1870" s="452"/>
      <c r="I1870" s="451"/>
      <c r="J1870" s="451"/>
      <c r="K1870" s="451"/>
      <c r="L1870" s="451"/>
      <c r="M1870" s="451"/>
      <c r="N1870" s="451"/>
      <c r="O1870" s="451"/>
      <c r="P1870" s="451"/>
      <c r="Q1870" s="452"/>
      <c r="R1870" s="182"/>
      <c r="S1870" s="362"/>
      <c r="T1870" s="97"/>
      <c r="U1870" s="97"/>
      <c r="V1870" s="97"/>
      <c r="W1870" s="97"/>
      <c r="X1870" s="97"/>
    </row>
    <row r="1871" spans="1:24" ht="12.75">
      <c r="A1871" s="422" t="s">
        <v>857</v>
      </c>
      <c r="B1871" s="423" t="s">
        <v>182</v>
      </c>
      <c r="C1871" s="423" t="s">
        <v>177</v>
      </c>
      <c r="D1871" s="423">
        <v>2015</v>
      </c>
      <c r="E1871" s="423" t="s">
        <v>775</v>
      </c>
      <c r="F1871" s="424">
        <v>2496</v>
      </c>
      <c r="G1871" s="424">
        <v>10</v>
      </c>
      <c r="H1871" s="425">
        <v>0</v>
      </c>
      <c r="I1871" s="424">
        <v>10</v>
      </c>
      <c r="J1871" s="424">
        <v>1727</v>
      </c>
      <c r="K1871" s="424">
        <v>56</v>
      </c>
      <c r="L1871" s="424">
        <v>10</v>
      </c>
      <c r="M1871" s="424">
        <v>46</v>
      </c>
      <c r="N1871" s="424">
        <v>1724</v>
      </c>
      <c r="O1871" s="424">
        <v>90</v>
      </c>
      <c r="P1871" s="424">
        <v>4220</v>
      </c>
      <c r="Q1871" s="425">
        <v>183</v>
      </c>
      <c r="R1871" s="319">
        <f t="shared" ref="R1871:R1893" si="243">F1871+J1871+N1871+P1871</f>
        <v>10167</v>
      </c>
      <c r="S1871" s="364">
        <f t="shared" ref="S1871:S1893" si="244">K1871+O1871+G1871+Q1871</f>
        <v>339</v>
      </c>
      <c r="T1871" s="426"/>
      <c r="U1871" s="426"/>
      <c r="V1871" s="426"/>
      <c r="W1871" s="426"/>
      <c r="X1871" s="426"/>
    </row>
    <row r="1872" spans="1:24" ht="12.75">
      <c r="A1872" s="457" t="s">
        <v>858</v>
      </c>
      <c r="B1872" s="458" t="s">
        <v>182</v>
      </c>
      <c r="C1872" s="458" t="s">
        <v>177</v>
      </c>
      <c r="D1872" s="458">
        <v>2015</v>
      </c>
      <c r="E1872" s="458" t="s">
        <v>775</v>
      </c>
      <c r="F1872" s="425">
        <v>980</v>
      </c>
      <c r="G1872" s="424">
        <v>0</v>
      </c>
      <c r="H1872" s="425">
        <v>0</v>
      </c>
      <c r="I1872" s="425">
        <v>0</v>
      </c>
      <c r="J1872" s="424">
        <v>705</v>
      </c>
      <c r="K1872" s="424">
        <v>0</v>
      </c>
      <c r="L1872" s="425">
        <v>0</v>
      </c>
      <c r="M1872" s="425">
        <v>0</v>
      </c>
      <c r="N1872" s="425">
        <v>828</v>
      </c>
      <c r="O1872" s="425">
        <v>0</v>
      </c>
      <c r="P1872" s="425">
        <v>2463</v>
      </c>
      <c r="Q1872" s="425">
        <v>0</v>
      </c>
      <c r="R1872" s="319">
        <f t="shared" si="243"/>
        <v>4976</v>
      </c>
      <c r="S1872" s="364">
        <f t="shared" si="244"/>
        <v>0</v>
      </c>
      <c r="T1872" s="427">
        <f>SUM(G1871:G1872)</f>
        <v>10</v>
      </c>
      <c r="U1872" s="427">
        <f>SUM(K1871:K1872)</f>
        <v>56</v>
      </c>
      <c r="V1872" s="427">
        <f>SUM(O1871:O1872)</f>
        <v>90</v>
      </c>
      <c r="W1872" s="427">
        <f>SUM(Q1871:Q1872)</f>
        <v>183</v>
      </c>
      <c r="X1872" s="427">
        <f>T1872+U1872+V1872+W1872</f>
        <v>339</v>
      </c>
    </row>
    <row r="1873" spans="1:24" ht="12.75">
      <c r="A1873" s="428" t="s">
        <v>609</v>
      </c>
      <c r="B1873" s="429" t="s">
        <v>182</v>
      </c>
      <c r="C1873" s="429" t="s">
        <v>177</v>
      </c>
      <c r="D1873" s="429">
        <v>2016</v>
      </c>
      <c r="E1873" s="429" t="s">
        <v>775</v>
      </c>
      <c r="F1873" s="430">
        <v>1019</v>
      </c>
      <c r="G1873" s="430">
        <v>0</v>
      </c>
      <c r="H1873" s="431">
        <v>0</v>
      </c>
      <c r="I1873" s="430">
        <v>0</v>
      </c>
      <c r="J1873" s="430">
        <v>759</v>
      </c>
      <c r="K1873" s="430">
        <v>0</v>
      </c>
      <c r="L1873" s="430">
        <v>0</v>
      </c>
      <c r="M1873" s="430">
        <v>0</v>
      </c>
      <c r="N1873" s="430">
        <v>957</v>
      </c>
      <c r="O1873" s="430">
        <v>0</v>
      </c>
      <c r="P1873" s="430">
        <v>2421</v>
      </c>
      <c r="Q1873" s="431">
        <v>170</v>
      </c>
      <c r="R1873" s="328">
        <f t="shared" si="243"/>
        <v>5156</v>
      </c>
      <c r="S1873" s="365">
        <f t="shared" si="244"/>
        <v>170</v>
      </c>
      <c r="T1873" s="432"/>
      <c r="U1873" s="432"/>
      <c r="V1873" s="432"/>
      <c r="W1873" s="432"/>
      <c r="X1873" s="432"/>
    </row>
    <row r="1874" spans="1:24" ht="12.75">
      <c r="A1874" s="428" t="s">
        <v>613</v>
      </c>
      <c r="B1874" s="429" t="s">
        <v>182</v>
      </c>
      <c r="C1874" s="429" t="s">
        <v>177</v>
      </c>
      <c r="D1874" s="429">
        <v>2016</v>
      </c>
      <c r="E1874" s="429" t="s">
        <v>775</v>
      </c>
      <c r="F1874" s="430">
        <v>2496</v>
      </c>
      <c r="G1874" s="430">
        <v>1</v>
      </c>
      <c r="H1874" s="431">
        <v>0</v>
      </c>
      <c r="I1874" s="430">
        <v>1</v>
      </c>
      <c r="J1874" s="430">
        <v>1727</v>
      </c>
      <c r="K1874" s="430">
        <v>134</v>
      </c>
      <c r="L1874" s="430">
        <v>0</v>
      </c>
      <c r="M1874" s="430">
        <v>134</v>
      </c>
      <c r="N1874" s="430">
        <v>1724</v>
      </c>
      <c r="O1874" s="430">
        <v>96</v>
      </c>
      <c r="P1874" s="430">
        <v>4220</v>
      </c>
      <c r="Q1874" s="431">
        <v>234</v>
      </c>
      <c r="R1874" s="328">
        <f t="shared" si="243"/>
        <v>10167</v>
      </c>
      <c r="S1874" s="365">
        <f t="shared" si="244"/>
        <v>465</v>
      </c>
      <c r="T1874" s="432"/>
      <c r="U1874" s="432"/>
      <c r="V1874" s="432"/>
      <c r="W1874" s="432"/>
      <c r="X1874" s="432"/>
    </row>
    <row r="1875" spans="1:24" ht="12.75">
      <c r="A1875" s="459" t="s">
        <v>615</v>
      </c>
      <c r="B1875" s="460" t="s">
        <v>182</v>
      </c>
      <c r="C1875" s="460" t="s">
        <v>177</v>
      </c>
      <c r="D1875" s="460">
        <v>2016</v>
      </c>
      <c r="E1875" s="460" t="s">
        <v>775</v>
      </c>
      <c r="F1875" s="431">
        <v>980</v>
      </c>
      <c r="G1875" s="430">
        <v>0</v>
      </c>
      <c r="H1875" s="431">
        <v>0</v>
      </c>
      <c r="I1875" s="431">
        <v>0</v>
      </c>
      <c r="J1875" s="430">
        <v>705</v>
      </c>
      <c r="K1875" s="430">
        <v>0</v>
      </c>
      <c r="L1875" s="431">
        <v>0</v>
      </c>
      <c r="M1875" s="431">
        <v>0</v>
      </c>
      <c r="N1875" s="431">
        <v>828</v>
      </c>
      <c r="O1875" s="431">
        <v>2</v>
      </c>
      <c r="P1875" s="431">
        <v>2463</v>
      </c>
      <c r="Q1875" s="431">
        <v>1003</v>
      </c>
      <c r="R1875" s="328">
        <f t="shared" si="243"/>
        <v>4976</v>
      </c>
      <c r="S1875" s="365">
        <f t="shared" si="244"/>
        <v>1005</v>
      </c>
      <c r="T1875" s="331">
        <f>SUM(G1873:G1875)</f>
        <v>1</v>
      </c>
      <c r="U1875" s="331">
        <f>SUM(K1873:K1875)</f>
        <v>134</v>
      </c>
      <c r="V1875" s="331">
        <f>SUM(O1873:O1875)</f>
        <v>98</v>
      </c>
      <c r="W1875" s="331">
        <f>SUM(Q1873:Q1875)</f>
        <v>1407</v>
      </c>
      <c r="X1875" s="331">
        <f>T1875+U1875+V1875+W1875</f>
        <v>1640</v>
      </c>
    </row>
    <row r="1876" spans="1:24" ht="12.75">
      <c r="A1876" s="433" t="s">
        <v>609</v>
      </c>
      <c r="B1876" s="434" t="s">
        <v>182</v>
      </c>
      <c r="C1876" s="434" t="s">
        <v>177</v>
      </c>
      <c r="D1876" s="434">
        <v>2017</v>
      </c>
      <c r="E1876" s="434" t="s">
        <v>775</v>
      </c>
      <c r="F1876" s="435">
        <v>1019</v>
      </c>
      <c r="G1876" s="435">
        <v>0</v>
      </c>
      <c r="H1876" s="436">
        <v>0</v>
      </c>
      <c r="I1876" s="435">
        <v>0</v>
      </c>
      <c r="J1876" s="435">
        <v>759</v>
      </c>
      <c r="K1876" s="435">
        <v>0</v>
      </c>
      <c r="L1876" s="435">
        <v>0</v>
      </c>
      <c r="M1876" s="435">
        <v>0</v>
      </c>
      <c r="N1876" s="435">
        <v>957</v>
      </c>
      <c r="O1876" s="435">
        <v>0</v>
      </c>
      <c r="P1876" s="435">
        <v>2421</v>
      </c>
      <c r="Q1876" s="436">
        <v>297</v>
      </c>
      <c r="R1876" s="336">
        <f t="shared" si="243"/>
        <v>5156</v>
      </c>
      <c r="S1876" s="366">
        <f t="shared" si="244"/>
        <v>297</v>
      </c>
      <c r="T1876" s="437"/>
      <c r="U1876" s="437"/>
      <c r="V1876" s="437"/>
      <c r="W1876" s="437"/>
      <c r="X1876" s="437"/>
    </row>
    <row r="1877" spans="1:24" ht="12.75">
      <c r="A1877" s="433" t="s">
        <v>610</v>
      </c>
      <c r="B1877" s="434" t="s">
        <v>182</v>
      </c>
      <c r="C1877" s="434" t="s">
        <v>177</v>
      </c>
      <c r="D1877" s="434">
        <v>2017</v>
      </c>
      <c r="E1877" s="434" t="s">
        <v>775</v>
      </c>
      <c r="F1877" s="435">
        <v>497</v>
      </c>
      <c r="G1877" s="435">
        <v>52</v>
      </c>
      <c r="H1877" s="436">
        <v>52</v>
      </c>
      <c r="I1877" s="435">
        <v>0</v>
      </c>
      <c r="J1877" s="435">
        <v>331</v>
      </c>
      <c r="K1877" s="435">
        <v>27</v>
      </c>
      <c r="L1877" s="435">
        <v>27</v>
      </c>
      <c r="M1877" s="435">
        <v>0</v>
      </c>
      <c r="N1877" s="435">
        <v>333</v>
      </c>
      <c r="O1877" s="435">
        <v>0</v>
      </c>
      <c r="P1877" s="435">
        <v>770</v>
      </c>
      <c r="Q1877" s="436">
        <v>211</v>
      </c>
      <c r="R1877" s="336">
        <f t="shared" si="243"/>
        <v>1931</v>
      </c>
      <c r="S1877" s="366">
        <f t="shared" si="244"/>
        <v>290</v>
      </c>
      <c r="T1877" s="437"/>
      <c r="U1877" s="437"/>
      <c r="V1877" s="437"/>
      <c r="W1877" s="437"/>
      <c r="X1877" s="437"/>
    </row>
    <row r="1878" spans="1:24" ht="12.75">
      <c r="A1878" s="433" t="s">
        <v>613</v>
      </c>
      <c r="B1878" s="434" t="s">
        <v>182</v>
      </c>
      <c r="C1878" s="434" t="s">
        <v>177</v>
      </c>
      <c r="D1878" s="434">
        <v>2017</v>
      </c>
      <c r="E1878" s="434" t="s">
        <v>775</v>
      </c>
      <c r="F1878" s="435">
        <v>2496</v>
      </c>
      <c r="G1878" s="435">
        <v>0</v>
      </c>
      <c r="H1878" s="436">
        <v>0</v>
      </c>
      <c r="I1878" s="435">
        <v>0</v>
      </c>
      <c r="J1878" s="435">
        <v>1727</v>
      </c>
      <c r="K1878" s="435">
        <v>70</v>
      </c>
      <c r="L1878" s="435">
        <v>70</v>
      </c>
      <c r="M1878" s="435">
        <v>0</v>
      </c>
      <c r="N1878" s="435">
        <v>1724</v>
      </c>
      <c r="O1878" s="435">
        <v>93</v>
      </c>
      <c r="P1878" s="435">
        <v>4220</v>
      </c>
      <c r="Q1878" s="436">
        <v>180</v>
      </c>
      <c r="R1878" s="336">
        <f t="shared" si="243"/>
        <v>10167</v>
      </c>
      <c r="S1878" s="366">
        <f t="shared" si="244"/>
        <v>343</v>
      </c>
      <c r="T1878" s="437"/>
      <c r="U1878" s="437"/>
      <c r="V1878" s="437"/>
      <c r="W1878" s="437"/>
      <c r="X1878" s="437"/>
    </row>
    <row r="1879" spans="1:24" ht="12.75">
      <c r="A1879" s="461" t="s">
        <v>614</v>
      </c>
      <c r="B1879" s="462" t="s">
        <v>182</v>
      </c>
      <c r="C1879" s="462" t="s">
        <v>177</v>
      </c>
      <c r="D1879" s="462">
        <v>2017</v>
      </c>
      <c r="E1879" s="462" t="s">
        <v>775</v>
      </c>
      <c r="F1879" s="436">
        <v>3157</v>
      </c>
      <c r="G1879" s="435">
        <v>164</v>
      </c>
      <c r="H1879" s="436">
        <v>164</v>
      </c>
      <c r="I1879" s="436">
        <v>0</v>
      </c>
      <c r="J1879" s="435">
        <v>2004</v>
      </c>
      <c r="K1879" s="435">
        <v>0</v>
      </c>
      <c r="L1879" s="436">
        <v>0</v>
      </c>
      <c r="M1879" s="436">
        <v>0</v>
      </c>
      <c r="N1879" s="436">
        <v>2103</v>
      </c>
      <c r="O1879" s="436">
        <v>47</v>
      </c>
      <c r="P1879" s="436">
        <v>4560</v>
      </c>
      <c r="Q1879" s="436">
        <v>175</v>
      </c>
      <c r="R1879" s="336">
        <f t="shared" si="243"/>
        <v>11824</v>
      </c>
      <c r="S1879" s="366">
        <f t="shared" si="244"/>
        <v>386</v>
      </c>
      <c r="T1879" s="437"/>
      <c r="U1879" s="437"/>
      <c r="V1879" s="437"/>
      <c r="W1879" s="437"/>
      <c r="X1879" s="437"/>
    </row>
    <row r="1880" spans="1:24" ht="12.75">
      <c r="A1880" s="461" t="s">
        <v>615</v>
      </c>
      <c r="B1880" s="462" t="s">
        <v>182</v>
      </c>
      <c r="C1880" s="462" t="s">
        <v>177</v>
      </c>
      <c r="D1880" s="462">
        <v>2017</v>
      </c>
      <c r="E1880" s="462" t="s">
        <v>775</v>
      </c>
      <c r="F1880" s="436">
        <v>980</v>
      </c>
      <c r="G1880" s="435">
        <v>0</v>
      </c>
      <c r="H1880" s="436">
        <v>0</v>
      </c>
      <c r="I1880" s="436">
        <v>0</v>
      </c>
      <c r="J1880" s="435">
        <v>705</v>
      </c>
      <c r="K1880" s="435">
        <v>0</v>
      </c>
      <c r="L1880" s="436">
        <v>0</v>
      </c>
      <c r="M1880" s="436">
        <v>0</v>
      </c>
      <c r="N1880" s="436">
        <v>828</v>
      </c>
      <c r="O1880" s="436">
        <v>3</v>
      </c>
      <c r="P1880" s="436">
        <v>2463</v>
      </c>
      <c r="Q1880" s="436">
        <v>301</v>
      </c>
      <c r="R1880" s="336">
        <f t="shared" si="243"/>
        <v>4976</v>
      </c>
      <c r="S1880" s="366">
        <f t="shared" si="244"/>
        <v>304</v>
      </c>
      <c r="T1880" s="414">
        <f>SUM(G1876:G1880)</f>
        <v>216</v>
      </c>
      <c r="U1880" s="414">
        <f>SUM(K1876:K1880)</f>
        <v>97</v>
      </c>
      <c r="V1880" s="414">
        <f>SUM(O1876:O1880)</f>
        <v>143</v>
      </c>
      <c r="W1880" s="414">
        <f>SUM(Q1876:Q1880)</f>
        <v>1164</v>
      </c>
      <c r="X1880" s="414">
        <f>T1880+U1880+V1880+W1880</f>
        <v>1620</v>
      </c>
    </row>
    <row r="1881" spans="1:24" ht="12.75">
      <c r="A1881" s="438" t="s">
        <v>608</v>
      </c>
      <c r="B1881" s="439" t="s">
        <v>182</v>
      </c>
      <c r="C1881" s="439" t="s">
        <v>177</v>
      </c>
      <c r="D1881" s="439">
        <v>2018</v>
      </c>
      <c r="E1881" s="439" t="s">
        <v>775</v>
      </c>
      <c r="F1881" s="440">
        <v>103</v>
      </c>
      <c r="G1881" s="441">
        <v>0</v>
      </c>
      <c r="H1881" s="440">
        <v>0</v>
      </c>
      <c r="I1881" s="440">
        <v>0</v>
      </c>
      <c r="J1881" s="440">
        <v>66</v>
      </c>
      <c r="K1881" s="441">
        <v>0</v>
      </c>
      <c r="L1881" s="440">
        <v>0</v>
      </c>
      <c r="M1881" s="440">
        <v>0</v>
      </c>
      <c r="N1881" s="440">
        <v>64</v>
      </c>
      <c r="O1881" s="440">
        <v>0</v>
      </c>
      <c r="P1881" s="440">
        <v>192</v>
      </c>
      <c r="Q1881" s="440">
        <v>8</v>
      </c>
      <c r="R1881" s="344">
        <f t="shared" si="243"/>
        <v>425</v>
      </c>
      <c r="S1881" s="367">
        <f t="shared" si="244"/>
        <v>8</v>
      </c>
      <c r="T1881" s="442"/>
      <c r="U1881" s="442"/>
      <c r="V1881" s="442"/>
      <c r="W1881" s="442"/>
      <c r="X1881" s="442"/>
    </row>
    <row r="1882" spans="1:24" ht="12.75">
      <c r="A1882" s="438" t="s">
        <v>609</v>
      </c>
      <c r="B1882" s="439" t="s">
        <v>182</v>
      </c>
      <c r="C1882" s="439" t="s">
        <v>177</v>
      </c>
      <c r="D1882" s="439">
        <v>2018</v>
      </c>
      <c r="E1882" s="439" t="s">
        <v>775</v>
      </c>
      <c r="F1882" s="440">
        <v>1019</v>
      </c>
      <c r="G1882" s="441">
        <v>0</v>
      </c>
      <c r="H1882" s="440">
        <v>0</v>
      </c>
      <c r="I1882" s="440">
        <v>0</v>
      </c>
      <c r="J1882" s="440">
        <v>759</v>
      </c>
      <c r="K1882" s="441">
        <v>0</v>
      </c>
      <c r="L1882" s="440">
        <v>0</v>
      </c>
      <c r="M1882" s="440">
        <v>0</v>
      </c>
      <c r="N1882" s="440">
        <v>957</v>
      </c>
      <c r="O1882" s="440">
        <v>0</v>
      </c>
      <c r="P1882" s="440">
        <v>2421</v>
      </c>
      <c r="Q1882" s="440">
        <v>383</v>
      </c>
      <c r="R1882" s="344">
        <f t="shared" si="243"/>
        <v>5156</v>
      </c>
      <c r="S1882" s="367">
        <f t="shared" si="244"/>
        <v>383</v>
      </c>
      <c r="T1882" s="442"/>
      <c r="U1882" s="442"/>
      <c r="V1882" s="442"/>
      <c r="W1882" s="442"/>
      <c r="X1882" s="442"/>
    </row>
    <row r="1883" spans="1:24" ht="12.75">
      <c r="A1883" s="438" t="s">
        <v>610</v>
      </c>
      <c r="B1883" s="439" t="s">
        <v>182</v>
      </c>
      <c r="C1883" s="439" t="s">
        <v>177</v>
      </c>
      <c r="D1883" s="439">
        <v>2018</v>
      </c>
      <c r="E1883" s="439" t="s">
        <v>775</v>
      </c>
      <c r="F1883" s="440">
        <v>497</v>
      </c>
      <c r="G1883" s="441">
        <v>0</v>
      </c>
      <c r="H1883" s="440">
        <v>0</v>
      </c>
      <c r="I1883" s="440">
        <v>0</v>
      </c>
      <c r="J1883" s="440">
        <v>331</v>
      </c>
      <c r="K1883" s="441">
        <v>0</v>
      </c>
      <c r="L1883" s="440">
        <v>0</v>
      </c>
      <c r="M1883" s="440">
        <v>0</v>
      </c>
      <c r="N1883" s="440">
        <v>333</v>
      </c>
      <c r="O1883" s="440">
        <v>48</v>
      </c>
      <c r="P1883" s="440">
        <v>770</v>
      </c>
      <c r="Q1883" s="440">
        <v>170</v>
      </c>
      <c r="R1883" s="344">
        <f t="shared" si="243"/>
        <v>1931</v>
      </c>
      <c r="S1883" s="367">
        <f t="shared" si="244"/>
        <v>218</v>
      </c>
      <c r="T1883" s="442"/>
      <c r="U1883" s="442"/>
      <c r="V1883" s="442"/>
      <c r="W1883" s="442"/>
      <c r="X1883" s="442"/>
    </row>
    <row r="1884" spans="1:24" ht="12.75">
      <c r="A1884" s="438" t="s">
        <v>611</v>
      </c>
      <c r="B1884" s="439" t="s">
        <v>182</v>
      </c>
      <c r="C1884" s="439" t="s">
        <v>177</v>
      </c>
      <c r="D1884" s="439">
        <v>2018</v>
      </c>
      <c r="E1884" s="439" t="s">
        <v>775</v>
      </c>
      <c r="F1884" s="440">
        <v>925</v>
      </c>
      <c r="G1884" s="441">
        <v>4</v>
      </c>
      <c r="H1884" s="440">
        <v>0</v>
      </c>
      <c r="I1884" s="440">
        <v>4</v>
      </c>
      <c r="J1884" s="440">
        <v>693</v>
      </c>
      <c r="K1884" s="441">
        <v>5</v>
      </c>
      <c r="L1884" s="440">
        <v>0</v>
      </c>
      <c r="M1884" s="440">
        <v>5</v>
      </c>
      <c r="N1884" s="440">
        <v>825</v>
      </c>
      <c r="O1884" s="440">
        <v>4</v>
      </c>
      <c r="P1884" s="440">
        <v>1958</v>
      </c>
      <c r="Q1884" s="440">
        <v>476</v>
      </c>
      <c r="R1884" s="344">
        <f t="shared" si="243"/>
        <v>4401</v>
      </c>
      <c r="S1884" s="367">
        <f t="shared" si="244"/>
        <v>489</v>
      </c>
      <c r="T1884" s="442"/>
      <c r="U1884" s="442"/>
      <c r="V1884" s="442"/>
      <c r="W1884" s="442"/>
      <c r="X1884" s="442"/>
    </row>
    <row r="1885" spans="1:24" ht="12.75">
      <c r="A1885" s="438" t="s">
        <v>614</v>
      </c>
      <c r="B1885" s="439" t="s">
        <v>182</v>
      </c>
      <c r="C1885" s="439" t="s">
        <v>177</v>
      </c>
      <c r="D1885" s="439">
        <v>2018</v>
      </c>
      <c r="E1885" s="439" t="s">
        <v>775</v>
      </c>
      <c r="F1885" s="440">
        <v>3157</v>
      </c>
      <c r="G1885" s="441">
        <v>0</v>
      </c>
      <c r="H1885" s="440">
        <v>0</v>
      </c>
      <c r="I1885" s="440">
        <v>0</v>
      </c>
      <c r="J1885" s="440">
        <v>2004</v>
      </c>
      <c r="K1885" s="441">
        <v>4</v>
      </c>
      <c r="L1885" s="440">
        <v>0</v>
      </c>
      <c r="M1885" s="440">
        <v>4</v>
      </c>
      <c r="N1885" s="440">
        <v>2103</v>
      </c>
      <c r="O1885" s="440">
        <v>80</v>
      </c>
      <c r="P1885" s="440">
        <v>4560</v>
      </c>
      <c r="Q1885" s="440">
        <v>243</v>
      </c>
      <c r="R1885" s="344">
        <f t="shared" si="243"/>
        <v>11824</v>
      </c>
      <c r="S1885" s="367">
        <f t="shared" si="244"/>
        <v>327</v>
      </c>
      <c r="T1885" s="442"/>
      <c r="U1885" s="442"/>
      <c r="V1885" s="442"/>
      <c r="W1885" s="442"/>
      <c r="X1885" s="442"/>
    </row>
    <row r="1886" spans="1:24" ht="12.75">
      <c r="A1886" s="438" t="s">
        <v>615</v>
      </c>
      <c r="B1886" s="439" t="s">
        <v>182</v>
      </c>
      <c r="C1886" s="439" t="s">
        <v>177</v>
      </c>
      <c r="D1886" s="439">
        <v>2018</v>
      </c>
      <c r="E1886" s="439" t="s">
        <v>775</v>
      </c>
      <c r="F1886" s="440">
        <v>980</v>
      </c>
      <c r="G1886" s="441">
        <v>0</v>
      </c>
      <c r="H1886" s="440">
        <v>0</v>
      </c>
      <c r="I1886" s="440">
        <v>0</v>
      </c>
      <c r="J1886" s="440">
        <v>705</v>
      </c>
      <c r="K1886" s="441">
        <v>0</v>
      </c>
      <c r="L1886" s="440">
        <v>0</v>
      </c>
      <c r="M1886" s="440">
        <v>0</v>
      </c>
      <c r="N1886" s="440">
        <v>828</v>
      </c>
      <c r="O1886" s="440">
        <v>7</v>
      </c>
      <c r="P1886" s="440">
        <v>2463</v>
      </c>
      <c r="Q1886" s="440">
        <v>1146</v>
      </c>
      <c r="R1886" s="344">
        <f t="shared" si="243"/>
        <v>4976</v>
      </c>
      <c r="S1886" s="367">
        <f t="shared" si="244"/>
        <v>1153</v>
      </c>
      <c r="T1886" s="443">
        <f>SUM(G1881:G1886)</f>
        <v>4</v>
      </c>
      <c r="U1886" s="443">
        <f>SUM(K1881:K1886)</f>
        <v>9</v>
      </c>
      <c r="V1886" s="443">
        <f>SUM(O1881:O1886)</f>
        <v>139</v>
      </c>
      <c r="W1886" s="443">
        <f>SUM(Q1881:Q1886)</f>
        <v>2426</v>
      </c>
      <c r="X1886" s="443">
        <f>T1886+U1886+V1886+W1886</f>
        <v>2578</v>
      </c>
    </row>
    <row r="1887" spans="1:24" ht="12.75">
      <c r="A1887" s="346" t="s">
        <v>608</v>
      </c>
      <c r="B1887" s="347" t="s">
        <v>182</v>
      </c>
      <c r="C1887" s="347" t="s">
        <v>811</v>
      </c>
      <c r="D1887" s="347">
        <v>2019</v>
      </c>
      <c r="E1887" s="347" t="s">
        <v>775</v>
      </c>
      <c r="F1887" s="348">
        <v>103</v>
      </c>
      <c r="G1887" s="348">
        <v>0</v>
      </c>
      <c r="H1887" s="348">
        <v>0</v>
      </c>
      <c r="I1887" s="348">
        <v>0</v>
      </c>
      <c r="J1887" s="348">
        <v>66</v>
      </c>
      <c r="K1887" s="348">
        <v>0</v>
      </c>
      <c r="L1887" s="348">
        <v>0</v>
      </c>
      <c r="M1887" s="348">
        <v>0</v>
      </c>
      <c r="N1887" s="348">
        <v>64</v>
      </c>
      <c r="O1887" s="348">
        <v>1</v>
      </c>
      <c r="P1887" s="348">
        <v>192</v>
      </c>
      <c r="Q1887" s="348">
        <v>9</v>
      </c>
      <c r="R1887" s="350">
        <f t="shared" si="243"/>
        <v>425</v>
      </c>
      <c r="S1887" s="348">
        <f t="shared" si="244"/>
        <v>10</v>
      </c>
      <c r="T1887" s="348"/>
      <c r="U1887" s="348"/>
      <c r="V1887" s="348"/>
      <c r="W1887" s="349"/>
      <c r="X1887" s="349"/>
    </row>
    <row r="1888" spans="1:24" ht="12.75">
      <c r="A1888" s="346" t="s">
        <v>609</v>
      </c>
      <c r="B1888" s="347" t="s">
        <v>182</v>
      </c>
      <c r="C1888" s="347" t="s">
        <v>811</v>
      </c>
      <c r="D1888" s="347">
        <v>2019</v>
      </c>
      <c r="E1888" s="347" t="s">
        <v>775</v>
      </c>
      <c r="F1888" s="348">
        <v>1019</v>
      </c>
      <c r="G1888" s="348">
        <v>0</v>
      </c>
      <c r="H1888" s="348">
        <v>0</v>
      </c>
      <c r="I1888" s="348">
        <v>0</v>
      </c>
      <c r="J1888" s="348">
        <v>759</v>
      </c>
      <c r="K1888" s="348">
        <v>0</v>
      </c>
      <c r="L1888" s="348">
        <v>0</v>
      </c>
      <c r="M1888" s="348">
        <v>0</v>
      </c>
      <c r="N1888" s="348">
        <v>957</v>
      </c>
      <c r="O1888" s="348">
        <v>0</v>
      </c>
      <c r="P1888" s="348">
        <v>2421</v>
      </c>
      <c r="Q1888" s="348">
        <v>389</v>
      </c>
      <c r="R1888" s="350">
        <f t="shared" si="243"/>
        <v>5156</v>
      </c>
      <c r="S1888" s="348">
        <f t="shared" si="244"/>
        <v>389</v>
      </c>
      <c r="T1888" s="348"/>
      <c r="U1888" s="348"/>
      <c r="V1888" s="348"/>
      <c r="W1888" s="349"/>
      <c r="X1888" s="349"/>
    </row>
    <row r="1889" spans="1:24" ht="12.75">
      <c r="A1889" s="346" t="s">
        <v>611</v>
      </c>
      <c r="B1889" s="347" t="s">
        <v>182</v>
      </c>
      <c r="C1889" s="347" t="s">
        <v>811</v>
      </c>
      <c r="D1889" s="347">
        <v>2019</v>
      </c>
      <c r="E1889" s="347" t="s">
        <v>775</v>
      </c>
      <c r="F1889" s="348">
        <v>925</v>
      </c>
      <c r="G1889" s="348">
        <v>0</v>
      </c>
      <c r="H1889" s="348">
        <v>0</v>
      </c>
      <c r="I1889" s="348">
        <v>0</v>
      </c>
      <c r="J1889" s="348">
        <v>693</v>
      </c>
      <c r="K1889" s="348">
        <v>0</v>
      </c>
      <c r="L1889" s="348">
        <v>0</v>
      </c>
      <c r="M1889" s="348">
        <v>0</v>
      </c>
      <c r="N1889" s="348">
        <v>825</v>
      </c>
      <c r="O1889" s="348">
        <v>182</v>
      </c>
      <c r="P1889" s="348">
        <v>1958</v>
      </c>
      <c r="Q1889" s="348">
        <v>514</v>
      </c>
      <c r="R1889" s="350">
        <f t="shared" si="243"/>
        <v>4401</v>
      </c>
      <c r="S1889" s="348">
        <f t="shared" si="244"/>
        <v>696</v>
      </c>
      <c r="T1889" s="348"/>
      <c r="U1889" s="348"/>
      <c r="V1889" s="348"/>
      <c r="W1889" s="349"/>
      <c r="X1889" s="349"/>
    </row>
    <row r="1890" spans="1:24" ht="12.75">
      <c r="A1890" s="346" t="s">
        <v>612</v>
      </c>
      <c r="B1890" s="347" t="s">
        <v>182</v>
      </c>
      <c r="C1890" s="347" t="s">
        <v>811</v>
      </c>
      <c r="D1890" s="347">
        <v>2019</v>
      </c>
      <c r="E1890" s="347" t="s">
        <v>775</v>
      </c>
      <c r="F1890" s="348">
        <v>308</v>
      </c>
      <c r="G1890" s="348">
        <v>0</v>
      </c>
      <c r="H1890" s="348">
        <v>0</v>
      </c>
      <c r="I1890" s="348">
        <v>0</v>
      </c>
      <c r="J1890" s="348">
        <v>215</v>
      </c>
      <c r="K1890" s="348">
        <v>0</v>
      </c>
      <c r="L1890" s="348">
        <v>0</v>
      </c>
      <c r="M1890" s="348">
        <v>0</v>
      </c>
      <c r="N1890" s="348">
        <v>231</v>
      </c>
      <c r="O1890" s="348">
        <v>0</v>
      </c>
      <c r="P1890" s="348">
        <v>726</v>
      </c>
      <c r="Q1890" s="348">
        <v>71</v>
      </c>
      <c r="R1890" s="350">
        <f t="shared" si="243"/>
        <v>1480</v>
      </c>
      <c r="S1890" s="348">
        <f t="shared" si="244"/>
        <v>71</v>
      </c>
      <c r="T1890" s="348"/>
      <c r="U1890" s="348"/>
      <c r="V1890" s="348"/>
      <c r="W1890" s="349"/>
      <c r="X1890" s="349"/>
    </row>
    <row r="1891" spans="1:24" ht="12.75">
      <c r="A1891" s="346" t="s">
        <v>613</v>
      </c>
      <c r="B1891" s="347" t="s">
        <v>182</v>
      </c>
      <c r="C1891" s="347" t="s">
        <v>811</v>
      </c>
      <c r="D1891" s="347">
        <v>2019</v>
      </c>
      <c r="E1891" s="347" t="s">
        <v>775</v>
      </c>
      <c r="F1891" s="348">
        <v>2496</v>
      </c>
      <c r="G1891" s="348">
        <v>26</v>
      </c>
      <c r="H1891" s="348">
        <v>0</v>
      </c>
      <c r="I1891" s="348">
        <v>26</v>
      </c>
      <c r="J1891" s="348">
        <v>1727</v>
      </c>
      <c r="K1891" s="348">
        <v>90</v>
      </c>
      <c r="L1891" s="348">
        <v>2</v>
      </c>
      <c r="M1891" s="348">
        <v>88</v>
      </c>
      <c r="N1891" s="348">
        <v>1724</v>
      </c>
      <c r="O1891" s="348">
        <v>225</v>
      </c>
      <c r="P1891" s="348">
        <v>4220</v>
      </c>
      <c r="Q1891" s="348">
        <v>363</v>
      </c>
      <c r="R1891" s="350">
        <f t="shared" si="243"/>
        <v>10167</v>
      </c>
      <c r="S1891" s="348">
        <f t="shared" si="244"/>
        <v>704</v>
      </c>
      <c r="T1891" s="348"/>
      <c r="U1891" s="348"/>
      <c r="V1891" s="348"/>
      <c r="W1891" s="349"/>
      <c r="X1891" s="349"/>
    </row>
    <row r="1892" spans="1:24" ht="12.75">
      <c r="A1892" s="346" t="s">
        <v>614</v>
      </c>
      <c r="B1892" s="347" t="s">
        <v>182</v>
      </c>
      <c r="C1892" s="347" t="s">
        <v>811</v>
      </c>
      <c r="D1892" s="347">
        <v>2019</v>
      </c>
      <c r="E1892" s="347" t="s">
        <v>775</v>
      </c>
      <c r="F1892" s="348">
        <v>3157</v>
      </c>
      <c r="G1892" s="348">
        <v>118</v>
      </c>
      <c r="H1892" s="348">
        <v>118</v>
      </c>
      <c r="I1892" s="348">
        <v>0</v>
      </c>
      <c r="J1892" s="348">
        <v>2004</v>
      </c>
      <c r="K1892" s="348">
        <v>4</v>
      </c>
      <c r="L1892" s="348">
        <v>0</v>
      </c>
      <c r="M1892" s="348">
        <v>4</v>
      </c>
      <c r="N1892" s="348">
        <v>2103</v>
      </c>
      <c r="O1892" s="348">
        <v>457</v>
      </c>
      <c r="P1892" s="348">
        <v>4560</v>
      </c>
      <c r="Q1892" s="348">
        <v>0</v>
      </c>
      <c r="R1892" s="350">
        <f t="shared" si="243"/>
        <v>11824</v>
      </c>
      <c r="S1892" s="348">
        <f t="shared" si="244"/>
        <v>579</v>
      </c>
      <c r="T1892" s="348"/>
      <c r="U1892" s="348"/>
      <c r="V1892" s="348"/>
      <c r="W1892" s="349"/>
      <c r="X1892" s="349"/>
    </row>
    <row r="1893" spans="1:24" ht="12.75">
      <c r="A1893" s="346" t="s">
        <v>615</v>
      </c>
      <c r="B1893" s="347" t="s">
        <v>182</v>
      </c>
      <c r="C1893" s="347" t="s">
        <v>811</v>
      </c>
      <c r="D1893" s="347">
        <v>2019</v>
      </c>
      <c r="E1893" s="347" t="s">
        <v>775</v>
      </c>
      <c r="F1893" s="348">
        <v>980</v>
      </c>
      <c r="G1893" s="348">
        <v>0</v>
      </c>
      <c r="H1893" s="348">
        <v>0</v>
      </c>
      <c r="I1893" s="348">
        <v>0</v>
      </c>
      <c r="J1893" s="348">
        <v>705</v>
      </c>
      <c r="K1893" s="348">
        <v>0</v>
      </c>
      <c r="L1893" s="348">
        <v>0</v>
      </c>
      <c r="M1893" s="348">
        <v>0</v>
      </c>
      <c r="N1893" s="348">
        <v>828</v>
      </c>
      <c r="O1893" s="348">
        <v>40</v>
      </c>
      <c r="P1893" s="348">
        <v>2463</v>
      </c>
      <c r="Q1893" s="348">
        <v>748</v>
      </c>
      <c r="R1893" s="350">
        <f t="shared" si="243"/>
        <v>4976</v>
      </c>
      <c r="S1893" s="348">
        <f t="shared" si="244"/>
        <v>788</v>
      </c>
      <c r="T1893" s="410">
        <f>SUM(G1887:G1893)</f>
        <v>144</v>
      </c>
      <c r="U1893" s="410">
        <f>SUM(K1887:K1893)</f>
        <v>94</v>
      </c>
      <c r="V1893" s="410">
        <f>SUM(O1887:O1893)</f>
        <v>905</v>
      </c>
      <c r="W1893" s="410">
        <f>SUM(Q1887:Q1893)</f>
        <v>2094</v>
      </c>
      <c r="X1893" s="410">
        <f>T1893+U1893+V1893+W1893</f>
        <v>3237</v>
      </c>
    </row>
    <row r="1894" spans="1:24" ht="12.75">
      <c r="A1894" s="449"/>
      <c r="B1894" s="450"/>
      <c r="C1894" s="450"/>
      <c r="D1894" s="450"/>
      <c r="E1894" s="450"/>
      <c r="F1894" s="451"/>
      <c r="G1894" s="451"/>
      <c r="H1894" s="452"/>
      <c r="I1894" s="451"/>
      <c r="J1894" s="451"/>
      <c r="K1894" s="451"/>
      <c r="L1894" s="451"/>
      <c r="M1894" s="451"/>
      <c r="N1894" s="451"/>
      <c r="O1894" s="451"/>
      <c r="P1894" s="451"/>
      <c r="Q1894" s="452"/>
      <c r="R1894" s="182"/>
      <c r="S1894" s="456" t="s">
        <v>783</v>
      </c>
      <c r="T1894" s="466">
        <f t="shared" ref="T1894:X1894" si="245">SUM(T1871:T1893)</f>
        <v>375</v>
      </c>
      <c r="U1894" s="466">
        <f t="shared" si="245"/>
        <v>390</v>
      </c>
      <c r="V1894" s="466">
        <f t="shared" si="245"/>
        <v>1375</v>
      </c>
      <c r="W1894" s="466">
        <f t="shared" si="245"/>
        <v>7274</v>
      </c>
      <c r="X1894" s="466">
        <f t="shared" si="245"/>
        <v>9414</v>
      </c>
    </row>
    <row r="1895" spans="1:24" ht="12.75">
      <c r="A1895" s="449"/>
      <c r="B1895" s="450"/>
      <c r="C1895" s="450"/>
      <c r="D1895" s="450"/>
      <c r="E1895" s="450"/>
      <c r="F1895" s="451"/>
      <c r="G1895" s="451"/>
      <c r="H1895" s="452"/>
      <c r="I1895" s="451"/>
      <c r="J1895" s="451"/>
      <c r="K1895" s="451"/>
      <c r="L1895" s="451"/>
      <c r="M1895" s="451"/>
      <c r="N1895" s="451"/>
      <c r="O1895" s="451"/>
      <c r="P1895" s="451"/>
      <c r="Q1895" s="452"/>
      <c r="R1895" s="182"/>
      <c r="S1895" s="362"/>
      <c r="T1895" s="97"/>
      <c r="U1895" s="97"/>
      <c r="V1895" s="97"/>
      <c r="W1895" s="97"/>
      <c r="X1895" s="97"/>
    </row>
    <row r="1896" spans="1:24" ht="12.75">
      <c r="A1896" s="417" t="s">
        <v>617</v>
      </c>
      <c r="B1896" s="418" t="s">
        <v>183</v>
      </c>
      <c r="C1896" s="418" t="s">
        <v>784</v>
      </c>
      <c r="D1896" s="418">
        <v>2014</v>
      </c>
      <c r="E1896" s="418" t="s">
        <v>775</v>
      </c>
      <c r="F1896" s="419">
        <v>98</v>
      </c>
      <c r="G1896" s="419">
        <v>2</v>
      </c>
      <c r="H1896" s="420">
        <v>2</v>
      </c>
      <c r="I1896" s="419">
        <v>0</v>
      </c>
      <c r="J1896" s="419">
        <v>62</v>
      </c>
      <c r="K1896" s="419">
        <v>1</v>
      </c>
      <c r="L1896" s="419">
        <v>1</v>
      </c>
      <c r="M1896" s="419">
        <v>0</v>
      </c>
      <c r="N1896" s="419">
        <v>69</v>
      </c>
      <c r="O1896" s="419">
        <v>76</v>
      </c>
      <c r="P1896" s="419">
        <v>164</v>
      </c>
      <c r="Q1896" s="420">
        <v>106</v>
      </c>
      <c r="R1896" s="311">
        <f t="shared" ref="R1896:R1936" si="246">F1896+J1896+N1896+P1896</f>
        <v>393</v>
      </c>
      <c r="S1896" s="363">
        <f t="shared" ref="S1896:S1936" si="247">K1896+O1896+G1896+Q1896</f>
        <v>185</v>
      </c>
      <c r="T1896" s="421"/>
      <c r="U1896" s="421"/>
      <c r="V1896" s="421"/>
      <c r="W1896" s="421"/>
      <c r="X1896" s="421"/>
    </row>
    <row r="1897" spans="1:24" ht="12.75">
      <c r="A1897" s="417" t="s">
        <v>618</v>
      </c>
      <c r="B1897" s="418" t="s">
        <v>183</v>
      </c>
      <c r="C1897" s="418" t="s">
        <v>784</v>
      </c>
      <c r="D1897" s="418">
        <v>2014</v>
      </c>
      <c r="E1897" s="418" t="s">
        <v>775</v>
      </c>
      <c r="F1897" s="419">
        <v>41</v>
      </c>
      <c r="G1897" s="419">
        <v>0</v>
      </c>
      <c r="H1897" s="420">
        <v>0</v>
      </c>
      <c r="I1897" s="419">
        <v>0</v>
      </c>
      <c r="J1897" s="419">
        <v>26</v>
      </c>
      <c r="K1897" s="419">
        <v>1</v>
      </c>
      <c r="L1897" s="419">
        <v>1</v>
      </c>
      <c r="M1897" s="419">
        <v>0</v>
      </c>
      <c r="N1897" s="419">
        <v>29</v>
      </c>
      <c r="O1897" s="419">
        <v>0</v>
      </c>
      <c r="P1897" s="419">
        <v>69</v>
      </c>
      <c r="Q1897" s="420">
        <v>12</v>
      </c>
      <c r="R1897" s="311">
        <f t="shared" si="246"/>
        <v>165</v>
      </c>
      <c r="S1897" s="363">
        <f t="shared" si="247"/>
        <v>13</v>
      </c>
      <c r="T1897" s="421"/>
      <c r="U1897" s="421"/>
      <c r="V1897" s="421"/>
      <c r="W1897" s="421"/>
      <c r="X1897" s="421"/>
    </row>
    <row r="1898" spans="1:24" ht="12.75">
      <c r="A1898" s="417" t="s">
        <v>620</v>
      </c>
      <c r="B1898" s="418" t="s">
        <v>183</v>
      </c>
      <c r="C1898" s="418" t="s">
        <v>784</v>
      </c>
      <c r="D1898" s="418">
        <v>2014</v>
      </c>
      <c r="E1898" s="418" t="s">
        <v>775</v>
      </c>
      <c r="F1898" s="419">
        <v>123</v>
      </c>
      <c r="G1898" s="419">
        <v>56</v>
      </c>
      <c r="H1898" s="420">
        <v>56</v>
      </c>
      <c r="I1898" s="419">
        <v>0</v>
      </c>
      <c r="J1898" s="419">
        <v>77</v>
      </c>
      <c r="K1898" s="419">
        <v>24</v>
      </c>
      <c r="L1898" s="419">
        <v>24</v>
      </c>
      <c r="M1898" s="419">
        <v>0</v>
      </c>
      <c r="N1898" s="419">
        <v>87</v>
      </c>
      <c r="O1898" s="419">
        <v>2</v>
      </c>
      <c r="P1898" s="419">
        <v>206</v>
      </c>
      <c r="Q1898" s="420">
        <v>54</v>
      </c>
      <c r="R1898" s="311">
        <f t="shared" si="246"/>
        <v>493</v>
      </c>
      <c r="S1898" s="363">
        <f t="shared" si="247"/>
        <v>136</v>
      </c>
      <c r="T1898" s="421"/>
      <c r="U1898" s="421"/>
      <c r="V1898" s="421"/>
      <c r="W1898" s="421"/>
      <c r="X1898" s="421"/>
    </row>
    <row r="1899" spans="1:24" ht="12.75">
      <c r="A1899" s="417" t="s">
        <v>621</v>
      </c>
      <c r="B1899" s="418" t="s">
        <v>183</v>
      </c>
      <c r="C1899" s="418" t="s">
        <v>784</v>
      </c>
      <c r="D1899" s="418">
        <v>2014</v>
      </c>
      <c r="E1899" s="418" t="s">
        <v>775</v>
      </c>
      <c r="F1899" s="419">
        <v>38</v>
      </c>
      <c r="G1899" s="419">
        <v>0</v>
      </c>
      <c r="H1899" s="420">
        <v>0</v>
      </c>
      <c r="I1899" s="419">
        <v>0</v>
      </c>
      <c r="J1899" s="419">
        <v>24</v>
      </c>
      <c r="K1899" s="419">
        <v>12</v>
      </c>
      <c r="L1899" s="419">
        <v>12</v>
      </c>
      <c r="M1899" s="419">
        <v>0</v>
      </c>
      <c r="N1899" s="419">
        <v>27</v>
      </c>
      <c r="O1899" s="419">
        <v>0</v>
      </c>
      <c r="P1899" s="419">
        <v>64</v>
      </c>
      <c r="Q1899" s="420">
        <v>91</v>
      </c>
      <c r="R1899" s="311">
        <f t="shared" si="246"/>
        <v>153</v>
      </c>
      <c r="S1899" s="363">
        <f t="shared" si="247"/>
        <v>103</v>
      </c>
      <c r="T1899" s="421"/>
      <c r="U1899" s="421"/>
      <c r="V1899" s="421"/>
      <c r="W1899" s="421"/>
      <c r="X1899" s="421"/>
    </row>
    <row r="1900" spans="1:24" ht="12.75">
      <c r="A1900" s="417" t="s">
        <v>183</v>
      </c>
      <c r="B1900" s="418" t="s">
        <v>183</v>
      </c>
      <c r="C1900" s="418" t="s">
        <v>784</v>
      </c>
      <c r="D1900" s="418">
        <v>2014</v>
      </c>
      <c r="E1900" s="418" t="s">
        <v>775</v>
      </c>
      <c r="F1900" s="419">
        <v>285</v>
      </c>
      <c r="G1900" s="419">
        <v>35</v>
      </c>
      <c r="H1900" s="420">
        <v>35</v>
      </c>
      <c r="I1900" s="419">
        <v>0</v>
      </c>
      <c r="J1900" s="419">
        <v>179</v>
      </c>
      <c r="K1900" s="419">
        <v>16</v>
      </c>
      <c r="L1900" s="419">
        <v>16</v>
      </c>
      <c r="M1900" s="419">
        <v>0</v>
      </c>
      <c r="N1900" s="419">
        <v>201</v>
      </c>
      <c r="O1900" s="419">
        <v>8</v>
      </c>
      <c r="P1900" s="419">
        <v>478</v>
      </c>
      <c r="Q1900" s="420">
        <v>146</v>
      </c>
      <c r="R1900" s="311">
        <f t="shared" si="246"/>
        <v>1143</v>
      </c>
      <c r="S1900" s="363">
        <f t="shared" si="247"/>
        <v>205</v>
      </c>
      <c r="T1900" s="421"/>
      <c r="U1900" s="421"/>
      <c r="V1900" s="421"/>
      <c r="W1900" s="421"/>
      <c r="X1900" s="421"/>
    </row>
    <row r="1901" spans="1:24" ht="12.75">
      <c r="A1901" s="417" t="s">
        <v>622</v>
      </c>
      <c r="B1901" s="418" t="s">
        <v>183</v>
      </c>
      <c r="C1901" s="418" t="s">
        <v>784</v>
      </c>
      <c r="D1901" s="418">
        <v>2014</v>
      </c>
      <c r="E1901" s="418" t="s">
        <v>775</v>
      </c>
      <c r="F1901" s="419">
        <v>336</v>
      </c>
      <c r="G1901" s="419">
        <v>1</v>
      </c>
      <c r="H1901" s="420">
        <v>1</v>
      </c>
      <c r="I1901" s="419">
        <v>0</v>
      </c>
      <c r="J1901" s="419">
        <v>211</v>
      </c>
      <c r="K1901" s="419">
        <v>5</v>
      </c>
      <c r="L1901" s="419">
        <v>5</v>
      </c>
      <c r="M1901" s="419">
        <v>0</v>
      </c>
      <c r="N1901" s="419">
        <v>237</v>
      </c>
      <c r="O1901" s="419">
        <v>22</v>
      </c>
      <c r="P1901" s="419">
        <v>563</v>
      </c>
      <c r="Q1901" s="420">
        <v>293</v>
      </c>
      <c r="R1901" s="311">
        <f t="shared" si="246"/>
        <v>1347</v>
      </c>
      <c r="S1901" s="363">
        <f t="shared" si="247"/>
        <v>321</v>
      </c>
      <c r="T1901" s="411">
        <f>SUM(G1896:G1901)</f>
        <v>94</v>
      </c>
      <c r="U1901" s="411">
        <f>SUM(K1896:K1901)</f>
        <v>59</v>
      </c>
      <c r="V1901" s="411">
        <f>SUM(O1896:O1901)</f>
        <v>108</v>
      </c>
      <c r="W1901" s="411">
        <f>SUM(Q1896:Q1901)</f>
        <v>702</v>
      </c>
      <c r="X1901" s="411">
        <f>T1901+U1901+V1901+W1901</f>
        <v>963</v>
      </c>
    </row>
    <row r="1902" spans="1:24" ht="12.75">
      <c r="A1902" s="422" t="s">
        <v>617</v>
      </c>
      <c r="B1902" s="423" t="s">
        <v>183</v>
      </c>
      <c r="C1902" s="423" t="s">
        <v>784</v>
      </c>
      <c r="D1902" s="423">
        <v>2015</v>
      </c>
      <c r="E1902" s="423" t="s">
        <v>775</v>
      </c>
      <c r="F1902" s="424">
        <v>98</v>
      </c>
      <c r="G1902" s="424">
        <v>1</v>
      </c>
      <c r="H1902" s="425">
        <v>1</v>
      </c>
      <c r="I1902" s="424">
        <v>0</v>
      </c>
      <c r="J1902" s="424">
        <v>62</v>
      </c>
      <c r="K1902" s="424">
        <v>0</v>
      </c>
      <c r="L1902" s="424">
        <v>0</v>
      </c>
      <c r="M1902" s="424">
        <v>0</v>
      </c>
      <c r="N1902" s="424">
        <v>69</v>
      </c>
      <c r="O1902" s="424">
        <v>58</v>
      </c>
      <c r="P1902" s="424">
        <v>164</v>
      </c>
      <c r="Q1902" s="425">
        <v>29</v>
      </c>
      <c r="R1902" s="319">
        <f t="shared" si="246"/>
        <v>393</v>
      </c>
      <c r="S1902" s="364">
        <f t="shared" si="247"/>
        <v>88</v>
      </c>
      <c r="T1902" s="426"/>
      <c r="U1902" s="426"/>
      <c r="V1902" s="426"/>
      <c r="W1902" s="426"/>
      <c r="X1902" s="426"/>
    </row>
    <row r="1903" spans="1:24" ht="12.75">
      <c r="A1903" s="422" t="s">
        <v>618</v>
      </c>
      <c r="B1903" s="423" t="s">
        <v>183</v>
      </c>
      <c r="C1903" s="423" t="s">
        <v>784</v>
      </c>
      <c r="D1903" s="423">
        <v>2015</v>
      </c>
      <c r="E1903" s="423" t="s">
        <v>775</v>
      </c>
      <c r="F1903" s="424">
        <v>41</v>
      </c>
      <c r="G1903" s="424">
        <v>0</v>
      </c>
      <c r="H1903" s="425">
        <v>0</v>
      </c>
      <c r="I1903" s="424">
        <v>0</v>
      </c>
      <c r="J1903" s="424">
        <v>26</v>
      </c>
      <c r="K1903" s="424">
        <v>2</v>
      </c>
      <c r="L1903" s="424">
        <v>2</v>
      </c>
      <c r="M1903" s="424">
        <v>0</v>
      </c>
      <c r="N1903" s="424">
        <v>29</v>
      </c>
      <c r="O1903" s="424">
        <v>0</v>
      </c>
      <c r="P1903" s="424">
        <v>69</v>
      </c>
      <c r="Q1903" s="425">
        <v>30</v>
      </c>
      <c r="R1903" s="319">
        <f t="shared" si="246"/>
        <v>165</v>
      </c>
      <c r="S1903" s="364">
        <f t="shared" si="247"/>
        <v>32</v>
      </c>
      <c r="T1903" s="426"/>
      <c r="U1903" s="426"/>
      <c r="V1903" s="426"/>
      <c r="W1903" s="426"/>
      <c r="X1903" s="426"/>
    </row>
    <row r="1904" spans="1:24" ht="12.75">
      <c r="A1904" s="422" t="s">
        <v>620</v>
      </c>
      <c r="B1904" s="423" t="s">
        <v>183</v>
      </c>
      <c r="C1904" s="423" t="s">
        <v>784</v>
      </c>
      <c r="D1904" s="423">
        <v>2015</v>
      </c>
      <c r="E1904" s="423" t="s">
        <v>775</v>
      </c>
      <c r="F1904" s="424">
        <v>123</v>
      </c>
      <c r="G1904" s="424">
        <v>49</v>
      </c>
      <c r="H1904" s="425">
        <v>49</v>
      </c>
      <c r="I1904" s="424">
        <v>0</v>
      </c>
      <c r="J1904" s="424">
        <v>77</v>
      </c>
      <c r="K1904" s="424">
        <v>20</v>
      </c>
      <c r="L1904" s="424">
        <v>20</v>
      </c>
      <c r="M1904" s="424">
        <v>0</v>
      </c>
      <c r="N1904" s="424">
        <v>87</v>
      </c>
      <c r="O1904" s="424">
        <v>23</v>
      </c>
      <c r="P1904" s="424">
        <v>206</v>
      </c>
      <c r="Q1904" s="425">
        <v>61</v>
      </c>
      <c r="R1904" s="319">
        <f t="shared" si="246"/>
        <v>493</v>
      </c>
      <c r="S1904" s="364">
        <f t="shared" si="247"/>
        <v>153</v>
      </c>
      <c r="T1904" s="426"/>
      <c r="U1904" s="426"/>
      <c r="V1904" s="426"/>
      <c r="W1904" s="426"/>
      <c r="X1904" s="426"/>
    </row>
    <row r="1905" spans="1:24" ht="12.75">
      <c r="A1905" s="422" t="s">
        <v>621</v>
      </c>
      <c r="B1905" s="423" t="s">
        <v>183</v>
      </c>
      <c r="C1905" s="423" t="s">
        <v>784</v>
      </c>
      <c r="D1905" s="423">
        <v>2015</v>
      </c>
      <c r="E1905" s="423" t="s">
        <v>775</v>
      </c>
      <c r="F1905" s="424">
        <v>38</v>
      </c>
      <c r="G1905" s="424">
        <v>0</v>
      </c>
      <c r="H1905" s="425">
        <v>0</v>
      </c>
      <c r="I1905" s="424">
        <v>0</v>
      </c>
      <c r="J1905" s="424">
        <v>24</v>
      </c>
      <c r="K1905" s="424">
        <v>0</v>
      </c>
      <c r="L1905" s="424">
        <v>0</v>
      </c>
      <c r="M1905" s="424">
        <v>0</v>
      </c>
      <c r="N1905" s="424">
        <v>27</v>
      </c>
      <c r="O1905" s="424">
        <v>0</v>
      </c>
      <c r="P1905" s="424">
        <v>64</v>
      </c>
      <c r="Q1905" s="425">
        <v>55</v>
      </c>
      <c r="R1905" s="319">
        <f t="shared" si="246"/>
        <v>153</v>
      </c>
      <c r="S1905" s="364">
        <f t="shared" si="247"/>
        <v>55</v>
      </c>
      <c r="T1905" s="426"/>
      <c r="U1905" s="426"/>
      <c r="V1905" s="426"/>
      <c r="W1905" s="426"/>
      <c r="X1905" s="426"/>
    </row>
    <row r="1906" spans="1:24" ht="12.75">
      <c r="A1906" s="422" t="s">
        <v>183</v>
      </c>
      <c r="B1906" s="423" t="s">
        <v>183</v>
      </c>
      <c r="C1906" s="423" t="s">
        <v>784</v>
      </c>
      <c r="D1906" s="423">
        <v>2015</v>
      </c>
      <c r="E1906" s="423" t="s">
        <v>775</v>
      </c>
      <c r="F1906" s="424">
        <v>285</v>
      </c>
      <c r="G1906" s="424">
        <v>1</v>
      </c>
      <c r="H1906" s="425">
        <v>1</v>
      </c>
      <c r="I1906" s="424">
        <v>0</v>
      </c>
      <c r="J1906" s="424">
        <v>179</v>
      </c>
      <c r="K1906" s="424">
        <v>1</v>
      </c>
      <c r="L1906" s="424">
        <v>1</v>
      </c>
      <c r="M1906" s="424">
        <v>0</v>
      </c>
      <c r="N1906" s="424">
        <v>201</v>
      </c>
      <c r="O1906" s="424">
        <v>2</v>
      </c>
      <c r="P1906" s="424">
        <v>478</v>
      </c>
      <c r="Q1906" s="425">
        <v>168</v>
      </c>
      <c r="R1906" s="319">
        <f t="shared" si="246"/>
        <v>1143</v>
      </c>
      <c r="S1906" s="364">
        <f t="shared" si="247"/>
        <v>172</v>
      </c>
      <c r="T1906" s="426"/>
      <c r="U1906" s="426"/>
      <c r="V1906" s="426"/>
      <c r="W1906" s="426"/>
      <c r="X1906" s="426"/>
    </row>
    <row r="1907" spans="1:24" ht="12.75">
      <c r="A1907" s="422" t="s">
        <v>622</v>
      </c>
      <c r="B1907" s="423" t="s">
        <v>183</v>
      </c>
      <c r="C1907" s="423" t="s">
        <v>784</v>
      </c>
      <c r="D1907" s="423">
        <v>2015</v>
      </c>
      <c r="E1907" s="423" t="s">
        <v>775</v>
      </c>
      <c r="F1907" s="424">
        <v>336</v>
      </c>
      <c r="G1907" s="424">
        <v>7</v>
      </c>
      <c r="H1907" s="425">
        <v>2</v>
      </c>
      <c r="I1907" s="424">
        <v>5</v>
      </c>
      <c r="J1907" s="424">
        <v>211</v>
      </c>
      <c r="K1907" s="424">
        <v>10</v>
      </c>
      <c r="L1907" s="424">
        <v>3</v>
      </c>
      <c r="M1907" s="424">
        <v>7</v>
      </c>
      <c r="N1907" s="424">
        <v>237</v>
      </c>
      <c r="O1907" s="424">
        <v>27</v>
      </c>
      <c r="P1907" s="424">
        <v>563</v>
      </c>
      <c r="Q1907" s="425">
        <v>282</v>
      </c>
      <c r="R1907" s="319">
        <f t="shared" si="246"/>
        <v>1347</v>
      </c>
      <c r="S1907" s="364">
        <f t="shared" si="247"/>
        <v>326</v>
      </c>
      <c r="T1907" s="427">
        <f>SUM(G1902:G1907)</f>
        <v>58</v>
      </c>
      <c r="U1907" s="427">
        <f>SUM(K1902:K1907)</f>
        <v>33</v>
      </c>
      <c r="V1907" s="427">
        <f>SUM(O1902:O1907)</f>
        <v>110</v>
      </c>
      <c r="W1907" s="427">
        <f>SUM(Q1902:Q1907)</f>
        <v>625</v>
      </c>
      <c r="X1907" s="427">
        <f>T1907+U1907+V1907+W1907</f>
        <v>826</v>
      </c>
    </row>
    <row r="1908" spans="1:24" ht="12.75">
      <c r="A1908" s="428" t="s">
        <v>617</v>
      </c>
      <c r="B1908" s="429" t="s">
        <v>183</v>
      </c>
      <c r="C1908" s="429" t="s">
        <v>784</v>
      </c>
      <c r="D1908" s="429">
        <v>2016</v>
      </c>
      <c r="E1908" s="429" t="s">
        <v>775</v>
      </c>
      <c r="F1908" s="430">
        <v>98</v>
      </c>
      <c r="G1908" s="430">
        <v>45</v>
      </c>
      <c r="H1908" s="431">
        <v>45</v>
      </c>
      <c r="I1908" s="430">
        <v>0</v>
      </c>
      <c r="J1908" s="430">
        <v>62</v>
      </c>
      <c r="K1908" s="430">
        <v>25</v>
      </c>
      <c r="L1908" s="430">
        <v>25</v>
      </c>
      <c r="M1908" s="430">
        <v>0</v>
      </c>
      <c r="N1908" s="430">
        <v>69</v>
      </c>
      <c r="O1908" s="430">
        <v>29</v>
      </c>
      <c r="P1908" s="430">
        <v>164</v>
      </c>
      <c r="Q1908" s="431">
        <v>21</v>
      </c>
      <c r="R1908" s="328">
        <f t="shared" si="246"/>
        <v>393</v>
      </c>
      <c r="S1908" s="365">
        <f t="shared" si="247"/>
        <v>120</v>
      </c>
      <c r="T1908" s="432"/>
      <c r="U1908" s="432"/>
      <c r="V1908" s="432"/>
      <c r="W1908" s="432"/>
      <c r="X1908" s="432"/>
    </row>
    <row r="1909" spans="1:24" ht="12.75">
      <c r="A1909" s="428" t="s">
        <v>618</v>
      </c>
      <c r="B1909" s="429" t="s">
        <v>183</v>
      </c>
      <c r="C1909" s="429" t="s">
        <v>784</v>
      </c>
      <c r="D1909" s="429">
        <v>2016</v>
      </c>
      <c r="E1909" s="429" t="s">
        <v>775</v>
      </c>
      <c r="F1909" s="430">
        <v>41</v>
      </c>
      <c r="G1909" s="430">
        <v>0</v>
      </c>
      <c r="H1909" s="431">
        <v>0</v>
      </c>
      <c r="I1909" s="430">
        <v>0</v>
      </c>
      <c r="J1909" s="430">
        <v>26</v>
      </c>
      <c r="K1909" s="430">
        <v>2</v>
      </c>
      <c r="L1909" s="430">
        <v>2</v>
      </c>
      <c r="M1909" s="430">
        <v>0</v>
      </c>
      <c r="N1909" s="430">
        <v>29</v>
      </c>
      <c r="O1909" s="430">
        <v>0</v>
      </c>
      <c r="P1909" s="430">
        <v>69</v>
      </c>
      <c r="Q1909" s="431">
        <v>21</v>
      </c>
      <c r="R1909" s="328">
        <f t="shared" si="246"/>
        <v>165</v>
      </c>
      <c r="S1909" s="365">
        <f t="shared" si="247"/>
        <v>23</v>
      </c>
      <c r="T1909" s="432"/>
      <c r="U1909" s="432"/>
      <c r="V1909" s="432"/>
      <c r="W1909" s="432"/>
      <c r="X1909" s="432"/>
    </row>
    <row r="1910" spans="1:24" ht="12.75">
      <c r="A1910" s="428" t="s">
        <v>620</v>
      </c>
      <c r="B1910" s="429" t="s">
        <v>183</v>
      </c>
      <c r="C1910" s="429" t="s">
        <v>784</v>
      </c>
      <c r="D1910" s="429">
        <v>2016</v>
      </c>
      <c r="E1910" s="429" t="s">
        <v>775</v>
      </c>
      <c r="F1910" s="430">
        <v>123</v>
      </c>
      <c r="G1910" s="430">
        <v>0</v>
      </c>
      <c r="H1910" s="431">
        <v>0</v>
      </c>
      <c r="I1910" s="430">
        <v>0</v>
      </c>
      <c r="J1910" s="430">
        <v>77</v>
      </c>
      <c r="K1910" s="430">
        <v>0</v>
      </c>
      <c r="L1910" s="430">
        <v>0</v>
      </c>
      <c r="M1910" s="430">
        <v>0</v>
      </c>
      <c r="N1910" s="430">
        <v>87</v>
      </c>
      <c r="O1910" s="430">
        <v>21</v>
      </c>
      <c r="P1910" s="430">
        <v>206</v>
      </c>
      <c r="Q1910" s="431">
        <v>44</v>
      </c>
      <c r="R1910" s="328">
        <f t="shared" si="246"/>
        <v>493</v>
      </c>
      <c r="S1910" s="365">
        <f t="shared" si="247"/>
        <v>65</v>
      </c>
      <c r="T1910" s="432"/>
      <c r="U1910" s="432"/>
      <c r="V1910" s="432"/>
      <c r="W1910" s="432"/>
      <c r="X1910" s="432"/>
    </row>
    <row r="1911" spans="1:24" ht="12.75">
      <c r="A1911" s="428" t="s">
        <v>621</v>
      </c>
      <c r="B1911" s="429" t="s">
        <v>183</v>
      </c>
      <c r="C1911" s="429" t="s">
        <v>784</v>
      </c>
      <c r="D1911" s="429">
        <v>2016</v>
      </c>
      <c r="E1911" s="429" t="s">
        <v>775</v>
      </c>
      <c r="F1911" s="430">
        <v>38</v>
      </c>
      <c r="G1911" s="430">
        <v>0</v>
      </c>
      <c r="H1911" s="431">
        <v>0</v>
      </c>
      <c r="I1911" s="430">
        <v>0</v>
      </c>
      <c r="J1911" s="430">
        <v>24</v>
      </c>
      <c r="K1911" s="430">
        <v>0</v>
      </c>
      <c r="L1911" s="430">
        <v>0</v>
      </c>
      <c r="M1911" s="430">
        <v>0</v>
      </c>
      <c r="N1911" s="430">
        <v>27</v>
      </c>
      <c r="O1911" s="430">
        <v>0</v>
      </c>
      <c r="P1911" s="430">
        <v>64</v>
      </c>
      <c r="Q1911" s="431">
        <v>65</v>
      </c>
      <c r="R1911" s="328">
        <f t="shared" si="246"/>
        <v>153</v>
      </c>
      <c r="S1911" s="365">
        <f t="shared" si="247"/>
        <v>65</v>
      </c>
      <c r="T1911" s="432"/>
      <c r="U1911" s="432"/>
      <c r="V1911" s="432"/>
      <c r="W1911" s="432"/>
      <c r="X1911" s="432"/>
    </row>
    <row r="1912" spans="1:24" ht="12.75">
      <c r="A1912" s="428" t="s">
        <v>183</v>
      </c>
      <c r="B1912" s="429" t="s">
        <v>183</v>
      </c>
      <c r="C1912" s="429" t="s">
        <v>784</v>
      </c>
      <c r="D1912" s="429">
        <v>2016</v>
      </c>
      <c r="E1912" s="429" t="s">
        <v>775</v>
      </c>
      <c r="F1912" s="430">
        <v>285</v>
      </c>
      <c r="G1912" s="430">
        <v>19</v>
      </c>
      <c r="H1912" s="431">
        <v>19</v>
      </c>
      <c r="I1912" s="430">
        <v>0</v>
      </c>
      <c r="J1912" s="430">
        <v>179</v>
      </c>
      <c r="K1912" s="430">
        <v>1</v>
      </c>
      <c r="L1912" s="430">
        <v>1</v>
      </c>
      <c r="M1912" s="430">
        <v>0</v>
      </c>
      <c r="N1912" s="430">
        <v>201</v>
      </c>
      <c r="O1912" s="430">
        <v>3</v>
      </c>
      <c r="P1912" s="430">
        <v>478</v>
      </c>
      <c r="Q1912" s="431">
        <v>111</v>
      </c>
      <c r="R1912" s="328">
        <f t="shared" si="246"/>
        <v>1143</v>
      </c>
      <c r="S1912" s="365">
        <f t="shared" si="247"/>
        <v>134</v>
      </c>
      <c r="T1912" s="432"/>
      <c r="U1912" s="432"/>
      <c r="V1912" s="432"/>
      <c r="W1912" s="432"/>
      <c r="X1912" s="432"/>
    </row>
    <row r="1913" spans="1:24" ht="12.75">
      <c r="A1913" s="428" t="s">
        <v>622</v>
      </c>
      <c r="B1913" s="429" t="s">
        <v>183</v>
      </c>
      <c r="C1913" s="429" t="s">
        <v>784</v>
      </c>
      <c r="D1913" s="429">
        <v>2016</v>
      </c>
      <c r="E1913" s="429" t="s">
        <v>775</v>
      </c>
      <c r="F1913" s="430">
        <v>336</v>
      </c>
      <c r="G1913" s="430">
        <v>20</v>
      </c>
      <c r="H1913" s="431">
        <v>14</v>
      </c>
      <c r="I1913" s="430">
        <v>6</v>
      </c>
      <c r="J1913" s="430">
        <v>211</v>
      </c>
      <c r="K1913" s="430">
        <v>43</v>
      </c>
      <c r="L1913" s="430">
        <v>34</v>
      </c>
      <c r="M1913" s="430">
        <v>9</v>
      </c>
      <c r="N1913" s="430">
        <v>237</v>
      </c>
      <c r="O1913" s="430">
        <v>48</v>
      </c>
      <c r="P1913" s="430">
        <v>563</v>
      </c>
      <c r="Q1913" s="431">
        <v>278</v>
      </c>
      <c r="R1913" s="328">
        <f t="shared" si="246"/>
        <v>1347</v>
      </c>
      <c r="S1913" s="365">
        <f t="shared" si="247"/>
        <v>389</v>
      </c>
      <c r="T1913" s="413">
        <f>SUM(G1908:G1913)</f>
        <v>84</v>
      </c>
      <c r="U1913" s="413">
        <f>SUM(K1908:K1913)</f>
        <v>71</v>
      </c>
      <c r="V1913" s="413">
        <f>SUM(O1908:O1913)</f>
        <v>101</v>
      </c>
      <c r="W1913" s="413">
        <f>SUM(Q1908:Q1913)</f>
        <v>540</v>
      </c>
      <c r="X1913" s="413">
        <f>T1913+U1913+V1913+W1913</f>
        <v>796</v>
      </c>
    </row>
    <row r="1914" spans="1:24" ht="12.75">
      <c r="A1914" s="433" t="s">
        <v>616</v>
      </c>
      <c r="B1914" s="434" t="s">
        <v>183</v>
      </c>
      <c r="C1914" s="434" t="s">
        <v>784</v>
      </c>
      <c r="D1914" s="434">
        <v>2017</v>
      </c>
      <c r="E1914" s="434" t="s">
        <v>775</v>
      </c>
      <c r="F1914" s="435">
        <v>60</v>
      </c>
      <c r="G1914" s="435">
        <v>0</v>
      </c>
      <c r="H1914" s="436">
        <v>0</v>
      </c>
      <c r="I1914" s="435">
        <v>0</v>
      </c>
      <c r="J1914" s="435">
        <v>38</v>
      </c>
      <c r="K1914" s="435">
        <v>4</v>
      </c>
      <c r="L1914" s="435">
        <v>0</v>
      </c>
      <c r="M1914" s="435">
        <v>4</v>
      </c>
      <c r="N1914" s="435">
        <v>43</v>
      </c>
      <c r="O1914" s="435">
        <v>0</v>
      </c>
      <c r="P1914" s="435">
        <v>101</v>
      </c>
      <c r="Q1914" s="436">
        <v>37</v>
      </c>
      <c r="R1914" s="336">
        <f t="shared" si="246"/>
        <v>242</v>
      </c>
      <c r="S1914" s="366">
        <f t="shared" si="247"/>
        <v>41</v>
      </c>
      <c r="T1914" s="437"/>
      <c r="U1914" s="437"/>
      <c r="V1914" s="437"/>
      <c r="W1914" s="437"/>
      <c r="X1914" s="437"/>
    </row>
    <row r="1915" spans="1:24" ht="12.75">
      <c r="A1915" s="433" t="s">
        <v>617</v>
      </c>
      <c r="B1915" s="434" t="s">
        <v>183</v>
      </c>
      <c r="C1915" s="434" t="s">
        <v>784</v>
      </c>
      <c r="D1915" s="434">
        <v>2017</v>
      </c>
      <c r="E1915" s="434" t="s">
        <v>775</v>
      </c>
      <c r="F1915" s="435">
        <v>98</v>
      </c>
      <c r="G1915" s="435">
        <v>0</v>
      </c>
      <c r="H1915" s="436">
        <v>0</v>
      </c>
      <c r="I1915" s="435">
        <v>0</v>
      </c>
      <c r="J1915" s="435">
        <v>62</v>
      </c>
      <c r="K1915" s="435">
        <v>0</v>
      </c>
      <c r="L1915" s="435">
        <v>0</v>
      </c>
      <c r="M1915" s="435">
        <v>0</v>
      </c>
      <c r="N1915" s="435">
        <v>69</v>
      </c>
      <c r="O1915" s="435">
        <v>1</v>
      </c>
      <c r="P1915" s="435">
        <v>164</v>
      </c>
      <c r="Q1915" s="436">
        <v>76</v>
      </c>
      <c r="R1915" s="336">
        <f t="shared" si="246"/>
        <v>393</v>
      </c>
      <c r="S1915" s="366">
        <f t="shared" si="247"/>
        <v>77</v>
      </c>
      <c r="T1915" s="437"/>
      <c r="U1915" s="437"/>
      <c r="V1915" s="437"/>
      <c r="W1915" s="437"/>
      <c r="X1915" s="437"/>
    </row>
    <row r="1916" spans="1:24" ht="12.75">
      <c r="A1916" s="433" t="s">
        <v>618</v>
      </c>
      <c r="B1916" s="434" t="s">
        <v>183</v>
      </c>
      <c r="C1916" s="434" t="s">
        <v>784</v>
      </c>
      <c r="D1916" s="434">
        <v>2017</v>
      </c>
      <c r="E1916" s="434" t="s">
        <v>775</v>
      </c>
      <c r="F1916" s="435">
        <v>41</v>
      </c>
      <c r="G1916" s="435">
        <v>0</v>
      </c>
      <c r="H1916" s="436">
        <v>0</v>
      </c>
      <c r="I1916" s="435">
        <v>0</v>
      </c>
      <c r="J1916" s="435">
        <v>26</v>
      </c>
      <c r="K1916" s="435">
        <v>0</v>
      </c>
      <c r="L1916" s="435">
        <v>0</v>
      </c>
      <c r="M1916" s="435">
        <v>0</v>
      </c>
      <c r="N1916" s="435">
        <v>29</v>
      </c>
      <c r="O1916" s="435">
        <v>0</v>
      </c>
      <c r="P1916" s="435">
        <v>69</v>
      </c>
      <c r="Q1916" s="436">
        <v>17</v>
      </c>
      <c r="R1916" s="336">
        <f t="shared" si="246"/>
        <v>165</v>
      </c>
      <c r="S1916" s="366">
        <f t="shared" si="247"/>
        <v>17</v>
      </c>
      <c r="T1916" s="437"/>
      <c r="U1916" s="437"/>
      <c r="V1916" s="437"/>
      <c r="W1916" s="437"/>
      <c r="X1916" s="437"/>
    </row>
    <row r="1917" spans="1:24" ht="12.75">
      <c r="A1917" s="433" t="s">
        <v>620</v>
      </c>
      <c r="B1917" s="434" t="s">
        <v>183</v>
      </c>
      <c r="C1917" s="434" t="s">
        <v>784</v>
      </c>
      <c r="D1917" s="434">
        <v>2017</v>
      </c>
      <c r="E1917" s="434" t="s">
        <v>775</v>
      </c>
      <c r="F1917" s="435">
        <v>123</v>
      </c>
      <c r="G1917" s="435">
        <v>52</v>
      </c>
      <c r="H1917" s="436">
        <v>52</v>
      </c>
      <c r="I1917" s="435">
        <v>0</v>
      </c>
      <c r="J1917" s="435">
        <v>77</v>
      </c>
      <c r="K1917" s="435">
        <v>23</v>
      </c>
      <c r="L1917" s="435">
        <v>23</v>
      </c>
      <c r="M1917" s="435">
        <v>0</v>
      </c>
      <c r="N1917" s="435">
        <v>87</v>
      </c>
      <c r="O1917" s="435">
        <v>150</v>
      </c>
      <c r="P1917" s="435">
        <v>206</v>
      </c>
      <c r="Q1917" s="436">
        <v>17</v>
      </c>
      <c r="R1917" s="336">
        <f t="shared" si="246"/>
        <v>493</v>
      </c>
      <c r="S1917" s="366">
        <f t="shared" si="247"/>
        <v>242</v>
      </c>
      <c r="T1917" s="437"/>
      <c r="U1917" s="437"/>
      <c r="V1917" s="437"/>
      <c r="W1917" s="437"/>
      <c r="X1917" s="437"/>
    </row>
    <row r="1918" spans="1:24" ht="12.75">
      <c r="A1918" s="433" t="s">
        <v>621</v>
      </c>
      <c r="B1918" s="434" t="s">
        <v>183</v>
      </c>
      <c r="C1918" s="434" t="s">
        <v>784</v>
      </c>
      <c r="D1918" s="434">
        <v>2017</v>
      </c>
      <c r="E1918" s="434" t="s">
        <v>775</v>
      </c>
      <c r="F1918" s="435">
        <v>38</v>
      </c>
      <c r="G1918" s="435">
        <v>0</v>
      </c>
      <c r="H1918" s="436">
        <v>0</v>
      </c>
      <c r="I1918" s="435">
        <v>0</v>
      </c>
      <c r="J1918" s="435">
        <v>24</v>
      </c>
      <c r="K1918" s="435">
        <v>0</v>
      </c>
      <c r="L1918" s="435">
        <v>0</v>
      </c>
      <c r="M1918" s="435">
        <v>0</v>
      </c>
      <c r="N1918" s="435">
        <v>27</v>
      </c>
      <c r="O1918" s="435">
        <v>0</v>
      </c>
      <c r="P1918" s="435">
        <v>64</v>
      </c>
      <c r="Q1918" s="436">
        <v>32</v>
      </c>
      <c r="R1918" s="336">
        <f t="shared" si="246"/>
        <v>153</v>
      </c>
      <c r="S1918" s="366">
        <f t="shared" si="247"/>
        <v>32</v>
      </c>
      <c r="T1918" s="437"/>
      <c r="U1918" s="437"/>
      <c r="V1918" s="437"/>
      <c r="W1918" s="437"/>
      <c r="X1918" s="437"/>
    </row>
    <row r="1919" spans="1:24" ht="12.75">
      <c r="A1919" s="433" t="s">
        <v>183</v>
      </c>
      <c r="B1919" s="434" t="s">
        <v>183</v>
      </c>
      <c r="C1919" s="434" t="s">
        <v>784</v>
      </c>
      <c r="D1919" s="434">
        <v>2017</v>
      </c>
      <c r="E1919" s="434" t="s">
        <v>775</v>
      </c>
      <c r="F1919" s="435">
        <v>285</v>
      </c>
      <c r="G1919" s="435">
        <v>41</v>
      </c>
      <c r="H1919" s="436">
        <v>41</v>
      </c>
      <c r="I1919" s="435">
        <v>0</v>
      </c>
      <c r="J1919" s="435">
        <v>179</v>
      </c>
      <c r="K1919" s="435">
        <v>9</v>
      </c>
      <c r="L1919" s="435">
        <v>9</v>
      </c>
      <c r="M1919" s="435">
        <v>0</v>
      </c>
      <c r="N1919" s="435">
        <v>201</v>
      </c>
      <c r="O1919" s="435">
        <v>0</v>
      </c>
      <c r="P1919" s="435">
        <v>478</v>
      </c>
      <c r="Q1919" s="436">
        <v>164</v>
      </c>
      <c r="R1919" s="336">
        <f t="shared" si="246"/>
        <v>1143</v>
      </c>
      <c r="S1919" s="366">
        <f t="shared" si="247"/>
        <v>214</v>
      </c>
      <c r="T1919" s="437"/>
      <c r="U1919" s="437"/>
      <c r="V1919" s="437"/>
      <c r="W1919" s="437"/>
      <c r="X1919" s="437"/>
    </row>
    <row r="1920" spans="1:24" ht="12.75">
      <c r="A1920" s="433" t="s">
        <v>622</v>
      </c>
      <c r="B1920" s="434" t="s">
        <v>183</v>
      </c>
      <c r="C1920" s="434" t="s">
        <v>784</v>
      </c>
      <c r="D1920" s="434">
        <v>2017</v>
      </c>
      <c r="E1920" s="434" t="s">
        <v>775</v>
      </c>
      <c r="F1920" s="435">
        <v>336</v>
      </c>
      <c r="G1920" s="435">
        <v>12</v>
      </c>
      <c r="H1920" s="436">
        <v>3</v>
      </c>
      <c r="I1920" s="435">
        <v>9</v>
      </c>
      <c r="J1920" s="435">
        <v>211</v>
      </c>
      <c r="K1920" s="435">
        <v>14</v>
      </c>
      <c r="L1920" s="435">
        <v>5</v>
      </c>
      <c r="M1920" s="435">
        <v>9</v>
      </c>
      <c r="N1920" s="435">
        <v>237</v>
      </c>
      <c r="O1920" s="435">
        <v>45</v>
      </c>
      <c r="P1920" s="435">
        <v>563</v>
      </c>
      <c r="Q1920" s="436">
        <v>371</v>
      </c>
      <c r="R1920" s="336">
        <f t="shared" si="246"/>
        <v>1347</v>
      </c>
      <c r="S1920" s="366">
        <f t="shared" si="247"/>
        <v>442</v>
      </c>
      <c r="T1920" s="414">
        <f>SUM(G1914:G1920)</f>
        <v>105</v>
      </c>
      <c r="U1920" s="414">
        <f>SUM(K1914:K1920)</f>
        <v>50</v>
      </c>
      <c r="V1920" s="414">
        <f>SUM(O1914:O1920)</f>
        <v>196</v>
      </c>
      <c r="W1920" s="414">
        <f>SUM(Q1914:Q1920)</f>
        <v>714</v>
      </c>
      <c r="X1920" s="414">
        <f>T1920+U1920+V1920+W1920</f>
        <v>1065</v>
      </c>
    </row>
    <row r="1921" spans="1:24" ht="12.75">
      <c r="A1921" s="438" t="s">
        <v>616</v>
      </c>
      <c r="B1921" s="439" t="s">
        <v>183</v>
      </c>
      <c r="C1921" s="439" t="s">
        <v>784</v>
      </c>
      <c r="D1921" s="439">
        <v>2018</v>
      </c>
      <c r="E1921" s="439" t="s">
        <v>775</v>
      </c>
      <c r="F1921" s="440">
        <v>60</v>
      </c>
      <c r="G1921" s="441">
        <v>0</v>
      </c>
      <c r="H1921" s="440">
        <v>0</v>
      </c>
      <c r="I1921" s="440">
        <v>0</v>
      </c>
      <c r="J1921" s="440">
        <v>38</v>
      </c>
      <c r="K1921" s="441">
        <v>13</v>
      </c>
      <c r="L1921" s="440">
        <v>0</v>
      </c>
      <c r="M1921" s="440">
        <v>13</v>
      </c>
      <c r="N1921" s="440">
        <v>43</v>
      </c>
      <c r="O1921" s="440">
        <v>0</v>
      </c>
      <c r="P1921" s="440">
        <v>101</v>
      </c>
      <c r="Q1921" s="440">
        <v>22</v>
      </c>
      <c r="R1921" s="344">
        <f t="shared" si="246"/>
        <v>242</v>
      </c>
      <c r="S1921" s="367">
        <f t="shared" si="247"/>
        <v>35</v>
      </c>
      <c r="T1921" s="442"/>
      <c r="U1921" s="442"/>
      <c r="V1921" s="442"/>
      <c r="W1921" s="442"/>
      <c r="X1921" s="442"/>
    </row>
    <row r="1922" spans="1:24" ht="12.75">
      <c r="A1922" s="438" t="s">
        <v>617</v>
      </c>
      <c r="B1922" s="439" t="s">
        <v>183</v>
      </c>
      <c r="C1922" s="439" t="s">
        <v>784</v>
      </c>
      <c r="D1922" s="439">
        <v>2018</v>
      </c>
      <c r="E1922" s="439" t="s">
        <v>775</v>
      </c>
      <c r="F1922" s="440">
        <v>98</v>
      </c>
      <c r="G1922" s="441">
        <v>0</v>
      </c>
      <c r="H1922" s="440">
        <v>0</v>
      </c>
      <c r="I1922" s="440">
        <v>0</v>
      </c>
      <c r="J1922" s="440">
        <v>62</v>
      </c>
      <c r="K1922" s="441">
        <v>0</v>
      </c>
      <c r="L1922" s="440">
        <v>0</v>
      </c>
      <c r="M1922" s="440">
        <v>0</v>
      </c>
      <c r="N1922" s="440">
        <v>69</v>
      </c>
      <c r="O1922" s="440">
        <v>7</v>
      </c>
      <c r="P1922" s="440">
        <v>164</v>
      </c>
      <c r="Q1922" s="440">
        <v>12</v>
      </c>
      <c r="R1922" s="344">
        <f t="shared" si="246"/>
        <v>393</v>
      </c>
      <c r="S1922" s="367">
        <f t="shared" si="247"/>
        <v>19</v>
      </c>
      <c r="T1922" s="442"/>
      <c r="U1922" s="442"/>
      <c r="V1922" s="442"/>
      <c r="W1922" s="442"/>
      <c r="X1922" s="442"/>
    </row>
    <row r="1923" spans="1:24" ht="12.75">
      <c r="A1923" s="438" t="s">
        <v>618</v>
      </c>
      <c r="B1923" s="439" t="s">
        <v>183</v>
      </c>
      <c r="C1923" s="439" t="s">
        <v>784</v>
      </c>
      <c r="D1923" s="439">
        <v>2018</v>
      </c>
      <c r="E1923" s="439" t="s">
        <v>775</v>
      </c>
      <c r="F1923" s="440">
        <v>41</v>
      </c>
      <c r="G1923" s="441">
        <v>0</v>
      </c>
      <c r="H1923" s="440">
        <v>0</v>
      </c>
      <c r="I1923" s="440">
        <v>0</v>
      </c>
      <c r="J1923" s="440">
        <v>26</v>
      </c>
      <c r="K1923" s="441">
        <v>4</v>
      </c>
      <c r="L1923" s="440">
        <v>4</v>
      </c>
      <c r="M1923" s="440">
        <v>0</v>
      </c>
      <c r="N1923" s="440">
        <v>29</v>
      </c>
      <c r="O1923" s="440">
        <v>0</v>
      </c>
      <c r="P1923" s="440">
        <v>69</v>
      </c>
      <c r="Q1923" s="440">
        <v>25</v>
      </c>
      <c r="R1923" s="344">
        <f t="shared" si="246"/>
        <v>165</v>
      </c>
      <c r="S1923" s="367">
        <f t="shared" si="247"/>
        <v>29</v>
      </c>
      <c r="T1923" s="442"/>
      <c r="U1923" s="442"/>
      <c r="V1923" s="442"/>
      <c r="W1923" s="442"/>
      <c r="X1923" s="442"/>
    </row>
    <row r="1924" spans="1:24" ht="12.75">
      <c r="A1924" s="438" t="s">
        <v>619</v>
      </c>
      <c r="B1924" s="439" t="s">
        <v>183</v>
      </c>
      <c r="C1924" s="439" t="s">
        <v>784</v>
      </c>
      <c r="D1924" s="439">
        <v>2018</v>
      </c>
      <c r="E1924" s="439" t="s">
        <v>775</v>
      </c>
      <c r="F1924" s="440">
        <v>39</v>
      </c>
      <c r="G1924" s="441">
        <v>0</v>
      </c>
      <c r="H1924" s="440">
        <v>0</v>
      </c>
      <c r="I1924" s="440">
        <v>0</v>
      </c>
      <c r="J1924" s="440">
        <v>24</v>
      </c>
      <c r="K1924" s="441">
        <v>0</v>
      </c>
      <c r="L1924" s="440">
        <v>0</v>
      </c>
      <c r="M1924" s="440">
        <v>0</v>
      </c>
      <c r="N1924" s="440">
        <v>27</v>
      </c>
      <c r="O1924" s="440">
        <v>2</v>
      </c>
      <c r="P1924" s="440">
        <v>65</v>
      </c>
      <c r="Q1924" s="440">
        <v>38</v>
      </c>
      <c r="R1924" s="344">
        <f t="shared" si="246"/>
        <v>155</v>
      </c>
      <c r="S1924" s="367">
        <f t="shared" si="247"/>
        <v>40</v>
      </c>
      <c r="T1924" s="442"/>
      <c r="U1924" s="442"/>
      <c r="V1924" s="442"/>
      <c r="W1924" s="442"/>
      <c r="X1924" s="442"/>
    </row>
    <row r="1925" spans="1:24" ht="12.75">
      <c r="A1925" s="438" t="s">
        <v>620</v>
      </c>
      <c r="B1925" s="439" t="s">
        <v>183</v>
      </c>
      <c r="C1925" s="439" t="s">
        <v>784</v>
      </c>
      <c r="D1925" s="439">
        <v>2018</v>
      </c>
      <c r="E1925" s="439" t="s">
        <v>775</v>
      </c>
      <c r="F1925" s="440">
        <v>123</v>
      </c>
      <c r="G1925" s="441">
        <v>54</v>
      </c>
      <c r="H1925" s="440">
        <v>54</v>
      </c>
      <c r="I1925" s="440">
        <v>0</v>
      </c>
      <c r="J1925" s="440">
        <v>77</v>
      </c>
      <c r="K1925" s="441">
        <v>21</v>
      </c>
      <c r="L1925" s="440">
        <v>21</v>
      </c>
      <c r="M1925" s="440">
        <v>0</v>
      </c>
      <c r="N1925" s="440">
        <v>87</v>
      </c>
      <c r="O1925" s="440">
        <v>13</v>
      </c>
      <c r="P1925" s="440">
        <v>206</v>
      </c>
      <c r="Q1925" s="440">
        <v>12</v>
      </c>
      <c r="R1925" s="344">
        <f t="shared" si="246"/>
        <v>493</v>
      </c>
      <c r="S1925" s="367">
        <f t="shared" si="247"/>
        <v>100</v>
      </c>
      <c r="T1925" s="442"/>
      <c r="U1925" s="442"/>
      <c r="V1925" s="442"/>
      <c r="W1925" s="442"/>
      <c r="X1925" s="442"/>
    </row>
    <row r="1926" spans="1:24" ht="12.75">
      <c r="A1926" s="438" t="s">
        <v>621</v>
      </c>
      <c r="B1926" s="439" t="s">
        <v>183</v>
      </c>
      <c r="C1926" s="439" t="s">
        <v>784</v>
      </c>
      <c r="D1926" s="439">
        <v>2018</v>
      </c>
      <c r="E1926" s="439" t="s">
        <v>775</v>
      </c>
      <c r="F1926" s="440">
        <v>38</v>
      </c>
      <c r="G1926" s="441">
        <v>0</v>
      </c>
      <c r="H1926" s="440">
        <v>0</v>
      </c>
      <c r="I1926" s="440">
        <v>0</v>
      </c>
      <c r="J1926" s="440">
        <v>24</v>
      </c>
      <c r="K1926" s="441">
        <v>0</v>
      </c>
      <c r="L1926" s="440">
        <v>0</v>
      </c>
      <c r="M1926" s="440">
        <v>0</v>
      </c>
      <c r="N1926" s="440">
        <v>27</v>
      </c>
      <c r="O1926" s="440">
        <v>0</v>
      </c>
      <c r="P1926" s="440">
        <v>64</v>
      </c>
      <c r="Q1926" s="440">
        <v>10</v>
      </c>
      <c r="R1926" s="344">
        <f t="shared" si="246"/>
        <v>153</v>
      </c>
      <c r="S1926" s="367">
        <f t="shared" si="247"/>
        <v>10</v>
      </c>
      <c r="T1926" s="442"/>
      <c r="U1926" s="442"/>
      <c r="V1926" s="442"/>
      <c r="W1926" s="442"/>
      <c r="X1926" s="442"/>
    </row>
    <row r="1927" spans="1:24" ht="12.75">
      <c r="A1927" s="438" t="s">
        <v>183</v>
      </c>
      <c r="B1927" s="439" t="s">
        <v>183</v>
      </c>
      <c r="C1927" s="439" t="s">
        <v>784</v>
      </c>
      <c r="D1927" s="439">
        <v>2018</v>
      </c>
      <c r="E1927" s="439" t="s">
        <v>775</v>
      </c>
      <c r="F1927" s="440">
        <v>285</v>
      </c>
      <c r="G1927" s="441">
        <v>70</v>
      </c>
      <c r="H1927" s="440">
        <v>70</v>
      </c>
      <c r="I1927" s="440">
        <v>0</v>
      </c>
      <c r="J1927" s="440">
        <v>179</v>
      </c>
      <c r="K1927" s="441">
        <v>4</v>
      </c>
      <c r="L1927" s="440">
        <v>4</v>
      </c>
      <c r="M1927" s="440">
        <v>0</v>
      </c>
      <c r="N1927" s="440">
        <v>201</v>
      </c>
      <c r="O1927" s="440">
        <v>0</v>
      </c>
      <c r="P1927" s="440">
        <v>478</v>
      </c>
      <c r="Q1927" s="440">
        <v>220</v>
      </c>
      <c r="R1927" s="344">
        <f t="shared" si="246"/>
        <v>1143</v>
      </c>
      <c r="S1927" s="367">
        <f t="shared" si="247"/>
        <v>294</v>
      </c>
      <c r="T1927" s="442"/>
      <c r="U1927" s="442"/>
      <c r="V1927" s="442"/>
      <c r="W1927" s="442"/>
      <c r="X1927" s="442"/>
    </row>
    <row r="1928" spans="1:24" ht="12.75">
      <c r="A1928" s="438" t="s">
        <v>622</v>
      </c>
      <c r="B1928" s="439" t="s">
        <v>183</v>
      </c>
      <c r="C1928" s="439" t="s">
        <v>784</v>
      </c>
      <c r="D1928" s="439">
        <v>2018</v>
      </c>
      <c r="E1928" s="439" t="s">
        <v>775</v>
      </c>
      <c r="F1928" s="440">
        <v>336</v>
      </c>
      <c r="G1928" s="441">
        <v>12</v>
      </c>
      <c r="H1928" s="440">
        <v>12</v>
      </c>
      <c r="I1928" s="440">
        <v>0</v>
      </c>
      <c r="J1928" s="440">
        <v>211</v>
      </c>
      <c r="K1928" s="441">
        <v>17</v>
      </c>
      <c r="L1928" s="440">
        <v>17</v>
      </c>
      <c r="M1928" s="440">
        <v>0</v>
      </c>
      <c r="N1928" s="440">
        <v>237</v>
      </c>
      <c r="O1928" s="440">
        <v>14</v>
      </c>
      <c r="P1928" s="440">
        <v>563</v>
      </c>
      <c r="Q1928" s="440">
        <v>343</v>
      </c>
      <c r="R1928" s="344">
        <f t="shared" si="246"/>
        <v>1347</v>
      </c>
      <c r="S1928" s="367">
        <f t="shared" si="247"/>
        <v>386</v>
      </c>
      <c r="T1928" s="443">
        <f>SUM(G1921:G1928)</f>
        <v>136</v>
      </c>
      <c r="U1928" s="443">
        <f>SUM(K1921:K1928)</f>
        <v>59</v>
      </c>
      <c r="V1928" s="443">
        <f>SUM(O1921:O1928)</f>
        <v>36</v>
      </c>
      <c r="W1928" s="443">
        <f>SUM(Q1921:Q1928)</f>
        <v>682</v>
      </c>
      <c r="X1928" s="443">
        <f>T1928+U1928+V1928+W1928</f>
        <v>913</v>
      </c>
    </row>
    <row r="1929" spans="1:24" ht="12.75">
      <c r="A1929" s="346" t="s">
        <v>616</v>
      </c>
      <c r="B1929" s="347" t="s">
        <v>183</v>
      </c>
      <c r="C1929" s="347" t="s">
        <v>785</v>
      </c>
      <c r="D1929" s="347">
        <v>2019</v>
      </c>
      <c r="E1929" s="347" t="s">
        <v>775</v>
      </c>
      <c r="F1929" s="348">
        <v>60</v>
      </c>
      <c r="G1929" s="348">
        <v>0</v>
      </c>
      <c r="H1929" s="348">
        <v>0</v>
      </c>
      <c r="I1929" s="348">
        <v>0</v>
      </c>
      <c r="J1929" s="348">
        <v>38</v>
      </c>
      <c r="K1929" s="348">
        <v>20</v>
      </c>
      <c r="L1929" s="348">
        <v>20</v>
      </c>
      <c r="M1929" s="348">
        <v>0</v>
      </c>
      <c r="N1929" s="348">
        <v>43</v>
      </c>
      <c r="O1929" s="348">
        <v>0</v>
      </c>
      <c r="P1929" s="348">
        <v>101</v>
      </c>
      <c r="Q1929" s="348">
        <v>49</v>
      </c>
      <c r="R1929" s="350">
        <f t="shared" si="246"/>
        <v>242</v>
      </c>
      <c r="S1929" s="348">
        <f t="shared" si="247"/>
        <v>69</v>
      </c>
      <c r="T1929" s="348"/>
      <c r="U1929" s="348"/>
      <c r="V1929" s="348"/>
      <c r="W1929" s="349"/>
      <c r="X1929" s="349"/>
    </row>
    <row r="1930" spans="1:24" ht="12.75">
      <c r="A1930" s="346" t="s">
        <v>617</v>
      </c>
      <c r="B1930" s="347" t="s">
        <v>183</v>
      </c>
      <c r="C1930" s="347" t="s">
        <v>785</v>
      </c>
      <c r="D1930" s="347">
        <v>2019</v>
      </c>
      <c r="E1930" s="347" t="s">
        <v>775</v>
      </c>
      <c r="F1930" s="348">
        <v>98</v>
      </c>
      <c r="G1930" s="348">
        <v>0</v>
      </c>
      <c r="H1930" s="348">
        <v>0</v>
      </c>
      <c r="I1930" s="348">
        <v>0</v>
      </c>
      <c r="J1930" s="348">
        <v>62</v>
      </c>
      <c r="K1930" s="348">
        <v>2</v>
      </c>
      <c r="L1930" s="348">
        <v>0</v>
      </c>
      <c r="M1930" s="348">
        <v>2</v>
      </c>
      <c r="N1930" s="348">
        <v>69</v>
      </c>
      <c r="O1930" s="348">
        <v>3</v>
      </c>
      <c r="P1930" s="348">
        <v>164</v>
      </c>
      <c r="Q1930" s="348">
        <v>64</v>
      </c>
      <c r="R1930" s="350">
        <f t="shared" si="246"/>
        <v>393</v>
      </c>
      <c r="S1930" s="348">
        <f t="shared" si="247"/>
        <v>69</v>
      </c>
      <c r="T1930" s="348"/>
      <c r="U1930" s="348"/>
      <c r="V1930" s="348"/>
      <c r="W1930" s="349"/>
      <c r="X1930" s="349"/>
    </row>
    <row r="1931" spans="1:24" ht="12.75">
      <c r="A1931" s="346" t="s">
        <v>618</v>
      </c>
      <c r="B1931" s="347" t="s">
        <v>183</v>
      </c>
      <c r="C1931" s="347" t="s">
        <v>785</v>
      </c>
      <c r="D1931" s="347">
        <v>2019</v>
      </c>
      <c r="E1931" s="347" t="s">
        <v>775</v>
      </c>
      <c r="F1931" s="348">
        <v>41</v>
      </c>
      <c r="G1931" s="348">
        <v>0</v>
      </c>
      <c r="H1931" s="348">
        <v>0</v>
      </c>
      <c r="I1931" s="348">
        <v>0</v>
      </c>
      <c r="J1931" s="348">
        <v>26</v>
      </c>
      <c r="K1931" s="348">
        <v>5</v>
      </c>
      <c r="L1931" s="348">
        <v>3</v>
      </c>
      <c r="M1931" s="348">
        <v>2</v>
      </c>
      <c r="N1931" s="348">
        <v>29</v>
      </c>
      <c r="O1931" s="348">
        <v>18</v>
      </c>
      <c r="P1931" s="348">
        <v>69</v>
      </c>
      <c r="Q1931" s="348">
        <v>22</v>
      </c>
      <c r="R1931" s="350">
        <f t="shared" si="246"/>
        <v>165</v>
      </c>
      <c r="S1931" s="348">
        <f t="shared" si="247"/>
        <v>45</v>
      </c>
      <c r="T1931" s="348"/>
      <c r="U1931" s="348"/>
      <c r="V1931" s="348"/>
      <c r="W1931" s="349"/>
      <c r="X1931" s="349"/>
    </row>
    <row r="1932" spans="1:24" ht="12.75">
      <c r="A1932" s="346" t="s">
        <v>619</v>
      </c>
      <c r="B1932" s="347" t="s">
        <v>183</v>
      </c>
      <c r="C1932" s="347" t="s">
        <v>785</v>
      </c>
      <c r="D1932" s="347">
        <v>2019</v>
      </c>
      <c r="E1932" s="347" t="s">
        <v>775</v>
      </c>
      <c r="F1932" s="348">
        <v>39</v>
      </c>
      <c r="G1932" s="348">
        <v>0</v>
      </c>
      <c r="H1932" s="348">
        <v>0</v>
      </c>
      <c r="I1932" s="348">
        <v>0</v>
      </c>
      <c r="J1932" s="348">
        <v>24</v>
      </c>
      <c r="K1932" s="348">
        <v>0</v>
      </c>
      <c r="L1932" s="348">
        <v>0</v>
      </c>
      <c r="M1932" s="348">
        <v>0</v>
      </c>
      <c r="N1932" s="348">
        <v>27</v>
      </c>
      <c r="O1932" s="348">
        <v>1</v>
      </c>
      <c r="P1932" s="348">
        <v>65</v>
      </c>
      <c r="Q1932" s="348">
        <v>25</v>
      </c>
      <c r="R1932" s="350">
        <f t="shared" si="246"/>
        <v>155</v>
      </c>
      <c r="S1932" s="348">
        <f t="shared" si="247"/>
        <v>26</v>
      </c>
      <c r="T1932" s="348"/>
      <c r="U1932" s="348"/>
      <c r="V1932" s="348"/>
      <c r="W1932" s="349"/>
      <c r="X1932" s="349"/>
    </row>
    <row r="1933" spans="1:24" ht="12.75">
      <c r="A1933" s="346" t="s">
        <v>620</v>
      </c>
      <c r="B1933" s="347" t="s">
        <v>183</v>
      </c>
      <c r="C1933" s="347" t="s">
        <v>785</v>
      </c>
      <c r="D1933" s="347">
        <v>2019</v>
      </c>
      <c r="E1933" s="347" t="s">
        <v>775</v>
      </c>
      <c r="F1933" s="348">
        <v>123</v>
      </c>
      <c r="G1933" s="348">
        <v>0</v>
      </c>
      <c r="H1933" s="348">
        <v>0</v>
      </c>
      <c r="I1933" s="348">
        <v>0</v>
      </c>
      <c r="J1933" s="348">
        <v>77</v>
      </c>
      <c r="K1933" s="348">
        <v>0</v>
      </c>
      <c r="L1933" s="348">
        <v>0</v>
      </c>
      <c r="M1933" s="348">
        <v>0</v>
      </c>
      <c r="N1933" s="348">
        <v>87</v>
      </c>
      <c r="O1933" s="348">
        <v>13</v>
      </c>
      <c r="P1933" s="348">
        <v>206</v>
      </c>
      <c r="Q1933" s="348">
        <v>13</v>
      </c>
      <c r="R1933" s="350">
        <f t="shared" si="246"/>
        <v>493</v>
      </c>
      <c r="S1933" s="348">
        <f t="shared" si="247"/>
        <v>26</v>
      </c>
      <c r="T1933" s="348"/>
      <c r="U1933" s="348"/>
      <c r="V1933" s="348"/>
      <c r="W1933" s="349"/>
      <c r="X1933" s="349"/>
    </row>
    <row r="1934" spans="1:24" ht="12.75">
      <c r="A1934" s="346" t="s">
        <v>621</v>
      </c>
      <c r="B1934" s="347" t="s">
        <v>183</v>
      </c>
      <c r="C1934" s="347" t="s">
        <v>785</v>
      </c>
      <c r="D1934" s="347">
        <v>2019</v>
      </c>
      <c r="E1934" s="347" t="s">
        <v>775</v>
      </c>
      <c r="F1934" s="348">
        <v>38</v>
      </c>
      <c r="G1934" s="348">
        <v>0</v>
      </c>
      <c r="H1934" s="348">
        <v>0</v>
      </c>
      <c r="I1934" s="348">
        <v>0</v>
      </c>
      <c r="J1934" s="348">
        <v>24</v>
      </c>
      <c r="K1934" s="348">
        <v>0</v>
      </c>
      <c r="L1934" s="348">
        <v>0</v>
      </c>
      <c r="M1934" s="348">
        <v>0</v>
      </c>
      <c r="N1934" s="348">
        <v>27</v>
      </c>
      <c r="O1934" s="348">
        <v>0</v>
      </c>
      <c r="P1934" s="348">
        <v>64</v>
      </c>
      <c r="Q1934" s="348">
        <v>36</v>
      </c>
      <c r="R1934" s="350">
        <f t="shared" si="246"/>
        <v>153</v>
      </c>
      <c r="S1934" s="348">
        <f t="shared" si="247"/>
        <v>36</v>
      </c>
      <c r="T1934" s="348"/>
      <c r="U1934" s="348"/>
      <c r="V1934" s="348"/>
      <c r="W1934" s="349"/>
      <c r="X1934" s="349"/>
    </row>
    <row r="1935" spans="1:24" ht="12.75">
      <c r="A1935" s="346" t="s">
        <v>183</v>
      </c>
      <c r="B1935" s="347" t="s">
        <v>183</v>
      </c>
      <c r="C1935" s="347" t="s">
        <v>785</v>
      </c>
      <c r="D1935" s="347">
        <v>2019</v>
      </c>
      <c r="E1935" s="347" t="s">
        <v>775</v>
      </c>
      <c r="F1935" s="348">
        <v>285</v>
      </c>
      <c r="G1935" s="348">
        <v>0</v>
      </c>
      <c r="H1935" s="348">
        <v>0</v>
      </c>
      <c r="I1935" s="348">
        <v>0</v>
      </c>
      <c r="J1935" s="348">
        <v>179</v>
      </c>
      <c r="K1935" s="348">
        <v>6</v>
      </c>
      <c r="L1935" s="348">
        <v>6</v>
      </c>
      <c r="M1935" s="348">
        <v>0</v>
      </c>
      <c r="N1935" s="348">
        <v>201</v>
      </c>
      <c r="O1935" s="348">
        <v>8</v>
      </c>
      <c r="P1935" s="348">
        <v>478</v>
      </c>
      <c r="Q1935" s="348">
        <v>523</v>
      </c>
      <c r="R1935" s="350">
        <f t="shared" si="246"/>
        <v>1143</v>
      </c>
      <c r="S1935" s="348">
        <f t="shared" si="247"/>
        <v>537</v>
      </c>
      <c r="T1935" s="348"/>
      <c r="U1935" s="348"/>
      <c r="V1935" s="348"/>
      <c r="W1935" s="349"/>
      <c r="X1935" s="349"/>
    </row>
    <row r="1936" spans="1:24" ht="12.75">
      <c r="A1936" s="346" t="s">
        <v>622</v>
      </c>
      <c r="B1936" s="347" t="s">
        <v>183</v>
      </c>
      <c r="C1936" s="347" t="s">
        <v>785</v>
      </c>
      <c r="D1936" s="347">
        <v>2019</v>
      </c>
      <c r="E1936" s="347" t="s">
        <v>775</v>
      </c>
      <c r="F1936" s="348">
        <v>336</v>
      </c>
      <c r="G1936" s="348">
        <v>7</v>
      </c>
      <c r="H1936" s="348">
        <v>7</v>
      </c>
      <c r="I1936" s="348">
        <v>0</v>
      </c>
      <c r="J1936" s="348">
        <v>211</v>
      </c>
      <c r="K1936" s="348">
        <v>26</v>
      </c>
      <c r="L1936" s="348">
        <v>13</v>
      </c>
      <c r="M1936" s="348">
        <v>13</v>
      </c>
      <c r="N1936" s="348">
        <v>237</v>
      </c>
      <c r="O1936" s="348">
        <v>20</v>
      </c>
      <c r="P1936" s="348">
        <v>563</v>
      </c>
      <c r="Q1936" s="348">
        <v>279</v>
      </c>
      <c r="R1936" s="350">
        <f t="shared" si="246"/>
        <v>1347</v>
      </c>
      <c r="S1936" s="348">
        <f t="shared" si="247"/>
        <v>332</v>
      </c>
      <c r="T1936" s="410">
        <f>SUM(G1929:G1936)</f>
        <v>7</v>
      </c>
      <c r="U1936" s="410">
        <f>SUM(K1929:K1936)</f>
        <v>59</v>
      </c>
      <c r="V1936" s="410">
        <f>SUM(O1929:O1936)</f>
        <v>63</v>
      </c>
      <c r="W1936" s="410">
        <f>SUM(Q1929:Q1936)</f>
        <v>1011</v>
      </c>
      <c r="X1936" s="410">
        <f>T1936+U1936+V1936+W1936</f>
        <v>1140</v>
      </c>
    </row>
    <row r="1937" spans="1:24" ht="12.75">
      <c r="A1937" s="449"/>
      <c r="B1937" s="450"/>
      <c r="C1937" s="450"/>
      <c r="D1937" s="450"/>
      <c r="E1937" s="450"/>
      <c r="F1937" s="451"/>
      <c r="G1937" s="451"/>
      <c r="H1937" s="452"/>
      <c r="I1937" s="451"/>
      <c r="J1937" s="451"/>
      <c r="K1937" s="451"/>
      <c r="L1937" s="451"/>
      <c r="M1937" s="451"/>
      <c r="N1937" s="451"/>
      <c r="O1937" s="451"/>
      <c r="P1937" s="451"/>
      <c r="Q1937" s="452"/>
      <c r="R1937" s="182"/>
      <c r="S1937" s="456" t="s">
        <v>783</v>
      </c>
      <c r="T1937" s="466">
        <f t="shared" ref="T1937:X1937" si="248">SUM(T1896:T1936)</f>
        <v>484</v>
      </c>
      <c r="U1937" s="466">
        <f t="shared" si="248"/>
        <v>331</v>
      </c>
      <c r="V1937" s="466">
        <f t="shared" si="248"/>
        <v>614</v>
      </c>
      <c r="W1937" s="466">
        <f t="shared" si="248"/>
        <v>4274</v>
      </c>
      <c r="X1937" s="466">
        <f t="shared" si="248"/>
        <v>5703</v>
      </c>
    </row>
    <row r="1938" spans="1:24" ht="12.75">
      <c r="A1938" s="449"/>
      <c r="B1938" s="450"/>
      <c r="C1938" s="450"/>
      <c r="D1938" s="450"/>
      <c r="E1938" s="450"/>
      <c r="F1938" s="451"/>
      <c r="G1938" s="451"/>
      <c r="H1938" s="452"/>
      <c r="I1938" s="451"/>
      <c r="J1938" s="451"/>
      <c r="K1938" s="451"/>
      <c r="L1938" s="451"/>
      <c r="M1938" s="451"/>
      <c r="N1938" s="451"/>
      <c r="O1938" s="451"/>
      <c r="P1938" s="451"/>
      <c r="Q1938" s="452"/>
      <c r="R1938" s="182"/>
      <c r="S1938" s="362"/>
      <c r="T1938" s="97"/>
      <c r="U1938" s="97"/>
      <c r="V1938" s="97"/>
      <c r="W1938" s="97"/>
      <c r="X1938" s="97"/>
    </row>
    <row r="1939" spans="1:24" ht="12.75">
      <c r="A1939" s="417" t="s">
        <v>859</v>
      </c>
      <c r="B1939" s="418" t="s">
        <v>184</v>
      </c>
      <c r="C1939" s="418" t="s">
        <v>774</v>
      </c>
      <c r="D1939" s="418">
        <v>2014</v>
      </c>
      <c r="E1939" s="418" t="s">
        <v>775</v>
      </c>
      <c r="F1939" s="419">
        <v>35</v>
      </c>
      <c r="G1939" s="419">
        <v>1</v>
      </c>
      <c r="H1939" s="420">
        <v>0</v>
      </c>
      <c r="I1939" s="419">
        <v>1</v>
      </c>
      <c r="J1939" s="419">
        <v>26</v>
      </c>
      <c r="K1939" s="419">
        <v>3</v>
      </c>
      <c r="L1939" s="419">
        <v>0</v>
      </c>
      <c r="M1939" s="419">
        <v>3</v>
      </c>
      <c r="N1939" s="419">
        <v>29</v>
      </c>
      <c r="O1939" s="419">
        <v>0</v>
      </c>
      <c r="P1939" s="419">
        <v>3</v>
      </c>
      <c r="Q1939" s="420">
        <v>1</v>
      </c>
      <c r="R1939" s="311">
        <f t="shared" ref="R1939:R2048" si="249">F1939+J1939+N1939+P1939</f>
        <v>93</v>
      </c>
      <c r="S1939" s="363">
        <f t="shared" ref="S1939:S2048" si="250">K1939+O1939+G1939+Q1939</f>
        <v>5</v>
      </c>
      <c r="T1939" s="421"/>
      <c r="U1939" s="421"/>
      <c r="V1939" s="421"/>
      <c r="W1939" s="421"/>
      <c r="X1939" s="421"/>
    </row>
    <row r="1940" spans="1:24" ht="12.75">
      <c r="A1940" s="417" t="s">
        <v>860</v>
      </c>
      <c r="B1940" s="418" t="s">
        <v>184</v>
      </c>
      <c r="C1940" s="418" t="s">
        <v>774</v>
      </c>
      <c r="D1940" s="418">
        <v>2014</v>
      </c>
      <c r="E1940" s="418" t="s">
        <v>775</v>
      </c>
      <c r="F1940" s="419">
        <v>116</v>
      </c>
      <c r="G1940" s="419">
        <v>0</v>
      </c>
      <c r="H1940" s="420">
        <v>0</v>
      </c>
      <c r="I1940" s="419">
        <v>0</v>
      </c>
      <c r="J1940" s="419">
        <v>63</v>
      </c>
      <c r="K1940" s="419">
        <v>0</v>
      </c>
      <c r="L1940" s="419">
        <v>0</v>
      </c>
      <c r="M1940" s="419">
        <v>0</v>
      </c>
      <c r="N1940" s="419">
        <v>67</v>
      </c>
      <c r="O1940" s="419">
        <v>0</v>
      </c>
      <c r="P1940" s="419">
        <v>222</v>
      </c>
      <c r="Q1940" s="420">
        <v>18</v>
      </c>
      <c r="R1940" s="311">
        <f t="shared" si="249"/>
        <v>468</v>
      </c>
      <c r="S1940" s="363">
        <f t="shared" si="250"/>
        <v>18</v>
      </c>
      <c r="T1940" s="421"/>
      <c r="U1940" s="421"/>
      <c r="V1940" s="421"/>
      <c r="W1940" s="421"/>
      <c r="X1940" s="421"/>
    </row>
    <row r="1941" spans="1:24" ht="12.75">
      <c r="A1941" s="417" t="s">
        <v>861</v>
      </c>
      <c r="B1941" s="418" t="s">
        <v>184</v>
      </c>
      <c r="C1941" s="418" t="s">
        <v>774</v>
      </c>
      <c r="D1941" s="418">
        <v>2014</v>
      </c>
      <c r="E1941" s="418" t="s">
        <v>775</v>
      </c>
      <c r="F1941" s="419">
        <v>25</v>
      </c>
      <c r="G1941" s="419">
        <v>0</v>
      </c>
      <c r="H1941" s="420">
        <v>0</v>
      </c>
      <c r="I1941" s="419">
        <v>0</v>
      </c>
      <c r="J1941" s="419">
        <v>13</v>
      </c>
      <c r="K1941" s="419">
        <v>0</v>
      </c>
      <c r="L1941" s="419">
        <v>0</v>
      </c>
      <c r="M1941" s="419">
        <v>0</v>
      </c>
      <c r="N1941" s="419">
        <v>15</v>
      </c>
      <c r="O1941" s="419">
        <v>1</v>
      </c>
      <c r="P1941" s="419">
        <v>30</v>
      </c>
      <c r="Q1941" s="420">
        <v>38</v>
      </c>
      <c r="R1941" s="311">
        <f t="shared" si="249"/>
        <v>83</v>
      </c>
      <c r="S1941" s="363">
        <f t="shared" si="250"/>
        <v>39</v>
      </c>
      <c r="T1941" s="421"/>
      <c r="U1941" s="421"/>
      <c r="V1941" s="421"/>
      <c r="W1941" s="421"/>
      <c r="X1941" s="421"/>
    </row>
    <row r="1942" spans="1:24" ht="12.75">
      <c r="A1942" s="417" t="s">
        <v>862</v>
      </c>
      <c r="B1942" s="418" t="s">
        <v>184</v>
      </c>
      <c r="C1942" s="418" t="s">
        <v>774</v>
      </c>
      <c r="D1942" s="418">
        <v>2014</v>
      </c>
      <c r="E1942" s="418" t="s">
        <v>775</v>
      </c>
      <c r="F1942" s="419">
        <v>276</v>
      </c>
      <c r="G1942" s="419">
        <v>0</v>
      </c>
      <c r="H1942" s="420">
        <v>0</v>
      </c>
      <c r="I1942" s="419">
        <v>0</v>
      </c>
      <c r="J1942" s="419">
        <v>144</v>
      </c>
      <c r="K1942" s="419">
        <v>0</v>
      </c>
      <c r="L1942" s="419">
        <v>0</v>
      </c>
      <c r="M1942" s="419">
        <v>0</v>
      </c>
      <c r="N1942" s="419">
        <v>155</v>
      </c>
      <c r="O1942" s="419">
        <v>3</v>
      </c>
      <c r="P1942" s="419">
        <v>288</v>
      </c>
      <c r="Q1942" s="420">
        <v>0</v>
      </c>
      <c r="R1942" s="311">
        <f t="shared" si="249"/>
        <v>863</v>
      </c>
      <c r="S1942" s="363">
        <f t="shared" si="250"/>
        <v>3</v>
      </c>
      <c r="T1942" s="421"/>
      <c r="U1942" s="421"/>
      <c r="V1942" s="421"/>
      <c r="W1942" s="421"/>
      <c r="X1942" s="421"/>
    </row>
    <row r="1943" spans="1:24" ht="12.75">
      <c r="A1943" s="417" t="s">
        <v>863</v>
      </c>
      <c r="B1943" s="418" t="s">
        <v>184</v>
      </c>
      <c r="C1943" s="418" t="s">
        <v>774</v>
      </c>
      <c r="D1943" s="418">
        <v>2014</v>
      </c>
      <c r="E1943" s="418" t="s">
        <v>775</v>
      </c>
      <c r="F1943" s="419">
        <v>20</v>
      </c>
      <c r="G1943" s="419">
        <v>0</v>
      </c>
      <c r="H1943" s="420">
        <v>0</v>
      </c>
      <c r="I1943" s="419">
        <v>0</v>
      </c>
      <c r="J1943" s="419">
        <v>8</v>
      </c>
      <c r="K1943" s="419">
        <v>0</v>
      </c>
      <c r="L1943" s="419">
        <v>0</v>
      </c>
      <c r="M1943" s="419">
        <v>0</v>
      </c>
      <c r="N1943" s="419">
        <v>9</v>
      </c>
      <c r="O1943" s="419">
        <v>0</v>
      </c>
      <c r="P1943" s="419">
        <v>22</v>
      </c>
      <c r="Q1943" s="420">
        <v>0</v>
      </c>
      <c r="R1943" s="311">
        <f t="shared" si="249"/>
        <v>59</v>
      </c>
      <c r="S1943" s="363">
        <f t="shared" si="250"/>
        <v>0</v>
      </c>
      <c r="T1943" s="421"/>
      <c r="U1943" s="421"/>
      <c r="V1943" s="421"/>
      <c r="W1943" s="421"/>
      <c r="X1943" s="421"/>
    </row>
    <row r="1944" spans="1:24" ht="12.75">
      <c r="A1944" s="417" t="s">
        <v>864</v>
      </c>
      <c r="B1944" s="418" t="s">
        <v>184</v>
      </c>
      <c r="C1944" s="418" t="s">
        <v>774</v>
      </c>
      <c r="D1944" s="418">
        <v>2014</v>
      </c>
      <c r="E1944" s="418" t="s">
        <v>775</v>
      </c>
      <c r="F1944" s="419">
        <v>400</v>
      </c>
      <c r="G1944" s="419">
        <v>0</v>
      </c>
      <c r="H1944" s="420">
        <v>0</v>
      </c>
      <c r="I1944" s="419">
        <v>0</v>
      </c>
      <c r="J1944" s="419">
        <v>188</v>
      </c>
      <c r="K1944" s="419">
        <v>0</v>
      </c>
      <c r="L1944" s="419">
        <v>0</v>
      </c>
      <c r="M1944" s="419">
        <v>0</v>
      </c>
      <c r="N1944" s="419">
        <v>221</v>
      </c>
      <c r="O1944" s="419">
        <v>10</v>
      </c>
      <c r="P1944" s="419">
        <v>541</v>
      </c>
      <c r="Q1944" s="420">
        <v>10</v>
      </c>
      <c r="R1944" s="311">
        <f t="shared" si="249"/>
        <v>1350</v>
      </c>
      <c r="S1944" s="363">
        <f t="shared" si="250"/>
        <v>20</v>
      </c>
      <c r="T1944" s="421"/>
      <c r="U1944" s="421"/>
      <c r="V1944" s="421"/>
      <c r="W1944" s="421"/>
      <c r="X1944" s="421"/>
    </row>
    <row r="1945" spans="1:24" ht="12.75">
      <c r="A1945" s="417" t="s">
        <v>865</v>
      </c>
      <c r="B1945" s="418" t="s">
        <v>184</v>
      </c>
      <c r="C1945" s="418" t="s">
        <v>774</v>
      </c>
      <c r="D1945" s="418">
        <v>2014</v>
      </c>
      <c r="E1945" s="418" t="s">
        <v>775</v>
      </c>
      <c r="F1945" s="419">
        <v>52</v>
      </c>
      <c r="G1945" s="419">
        <v>52</v>
      </c>
      <c r="H1945" s="420">
        <v>52</v>
      </c>
      <c r="I1945" s="419">
        <v>0</v>
      </c>
      <c r="J1945" s="419">
        <v>31</v>
      </c>
      <c r="K1945" s="419">
        <v>3</v>
      </c>
      <c r="L1945" s="419">
        <v>3</v>
      </c>
      <c r="M1945" s="419">
        <v>0</v>
      </c>
      <c r="N1945" s="419">
        <v>36</v>
      </c>
      <c r="O1945" s="419">
        <v>0</v>
      </c>
      <c r="P1945" s="419">
        <v>121</v>
      </c>
      <c r="Q1945" s="420">
        <v>0</v>
      </c>
      <c r="R1945" s="311">
        <f t="shared" si="249"/>
        <v>240</v>
      </c>
      <c r="S1945" s="363">
        <f t="shared" si="250"/>
        <v>55</v>
      </c>
      <c r="T1945" s="421"/>
      <c r="U1945" s="421"/>
      <c r="V1945" s="421"/>
      <c r="W1945" s="421"/>
      <c r="X1945" s="421"/>
    </row>
    <row r="1946" spans="1:24" ht="12.75">
      <c r="A1946" s="417" t="s">
        <v>866</v>
      </c>
      <c r="B1946" s="418" t="s">
        <v>184</v>
      </c>
      <c r="C1946" s="418" t="s">
        <v>774</v>
      </c>
      <c r="D1946" s="418">
        <v>2014</v>
      </c>
      <c r="E1946" s="418" t="s">
        <v>775</v>
      </c>
      <c r="F1946" s="419">
        <v>358</v>
      </c>
      <c r="G1946" s="419">
        <v>0</v>
      </c>
      <c r="H1946" s="420">
        <v>0</v>
      </c>
      <c r="I1946" s="419">
        <v>0</v>
      </c>
      <c r="J1946" s="419">
        <v>161</v>
      </c>
      <c r="K1946" s="419">
        <v>0</v>
      </c>
      <c r="L1946" s="419">
        <v>0</v>
      </c>
      <c r="M1946" s="419">
        <v>0</v>
      </c>
      <c r="N1946" s="419">
        <v>205</v>
      </c>
      <c r="O1946" s="419">
        <v>0</v>
      </c>
      <c r="P1946" s="419">
        <v>431</v>
      </c>
      <c r="Q1946" s="420">
        <v>1</v>
      </c>
      <c r="R1946" s="311">
        <f t="shared" si="249"/>
        <v>1155</v>
      </c>
      <c r="S1946" s="363">
        <f t="shared" si="250"/>
        <v>1</v>
      </c>
      <c r="T1946" s="411">
        <f>SUM(G1939:G1946)</f>
        <v>53</v>
      </c>
      <c r="U1946" s="411">
        <f>SUM(K1939:K1946)</f>
        <v>6</v>
      </c>
      <c r="V1946" s="411">
        <f>SUM(O1939:O1946)</f>
        <v>14</v>
      </c>
      <c r="W1946" s="411">
        <f>SUM(Q1939:Q1946)</f>
        <v>68</v>
      </c>
      <c r="X1946" s="411">
        <f>T1946+U1946+V1946+W1946</f>
        <v>141</v>
      </c>
    </row>
    <row r="1947" spans="1:24" ht="12.75">
      <c r="A1947" s="422" t="s">
        <v>623</v>
      </c>
      <c r="B1947" s="423" t="s">
        <v>184</v>
      </c>
      <c r="C1947" s="423" t="s">
        <v>774</v>
      </c>
      <c r="D1947" s="423">
        <v>2015</v>
      </c>
      <c r="E1947" s="423" t="s">
        <v>775</v>
      </c>
      <c r="F1947" s="424">
        <v>35</v>
      </c>
      <c r="G1947" s="424">
        <v>12</v>
      </c>
      <c r="H1947" s="425">
        <v>12</v>
      </c>
      <c r="I1947" s="424">
        <v>0</v>
      </c>
      <c r="J1947" s="424">
        <v>26</v>
      </c>
      <c r="K1947" s="424">
        <v>0</v>
      </c>
      <c r="L1947" s="424">
        <v>0</v>
      </c>
      <c r="M1947" s="424">
        <v>0</v>
      </c>
      <c r="N1947" s="424">
        <v>29</v>
      </c>
      <c r="O1947" s="424">
        <v>0</v>
      </c>
      <c r="P1947" s="424">
        <v>3</v>
      </c>
      <c r="Q1947" s="425">
        <v>0</v>
      </c>
      <c r="R1947" s="319">
        <f t="shared" si="249"/>
        <v>93</v>
      </c>
      <c r="S1947" s="364">
        <f t="shared" si="250"/>
        <v>12</v>
      </c>
      <c r="T1947" s="426"/>
      <c r="U1947" s="426"/>
      <c r="V1947" s="426"/>
      <c r="W1947" s="426"/>
      <c r="X1947" s="426"/>
    </row>
    <row r="1948" spans="1:24" ht="12.75">
      <c r="A1948" s="422" t="s">
        <v>624</v>
      </c>
      <c r="B1948" s="423" t="s">
        <v>184</v>
      </c>
      <c r="C1948" s="423" t="s">
        <v>774</v>
      </c>
      <c r="D1948" s="423">
        <v>2015</v>
      </c>
      <c r="E1948" s="423" t="s">
        <v>775</v>
      </c>
      <c r="F1948" s="424">
        <v>116</v>
      </c>
      <c r="G1948" s="424">
        <v>0</v>
      </c>
      <c r="H1948" s="425">
        <v>0</v>
      </c>
      <c r="I1948" s="424">
        <v>0</v>
      </c>
      <c r="J1948" s="424">
        <v>63</v>
      </c>
      <c r="K1948" s="424">
        <v>0</v>
      </c>
      <c r="L1948" s="424">
        <v>0</v>
      </c>
      <c r="M1948" s="424">
        <v>0</v>
      </c>
      <c r="N1948" s="424">
        <v>67</v>
      </c>
      <c r="O1948" s="424">
        <v>0</v>
      </c>
      <c r="P1948" s="424">
        <v>222</v>
      </c>
      <c r="Q1948" s="425">
        <v>7</v>
      </c>
      <c r="R1948" s="319">
        <f t="shared" si="249"/>
        <v>468</v>
      </c>
      <c r="S1948" s="364">
        <f t="shared" si="250"/>
        <v>7</v>
      </c>
      <c r="T1948" s="426"/>
      <c r="U1948" s="426"/>
      <c r="V1948" s="426"/>
      <c r="W1948" s="426"/>
      <c r="X1948" s="426"/>
    </row>
    <row r="1949" spans="1:24" ht="12.75">
      <c r="A1949" s="422" t="s">
        <v>625</v>
      </c>
      <c r="B1949" s="423" t="s">
        <v>184</v>
      </c>
      <c r="C1949" s="423" t="s">
        <v>774</v>
      </c>
      <c r="D1949" s="423">
        <v>2015</v>
      </c>
      <c r="E1949" s="423" t="s">
        <v>775</v>
      </c>
      <c r="F1949" s="424">
        <v>25</v>
      </c>
      <c r="G1949" s="424">
        <v>0</v>
      </c>
      <c r="H1949" s="425">
        <v>0</v>
      </c>
      <c r="I1949" s="424">
        <v>0</v>
      </c>
      <c r="J1949" s="424">
        <v>13</v>
      </c>
      <c r="K1949" s="424">
        <v>0</v>
      </c>
      <c r="L1949" s="424">
        <v>0</v>
      </c>
      <c r="M1949" s="424">
        <v>0</v>
      </c>
      <c r="N1949" s="424">
        <v>15</v>
      </c>
      <c r="O1949" s="424">
        <v>1</v>
      </c>
      <c r="P1949" s="424">
        <v>30</v>
      </c>
      <c r="Q1949" s="425">
        <v>2</v>
      </c>
      <c r="R1949" s="319">
        <f t="shared" si="249"/>
        <v>83</v>
      </c>
      <c r="S1949" s="364">
        <f t="shared" si="250"/>
        <v>3</v>
      </c>
      <c r="T1949" s="426"/>
      <c r="U1949" s="426"/>
      <c r="V1949" s="426"/>
      <c r="W1949" s="426"/>
      <c r="X1949" s="426"/>
    </row>
    <row r="1950" spans="1:24" ht="12.75">
      <c r="A1950" s="422" t="s">
        <v>626</v>
      </c>
      <c r="B1950" s="423" t="s">
        <v>184</v>
      </c>
      <c r="C1950" s="423" t="s">
        <v>774</v>
      </c>
      <c r="D1950" s="423">
        <v>2015</v>
      </c>
      <c r="E1950" s="423" t="s">
        <v>775</v>
      </c>
      <c r="F1950" s="424">
        <v>276</v>
      </c>
      <c r="G1950" s="424">
        <v>0</v>
      </c>
      <c r="H1950" s="425">
        <v>0</v>
      </c>
      <c r="I1950" s="424">
        <v>0</v>
      </c>
      <c r="J1950" s="424">
        <v>144</v>
      </c>
      <c r="K1950" s="424">
        <v>0</v>
      </c>
      <c r="L1950" s="424">
        <v>0</v>
      </c>
      <c r="M1950" s="424">
        <v>0</v>
      </c>
      <c r="N1950" s="424">
        <v>155</v>
      </c>
      <c r="O1950" s="424">
        <v>0</v>
      </c>
      <c r="P1950" s="424">
        <v>288</v>
      </c>
      <c r="Q1950" s="425">
        <v>5</v>
      </c>
      <c r="R1950" s="319">
        <f t="shared" si="249"/>
        <v>863</v>
      </c>
      <c r="S1950" s="364">
        <f t="shared" si="250"/>
        <v>5</v>
      </c>
      <c r="T1950" s="426"/>
      <c r="U1950" s="426"/>
      <c r="V1950" s="426"/>
      <c r="W1950" s="426"/>
      <c r="X1950" s="426"/>
    </row>
    <row r="1951" spans="1:24" ht="12.75">
      <c r="A1951" s="422" t="s">
        <v>627</v>
      </c>
      <c r="B1951" s="423" t="s">
        <v>184</v>
      </c>
      <c r="C1951" s="423" t="s">
        <v>774</v>
      </c>
      <c r="D1951" s="423">
        <v>2015</v>
      </c>
      <c r="E1951" s="423" t="s">
        <v>775</v>
      </c>
      <c r="F1951" s="424">
        <v>20</v>
      </c>
      <c r="G1951" s="424">
        <v>0</v>
      </c>
      <c r="H1951" s="425">
        <v>0</v>
      </c>
      <c r="I1951" s="424">
        <v>0</v>
      </c>
      <c r="J1951" s="424">
        <v>8</v>
      </c>
      <c r="K1951" s="424">
        <v>0</v>
      </c>
      <c r="L1951" s="424">
        <v>0</v>
      </c>
      <c r="M1951" s="424">
        <v>0</v>
      </c>
      <c r="N1951" s="424">
        <v>9</v>
      </c>
      <c r="O1951" s="424">
        <v>0</v>
      </c>
      <c r="P1951" s="424">
        <v>22</v>
      </c>
      <c r="Q1951" s="425">
        <v>0</v>
      </c>
      <c r="R1951" s="319">
        <f t="shared" si="249"/>
        <v>59</v>
      </c>
      <c r="S1951" s="364">
        <f t="shared" si="250"/>
        <v>0</v>
      </c>
      <c r="T1951" s="426"/>
      <c r="U1951" s="426"/>
      <c r="V1951" s="426"/>
      <c r="W1951" s="426"/>
      <c r="X1951" s="426"/>
    </row>
    <row r="1952" spans="1:24" ht="12.75">
      <c r="A1952" s="422" t="s">
        <v>628</v>
      </c>
      <c r="B1952" s="423" t="s">
        <v>184</v>
      </c>
      <c r="C1952" s="423" t="s">
        <v>774</v>
      </c>
      <c r="D1952" s="423">
        <v>2015</v>
      </c>
      <c r="E1952" s="423" t="s">
        <v>775</v>
      </c>
      <c r="F1952" s="424">
        <v>400</v>
      </c>
      <c r="G1952" s="424">
        <v>38</v>
      </c>
      <c r="H1952" s="425">
        <v>38</v>
      </c>
      <c r="I1952" s="424">
        <v>0</v>
      </c>
      <c r="J1952" s="424">
        <v>188</v>
      </c>
      <c r="K1952" s="424">
        <v>15</v>
      </c>
      <c r="L1952" s="424">
        <v>15</v>
      </c>
      <c r="M1952" s="424">
        <v>0</v>
      </c>
      <c r="N1952" s="424">
        <v>221</v>
      </c>
      <c r="O1952" s="424">
        <v>14</v>
      </c>
      <c r="P1952" s="424">
        <v>541</v>
      </c>
      <c r="Q1952" s="425">
        <v>89</v>
      </c>
      <c r="R1952" s="319">
        <f t="shared" si="249"/>
        <v>1350</v>
      </c>
      <c r="S1952" s="364">
        <f t="shared" si="250"/>
        <v>156</v>
      </c>
      <c r="T1952" s="426"/>
      <c r="U1952" s="426"/>
      <c r="V1952" s="426"/>
      <c r="W1952" s="426"/>
      <c r="X1952" s="426"/>
    </row>
    <row r="1953" spans="1:24" ht="12.75">
      <c r="A1953" s="422" t="s">
        <v>629</v>
      </c>
      <c r="B1953" s="423" t="s">
        <v>184</v>
      </c>
      <c r="C1953" s="423" t="s">
        <v>774</v>
      </c>
      <c r="D1953" s="423">
        <v>2015</v>
      </c>
      <c r="E1953" s="423" t="s">
        <v>775</v>
      </c>
      <c r="F1953" s="424">
        <v>64</v>
      </c>
      <c r="G1953" s="424">
        <v>0</v>
      </c>
      <c r="H1953" s="425">
        <v>0</v>
      </c>
      <c r="I1953" s="424">
        <v>0</v>
      </c>
      <c r="J1953" s="424">
        <v>54</v>
      </c>
      <c r="K1953" s="424">
        <v>8</v>
      </c>
      <c r="L1953" s="424">
        <v>8</v>
      </c>
      <c r="M1953" s="424">
        <v>0</v>
      </c>
      <c r="N1953" s="424">
        <v>83</v>
      </c>
      <c r="O1953" s="424">
        <v>0</v>
      </c>
      <c r="P1953" s="424">
        <v>266</v>
      </c>
      <c r="Q1953" s="425">
        <v>0</v>
      </c>
      <c r="R1953" s="319">
        <f t="shared" si="249"/>
        <v>467</v>
      </c>
      <c r="S1953" s="364">
        <f t="shared" si="250"/>
        <v>8</v>
      </c>
      <c r="T1953" s="426"/>
      <c r="U1953" s="426"/>
      <c r="V1953" s="426"/>
      <c r="W1953" s="426"/>
      <c r="X1953" s="426"/>
    </row>
    <row r="1954" spans="1:24" ht="12.75">
      <c r="A1954" s="422" t="s">
        <v>630</v>
      </c>
      <c r="B1954" s="423" t="s">
        <v>184</v>
      </c>
      <c r="C1954" s="423" t="s">
        <v>774</v>
      </c>
      <c r="D1954" s="423">
        <v>2015</v>
      </c>
      <c r="E1954" s="423" t="s">
        <v>775</v>
      </c>
      <c r="F1954" s="424">
        <v>148</v>
      </c>
      <c r="G1954" s="424">
        <v>83</v>
      </c>
      <c r="H1954" s="425">
        <v>83</v>
      </c>
      <c r="I1954" s="424">
        <v>0</v>
      </c>
      <c r="J1954" s="424">
        <v>87</v>
      </c>
      <c r="K1954" s="424">
        <v>49</v>
      </c>
      <c r="L1954" s="424">
        <v>49</v>
      </c>
      <c r="M1954" s="424">
        <v>0</v>
      </c>
      <c r="N1954" s="424">
        <v>76</v>
      </c>
      <c r="O1954" s="424">
        <v>14</v>
      </c>
      <c r="P1954" s="424">
        <v>119</v>
      </c>
      <c r="Q1954" s="425">
        <v>563</v>
      </c>
      <c r="R1954" s="319">
        <f t="shared" si="249"/>
        <v>430</v>
      </c>
      <c r="S1954" s="364">
        <f t="shared" si="250"/>
        <v>709</v>
      </c>
      <c r="T1954" s="426"/>
      <c r="U1954" s="426"/>
      <c r="V1954" s="426"/>
      <c r="W1954" s="426"/>
      <c r="X1954" s="426"/>
    </row>
    <row r="1955" spans="1:24" ht="12.75">
      <c r="A1955" s="422" t="s">
        <v>631</v>
      </c>
      <c r="B1955" s="423" t="s">
        <v>184</v>
      </c>
      <c r="C1955" s="423" t="s">
        <v>774</v>
      </c>
      <c r="D1955" s="423">
        <v>2015</v>
      </c>
      <c r="E1955" s="423" t="s">
        <v>775</v>
      </c>
      <c r="F1955" s="424">
        <v>52</v>
      </c>
      <c r="G1955" s="424">
        <v>0</v>
      </c>
      <c r="H1955" s="425">
        <v>0</v>
      </c>
      <c r="I1955" s="424">
        <v>0</v>
      </c>
      <c r="J1955" s="424">
        <v>31</v>
      </c>
      <c r="K1955" s="424">
        <v>0</v>
      </c>
      <c r="L1955" s="424">
        <v>0</v>
      </c>
      <c r="M1955" s="424">
        <v>0</v>
      </c>
      <c r="N1955" s="424">
        <v>36</v>
      </c>
      <c r="O1955" s="424">
        <v>0</v>
      </c>
      <c r="P1955" s="424">
        <v>121</v>
      </c>
      <c r="Q1955" s="425">
        <v>9</v>
      </c>
      <c r="R1955" s="319">
        <f t="shared" si="249"/>
        <v>240</v>
      </c>
      <c r="S1955" s="364">
        <f t="shared" si="250"/>
        <v>9</v>
      </c>
      <c r="T1955" s="426"/>
      <c r="U1955" s="426"/>
      <c r="V1955" s="426"/>
      <c r="W1955" s="426"/>
      <c r="X1955" s="426"/>
    </row>
    <row r="1956" spans="1:24" ht="12.75">
      <c r="A1956" s="422" t="s">
        <v>632</v>
      </c>
      <c r="B1956" s="423" t="s">
        <v>184</v>
      </c>
      <c r="C1956" s="423" t="s">
        <v>774</v>
      </c>
      <c r="D1956" s="423">
        <v>2015</v>
      </c>
      <c r="E1956" s="423" t="s">
        <v>775</v>
      </c>
      <c r="F1956" s="424">
        <v>32</v>
      </c>
      <c r="G1956" s="424">
        <v>16</v>
      </c>
      <c r="H1956" s="425">
        <v>0</v>
      </c>
      <c r="I1956" s="424">
        <v>16</v>
      </c>
      <c r="J1956" s="424">
        <v>17</v>
      </c>
      <c r="K1956" s="424">
        <v>8</v>
      </c>
      <c r="L1956" s="424">
        <v>0</v>
      </c>
      <c r="M1956" s="424">
        <v>8</v>
      </c>
      <c r="N1956" s="424">
        <v>21</v>
      </c>
      <c r="O1956" s="424">
        <v>10</v>
      </c>
      <c r="P1956" s="424">
        <v>21</v>
      </c>
      <c r="Q1956" s="425">
        <v>5</v>
      </c>
      <c r="R1956" s="319">
        <f t="shared" si="249"/>
        <v>91</v>
      </c>
      <c r="S1956" s="364">
        <f t="shared" si="250"/>
        <v>39</v>
      </c>
      <c r="T1956" s="426"/>
      <c r="U1956" s="426"/>
      <c r="V1956" s="426"/>
      <c r="W1956" s="426"/>
      <c r="X1956" s="426"/>
    </row>
    <row r="1957" spans="1:24" ht="12.75">
      <c r="A1957" s="422" t="s">
        <v>633</v>
      </c>
      <c r="B1957" s="423" t="s">
        <v>184</v>
      </c>
      <c r="C1957" s="423" t="s">
        <v>774</v>
      </c>
      <c r="D1957" s="423">
        <v>2015</v>
      </c>
      <c r="E1957" s="423" t="s">
        <v>775</v>
      </c>
      <c r="F1957" s="424">
        <v>233</v>
      </c>
      <c r="G1957" s="424">
        <v>85</v>
      </c>
      <c r="H1957" s="425">
        <v>84</v>
      </c>
      <c r="I1957" s="424">
        <v>1</v>
      </c>
      <c r="J1957" s="424">
        <v>129</v>
      </c>
      <c r="K1957" s="424">
        <v>22</v>
      </c>
      <c r="L1957" s="424">
        <v>20</v>
      </c>
      <c r="M1957" s="424">
        <v>2</v>
      </c>
      <c r="N1957" s="424">
        <v>143</v>
      </c>
      <c r="O1957" s="424">
        <v>0</v>
      </c>
      <c r="P1957" s="424">
        <v>150</v>
      </c>
      <c r="Q1957" s="425">
        <v>712</v>
      </c>
      <c r="R1957" s="319">
        <f t="shared" si="249"/>
        <v>655</v>
      </c>
      <c r="S1957" s="364">
        <f t="shared" si="250"/>
        <v>819</v>
      </c>
      <c r="T1957" s="426"/>
      <c r="U1957" s="426"/>
      <c r="V1957" s="426"/>
      <c r="W1957" s="426"/>
      <c r="X1957" s="426"/>
    </row>
    <row r="1958" spans="1:24" ht="12.75">
      <c r="A1958" s="422" t="s">
        <v>635</v>
      </c>
      <c r="B1958" s="423" t="s">
        <v>184</v>
      </c>
      <c r="C1958" s="423" t="s">
        <v>774</v>
      </c>
      <c r="D1958" s="423">
        <v>2015</v>
      </c>
      <c r="E1958" s="423" t="s">
        <v>775</v>
      </c>
      <c r="F1958" s="424">
        <v>121</v>
      </c>
      <c r="G1958" s="424">
        <v>0</v>
      </c>
      <c r="H1958" s="425">
        <v>0</v>
      </c>
      <c r="I1958" s="424">
        <v>0</v>
      </c>
      <c r="J1958" s="424">
        <v>68</v>
      </c>
      <c r="K1958" s="424">
        <v>0</v>
      </c>
      <c r="L1958" s="424">
        <v>0</v>
      </c>
      <c r="M1958" s="424">
        <v>0</v>
      </c>
      <c r="N1958" s="424">
        <v>70</v>
      </c>
      <c r="O1958" s="424">
        <v>1</v>
      </c>
      <c r="P1958" s="424">
        <v>154</v>
      </c>
      <c r="Q1958" s="425">
        <v>7</v>
      </c>
      <c r="R1958" s="319">
        <f t="shared" si="249"/>
        <v>413</v>
      </c>
      <c r="S1958" s="364">
        <f t="shared" si="250"/>
        <v>8</v>
      </c>
      <c r="T1958" s="426"/>
      <c r="U1958" s="426"/>
      <c r="V1958" s="426"/>
      <c r="W1958" s="426"/>
      <c r="X1958" s="426"/>
    </row>
    <row r="1959" spans="1:24" ht="12.75">
      <c r="A1959" s="422" t="s">
        <v>636</v>
      </c>
      <c r="B1959" s="423" t="s">
        <v>184</v>
      </c>
      <c r="C1959" s="423" t="s">
        <v>774</v>
      </c>
      <c r="D1959" s="423">
        <v>2015</v>
      </c>
      <c r="E1959" s="423" t="s">
        <v>775</v>
      </c>
      <c r="F1959" s="424">
        <v>21</v>
      </c>
      <c r="G1959" s="424">
        <v>0</v>
      </c>
      <c r="H1959" s="425">
        <v>0</v>
      </c>
      <c r="I1959" s="424">
        <v>0</v>
      </c>
      <c r="J1959" s="424">
        <v>15</v>
      </c>
      <c r="K1959" s="424">
        <v>0</v>
      </c>
      <c r="L1959" s="424">
        <v>0</v>
      </c>
      <c r="M1959" s="424">
        <v>0</v>
      </c>
      <c r="N1959" s="424">
        <v>15</v>
      </c>
      <c r="O1959" s="424">
        <v>0</v>
      </c>
      <c r="P1959" s="424">
        <v>13</v>
      </c>
      <c r="Q1959" s="425">
        <v>8</v>
      </c>
      <c r="R1959" s="319">
        <f t="shared" si="249"/>
        <v>64</v>
      </c>
      <c r="S1959" s="364">
        <f t="shared" si="250"/>
        <v>8</v>
      </c>
      <c r="T1959" s="426"/>
      <c r="U1959" s="426"/>
      <c r="V1959" s="426"/>
      <c r="W1959" s="426"/>
      <c r="X1959" s="426"/>
    </row>
    <row r="1960" spans="1:24" ht="12.75">
      <c r="A1960" s="422" t="s">
        <v>637</v>
      </c>
      <c r="B1960" s="423" t="s">
        <v>184</v>
      </c>
      <c r="C1960" s="423" t="s">
        <v>774</v>
      </c>
      <c r="D1960" s="423">
        <v>2015</v>
      </c>
      <c r="E1960" s="423" t="s">
        <v>775</v>
      </c>
      <c r="F1960" s="424">
        <v>706</v>
      </c>
      <c r="G1960" s="424">
        <v>0</v>
      </c>
      <c r="H1960" s="425">
        <v>0</v>
      </c>
      <c r="I1960" s="424">
        <v>0</v>
      </c>
      <c r="J1960" s="424">
        <v>429</v>
      </c>
      <c r="K1960" s="424">
        <v>2</v>
      </c>
      <c r="L1960" s="424">
        <v>0</v>
      </c>
      <c r="M1960" s="424">
        <v>2</v>
      </c>
      <c r="N1960" s="424">
        <v>502</v>
      </c>
      <c r="O1960" s="424">
        <v>0</v>
      </c>
      <c r="P1960" s="424">
        <v>1152</v>
      </c>
      <c r="Q1960" s="425">
        <v>1126</v>
      </c>
      <c r="R1960" s="319">
        <f t="shared" si="249"/>
        <v>2789</v>
      </c>
      <c r="S1960" s="364">
        <f t="shared" si="250"/>
        <v>1128</v>
      </c>
      <c r="T1960" s="426"/>
      <c r="U1960" s="426"/>
      <c r="V1960" s="426"/>
      <c r="W1960" s="426"/>
      <c r="X1960" s="426"/>
    </row>
    <row r="1961" spans="1:24" ht="12.75">
      <c r="A1961" s="422" t="s">
        <v>638</v>
      </c>
      <c r="B1961" s="423" t="s">
        <v>184</v>
      </c>
      <c r="C1961" s="423" t="s">
        <v>774</v>
      </c>
      <c r="D1961" s="423">
        <v>2015</v>
      </c>
      <c r="E1961" s="423" t="s">
        <v>775</v>
      </c>
      <c r="F1961" s="424">
        <v>358</v>
      </c>
      <c r="G1961" s="424">
        <v>0</v>
      </c>
      <c r="H1961" s="425">
        <v>0</v>
      </c>
      <c r="I1961" s="424">
        <v>0</v>
      </c>
      <c r="J1961" s="424">
        <v>161</v>
      </c>
      <c r="K1961" s="424">
        <v>0</v>
      </c>
      <c r="L1961" s="424">
        <v>0</v>
      </c>
      <c r="M1961" s="424">
        <v>0</v>
      </c>
      <c r="N1961" s="424">
        <v>205</v>
      </c>
      <c r="O1961" s="424">
        <v>1</v>
      </c>
      <c r="P1961" s="424">
        <v>431</v>
      </c>
      <c r="Q1961" s="425">
        <v>9</v>
      </c>
      <c r="R1961" s="319">
        <f t="shared" si="249"/>
        <v>1155</v>
      </c>
      <c r="S1961" s="364">
        <f t="shared" si="250"/>
        <v>10</v>
      </c>
      <c r="T1961" s="426"/>
      <c r="U1961" s="426"/>
      <c r="V1961" s="426"/>
      <c r="W1961" s="426"/>
      <c r="X1961" s="426"/>
    </row>
    <row r="1962" spans="1:24" ht="12.75">
      <c r="A1962" s="422" t="s">
        <v>184</v>
      </c>
      <c r="B1962" s="423" t="s">
        <v>184</v>
      </c>
      <c r="C1962" s="423" t="s">
        <v>774</v>
      </c>
      <c r="D1962" s="423">
        <v>2015</v>
      </c>
      <c r="E1962" s="423" t="s">
        <v>775</v>
      </c>
      <c r="F1962" s="424">
        <v>859</v>
      </c>
      <c r="G1962" s="424">
        <v>0</v>
      </c>
      <c r="H1962" s="425">
        <v>0</v>
      </c>
      <c r="I1962" s="424">
        <v>0</v>
      </c>
      <c r="J1962" s="424">
        <v>469</v>
      </c>
      <c r="K1962" s="424">
        <v>23</v>
      </c>
      <c r="L1962" s="424">
        <v>23</v>
      </c>
      <c r="M1962" s="424">
        <v>0</v>
      </c>
      <c r="N1962" s="424">
        <v>530</v>
      </c>
      <c r="O1962" s="424">
        <v>88</v>
      </c>
      <c r="P1962" s="424">
        <v>1242</v>
      </c>
      <c r="Q1962" s="425">
        <v>480</v>
      </c>
      <c r="R1962" s="319">
        <f t="shared" si="249"/>
        <v>3100</v>
      </c>
      <c r="S1962" s="364">
        <f t="shared" si="250"/>
        <v>591</v>
      </c>
      <c r="T1962" s="426"/>
      <c r="U1962" s="426"/>
      <c r="V1962" s="426"/>
      <c r="W1962" s="426"/>
      <c r="X1962" s="426"/>
    </row>
    <row r="1963" spans="1:24" ht="12.75">
      <c r="A1963" s="422" t="s">
        <v>640</v>
      </c>
      <c r="B1963" s="423" t="s">
        <v>184</v>
      </c>
      <c r="C1963" s="423" t="s">
        <v>774</v>
      </c>
      <c r="D1963" s="423">
        <v>2015</v>
      </c>
      <c r="E1963" s="423" t="s">
        <v>775</v>
      </c>
      <c r="F1963" s="424">
        <v>153</v>
      </c>
      <c r="G1963" s="424">
        <v>0</v>
      </c>
      <c r="H1963" s="425">
        <v>0</v>
      </c>
      <c r="I1963" s="424">
        <v>0</v>
      </c>
      <c r="J1963" s="424">
        <v>103</v>
      </c>
      <c r="K1963" s="424">
        <v>1</v>
      </c>
      <c r="L1963" s="424">
        <v>0</v>
      </c>
      <c r="M1963" s="424">
        <v>1</v>
      </c>
      <c r="N1963" s="424">
        <v>102</v>
      </c>
      <c r="O1963" s="424">
        <v>6</v>
      </c>
      <c r="P1963" s="424">
        <v>555</v>
      </c>
      <c r="Q1963" s="425">
        <v>53</v>
      </c>
      <c r="R1963" s="319">
        <f t="shared" si="249"/>
        <v>913</v>
      </c>
      <c r="S1963" s="364">
        <f t="shared" si="250"/>
        <v>60</v>
      </c>
      <c r="T1963" s="426"/>
      <c r="U1963" s="426"/>
      <c r="V1963" s="426"/>
      <c r="W1963" s="426"/>
      <c r="X1963" s="426"/>
    </row>
    <row r="1964" spans="1:24" ht="12.75">
      <c r="A1964" s="422" t="s">
        <v>641</v>
      </c>
      <c r="B1964" s="423" t="s">
        <v>184</v>
      </c>
      <c r="C1964" s="423" t="s">
        <v>774</v>
      </c>
      <c r="D1964" s="423">
        <v>2015</v>
      </c>
      <c r="E1964" s="423" t="s">
        <v>775</v>
      </c>
      <c r="F1964" s="424">
        <v>565</v>
      </c>
      <c r="G1964" s="424">
        <v>0</v>
      </c>
      <c r="H1964" s="425">
        <v>0</v>
      </c>
      <c r="I1964" s="424">
        <v>0</v>
      </c>
      <c r="J1964" s="424">
        <v>281</v>
      </c>
      <c r="K1964" s="424">
        <v>3</v>
      </c>
      <c r="L1964" s="424">
        <v>3</v>
      </c>
      <c r="M1964" s="424">
        <v>0</v>
      </c>
      <c r="N1964" s="424">
        <v>313</v>
      </c>
      <c r="O1964" s="424">
        <v>10</v>
      </c>
      <c r="P1964" s="424">
        <v>705</v>
      </c>
      <c r="Q1964" s="425">
        <v>28</v>
      </c>
      <c r="R1964" s="319">
        <f t="shared" si="249"/>
        <v>1864</v>
      </c>
      <c r="S1964" s="364">
        <f t="shared" si="250"/>
        <v>41</v>
      </c>
      <c r="T1964" s="426"/>
      <c r="U1964" s="426"/>
      <c r="V1964" s="426"/>
      <c r="W1964" s="426"/>
      <c r="X1964" s="426"/>
    </row>
    <row r="1965" spans="1:24" ht="12.75">
      <c r="A1965" s="457" t="s">
        <v>642</v>
      </c>
      <c r="B1965" s="458" t="s">
        <v>184</v>
      </c>
      <c r="C1965" s="458" t="s">
        <v>774</v>
      </c>
      <c r="D1965" s="458">
        <v>2015</v>
      </c>
      <c r="E1965" s="458" t="s">
        <v>775</v>
      </c>
      <c r="F1965" s="425">
        <v>23</v>
      </c>
      <c r="G1965" s="424">
        <v>1</v>
      </c>
      <c r="H1965" s="425">
        <v>0</v>
      </c>
      <c r="I1965" s="425">
        <v>1</v>
      </c>
      <c r="J1965" s="425">
        <v>13</v>
      </c>
      <c r="K1965" s="424">
        <v>0</v>
      </c>
      <c r="L1965" s="425">
        <v>0</v>
      </c>
      <c r="M1965" s="425">
        <v>0</v>
      </c>
      <c r="N1965" s="425">
        <v>15</v>
      </c>
      <c r="O1965" s="425">
        <v>0</v>
      </c>
      <c r="P1965" s="425">
        <v>11</v>
      </c>
      <c r="Q1965" s="425">
        <v>4</v>
      </c>
      <c r="R1965" s="319">
        <f t="shared" si="249"/>
        <v>62</v>
      </c>
      <c r="S1965" s="364">
        <f t="shared" si="250"/>
        <v>5</v>
      </c>
      <c r="T1965" s="427">
        <f>SUM(G1947:G1965)</f>
        <v>235</v>
      </c>
      <c r="U1965" s="427">
        <f>SUM(K1947:K1965)</f>
        <v>131</v>
      </c>
      <c r="V1965" s="427">
        <f>SUM(O1947:O1965)</f>
        <v>145</v>
      </c>
      <c r="W1965" s="427">
        <f>SUM(Q1947:Q1965)</f>
        <v>3107</v>
      </c>
      <c r="X1965" s="427">
        <f>T1965+U1965+V1965+W1965</f>
        <v>3618</v>
      </c>
    </row>
    <row r="1966" spans="1:24" ht="12.75">
      <c r="A1966" s="428" t="s">
        <v>623</v>
      </c>
      <c r="B1966" s="429" t="s">
        <v>184</v>
      </c>
      <c r="C1966" s="429" t="s">
        <v>774</v>
      </c>
      <c r="D1966" s="429">
        <v>2016</v>
      </c>
      <c r="E1966" s="429" t="s">
        <v>775</v>
      </c>
      <c r="F1966" s="430">
        <v>35</v>
      </c>
      <c r="G1966" s="430">
        <v>5</v>
      </c>
      <c r="H1966" s="431">
        <v>0</v>
      </c>
      <c r="I1966" s="430">
        <v>5</v>
      </c>
      <c r="J1966" s="430">
        <v>26</v>
      </c>
      <c r="K1966" s="430">
        <v>3</v>
      </c>
      <c r="L1966" s="430">
        <v>0</v>
      </c>
      <c r="M1966" s="430">
        <v>3</v>
      </c>
      <c r="N1966" s="430">
        <v>29</v>
      </c>
      <c r="O1966" s="430">
        <v>2</v>
      </c>
      <c r="P1966" s="430">
        <v>3</v>
      </c>
      <c r="Q1966" s="431">
        <v>5</v>
      </c>
      <c r="R1966" s="328">
        <f t="shared" si="249"/>
        <v>93</v>
      </c>
      <c r="S1966" s="365">
        <f t="shared" si="250"/>
        <v>15</v>
      </c>
      <c r="T1966" s="432"/>
      <c r="U1966" s="432"/>
      <c r="V1966" s="432"/>
      <c r="W1966" s="432"/>
      <c r="X1966" s="432"/>
    </row>
    <row r="1967" spans="1:24" ht="12.75">
      <c r="A1967" s="428" t="s">
        <v>624</v>
      </c>
      <c r="B1967" s="429" t="s">
        <v>184</v>
      </c>
      <c r="C1967" s="429" t="s">
        <v>774</v>
      </c>
      <c r="D1967" s="429">
        <v>2016</v>
      </c>
      <c r="E1967" s="429" t="s">
        <v>775</v>
      </c>
      <c r="F1967" s="430">
        <v>116</v>
      </c>
      <c r="G1967" s="430">
        <v>0</v>
      </c>
      <c r="H1967" s="431">
        <v>0</v>
      </c>
      <c r="I1967" s="430">
        <v>0</v>
      </c>
      <c r="J1967" s="430">
        <v>63</v>
      </c>
      <c r="K1967" s="430">
        <v>0</v>
      </c>
      <c r="L1967" s="430">
        <v>0</v>
      </c>
      <c r="M1967" s="430">
        <v>0</v>
      </c>
      <c r="N1967" s="430">
        <v>67</v>
      </c>
      <c r="O1967" s="430">
        <v>0</v>
      </c>
      <c r="P1967" s="430">
        <v>222</v>
      </c>
      <c r="Q1967" s="431">
        <v>7</v>
      </c>
      <c r="R1967" s="328">
        <f t="shared" si="249"/>
        <v>468</v>
      </c>
      <c r="S1967" s="365">
        <f t="shared" si="250"/>
        <v>7</v>
      </c>
      <c r="T1967" s="432"/>
      <c r="U1967" s="432"/>
      <c r="V1967" s="432"/>
      <c r="W1967" s="432"/>
      <c r="X1967" s="432"/>
    </row>
    <row r="1968" spans="1:24" ht="12.75">
      <c r="A1968" s="428" t="s">
        <v>625</v>
      </c>
      <c r="B1968" s="429" t="s">
        <v>184</v>
      </c>
      <c r="C1968" s="429" t="s">
        <v>774</v>
      </c>
      <c r="D1968" s="429">
        <v>2016</v>
      </c>
      <c r="E1968" s="429" t="s">
        <v>775</v>
      </c>
      <c r="F1968" s="430">
        <v>25</v>
      </c>
      <c r="G1968" s="430">
        <v>0</v>
      </c>
      <c r="H1968" s="431">
        <v>0</v>
      </c>
      <c r="I1968" s="430">
        <v>0</v>
      </c>
      <c r="J1968" s="430">
        <v>13</v>
      </c>
      <c r="K1968" s="430">
        <v>0</v>
      </c>
      <c r="L1968" s="430">
        <v>0</v>
      </c>
      <c r="M1968" s="430">
        <v>0</v>
      </c>
      <c r="N1968" s="430">
        <v>15</v>
      </c>
      <c r="O1968" s="430">
        <v>3</v>
      </c>
      <c r="P1968" s="430">
        <v>30</v>
      </c>
      <c r="Q1968" s="431">
        <v>4</v>
      </c>
      <c r="R1968" s="328">
        <f t="shared" si="249"/>
        <v>83</v>
      </c>
      <c r="S1968" s="365">
        <f t="shared" si="250"/>
        <v>7</v>
      </c>
      <c r="T1968" s="432"/>
      <c r="U1968" s="432"/>
      <c r="V1968" s="432"/>
      <c r="W1968" s="432"/>
      <c r="X1968" s="432"/>
    </row>
    <row r="1969" spans="1:24" ht="12.75">
      <c r="A1969" s="428" t="s">
        <v>626</v>
      </c>
      <c r="B1969" s="429" t="s">
        <v>184</v>
      </c>
      <c r="C1969" s="429" t="s">
        <v>774</v>
      </c>
      <c r="D1969" s="429">
        <v>2016</v>
      </c>
      <c r="E1969" s="429" t="s">
        <v>775</v>
      </c>
      <c r="F1969" s="430">
        <v>276</v>
      </c>
      <c r="G1969" s="430">
        <v>0</v>
      </c>
      <c r="H1969" s="431">
        <v>0</v>
      </c>
      <c r="I1969" s="430">
        <v>0</v>
      </c>
      <c r="J1969" s="430">
        <v>144</v>
      </c>
      <c r="K1969" s="430">
        <v>0</v>
      </c>
      <c r="L1969" s="430">
        <v>0</v>
      </c>
      <c r="M1969" s="430">
        <v>0</v>
      </c>
      <c r="N1969" s="430">
        <v>155</v>
      </c>
      <c r="O1969" s="430">
        <v>0</v>
      </c>
      <c r="P1969" s="430">
        <v>288</v>
      </c>
      <c r="Q1969" s="431">
        <v>133</v>
      </c>
      <c r="R1969" s="328">
        <f t="shared" si="249"/>
        <v>863</v>
      </c>
      <c r="S1969" s="365">
        <f t="shared" si="250"/>
        <v>133</v>
      </c>
      <c r="T1969" s="432"/>
      <c r="U1969" s="432"/>
      <c r="V1969" s="432"/>
      <c r="W1969" s="432"/>
      <c r="X1969" s="432"/>
    </row>
    <row r="1970" spans="1:24" ht="12.75">
      <c r="A1970" s="428" t="s">
        <v>627</v>
      </c>
      <c r="B1970" s="429" t="s">
        <v>184</v>
      </c>
      <c r="C1970" s="429" t="s">
        <v>774</v>
      </c>
      <c r="D1970" s="429">
        <v>2016</v>
      </c>
      <c r="E1970" s="429" t="s">
        <v>775</v>
      </c>
      <c r="F1970" s="430">
        <v>20</v>
      </c>
      <c r="G1970" s="430">
        <v>0</v>
      </c>
      <c r="H1970" s="431">
        <v>0</v>
      </c>
      <c r="I1970" s="430">
        <v>0</v>
      </c>
      <c r="J1970" s="430">
        <v>8</v>
      </c>
      <c r="K1970" s="430">
        <v>0</v>
      </c>
      <c r="L1970" s="430">
        <v>0</v>
      </c>
      <c r="M1970" s="430">
        <v>0</v>
      </c>
      <c r="N1970" s="430">
        <v>9</v>
      </c>
      <c r="O1970" s="430">
        <v>0</v>
      </c>
      <c r="P1970" s="430">
        <v>22</v>
      </c>
      <c r="Q1970" s="431">
        <v>0</v>
      </c>
      <c r="R1970" s="328">
        <f t="shared" si="249"/>
        <v>59</v>
      </c>
      <c r="S1970" s="365">
        <f t="shared" si="250"/>
        <v>0</v>
      </c>
      <c r="T1970" s="432"/>
      <c r="U1970" s="432"/>
      <c r="V1970" s="432"/>
      <c r="W1970" s="432"/>
      <c r="X1970" s="432"/>
    </row>
    <row r="1971" spans="1:24" ht="12.75">
      <c r="A1971" s="428" t="s">
        <v>628</v>
      </c>
      <c r="B1971" s="429" t="s">
        <v>184</v>
      </c>
      <c r="C1971" s="429" t="s">
        <v>774</v>
      </c>
      <c r="D1971" s="429">
        <v>2016</v>
      </c>
      <c r="E1971" s="429" t="s">
        <v>775</v>
      </c>
      <c r="F1971" s="430">
        <v>400</v>
      </c>
      <c r="G1971" s="430">
        <v>0</v>
      </c>
      <c r="H1971" s="431">
        <v>0</v>
      </c>
      <c r="I1971" s="430">
        <v>0</v>
      </c>
      <c r="J1971" s="430">
        <v>188</v>
      </c>
      <c r="K1971" s="430">
        <v>7</v>
      </c>
      <c r="L1971" s="430">
        <v>7</v>
      </c>
      <c r="M1971" s="430">
        <v>0</v>
      </c>
      <c r="N1971" s="430">
        <v>221</v>
      </c>
      <c r="O1971" s="430">
        <v>17</v>
      </c>
      <c r="P1971" s="430">
        <v>541</v>
      </c>
      <c r="Q1971" s="431">
        <v>140</v>
      </c>
      <c r="R1971" s="328">
        <f t="shared" si="249"/>
        <v>1350</v>
      </c>
      <c r="S1971" s="365">
        <f t="shared" si="250"/>
        <v>164</v>
      </c>
      <c r="T1971" s="432"/>
      <c r="U1971" s="432"/>
      <c r="V1971" s="432"/>
      <c r="W1971" s="432"/>
      <c r="X1971" s="432"/>
    </row>
    <row r="1972" spans="1:24" ht="12.75">
      <c r="A1972" s="428" t="s">
        <v>629</v>
      </c>
      <c r="B1972" s="429" t="s">
        <v>184</v>
      </c>
      <c r="C1972" s="429" t="s">
        <v>774</v>
      </c>
      <c r="D1972" s="429">
        <v>2016</v>
      </c>
      <c r="E1972" s="429" t="s">
        <v>775</v>
      </c>
      <c r="F1972" s="430">
        <v>64</v>
      </c>
      <c r="G1972" s="430">
        <v>0</v>
      </c>
      <c r="H1972" s="431">
        <v>0</v>
      </c>
      <c r="I1972" s="430">
        <v>0</v>
      </c>
      <c r="J1972" s="430">
        <v>54</v>
      </c>
      <c r="K1972" s="430">
        <v>0</v>
      </c>
      <c r="L1972" s="430">
        <v>0</v>
      </c>
      <c r="M1972" s="430">
        <v>0</v>
      </c>
      <c r="N1972" s="430">
        <v>83</v>
      </c>
      <c r="O1972" s="430">
        <v>33</v>
      </c>
      <c r="P1972" s="430">
        <v>266</v>
      </c>
      <c r="Q1972" s="431">
        <v>0</v>
      </c>
      <c r="R1972" s="328">
        <f t="shared" si="249"/>
        <v>467</v>
      </c>
      <c r="S1972" s="365">
        <f t="shared" si="250"/>
        <v>33</v>
      </c>
      <c r="T1972" s="432"/>
      <c r="U1972" s="432"/>
      <c r="V1972" s="432"/>
      <c r="W1972" s="432"/>
      <c r="X1972" s="432"/>
    </row>
    <row r="1973" spans="1:24" ht="12.75">
      <c r="A1973" s="428" t="s">
        <v>630</v>
      </c>
      <c r="B1973" s="429" t="s">
        <v>184</v>
      </c>
      <c r="C1973" s="429" t="s">
        <v>774</v>
      </c>
      <c r="D1973" s="429">
        <v>2016</v>
      </c>
      <c r="E1973" s="429" t="s">
        <v>775</v>
      </c>
      <c r="F1973" s="430">
        <v>148</v>
      </c>
      <c r="G1973" s="430">
        <v>0</v>
      </c>
      <c r="H1973" s="431">
        <v>0</v>
      </c>
      <c r="I1973" s="430">
        <v>0</v>
      </c>
      <c r="J1973" s="430">
        <v>87</v>
      </c>
      <c r="K1973" s="430">
        <v>0</v>
      </c>
      <c r="L1973" s="430">
        <v>0</v>
      </c>
      <c r="M1973" s="430">
        <v>0</v>
      </c>
      <c r="N1973" s="430">
        <v>76</v>
      </c>
      <c r="O1973" s="430">
        <v>0</v>
      </c>
      <c r="P1973" s="430">
        <v>119</v>
      </c>
      <c r="Q1973" s="431">
        <v>74</v>
      </c>
      <c r="R1973" s="328">
        <f t="shared" si="249"/>
        <v>430</v>
      </c>
      <c r="S1973" s="365">
        <f t="shared" si="250"/>
        <v>74</v>
      </c>
      <c r="T1973" s="432"/>
      <c r="U1973" s="432"/>
      <c r="V1973" s="432"/>
      <c r="W1973" s="432"/>
      <c r="X1973" s="432"/>
    </row>
    <row r="1974" spans="1:24" ht="12.75">
      <c r="A1974" s="428" t="s">
        <v>631</v>
      </c>
      <c r="B1974" s="429" t="s">
        <v>184</v>
      </c>
      <c r="C1974" s="429" t="s">
        <v>774</v>
      </c>
      <c r="D1974" s="429">
        <v>2016</v>
      </c>
      <c r="E1974" s="429" t="s">
        <v>775</v>
      </c>
      <c r="F1974" s="430">
        <v>52</v>
      </c>
      <c r="G1974" s="430">
        <v>0</v>
      </c>
      <c r="H1974" s="431">
        <v>0</v>
      </c>
      <c r="I1974" s="430">
        <v>0</v>
      </c>
      <c r="J1974" s="430">
        <v>31</v>
      </c>
      <c r="K1974" s="430">
        <v>0</v>
      </c>
      <c r="L1974" s="430">
        <v>0</v>
      </c>
      <c r="M1974" s="430">
        <v>0</v>
      </c>
      <c r="N1974" s="430">
        <v>36</v>
      </c>
      <c r="O1974" s="430">
        <v>6</v>
      </c>
      <c r="P1974" s="430">
        <v>121</v>
      </c>
      <c r="Q1974" s="431">
        <v>14</v>
      </c>
      <c r="R1974" s="328">
        <f t="shared" si="249"/>
        <v>240</v>
      </c>
      <c r="S1974" s="365">
        <f t="shared" si="250"/>
        <v>20</v>
      </c>
      <c r="T1974" s="432"/>
      <c r="U1974" s="432"/>
      <c r="V1974" s="432"/>
      <c r="W1974" s="432"/>
      <c r="X1974" s="432"/>
    </row>
    <row r="1975" spans="1:24" ht="12.75">
      <c r="A1975" s="428" t="s">
        <v>632</v>
      </c>
      <c r="B1975" s="429" t="s">
        <v>184</v>
      </c>
      <c r="C1975" s="429" t="s">
        <v>774</v>
      </c>
      <c r="D1975" s="429">
        <v>2016</v>
      </c>
      <c r="E1975" s="429" t="s">
        <v>775</v>
      </c>
      <c r="F1975" s="430">
        <v>32</v>
      </c>
      <c r="G1975" s="430">
        <v>4</v>
      </c>
      <c r="H1975" s="431">
        <v>0</v>
      </c>
      <c r="I1975" s="430">
        <v>4</v>
      </c>
      <c r="J1975" s="430">
        <v>17</v>
      </c>
      <c r="K1975" s="430">
        <v>2</v>
      </c>
      <c r="L1975" s="430">
        <v>0</v>
      </c>
      <c r="M1975" s="430">
        <v>2</v>
      </c>
      <c r="N1975" s="430">
        <v>21</v>
      </c>
      <c r="O1975" s="430">
        <v>2</v>
      </c>
      <c r="P1975" s="430">
        <v>21</v>
      </c>
      <c r="Q1975" s="431">
        <v>2</v>
      </c>
      <c r="R1975" s="328">
        <f t="shared" si="249"/>
        <v>91</v>
      </c>
      <c r="S1975" s="365">
        <f t="shared" si="250"/>
        <v>10</v>
      </c>
      <c r="T1975" s="432"/>
      <c r="U1975" s="432"/>
      <c r="V1975" s="432"/>
      <c r="W1975" s="432"/>
      <c r="X1975" s="432"/>
    </row>
    <row r="1976" spans="1:24" ht="12.75">
      <c r="A1976" s="428" t="s">
        <v>633</v>
      </c>
      <c r="B1976" s="429" t="s">
        <v>184</v>
      </c>
      <c r="C1976" s="429" t="s">
        <v>774</v>
      </c>
      <c r="D1976" s="429">
        <v>2016</v>
      </c>
      <c r="E1976" s="429" t="s">
        <v>775</v>
      </c>
      <c r="F1976" s="430">
        <v>233</v>
      </c>
      <c r="G1976" s="430">
        <v>45</v>
      </c>
      <c r="H1976" s="431">
        <v>42</v>
      </c>
      <c r="I1976" s="430">
        <v>3</v>
      </c>
      <c r="J1976" s="430">
        <v>129</v>
      </c>
      <c r="K1976" s="430">
        <v>4</v>
      </c>
      <c r="L1976" s="430">
        <v>0</v>
      </c>
      <c r="M1976" s="430">
        <v>4</v>
      </c>
      <c r="N1976" s="430">
        <v>143</v>
      </c>
      <c r="O1976" s="430">
        <v>0</v>
      </c>
      <c r="P1976" s="430">
        <v>150</v>
      </c>
      <c r="Q1976" s="431">
        <v>17</v>
      </c>
      <c r="R1976" s="328">
        <f t="shared" si="249"/>
        <v>655</v>
      </c>
      <c r="S1976" s="365">
        <f t="shared" si="250"/>
        <v>66</v>
      </c>
      <c r="T1976" s="432"/>
      <c r="U1976" s="432"/>
      <c r="V1976" s="432"/>
      <c r="W1976" s="432"/>
      <c r="X1976" s="432"/>
    </row>
    <row r="1977" spans="1:24" ht="12.75">
      <c r="A1977" s="428" t="s">
        <v>634</v>
      </c>
      <c r="B1977" s="429" t="s">
        <v>184</v>
      </c>
      <c r="C1977" s="429" t="s">
        <v>774</v>
      </c>
      <c r="D1977" s="429">
        <v>2016</v>
      </c>
      <c r="E1977" s="429" t="s">
        <v>775</v>
      </c>
      <c r="F1977" s="430">
        <v>193</v>
      </c>
      <c r="G1977" s="430">
        <v>0</v>
      </c>
      <c r="H1977" s="431">
        <v>0</v>
      </c>
      <c r="I1977" s="430">
        <v>0</v>
      </c>
      <c r="J1977" s="430">
        <v>101</v>
      </c>
      <c r="K1977" s="430">
        <v>0</v>
      </c>
      <c r="L1977" s="430">
        <v>0</v>
      </c>
      <c r="M1977" s="430">
        <v>0</v>
      </c>
      <c r="N1977" s="430">
        <v>112</v>
      </c>
      <c r="O1977" s="430">
        <v>0</v>
      </c>
      <c r="P1977" s="430">
        <v>257</v>
      </c>
      <c r="Q1977" s="431">
        <v>0</v>
      </c>
      <c r="R1977" s="328">
        <f t="shared" si="249"/>
        <v>663</v>
      </c>
      <c r="S1977" s="365">
        <f t="shared" si="250"/>
        <v>0</v>
      </c>
      <c r="T1977" s="432"/>
      <c r="U1977" s="432"/>
      <c r="V1977" s="432"/>
      <c r="W1977" s="432"/>
      <c r="X1977" s="432"/>
    </row>
    <row r="1978" spans="1:24" ht="12.75">
      <c r="A1978" s="428" t="s">
        <v>635</v>
      </c>
      <c r="B1978" s="429" t="s">
        <v>184</v>
      </c>
      <c r="C1978" s="429" t="s">
        <v>774</v>
      </c>
      <c r="D1978" s="429">
        <v>2016</v>
      </c>
      <c r="E1978" s="429" t="s">
        <v>775</v>
      </c>
      <c r="F1978" s="430">
        <v>121</v>
      </c>
      <c r="G1978" s="430">
        <v>0</v>
      </c>
      <c r="H1978" s="431">
        <v>0</v>
      </c>
      <c r="I1978" s="430">
        <v>0</v>
      </c>
      <c r="J1978" s="430">
        <v>68</v>
      </c>
      <c r="K1978" s="430">
        <v>0</v>
      </c>
      <c r="L1978" s="430">
        <v>0</v>
      </c>
      <c r="M1978" s="430">
        <v>0</v>
      </c>
      <c r="N1978" s="430">
        <v>70</v>
      </c>
      <c r="O1978" s="430">
        <v>1</v>
      </c>
      <c r="P1978" s="430">
        <v>154</v>
      </c>
      <c r="Q1978" s="431">
        <v>12</v>
      </c>
      <c r="R1978" s="328">
        <f t="shared" si="249"/>
        <v>413</v>
      </c>
      <c r="S1978" s="365">
        <f t="shared" si="250"/>
        <v>13</v>
      </c>
      <c r="T1978" s="432"/>
      <c r="U1978" s="432"/>
      <c r="V1978" s="432"/>
      <c r="W1978" s="432"/>
      <c r="X1978" s="432"/>
    </row>
    <row r="1979" spans="1:24" ht="12.75">
      <c r="A1979" s="428" t="s">
        <v>636</v>
      </c>
      <c r="B1979" s="429" t="s">
        <v>184</v>
      </c>
      <c r="C1979" s="429" t="s">
        <v>774</v>
      </c>
      <c r="D1979" s="429">
        <v>2016</v>
      </c>
      <c r="E1979" s="429" t="s">
        <v>775</v>
      </c>
      <c r="F1979" s="430">
        <v>21</v>
      </c>
      <c r="G1979" s="430">
        <v>0</v>
      </c>
      <c r="H1979" s="431">
        <v>0</v>
      </c>
      <c r="I1979" s="430">
        <v>0</v>
      </c>
      <c r="J1979" s="430">
        <v>15</v>
      </c>
      <c r="K1979" s="430">
        <v>0</v>
      </c>
      <c r="L1979" s="430">
        <v>0</v>
      </c>
      <c r="M1979" s="430">
        <v>0</v>
      </c>
      <c r="N1979" s="430">
        <v>15</v>
      </c>
      <c r="O1979" s="430">
        <v>1</v>
      </c>
      <c r="P1979" s="430">
        <v>13</v>
      </c>
      <c r="Q1979" s="431">
        <v>8</v>
      </c>
      <c r="R1979" s="328">
        <f t="shared" si="249"/>
        <v>64</v>
      </c>
      <c r="S1979" s="365">
        <f t="shared" si="250"/>
        <v>9</v>
      </c>
      <c r="T1979" s="432"/>
      <c r="U1979" s="432"/>
      <c r="V1979" s="432"/>
      <c r="W1979" s="432"/>
      <c r="X1979" s="432"/>
    </row>
    <row r="1980" spans="1:24" ht="12.75">
      <c r="A1980" s="428" t="s">
        <v>637</v>
      </c>
      <c r="B1980" s="429" t="s">
        <v>184</v>
      </c>
      <c r="C1980" s="429" t="s">
        <v>774</v>
      </c>
      <c r="D1980" s="429">
        <v>2016</v>
      </c>
      <c r="E1980" s="429" t="s">
        <v>775</v>
      </c>
      <c r="F1980" s="430">
        <v>706</v>
      </c>
      <c r="G1980" s="430">
        <v>7</v>
      </c>
      <c r="H1980" s="431">
        <v>7</v>
      </c>
      <c r="I1980" s="430">
        <v>0</v>
      </c>
      <c r="J1980" s="430">
        <v>429</v>
      </c>
      <c r="K1980" s="430">
        <v>16</v>
      </c>
      <c r="L1980" s="430">
        <v>0</v>
      </c>
      <c r="M1980" s="430">
        <v>16</v>
      </c>
      <c r="N1980" s="430">
        <v>502</v>
      </c>
      <c r="O1980" s="430">
        <v>0</v>
      </c>
      <c r="P1980" s="430">
        <v>1152</v>
      </c>
      <c r="Q1980" s="431">
        <v>240</v>
      </c>
      <c r="R1980" s="328">
        <f t="shared" si="249"/>
        <v>2789</v>
      </c>
      <c r="S1980" s="365">
        <f t="shared" si="250"/>
        <v>263</v>
      </c>
      <c r="T1980" s="432"/>
      <c r="U1980" s="432"/>
      <c r="V1980" s="432"/>
      <c r="W1980" s="432"/>
      <c r="X1980" s="432"/>
    </row>
    <row r="1981" spans="1:24" ht="12.75">
      <c r="A1981" s="428" t="s">
        <v>638</v>
      </c>
      <c r="B1981" s="429" t="s">
        <v>184</v>
      </c>
      <c r="C1981" s="429" t="s">
        <v>774</v>
      </c>
      <c r="D1981" s="429">
        <v>2016</v>
      </c>
      <c r="E1981" s="429" t="s">
        <v>775</v>
      </c>
      <c r="F1981" s="430">
        <v>358</v>
      </c>
      <c r="G1981" s="430">
        <v>0</v>
      </c>
      <c r="H1981" s="431">
        <v>0</v>
      </c>
      <c r="I1981" s="430">
        <v>0</v>
      </c>
      <c r="J1981" s="430">
        <v>161</v>
      </c>
      <c r="K1981" s="430">
        <v>4</v>
      </c>
      <c r="L1981" s="430">
        <v>4</v>
      </c>
      <c r="M1981" s="430">
        <v>0</v>
      </c>
      <c r="N1981" s="430">
        <v>205</v>
      </c>
      <c r="O1981" s="430">
        <v>41</v>
      </c>
      <c r="P1981" s="430">
        <v>431</v>
      </c>
      <c r="Q1981" s="431">
        <v>42</v>
      </c>
      <c r="R1981" s="328">
        <f t="shared" si="249"/>
        <v>1155</v>
      </c>
      <c r="S1981" s="365">
        <f t="shared" si="250"/>
        <v>87</v>
      </c>
      <c r="T1981" s="432"/>
      <c r="U1981" s="432"/>
      <c r="V1981" s="432"/>
      <c r="W1981" s="432"/>
      <c r="X1981" s="432"/>
    </row>
    <row r="1982" spans="1:24" ht="12.75">
      <c r="A1982" s="428" t="s">
        <v>639</v>
      </c>
      <c r="B1982" s="429" t="s">
        <v>184</v>
      </c>
      <c r="C1982" s="429" t="s">
        <v>774</v>
      </c>
      <c r="D1982" s="429">
        <v>2016</v>
      </c>
      <c r="E1982" s="429" t="s">
        <v>775</v>
      </c>
      <c r="F1982" s="430">
        <v>195</v>
      </c>
      <c r="G1982" s="430">
        <v>4</v>
      </c>
      <c r="H1982" s="431">
        <v>4</v>
      </c>
      <c r="I1982" s="430">
        <v>0</v>
      </c>
      <c r="J1982" s="430">
        <v>107</v>
      </c>
      <c r="K1982" s="430">
        <v>13</v>
      </c>
      <c r="L1982" s="430">
        <v>13</v>
      </c>
      <c r="M1982" s="430">
        <v>0</v>
      </c>
      <c r="N1982" s="430">
        <v>111</v>
      </c>
      <c r="O1982" s="430">
        <v>10</v>
      </c>
      <c r="P1982" s="430">
        <v>183</v>
      </c>
      <c r="Q1982" s="431">
        <v>358</v>
      </c>
      <c r="R1982" s="328">
        <f t="shared" si="249"/>
        <v>596</v>
      </c>
      <c r="S1982" s="365">
        <f t="shared" si="250"/>
        <v>385</v>
      </c>
      <c r="T1982" s="432"/>
      <c r="U1982" s="432"/>
      <c r="V1982" s="432"/>
      <c r="W1982" s="432"/>
      <c r="X1982" s="432"/>
    </row>
    <row r="1983" spans="1:24" ht="12.75">
      <c r="A1983" s="428" t="s">
        <v>184</v>
      </c>
      <c r="B1983" s="429" t="s">
        <v>184</v>
      </c>
      <c r="C1983" s="429" t="s">
        <v>774</v>
      </c>
      <c r="D1983" s="429">
        <v>2016</v>
      </c>
      <c r="E1983" s="429" t="s">
        <v>775</v>
      </c>
      <c r="F1983" s="430">
        <v>859</v>
      </c>
      <c r="G1983" s="430">
        <v>12</v>
      </c>
      <c r="H1983" s="431">
        <v>12</v>
      </c>
      <c r="I1983" s="430">
        <v>0</v>
      </c>
      <c r="J1983" s="430">
        <v>469</v>
      </c>
      <c r="K1983" s="430">
        <v>3</v>
      </c>
      <c r="L1983" s="430">
        <v>3</v>
      </c>
      <c r="M1983" s="430">
        <v>0</v>
      </c>
      <c r="N1983" s="430">
        <v>530</v>
      </c>
      <c r="O1983" s="430">
        <v>2</v>
      </c>
      <c r="P1983" s="430">
        <v>1242</v>
      </c>
      <c r="Q1983" s="431">
        <v>172</v>
      </c>
      <c r="R1983" s="328">
        <f t="shared" si="249"/>
        <v>3100</v>
      </c>
      <c r="S1983" s="365">
        <f t="shared" si="250"/>
        <v>189</v>
      </c>
      <c r="T1983" s="432"/>
      <c r="U1983" s="432"/>
      <c r="V1983" s="432"/>
      <c r="W1983" s="432"/>
      <c r="X1983" s="432"/>
    </row>
    <row r="1984" spans="1:24" ht="12.75">
      <c r="A1984" s="428" t="s">
        <v>640</v>
      </c>
      <c r="B1984" s="429" t="s">
        <v>184</v>
      </c>
      <c r="C1984" s="429" t="s">
        <v>774</v>
      </c>
      <c r="D1984" s="429">
        <v>2016</v>
      </c>
      <c r="E1984" s="429" t="s">
        <v>775</v>
      </c>
      <c r="F1984" s="430">
        <v>153</v>
      </c>
      <c r="G1984" s="430">
        <v>0</v>
      </c>
      <c r="H1984" s="431">
        <v>0</v>
      </c>
      <c r="I1984" s="430">
        <v>0</v>
      </c>
      <c r="J1984" s="430">
        <v>103</v>
      </c>
      <c r="K1984" s="430">
        <v>3</v>
      </c>
      <c r="L1984" s="430">
        <v>0</v>
      </c>
      <c r="M1984" s="430">
        <v>3</v>
      </c>
      <c r="N1984" s="430">
        <v>102</v>
      </c>
      <c r="O1984" s="430">
        <v>7</v>
      </c>
      <c r="P1984" s="430">
        <v>555</v>
      </c>
      <c r="Q1984" s="431">
        <v>50</v>
      </c>
      <c r="R1984" s="328">
        <f t="shared" si="249"/>
        <v>913</v>
      </c>
      <c r="S1984" s="365">
        <f t="shared" si="250"/>
        <v>60</v>
      </c>
      <c r="T1984" s="432"/>
      <c r="U1984" s="432"/>
      <c r="V1984" s="432"/>
      <c r="W1984" s="432"/>
      <c r="X1984" s="432"/>
    </row>
    <row r="1985" spans="1:24" ht="12.75">
      <c r="A1985" s="428" t="s">
        <v>641</v>
      </c>
      <c r="B1985" s="429" t="s">
        <v>184</v>
      </c>
      <c r="C1985" s="429" t="s">
        <v>774</v>
      </c>
      <c r="D1985" s="429">
        <v>2016</v>
      </c>
      <c r="E1985" s="429" t="s">
        <v>775</v>
      </c>
      <c r="F1985" s="430">
        <v>565</v>
      </c>
      <c r="G1985" s="430">
        <v>0</v>
      </c>
      <c r="H1985" s="431">
        <v>0</v>
      </c>
      <c r="I1985" s="430">
        <v>0</v>
      </c>
      <c r="J1985" s="430">
        <v>281</v>
      </c>
      <c r="K1985" s="430">
        <v>1</v>
      </c>
      <c r="L1985" s="430">
        <v>1</v>
      </c>
      <c r="M1985" s="430">
        <v>0</v>
      </c>
      <c r="N1985" s="430">
        <v>313</v>
      </c>
      <c r="O1985" s="430">
        <v>13</v>
      </c>
      <c r="P1985" s="430">
        <v>705</v>
      </c>
      <c r="Q1985" s="431">
        <v>92</v>
      </c>
      <c r="R1985" s="328">
        <f t="shared" si="249"/>
        <v>1864</v>
      </c>
      <c r="S1985" s="365">
        <f t="shared" si="250"/>
        <v>106</v>
      </c>
      <c r="T1985" s="432"/>
      <c r="U1985" s="432"/>
      <c r="V1985" s="432"/>
      <c r="W1985" s="432"/>
      <c r="X1985" s="432"/>
    </row>
    <row r="1986" spans="1:24" ht="12.75">
      <c r="A1986" s="459" t="s">
        <v>642</v>
      </c>
      <c r="B1986" s="460" t="s">
        <v>184</v>
      </c>
      <c r="C1986" s="460" t="s">
        <v>774</v>
      </c>
      <c r="D1986" s="460">
        <v>2016</v>
      </c>
      <c r="E1986" s="460" t="s">
        <v>775</v>
      </c>
      <c r="F1986" s="431">
        <v>23</v>
      </c>
      <c r="G1986" s="430">
        <v>5</v>
      </c>
      <c r="H1986" s="431">
        <v>0</v>
      </c>
      <c r="I1986" s="431">
        <v>5</v>
      </c>
      <c r="J1986" s="431">
        <v>13</v>
      </c>
      <c r="K1986" s="430">
        <v>1</v>
      </c>
      <c r="L1986" s="431">
        <v>0</v>
      </c>
      <c r="M1986" s="431">
        <v>1</v>
      </c>
      <c r="N1986" s="431">
        <v>15</v>
      </c>
      <c r="O1986" s="431">
        <v>1</v>
      </c>
      <c r="P1986" s="431">
        <v>11</v>
      </c>
      <c r="Q1986" s="431">
        <v>8</v>
      </c>
      <c r="R1986" s="328">
        <f t="shared" si="249"/>
        <v>62</v>
      </c>
      <c r="S1986" s="365">
        <f t="shared" si="250"/>
        <v>15</v>
      </c>
      <c r="T1986" s="413">
        <f>SUM(G1966:G1986)</f>
        <v>82</v>
      </c>
      <c r="U1986" s="413">
        <f>SUM(K1966:K1986)</f>
        <v>57</v>
      </c>
      <c r="V1986" s="413">
        <f>SUM(O1966:O1986)</f>
        <v>139</v>
      </c>
      <c r="W1986" s="413">
        <f>SUM(Q1966:Q1986)</f>
        <v>1378</v>
      </c>
      <c r="X1986" s="413">
        <f>T1986+U1986+V1986+W1986</f>
        <v>1656</v>
      </c>
    </row>
    <row r="1987" spans="1:24" ht="12.75">
      <c r="A1987" s="433" t="s">
        <v>623</v>
      </c>
      <c r="B1987" s="434" t="s">
        <v>184</v>
      </c>
      <c r="C1987" s="434" t="s">
        <v>774</v>
      </c>
      <c r="D1987" s="434">
        <v>2017</v>
      </c>
      <c r="E1987" s="434" t="s">
        <v>775</v>
      </c>
      <c r="F1987" s="435">
        <v>35</v>
      </c>
      <c r="G1987" s="435">
        <v>6</v>
      </c>
      <c r="H1987" s="436">
        <v>0</v>
      </c>
      <c r="I1987" s="435">
        <v>6</v>
      </c>
      <c r="J1987" s="435">
        <v>26</v>
      </c>
      <c r="K1987" s="435">
        <v>5</v>
      </c>
      <c r="L1987" s="435">
        <v>0</v>
      </c>
      <c r="M1987" s="435">
        <v>5</v>
      </c>
      <c r="N1987" s="435">
        <v>29</v>
      </c>
      <c r="O1987" s="435">
        <v>0</v>
      </c>
      <c r="P1987" s="435">
        <v>3</v>
      </c>
      <c r="Q1987" s="436">
        <v>25</v>
      </c>
      <c r="R1987" s="336">
        <f t="shared" si="249"/>
        <v>93</v>
      </c>
      <c r="S1987" s="366">
        <f t="shared" si="250"/>
        <v>36</v>
      </c>
      <c r="T1987" s="437"/>
      <c r="U1987" s="437"/>
      <c r="V1987" s="437"/>
      <c r="W1987" s="437"/>
      <c r="X1987" s="437"/>
    </row>
    <row r="1988" spans="1:24" ht="12.75">
      <c r="A1988" s="433" t="s">
        <v>624</v>
      </c>
      <c r="B1988" s="434" t="s">
        <v>184</v>
      </c>
      <c r="C1988" s="434" t="s">
        <v>774</v>
      </c>
      <c r="D1988" s="434">
        <v>2017</v>
      </c>
      <c r="E1988" s="434" t="s">
        <v>775</v>
      </c>
      <c r="F1988" s="435">
        <v>116</v>
      </c>
      <c r="G1988" s="435">
        <v>0</v>
      </c>
      <c r="H1988" s="436">
        <v>0</v>
      </c>
      <c r="I1988" s="435">
        <v>0</v>
      </c>
      <c r="J1988" s="435">
        <v>63</v>
      </c>
      <c r="K1988" s="435">
        <v>0</v>
      </c>
      <c r="L1988" s="435">
        <v>0</v>
      </c>
      <c r="M1988" s="435">
        <v>0</v>
      </c>
      <c r="N1988" s="435">
        <v>67</v>
      </c>
      <c r="O1988" s="435">
        <v>4</v>
      </c>
      <c r="P1988" s="435">
        <v>222</v>
      </c>
      <c r="Q1988" s="436">
        <v>109</v>
      </c>
      <c r="R1988" s="336">
        <f t="shared" si="249"/>
        <v>468</v>
      </c>
      <c r="S1988" s="366">
        <f t="shared" si="250"/>
        <v>113</v>
      </c>
      <c r="T1988" s="437"/>
      <c r="U1988" s="437"/>
      <c r="V1988" s="437"/>
      <c r="W1988" s="437"/>
      <c r="X1988" s="437"/>
    </row>
    <row r="1989" spans="1:24" ht="12.75">
      <c r="A1989" s="433" t="s">
        <v>625</v>
      </c>
      <c r="B1989" s="434" t="s">
        <v>184</v>
      </c>
      <c r="C1989" s="434" t="s">
        <v>774</v>
      </c>
      <c r="D1989" s="434">
        <v>2017</v>
      </c>
      <c r="E1989" s="434" t="s">
        <v>775</v>
      </c>
      <c r="F1989" s="435">
        <v>25</v>
      </c>
      <c r="G1989" s="435">
        <v>0</v>
      </c>
      <c r="H1989" s="436">
        <v>0</v>
      </c>
      <c r="I1989" s="435">
        <v>0</v>
      </c>
      <c r="J1989" s="435">
        <v>13</v>
      </c>
      <c r="K1989" s="435">
        <v>0</v>
      </c>
      <c r="L1989" s="435">
        <v>0</v>
      </c>
      <c r="M1989" s="435">
        <v>0</v>
      </c>
      <c r="N1989" s="435">
        <v>15</v>
      </c>
      <c r="O1989" s="435">
        <v>3</v>
      </c>
      <c r="P1989" s="435">
        <v>30</v>
      </c>
      <c r="Q1989" s="436">
        <v>4</v>
      </c>
      <c r="R1989" s="336">
        <f t="shared" si="249"/>
        <v>83</v>
      </c>
      <c r="S1989" s="366">
        <f t="shared" si="250"/>
        <v>7</v>
      </c>
      <c r="T1989" s="437"/>
      <c r="U1989" s="437"/>
      <c r="V1989" s="437"/>
      <c r="W1989" s="437"/>
      <c r="X1989" s="437"/>
    </row>
    <row r="1990" spans="1:24" ht="12.75">
      <c r="A1990" s="433" t="s">
        <v>626</v>
      </c>
      <c r="B1990" s="434" t="s">
        <v>184</v>
      </c>
      <c r="C1990" s="434" t="s">
        <v>774</v>
      </c>
      <c r="D1990" s="434">
        <v>2017</v>
      </c>
      <c r="E1990" s="434" t="s">
        <v>775</v>
      </c>
      <c r="F1990" s="435">
        <v>276</v>
      </c>
      <c r="G1990" s="435">
        <v>0</v>
      </c>
      <c r="H1990" s="436">
        <v>0</v>
      </c>
      <c r="I1990" s="435">
        <v>0</v>
      </c>
      <c r="J1990" s="435">
        <v>144</v>
      </c>
      <c r="K1990" s="435">
        <v>0</v>
      </c>
      <c r="L1990" s="435">
        <v>0</v>
      </c>
      <c r="M1990" s="435">
        <v>0</v>
      </c>
      <c r="N1990" s="435">
        <v>155</v>
      </c>
      <c r="O1990" s="435">
        <v>0</v>
      </c>
      <c r="P1990" s="435">
        <v>288</v>
      </c>
      <c r="Q1990" s="436">
        <v>13</v>
      </c>
      <c r="R1990" s="336">
        <f t="shared" si="249"/>
        <v>863</v>
      </c>
      <c r="S1990" s="366">
        <f t="shared" si="250"/>
        <v>13</v>
      </c>
      <c r="T1990" s="437"/>
      <c r="U1990" s="437"/>
      <c r="V1990" s="437"/>
      <c r="W1990" s="437"/>
      <c r="X1990" s="437"/>
    </row>
    <row r="1991" spans="1:24" ht="12.75">
      <c r="A1991" s="433" t="s">
        <v>627</v>
      </c>
      <c r="B1991" s="434" t="s">
        <v>184</v>
      </c>
      <c r="C1991" s="434" t="s">
        <v>774</v>
      </c>
      <c r="D1991" s="434">
        <v>2017</v>
      </c>
      <c r="E1991" s="434" t="s">
        <v>775</v>
      </c>
      <c r="F1991" s="435">
        <v>20</v>
      </c>
      <c r="G1991" s="435">
        <v>0</v>
      </c>
      <c r="H1991" s="436">
        <v>0</v>
      </c>
      <c r="I1991" s="435">
        <v>0</v>
      </c>
      <c r="J1991" s="435">
        <v>8</v>
      </c>
      <c r="K1991" s="435">
        <v>0</v>
      </c>
      <c r="L1991" s="435">
        <v>0</v>
      </c>
      <c r="M1991" s="435">
        <v>0</v>
      </c>
      <c r="N1991" s="435">
        <v>9</v>
      </c>
      <c r="O1991" s="435">
        <v>0</v>
      </c>
      <c r="P1991" s="435">
        <v>22</v>
      </c>
      <c r="Q1991" s="436">
        <v>6</v>
      </c>
      <c r="R1991" s="336">
        <f t="shared" si="249"/>
        <v>59</v>
      </c>
      <c r="S1991" s="366">
        <f t="shared" si="250"/>
        <v>6</v>
      </c>
      <c r="T1991" s="437"/>
      <c r="U1991" s="437"/>
      <c r="V1991" s="437"/>
      <c r="W1991" s="437"/>
      <c r="X1991" s="437"/>
    </row>
    <row r="1992" spans="1:24" ht="12.75">
      <c r="A1992" s="433" t="s">
        <v>628</v>
      </c>
      <c r="B1992" s="434" t="s">
        <v>184</v>
      </c>
      <c r="C1992" s="434" t="s">
        <v>774</v>
      </c>
      <c r="D1992" s="434">
        <v>2017</v>
      </c>
      <c r="E1992" s="434" t="s">
        <v>775</v>
      </c>
      <c r="F1992" s="435">
        <v>400</v>
      </c>
      <c r="G1992" s="435">
        <v>21</v>
      </c>
      <c r="H1992" s="436">
        <v>21</v>
      </c>
      <c r="I1992" s="435">
        <v>0</v>
      </c>
      <c r="J1992" s="435">
        <v>188</v>
      </c>
      <c r="K1992" s="435">
        <v>200</v>
      </c>
      <c r="L1992" s="435">
        <v>183</v>
      </c>
      <c r="M1992" s="435">
        <v>17</v>
      </c>
      <c r="N1992" s="435">
        <v>221</v>
      </c>
      <c r="O1992" s="435">
        <v>18</v>
      </c>
      <c r="P1992" s="435">
        <v>541</v>
      </c>
      <c r="Q1992" s="436">
        <v>17</v>
      </c>
      <c r="R1992" s="336">
        <f t="shared" si="249"/>
        <v>1350</v>
      </c>
      <c r="S1992" s="366">
        <f t="shared" si="250"/>
        <v>256</v>
      </c>
      <c r="T1992" s="437"/>
      <c r="U1992" s="437"/>
      <c r="V1992" s="437"/>
      <c r="W1992" s="437"/>
      <c r="X1992" s="437"/>
    </row>
    <row r="1993" spans="1:24" ht="12.75">
      <c r="A1993" s="433" t="s">
        <v>629</v>
      </c>
      <c r="B1993" s="434" t="s">
        <v>184</v>
      </c>
      <c r="C1993" s="434" t="s">
        <v>774</v>
      </c>
      <c r="D1993" s="434">
        <v>2017</v>
      </c>
      <c r="E1993" s="434" t="s">
        <v>775</v>
      </c>
      <c r="F1993" s="435">
        <v>64</v>
      </c>
      <c r="G1993" s="435">
        <v>16</v>
      </c>
      <c r="H1993" s="436">
        <v>16</v>
      </c>
      <c r="I1993" s="435">
        <v>0</v>
      </c>
      <c r="J1993" s="435">
        <v>54</v>
      </c>
      <c r="K1993" s="435">
        <v>24</v>
      </c>
      <c r="L1993" s="435">
        <v>24</v>
      </c>
      <c r="M1993" s="435">
        <v>0</v>
      </c>
      <c r="N1993" s="435">
        <v>83</v>
      </c>
      <c r="O1993" s="435">
        <v>0</v>
      </c>
      <c r="P1993" s="435">
        <v>266</v>
      </c>
      <c r="Q1993" s="436">
        <v>5</v>
      </c>
      <c r="R1993" s="336">
        <f t="shared" si="249"/>
        <v>467</v>
      </c>
      <c r="S1993" s="366">
        <f t="shared" si="250"/>
        <v>45</v>
      </c>
      <c r="T1993" s="437"/>
      <c r="U1993" s="437"/>
      <c r="V1993" s="437"/>
      <c r="W1993" s="437"/>
      <c r="X1993" s="437"/>
    </row>
    <row r="1994" spans="1:24" ht="12.75">
      <c r="A1994" s="433" t="s">
        <v>630</v>
      </c>
      <c r="B1994" s="434" t="s">
        <v>184</v>
      </c>
      <c r="C1994" s="434" t="s">
        <v>774</v>
      </c>
      <c r="D1994" s="434">
        <v>2017</v>
      </c>
      <c r="E1994" s="434" t="s">
        <v>775</v>
      </c>
      <c r="F1994" s="435">
        <v>148</v>
      </c>
      <c r="G1994" s="435">
        <v>1</v>
      </c>
      <c r="H1994" s="436">
        <v>0</v>
      </c>
      <c r="I1994" s="435">
        <v>1</v>
      </c>
      <c r="J1994" s="435">
        <v>87</v>
      </c>
      <c r="K1994" s="435">
        <v>0</v>
      </c>
      <c r="L1994" s="435">
        <v>0</v>
      </c>
      <c r="M1994" s="435">
        <v>0</v>
      </c>
      <c r="N1994" s="435">
        <v>76</v>
      </c>
      <c r="O1994" s="435">
        <v>0</v>
      </c>
      <c r="P1994" s="435">
        <v>119</v>
      </c>
      <c r="Q1994" s="436">
        <v>0</v>
      </c>
      <c r="R1994" s="336">
        <f t="shared" si="249"/>
        <v>430</v>
      </c>
      <c r="S1994" s="366">
        <f t="shared" si="250"/>
        <v>1</v>
      </c>
      <c r="T1994" s="437"/>
      <c r="U1994" s="437"/>
      <c r="V1994" s="437"/>
      <c r="W1994" s="437"/>
      <c r="X1994" s="437"/>
    </row>
    <row r="1995" spans="1:24" ht="12.75">
      <c r="A1995" s="433" t="s">
        <v>631</v>
      </c>
      <c r="B1995" s="434" t="s">
        <v>184</v>
      </c>
      <c r="C1995" s="434" t="s">
        <v>774</v>
      </c>
      <c r="D1995" s="434">
        <v>2017</v>
      </c>
      <c r="E1995" s="434" t="s">
        <v>775</v>
      </c>
      <c r="F1995" s="435">
        <v>52</v>
      </c>
      <c r="G1995" s="435">
        <v>0</v>
      </c>
      <c r="H1995" s="436">
        <v>0</v>
      </c>
      <c r="I1995" s="435">
        <v>0</v>
      </c>
      <c r="J1995" s="435">
        <v>31</v>
      </c>
      <c r="K1995" s="435">
        <v>0</v>
      </c>
      <c r="L1995" s="435">
        <v>0</v>
      </c>
      <c r="M1995" s="435">
        <v>0</v>
      </c>
      <c r="N1995" s="435">
        <v>36</v>
      </c>
      <c r="O1995" s="435">
        <v>3</v>
      </c>
      <c r="P1995" s="435">
        <v>121</v>
      </c>
      <c r="Q1995" s="436">
        <v>12</v>
      </c>
      <c r="R1995" s="336">
        <f t="shared" si="249"/>
        <v>240</v>
      </c>
      <c r="S1995" s="366">
        <f t="shared" si="250"/>
        <v>15</v>
      </c>
      <c r="T1995" s="437"/>
      <c r="U1995" s="437"/>
      <c r="V1995" s="437"/>
      <c r="W1995" s="437"/>
      <c r="X1995" s="437"/>
    </row>
    <row r="1996" spans="1:24" ht="12.75">
      <c r="A1996" s="433" t="s">
        <v>632</v>
      </c>
      <c r="B1996" s="434" t="s">
        <v>184</v>
      </c>
      <c r="C1996" s="434" t="s">
        <v>774</v>
      </c>
      <c r="D1996" s="434">
        <v>2017</v>
      </c>
      <c r="E1996" s="434" t="s">
        <v>775</v>
      </c>
      <c r="F1996" s="435">
        <v>32</v>
      </c>
      <c r="G1996" s="435">
        <v>8</v>
      </c>
      <c r="H1996" s="436">
        <v>0</v>
      </c>
      <c r="I1996" s="435">
        <v>8</v>
      </c>
      <c r="J1996" s="435">
        <v>17</v>
      </c>
      <c r="K1996" s="435">
        <v>3</v>
      </c>
      <c r="L1996" s="435">
        <v>0</v>
      </c>
      <c r="M1996" s="435">
        <v>3</v>
      </c>
      <c r="N1996" s="435">
        <v>21</v>
      </c>
      <c r="O1996" s="435">
        <v>4</v>
      </c>
      <c r="P1996" s="435">
        <v>21</v>
      </c>
      <c r="Q1996" s="436">
        <v>3</v>
      </c>
      <c r="R1996" s="336">
        <f t="shared" si="249"/>
        <v>91</v>
      </c>
      <c r="S1996" s="366">
        <f t="shared" si="250"/>
        <v>18</v>
      </c>
      <c r="T1996" s="437"/>
      <c r="U1996" s="437"/>
      <c r="V1996" s="437"/>
      <c r="W1996" s="437"/>
      <c r="X1996" s="437"/>
    </row>
    <row r="1997" spans="1:24" ht="12.75">
      <c r="A1997" s="433" t="s">
        <v>633</v>
      </c>
      <c r="B1997" s="434" t="s">
        <v>184</v>
      </c>
      <c r="C1997" s="434" t="s">
        <v>774</v>
      </c>
      <c r="D1997" s="434">
        <v>2017</v>
      </c>
      <c r="E1997" s="434" t="s">
        <v>775</v>
      </c>
      <c r="F1997" s="435">
        <v>233</v>
      </c>
      <c r="G1997" s="435">
        <v>8</v>
      </c>
      <c r="H1997" s="436">
        <v>0</v>
      </c>
      <c r="I1997" s="435">
        <v>8</v>
      </c>
      <c r="J1997" s="435">
        <v>129</v>
      </c>
      <c r="K1997" s="435">
        <v>6</v>
      </c>
      <c r="L1997" s="435">
        <v>2</v>
      </c>
      <c r="M1997" s="435">
        <v>4</v>
      </c>
      <c r="N1997" s="435">
        <v>143</v>
      </c>
      <c r="O1997" s="435">
        <v>1</v>
      </c>
      <c r="P1997" s="435">
        <v>150</v>
      </c>
      <c r="Q1997" s="436">
        <v>20</v>
      </c>
      <c r="R1997" s="336">
        <f t="shared" si="249"/>
        <v>655</v>
      </c>
      <c r="S1997" s="366">
        <f t="shared" si="250"/>
        <v>35</v>
      </c>
      <c r="T1997" s="437"/>
      <c r="U1997" s="437"/>
      <c r="V1997" s="437"/>
      <c r="W1997" s="437"/>
      <c r="X1997" s="437"/>
    </row>
    <row r="1998" spans="1:24" ht="12.75">
      <c r="A1998" s="433" t="s">
        <v>634</v>
      </c>
      <c r="B1998" s="434" t="s">
        <v>184</v>
      </c>
      <c r="C1998" s="434" t="s">
        <v>774</v>
      </c>
      <c r="D1998" s="434">
        <v>2017</v>
      </c>
      <c r="E1998" s="434" t="s">
        <v>775</v>
      </c>
      <c r="F1998" s="435">
        <v>193</v>
      </c>
      <c r="G1998" s="435">
        <v>0</v>
      </c>
      <c r="H1998" s="436">
        <v>0</v>
      </c>
      <c r="I1998" s="435">
        <v>0</v>
      </c>
      <c r="J1998" s="435">
        <v>101</v>
      </c>
      <c r="K1998" s="435">
        <v>0</v>
      </c>
      <c r="L1998" s="435">
        <v>0</v>
      </c>
      <c r="M1998" s="435">
        <v>0</v>
      </c>
      <c r="N1998" s="435">
        <v>112</v>
      </c>
      <c r="O1998" s="435">
        <v>0</v>
      </c>
      <c r="P1998" s="435">
        <v>257</v>
      </c>
      <c r="Q1998" s="436">
        <v>3</v>
      </c>
      <c r="R1998" s="336">
        <f t="shared" si="249"/>
        <v>663</v>
      </c>
      <c r="S1998" s="366">
        <f t="shared" si="250"/>
        <v>3</v>
      </c>
      <c r="T1998" s="437"/>
      <c r="U1998" s="437"/>
      <c r="V1998" s="437"/>
      <c r="W1998" s="437"/>
      <c r="X1998" s="437"/>
    </row>
    <row r="1999" spans="1:24" ht="12.75">
      <c r="A1999" s="433" t="s">
        <v>635</v>
      </c>
      <c r="B1999" s="434" t="s">
        <v>184</v>
      </c>
      <c r="C1999" s="434" t="s">
        <v>774</v>
      </c>
      <c r="D1999" s="434">
        <v>2017</v>
      </c>
      <c r="E1999" s="434" t="s">
        <v>775</v>
      </c>
      <c r="F1999" s="435">
        <v>121</v>
      </c>
      <c r="G1999" s="435">
        <v>0</v>
      </c>
      <c r="H1999" s="436">
        <v>0</v>
      </c>
      <c r="I1999" s="435">
        <v>0</v>
      </c>
      <c r="J1999" s="435">
        <v>68</v>
      </c>
      <c r="K1999" s="435">
        <v>0</v>
      </c>
      <c r="L1999" s="435">
        <v>0</v>
      </c>
      <c r="M1999" s="435">
        <v>0</v>
      </c>
      <c r="N1999" s="435">
        <v>70</v>
      </c>
      <c r="O1999" s="435">
        <v>4</v>
      </c>
      <c r="P1999" s="435">
        <v>154</v>
      </c>
      <c r="Q1999" s="436">
        <v>5</v>
      </c>
      <c r="R1999" s="336">
        <f t="shared" si="249"/>
        <v>413</v>
      </c>
      <c r="S1999" s="366">
        <f t="shared" si="250"/>
        <v>9</v>
      </c>
      <c r="T1999" s="437"/>
      <c r="U1999" s="437"/>
      <c r="V1999" s="437"/>
      <c r="W1999" s="437"/>
      <c r="X1999" s="437"/>
    </row>
    <row r="2000" spans="1:24" ht="12.75">
      <c r="A2000" s="433" t="s">
        <v>636</v>
      </c>
      <c r="B2000" s="434" t="s">
        <v>184</v>
      </c>
      <c r="C2000" s="434" t="s">
        <v>774</v>
      </c>
      <c r="D2000" s="434">
        <v>2017</v>
      </c>
      <c r="E2000" s="434" t="s">
        <v>775</v>
      </c>
      <c r="F2000" s="435">
        <v>21</v>
      </c>
      <c r="G2000" s="435">
        <v>0</v>
      </c>
      <c r="H2000" s="436">
        <v>0</v>
      </c>
      <c r="I2000" s="435">
        <v>0</v>
      </c>
      <c r="J2000" s="435">
        <v>15</v>
      </c>
      <c r="K2000" s="435">
        <v>0</v>
      </c>
      <c r="L2000" s="435">
        <v>0</v>
      </c>
      <c r="M2000" s="435">
        <v>0</v>
      </c>
      <c r="N2000" s="435">
        <v>15</v>
      </c>
      <c r="O2000" s="435">
        <v>2</v>
      </c>
      <c r="P2000" s="435">
        <v>13</v>
      </c>
      <c r="Q2000" s="436">
        <v>6</v>
      </c>
      <c r="R2000" s="336">
        <f t="shared" si="249"/>
        <v>64</v>
      </c>
      <c r="S2000" s="366">
        <f t="shared" si="250"/>
        <v>8</v>
      </c>
      <c r="T2000" s="437"/>
      <c r="U2000" s="437"/>
      <c r="V2000" s="437"/>
      <c r="W2000" s="437"/>
      <c r="X2000" s="437"/>
    </row>
    <row r="2001" spans="1:24" ht="12.75">
      <c r="A2001" s="433" t="s">
        <v>637</v>
      </c>
      <c r="B2001" s="434" t="s">
        <v>184</v>
      </c>
      <c r="C2001" s="434" t="s">
        <v>774</v>
      </c>
      <c r="D2001" s="434">
        <v>2017</v>
      </c>
      <c r="E2001" s="434" t="s">
        <v>775</v>
      </c>
      <c r="F2001" s="435">
        <v>706</v>
      </c>
      <c r="G2001" s="435">
        <v>0</v>
      </c>
      <c r="H2001" s="436">
        <v>0</v>
      </c>
      <c r="I2001" s="435">
        <v>0</v>
      </c>
      <c r="J2001" s="435">
        <v>429</v>
      </c>
      <c r="K2001" s="435">
        <v>36</v>
      </c>
      <c r="L2001" s="435">
        <v>36</v>
      </c>
      <c r="M2001" s="435">
        <v>0</v>
      </c>
      <c r="N2001" s="435">
        <v>502</v>
      </c>
      <c r="O2001" s="435">
        <v>0</v>
      </c>
      <c r="P2001" s="435">
        <v>1152</v>
      </c>
      <c r="Q2001" s="436">
        <v>8</v>
      </c>
      <c r="R2001" s="336">
        <f t="shared" si="249"/>
        <v>2789</v>
      </c>
      <c r="S2001" s="366">
        <f t="shared" si="250"/>
        <v>44</v>
      </c>
      <c r="T2001" s="437"/>
      <c r="U2001" s="437"/>
      <c r="V2001" s="437"/>
      <c r="W2001" s="437"/>
      <c r="X2001" s="437"/>
    </row>
    <row r="2002" spans="1:24" ht="12.75">
      <c r="A2002" s="433" t="s">
        <v>638</v>
      </c>
      <c r="B2002" s="453" t="s">
        <v>184</v>
      </c>
      <c r="C2002" s="434" t="s">
        <v>774</v>
      </c>
      <c r="D2002" s="434">
        <v>2017</v>
      </c>
      <c r="E2002" s="434" t="s">
        <v>775</v>
      </c>
      <c r="F2002" s="435">
        <v>358</v>
      </c>
      <c r="G2002" s="435">
        <v>0</v>
      </c>
      <c r="H2002" s="436">
        <v>0</v>
      </c>
      <c r="I2002" s="435">
        <v>0</v>
      </c>
      <c r="J2002" s="435">
        <v>161</v>
      </c>
      <c r="K2002" s="435">
        <v>14</v>
      </c>
      <c r="L2002" s="435">
        <v>14</v>
      </c>
      <c r="M2002" s="435">
        <v>0</v>
      </c>
      <c r="N2002" s="435">
        <v>205</v>
      </c>
      <c r="O2002" s="435">
        <v>0</v>
      </c>
      <c r="P2002" s="435">
        <v>431</v>
      </c>
      <c r="Q2002" s="436">
        <v>1</v>
      </c>
      <c r="R2002" s="336">
        <f t="shared" si="249"/>
        <v>1155</v>
      </c>
      <c r="S2002" s="366">
        <f t="shared" si="250"/>
        <v>15</v>
      </c>
      <c r="T2002" s="437"/>
      <c r="U2002" s="437"/>
      <c r="V2002" s="437"/>
      <c r="W2002" s="437"/>
      <c r="X2002" s="437"/>
    </row>
    <row r="2003" spans="1:24" ht="12.75">
      <c r="A2003" s="433" t="s">
        <v>639</v>
      </c>
      <c r="B2003" s="434" t="s">
        <v>184</v>
      </c>
      <c r="C2003" s="434" t="s">
        <v>774</v>
      </c>
      <c r="D2003" s="434">
        <v>2017</v>
      </c>
      <c r="E2003" s="434" t="s">
        <v>775</v>
      </c>
      <c r="F2003" s="435">
        <v>195</v>
      </c>
      <c r="G2003" s="435">
        <v>1</v>
      </c>
      <c r="H2003" s="436">
        <v>1</v>
      </c>
      <c r="I2003" s="435">
        <v>0</v>
      </c>
      <c r="J2003" s="435">
        <v>107</v>
      </c>
      <c r="K2003" s="435">
        <v>0</v>
      </c>
      <c r="L2003" s="435">
        <v>0</v>
      </c>
      <c r="M2003" s="435">
        <v>0</v>
      </c>
      <c r="N2003" s="435">
        <v>111</v>
      </c>
      <c r="O2003" s="435">
        <v>1</v>
      </c>
      <c r="P2003" s="435">
        <v>183</v>
      </c>
      <c r="Q2003" s="436">
        <v>44</v>
      </c>
      <c r="R2003" s="336">
        <f t="shared" si="249"/>
        <v>596</v>
      </c>
      <c r="S2003" s="366">
        <f t="shared" si="250"/>
        <v>46</v>
      </c>
      <c r="T2003" s="437"/>
      <c r="U2003" s="437"/>
      <c r="V2003" s="437"/>
      <c r="W2003" s="437"/>
      <c r="X2003" s="437"/>
    </row>
    <row r="2004" spans="1:24" ht="12.75">
      <c r="A2004" s="433" t="s">
        <v>184</v>
      </c>
      <c r="B2004" s="434" t="s">
        <v>184</v>
      </c>
      <c r="C2004" s="434" t="s">
        <v>774</v>
      </c>
      <c r="D2004" s="434">
        <v>2017</v>
      </c>
      <c r="E2004" s="434" t="s">
        <v>775</v>
      </c>
      <c r="F2004" s="435">
        <v>859</v>
      </c>
      <c r="G2004" s="435">
        <v>37</v>
      </c>
      <c r="H2004" s="436">
        <v>37</v>
      </c>
      <c r="I2004" s="435">
        <v>0</v>
      </c>
      <c r="J2004" s="435">
        <v>469</v>
      </c>
      <c r="K2004" s="435">
        <v>0</v>
      </c>
      <c r="L2004" s="435">
        <v>0</v>
      </c>
      <c r="M2004" s="435">
        <v>0</v>
      </c>
      <c r="N2004" s="435">
        <v>530</v>
      </c>
      <c r="O2004" s="435">
        <v>4</v>
      </c>
      <c r="P2004" s="435">
        <v>1242</v>
      </c>
      <c r="Q2004" s="436">
        <v>424</v>
      </c>
      <c r="R2004" s="336">
        <f t="shared" si="249"/>
        <v>3100</v>
      </c>
      <c r="S2004" s="366">
        <f t="shared" si="250"/>
        <v>465</v>
      </c>
      <c r="T2004" s="437"/>
      <c r="U2004" s="437"/>
      <c r="V2004" s="437"/>
      <c r="W2004" s="437"/>
      <c r="X2004" s="437"/>
    </row>
    <row r="2005" spans="1:24" ht="12.75">
      <c r="A2005" s="433" t="s">
        <v>640</v>
      </c>
      <c r="B2005" s="434" t="s">
        <v>184</v>
      </c>
      <c r="C2005" s="434" t="s">
        <v>774</v>
      </c>
      <c r="D2005" s="434">
        <v>2017</v>
      </c>
      <c r="E2005" s="434" t="s">
        <v>775</v>
      </c>
      <c r="F2005" s="435">
        <v>153</v>
      </c>
      <c r="G2005" s="435">
        <v>1</v>
      </c>
      <c r="H2005" s="436">
        <v>0</v>
      </c>
      <c r="I2005" s="435">
        <v>1</v>
      </c>
      <c r="J2005" s="435">
        <v>103</v>
      </c>
      <c r="K2005" s="435">
        <v>8</v>
      </c>
      <c r="L2005" s="435">
        <v>7</v>
      </c>
      <c r="M2005" s="435">
        <v>1</v>
      </c>
      <c r="N2005" s="435">
        <v>102</v>
      </c>
      <c r="O2005" s="435">
        <v>4</v>
      </c>
      <c r="P2005" s="435">
        <v>555</v>
      </c>
      <c r="Q2005" s="436">
        <v>44</v>
      </c>
      <c r="R2005" s="336">
        <f t="shared" si="249"/>
        <v>913</v>
      </c>
      <c r="S2005" s="366">
        <f t="shared" si="250"/>
        <v>57</v>
      </c>
      <c r="T2005" s="437"/>
      <c r="U2005" s="437"/>
      <c r="V2005" s="437"/>
      <c r="W2005" s="437"/>
      <c r="X2005" s="437"/>
    </row>
    <row r="2006" spans="1:24" ht="12.75">
      <c r="A2006" s="433" t="s">
        <v>641</v>
      </c>
      <c r="B2006" s="434" t="s">
        <v>184</v>
      </c>
      <c r="C2006" s="434" t="s">
        <v>774</v>
      </c>
      <c r="D2006" s="434">
        <v>2017</v>
      </c>
      <c r="E2006" s="434" t="s">
        <v>775</v>
      </c>
      <c r="F2006" s="435">
        <v>565</v>
      </c>
      <c r="G2006" s="435">
        <v>80</v>
      </c>
      <c r="H2006" s="436">
        <v>80</v>
      </c>
      <c r="I2006" s="435">
        <v>0</v>
      </c>
      <c r="J2006" s="435">
        <v>281</v>
      </c>
      <c r="K2006" s="435">
        <v>0</v>
      </c>
      <c r="L2006" s="435">
        <v>0</v>
      </c>
      <c r="M2006" s="435">
        <v>0</v>
      </c>
      <c r="N2006" s="435">
        <v>313</v>
      </c>
      <c r="O2006" s="435">
        <v>5</v>
      </c>
      <c r="P2006" s="435">
        <v>705</v>
      </c>
      <c r="Q2006" s="436">
        <v>283</v>
      </c>
      <c r="R2006" s="336">
        <f t="shared" si="249"/>
        <v>1864</v>
      </c>
      <c r="S2006" s="366">
        <f t="shared" si="250"/>
        <v>368</v>
      </c>
      <c r="T2006" s="437"/>
      <c r="U2006" s="437"/>
      <c r="V2006" s="437"/>
      <c r="W2006" s="437"/>
      <c r="X2006" s="437"/>
    </row>
    <row r="2007" spans="1:24" ht="12.75">
      <c r="A2007" s="461" t="s">
        <v>642</v>
      </c>
      <c r="B2007" s="462" t="s">
        <v>184</v>
      </c>
      <c r="C2007" s="462" t="s">
        <v>774</v>
      </c>
      <c r="D2007" s="462">
        <v>2017</v>
      </c>
      <c r="E2007" s="462" t="s">
        <v>775</v>
      </c>
      <c r="F2007" s="436">
        <v>23</v>
      </c>
      <c r="G2007" s="435">
        <v>6</v>
      </c>
      <c r="H2007" s="436">
        <v>0</v>
      </c>
      <c r="I2007" s="436">
        <v>6</v>
      </c>
      <c r="J2007" s="436">
        <v>13</v>
      </c>
      <c r="K2007" s="435">
        <v>1</v>
      </c>
      <c r="L2007" s="436">
        <v>0</v>
      </c>
      <c r="M2007" s="436">
        <v>1</v>
      </c>
      <c r="N2007" s="436">
        <v>15</v>
      </c>
      <c r="O2007" s="436">
        <v>1</v>
      </c>
      <c r="P2007" s="436">
        <v>11</v>
      </c>
      <c r="Q2007" s="436">
        <v>5</v>
      </c>
      <c r="R2007" s="336">
        <f t="shared" si="249"/>
        <v>62</v>
      </c>
      <c r="S2007" s="366">
        <f t="shared" si="250"/>
        <v>13</v>
      </c>
      <c r="T2007" s="414">
        <f>SUM(G1987:G2007)</f>
        <v>185</v>
      </c>
      <c r="U2007" s="414">
        <f>SUM(K1987:K2007)</f>
        <v>297</v>
      </c>
      <c r="V2007" s="414">
        <f>SUM(O1987:O2007)</f>
        <v>54</v>
      </c>
      <c r="W2007" s="414">
        <f>SUM(Q1987:Q2007)</f>
        <v>1037</v>
      </c>
      <c r="X2007" s="414">
        <f>T2007+U2007+V2007+W2007</f>
        <v>1573</v>
      </c>
    </row>
    <row r="2008" spans="1:24" ht="12.75">
      <c r="A2008" s="438" t="s">
        <v>623</v>
      </c>
      <c r="B2008" s="439" t="s">
        <v>184</v>
      </c>
      <c r="C2008" s="439" t="s">
        <v>774</v>
      </c>
      <c r="D2008" s="439">
        <v>2018</v>
      </c>
      <c r="E2008" s="439" t="s">
        <v>775</v>
      </c>
      <c r="F2008" s="440">
        <v>35</v>
      </c>
      <c r="G2008" s="441">
        <v>3</v>
      </c>
      <c r="H2008" s="440">
        <v>0</v>
      </c>
      <c r="I2008" s="440">
        <v>3</v>
      </c>
      <c r="J2008" s="440">
        <v>26</v>
      </c>
      <c r="K2008" s="441">
        <v>2</v>
      </c>
      <c r="L2008" s="440">
        <v>0</v>
      </c>
      <c r="M2008" s="440">
        <v>2</v>
      </c>
      <c r="N2008" s="440">
        <v>29</v>
      </c>
      <c r="O2008" s="440">
        <v>1</v>
      </c>
      <c r="P2008" s="440">
        <v>3</v>
      </c>
      <c r="Q2008" s="440">
        <v>28</v>
      </c>
      <c r="R2008" s="344">
        <f t="shared" si="249"/>
        <v>93</v>
      </c>
      <c r="S2008" s="367">
        <f t="shared" si="250"/>
        <v>34</v>
      </c>
      <c r="T2008" s="442"/>
      <c r="U2008" s="442"/>
      <c r="V2008" s="442"/>
      <c r="W2008" s="442"/>
      <c r="X2008" s="442"/>
    </row>
    <row r="2009" spans="1:24" ht="12.75">
      <c r="A2009" s="438" t="s">
        <v>624</v>
      </c>
      <c r="B2009" s="439" t="s">
        <v>184</v>
      </c>
      <c r="C2009" s="439" t="s">
        <v>774</v>
      </c>
      <c r="D2009" s="439">
        <v>2018</v>
      </c>
      <c r="E2009" s="439" t="s">
        <v>775</v>
      </c>
      <c r="F2009" s="440">
        <v>116</v>
      </c>
      <c r="G2009" s="441">
        <v>0</v>
      </c>
      <c r="H2009" s="440">
        <v>0</v>
      </c>
      <c r="I2009" s="440">
        <v>0</v>
      </c>
      <c r="J2009" s="440">
        <v>63</v>
      </c>
      <c r="K2009" s="441">
        <v>0</v>
      </c>
      <c r="L2009" s="440">
        <v>0</v>
      </c>
      <c r="M2009" s="440">
        <v>0</v>
      </c>
      <c r="N2009" s="440">
        <v>67</v>
      </c>
      <c r="O2009" s="440">
        <v>9</v>
      </c>
      <c r="P2009" s="440">
        <v>222</v>
      </c>
      <c r="Q2009" s="440">
        <v>6</v>
      </c>
      <c r="R2009" s="344">
        <f t="shared" si="249"/>
        <v>468</v>
      </c>
      <c r="S2009" s="367">
        <f t="shared" si="250"/>
        <v>15</v>
      </c>
      <c r="T2009" s="442"/>
      <c r="U2009" s="442"/>
      <c r="V2009" s="442"/>
      <c r="W2009" s="442"/>
      <c r="X2009" s="442"/>
    </row>
    <row r="2010" spans="1:24" ht="12.75">
      <c r="A2010" s="438" t="s">
        <v>625</v>
      </c>
      <c r="B2010" s="439" t="s">
        <v>184</v>
      </c>
      <c r="C2010" s="439" t="s">
        <v>774</v>
      </c>
      <c r="D2010" s="439">
        <v>2018</v>
      </c>
      <c r="E2010" s="439" t="s">
        <v>775</v>
      </c>
      <c r="F2010" s="440">
        <v>25</v>
      </c>
      <c r="G2010" s="441">
        <v>0</v>
      </c>
      <c r="H2010" s="440">
        <v>0</v>
      </c>
      <c r="I2010" s="440">
        <v>0</v>
      </c>
      <c r="J2010" s="440">
        <v>13</v>
      </c>
      <c r="K2010" s="441">
        <v>0</v>
      </c>
      <c r="L2010" s="440">
        <v>0</v>
      </c>
      <c r="M2010" s="440">
        <v>0</v>
      </c>
      <c r="N2010" s="440">
        <v>15</v>
      </c>
      <c r="O2010" s="440">
        <v>5</v>
      </c>
      <c r="P2010" s="440">
        <v>30</v>
      </c>
      <c r="Q2010" s="440">
        <v>1</v>
      </c>
      <c r="R2010" s="344">
        <f t="shared" si="249"/>
        <v>83</v>
      </c>
      <c r="S2010" s="367">
        <f t="shared" si="250"/>
        <v>6</v>
      </c>
      <c r="T2010" s="442"/>
      <c r="U2010" s="442"/>
      <c r="V2010" s="442"/>
      <c r="W2010" s="442"/>
      <c r="X2010" s="442"/>
    </row>
    <row r="2011" spans="1:24" ht="12.75">
      <c r="A2011" s="438" t="s">
        <v>626</v>
      </c>
      <c r="B2011" s="439" t="s">
        <v>184</v>
      </c>
      <c r="C2011" s="439" t="s">
        <v>774</v>
      </c>
      <c r="D2011" s="439">
        <v>2018</v>
      </c>
      <c r="E2011" s="439" t="s">
        <v>775</v>
      </c>
      <c r="F2011" s="440">
        <v>276</v>
      </c>
      <c r="G2011" s="441">
        <v>0</v>
      </c>
      <c r="H2011" s="440">
        <v>0</v>
      </c>
      <c r="I2011" s="440">
        <v>0</v>
      </c>
      <c r="J2011" s="440">
        <v>144</v>
      </c>
      <c r="K2011" s="441">
        <v>0</v>
      </c>
      <c r="L2011" s="440">
        <v>0</v>
      </c>
      <c r="M2011" s="440">
        <v>0</v>
      </c>
      <c r="N2011" s="440">
        <v>155</v>
      </c>
      <c r="O2011" s="440">
        <v>29</v>
      </c>
      <c r="P2011" s="440">
        <v>288</v>
      </c>
      <c r="Q2011" s="440">
        <v>271</v>
      </c>
      <c r="R2011" s="344">
        <f t="shared" si="249"/>
        <v>863</v>
      </c>
      <c r="S2011" s="367">
        <f t="shared" si="250"/>
        <v>300</v>
      </c>
      <c r="T2011" s="442"/>
      <c r="U2011" s="442"/>
      <c r="V2011" s="442"/>
      <c r="W2011" s="442"/>
      <c r="X2011" s="442"/>
    </row>
    <row r="2012" spans="1:24" ht="12.75">
      <c r="A2012" s="438" t="s">
        <v>627</v>
      </c>
      <c r="B2012" s="439" t="s">
        <v>184</v>
      </c>
      <c r="C2012" s="439" t="s">
        <v>774</v>
      </c>
      <c r="D2012" s="439">
        <v>2018</v>
      </c>
      <c r="E2012" s="439" t="s">
        <v>775</v>
      </c>
      <c r="F2012" s="440">
        <v>20</v>
      </c>
      <c r="G2012" s="441">
        <v>31</v>
      </c>
      <c r="H2012" s="440">
        <v>31</v>
      </c>
      <c r="I2012" s="440">
        <v>0</v>
      </c>
      <c r="J2012" s="440">
        <v>8</v>
      </c>
      <c r="K2012" s="441">
        <v>34</v>
      </c>
      <c r="L2012" s="440">
        <v>34</v>
      </c>
      <c r="M2012" s="440">
        <v>0</v>
      </c>
      <c r="N2012" s="440">
        <v>9</v>
      </c>
      <c r="O2012" s="440">
        <v>0</v>
      </c>
      <c r="P2012" s="440">
        <v>22</v>
      </c>
      <c r="Q2012" s="440">
        <v>4</v>
      </c>
      <c r="R2012" s="344">
        <f t="shared" si="249"/>
        <v>59</v>
      </c>
      <c r="S2012" s="367">
        <f t="shared" si="250"/>
        <v>69</v>
      </c>
      <c r="T2012" s="442"/>
      <c r="U2012" s="442"/>
      <c r="V2012" s="442"/>
      <c r="W2012" s="442"/>
      <c r="X2012" s="442"/>
    </row>
    <row r="2013" spans="1:24" ht="12.75">
      <c r="A2013" s="438" t="s">
        <v>628</v>
      </c>
      <c r="B2013" s="439" t="s">
        <v>184</v>
      </c>
      <c r="C2013" s="439" t="s">
        <v>774</v>
      </c>
      <c r="D2013" s="439">
        <v>2018</v>
      </c>
      <c r="E2013" s="439" t="s">
        <v>775</v>
      </c>
      <c r="F2013" s="440">
        <v>400</v>
      </c>
      <c r="G2013" s="441">
        <v>0</v>
      </c>
      <c r="H2013" s="440">
        <v>0</v>
      </c>
      <c r="I2013" s="440">
        <v>0</v>
      </c>
      <c r="J2013" s="440">
        <v>188</v>
      </c>
      <c r="K2013" s="441">
        <v>37</v>
      </c>
      <c r="L2013" s="440">
        <v>0</v>
      </c>
      <c r="M2013" s="440">
        <v>37</v>
      </c>
      <c r="N2013" s="440">
        <v>221</v>
      </c>
      <c r="O2013" s="440">
        <v>37</v>
      </c>
      <c r="P2013" s="440">
        <v>541</v>
      </c>
      <c r="Q2013" s="440">
        <v>22</v>
      </c>
      <c r="R2013" s="344">
        <f t="shared" si="249"/>
        <v>1350</v>
      </c>
      <c r="S2013" s="367">
        <f t="shared" si="250"/>
        <v>96</v>
      </c>
      <c r="T2013" s="442"/>
      <c r="U2013" s="442"/>
      <c r="V2013" s="442"/>
      <c r="W2013" s="442"/>
      <c r="X2013" s="442"/>
    </row>
    <row r="2014" spans="1:24" ht="12.75">
      <c r="A2014" s="438" t="s">
        <v>629</v>
      </c>
      <c r="B2014" s="439" t="s">
        <v>184</v>
      </c>
      <c r="C2014" s="439" t="s">
        <v>774</v>
      </c>
      <c r="D2014" s="439">
        <v>2018</v>
      </c>
      <c r="E2014" s="439" t="s">
        <v>775</v>
      </c>
      <c r="F2014" s="440">
        <v>64</v>
      </c>
      <c r="G2014" s="454"/>
      <c r="H2014" s="455"/>
      <c r="I2014" s="455"/>
      <c r="J2014" s="440">
        <v>54</v>
      </c>
      <c r="K2014" s="454"/>
      <c r="L2014" s="455"/>
      <c r="M2014" s="455"/>
      <c r="N2014" s="440">
        <v>83</v>
      </c>
      <c r="O2014" s="455"/>
      <c r="P2014" s="440">
        <v>266</v>
      </c>
      <c r="Q2014" s="455"/>
      <c r="R2014" s="344">
        <f t="shared" si="249"/>
        <v>467</v>
      </c>
      <c r="S2014" s="367">
        <f t="shared" si="250"/>
        <v>0</v>
      </c>
      <c r="T2014" s="442"/>
      <c r="U2014" s="442"/>
      <c r="V2014" s="442"/>
      <c r="W2014" s="442"/>
      <c r="X2014" s="442"/>
    </row>
    <row r="2015" spans="1:24" ht="12.75">
      <c r="A2015" s="438" t="s">
        <v>630</v>
      </c>
      <c r="B2015" s="439" t="s">
        <v>184</v>
      </c>
      <c r="C2015" s="439" t="s">
        <v>774</v>
      </c>
      <c r="D2015" s="439">
        <v>2018</v>
      </c>
      <c r="E2015" s="439" t="s">
        <v>775</v>
      </c>
      <c r="F2015" s="440">
        <v>148</v>
      </c>
      <c r="G2015" s="454"/>
      <c r="H2015" s="455"/>
      <c r="I2015" s="455"/>
      <c r="J2015" s="440">
        <v>87</v>
      </c>
      <c r="K2015" s="454"/>
      <c r="L2015" s="455"/>
      <c r="M2015" s="455"/>
      <c r="N2015" s="440">
        <v>76</v>
      </c>
      <c r="O2015" s="455"/>
      <c r="P2015" s="440">
        <v>119</v>
      </c>
      <c r="Q2015" s="455"/>
      <c r="R2015" s="344">
        <f t="shared" si="249"/>
        <v>430</v>
      </c>
      <c r="S2015" s="367">
        <f t="shared" si="250"/>
        <v>0</v>
      </c>
      <c r="T2015" s="442"/>
      <c r="U2015" s="442"/>
      <c r="V2015" s="442"/>
      <c r="W2015" s="442"/>
      <c r="X2015" s="442"/>
    </row>
    <row r="2016" spans="1:24" ht="12.75">
      <c r="A2016" s="438" t="s">
        <v>631</v>
      </c>
      <c r="B2016" s="439" t="s">
        <v>184</v>
      </c>
      <c r="C2016" s="439" t="s">
        <v>774</v>
      </c>
      <c r="D2016" s="439">
        <v>2018</v>
      </c>
      <c r="E2016" s="439" t="s">
        <v>775</v>
      </c>
      <c r="F2016" s="440">
        <v>52</v>
      </c>
      <c r="G2016" s="441">
        <v>0</v>
      </c>
      <c r="H2016" s="440">
        <v>0</v>
      </c>
      <c r="I2016" s="440">
        <v>0</v>
      </c>
      <c r="J2016" s="440">
        <v>31</v>
      </c>
      <c r="K2016" s="441">
        <v>0</v>
      </c>
      <c r="L2016" s="440">
        <v>0</v>
      </c>
      <c r="M2016" s="440">
        <v>0</v>
      </c>
      <c r="N2016" s="440">
        <v>36</v>
      </c>
      <c r="O2016" s="440">
        <v>3</v>
      </c>
      <c r="P2016" s="440">
        <v>121</v>
      </c>
      <c r="Q2016" s="440">
        <v>10</v>
      </c>
      <c r="R2016" s="344">
        <f t="shared" si="249"/>
        <v>240</v>
      </c>
      <c r="S2016" s="367">
        <f t="shared" si="250"/>
        <v>13</v>
      </c>
      <c r="T2016" s="442"/>
      <c r="U2016" s="442"/>
      <c r="V2016" s="442"/>
      <c r="W2016" s="442"/>
      <c r="X2016" s="442"/>
    </row>
    <row r="2017" spans="1:24" ht="12.75">
      <c r="A2017" s="438" t="s">
        <v>632</v>
      </c>
      <c r="B2017" s="439" t="s">
        <v>184</v>
      </c>
      <c r="C2017" s="439" t="s">
        <v>774</v>
      </c>
      <c r="D2017" s="439">
        <v>2018</v>
      </c>
      <c r="E2017" s="439" t="s">
        <v>775</v>
      </c>
      <c r="F2017" s="440">
        <v>32</v>
      </c>
      <c r="G2017" s="441">
        <v>6</v>
      </c>
      <c r="H2017" s="440">
        <v>0</v>
      </c>
      <c r="I2017" s="440">
        <v>6</v>
      </c>
      <c r="J2017" s="440">
        <v>17</v>
      </c>
      <c r="K2017" s="441">
        <v>4</v>
      </c>
      <c r="L2017" s="440">
        <v>0</v>
      </c>
      <c r="M2017" s="440">
        <v>4</v>
      </c>
      <c r="N2017" s="440">
        <v>21</v>
      </c>
      <c r="O2017" s="440">
        <v>3</v>
      </c>
      <c r="P2017" s="440">
        <v>21</v>
      </c>
      <c r="Q2017" s="440">
        <v>3</v>
      </c>
      <c r="R2017" s="344">
        <f t="shared" si="249"/>
        <v>91</v>
      </c>
      <c r="S2017" s="367">
        <f t="shared" si="250"/>
        <v>16</v>
      </c>
      <c r="T2017" s="442"/>
      <c r="U2017" s="442"/>
      <c r="V2017" s="442"/>
      <c r="W2017" s="442"/>
      <c r="X2017" s="442"/>
    </row>
    <row r="2018" spans="1:24" ht="12.75">
      <c r="A2018" s="438" t="s">
        <v>633</v>
      </c>
      <c r="B2018" s="439" t="s">
        <v>184</v>
      </c>
      <c r="C2018" s="439" t="s">
        <v>774</v>
      </c>
      <c r="D2018" s="439">
        <v>2018</v>
      </c>
      <c r="E2018" s="439" t="s">
        <v>775</v>
      </c>
      <c r="F2018" s="440">
        <v>233</v>
      </c>
      <c r="G2018" s="441">
        <v>9</v>
      </c>
      <c r="H2018" s="440">
        <v>0</v>
      </c>
      <c r="I2018" s="440">
        <v>9</v>
      </c>
      <c r="J2018" s="440">
        <v>129</v>
      </c>
      <c r="K2018" s="441">
        <v>6</v>
      </c>
      <c r="L2018" s="440">
        <v>1</v>
      </c>
      <c r="M2018" s="440">
        <v>5</v>
      </c>
      <c r="N2018" s="440">
        <v>143</v>
      </c>
      <c r="O2018" s="440">
        <v>3</v>
      </c>
      <c r="P2018" s="440">
        <v>150</v>
      </c>
      <c r="Q2018" s="440">
        <v>26</v>
      </c>
      <c r="R2018" s="344">
        <f t="shared" si="249"/>
        <v>655</v>
      </c>
      <c r="S2018" s="367">
        <f t="shared" si="250"/>
        <v>44</v>
      </c>
      <c r="T2018" s="442"/>
      <c r="U2018" s="442"/>
      <c r="V2018" s="442"/>
      <c r="W2018" s="442"/>
      <c r="X2018" s="442"/>
    </row>
    <row r="2019" spans="1:24" ht="12.75">
      <c r="A2019" s="438" t="s">
        <v>634</v>
      </c>
      <c r="B2019" s="439" t="s">
        <v>184</v>
      </c>
      <c r="C2019" s="439" t="s">
        <v>774</v>
      </c>
      <c r="D2019" s="439">
        <v>2018</v>
      </c>
      <c r="E2019" s="439" t="s">
        <v>775</v>
      </c>
      <c r="F2019" s="440">
        <v>193</v>
      </c>
      <c r="G2019" s="454"/>
      <c r="H2019" s="455"/>
      <c r="I2019" s="455"/>
      <c r="J2019" s="440">
        <v>101</v>
      </c>
      <c r="K2019" s="454"/>
      <c r="L2019" s="455"/>
      <c r="M2019" s="455"/>
      <c r="N2019" s="440">
        <v>112</v>
      </c>
      <c r="O2019" s="455"/>
      <c r="P2019" s="440">
        <v>257</v>
      </c>
      <c r="Q2019" s="455"/>
      <c r="R2019" s="344">
        <f t="shared" si="249"/>
        <v>663</v>
      </c>
      <c r="S2019" s="367">
        <f t="shared" si="250"/>
        <v>0</v>
      </c>
      <c r="T2019" s="442"/>
      <c r="U2019" s="442"/>
      <c r="V2019" s="442"/>
      <c r="W2019" s="442"/>
      <c r="X2019" s="442"/>
    </row>
    <row r="2020" spans="1:24" ht="12.75">
      <c r="A2020" s="438" t="s">
        <v>635</v>
      </c>
      <c r="B2020" s="439" t="s">
        <v>184</v>
      </c>
      <c r="C2020" s="439" t="s">
        <v>774</v>
      </c>
      <c r="D2020" s="439">
        <v>2018</v>
      </c>
      <c r="E2020" s="439" t="s">
        <v>775</v>
      </c>
      <c r="F2020" s="440">
        <v>121</v>
      </c>
      <c r="G2020" s="441">
        <v>0</v>
      </c>
      <c r="H2020" s="440">
        <v>0</v>
      </c>
      <c r="I2020" s="440">
        <v>0</v>
      </c>
      <c r="J2020" s="440">
        <v>68</v>
      </c>
      <c r="K2020" s="441">
        <v>0</v>
      </c>
      <c r="L2020" s="440">
        <v>0</v>
      </c>
      <c r="M2020" s="440">
        <v>0</v>
      </c>
      <c r="N2020" s="440">
        <v>70</v>
      </c>
      <c r="O2020" s="440">
        <v>0</v>
      </c>
      <c r="P2020" s="440">
        <v>154</v>
      </c>
      <c r="Q2020" s="440">
        <v>26</v>
      </c>
      <c r="R2020" s="344">
        <f t="shared" si="249"/>
        <v>413</v>
      </c>
      <c r="S2020" s="367">
        <f t="shared" si="250"/>
        <v>26</v>
      </c>
      <c r="T2020" s="442"/>
      <c r="U2020" s="442"/>
      <c r="V2020" s="442"/>
      <c r="W2020" s="442"/>
      <c r="X2020" s="442"/>
    </row>
    <row r="2021" spans="1:24" ht="12.75">
      <c r="A2021" s="438" t="s">
        <v>636</v>
      </c>
      <c r="B2021" s="439" t="s">
        <v>184</v>
      </c>
      <c r="C2021" s="439" t="s">
        <v>774</v>
      </c>
      <c r="D2021" s="439">
        <v>2018</v>
      </c>
      <c r="E2021" s="439" t="s">
        <v>775</v>
      </c>
      <c r="F2021" s="440">
        <v>21</v>
      </c>
      <c r="G2021" s="441">
        <v>4</v>
      </c>
      <c r="H2021" s="440">
        <v>0</v>
      </c>
      <c r="I2021" s="440">
        <v>4</v>
      </c>
      <c r="J2021" s="440">
        <v>15</v>
      </c>
      <c r="K2021" s="441">
        <v>1</v>
      </c>
      <c r="L2021" s="440">
        <v>0</v>
      </c>
      <c r="M2021" s="440">
        <v>1</v>
      </c>
      <c r="N2021" s="440">
        <v>15</v>
      </c>
      <c r="O2021" s="440">
        <v>1</v>
      </c>
      <c r="P2021" s="440">
        <v>13</v>
      </c>
      <c r="Q2021" s="440">
        <v>2</v>
      </c>
      <c r="R2021" s="344">
        <f t="shared" si="249"/>
        <v>64</v>
      </c>
      <c r="S2021" s="367">
        <f t="shared" si="250"/>
        <v>8</v>
      </c>
      <c r="T2021" s="442"/>
      <c r="U2021" s="442"/>
      <c r="V2021" s="442"/>
      <c r="W2021" s="442"/>
      <c r="X2021" s="442"/>
    </row>
    <row r="2022" spans="1:24" ht="12.75">
      <c r="A2022" s="438" t="s">
        <v>637</v>
      </c>
      <c r="B2022" s="439" t="s">
        <v>184</v>
      </c>
      <c r="C2022" s="439" t="s">
        <v>774</v>
      </c>
      <c r="D2022" s="439">
        <v>2018</v>
      </c>
      <c r="E2022" s="439" t="s">
        <v>775</v>
      </c>
      <c r="F2022" s="440">
        <v>706</v>
      </c>
      <c r="G2022" s="441">
        <v>0</v>
      </c>
      <c r="H2022" s="440">
        <v>0</v>
      </c>
      <c r="I2022" s="440">
        <v>0</v>
      </c>
      <c r="J2022" s="440">
        <v>429</v>
      </c>
      <c r="K2022" s="441">
        <v>58</v>
      </c>
      <c r="L2022" s="440">
        <v>35</v>
      </c>
      <c r="M2022" s="440">
        <v>23</v>
      </c>
      <c r="N2022" s="440">
        <v>502</v>
      </c>
      <c r="O2022" s="440">
        <v>0</v>
      </c>
      <c r="P2022" s="440">
        <v>1152</v>
      </c>
      <c r="Q2022" s="440">
        <v>348</v>
      </c>
      <c r="R2022" s="344">
        <f t="shared" si="249"/>
        <v>2789</v>
      </c>
      <c r="S2022" s="367">
        <f t="shared" si="250"/>
        <v>406</v>
      </c>
      <c r="T2022" s="442"/>
      <c r="U2022" s="442"/>
      <c r="V2022" s="442"/>
      <c r="W2022" s="442"/>
      <c r="X2022" s="442"/>
    </row>
    <row r="2023" spans="1:24" ht="12.75">
      <c r="A2023" s="438" t="s">
        <v>638</v>
      </c>
      <c r="B2023" s="439" t="s">
        <v>184</v>
      </c>
      <c r="C2023" s="439" t="s">
        <v>774</v>
      </c>
      <c r="D2023" s="439">
        <v>2018</v>
      </c>
      <c r="E2023" s="439" t="s">
        <v>775</v>
      </c>
      <c r="F2023" s="440">
        <v>358</v>
      </c>
      <c r="G2023" s="441">
        <v>0</v>
      </c>
      <c r="H2023" s="440">
        <v>0</v>
      </c>
      <c r="I2023" s="440">
        <v>0</v>
      </c>
      <c r="J2023" s="440">
        <v>161</v>
      </c>
      <c r="K2023" s="441">
        <v>6</v>
      </c>
      <c r="L2023" s="440">
        <v>0</v>
      </c>
      <c r="M2023" s="440">
        <v>6</v>
      </c>
      <c r="N2023" s="440">
        <v>205</v>
      </c>
      <c r="O2023" s="440">
        <v>0</v>
      </c>
      <c r="P2023" s="440">
        <v>431</v>
      </c>
      <c r="Q2023" s="440">
        <v>0</v>
      </c>
      <c r="R2023" s="344">
        <f t="shared" si="249"/>
        <v>1155</v>
      </c>
      <c r="S2023" s="367">
        <f t="shared" si="250"/>
        <v>6</v>
      </c>
      <c r="T2023" s="442"/>
      <c r="U2023" s="442"/>
      <c r="V2023" s="442"/>
      <c r="W2023" s="442"/>
      <c r="X2023" s="442"/>
    </row>
    <row r="2024" spans="1:24" ht="12.75">
      <c r="A2024" s="438" t="s">
        <v>639</v>
      </c>
      <c r="B2024" s="439" t="s">
        <v>184</v>
      </c>
      <c r="C2024" s="439" t="s">
        <v>774</v>
      </c>
      <c r="D2024" s="439">
        <v>2018</v>
      </c>
      <c r="E2024" s="439" t="s">
        <v>775</v>
      </c>
      <c r="F2024" s="440">
        <v>195</v>
      </c>
      <c r="G2024" s="441">
        <v>0</v>
      </c>
      <c r="H2024" s="440">
        <v>0</v>
      </c>
      <c r="I2024" s="440">
        <v>0</v>
      </c>
      <c r="J2024" s="440">
        <v>107</v>
      </c>
      <c r="K2024" s="441">
        <v>0</v>
      </c>
      <c r="L2024" s="440">
        <v>0</v>
      </c>
      <c r="M2024" s="440">
        <v>0</v>
      </c>
      <c r="N2024" s="440">
        <v>111</v>
      </c>
      <c r="O2024" s="440">
        <v>0</v>
      </c>
      <c r="P2024" s="440">
        <v>183</v>
      </c>
      <c r="Q2024" s="440">
        <v>32</v>
      </c>
      <c r="R2024" s="344">
        <f t="shared" si="249"/>
        <v>596</v>
      </c>
      <c r="S2024" s="367">
        <f t="shared" si="250"/>
        <v>32</v>
      </c>
      <c r="T2024" s="442"/>
      <c r="U2024" s="442"/>
      <c r="V2024" s="442"/>
      <c r="W2024" s="442"/>
      <c r="X2024" s="442"/>
    </row>
    <row r="2025" spans="1:24" ht="12.75">
      <c r="A2025" s="438" t="s">
        <v>184</v>
      </c>
      <c r="B2025" s="439" t="s">
        <v>184</v>
      </c>
      <c r="C2025" s="439" t="s">
        <v>774</v>
      </c>
      <c r="D2025" s="439">
        <v>2018</v>
      </c>
      <c r="E2025" s="439" t="s">
        <v>775</v>
      </c>
      <c r="F2025" s="440">
        <v>859</v>
      </c>
      <c r="G2025" s="441">
        <v>0</v>
      </c>
      <c r="H2025" s="440">
        <v>0</v>
      </c>
      <c r="I2025" s="440">
        <v>0</v>
      </c>
      <c r="J2025" s="440">
        <v>469</v>
      </c>
      <c r="K2025" s="441">
        <v>21</v>
      </c>
      <c r="L2025" s="440">
        <v>0</v>
      </c>
      <c r="M2025" s="440">
        <v>21</v>
      </c>
      <c r="N2025" s="440">
        <v>530</v>
      </c>
      <c r="O2025" s="440">
        <v>0</v>
      </c>
      <c r="P2025" s="440">
        <v>1242</v>
      </c>
      <c r="Q2025" s="440">
        <v>62</v>
      </c>
      <c r="R2025" s="344">
        <f t="shared" si="249"/>
        <v>3100</v>
      </c>
      <c r="S2025" s="367">
        <f t="shared" si="250"/>
        <v>83</v>
      </c>
      <c r="T2025" s="442"/>
      <c r="U2025" s="442"/>
      <c r="V2025" s="442"/>
      <c r="W2025" s="442"/>
      <c r="X2025" s="442"/>
    </row>
    <row r="2026" spans="1:24" ht="12.75">
      <c r="A2026" s="438" t="s">
        <v>640</v>
      </c>
      <c r="B2026" s="439" t="s">
        <v>184</v>
      </c>
      <c r="C2026" s="439" t="s">
        <v>774</v>
      </c>
      <c r="D2026" s="439">
        <v>2018</v>
      </c>
      <c r="E2026" s="439" t="s">
        <v>775</v>
      </c>
      <c r="F2026" s="440">
        <v>153</v>
      </c>
      <c r="G2026" s="441">
        <v>0</v>
      </c>
      <c r="H2026" s="440">
        <v>0</v>
      </c>
      <c r="I2026" s="440">
        <v>0</v>
      </c>
      <c r="J2026" s="440">
        <v>103</v>
      </c>
      <c r="K2026" s="441">
        <v>21</v>
      </c>
      <c r="L2026" s="440">
        <v>0</v>
      </c>
      <c r="M2026" s="440">
        <v>21</v>
      </c>
      <c r="N2026" s="440">
        <v>102</v>
      </c>
      <c r="O2026" s="440">
        <v>0</v>
      </c>
      <c r="P2026" s="440">
        <v>555</v>
      </c>
      <c r="Q2026" s="440">
        <v>62</v>
      </c>
      <c r="R2026" s="344">
        <f t="shared" si="249"/>
        <v>913</v>
      </c>
      <c r="S2026" s="367">
        <f t="shared" si="250"/>
        <v>83</v>
      </c>
      <c r="T2026" s="442"/>
      <c r="U2026" s="442"/>
      <c r="V2026" s="442"/>
      <c r="W2026" s="442"/>
      <c r="X2026" s="442"/>
    </row>
    <row r="2027" spans="1:24" ht="12.75">
      <c r="A2027" s="438" t="s">
        <v>641</v>
      </c>
      <c r="B2027" s="439" t="s">
        <v>184</v>
      </c>
      <c r="C2027" s="439" t="s">
        <v>774</v>
      </c>
      <c r="D2027" s="439">
        <v>2018</v>
      </c>
      <c r="E2027" s="439" t="s">
        <v>775</v>
      </c>
      <c r="F2027" s="440">
        <v>565</v>
      </c>
      <c r="G2027" s="441">
        <v>0</v>
      </c>
      <c r="H2027" s="440">
        <v>0</v>
      </c>
      <c r="I2027" s="440">
        <v>0</v>
      </c>
      <c r="J2027" s="440">
        <v>281</v>
      </c>
      <c r="K2027" s="441">
        <v>0</v>
      </c>
      <c r="L2027" s="440">
        <v>0</v>
      </c>
      <c r="M2027" s="440">
        <v>0</v>
      </c>
      <c r="N2027" s="440">
        <v>313</v>
      </c>
      <c r="O2027" s="440">
        <v>5</v>
      </c>
      <c r="P2027" s="440">
        <v>705</v>
      </c>
      <c r="Q2027" s="440">
        <v>162</v>
      </c>
      <c r="R2027" s="344">
        <f t="shared" si="249"/>
        <v>1864</v>
      </c>
      <c r="S2027" s="367">
        <f t="shared" si="250"/>
        <v>167</v>
      </c>
      <c r="T2027" s="442"/>
      <c r="U2027" s="442"/>
      <c r="V2027" s="442"/>
      <c r="W2027" s="442"/>
      <c r="X2027" s="442"/>
    </row>
    <row r="2028" spans="1:24" ht="12.75">
      <c r="A2028" s="438" t="s">
        <v>642</v>
      </c>
      <c r="B2028" s="439" t="s">
        <v>184</v>
      </c>
      <c r="C2028" s="439" t="s">
        <v>774</v>
      </c>
      <c r="D2028" s="439">
        <v>2018</v>
      </c>
      <c r="E2028" s="439" t="s">
        <v>775</v>
      </c>
      <c r="F2028" s="440">
        <v>23</v>
      </c>
      <c r="G2028" s="441">
        <v>11</v>
      </c>
      <c r="H2028" s="440">
        <v>0</v>
      </c>
      <c r="I2028" s="440">
        <v>11</v>
      </c>
      <c r="J2028" s="440">
        <v>13</v>
      </c>
      <c r="K2028" s="441">
        <v>2</v>
      </c>
      <c r="L2028" s="440">
        <v>0</v>
      </c>
      <c r="M2028" s="440">
        <v>2</v>
      </c>
      <c r="N2028" s="440">
        <v>15</v>
      </c>
      <c r="O2028" s="440">
        <v>1</v>
      </c>
      <c r="P2028" s="440">
        <v>11</v>
      </c>
      <c r="Q2028" s="440">
        <v>7</v>
      </c>
      <c r="R2028" s="344">
        <f t="shared" si="249"/>
        <v>62</v>
      </c>
      <c r="S2028" s="367">
        <f t="shared" si="250"/>
        <v>21</v>
      </c>
      <c r="T2028" s="443">
        <f>SUM(G2008:G2028)</f>
        <v>64</v>
      </c>
      <c r="U2028" s="443">
        <f>SUM(K2008:K2028)</f>
        <v>192</v>
      </c>
      <c r="V2028" s="443">
        <f>SUM(O2008:O2028)</f>
        <v>97</v>
      </c>
      <c r="W2028" s="443">
        <f>SUM(Q2008:Q2028)</f>
        <v>1072</v>
      </c>
      <c r="X2028" s="443">
        <f>T2028+U2028+V2028+W2028</f>
        <v>1425</v>
      </c>
    </row>
    <row r="2029" spans="1:24" ht="12.75">
      <c r="A2029" s="346" t="s">
        <v>623</v>
      </c>
      <c r="B2029" s="347" t="s">
        <v>184</v>
      </c>
      <c r="C2029" s="347" t="s">
        <v>782</v>
      </c>
      <c r="D2029" s="347">
        <v>2019</v>
      </c>
      <c r="E2029" s="347" t="s">
        <v>775</v>
      </c>
      <c r="F2029" s="348">
        <v>35</v>
      </c>
      <c r="G2029" s="348">
        <v>8</v>
      </c>
      <c r="H2029" s="348">
        <v>0</v>
      </c>
      <c r="I2029" s="348">
        <v>8</v>
      </c>
      <c r="J2029" s="348">
        <v>26</v>
      </c>
      <c r="K2029" s="348">
        <v>2</v>
      </c>
      <c r="L2029" s="348">
        <v>0</v>
      </c>
      <c r="M2029" s="348">
        <v>2</v>
      </c>
      <c r="N2029" s="348">
        <v>29</v>
      </c>
      <c r="O2029" s="348">
        <v>0</v>
      </c>
      <c r="P2029" s="348">
        <v>3</v>
      </c>
      <c r="Q2029" s="348">
        <v>19</v>
      </c>
      <c r="R2029" s="350">
        <f t="shared" si="249"/>
        <v>93</v>
      </c>
      <c r="S2029" s="348">
        <f t="shared" si="250"/>
        <v>29</v>
      </c>
      <c r="T2029" s="348"/>
      <c r="U2029" s="348"/>
      <c r="V2029" s="348"/>
      <c r="W2029" s="349"/>
      <c r="X2029" s="349"/>
    </row>
    <row r="2030" spans="1:24" ht="12.75">
      <c r="A2030" s="346" t="s">
        <v>624</v>
      </c>
      <c r="B2030" s="347" t="s">
        <v>184</v>
      </c>
      <c r="C2030" s="347" t="s">
        <v>782</v>
      </c>
      <c r="D2030" s="347">
        <v>2019</v>
      </c>
      <c r="E2030" s="347" t="s">
        <v>775</v>
      </c>
      <c r="F2030" s="348">
        <v>116</v>
      </c>
      <c r="G2030" s="348">
        <v>0</v>
      </c>
      <c r="H2030" s="348">
        <v>0</v>
      </c>
      <c r="I2030" s="348">
        <v>0</v>
      </c>
      <c r="J2030" s="348">
        <v>63</v>
      </c>
      <c r="K2030" s="348">
        <v>0</v>
      </c>
      <c r="L2030" s="348">
        <v>0</v>
      </c>
      <c r="M2030" s="348">
        <v>0</v>
      </c>
      <c r="N2030" s="348">
        <v>67</v>
      </c>
      <c r="O2030" s="348">
        <v>12</v>
      </c>
      <c r="P2030" s="348">
        <v>222</v>
      </c>
      <c r="Q2030" s="348">
        <v>0</v>
      </c>
      <c r="R2030" s="350">
        <f t="shared" si="249"/>
        <v>468</v>
      </c>
      <c r="S2030" s="348">
        <f t="shared" si="250"/>
        <v>12</v>
      </c>
      <c r="T2030" s="348"/>
      <c r="U2030" s="348"/>
      <c r="V2030" s="348"/>
      <c r="W2030" s="349"/>
      <c r="X2030" s="349"/>
    </row>
    <row r="2031" spans="1:24" ht="12.75">
      <c r="A2031" s="346" t="s">
        <v>625</v>
      </c>
      <c r="B2031" s="347" t="s">
        <v>184</v>
      </c>
      <c r="C2031" s="347" t="s">
        <v>782</v>
      </c>
      <c r="D2031" s="347">
        <v>2019</v>
      </c>
      <c r="E2031" s="347" t="s">
        <v>775</v>
      </c>
      <c r="F2031" s="348">
        <v>25</v>
      </c>
      <c r="G2031" s="348">
        <v>0</v>
      </c>
      <c r="H2031" s="348">
        <v>0</v>
      </c>
      <c r="I2031" s="348">
        <v>0</v>
      </c>
      <c r="J2031" s="348">
        <v>13</v>
      </c>
      <c r="K2031" s="348">
        <v>0</v>
      </c>
      <c r="L2031" s="348">
        <v>0</v>
      </c>
      <c r="M2031" s="348">
        <v>0</v>
      </c>
      <c r="N2031" s="348">
        <v>15</v>
      </c>
      <c r="O2031" s="348">
        <v>6</v>
      </c>
      <c r="P2031" s="348">
        <v>30</v>
      </c>
      <c r="Q2031" s="348">
        <v>6</v>
      </c>
      <c r="R2031" s="350">
        <f t="shared" si="249"/>
        <v>83</v>
      </c>
      <c r="S2031" s="348">
        <f t="shared" si="250"/>
        <v>12</v>
      </c>
      <c r="T2031" s="348"/>
      <c r="U2031" s="348"/>
      <c r="V2031" s="348"/>
      <c r="W2031" s="349"/>
      <c r="X2031" s="349"/>
    </row>
    <row r="2032" spans="1:24" ht="12.75">
      <c r="A2032" s="346" t="s">
        <v>626</v>
      </c>
      <c r="B2032" s="347" t="s">
        <v>184</v>
      </c>
      <c r="C2032" s="347" t="s">
        <v>782</v>
      </c>
      <c r="D2032" s="347">
        <v>2019</v>
      </c>
      <c r="E2032" s="347" t="s">
        <v>775</v>
      </c>
      <c r="F2032" s="348">
        <v>276</v>
      </c>
      <c r="G2032" s="348">
        <v>0</v>
      </c>
      <c r="H2032" s="348">
        <v>0</v>
      </c>
      <c r="I2032" s="348">
        <v>0</v>
      </c>
      <c r="J2032" s="348">
        <v>144</v>
      </c>
      <c r="K2032" s="348">
        <v>0</v>
      </c>
      <c r="L2032" s="348">
        <v>0</v>
      </c>
      <c r="M2032" s="348">
        <v>0</v>
      </c>
      <c r="N2032" s="348">
        <v>155</v>
      </c>
      <c r="O2032" s="348">
        <v>0</v>
      </c>
      <c r="P2032" s="348">
        <v>288</v>
      </c>
      <c r="Q2032" s="348">
        <v>10</v>
      </c>
      <c r="R2032" s="350">
        <f t="shared" si="249"/>
        <v>863</v>
      </c>
      <c r="S2032" s="348">
        <f t="shared" si="250"/>
        <v>10</v>
      </c>
      <c r="T2032" s="348"/>
      <c r="U2032" s="348"/>
      <c r="V2032" s="348"/>
      <c r="W2032" s="349"/>
      <c r="X2032" s="349"/>
    </row>
    <row r="2033" spans="1:24" ht="12.75">
      <c r="A2033" s="346" t="s">
        <v>627</v>
      </c>
      <c r="B2033" s="347" t="s">
        <v>184</v>
      </c>
      <c r="C2033" s="347" t="s">
        <v>782</v>
      </c>
      <c r="D2033" s="347">
        <v>2019</v>
      </c>
      <c r="E2033" s="347" t="s">
        <v>775</v>
      </c>
      <c r="F2033" s="348">
        <v>20</v>
      </c>
      <c r="G2033" s="348">
        <v>0</v>
      </c>
      <c r="H2033" s="348">
        <v>0</v>
      </c>
      <c r="I2033" s="348">
        <v>0</v>
      </c>
      <c r="J2033" s="348">
        <v>8</v>
      </c>
      <c r="K2033" s="348">
        <v>0</v>
      </c>
      <c r="L2033" s="348">
        <v>0</v>
      </c>
      <c r="M2033" s="348">
        <v>0</v>
      </c>
      <c r="N2033" s="348">
        <v>9</v>
      </c>
      <c r="O2033" s="348">
        <v>0</v>
      </c>
      <c r="P2033" s="348">
        <v>22</v>
      </c>
      <c r="Q2033" s="348">
        <v>0</v>
      </c>
      <c r="R2033" s="350">
        <f t="shared" si="249"/>
        <v>59</v>
      </c>
      <c r="S2033" s="348">
        <f t="shared" si="250"/>
        <v>0</v>
      </c>
      <c r="T2033" s="348"/>
      <c r="U2033" s="348"/>
      <c r="V2033" s="348"/>
      <c r="W2033" s="349"/>
      <c r="X2033" s="349"/>
    </row>
    <row r="2034" spans="1:24" ht="12.75">
      <c r="A2034" s="346" t="s">
        <v>628</v>
      </c>
      <c r="B2034" s="347" t="s">
        <v>184</v>
      </c>
      <c r="C2034" s="347" t="s">
        <v>782</v>
      </c>
      <c r="D2034" s="347">
        <v>2019</v>
      </c>
      <c r="E2034" s="347" t="s">
        <v>775</v>
      </c>
      <c r="F2034" s="348">
        <v>400</v>
      </c>
      <c r="G2034" s="348">
        <v>0</v>
      </c>
      <c r="H2034" s="348">
        <v>0</v>
      </c>
      <c r="I2034" s="348">
        <v>0</v>
      </c>
      <c r="J2034" s="348">
        <v>188</v>
      </c>
      <c r="K2034" s="348">
        <v>35</v>
      </c>
      <c r="L2034" s="348">
        <v>0</v>
      </c>
      <c r="M2034" s="348">
        <v>35</v>
      </c>
      <c r="N2034" s="348">
        <v>221</v>
      </c>
      <c r="O2034" s="348">
        <v>36</v>
      </c>
      <c r="P2034" s="348">
        <v>541</v>
      </c>
      <c r="Q2034" s="348">
        <v>81</v>
      </c>
      <c r="R2034" s="350">
        <f t="shared" si="249"/>
        <v>1350</v>
      </c>
      <c r="S2034" s="348">
        <f t="shared" si="250"/>
        <v>152</v>
      </c>
      <c r="T2034" s="348"/>
      <c r="U2034" s="348"/>
      <c r="V2034" s="348"/>
      <c r="W2034" s="349"/>
      <c r="X2034" s="349"/>
    </row>
    <row r="2035" spans="1:24" ht="12.75">
      <c r="A2035" s="346" t="s">
        <v>629</v>
      </c>
      <c r="B2035" s="347" t="s">
        <v>184</v>
      </c>
      <c r="C2035" s="347" t="s">
        <v>782</v>
      </c>
      <c r="D2035" s="347">
        <v>2019</v>
      </c>
      <c r="E2035" s="347" t="s">
        <v>775</v>
      </c>
      <c r="F2035" s="348">
        <v>64</v>
      </c>
      <c r="G2035" s="348">
        <v>4</v>
      </c>
      <c r="H2035" s="348">
        <v>0</v>
      </c>
      <c r="I2035" s="348">
        <v>4</v>
      </c>
      <c r="J2035" s="348">
        <v>54</v>
      </c>
      <c r="K2035" s="348">
        <v>2</v>
      </c>
      <c r="L2035" s="348">
        <v>0</v>
      </c>
      <c r="M2035" s="348">
        <v>2</v>
      </c>
      <c r="N2035" s="348">
        <v>83</v>
      </c>
      <c r="O2035" s="348">
        <v>2</v>
      </c>
      <c r="P2035" s="348">
        <v>266</v>
      </c>
      <c r="Q2035" s="348">
        <v>1</v>
      </c>
      <c r="R2035" s="350">
        <f t="shared" si="249"/>
        <v>467</v>
      </c>
      <c r="S2035" s="348">
        <f t="shared" si="250"/>
        <v>9</v>
      </c>
      <c r="T2035" s="348"/>
      <c r="U2035" s="348"/>
      <c r="V2035" s="348"/>
      <c r="W2035" s="349"/>
      <c r="X2035" s="349"/>
    </row>
    <row r="2036" spans="1:24" ht="12.75">
      <c r="A2036" s="346" t="s">
        <v>630</v>
      </c>
      <c r="B2036" s="347" t="s">
        <v>184</v>
      </c>
      <c r="C2036" s="347" t="s">
        <v>782</v>
      </c>
      <c r="D2036" s="347">
        <v>2019</v>
      </c>
      <c r="E2036" s="347" t="s">
        <v>775</v>
      </c>
      <c r="F2036" s="348">
        <v>148</v>
      </c>
      <c r="G2036" s="348">
        <v>2</v>
      </c>
      <c r="H2036" s="348">
        <v>0</v>
      </c>
      <c r="I2036" s="348">
        <v>2</v>
      </c>
      <c r="J2036" s="348">
        <v>87</v>
      </c>
      <c r="K2036" s="348">
        <v>0</v>
      </c>
      <c r="L2036" s="348">
        <v>0</v>
      </c>
      <c r="M2036" s="348">
        <v>0</v>
      </c>
      <c r="N2036" s="348">
        <v>76</v>
      </c>
      <c r="O2036" s="348">
        <v>0</v>
      </c>
      <c r="P2036" s="348">
        <v>119</v>
      </c>
      <c r="Q2036" s="348">
        <v>20</v>
      </c>
      <c r="R2036" s="350">
        <f t="shared" si="249"/>
        <v>430</v>
      </c>
      <c r="S2036" s="348">
        <f t="shared" si="250"/>
        <v>22</v>
      </c>
      <c r="T2036" s="348"/>
      <c r="U2036" s="348"/>
      <c r="V2036" s="348"/>
      <c r="W2036" s="349"/>
      <c r="X2036" s="349"/>
    </row>
    <row r="2037" spans="1:24" ht="12.75">
      <c r="A2037" s="346" t="s">
        <v>631</v>
      </c>
      <c r="B2037" s="347" t="s">
        <v>184</v>
      </c>
      <c r="C2037" s="347" t="s">
        <v>782</v>
      </c>
      <c r="D2037" s="347">
        <v>2019</v>
      </c>
      <c r="E2037" s="347" t="s">
        <v>775</v>
      </c>
      <c r="F2037" s="348">
        <v>52</v>
      </c>
      <c r="G2037" s="348">
        <v>0</v>
      </c>
      <c r="H2037" s="348">
        <v>0</v>
      </c>
      <c r="I2037" s="348">
        <v>0</v>
      </c>
      <c r="J2037" s="348">
        <v>31</v>
      </c>
      <c r="K2037" s="348">
        <v>0</v>
      </c>
      <c r="L2037" s="348">
        <v>0</v>
      </c>
      <c r="M2037" s="348">
        <v>0</v>
      </c>
      <c r="N2037" s="348">
        <v>36</v>
      </c>
      <c r="O2037" s="348">
        <v>12</v>
      </c>
      <c r="P2037" s="348">
        <v>121</v>
      </c>
      <c r="Q2037" s="348">
        <v>7</v>
      </c>
      <c r="R2037" s="350">
        <f t="shared" si="249"/>
        <v>240</v>
      </c>
      <c r="S2037" s="348">
        <f t="shared" si="250"/>
        <v>19</v>
      </c>
      <c r="T2037" s="348"/>
      <c r="U2037" s="348"/>
      <c r="V2037" s="348"/>
      <c r="W2037" s="349"/>
      <c r="X2037" s="349"/>
    </row>
    <row r="2038" spans="1:24" ht="12.75">
      <c r="A2038" s="346" t="s">
        <v>633</v>
      </c>
      <c r="B2038" s="347" t="s">
        <v>184</v>
      </c>
      <c r="C2038" s="347" t="s">
        <v>782</v>
      </c>
      <c r="D2038" s="347">
        <v>2019</v>
      </c>
      <c r="E2038" s="347" t="s">
        <v>775</v>
      </c>
      <c r="F2038" s="348">
        <v>233</v>
      </c>
      <c r="G2038" s="348">
        <v>1</v>
      </c>
      <c r="H2038" s="348">
        <v>0</v>
      </c>
      <c r="I2038" s="348">
        <v>1</v>
      </c>
      <c r="J2038" s="348">
        <v>129</v>
      </c>
      <c r="K2038" s="348">
        <v>16</v>
      </c>
      <c r="L2038" s="348">
        <v>14</v>
      </c>
      <c r="M2038" s="348">
        <v>2</v>
      </c>
      <c r="N2038" s="348">
        <v>143</v>
      </c>
      <c r="O2038" s="348">
        <v>7</v>
      </c>
      <c r="P2038" s="348">
        <v>150</v>
      </c>
      <c r="Q2038" s="348">
        <v>172</v>
      </c>
      <c r="R2038" s="350">
        <f t="shared" si="249"/>
        <v>655</v>
      </c>
      <c r="S2038" s="348">
        <f t="shared" si="250"/>
        <v>196</v>
      </c>
      <c r="T2038" s="348"/>
      <c r="U2038" s="348"/>
      <c r="V2038" s="348"/>
      <c r="W2038" s="349"/>
      <c r="X2038" s="349"/>
    </row>
    <row r="2039" spans="1:24" ht="12.75">
      <c r="A2039" s="346" t="s">
        <v>634</v>
      </c>
      <c r="B2039" s="347" t="s">
        <v>184</v>
      </c>
      <c r="C2039" s="347" t="s">
        <v>782</v>
      </c>
      <c r="D2039" s="347">
        <v>2019</v>
      </c>
      <c r="E2039" s="347" t="s">
        <v>775</v>
      </c>
      <c r="F2039" s="348">
        <v>193</v>
      </c>
      <c r="G2039" s="348">
        <v>5</v>
      </c>
      <c r="H2039" s="348">
        <v>0</v>
      </c>
      <c r="I2039" s="348">
        <v>5</v>
      </c>
      <c r="J2039" s="348">
        <v>101</v>
      </c>
      <c r="K2039" s="348">
        <v>5</v>
      </c>
      <c r="L2039" s="348">
        <v>0</v>
      </c>
      <c r="M2039" s="348">
        <v>5</v>
      </c>
      <c r="N2039" s="348">
        <v>112</v>
      </c>
      <c r="O2039" s="348">
        <v>4</v>
      </c>
      <c r="P2039" s="348">
        <v>257</v>
      </c>
      <c r="Q2039" s="348">
        <v>4</v>
      </c>
      <c r="R2039" s="350">
        <f t="shared" si="249"/>
        <v>663</v>
      </c>
      <c r="S2039" s="348">
        <f t="shared" si="250"/>
        <v>18</v>
      </c>
      <c r="T2039" s="348"/>
      <c r="U2039" s="348"/>
      <c r="V2039" s="348"/>
      <c r="W2039" s="349"/>
      <c r="X2039" s="349"/>
    </row>
    <row r="2040" spans="1:24" ht="12.75">
      <c r="A2040" s="346" t="s">
        <v>635</v>
      </c>
      <c r="B2040" s="347" t="s">
        <v>184</v>
      </c>
      <c r="C2040" s="347" t="s">
        <v>782</v>
      </c>
      <c r="D2040" s="347">
        <v>2019</v>
      </c>
      <c r="E2040" s="347" t="s">
        <v>775</v>
      </c>
      <c r="F2040" s="348">
        <v>121</v>
      </c>
      <c r="G2040" s="348">
        <v>0</v>
      </c>
      <c r="H2040" s="348">
        <v>0</v>
      </c>
      <c r="I2040" s="348">
        <v>0</v>
      </c>
      <c r="J2040" s="348">
        <v>68</v>
      </c>
      <c r="K2040" s="348">
        <v>0</v>
      </c>
      <c r="L2040" s="348">
        <v>0</v>
      </c>
      <c r="M2040" s="348">
        <v>0</v>
      </c>
      <c r="N2040" s="348">
        <v>70</v>
      </c>
      <c r="O2040" s="348">
        <v>0</v>
      </c>
      <c r="P2040" s="348">
        <v>154</v>
      </c>
      <c r="Q2040" s="348">
        <v>14</v>
      </c>
      <c r="R2040" s="350">
        <f t="shared" si="249"/>
        <v>413</v>
      </c>
      <c r="S2040" s="348">
        <f t="shared" si="250"/>
        <v>14</v>
      </c>
      <c r="T2040" s="348"/>
      <c r="U2040" s="348"/>
      <c r="V2040" s="348"/>
      <c r="W2040" s="349"/>
      <c r="X2040" s="349"/>
    </row>
    <row r="2041" spans="1:24" ht="12.75">
      <c r="A2041" s="346" t="s">
        <v>636</v>
      </c>
      <c r="B2041" s="347" t="s">
        <v>184</v>
      </c>
      <c r="C2041" s="347" t="s">
        <v>782</v>
      </c>
      <c r="D2041" s="347">
        <v>2019</v>
      </c>
      <c r="E2041" s="347" t="s">
        <v>775</v>
      </c>
      <c r="F2041" s="348">
        <v>21</v>
      </c>
      <c r="G2041" s="348">
        <v>4</v>
      </c>
      <c r="H2041" s="348">
        <v>0</v>
      </c>
      <c r="I2041" s="348">
        <v>4</v>
      </c>
      <c r="J2041" s="348">
        <v>15</v>
      </c>
      <c r="K2041" s="348">
        <v>1</v>
      </c>
      <c r="L2041" s="348">
        <v>0</v>
      </c>
      <c r="M2041" s="348">
        <v>1</v>
      </c>
      <c r="N2041" s="348">
        <v>15</v>
      </c>
      <c r="O2041" s="348">
        <v>1</v>
      </c>
      <c r="P2041" s="348">
        <v>13</v>
      </c>
      <c r="Q2041" s="348">
        <v>4</v>
      </c>
      <c r="R2041" s="350">
        <f t="shared" si="249"/>
        <v>64</v>
      </c>
      <c r="S2041" s="348">
        <f t="shared" si="250"/>
        <v>10</v>
      </c>
      <c r="T2041" s="348"/>
      <c r="U2041" s="348"/>
      <c r="V2041" s="348"/>
      <c r="W2041" s="349"/>
      <c r="X2041" s="349"/>
    </row>
    <row r="2042" spans="1:24" ht="12.75">
      <c r="A2042" s="346" t="s">
        <v>637</v>
      </c>
      <c r="B2042" s="347" t="s">
        <v>184</v>
      </c>
      <c r="C2042" s="347" t="s">
        <v>782</v>
      </c>
      <c r="D2042" s="347">
        <v>2019</v>
      </c>
      <c r="E2042" s="347" t="s">
        <v>775</v>
      </c>
      <c r="F2042" s="348">
        <v>706</v>
      </c>
      <c r="G2042" s="348">
        <v>117</v>
      </c>
      <c r="H2042" s="348">
        <v>117</v>
      </c>
      <c r="I2042" s="348">
        <v>0</v>
      </c>
      <c r="J2042" s="348">
        <v>429</v>
      </c>
      <c r="K2042" s="348">
        <v>39</v>
      </c>
      <c r="L2042" s="348">
        <v>0</v>
      </c>
      <c r="M2042" s="348">
        <v>39</v>
      </c>
      <c r="N2042" s="348">
        <v>502</v>
      </c>
      <c r="O2042" s="348">
        <v>0</v>
      </c>
      <c r="P2042" s="348">
        <v>1152</v>
      </c>
      <c r="Q2042" s="348">
        <v>60</v>
      </c>
      <c r="R2042" s="350">
        <f t="shared" si="249"/>
        <v>2789</v>
      </c>
      <c r="S2042" s="348">
        <f t="shared" si="250"/>
        <v>216</v>
      </c>
      <c r="T2042" s="348"/>
      <c r="U2042" s="348"/>
      <c r="V2042" s="348"/>
      <c r="W2042" s="349"/>
      <c r="X2042" s="349"/>
    </row>
    <row r="2043" spans="1:24" ht="12.75">
      <c r="A2043" s="346" t="s">
        <v>638</v>
      </c>
      <c r="B2043" s="347" t="s">
        <v>184</v>
      </c>
      <c r="C2043" s="347" t="s">
        <v>782</v>
      </c>
      <c r="D2043" s="347">
        <v>2019</v>
      </c>
      <c r="E2043" s="347" t="s">
        <v>775</v>
      </c>
      <c r="F2043" s="348">
        <v>358</v>
      </c>
      <c r="G2043" s="348">
        <v>0</v>
      </c>
      <c r="H2043" s="348">
        <v>0</v>
      </c>
      <c r="I2043" s="348">
        <v>0</v>
      </c>
      <c r="J2043" s="348">
        <v>161</v>
      </c>
      <c r="K2043" s="348">
        <v>42</v>
      </c>
      <c r="L2043" s="348">
        <v>6</v>
      </c>
      <c r="M2043" s="348">
        <v>36</v>
      </c>
      <c r="N2043" s="348">
        <v>205</v>
      </c>
      <c r="O2043" s="348">
        <v>5</v>
      </c>
      <c r="P2043" s="348">
        <v>431</v>
      </c>
      <c r="Q2043" s="348">
        <v>2</v>
      </c>
      <c r="R2043" s="350">
        <f t="shared" si="249"/>
        <v>1155</v>
      </c>
      <c r="S2043" s="348">
        <f t="shared" si="250"/>
        <v>49</v>
      </c>
      <c r="T2043" s="348"/>
      <c r="U2043" s="348"/>
      <c r="V2043" s="348"/>
      <c r="W2043" s="349"/>
      <c r="X2043" s="349"/>
    </row>
    <row r="2044" spans="1:24" ht="12.75">
      <c r="A2044" s="346" t="s">
        <v>639</v>
      </c>
      <c r="B2044" s="347" t="s">
        <v>184</v>
      </c>
      <c r="C2044" s="347" t="s">
        <v>782</v>
      </c>
      <c r="D2044" s="347">
        <v>2019</v>
      </c>
      <c r="E2044" s="347" t="s">
        <v>775</v>
      </c>
      <c r="F2044" s="348">
        <v>195</v>
      </c>
      <c r="G2044" s="348">
        <v>0</v>
      </c>
      <c r="H2044" s="348">
        <v>0</v>
      </c>
      <c r="I2044" s="348">
        <v>0</v>
      </c>
      <c r="J2044" s="348">
        <v>107</v>
      </c>
      <c r="K2044" s="348">
        <v>1</v>
      </c>
      <c r="L2044" s="348">
        <v>1</v>
      </c>
      <c r="M2044" s="348">
        <v>0</v>
      </c>
      <c r="N2044" s="348">
        <v>111</v>
      </c>
      <c r="O2044" s="348">
        <v>2</v>
      </c>
      <c r="P2044" s="348">
        <v>183</v>
      </c>
      <c r="Q2044" s="348">
        <v>52</v>
      </c>
      <c r="R2044" s="350">
        <f t="shared" si="249"/>
        <v>596</v>
      </c>
      <c r="S2044" s="348">
        <f t="shared" si="250"/>
        <v>55</v>
      </c>
      <c r="T2044" s="348"/>
      <c r="U2044" s="348"/>
      <c r="V2044" s="348"/>
      <c r="W2044" s="349"/>
      <c r="X2044" s="349"/>
    </row>
    <row r="2045" spans="1:24" ht="12.75">
      <c r="A2045" s="346" t="s">
        <v>184</v>
      </c>
      <c r="B2045" s="347" t="s">
        <v>184</v>
      </c>
      <c r="C2045" s="347" t="s">
        <v>782</v>
      </c>
      <c r="D2045" s="347">
        <v>2019</v>
      </c>
      <c r="E2045" s="347" t="s">
        <v>775</v>
      </c>
      <c r="F2045" s="348">
        <v>859</v>
      </c>
      <c r="G2045" s="348">
        <v>67</v>
      </c>
      <c r="H2045" s="348">
        <v>67</v>
      </c>
      <c r="I2045" s="348">
        <v>0</v>
      </c>
      <c r="J2045" s="348">
        <v>469</v>
      </c>
      <c r="K2045" s="348">
        <v>25</v>
      </c>
      <c r="L2045" s="348">
        <v>25</v>
      </c>
      <c r="M2045" s="348">
        <v>0</v>
      </c>
      <c r="N2045" s="348">
        <v>530</v>
      </c>
      <c r="O2045" s="348">
        <v>0</v>
      </c>
      <c r="P2045" s="348">
        <v>1242</v>
      </c>
      <c r="Q2045" s="348">
        <v>294</v>
      </c>
      <c r="R2045" s="350">
        <f t="shared" si="249"/>
        <v>3100</v>
      </c>
      <c r="S2045" s="348">
        <f t="shared" si="250"/>
        <v>386</v>
      </c>
      <c r="T2045" s="348"/>
      <c r="U2045" s="348"/>
      <c r="V2045" s="348"/>
      <c r="W2045" s="349"/>
      <c r="X2045" s="349"/>
    </row>
    <row r="2046" spans="1:24" ht="12.75">
      <c r="A2046" s="346" t="s">
        <v>640</v>
      </c>
      <c r="B2046" s="347" t="s">
        <v>184</v>
      </c>
      <c r="C2046" s="347" t="s">
        <v>782</v>
      </c>
      <c r="D2046" s="347">
        <v>2019</v>
      </c>
      <c r="E2046" s="347" t="s">
        <v>775</v>
      </c>
      <c r="F2046" s="348">
        <v>153</v>
      </c>
      <c r="G2046" s="348">
        <v>0</v>
      </c>
      <c r="H2046" s="348">
        <v>0</v>
      </c>
      <c r="I2046" s="348">
        <v>0</v>
      </c>
      <c r="J2046" s="348">
        <v>103</v>
      </c>
      <c r="K2046" s="348">
        <v>9</v>
      </c>
      <c r="L2046" s="348">
        <v>0</v>
      </c>
      <c r="M2046" s="348">
        <v>9</v>
      </c>
      <c r="N2046" s="348">
        <v>102</v>
      </c>
      <c r="O2046" s="348">
        <v>11</v>
      </c>
      <c r="P2046" s="348">
        <v>555</v>
      </c>
      <c r="Q2046" s="348">
        <v>123</v>
      </c>
      <c r="R2046" s="350">
        <f t="shared" si="249"/>
        <v>913</v>
      </c>
      <c r="S2046" s="348">
        <f t="shared" si="250"/>
        <v>143</v>
      </c>
      <c r="T2046" s="348"/>
      <c r="U2046" s="348"/>
      <c r="V2046" s="348"/>
      <c r="W2046" s="349"/>
      <c r="X2046" s="349"/>
    </row>
    <row r="2047" spans="1:24" ht="12.75">
      <c r="A2047" s="346" t="s">
        <v>641</v>
      </c>
      <c r="B2047" s="347" t="s">
        <v>184</v>
      </c>
      <c r="C2047" s="347" t="s">
        <v>782</v>
      </c>
      <c r="D2047" s="347">
        <v>2019</v>
      </c>
      <c r="E2047" s="347" t="s">
        <v>775</v>
      </c>
      <c r="F2047" s="348">
        <v>565</v>
      </c>
      <c r="G2047" s="348">
        <v>0</v>
      </c>
      <c r="H2047" s="348">
        <v>0</v>
      </c>
      <c r="I2047" s="348">
        <v>0</v>
      </c>
      <c r="J2047" s="348">
        <v>281</v>
      </c>
      <c r="K2047" s="348">
        <v>1</v>
      </c>
      <c r="L2047" s="348">
        <v>1</v>
      </c>
      <c r="M2047" s="348">
        <v>0</v>
      </c>
      <c r="N2047" s="348">
        <v>313</v>
      </c>
      <c r="O2047" s="348">
        <v>25</v>
      </c>
      <c r="P2047" s="348">
        <v>705</v>
      </c>
      <c r="Q2047" s="348">
        <v>269</v>
      </c>
      <c r="R2047" s="350">
        <f t="shared" si="249"/>
        <v>1864</v>
      </c>
      <c r="S2047" s="348">
        <f t="shared" si="250"/>
        <v>295</v>
      </c>
      <c r="T2047" s="348"/>
      <c r="U2047" s="348"/>
      <c r="V2047" s="348"/>
      <c r="W2047" s="349"/>
      <c r="X2047" s="349"/>
    </row>
    <row r="2048" spans="1:24" ht="12.75">
      <c r="A2048" s="346" t="s">
        <v>642</v>
      </c>
      <c r="B2048" s="347" t="s">
        <v>184</v>
      </c>
      <c r="C2048" s="347" t="s">
        <v>782</v>
      </c>
      <c r="D2048" s="347">
        <v>2019</v>
      </c>
      <c r="E2048" s="347" t="s">
        <v>775</v>
      </c>
      <c r="F2048" s="348">
        <v>23</v>
      </c>
      <c r="G2048" s="348">
        <v>11</v>
      </c>
      <c r="H2048" s="348">
        <v>0</v>
      </c>
      <c r="I2048" s="348">
        <v>11</v>
      </c>
      <c r="J2048" s="348">
        <v>13</v>
      </c>
      <c r="K2048" s="348">
        <v>2</v>
      </c>
      <c r="L2048" s="348">
        <v>0</v>
      </c>
      <c r="M2048" s="348">
        <v>2</v>
      </c>
      <c r="N2048" s="348">
        <v>15</v>
      </c>
      <c r="O2048" s="348">
        <v>2</v>
      </c>
      <c r="P2048" s="348">
        <v>11</v>
      </c>
      <c r="Q2048" s="348">
        <v>12</v>
      </c>
      <c r="R2048" s="350">
        <f t="shared" si="249"/>
        <v>62</v>
      </c>
      <c r="S2048" s="348">
        <f t="shared" si="250"/>
        <v>27</v>
      </c>
      <c r="T2048" s="410">
        <f>SUM(G2029:G2048)</f>
        <v>219</v>
      </c>
      <c r="U2048" s="410">
        <f>SUM(K2029:K2048)</f>
        <v>180</v>
      </c>
      <c r="V2048" s="410">
        <f>SUM(O2029:O2048)</f>
        <v>125</v>
      </c>
      <c r="W2048" s="410">
        <f>SUM(Q2029:Q2048)</f>
        <v>1150</v>
      </c>
      <c r="X2048" s="410">
        <f>T2048+U2048+V2048+W2048</f>
        <v>1674</v>
      </c>
    </row>
    <row r="2049" spans="1:24" ht="12.75">
      <c r="A2049" s="449"/>
      <c r="B2049" s="450"/>
      <c r="C2049" s="450"/>
      <c r="D2049" s="450"/>
      <c r="E2049" s="450"/>
      <c r="F2049" s="451"/>
      <c r="G2049" s="451"/>
      <c r="H2049" s="452"/>
      <c r="I2049" s="451"/>
      <c r="J2049" s="451"/>
      <c r="K2049" s="451"/>
      <c r="L2049" s="451"/>
      <c r="M2049" s="451"/>
      <c r="N2049" s="451"/>
      <c r="O2049" s="451"/>
      <c r="P2049" s="451"/>
      <c r="Q2049" s="452"/>
      <c r="R2049" s="182"/>
      <c r="S2049" s="456" t="s">
        <v>783</v>
      </c>
      <c r="T2049" s="466">
        <f t="shared" ref="T2049:X2049" si="251">SUM(T1939:T2048)</f>
        <v>838</v>
      </c>
      <c r="U2049" s="466">
        <f t="shared" si="251"/>
        <v>863</v>
      </c>
      <c r="V2049" s="466">
        <f t="shared" si="251"/>
        <v>574</v>
      </c>
      <c r="W2049" s="466">
        <f t="shared" si="251"/>
        <v>7812</v>
      </c>
      <c r="X2049" s="466">
        <f t="shared" si="251"/>
        <v>10087</v>
      </c>
    </row>
    <row r="2050" spans="1:24" ht="12.75">
      <c r="A2050" s="449"/>
      <c r="B2050" s="450"/>
      <c r="C2050" s="450"/>
      <c r="D2050" s="450"/>
      <c r="E2050" s="450"/>
      <c r="F2050" s="451"/>
      <c r="G2050" s="451"/>
      <c r="H2050" s="452"/>
      <c r="I2050" s="451"/>
      <c r="J2050" s="451"/>
      <c r="K2050" s="451"/>
      <c r="L2050" s="451"/>
      <c r="M2050" s="451"/>
      <c r="N2050" s="451"/>
      <c r="O2050" s="451"/>
      <c r="P2050" s="451"/>
      <c r="Q2050" s="452"/>
      <c r="R2050" s="182"/>
      <c r="S2050" s="362"/>
      <c r="T2050" s="97"/>
      <c r="U2050" s="97"/>
      <c r="V2050" s="97"/>
      <c r="W2050" s="97"/>
      <c r="X2050" s="97"/>
    </row>
    <row r="2051" spans="1:24" ht="12.75">
      <c r="A2051" s="417" t="s">
        <v>867</v>
      </c>
      <c r="B2051" s="418" t="s">
        <v>185</v>
      </c>
      <c r="C2051" s="418" t="s">
        <v>868</v>
      </c>
      <c r="D2051" s="418">
        <v>2014</v>
      </c>
      <c r="E2051" s="418" t="s">
        <v>775</v>
      </c>
      <c r="F2051" s="419">
        <v>66</v>
      </c>
      <c r="G2051" s="419">
        <v>0</v>
      </c>
      <c r="H2051" s="420">
        <v>0</v>
      </c>
      <c r="I2051" s="419">
        <v>0</v>
      </c>
      <c r="J2051" s="419">
        <v>44</v>
      </c>
      <c r="K2051" s="419">
        <v>0</v>
      </c>
      <c r="L2051" s="419">
        <v>0</v>
      </c>
      <c r="M2051" s="419">
        <v>0</v>
      </c>
      <c r="N2051" s="419">
        <v>41</v>
      </c>
      <c r="O2051" s="419">
        <v>0</v>
      </c>
      <c r="P2051" s="419">
        <v>124</v>
      </c>
      <c r="Q2051" s="420">
        <v>0</v>
      </c>
      <c r="R2051" s="311">
        <f t="shared" ref="R2051:R2096" si="252">F2051+J2051+N2051+P2051</f>
        <v>275</v>
      </c>
      <c r="S2051" s="363">
        <f t="shared" ref="S2051:S2096" si="253">K2051+O2051+G2051+Q2051</f>
        <v>0</v>
      </c>
      <c r="T2051" s="421"/>
      <c r="U2051" s="421"/>
      <c r="V2051" s="421"/>
      <c r="W2051" s="421"/>
      <c r="X2051" s="421"/>
    </row>
    <row r="2052" spans="1:24" ht="12.75">
      <c r="A2052" s="417" t="s">
        <v>869</v>
      </c>
      <c r="B2052" s="418" t="s">
        <v>185</v>
      </c>
      <c r="C2052" s="418" t="s">
        <v>868</v>
      </c>
      <c r="D2052" s="418">
        <v>2014</v>
      </c>
      <c r="E2052" s="418" t="s">
        <v>775</v>
      </c>
      <c r="F2052" s="419">
        <v>39</v>
      </c>
      <c r="G2052" s="419">
        <v>33</v>
      </c>
      <c r="H2052" s="420">
        <v>33</v>
      </c>
      <c r="I2052" s="419">
        <v>0</v>
      </c>
      <c r="J2052" s="419">
        <v>26</v>
      </c>
      <c r="K2052" s="419">
        <v>9</v>
      </c>
      <c r="L2052" s="419">
        <v>9</v>
      </c>
      <c r="M2052" s="419">
        <v>0</v>
      </c>
      <c r="N2052" s="419">
        <v>34</v>
      </c>
      <c r="O2052" s="419">
        <v>0</v>
      </c>
      <c r="P2052" s="419">
        <v>64</v>
      </c>
      <c r="Q2052" s="420">
        <v>46</v>
      </c>
      <c r="R2052" s="311">
        <f t="shared" si="252"/>
        <v>163</v>
      </c>
      <c r="S2052" s="363">
        <f t="shared" si="253"/>
        <v>88</v>
      </c>
      <c r="T2052" s="421"/>
      <c r="U2052" s="421"/>
      <c r="V2052" s="421"/>
      <c r="W2052" s="421"/>
      <c r="X2052" s="421"/>
    </row>
    <row r="2053" spans="1:24" ht="12.75">
      <c r="A2053" s="417" t="s">
        <v>870</v>
      </c>
      <c r="B2053" s="418" t="s">
        <v>185</v>
      </c>
      <c r="C2053" s="418" t="s">
        <v>868</v>
      </c>
      <c r="D2053" s="418">
        <v>2014</v>
      </c>
      <c r="E2053" s="418" t="s">
        <v>775</v>
      </c>
      <c r="F2053" s="419">
        <v>235</v>
      </c>
      <c r="G2053" s="419">
        <v>0</v>
      </c>
      <c r="H2053" s="420">
        <v>0</v>
      </c>
      <c r="I2053" s="419">
        <v>0</v>
      </c>
      <c r="J2053" s="419">
        <v>157</v>
      </c>
      <c r="K2053" s="419">
        <v>0</v>
      </c>
      <c r="L2053" s="419">
        <v>0</v>
      </c>
      <c r="M2053" s="419">
        <v>0</v>
      </c>
      <c r="N2053" s="419">
        <v>174</v>
      </c>
      <c r="O2053" s="419">
        <v>0</v>
      </c>
      <c r="P2053" s="419">
        <v>413</v>
      </c>
      <c r="Q2053" s="420">
        <v>132</v>
      </c>
      <c r="R2053" s="311">
        <f t="shared" si="252"/>
        <v>979</v>
      </c>
      <c r="S2053" s="363">
        <f t="shared" si="253"/>
        <v>132</v>
      </c>
      <c r="T2053" s="421"/>
      <c r="U2053" s="421"/>
      <c r="V2053" s="421"/>
      <c r="W2053" s="421"/>
      <c r="X2053" s="421"/>
    </row>
    <row r="2054" spans="1:24" ht="12.75">
      <c r="A2054" s="417" t="s">
        <v>871</v>
      </c>
      <c r="B2054" s="418" t="s">
        <v>185</v>
      </c>
      <c r="C2054" s="418" t="s">
        <v>868</v>
      </c>
      <c r="D2054" s="418">
        <v>2014</v>
      </c>
      <c r="E2054" s="418" t="s">
        <v>775</v>
      </c>
      <c r="F2054" s="419">
        <v>159</v>
      </c>
      <c r="G2054" s="419">
        <v>0</v>
      </c>
      <c r="H2054" s="420">
        <v>0</v>
      </c>
      <c r="I2054" s="419">
        <v>0</v>
      </c>
      <c r="J2054" s="419">
        <v>106</v>
      </c>
      <c r="K2054" s="419">
        <v>0</v>
      </c>
      <c r="L2054" s="419">
        <v>0</v>
      </c>
      <c r="M2054" s="419">
        <v>0</v>
      </c>
      <c r="N2054" s="419">
        <v>112</v>
      </c>
      <c r="O2054" s="419">
        <v>59</v>
      </c>
      <c r="P2054" s="419">
        <v>284</v>
      </c>
      <c r="Q2054" s="420">
        <v>80</v>
      </c>
      <c r="R2054" s="311">
        <f t="shared" si="252"/>
        <v>661</v>
      </c>
      <c r="S2054" s="363">
        <f t="shared" si="253"/>
        <v>139</v>
      </c>
      <c r="T2054" s="314">
        <f>SUM(G2051:G2054)</f>
        <v>33</v>
      </c>
      <c r="U2054" s="314">
        <f>SUM(K2051:K2054)</f>
        <v>9</v>
      </c>
      <c r="V2054" s="314">
        <f>SUM(O2051:O2054)</f>
        <v>59</v>
      </c>
      <c r="W2054" s="314">
        <f>SUM(Q2051:Q2054)</f>
        <v>258</v>
      </c>
      <c r="X2054" s="314">
        <f>T2054+U2054+V2054+W2054</f>
        <v>359</v>
      </c>
    </row>
    <row r="2055" spans="1:24" ht="12.75">
      <c r="A2055" s="422" t="s">
        <v>643</v>
      </c>
      <c r="B2055" s="423" t="s">
        <v>185</v>
      </c>
      <c r="C2055" s="423" t="s">
        <v>868</v>
      </c>
      <c r="D2055" s="423">
        <v>2015</v>
      </c>
      <c r="E2055" s="423" t="s">
        <v>775</v>
      </c>
      <c r="F2055" s="424">
        <v>66</v>
      </c>
      <c r="G2055" s="424">
        <v>5</v>
      </c>
      <c r="H2055" s="425">
        <v>5</v>
      </c>
      <c r="I2055" s="424">
        <v>0</v>
      </c>
      <c r="J2055" s="424">
        <v>44</v>
      </c>
      <c r="K2055" s="424">
        <v>4</v>
      </c>
      <c r="L2055" s="424">
        <v>4</v>
      </c>
      <c r="M2055" s="424">
        <v>0</v>
      </c>
      <c r="N2055" s="424">
        <v>41</v>
      </c>
      <c r="O2055" s="424">
        <v>60</v>
      </c>
      <c r="P2055" s="424">
        <v>124</v>
      </c>
      <c r="Q2055" s="425">
        <v>0</v>
      </c>
      <c r="R2055" s="319">
        <f t="shared" si="252"/>
        <v>275</v>
      </c>
      <c r="S2055" s="364">
        <f t="shared" si="253"/>
        <v>69</v>
      </c>
      <c r="T2055" s="426"/>
      <c r="U2055" s="426"/>
      <c r="V2055" s="426"/>
      <c r="W2055" s="426"/>
      <c r="X2055" s="426"/>
    </row>
    <row r="2056" spans="1:24" ht="12.75">
      <c r="A2056" s="422" t="s">
        <v>644</v>
      </c>
      <c r="B2056" s="423" t="s">
        <v>185</v>
      </c>
      <c r="C2056" s="423" t="s">
        <v>868</v>
      </c>
      <c r="D2056" s="423">
        <v>2015</v>
      </c>
      <c r="E2056" s="423" t="s">
        <v>775</v>
      </c>
      <c r="F2056" s="424">
        <v>39</v>
      </c>
      <c r="G2056" s="424">
        <v>0</v>
      </c>
      <c r="H2056" s="425">
        <v>0</v>
      </c>
      <c r="I2056" s="424">
        <v>0</v>
      </c>
      <c r="J2056" s="424">
        <v>26</v>
      </c>
      <c r="K2056" s="424">
        <v>0</v>
      </c>
      <c r="L2056" s="424">
        <v>0</v>
      </c>
      <c r="M2056" s="424">
        <v>0</v>
      </c>
      <c r="N2056" s="424">
        <v>34</v>
      </c>
      <c r="O2056" s="424">
        <v>0</v>
      </c>
      <c r="P2056" s="424">
        <v>64</v>
      </c>
      <c r="Q2056" s="425">
        <v>5</v>
      </c>
      <c r="R2056" s="319">
        <f t="shared" si="252"/>
        <v>163</v>
      </c>
      <c r="S2056" s="364">
        <f t="shared" si="253"/>
        <v>5</v>
      </c>
      <c r="T2056" s="426"/>
      <c r="U2056" s="426"/>
      <c r="V2056" s="426"/>
      <c r="W2056" s="426"/>
      <c r="X2056" s="426"/>
    </row>
    <row r="2057" spans="1:24" ht="12.75">
      <c r="A2057" s="422" t="s">
        <v>645</v>
      </c>
      <c r="B2057" s="423" t="s">
        <v>185</v>
      </c>
      <c r="C2057" s="423" t="s">
        <v>868</v>
      </c>
      <c r="D2057" s="423">
        <v>2015</v>
      </c>
      <c r="E2057" s="423" t="s">
        <v>775</v>
      </c>
      <c r="F2057" s="424">
        <v>235</v>
      </c>
      <c r="G2057" s="424">
        <v>0</v>
      </c>
      <c r="H2057" s="425">
        <v>0</v>
      </c>
      <c r="I2057" s="424">
        <v>0</v>
      </c>
      <c r="J2057" s="424">
        <v>157</v>
      </c>
      <c r="K2057" s="424">
        <v>0</v>
      </c>
      <c r="L2057" s="424">
        <v>0</v>
      </c>
      <c r="M2057" s="424">
        <v>0</v>
      </c>
      <c r="N2057" s="424">
        <v>174</v>
      </c>
      <c r="O2057" s="424">
        <v>5</v>
      </c>
      <c r="P2057" s="424">
        <v>413</v>
      </c>
      <c r="Q2057" s="425">
        <v>197</v>
      </c>
      <c r="R2057" s="319">
        <f t="shared" si="252"/>
        <v>979</v>
      </c>
      <c r="S2057" s="364">
        <f t="shared" si="253"/>
        <v>202</v>
      </c>
      <c r="T2057" s="426"/>
      <c r="U2057" s="426"/>
      <c r="V2057" s="426"/>
      <c r="W2057" s="426"/>
      <c r="X2057" s="426"/>
    </row>
    <row r="2058" spans="1:24" ht="12.75">
      <c r="A2058" s="422" t="s">
        <v>647</v>
      </c>
      <c r="B2058" s="473" t="s">
        <v>185</v>
      </c>
      <c r="C2058" s="473" t="s">
        <v>868</v>
      </c>
      <c r="D2058" s="423">
        <v>2015</v>
      </c>
      <c r="E2058" s="423" t="s">
        <v>775</v>
      </c>
      <c r="F2058" s="424">
        <v>126</v>
      </c>
      <c r="G2058" s="424">
        <v>0</v>
      </c>
      <c r="H2058" s="425">
        <v>0</v>
      </c>
      <c r="I2058" s="424">
        <v>0</v>
      </c>
      <c r="J2058" s="424">
        <v>84</v>
      </c>
      <c r="K2058" s="424">
        <v>0</v>
      </c>
      <c r="L2058" s="424">
        <v>0</v>
      </c>
      <c r="M2058" s="424">
        <v>0</v>
      </c>
      <c r="N2058" s="424">
        <v>95</v>
      </c>
      <c r="O2058" s="424">
        <v>44</v>
      </c>
      <c r="P2058" s="424">
        <v>221</v>
      </c>
      <c r="Q2058" s="425">
        <v>0</v>
      </c>
      <c r="R2058" s="319">
        <f t="shared" si="252"/>
        <v>526</v>
      </c>
      <c r="S2058" s="364">
        <f t="shared" si="253"/>
        <v>44</v>
      </c>
      <c r="T2058" s="426"/>
      <c r="U2058" s="426"/>
      <c r="V2058" s="426"/>
      <c r="W2058" s="426"/>
      <c r="X2058" s="426"/>
    </row>
    <row r="2059" spans="1:24" ht="12.75">
      <c r="A2059" s="422" t="s">
        <v>185</v>
      </c>
      <c r="B2059" s="423" t="s">
        <v>185</v>
      </c>
      <c r="C2059" s="423" t="s">
        <v>868</v>
      </c>
      <c r="D2059" s="423">
        <v>2015</v>
      </c>
      <c r="E2059" s="423" t="s">
        <v>775</v>
      </c>
      <c r="F2059" s="424">
        <v>962</v>
      </c>
      <c r="G2059" s="424">
        <v>0</v>
      </c>
      <c r="H2059" s="425">
        <v>0</v>
      </c>
      <c r="I2059" s="424">
        <v>0</v>
      </c>
      <c r="J2059" s="424">
        <v>701</v>
      </c>
      <c r="K2059" s="424">
        <v>0</v>
      </c>
      <c r="L2059" s="424">
        <v>0</v>
      </c>
      <c r="M2059" s="424">
        <v>0</v>
      </c>
      <c r="N2059" s="424">
        <v>820</v>
      </c>
      <c r="O2059" s="424">
        <v>4</v>
      </c>
      <c r="P2059" s="424">
        <v>1617</v>
      </c>
      <c r="Q2059" s="425">
        <v>290</v>
      </c>
      <c r="R2059" s="319">
        <f t="shared" si="252"/>
        <v>4100</v>
      </c>
      <c r="S2059" s="364">
        <f t="shared" si="253"/>
        <v>294</v>
      </c>
      <c r="T2059" s="426"/>
      <c r="U2059" s="426"/>
      <c r="V2059" s="426"/>
      <c r="W2059" s="426"/>
      <c r="X2059" s="426"/>
    </row>
    <row r="2060" spans="1:24" ht="12.75">
      <c r="A2060" s="422" t="s">
        <v>648</v>
      </c>
      <c r="B2060" s="423" t="s">
        <v>185</v>
      </c>
      <c r="C2060" s="423" t="s">
        <v>868</v>
      </c>
      <c r="D2060" s="423">
        <v>2015</v>
      </c>
      <c r="E2060" s="423" t="s">
        <v>775</v>
      </c>
      <c r="F2060" s="424">
        <v>159</v>
      </c>
      <c r="G2060" s="424">
        <v>49</v>
      </c>
      <c r="H2060" s="425">
        <v>49</v>
      </c>
      <c r="I2060" s="424">
        <v>0</v>
      </c>
      <c r="J2060" s="424">
        <v>106</v>
      </c>
      <c r="K2060" s="424">
        <v>41</v>
      </c>
      <c r="L2060" s="424">
        <v>36</v>
      </c>
      <c r="M2060" s="424">
        <v>5</v>
      </c>
      <c r="N2060" s="424">
        <v>112</v>
      </c>
      <c r="O2060" s="424">
        <v>44</v>
      </c>
      <c r="P2060" s="424">
        <v>284</v>
      </c>
      <c r="Q2060" s="425">
        <v>94</v>
      </c>
      <c r="R2060" s="319">
        <f t="shared" si="252"/>
        <v>661</v>
      </c>
      <c r="S2060" s="364">
        <f t="shared" si="253"/>
        <v>228</v>
      </c>
      <c r="T2060" s="426"/>
      <c r="U2060" s="426"/>
      <c r="V2060" s="426"/>
      <c r="W2060" s="426"/>
      <c r="X2060" s="426"/>
    </row>
    <row r="2061" spans="1:24" ht="12.75">
      <c r="A2061" s="422" t="s">
        <v>649</v>
      </c>
      <c r="B2061" s="423" t="s">
        <v>185</v>
      </c>
      <c r="C2061" s="423" t="s">
        <v>868</v>
      </c>
      <c r="D2061" s="423">
        <v>2015</v>
      </c>
      <c r="E2061" s="423" t="s">
        <v>775</v>
      </c>
      <c r="F2061" s="424">
        <v>985</v>
      </c>
      <c r="G2061" s="424">
        <v>0</v>
      </c>
      <c r="H2061" s="425">
        <v>0</v>
      </c>
      <c r="I2061" s="424">
        <v>0</v>
      </c>
      <c r="J2061" s="424">
        <v>656</v>
      </c>
      <c r="K2061" s="424">
        <v>0</v>
      </c>
      <c r="L2061" s="424">
        <v>0</v>
      </c>
      <c r="M2061" s="424">
        <v>0</v>
      </c>
      <c r="N2061" s="424">
        <v>730</v>
      </c>
      <c r="O2061" s="424">
        <v>286</v>
      </c>
      <c r="P2061" s="424">
        <v>1731</v>
      </c>
      <c r="Q2061" s="425">
        <v>150</v>
      </c>
      <c r="R2061" s="319">
        <f t="shared" si="252"/>
        <v>4102</v>
      </c>
      <c r="S2061" s="364">
        <f t="shared" si="253"/>
        <v>436</v>
      </c>
      <c r="T2061" s="426"/>
      <c r="U2061" s="426"/>
      <c r="V2061" s="426"/>
      <c r="W2061" s="426"/>
      <c r="X2061" s="426"/>
    </row>
    <row r="2062" spans="1:24" ht="12.75">
      <c r="A2062" s="422" t="s">
        <v>650</v>
      </c>
      <c r="B2062" s="423" t="s">
        <v>185</v>
      </c>
      <c r="C2062" s="423" t="s">
        <v>868</v>
      </c>
      <c r="D2062" s="423">
        <v>2015</v>
      </c>
      <c r="E2062" s="423" t="s">
        <v>775</v>
      </c>
      <c r="F2062" s="424">
        <v>42</v>
      </c>
      <c r="G2062" s="424">
        <v>0</v>
      </c>
      <c r="H2062" s="425">
        <v>0</v>
      </c>
      <c r="I2062" s="424">
        <v>0</v>
      </c>
      <c r="J2062" s="424">
        <v>28</v>
      </c>
      <c r="K2062" s="424">
        <v>0</v>
      </c>
      <c r="L2062" s="424">
        <v>0</v>
      </c>
      <c r="M2062" s="424">
        <v>0</v>
      </c>
      <c r="N2062" s="424">
        <v>30</v>
      </c>
      <c r="O2062" s="424">
        <v>0</v>
      </c>
      <c r="P2062" s="424">
        <v>75</v>
      </c>
      <c r="Q2062" s="425">
        <v>35</v>
      </c>
      <c r="R2062" s="319">
        <f t="shared" si="252"/>
        <v>175</v>
      </c>
      <c r="S2062" s="364">
        <f t="shared" si="253"/>
        <v>35</v>
      </c>
      <c r="T2062" s="323">
        <f>SUM(G2055:G2062)</f>
        <v>54</v>
      </c>
      <c r="U2062" s="323">
        <f>SUM(K2055:K2062)</f>
        <v>45</v>
      </c>
      <c r="V2062" s="323">
        <f>SUM(O2055:O2062)</f>
        <v>443</v>
      </c>
      <c r="W2062" s="323">
        <f>SUM(Q2055:Q2062)</f>
        <v>771</v>
      </c>
      <c r="X2062" s="323">
        <f>T2062+U2062+V2062+W2062</f>
        <v>1313</v>
      </c>
    </row>
    <row r="2063" spans="1:24" ht="12.75">
      <c r="A2063" s="428" t="s">
        <v>643</v>
      </c>
      <c r="B2063" s="429" t="s">
        <v>185</v>
      </c>
      <c r="C2063" s="429" t="s">
        <v>868</v>
      </c>
      <c r="D2063" s="429">
        <v>2016</v>
      </c>
      <c r="E2063" s="429" t="s">
        <v>775</v>
      </c>
      <c r="F2063" s="430">
        <v>66</v>
      </c>
      <c r="G2063" s="430">
        <v>0</v>
      </c>
      <c r="H2063" s="431">
        <v>0</v>
      </c>
      <c r="I2063" s="430">
        <v>0</v>
      </c>
      <c r="J2063" s="430">
        <v>44</v>
      </c>
      <c r="K2063" s="430">
        <v>0</v>
      </c>
      <c r="L2063" s="430">
        <v>0</v>
      </c>
      <c r="M2063" s="430">
        <v>0</v>
      </c>
      <c r="N2063" s="430">
        <v>41</v>
      </c>
      <c r="O2063" s="430">
        <v>0</v>
      </c>
      <c r="P2063" s="430">
        <v>124</v>
      </c>
      <c r="Q2063" s="431">
        <v>51</v>
      </c>
      <c r="R2063" s="328">
        <f t="shared" si="252"/>
        <v>275</v>
      </c>
      <c r="S2063" s="365">
        <f t="shared" si="253"/>
        <v>51</v>
      </c>
      <c r="T2063" s="432"/>
      <c r="U2063" s="432"/>
      <c r="V2063" s="432"/>
      <c r="W2063" s="432"/>
      <c r="X2063" s="432"/>
    </row>
    <row r="2064" spans="1:24" ht="12.75">
      <c r="A2064" s="428" t="s">
        <v>644</v>
      </c>
      <c r="B2064" s="429" t="s">
        <v>185</v>
      </c>
      <c r="C2064" s="429" t="s">
        <v>868</v>
      </c>
      <c r="D2064" s="429">
        <v>2016</v>
      </c>
      <c r="E2064" s="429" t="s">
        <v>775</v>
      </c>
      <c r="F2064" s="430">
        <v>39</v>
      </c>
      <c r="G2064" s="430">
        <v>0</v>
      </c>
      <c r="H2064" s="431">
        <v>0</v>
      </c>
      <c r="I2064" s="430">
        <v>0</v>
      </c>
      <c r="J2064" s="430">
        <v>26</v>
      </c>
      <c r="K2064" s="430">
        <v>0</v>
      </c>
      <c r="L2064" s="430">
        <v>0</v>
      </c>
      <c r="M2064" s="430">
        <v>0</v>
      </c>
      <c r="N2064" s="430">
        <v>34</v>
      </c>
      <c r="O2064" s="430">
        <v>0</v>
      </c>
      <c r="P2064" s="430">
        <v>64</v>
      </c>
      <c r="Q2064" s="431">
        <v>4</v>
      </c>
      <c r="R2064" s="328">
        <f t="shared" si="252"/>
        <v>163</v>
      </c>
      <c r="S2064" s="365">
        <f t="shared" si="253"/>
        <v>4</v>
      </c>
      <c r="T2064" s="432"/>
      <c r="U2064" s="432"/>
      <c r="V2064" s="432"/>
      <c r="W2064" s="432"/>
      <c r="X2064" s="432"/>
    </row>
    <row r="2065" spans="1:24" ht="12.75">
      <c r="A2065" s="428" t="s">
        <v>645</v>
      </c>
      <c r="B2065" s="429" t="s">
        <v>185</v>
      </c>
      <c r="C2065" s="429" t="s">
        <v>868</v>
      </c>
      <c r="D2065" s="429">
        <v>2016</v>
      </c>
      <c r="E2065" s="429" t="s">
        <v>775</v>
      </c>
      <c r="F2065" s="430">
        <v>235</v>
      </c>
      <c r="G2065" s="430">
        <v>0</v>
      </c>
      <c r="H2065" s="431">
        <v>0</v>
      </c>
      <c r="I2065" s="430">
        <v>0</v>
      </c>
      <c r="J2065" s="430">
        <v>157</v>
      </c>
      <c r="K2065" s="430">
        <v>0</v>
      </c>
      <c r="L2065" s="430">
        <v>0</v>
      </c>
      <c r="M2065" s="430">
        <v>0</v>
      </c>
      <c r="N2065" s="430">
        <v>174</v>
      </c>
      <c r="O2065" s="430">
        <v>0</v>
      </c>
      <c r="P2065" s="430">
        <v>413</v>
      </c>
      <c r="Q2065" s="431">
        <v>135</v>
      </c>
      <c r="R2065" s="328">
        <f t="shared" si="252"/>
        <v>979</v>
      </c>
      <c r="S2065" s="365">
        <f t="shared" si="253"/>
        <v>135</v>
      </c>
      <c r="T2065" s="432"/>
      <c r="U2065" s="432"/>
      <c r="V2065" s="432"/>
      <c r="W2065" s="432"/>
      <c r="X2065" s="432"/>
    </row>
    <row r="2066" spans="1:24" ht="12.75">
      <c r="A2066" s="428" t="s">
        <v>647</v>
      </c>
      <c r="B2066" s="429" t="s">
        <v>185</v>
      </c>
      <c r="C2066" s="429" t="s">
        <v>868</v>
      </c>
      <c r="D2066" s="429">
        <v>2016</v>
      </c>
      <c r="E2066" s="429" t="s">
        <v>775</v>
      </c>
      <c r="F2066" s="430">
        <v>126</v>
      </c>
      <c r="G2066" s="430">
        <v>0</v>
      </c>
      <c r="H2066" s="431">
        <v>0</v>
      </c>
      <c r="I2066" s="430">
        <v>0</v>
      </c>
      <c r="J2066" s="430">
        <v>84</v>
      </c>
      <c r="K2066" s="430">
        <v>0</v>
      </c>
      <c r="L2066" s="430">
        <v>0</v>
      </c>
      <c r="M2066" s="430">
        <v>0</v>
      </c>
      <c r="N2066" s="430">
        <v>95</v>
      </c>
      <c r="O2066" s="430">
        <v>0</v>
      </c>
      <c r="P2066" s="430">
        <v>221</v>
      </c>
      <c r="Q2066" s="431">
        <v>0</v>
      </c>
      <c r="R2066" s="328">
        <f t="shared" si="252"/>
        <v>526</v>
      </c>
      <c r="S2066" s="365">
        <f t="shared" si="253"/>
        <v>0</v>
      </c>
      <c r="T2066" s="432"/>
      <c r="U2066" s="432"/>
      <c r="V2066" s="432"/>
      <c r="W2066" s="432"/>
      <c r="X2066" s="432"/>
    </row>
    <row r="2067" spans="1:24" ht="12.75">
      <c r="A2067" s="428" t="s">
        <v>185</v>
      </c>
      <c r="B2067" s="480" t="s">
        <v>185</v>
      </c>
      <c r="C2067" s="429" t="s">
        <v>868</v>
      </c>
      <c r="D2067" s="429">
        <v>2016</v>
      </c>
      <c r="E2067" s="429" t="s">
        <v>775</v>
      </c>
      <c r="F2067" s="430">
        <v>962</v>
      </c>
      <c r="G2067" s="430">
        <v>61</v>
      </c>
      <c r="H2067" s="431">
        <v>61</v>
      </c>
      <c r="I2067" s="430">
        <v>0</v>
      </c>
      <c r="J2067" s="430">
        <v>701</v>
      </c>
      <c r="K2067" s="430">
        <v>36</v>
      </c>
      <c r="L2067" s="430">
        <v>36</v>
      </c>
      <c r="M2067" s="430">
        <v>0</v>
      </c>
      <c r="N2067" s="430">
        <v>820</v>
      </c>
      <c r="O2067" s="430">
        <v>0</v>
      </c>
      <c r="P2067" s="430">
        <v>1617</v>
      </c>
      <c r="Q2067" s="431">
        <v>159</v>
      </c>
      <c r="R2067" s="328">
        <f t="shared" si="252"/>
        <v>4100</v>
      </c>
      <c r="S2067" s="365">
        <f t="shared" si="253"/>
        <v>256</v>
      </c>
      <c r="T2067" s="432"/>
      <c r="U2067" s="432"/>
      <c r="V2067" s="432"/>
      <c r="W2067" s="432"/>
      <c r="X2067" s="432"/>
    </row>
    <row r="2068" spans="1:24" ht="12.75">
      <c r="A2068" s="428" t="s">
        <v>648</v>
      </c>
      <c r="B2068" s="429" t="s">
        <v>185</v>
      </c>
      <c r="C2068" s="429" t="s">
        <v>868</v>
      </c>
      <c r="D2068" s="429">
        <v>2016</v>
      </c>
      <c r="E2068" s="429" t="s">
        <v>775</v>
      </c>
      <c r="F2068" s="430">
        <v>159</v>
      </c>
      <c r="G2068" s="430">
        <v>0</v>
      </c>
      <c r="H2068" s="431">
        <v>0</v>
      </c>
      <c r="I2068" s="430">
        <v>0</v>
      </c>
      <c r="J2068" s="430">
        <v>106</v>
      </c>
      <c r="K2068" s="430">
        <v>7</v>
      </c>
      <c r="L2068" s="430">
        <v>0</v>
      </c>
      <c r="M2068" s="430">
        <v>7</v>
      </c>
      <c r="N2068" s="430">
        <v>112</v>
      </c>
      <c r="O2068" s="430">
        <v>13</v>
      </c>
      <c r="P2068" s="430">
        <v>284</v>
      </c>
      <c r="Q2068" s="431">
        <v>31</v>
      </c>
      <c r="R2068" s="328">
        <f t="shared" si="252"/>
        <v>661</v>
      </c>
      <c r="S2068" s="365">
        <f t="shared" si="253"/>
        <v>51</v>
      </c>
      <c r="T2068" s="432"/>
      <c r="U2068" s="432"/>
      <c r="V2068" s="432"/>
      <c r="W2068" s="432"/>
      <c r="X2068" s="432"/>
    </row>
    <row r="2069" spans="1:24" ht="12.75">
      <c r="A2069" s="428" t="s">
        <v>649</v>
      </c>
      <c r="B2069" s="429" t="s">
        <v>185</v>
      </c>
      <c r="C2069" s="429" t="s">
        <v>868</v>
      </c>
      <c r="D2069" s="429">
        <v>2016</v>
      </c>
      <c r="E2069" s="429" t="s">
        <v>775</v>
      </c>
      <c r="F2069" s="430">
        <v>985</v>
      </c>
      <c r="G2069" s="430">
        <v>27</v>
      </c>
      <c r="H2069" s="431">
        <v>27</v>
      </c>
      <c r="I2069" s="430">
        <v>0</v>
      </c>
      <c r="J2069" s="430">
        <v>656</v>
      </c>
      <c r="K2069" s="430">
        <v>59</v>
      </c>
      <c r="L2069" s="430">
        <v>59</v>
      </c>
      <c r="M2069" s="430">
        <v>0</v>
      </c>
      <c r="N2069" s="430">
        <v>730</v>
      </c>
      <c r="O2069" s="430">
        <v>14</v>
      </c>
      <c r="P2069" s="430">
        <v>1731</v>
      </c>
      <c r="Q2069" s="431">
        <v>191</v>
      </c>
      <c r="R2069" s="328">
        <f t="shared" si="252"/>
        <v>4102</v>
      </c>
      <c r="S2069" s="365">
        <f t="shared" si="253"/>
        <v>291</v>
      </c>
      <c r="T2069" s="432"/>
      <c r="U2069" s="432"/>
      <c r="V2069" s="432"/>
      <c r="W2069" s="432"/>
      <c r="X2069" s="432"/>
    </row>
    <row r="2070" spans="1:24" ht="12.75">
      <c r="A2070" s="428" t="s">
        <v>650</v>
      </c>
      <c r="B2070" s="429" t="s">
        <v>185</v>
      </c>
      <c r="C2070" s="429" t="s">
        <v>868</v>
      </c>
      <c r="D2070" s="429">
        <v>2016</v>
      </c>
      <c r="E2070" s="429" t="s">
        <v>775</v>
      </c>
      <c r="F2070" s="430">
        <v>42</v>
      </c>
      <c r="G2070" s="430">
        <v>35</v>
      </c>
      <c r="H2070" s="431">
        <v>35</v>
      </c>
      <c r="I2070" s="430">
        <v>0</v>
      </c>
      <c r="J2070" s="430">
        <v>28</v>
      </c>
      <c r="K2070" s="430">
        <v>10</v>
      </c>
      <c r="L2070" s="430">
        <v>10</v>
      </c>
      <c r="M2070" s="430">
        <v>0</v>
      </c>
      <c r="N2070" s="430">
        <v>30</v>
      </c>
      <c r="O2070" s="430">
        <v>0</v>
      </c>
      <c r="P2070" s="430">
        <v>75</v>
      </c>
      <c r="Q2070" s="431">
        <v>23</v>
      </c>
      <c r="R2070" s="328">
        <f t="shared" si="252"/>
        <v>175</v>
      </c>
      <c r="S2070" s="365">
        <f t="shared" si="253"/>
        <v>68</v>
      </c>
      <c r="T2070" s="331">
        <f>SUM(G2063:G2070)</f>
        <v>123</v>
      </c>
      <c r="U2070" s="331">
        <f>SUM(K2063:K2070)</f>
        <v>112</v>
      </c>
      <c r="V2070" s="331">
        <f>SUM(O2063:O2070)</f>
        <v>27</v>
      </c>
      <c r="W2070" s="331">
        <f>SUM(Q2063:Q2070)</f>
        <v>594</v>
      </c>
      <c r="X2070" s="331">
        <f>T2070+U2070+V2070+W2070</f>
        <v>856</v>
      </c>
    </row>
    <row r="2071" spans="1:24" ht="12.75">
      <c r="A2071" s="433" t="s">
        <v>643</v>
      </c>
      <c r="B2071" s="434" t="s">
        <v>185</v>
      </c>
      <c r="C2071" s="434" t="s">
        <v>868</v>
      </c>
      <c r="D2071" s="434">
        <v>2017</v>
      </c>
      <c r="E2071" s="434" t="s">
        <v>775</v>
      </c>
      <c r="F2071" s="435">
        <v>66</v>
      </c>
      <c r="G2071" s="435">
        <v>0</v>
      </c>
      <c r="H2071" s="436">
        <v>0</v>
      </c>
      <c r="I2071" s="435">
        <v>0</v>
      </c>
      <c r="J2071" s="435">
        <v>44</v>
      </c>
      <c r="K2071" s="435">
        <v>0</v>
      </c>
      <c r="L2071" s="435">
        <v>0</v>
      </c>
      <c r="M2071" s="435">
        <v>0</v>
      </c>
      <c r="N2071" s="435">
        <v>41</v>
      </c>
      <c r="O2071" s="435">
        <v>1</v>
      </c>
      <c r="P2071" s="435">
        <v>124</v>
      </c>
      <c r="Q2071" s="436">
        <v>38</v>
      </c>
      <c r="R2071" s="336">
        <f t="shared" si="252"/>
        <v>275</v>
      </c>
      <c r="S2071" s="366">
        <f t="shared" si="253"/>
        <v>39</v>
      </c>
      <c r="T2071" s="437"/>
      <c r="U2071" s="437"/>
      <c r="V2071" s="437"/>
      <c r="W2071" s="437"/>
      <c r="X2071" s="437"/>
    </row>
    <row r="2072" spans="1:24" ht="12.75">
      <c r="A2072" s="433" t="s">
        <v>644</v>
      </c>
      <c r="B2072" s="434" t="s">
        <v>185</v>
      </c>
      <c r="C2072" s="434" t="s">
        <v>868</v>
      </c>
      <c r="D2072" s="434">
        <v>2017</v>
      </c>
      <c r="E2072" s="434" t="s">
        <v>775</v>
      </c>
      <c r="F2072" s="435">
        <v>39</v>
      </c>
      <c r="G2072" s="435">
        <v>0</v>
      </c>
      <c r="H2072" s="436">
        <v>0</v>
      </c>
      <c r="I2072" s="435">
        <v>0</v>
      </c>
      <c r="J2072" s="435">
        <v>26</v>
      </c>
      <c r="K2072" s="435">
        <v>3</v>
      </c>
      <c r="L2072" s="435">
        <v>3</v>
      </c>
      <c r="M2072" s="435">
        <v>0</v>
      </c>
      <c r="N2072" s="435">
        <v>34</v>
      </c>
      <c r="O2072" s="435">
        <v>0</v>
      </c>
      <c r="P2072" s="435">
        <v>64</v>
      </c>
      <c r="Q2072" s="436">
        <v>0</v>
      </c>
      <c r="R2072" s="336">
        <f t="shared" si="252"/>
        <v>163</v>
      </c>
      <c r="S2072" s="366">
        <f t="shared" si="253"/>
        <v>3</v>
      </c>
      <c r="T2072" s="437"/>
      <c r="U2072" s="437"/>
      <c r="V2072" s="437"/>
      <c r="W2072" s="437"/>
      <c r="X2072" s="437"/>
    </row>
    <row r="2073" spans="1:24" ht="12.75">
      <c r="A2073" s="433" t="s">
        <v>645</v>
      </c>
      <c r="B2073" s="434" t="s">
        <v>185</v>
      </c>
      <c r="C2073" s="434" t="s">
        <v>868</v>
      </c>
      <c r="D2073" s="434">
        <v>2017</v>
      </c>
      <c r="E2073" s="434" t="s">
        <v>775</v>
      </c>
      <c r="F2073" s="435">
        <v>235</v>
      </c>
      <c r="G2073" s="435">
        <v>0</v>
      </c>
      <c r="H2073" s="436">
        <v>0</v>
      </c>
      <c r="I2073" s="435">
        <v>0</v>
      </c>
      <c r="J2073" s="435">
        <v>157</v>
      </c>
      <c r="K2073" s="435">
        <v>0</v>
      </c>
      <c r="L2073" s="435">
        <v>0</v>
      </c>
      <c r="M2073" s="435">
        <v>0</v>
      </c>
      <c r="N2073" s="435">
        <v>174</v>
      </c>
      <c r="O2073" s="435">
        <v>0</v>
      </c>
      <c r="P2073" s="435">
        <v>413</v>
      </c>
      <c r="Q2073" s="436">
        <v>100</v>
      </c>
      <c r="R2073" s="336">
        <f t="shared" si="252"/>
        <v>979</v>
      </c>
      <c r="S2073" s="366">
        <f t="shared" si="253"/>
        <v>100</v>
      </c>
      <c r="T2073" s="437"/>
      <c r="U2073" s="437"/>
      <c r="V2073" s="437"/>
      <c r="W2073" s="437"/>
      <c r="X2073" s="437"/>
    </row>
    <row r="2074" spans="1:24" ht="12.75">
      <c r="A2074" s="433" t="s">
        <v>647</v>
      </c>
      <c r="B2074" s="434" t="s">
        <v>185</v>
      </c>
      <c r="C2074" s="434" t="s">
        <v>868</v>
      </c>
      <c r="D2074" s="434">
        <v>2017</v>
      </c>
      <c r="E2074" s="434" t="s">
        <v>775</v>
      </c>
      <c r="F2074" s="435">
        <v>126</v>
      </c>
      <c r="G2074" s="435">
        <v>0</v>
      </c>
      <c r="H2074" s="436">
        <v>0</v>
      </c>
      <c r="I2074" s="435">
        <v>0</v>
      </c>
      <c r="J2074" s="435">
        <v>84</v>
      </c>
      <c r="K2074" s="435">
        <v>0</v>
      </c>
      <c r="L2074" s="435">
        <v>0</v>
      </c>
      <c r="M2074" s="435">
        <v>0</v>
      </c>
      <c r="N2074" s="435">
        <v>95</v>
      </c>
      <c r="O2074" s="435">
        <v>0</v>
      </c>
      <c r="P2074" s="435">
        <v>221</v>
      </c>
      <c r="Q2074" s="436">
        <v>4</v>
      </c>
      <c r="R2074" s="336">
        <f t="shared" si="252"/>
        <v>526</v>
      </c>
      <c r="S2074" s="366">
        <f t="shared" si="253"/>
        <v>4</v>
      </c>
      <c r="T2074" s="437"/>
      <c r="U2074" s="437"/>
      <c r="V2074" s="437"/>
      <c r="W2074" s="437"/>
      <c r="X2074" s="437"/>
    </row>
    <row r="2075" spans="1:24" ht="12.75">
      <c r="A2075" s="433" t="s">
        <v>185</v>
      </c>
      <c r="B2075" s="434" t="s">
        <v>185</v>
      </c>
      <c r="C2075" s="434" t="s">
        <v>868</v>
      </c>
      <c r="D2075" s="434">
        <v>2017</v>
      </c>
      <c r="E2075" s="434" t="s">
        <v>775</v>
      </c>
      <c r="F2075" s="435">
        <v>962</v>
      </c>
      <c r="G2075" s="435">
        <v>0</v>
      </c>
      <c r="H2075" s="436">
        <v>0</v>
      </c>
      <c r="I2075" s="435">
        <v>0</v>
      </c>
      <c r="J2075" s="435">
        <v>701</v>
      </c>
      <c r="K2075" s="435">
        <v>0</v>
      </c>
      <c r="L2075" s="435">
        <v>0</v>
      </c>
      <c r="M2075" s="435">
        <v>0</v>
      </c>
      <c r="N2075" s="435">
        <v>820</v>
      </c>
      <c r="O2075" s="435">
        <v>0</v>
      </c>
      <c r="P2075" s="435">
        <v>1617</v>
      </c>
      <c r="Q2075" s="436">
        <v>117</v>
      </c>
      <c r="R2075" s="336">
        <f t="shared" si="252"/>
        <v>4100</v>
      </c>
      <c r="S2075" s="366">
        <f t="shared" si="253"/>
        <v>117</v>
      </c>
      <c r="T2075" s="437"/>
      <c r="U2075" s="437"/>
      <c r="V2075" s="437"/>
      <c r="W2075" s="437"/>
      <c r="X2075" s="437"/>
    </row>
    <row r="2076" spans="1:24" ht="12.75">
      <c r="A2076" s="433" t="s">
        <v>648</v>
      </c>
      <c r="B2076" s="434" t="s">
        <v>185</v>
      </c>
      <c r="C2076" s="434" t="s">
        <v>868</v>
      </c>
      <c r="D2076" s="434">
        <v>2017</v>
      </c>
      <c r="E2076" s="434" t="s">
        <v>775</v>
      </c>
      <c r="F2076" s="435">
        <v>159</v>
      </c>
      <c r="G2076" s="435">
        <v>8</v>
      </c>
      <c r="H2076" s="436">
        <v>8</v>
      </c>
      <c r="I2076" s="435">
        <v>0</v>
      </c>
      <c r="J2076" s="435">
        <v>106</v>
      </c>
      <c r="K2076" s="435">
        <v>1</v>
      </c>
      <c r="L2076" s="435">
        <v>0</v>
      </c>
      <c r="M2076" s="435">
        <v>1</v>
      </c>
      <c r="N2076" s="435">
        <v>112</v>
      </c>
      <c r="O2076" s="435">
        <v>54</v>
      </c>
      <c r="P2076" s="435">
        <v>284</v>
      </c>
      <c r="Q2076" s="436">
        <v>145</v>
      </c>
      <c r="R2076" s="336">
        <f t="shared" si="252"/>
        <v>661</v>
      </c>
      <c r="S2076" s="366">
        <f t="shared" si="253"/>
        <v>208</v>
      </c>
      <c r="T2076" s="437"/>
      <c r="U2076" s="437"/>
      <c r="V2076" s="437"/>
      <c r="W2076" s="437"/>
      <c r="X2076" s="437"/>
    </row>
    <row r="2077" spans="1:24" ht="12.75">
      <c r="A2077" s="433" t="s">
        <v>649</v>
      </c>
      <c r="B2077" s="434" t="s">
        <v>185</v>
      </c>
      <c r="C2077" s="434" t="s">
        <v>868</v>
      </c>
      <c r="D2077" s="434">
        <v>2017</v>
      </c>
      <c r="E2077" s="434" t="s">
        <v>775</v>
      </c>
      <c r="F2077" s="435">
        <v>985</v>
      </c>
      <c r="G2077" s="435">
        <v>0</v>
      </c>
      <c r="H2077" s="436">
        <v>0</v>
      </c>
      <c r="I2077" s="435">
        <v>0</v>
      </c>
      <c r="J2077" s="435">
        <v>656</v>
      </c>
      <c r="K2077" s="435">
        <v>0</v>
      </c>
      <c r="L2077" s="435">
        <v>0</v>
      </c>
      <c r="M2077" s="435">
        <v>0</v>
      </c>
      <c r="N2077" s="435">
        <v>730</v>
      </c>
      <c r="O2077" s="435">
        <v>391</v>
      </c>
      <c r="P2077" s="435">
        <v>1731</v>
      </c>
      <c r="Q2077" s="436">
        <v>125</v>
      </c>
      <c r="R2077" s="336">
        <f t="shared" si="252"/>
        <v>4102</v>
      </c>
      <c r="S2077" s="366">
        <f t="shared" si="253"/>
        <v>516</v>
      </c>
      <c r="T2077" s="437"/>
      <c r="U2077" s="437"/>
      <c r="V2077" s="437"/>
      <c r="W2077" s="437"/>
      <c r="X2077" s="437"/>
    </row>
    <row r="2078" spans="1:24" ht="12.75">
      <c r="A2078" s="433" t="s">
        <v>650</v>
      </c>
      <c r="B2078" s="434" t="s">
        <v>185</v>
      </c>
      <c r="C2078" s="434" t="s">
        <v>868</v>
      </c>
      <c r="D2078" s="434">
        <v>2017</v>
      </c>
      <c r="E2078" s="434" t="s">
        <v>775</v>
      </c>
      <c r="F2078" s="435">
        <v>42</v>
      </c>
      <c r="G2078" s="435">
        <v>0</v>
      </c>
      <c r="H2078" s="436">
        <v>0</v>
      </c>
      <c r="I2078" s="435">
        <v>0</v>
      </c>
      <c r="J2078" s="435">
        <v>28</v>
      </c>
      <c r="K2078" s="435">
        <v>0</v>
      </c>
      <c r="L2078" s="435">
        <v>0</v>
      </c>
      <c r="M2078" s="435">
        <v>0</v>
      </c>
      <c r="N2078" s="435">
        <v>30</v>
      </c>
      <c r="O2078" s="435">
        <v>1</v>
      </c>
      <c r="P2078" s="435">
        <v>75</v>
      </c>
      <c r="Q2078" s="436">
        <v>23</v>
      </c>
      <c r="R2078" s="336">
        <f t="shared" si="252"/>
        <v>175</v>
      </c>
      <c r="S2078" s="366">
        <f t="shared" si="253"/>
        <v>24</v>
      </c>
      <c r="T2078" s="339">
        <f>SUM(G2071:G2078)</f>
        <v>8</v>
      </c>
      <c r="U2078" s="339">
        <f>SUM(K2071:K2078)</f>
        <v>4</v>
      </c>
      <c r="V2078" s="339">
        <f>SUM(O2071:O2078)</f>
        <v>447</v>
      </c>
      <c r="W2078" s="339">
        <f>SUM(Q2071:Q2078)</f>
        <v>552</v>
      </c>
      <c r="X2078" s="339">
        <f>T2078+U2078+V2078+W2078</f>
        <v>1011</v>
      </c>
    </row>
    <row r="2079" spans="1:24" ht="12.75">
      <c r="A2079" s="438" t="s">
        <v>643</v>
      </c>
      <c r="B2079" s="439" t="s">
        <v>185</v>
      </c>
      <c r="C2079" s="439" t="s">
        <v>868</v>
      </c>
      <c r="D2079" s="439">
        <v>2018</v>
      </c>
      <c r="E2079" s="439" t="s">
        <v>775</v>
      </c>
      <c r="F2079" s="440">
        <v>66</v>
      </c>
      <c r="G2079" s="441">
        <v>0</v>
      </c>
      <c r="H2079" s="440">
        <v>0</v>
      </c>
      <c r="I2079" s="440">
        <v>0</v>
      </c>
      <c r="J2079" s="440">
        <v>44</v>
      </c>
      <c r="K2079" s="441">
        <v>0</v>
      </c>
      <c r="L2079" s="440">
        <v>0</v>
      </c>
      <c r="M2079" s="440">
        <v>0</v>
      </c>
      <c r="N2079" s="440">
        <v>41</v>
      </c>
      <c r="O2079" s="440">
        <v>0</v>
      </c>
      <c r="P2079" s="440">
        <v>124</v>
      </c>
      <c r="Q2079" s="440">
        <v>36</v>
      </c>
      <c r="R2079" s="344">
        <f t="shared" si="252"/>
        <v>275</v>
      </c>
      <c r="S2079" s="367">
        <f t="shared" si="253"/>
        <v>36</v>
      </c>
      <c r="T2079" s="442"/>
      <c r="U2079" s="442"/>
      <c r="V2079" s="442"/>
      <c r="W2079" s="442"/>
      <c r="X2079" s="442"/>
    </row>
    <row r="2080" spans="1:24" ht="12.75">
      <c r="A2080" s="438" t="s">
        <v>644</v>
      </c>
      <c r="B2080" s="439" t="s">
        <v>185</v>
      </c>
      <c r="C2080" s="439" t="s">
        <v>868</v>
      </c>
      <c r="D2080" s="439">
        <v>2018</v>
      </c>
      <c r="E2080" s="439" t="s">
        <v>775</v>
      </c>
      <c r="F2080" s="440">
        <v>39</v>
      </c>
      <c r="G2080" s="441">
        <v>0</v>
      </c>
      <c r="H2080" s="440">
        <v>0</v>
      </c>
      <c r="I2080" s="440">
        <v>0</v>
      </c>
      <c r="J2080" s="440">
        <v>26</v>
      </c>
      <c r="K2080" s="441">
        <v>0</v>
      </c>
      <c r="L2080" s="440">
        <v>0</v>
      </c>
      <c r="M2080" s="440">
        <v>0</v>
      </c>
      <c r="N2080" s="440">
        <v>34</v>
      </c>
      <c r="O2080" s="440">
        <v>0</v>
      </c>
      <c r="P2080" s="440">
        <v>64</v>
      </c>
      <c r="Q2080" s="440">
        <v>1</v>
      </c>
      <c r="R2080" s="344">
        <f t="shared" si="252"/>
        <v>163</v>
      </c>
      <c r="S2080" s="367">
        <f t="shared" si="253"/>
        <v>1</v>
      </c>
      <c r="T2080" s="442"/>
      <c r="U2080" s="442"/>
      <c r="V2080" s="442"/>
      <c r="W2080" s="442"/>
      <c r="X2080" s="442"/>
    </row>
    <row r="2081" spans="1:24" ht="12.75">
      <c r="A2081" s="438" t="s">
        <v>645</v>
      </c>
      <c r="B2081" s="439" t="s">
        <v>185</v>
      </c>
      <c r="C2081" s="439" t="s">
        <v>868</v>
      </c>
      <c r="D2081" s="439">
        <v>2018</v>
      </c>
      <c r="E2081" s="439" t="s">
        <v>775</v>
      </c>
      <c r="F2081" s="440">
        <v>235</v>
      </c>
      <c r="G2081" s="441">
        <v>0</v>
      </c>
      <c r="H2081" s="440">
        <v>0</v>
      </c>
      <c r="I2081" s="440">
        <v>0</v>
      </c>
      <c r="J2081" s="440">
        <v>157</v>
      </c>
      <c r="K2081" s="441">
        <v>69</v>
      </c>
      <c r="L2081" s="440">
        <v>69</v>
      </c>
      <c r="M2081" s="440">
        <v>0</v>
      </c>
      <c r="N2081" s="440">
        <v>174</v>
      </c>
      <c r="O2081" s="440">
        <v>0</v>
      </c>
      <c r="P2081" s="440">
        <v>413</v>
      </c>
      <c r="Q2081" s="440">
        <v>0</v>
      </c>
      <c r="R2081" s="344">
        <f t="shared" si="252"/>
        <v>979</v>
      </c>
      <c r="S2081" s="367">
        <f t="shared" si="253"/>
        <v>69</v>
      </c>
      <c r="T2081" s="442"/>
      <c r="U2081" s="442"/>
      <c r="V2081" s="442"/>
      <c r="W2081" s="442"/>
      <c r="X2081" s="442"/>
    </row>
    <row r="2082" spans="1:24" ht="12.75">
      <c r="A2082" s="438" t="s">
        <v>646</v>
      </c>
      <c r="B2082" s="439" t="s">
        <v>185</v>
      </c>
      <c r="C2082" s="439" t="s">
        <v>868</v>
      </c>
      <c r="D2082" s="439">
        <v>2018</v>
      </c>
      <c r="E2082" s="439" t="s">
        <v>775</v>
      </c>
      <c r="F2082" s="440">
        <v>12</v>
      </c>
      <c r="G2082" s="441">
        <v>30</v>
      </c>
      <c r="H2082" s="440">
        <v>30</v>
      </c>
      <c r="I2082" s="440">
        <v>0</v>
      </c>
      <c r="J2082" s="440">
        <v>8</v>
      </c>
      <c r="K2082" s="441">
        <v>7</v>
      </c>
      <c r="L2082" s="440">
        <v>7</v>
      </c>
      <c r="M2082" s="440">
        <v>0</v>
      </c>
      <c r="N2082" s="440">
        <v>13</v>
      </c>
      <c r="O2082" s="440">
        <v>0</v>
      </c>
      <c r="P2082" s="440">
        <v>16</v>
      </c>
      <c r="Q2082" s="440">
        <v>62</v>
      </c>
      <c r="R2082" s="344">
        <f t="shared" si="252"/>
        <v>49</v>
      </c>
      <c r="S2082" s="367">
        <f t="shared" si="253"/>
        <v>99</v>
      </c>
      <c r="T2082" s="442"/>
      <c r="U2082" s="442"/>
      <c r="V2082" s="442"/>
      <c r="W2082" s="442"/>
      <c r="X2082" s="442"/>
    </row>
    <row r="2083" spans="1:24" ht="12.75">
      <c r="A2083" s="438" t="s">
        <v>647</v>
      </c>
      <c r="B2083" s="439" t="s">
        <v>185</v>
      </c>
      <c r="C2083" s="439" t="s">
        <v>868</v>
      </c>
      <c r="D2083" s="439">
        <v>2018</v>
      </c>
      <c r="E2083" s="439" t="s">
        <v>775</v>
      </c>
      <c r="F2083" s="440">
        <v>126</v>
      </c>
      <c r="G2083" s="441">
        <v>0</v>
      </c>
      <c r="H2083" s="440">
        <v>0</v>
      </c>
      <c r="I2083" s="440">
        <v>0</v>
      </c>
      <c r="J2083" s="440">
        <v>84</v>
      </c>
      <c r="K2083" s="441">
        <v>0</v>
      </c>
      <c r="L2083" s="440">
        <v>0</v>
      </c>
      <c r="M2083" s="440">
        <v>0</v>
      </c>
      <c r="N2083" s="440">
        <v>95</v>
      </c>
      <c r="O2083" s="440">
        <v>5</v>
      </c>
      <c r="P2083" s="440">
        <v>221</v>
      </c>
      <c r="Q2083" s="440">
        <v>0</v>
      </c>
      <c r="R2083" s="344">
        <f t="shared" si="252"/>
        <v>526</v>
      </c>
      <c r="S2083" s="367">
        <f t="shared" si="253"/>
        <v>5</v>
      </c>
      <c r="T2083" s="442"/>
      <c r="U2083" s="442"/>
      <c r="V2083" s="442"/>
      <c r="W2083" s="442"/>
      <c r="X2083" s="442"/>
    </row>
    <row r="2084" spans="1:24" ht="12.75">
      <c r="A2084" s="438" t="s">
        <v>185</v>
      </c>
      <c r="B2084" s="439" t="s">
        <v>185</v>
      </c>
      <c r="C2084" s="439" t="s">
        <v>868</v>
      </c>
      <c r="D2084" s="439">
        <v>2018</v>
      </c>
      <c r="E2084" s="439" t="s">
        <v>775</v>
      </c>
      <c r="F2084" s="440">
        <v>962</v>
      </c>
      <c r="G2084" s="441">
        <v>57</v>
      </c>
      <c r="H2084" s="440">
        <v>57</v>
      </c>
      <c r="I2084" s="440">
        <v>0</v>
      </c>
      <c r="J2084" s="440">
        <v>701</v>
      </c>
      <c r="K2084" s="441">
        <v>48</v>
      </c>
      <c r="L2084" s="440">
        <v>48</v>
      </c>
      <c r="M2084" s="440">
        <v>0</v>
      </c>
      <c r="N2084" s="440">
        <v>820</v>
      </c>
      <c r="O2084" s="440">
        <v>0</v>
      </c>
      <c r="P2084" s="440">
        <v>1617</v>
      </c>
      <c r="Q2084" s="440">
        <v>245</v>
      </c>
      <c r="R2084" s="344">
        <f t="shared" si="252"/>
        <v>4100</v>
      </c>
      <c r="S2084" s="367">
        <f t="shared" si="253"/>
        <v>350</v>
      </c>
      <c r="T2084" s="442"/>
      <c r="U2084" s="442"/>
      <c r="V2084" s="442"/>
      <c r="W2084" s="442"/>
      <c r="X2084" s="442"/>
    </row>
    <row r="2085" spans="1:24" ht="12.75">
      <c r="A2085" s="438" t="s">
        <v>648</v>
      </c>
      <c r="B2085" s="439" t="s">
        <v>185</v>
      </c>
      <c r="C2085" s="439" t="s">
        <v>868</v>
      </c>
      <c r="D2085" s="439">
        <v>2018</v>
      </c>
      <c r="E2085" s="439" t="s">
        <v>775</v>
      </c>
      <c r="F2085" s="440">
        <v>159</v>
      </c>
      <c r="G2085" s="441">
        <v>1</v>
      </c>
      <c r="H2085" s="440">
        <v>0</v>
      </c>
      <c r="I2085" s="440">
        <v>1</v>
      </c>
      <c r="J2085" s="440">
        <v>106</v>
      </c>
      <c r="K2085" s="441">
        <v>14</v>
      </c>
      <c r="L2085" s="440">
        <v>0</v>
      </c>
      <c r="M2085" s="440">
        <v>14</v>
      </c>
      <c r="N2085" s="440">
        <v>112</v>
      </c>
      <c r="O2085" s="440">
        <v>82</v>
      </c>
      <c r="P2085" s="440">
        <v>284</v>
      </c>
      <c r="Q2085" s="440">
        <v>231</v>
      </c>
      <c r="R2085" s="344">
        <f t="shared" si="252"/>
        <v>661</v>
      </c>
      <c r="S2085" s="367">
        <f t="shared" si="253"/>
        <v>328</v>
      </c>
      <c r="T2085" s="442"/>
      <c r="U2085" s="442"/>
      <c r="V2085" s="442"/>
      <c r="W2085" s="442"/>
      <c r="X2085" s="442"/>
    </row>
    <row r="2086" spans="1:24" ht="12.75">
      <c r="A2086" s="438" t="s">
        <v>649</v>
      </c>
      <c r="B2086" s="439" t="s">
        <v>185</v>
      </c>
      <c r="C2086" s="439" t="s">
        <v>868</v>
      </c>
      <c r="D2086" s="439">
        <v>2018</v>
      </c>
      <c r="E2086" s="439" t="s">
        <v>775</v>
      </c>
      <c r="F2086" s="440">
        <v>985</v>
      </c>
      <c r="G2086" s="441">
        <v>0</v>
      </c>
      <c r="H2086" s="440">
        <v>0</v>
      </c>
      <c r="I2086" s="440">
        <v>0</v>
      </c>
      <c r="J2086" s="440">
        <v>656</v>
      </c>
      <c r="K2086" s="441">
        <v>108</v>
      </c>
      <c r="L2086" s="440">
        <v>78</v>
      </c>
      <c r="M2086" s="440">
        <v>30</v>
      </c>
      <c r="N2086" s="440">
        <v>730</v>
      </c>
      <c r="O2086" s="440">
        <v>0</v>
      </c>
      <c r="P2086" s="440">
        <v>1731</v>
      </c>
      <c r="Q2086" s="440">
        <v>52</v>
      </c>
      <c r="R2086" s="344">
        <f t="shared" si="252"/>
        <v>4102</v>
      </c>
      <c r="S2086" s="367">
        <f t="shared" si="253"/>
        <v>160</v>
      </c>
      <c r="T2086" s="442"/>
      <c r="U2086" s="442"/>
      <c r="V2086" s="442"/>
      <c r="W2086" s="442"/>
      <c r="X2086" s="442"/>
    </row>
    <row r="2087" spans="1:24" ht="12.75">
      <c r="A2087" s="438" t="s">
        <v>650</v>
      </c>
      <c r="B2087" s="439" t="s">
        <v>185</v>
      </c>
      <c r="C2087" s="439" t="s">
        <v>868</v>
      </c>
      <c r="D2087" s="439">
        <v>2018</v>
      </c>
      <c r="E2087" s="439" t="s">
        <v>775</v>
      </c>
      <c r="F2087" s="440">
        <v>42</v>
      </c>
      <c r="G2087" s="454"/>
      <c r="H2087" s="455"/>
      <c r="I2087" s="455"/>
      <c r="J2087" s="440">
        <v>28</v>
      </c>
      <c r="K2087" s="454"/>
      <c r="L2087" s="455"/>
      <c r="M2087" s="455"/>
      <c r="N2087" s="440">
        <v>30</v>
      </c>
      <c r="O2087" s="455"/>
      <c r="P2087" s="440">
        <v>75</v>
      </c>
      <c r="Q2087" s="455"/>
      <c r="R2087" s="344">
        <f t="shared" si="252"/>
        <v>175</v>
      </c>
      <c r="S2087" s="367">
        <f t="shared" si="253"/>
        <v>0</v>
      </c>
      <c r="T2087" s="345">
        <f>SUM(G2079:G2087)</f>
        <v>88</v>
      </c>
      <c r="U2087" s="345">
        <f>SUM(K2079:K2087)</f>
        <v>246</v>
      </c>
      <c r="V2087" s="345">
        <f>SUM(O2079:O2087)</f>
        <v>87</v>
      </c>
      <c r="W2087" s="345">
        <f>SUM(Q2079:Q2087)</f>
        <v>627</v>
      </c>
      <c r="X2087" s="345">
        <f>T2087+U2087+V2087+W2087</f>
        <v>1048</v>
      </c>
    </row>
    <row r="2088" spans="1:24" ht="12.75">
      <c r="A2088" s="346" t="s">
        <v>643</v>
      </c>
      <c r="B2088" s="347" t="s">
        <v>185</v>
      </c>
      <c r="C2088" s="347" t="s">
        <v>872</v>
      </c>
      <c r="D2088" s="347">
        <v>2019</v>
      </c>
      <c r="E2088" s="347" t="s">
        <v>775</v>
      </c>
      <c r="F2088" s="348">
        <v>66</v>
      </c>
      <c r="G2088" s="348">
        <v>0</v>
      </c>
      <c r="H2088" s="348">
        <v>0</v>
      </c>
      <c r="I2088" s="348">
        <v>0</v>
      </c>
      <c r="J2088" s="348">
        <v>44</v>
      </c>
      <c r="K2088" s="348">
        <v>0</v>
      </c>
      <c r="L2088" s="348">
        <v>0</v>
      </c>
      <c r="M2088" s="348">
        <v>0</v>
      </c>
      <c r="N2088" s="348">
        <v>41</v>
      </c>
      <c r="O2088" s="348">
        <v>1</v>
      </c>
      <c r="P2088" s="348">
        <v>124</v>
      </c>
      <c r="Q2088" s="348">
        <v>17</v>
      </c>
      <c r="R2088" s="350">
        <f t="shared" si="252"/>
        <v>275</v>
      </c>
      <c r="S2088" s="348">
        <f t="shared" si="253"/>
        <v>18</v>
      </c>
      <c r="T2088" s="348"/>
      <c r="U2088" s="348"/>
      <c r="V2088" s="348"/>
      <c r="W2088" s="349"/>
      <c r="X2088" s="349"/>
    </row>
    <row r="2089" spans="1:24" ht="12.75">
      <c r="A2089" s="346" t="s">
        <v>644</v>
      </c>
      <c r="B2089" s="347" t="s">
        <v>185</v>
      </c>
      <c r="C2089" s="347" t="s">
        <v>872</v>
      </c>
      <c r="D2089" s="347">
        <v>2019</v>
      </c>
      <c r="E2089" s="347" t="s">
        <v>775</v>
      </c>
      <c r="F2089" s="348">
        <v>39</v>
      </c>
      <c r="G2089" s="348">
        <v>0</v>
      </c>
      <c r="H2089" s="348">
        <v>0</v>
      </c>
      <c r="I2089" s="348">
        <v>0</v>
      </c>
      <c r="J2089" s="348">
        <v>26</v>
      </c>
      <c r="K2089" s="348">
        <v>0</v>
      </c>
      <c r="L2089" s="348">
        <v>0</v>
      </c>
      <c r="M2089" s="348">
        <v>0</v>
      </c>
      <c r="N2089" s="348">
        <v>34</v>
      </c>
      <c r="O2089" s="348">
        <v>0</v>
      </c>
      <c r="P2089" s="348">
        <v>64</v>
      </c>
      <c r="Q2089" s="348">
        <v>25</v>
      </c>
      <c r="R2089" s="350">
        <f t="shared" si="252"/>
        <v>163</v>
      </c>
      <c r="S2089" s="348">
        <f t="shared" si="253"/>
        <v>25</v>
      </c>
      <c r="T2089" s="348"/>
      <c r="U2089" s="348"/>
      <c r="V2089" s="348"/>
      <c r="W2089" s="349"/>
      <c r="X2089" s="349"/>
    </row>
    <row r="2090" spans="1:24" ht="12.75">
      <c r="A2090" s="346" t="s">
        <v>645</v>
      </c>
      <c r="B2090" s="347" t="s">
        <v>185</v>
      </c>
      <c r="C2090" s="347" t="s">
        <v>872</v>
      </c>
      <c r="D2090" s="347">
        <v>2019</v>
      </c>
      <c r="E2090" s="347" t="s">
        <v>775</v>
      </c>
      <c r="F2090" s="348">
        <v>235</v>
      </c>
      <c r="G2090" s="348">
        <v>0</v>
      </c>
      <c r="H2090" s="348">
        <v>0</v>
      </c>
      <c r="I2090" s="348">
        <v>0</v>
      </c>
      <c r="J2090" s="348">
        <v>157</v>
      </c>
      <c r="K2090" s="348">
        <v>7</v>
      </c>
      <c r="L2090" s="348">
        <v>5</v>
      </c>
      <c r="M2090" s="348">
        <v>2</v>
      </c>
      <c r="N2090" s="348">
        <v>174</v>
      </c>
      <c r="O2090" s="348">
        <v>4</v>
      </c>
      <c r="P2090" s="348">
        <v>413</v>
      </c>
      <c r="Q2090" s="348">
        <v>273</v>
      </c>
      <c r="R2090" s="350">
        <f t="shared" si="252"/>
        <v>979</v>
      </c>
      <c r="S2090" s="348">
        <f t="shared" si="253"/>
        <v>284</v>
      </c>
      <c r="T2090" s="348"/>
      <c r="U2090" s="348"/>
      <c r="V2090" s="348"/>
      <c r="W2090" s="349"/>
      <c r="X2090" s="349"/>
    </row>
    <row r="2091" spans="1:24" ht="12.75">
      <c r="A2091" s="346" t="s">
        <v>646</v>
      </c>
      <c r="B2091" s="347" t="s">
        <v>185</v>
      </c>
      <c r="C2091" s="347" t="s">
        <v>872</v>
      </c>
      <c r="D2091" s="347">
        <v>2019</v>
      </c>
      <c r="E2091" s="347" t="s">
        <v>775</v>
      </c>
      <c r="F2091" s="348">
        <v>12</v>
      </c>
      <c r="G2091" s="348">
        <v>30</v>
      </c>
      <c r="H2091" s="348">
        <v>30</v>
      </c>
      <c r="I2091" s="348">
        <v>0</v>
      </c>
      <c r="J2091" s="348">
        <v>8</v>
      </c>
      <c r="K2091" s="348">
        <v>7</v>
      </c>
      <c r="L2091" s="348">
        <v>7</v>
      </c>
      <c r="M2091" s="348">
        <v>0</v>
      </c>
      <c r="N2091" s="348">
        <v>13</v>
      </c>
      <c r="O2091" s="348">
        <v>35</v>
      </c>
      <c r="P2091" s="348">
        <v>16</v>
      </c>
      <c r="Q2091" s="348">
        <v>0</v>
      </c>
      <c r="R2091" s="350">
        <f t="shared" si="252"/>
        <v>49</v>
      </c>
      <c r="S2091" s="348">
        <f t="shared" si="253"/>
        <v>72</v>
      </c>
      <c r="T2091" s="348"/>
      <c r="U2091" s="348"/>
      <c r="V2091" s="348"/>
      <c r="W2091" s="349"/>
      <c r="X2091" s="349"/>
    </row>
    <row r="2092" spans="1:24" ht="12.75">
      <c r="A2092" s="346" t="s">
        <v>647</v>
      </c>
      <c r="B2092" s="347" t="s">
        <v>185</v>
      </c>
      <c r="C2092" s="347" t="s">
        <v>872</v>
      </c>
      <c r="D2092" s="347">
        <v>2019</v>
      </c>
      <c r="E2092" s="347" t="s">
        <v>775</v>
      </c>
      <c r="F2092" s="348">
        <v>126</v>
      </c>
      <c r="G2092" s="348">
        <v>0</v>
      </c>
      <c r="H2092" s="348">
        <v>0</v>
      </c>
      <c r="I2092" s="348">
        <v>0</v>
      </c>
      <c r="J2092" s="348">
        <v>84</v>
      </c>
      <c r="K2092" s="348">
        <v>0</v>
      </c>
      <c r="L2092" s="348">
        <v>0</v>
      </c>
      <c r="M2092" s="348">
        <v>0</v>
      </c>
      <c r="N2092" s="348">
        <v>95</v>
      </c>
      <c r="O2092" s="348">
        <v>0</v>
      </c>
      <c r="P2092" s="348">
        <v>221</v>
      </c>
      <c r="Q2092" s="348">
        <v>6</v>
      </c>
      <c r="R2092" s="350">
        <f t="shared" si="252"/>
        <v>526</v>
      </c>
      <c r="S2092" s="348">
        <f t="shared" si="253"/>
        <v>6</v>
      </c>
      <c r="T2092" s="348"/>
      <c r="U2092" s="348"/>
      <c r="V2092" s="348"/>
      <c r="W2092" s="349"/>
      <c r="X2092" s="349"/>
    </row>
    <row r="2093" spans="1:24" ht="12.75">
      <c r="A2093" s="346" t="s">
        <v>185</v>
      </c>
      <c r="B2093" s="347" t="s">
        <v>185</v>
      </c>
      <c r="C2093" s="347" t="s">
        <v>872</v>
      </c>
      <c r="D2093" s="347">
        <v>2019</v>
      </c>
      <c r="E2093" s="347" t="s">
        <v>775</v>
      </c>
      <c r="F2093" s="348">
        <v>962</v>
      </c>
      <c r="G2093" s="348">
        <v>0</v>
      </c>
      <c r="H2093" s="348">
        <v>0</v>
      </c>
      <c r="I2093" s="348">
        <v>0</v>
      </c>
      <c r="J2093" s="348">
        <v>701</v>
      </c>
      <c r="K2093" s="348">
        <v>0</v>
      </c>
      <c r="L2093" s="348">
        <v>0</v>
      </c>
      <c r="M2093" s="348">
        <v>0</v>
      </c>
      <c r="N2093" s="348">
        <v>820</v>
      </c>
      <c r="O2093" s="348">
        <v>0</v>
      </c>
      <c r="P2093" s="348">
        <v>1617</v>
      </c>
      <c r="Q2093" s="348">
        <v>180</v>
      </c>
      <c r="R2093" s="350">
        <f t="shared" si="252"/>
        <v>4100</v>
      </c>
      <c r="S2093" s="348">
        <f t="shared" si="253"/>
        <v>180</v>
      </c>
      <c r="T2093" s="348"/>
      <c r="U2093" s="348"/>
      <c r="V2093" s="348"/>
      <c r="W2093" s="349"/>
      <c r="X2093" s="349"/>
    </row>
    <row r="2094" spans="1:24" ht="12.75">
      <c r="A2094" s="346" t="s">
        <v>648</v>
      </c>
      <c r="B2094" s="347" t="s">
        <v>185</v>
      </c>
      <c r="C2094" s="347" t="s">
        <v>872</v>
      </c>
      <c r="D2094" s="347">
        <v>2019</v>
      </c>
      <c r="E2094" s="347" t="s">
        <v>775</v>
      </c>
      <c r="F2094" s="348">
        <v>159</v>
      </c>
      <c r="G2094" s="348">
        <v>0</v>
      </c>
      <c r="H2094" s="348">
        <v>0</v>
      </c>
      <c r="I2094" s="348">
        <v>0</v>
      </c>
      <c r="J2094" s="348">
        <v>106</v>
      </c>
      <c r="K2094" s="348">
        <v>26</v>
      </c>
      <c r="L2094" s="348">
        <v>0</v>
      </c>
      <c r="M2094" s="348">
        <v>26</v>
      </c>
      <c r="N2094" s="348">
        <v>112</v>
      </c>
      <c r="O2094" s="348">
        <v>21</v>
      </c>
      <c r="P2094" s="348">
        <v>284</v>
      </c>
      <c r="Q2094" s="348">
        <v>195</v>
      </c>
      <c r="R2094" s="350">
        <f t="shared" si="252"/>
        <v>661</v>
      </c>
      <c r="S2094" s="348">
        <f t="shared" si="253"/>
        <v>242</v>
      </c>
      <c r="T2094" s="348"/>
      <c r="U2094" s="348"/>
      <c r="V2094" s="348"/>
      <c r="W2094" s="349"/>
      <c r="X2094" s="349"/>
    </row>
    <row r="2095" spans="1:24" ht="12.75">
      <c r="A2095" s="346" t="s">
        <v>649</v>
      </c>
      <c r="B2095" s="347" t="s">
        <v>185</v>
      </c>
      <c r="C2095" s="347" t="s">
        <v>872</v>
      </c>
      <c r="D2095" s="347">
        <v>2019</v>
      </c>
      <c r="E2095" s="347" t="s">
        <v>775</v>
      </c>
      <c r="F2095" s="348">
        <v>985</v>
      </c>
      <c r="G2095" s="348">
        <v>4</v>
      </c>
      <c r="H2095" s="348">
        <v>4</v>
      </c>
      <c r="I2095" s="348">
        <v>0</v>
      </c>
      <c r="J2095" s="348">
        <v>656</v>
      </c>
      <c r="K2095" s="348">
        <v>146</v>
      </c>
      <c r="L2095" s="348">
        <v>35</v>
      </c>
      <c r="M2095" s="348">
        <v>111</v>
      </c>
      <c r="N2095" s="348">
        <v>730</v>
      </c>
      <c r="O2095" s="348">
        <v>92</v>
      </c>
      <c r="P2095" s="348">
        <v>1731</v>
      </c>
      <c r="Q2095" s="348">
        <v>252</v>
      </c>
      <c r="R2095" s="350">
        <f t="shared" si="252"/>
        <v>4102</v>
      </c>
      <c r="S2095" s="348">
        <f t="shared" si="253"/>
        <v>494</v>
      </c>
      <c r="T2095" s="348"/>
      <c r="U2095" s="348"/>
      <c r="V2095" s="348"/>
      <c r="W2095" s="349"/>
      <c r="X2095" s="349"/>
    </row>
    <row r="2096" spans="1:24" ht="12.75">
      <c r="A2096" s="346" t="s">
        <v>650</v>
      </c>
      <c r="B2096" s="347" t="s">
        <v>185</v>
      </c>
      <c r="C2096" s="347" t="s">
        <v>872</v>
      </c>
      <c r="D2096" s="347">
        <v>2019</v>
      </c>
      <c r="E2096" s="347" t="s">
        <v>775</v>
      </c>
      <c r="F2096" s="348">
        <v>42</v>
      </c>
      <c r="G2096" s="348">
        <v>0</v>
      </c>
      <c r="H2096" s="348">
        <v>0</v>
      </c>
      <c r="I2096" s="348">
        <v>0</v>
      </c>
      <c r="J2096" s="348">
        <v>28</v>
      </c>
      <c r="K2096" s="348">
        <v>0</v>
      </c>
      <c r="L2096" s="348">
        <v>0</v>
      </c>
      <c r="M2096" s="348">
        <v>0</v>
      </c>
      <c r="N2096" s="348">
        <v>30</v>
      </c>
      <c r="O2096" s="348">
        <v>0</v>
      </c>
      <c r="P2096" s="348">
        <v>75</v>
      </c>
      <c r="Q2096" s="348">
        <v>0</v>
      </c>
      <c r="R2096" s="350">
        <f t="shared" si="252"/>
        <v>175</v>
      </c>
      <c r="S2096" s="348">
        <f t="shared" si="253"/>
        <v>0</v>
      </c>
      <c r="T2096" s="352">
        <f>SUM(G2088:G2096)</f>
        <v>34</v>
      </c>
      <c r="U2096" s="352">
        <f>SUM(K2088:K2096)</f>
        <v>186</v>
      </c>
      <c r="V2096" s="352">
        <f>SUM(O2088:O2096)</f>
        <v>153</v>
      </c>
      <c r="W2096" s="352">
        <f>SUM(Q2088:Q2096)</f>
        <v>948</v>
      </c>
      <c r="X2096" s="352">
        <f>T2096+U2096+V2096+W2096</f>
        <v>1321</v>
      </c>
    </row>
    <row r="2097" spans="1:24" ht="12.75">
      <c r="A2097" s="444"/>
      <c r="B2097" s="445"/>
      <c r="C2097" s="445"/>
      <c r="D2097" s="445"/>
      <c r="E2097" s="445"/>
      <c r="F2097" s="446"/>
      <c r="G2097" s="446"/>
      <c r="H2097" s="447"/>
      <c r="I2097" s="446"/>
      <c r="J2097" s="446"/>
      <c r="K2097" s="446"/>
      <c r="L2097" s="446"/>
      <c r="M2097" s="446"/>
      <c r="N2097" s="446"/>
      <c r="O2097" s="446"/>
      <c r="P2097" s="446"/>
      <c r="Q2097" s="447"/>
      <c r="R2097" s="393"/>
      <c r="S2097" s="361" t="s">
        <v>783</v>
      </c>
      <c r="T2097" s="448">
        <f t="shared" ref="T2097:X2097" si="254">SUM(T2051:T2096)</f>
        <v>340</v>
      </c>
      <c r="U2097" s="448">
        <f t="shared" si="254"/>
        <v>602</v>
      </c>
      <c r="V2097" s="448">
        <f t="shared" si="254"/>
        <v>1216</v>
      </c>
      <c r="W2097" s="448">
        <f t="shared" si="254"/>
        <v>3750</v>
      </c>
      <c r="X2097" s="448">
        <f t="shared" si="254"/>
        <v>5908</v>
      </c>
    </row>
    <row r="2098" spans="1:24" ht="12.75">
      <c r="A2098" s="449"/>
      <c r="B2098" s="450"/>
      <c r="C2098" s="450"/>
      <c r="D2098" s="450"/>
      <c r="E2098" s="450"/>
      <c r="F2098" s="451"/>
      <c r="G2098" s="451"/>
      <c r="H2098" s="452"/>
      <c r="I2098" s="451"/>
      <c r="J2098" s="451"/>
      <c r="K2098" s="451"/>
      <c r="L2098" s="451"/>
      <c r="M2098" s="451"/>
      <c r="N2098" s="451"/>
      <c r="O2098" s="451"/>
      <c r="P2098" s="451"/>
      <c r="Q2098" s="452"/>
      <c r="R2098" s="182"/>
      <c r="S2098" s="362"/>
      <c r="T2098" s="97"/>
      <c r="U2098" s="97"/>
      <c r="V2098" s="97"/>
      <c r="W2098" s="97"/>
      <c r="X2098" s="97"/>
    </row>
    <row r="2099" spans="1:24" ht="12.75">
      <c r="A2099" s="417" t="s">
        <v>873</v>
      </c>
      <c r="B2099" s="418" t="s">
        <v>187</v>
      </c>
      <c r="C2099" s="418" t="s">
        <v>774</v>
      </c>
      <c r="D2099" s="418">
        <v>2014</v>
      </c>
      <c r="E2099" s="418" t="s">
        <v>775</v>
      </c>
      <c r="F2099" s="419">
        <v>201</v>
      </c>
      <c r="G2099" s="419">
        <v>0</v>
      </c>
      <c r="H2099" s="420">
        <v>0</v>
      </c>
      <c r="I2099" s="419">
        <v>0</v>
      </c>
      <c r="J2099" s="419">
        <v>112</v>
      </c>
      <c r="K2099" s="419">
        <v>0</v>
      </c>
      <c r="L2099" s="419">
        <v>0</v>
      </c>
      <c r="M2099" s="419">
        <v>0</v>
      </c>
      <c r="N2099" s="419">
        <v>132</v>
      </c>
      <c r="O2099" s="419">
        <v>0</v>
      </c>
      <c r="P2099" s="419">
        <v>174</v>
      </c>
      <c r="Q2099" s="420">
        <v>9</v>
      </c>
      <c r="R2099" s="311">
        <f t="shared" ref="R2099:R2182" si="255">F2099+J2099+N2099+P2099</f>
        <v>619</v>
      </c>
      <c r="S2099" s="363">
        <f t="shared" ref="S2099:S2182" si="256">K2099+O2099+G2099+Q2099</f>
        <v>9</v>
      </c>
      <c r="T2099" s="421"/>
      <c r="U2099" s="421"/>
      <c r="V2099" s="421"/>
      <c r="W2099" s="421"/>
      <c r="X2099" s="421"/>
    </row>
    <row r="2100" spans="1:24" ht="12.75">
      <c r="A2100" s="417" t="s">
        <v>874</v>
      </c>
      <c r="B2100" s="418" t="s">
        <v>187</v>
      </c>
      <c r="C2100" s="418" t="s">
        <v>774</v>
      </c>
      <c r="D2100" s="418">
        <v>2014</v>
      </c>
      <c r="E2100" s="418" t="s">
        <v>775</v>
      </c>
      <c r="F2100" s="419">
        <v>1004</v>
      </c>
      <c r="G2100" s="419">
        <v>0</v>
      </c>
      <c r="H2100" s="420">
        <v>0</v>
      </c>
      <c r="I2100" s="419">
        <v>0</v>
      </c>
      <c r="J2100" s="419">
        <v>570</v>
      </c>
      <c r="K2100" s="419">
        <v>0</v>
      </c>
      <c r="L2100" s="419">
        <v>0</v>
      </c>
      <c r="M2100" s="419">
        <v>0</v>
      </c>
      <c r="N2100" s="419">
        <v>565</v>
      </c>
      <c r="O2100" s="419">
        <v>0</v>
      </c>
      <c r="P2100" s="419">
        <v>1151</v>
      </c>
      <c r="Q2100" s="420">
        <v>841</v>
      </c>
      <c r="R2100" s="311">
        <f t="shared" si="255"/>
        <v>3290</v>
      </c>
      <c r="S2100" s="363">
        <f t="shared" si="256"/>
        <v>841</v>
      </c>
      <c r="T2100" s="421"/>
      <c r="U2100" s="421"/>
      <c r="V2100" s="421"/>
      <c r="W2100" s="421"/>
      <c r="X2100" s="421"/>
    </row>
    <row r="2101" spans="1:24" ht="12.75">
      <c r="A2101" s="417" t="s">
        <v>875</v>
      </c>
      <c r="B2101" s="418" t="s">
        <v>187</v>
      </c>
      <c r="C2101" s="418" t="s">
        <v>774</v>
      </c>
      <c r="D2101" s="418">
        <v>2014</v>
      </c>
      <c r="E2101" s="418" t="s">
        <v>775</v>
      </c>
      <c r="F2101" s="419">
        <v>23</v>
      </c>
      <c r="G2101" s="419">
        <v>0</v>
      </c>
      <c r="H2101" s="420">
        <v>0</v>
      </c>
      <c r="I2101" s="419">
        <v>0</v>
      </c>
      <c r="J2101" s="419">
        <v>13</v>
      </c>
      <c r="K2101" s="419">
        <v>1</v>
      </c>
      <c r="L2101" s="419">
        <v>1</v>
      </c>
      <c r="M2101" s="419">
        <v>0</v>
      </c>
      <c r="N2101" s="419">
        <v>13</v>
      </c>
      <c r="O2101" s="419">
        <v>0</v>
      </c>
      <c r="P2101" s="419">
        <v>12</v>
      </c>
      <c r="Q2101" s="420">
        <v>4</v>
      </c>
      <c r="R2101" s="311">
        <f t="shared" si="255"/>
        <v>61</v>
      </c>
      <c r="S2101" s="363">
        <f t="shared" si="256"/>
        <v>5</v>
      </c>
      <c r="T2101" s="421"/>
      <c r="U2101" s="421"/>
      <c r="V2101" s="421"/>
      <c r="W2101" s="421"/>
      <c r="X2101" s="421"/>
    </row>
    <row r="2102" spans="1:24" ht="12.75">
      <c r="A2102" s="417" t="s">
        <v>876</v>
      </c>
      <c r="B2102" s="418" t="s">
        <v>187</v>
      </c>
      <c r="C2102" s="418" t="s">
        <v>774</v>
      </c>
      <c r="D2102" s="418">
        <v>2014</v>
      </c>
      <c r="E2102" s="418" t="s">
        <v>775</v>
      </c>
      <c r="F2102" s="419">
        <v>814</v>
      </c>
      <c r="G2102" s="419">
        <v>26</v>
      </c>
      <c r="H2102" s="420">
        <v>26</v>
      </c>
      <c r="I2102" s="419">
        <v>0</v>
      </c>
      <c r="J2102" s="419">
        <v>492</v>
      </c>
      <c r="K2102" s="419">
        <v>19</v>
      </c>
      <c r="L2102" s="419">
        <v>18</v>
      </c>
      <c r="M2102" s="419">
        <v>1</v>
      </c>
      <c r="N2102" s="419">
        <v>527</v>
      </c>
      <c r="O2102" s="419">
        <v>0</v>
      </c>
      <c r="P2102" s="419">
        <v>1093</v>
      </c>
      <c r="Q2102" s="420">
        <v>598</v>
      </c>
      <c r="R2102" s="311">
        <f t="shared" si="255"/>
        <v>2926</v>
      </c>
      <c r="S2102" s="363">
        <f t="shared" si="256"/>
        <v>643</v>
      </c>
      <c r="T2102" s="421"/>
      <c r="U2102" s="421"/>
      <c r="V2102" s="421"/>
      <c r="W2102" s="421"/>
      <c r="X2102" s="421"/>
    </row>
    <row r="2103" spans="1:24" ht="12.75">
      <c r="A2103" s="417" t="s">
        <v>877</v>
      </c>
      <c r="B2103" s="418" t="s">
        <v>187</v>
      </c>
      <c r="C2103" s="418" t="s">
        <v>774</v>
      </c>
      <c r="D2103" s="418">
        <v>2014</v>
      </c>
      <c r="E2103" s="418" t="s">
        <v>775</v>
      </c>
      <c r="F2103" s="419">
        <v>9233</v>
      </c>
      <c r="G2103" s="419">
        <v>275</v>
      </c>
      <c r="H2103" s="420">
        <v>275</v>
      </c>
      <c r="I2103" s="419">
        <v>0</v>
      </c>
      <c r="J2103" s="419">
        <v>5428</v>
      </c>
      <c r="K2103" s="419">
        <v>231</v>
      </c>
      <c r="L2103" s="419">
        <v>231</v>
      </c>
      <c r="M2103" s="419">
        <v>0</v>
      </c>
      <c r="N2103" s="419">
        <v>6188</v>
      </c>
      <c r="O2103" s="419">
        <v>0</v>
      </c>
      <c r="P2103" s="419">
        <v>14231</v>
      </c>
      <c r="Q2103" s="420">
        <v>3946</v>
      </c>
      <c r="R2103" s="311">
        <f t="shared" si="255"/>
        <v>35080</v>
      </c>
      <c r="S2103" s="363">
        <f t="shared" si="256"/>
        <v>4452</v>
      </c>
      <c r="T2103" s="421"/>
      <c r="U2103" s="421"/>
      <c r="V2103" s="421"/>
      <c r="W2103" s="421"/>
      <c r="X2103" s="421"/>
    </row>
    <row r="2104" spans="1:24" ht="12.75">
      <c r="A2104" s="417" t="s">
        <v>878</v>
      </c>
      <c r="B2104" s="418" t="s">
        <v>187</v>
      </c>
      <c r="C2104" s="418" t="s">
        <v>774</v>
      </c>
      <c r="D2104" s="418">
        <v>2014</v>
      </c>
      <c r="E2104" s="418" t="s">
        <v>775</v>
      </c>
      <c r="F2104" s="419">
        <v>22</v>
      </c>
      <c r="G2104" s="419">
        <v>13</v>
      </c>
      <c r="H2104" s="420">
        <v>13</v>
      </c>
      <c r="I2104" s="419">
        <v>0</v>
      </c>
      <c r="J2104" s="419">
        <v>13</v>
      </c>
      <c r="K2104" s="419">
        <v>0</v>
      </c>
      <c r="L2104" s="419">
        <v>0</v>
      </c>
      <c r="M2104" s="419">
        <v>0</v>
      </c>
      <c r="N2104" s="419">
        <v>214</v>
      </c>
      <c r="O2104" s="419">
        <v>0</v>
      </c>
      <c r="P2104" s="419">
        <v>28</v>
      </c>
      <c r="Q2104" s="420">
        <v>58</v>
      </c>
      <c r="R2104" s="311">
        <f t="shared" si="255"/>
        <v>277</v>
      </c>
      <c r="S2104" s="363">
        <f t="shared" si="256"/>
        <v>71</v>
      </c>
      <c r="T2104" s="411">
        <f>SUM(G2099:G2104)</f>
        <v>314</v>
      </c>
      <c r="U2104" s="411">
        <f>SUM(K2099:K2104)</f>
        <v>251</v>
      </c>
      <c r="V2104" s="411">
        <f>SUM(O2099:O2104)</f>
        <v>0</v>
      </c>
      <c r="W2104" s="411">
        <f>SUM(Q2099:Q2104)</f>
        <v>5456</v>
      </c>
      <c r="X2104" s="411">
        <f>T2104+U2104+V2104+W2104</f>
        <v>6021</v>
      </c>
    </row>
    <row r="2105" spans="1:24" ht="12.75">
      <c r="A2105" s="422" t="s">
        <v>651</v>
      </c>
      <c r="B2105" s="423" t="s">
        <v>187</v>
      </c>
      <c r="C2105" s="423" t="s">
        <v>774</v>
      </c>
      <c r="D2105" s="423">
        <v>2015</v>
      </c>
      <c r="E2105" s="423" t="s">
        <v>775</v>
      </c>
      <c r="F2105" s="424">
        <v>253</v>
      </c>
      <c r="G2105" s="424">
        <v>0</v>
      </c>
      <c r="H2105" s="425">
        <v>0</v>
      </c>
      <c r="I2105" s="424">
        <v>0</v>
      </c>
      <c r="J2105" s="424">
        <v>138</v>
      </c>
      <c r="K2105" s="424">
        <v>0</v>
      </c>
      <c r="L2105" s="424">
        <v>0</v>
      </c>
      <c r="M2105" s="424">
        <v>0</v>
      </c>
      <c r="N2105" s="424">
        <v>151</v>
      </c>
      <c r="O2105" s="424">
        <v>0</v>
      </c>
      <c r="P2105" s="424">
        <v>391</v>
      </c>
      <c r="Q2105" s="425">
        <v>52</v>
      </c>
      <c r="R2105" s="319">
        <f t="shared" si="255"/>
        <v>933</v>
      </c>
      <c r="S2105" s="364">
        <f t="shared" si="256"/>
        <v>52</v>
      </c>
      <c r="T2105" s="426"/>
      <c r="U2105" s="426"/>
      <c r="V2105" s="426"/>
      <c r="W2105" s="426"/>
      <c r="X2105" s="426"/>
    </row>
    <row r="2106" spans="1:24" ht="12.75">
      <c r="A2106" s="422" t="s">
        <v>652</v>
      </c>
      <c r="B2106" s="423" t="s">
        <v>187</v>
      </c>
      <c r="C2106" s="423" t="s">
        <v>774</v>
      </c>
      <c r="D2106" s="423">
        <v>2015</v>
      </c>
      <c r="E2106" s="423" t="s">
        <v>775</v>
      </c>
      <c r="F2106" s="424">
        <v>356</v>
      </c>
      <c r="G2106" s="424">
        <v>0</v>
      </c>
      <c r="H2106" s="425">
        <v>0</v>
      </c>
      <c r="I2106" s="424">
        <v>0</v>
      </c>
      <c r="J2106" s="424">
        <v>207</v>
      </c>
      <c r="K2106" s="424">
        <v>0</v>
      </c>
      <c r="L2106" s="424">
        <v>0</v>
      </c>
      <c r="M2106" s="424">
        <v>0</v>
      </c>
      <c r="N2106" s="424">
        <v>231</v>
      </c>
      <c r="O2106" s="424">
        <v>14</v>
      </c>
      <c r="P2106" s="424">
        <v>270</v>
      </c>
      <c r="Q2106" s="425">
        <v>164</v>
      </c>
      <c r="R2106" s="319">
        <f t="shared" si="255"/>
        <v>1064</v>
      </c>
      <c r="S2106" s="364">
        <f t="shared" si="256"/>
        <v>178</v>
      </c>
      <c r="T2106" s="426"/>
      <c r="U2106" s="426"/>
      <c r="V2106" s="426"/>
      <c r="W2106" s="426"/>
      <c r="X2106" s="426"/>
    </row>
    <row r="2107" spans="1:24" ht="12.75">
      <c r="A2107" s="422" t="s">
        <v>653</v>
      </c>
      <c r="B2107" s="423" t="s">
        <v>187</v>
      </c>
      <c r="C2107" s="423" t="s">
        <v>774</v>
      </c>
      <c r="D2107" s="423">
        <v>2015</v>
      </c>
      <c r="E2107" s="423" t="s">
        <v>775</v>
      </c>
      <c r="F2107" s="424">
        <v>236</v>
      </c>
      <c r="G2107" s="424">
        <v>26</v>
      </c>
      <c r="H2107" s="425">
        <v>26</v>
      </c>
      <c r="I2107" s="424">
        <v>0</v>
      </c>
      <c r="J2107" s="424">
        <v>160</v>
      </c>
      <c r="K2107" s="424">
        <v>247</v>
      </c>
      <c r="L2107" s="424">
        <v>247</v>
      </c>
      <c r="M2107" s="424">
        <v>0</v>
      </c>
      <c r="N2107" s="424">
        <v>217</v>
      </c>
      <c r="O2107" s="424">
        <v>14</v>
      </c>
      <c r="P2107" s="424">
        <v>475</v>
      </c>
      <c r="Q2107" s="425">
        <v>406</v>
      </c>
      <c r="R2107" s="319">
        <f t="shared" si="255"/>
        <v>1088</v>
      </c>
      <c r="S2107" s="364">
        <f t="shared" si="256"/>
        <v>693</v>
      </c>
      <c r="T2107" s="426"/>
      <c r="U2107" s="426"/>
      <c r="V2107" s="426"/>
      <c r="W2107" s="426"/>
      <c r="X2107" s="426"/>
    </row>
    <row r="2108" spans="1:24" ht="12.75">
      <c r="A2108" s="422" t="s">
        <v>654</v>
      </c>
      <c r="B2108" s="423" t="s">
        <v>187</v>
      </c>
      <c r="C2108" s="423" t="s">
        <v>774</v>
      </c>
      <c r="D2108" s="423">
        <v>2015</v>
      </c>
      <c r="E2108" s="423" t="s">
        <v>775</v>
      </c>
      <c r="F2108" s="424">
        <v>169</v>
      </c>
      <c r="G2108" s="424">
        <v>1</v>
      </c>
      <c r="H2108" s="425">
        <v>1</v>
      </c>
      <c r="I2108" s="424">
        <v>0</v>
      </c>
      <c r="J2108" s="424">
        <v>99</v>
      </c>
      <c r="K2108" s="424">
        <v>17</v>
      </c>
      <c r="L2108" s="424">
        <v>17</v>
      </c>
      <c r="M2108" s="424">
        <v>0</v>
      </c>
      <c r="N2108" s="424">
        <v>112</v>
      </c>
      <c r="O2108" s="424">
        <v>1</v>
      </c>
      <c r="P2108" s="424">
        <v>97</v>
      </c>
      <c r="Q2108" s="425">
        <v>267</v>
      </c>
      <c r="R2108" s="319">
        <f t="shared" si="255"/>
        <v>477</v>
      </c>
      <c r="S2108" s="364">
        <f t="shared" si="256"/>
        <v>286</v>
      </c>
      <c r="T2108" s="426"/>
      <c r="U2108" s="426"/>
      <c r="V2108" s="426"/>
      <c r="W2108" s="426"/>
      <c r="X2108" s="426"/>
    </row>
    <row r="2109" spans="1:24" ht="12.75">
      <c r="A2109" s="422" t="s">
        <v>656</v>
      </c>
      <c r="B2109" s="423" t="s">
        <v>187</v>
      </c>
      <c r="C2109" s="423" t="s">
        <v>774</v>
      </c>
      <c r="D2109" s="423">
        <v>2015</v>
      </c>
      <c r="E2109" s="423" t="s">
        <v>775</v>
      </c>
      <c r="F2109" s="424">
        <v>201</v>
      </c>
      <c r="G2109" s="424">
        <v>0</v>
      </c>
      <c r="H2109" s="425">
        <v>0</v>
      </c>
      <c r="I2109" s="424">
        <v>0</v>
      </c>
      <c r="J2109" s="424">
        <v>112</v>
      </c>
      <c r="K2109" s="424">
        <v>0</v>
      </c>
      <c r="L2109" s="424">
        <v>0</v>
      </c>
      <c r="M2109" s="424">
        <v>0</v>
      </c>
      <c r="N2109" s="424">
        <v>132</v>
      </c>
      <c r="O2109" s="424">
        <v>2</v>
      </c>
      <c r="P2109" s="424">
        <v>174</v>
      </c>
      <c r="Q2109" s="425">
        <v>13</v>
      </c>
      <c r="R2109" s="319">
        <f t="shared" si="255"/>
        <v>619</v>
      </c>
      <c r="S2109" s="364">
        <f t="shared" si="256"/>
        <v>15</v>
      </c>
      <c r="T2109" s="426"/>
      <c r="U2109" s="426"/>
      <c r="V2109" s="426"/>
      <c r="W2109" s="426"/>
      <c r="X2109" s="426"/>
    </row>
    <row r="2110" spans="1:24" ht="12.75">
      <c r="A2110" s="422" t="s">
        <v>657</v>
      </c>
      <c r="B2110" s="423" t="s">
        <v>187</v>
      </c>
      <c r="C2110" s="423" t="s">
        <v>774</v>
      </c>
      <c r="D2110" s="423">
        <v>2015</v>
      </c>
      <c r="E2110" s="423" t="s">
        <v>775</v>
      </c>
      <c r="F2110" s="424">
        <v>1004</v>
      </c>
      <c r="G2110" s="424">
        <v>0</v>
      </c>
      <c r="H2110" s="425">
        <v>0</v>
      </c>
      <c r="I2110" s="424">
        <v>0</v>
      </c>
      <c r="J2110" s="424">
        <v>570</v>
      </c>
      <c r="K2110" s="424">
        <v>0</v>
      </c>
      <c r="L2110" s="424">
        <v>0</v>
      </c>
      <c r="M2110" s="424">
        <v>0</v>
      </c>
      <c r="N2110" s="424">
        <v>565</v>
      </c>
      <c r="O2110" s="424">
        <v>0</v>
      </c>
      <c r="P2110" s="424">
        <v>1151</v>
      </c>
      <c r="Q2110" s="425">
        <v>270</v>
      </c>
      <c r="R2110" s="319">
        <f t="shared" si="255"/>
        <v>3290</v>
      </c>
      <c r="S2110" s="364">
        <f t="shared" si="256"/>
        <v>270</v>
      </c>
      <c r="T2110" s="426"/>
      <c r="U2110" s="426"/>
      <c r="V2110" s="426"/>
      <c r="W2110" s="426"/>
      <c r="X2110" s="426"/>
    </row>
    <row r="2111" spans="1:24" ht="12.75">
      <c r="A2111" s="422" t="s">
        <v>658</v>
      </c>
      <c r="B2111" s="423" t="s">
        <v>187</v>
      </c>
      <c r="C2111" s="423" t="s">
        <v>774</v>
      </c>
      <c r="D2111" s="423">
        <v>2015</v>
      </c>
      <c r="E2111" s="423" t="s">
        <v>775</v>
      </c>
      <c r="F2111" s="424">
        <v>23</v>
      </c>
      <c r="G2111" s="424">
        <v>4</v>
      </c>
      <c r="H2111" s="425">
        <v>0</v>
      </c>
      <c r="I2111" s="424">
        <v>4</v>
      </c>
      <c r="J2111" s="424">
        <v>13</v>
      </c>
      <c r="K2111" s="424">
        <v>0</v>
      </c>
      <c r="L2111" s="424">
        <v>0</v>
      </c>
      <c r="M2111" s="424">
        <v>0</v>
      </c>
      <c r="N2111" s="424">
        <v>13</v>
      </c>
      <c r="O2111" s="424">
        <v>1</v>
      </c>
      <c r="P2111" s="424">
        <v>12</v>
      </c>
      <c r="Q2111" s="425">
        <v>2</v>
      </c>
      <c r="R2111" s="319">
        <f t="shared" si="255"/>
        <v>61</v>
      </c>
      <c r="S2111" s="364">
        <f t="shared" si="256"/>
        <v>7</v>
      </c>
      <c r="T2111" s="426"/>
      <c r="U2111" s="426"/>
      <c r="V2111" s="426"/>
      <c r="W2111" s="426"/>
      <c r="X2111" s="426"/>
    </row>
    <row r="2112" spans="1:24" ht="12.75">
      <c r="A2112" s="422" t="s">
        <v>659</v>
      </c>
      <c r="B2112" s="423" t="s">
        <v>187</v>
      </c>
      <c r="C2112" s="423" t="s">
        <v>774</v>
      </c>
      <c r="D2112" s="423">
        <v>2015</v>
      </c>
      <c r="E2112" s="423" t="s">
        <v>775</v>
      </c>
      <c r="F2112" s="424">
        <v>273</v>
      </c>
      <c r="G2112" s="424">
        <v>12</v>
      </c>
      <c r="H2112" s="425">
        <v>12</v>
      </c>
      <c r="I2112" s="424">
        <v>0</v>
      </c>
      <c r="J2112" s="424">
        <v>154</v>
      </c>
      <c r="K2112" s="424">
        <v>118</v>
      </c>
      <c r="L2112" s="424">
        <v>118</v>
      </c>
      <c r="M2112" s="424">
        <v>0</v>
      </c>
      <c r="N2112" s="424">
        <v>185</v>
      </c>
      <c r="O2112" s="424">
        <v>107</v>
      </c>
      <c r="P2112" s="424">
        <v>316</v>
      </c>
      <c r="Q2112" s="425">
        <v>647</v>
      </c>
      <c r="R2112" s="319">
        <f t="shared" si="255"/>
        <v>928</v>
      </c>
      <c r="S2112" s="364">
        <f t="shared" si="256"/>
        <v>884</v>
      </c>
      <c r="T2112" s="426"/>
      <c r="U2112" s="426"/>
      <c r="V2112" s="426"/>
      <c r="W2112" s="426"/>
      <c r="X2112" s="426"/>
    </row>
    <row r="2113" spans="1:24" ht="12.75">
      <c r="A2113" s="422" t="s">
        <v>660</v>
      </c>
      <c r="B2113" s="423" t="s">
        <v>187</v>
      </c>
      <c r="C2113" s="423" t="s">
        <v>774</v>
      </c>
      <c r="D2113" s="423">
        <v>2015</v>
      </c>
      <c r="E2113" s="423" t="s">
        <v>775</v>
      </c>
      <c r="F2113" s="424">
        <v>814</v>
      </c>
      <c r="G2113" s="424">
        <v>0</v>
      </c>
      <c r="H2113" s="425">
        <v>0</v>
      </c>
      <c r="I2113" s="424">
        <v>0</v>
      </c>
      <c r="J2113" s="424">
        <v>492</v>
      </c>
      <c r="K2113" s="424">
        <v>9</v>
      </c>
      <c r="L2113" s="424">
        <v>9</v>
      </c>
      <c r="M2113" s="424">
        <v>0</v>
      </c>
      <c r="N2113" s="424">
        <v>527</v>
      </c>
      <c r="O2113" s="424">
        <v>0</v>
      </c>
      <c r="P2113" s="424">
        <v>1093</v>
      </c>
      <c r="Q2113" s="425">
        <v>278</v>
      </c>
      <c r="R2113" s="319">
        <f t="shared" si="255"/>
        <v>2926</v>
      </c>
      <c r="S2113" s="364">
        <f t="shared" si="256"/>
        <v>287</v>
      </c>
      <c r="T2113" s="426"/>
      <c r="U2113" s="426"/>
      <c r="V2113" s="426"/>
      <c r="W2113" s="426"/>
      <c r="X2113" s="426"/>
    </row>
    <row r="2114" spans="1:24" ht="12.75">
      <c r="A2114" s="422" t="s">
        <v>661</v>
      </c>
      <c r="B2114" s="423" t="s">
        <v>187</v>
      </c>
      <c r="C2114" s="423" t="s">
        <v>774</v>
      </c>
      <c r="D2114" s="423">
        <v>2015</v>
      </c>
      <c r="E2114" s="423" t="s">
        <v>775</v>
      </c>
      <c r="F2114" s="424">
        <v>691</v>
      </c>
      <c r="G2114" s="424">
        <v>43</v>
      </c>
      <c r="H2114" s="425">
        <v>43</v>
      </c>
      <c r="I2114" s="424">
        <v>0</v>
      </c>
      <c r="J2114" s="424">
        <v>432</v>
      </c>
      <c r="K2114" s="424">
        <v>58</v>
      </c>
      <c r="L2114" s="424">
        <v>58</v>
      </c>
      <c r="M2114" s="424">
        <v>0</v>
      </c>
      <c r="N2114" s="424">
        <v>278</v>
      </c>
      <c r="O2114" s="424">
        <v>11</v>
      </c>
      <c r="P2114" s="424">
        <v>587</v>
      </c>
      <c r="Q2114" s="425">
        <v>174</v>
      </c>
      <c r="R2114" s="319">
        <f t="shared" si="255"/>
        <v>1988</v>
      </c>
      <c r="S2114" s="364">
        <f t="shared" si="256"/>
        <v>286</v>
      </c>
      <c r="T2114" s="426"/>
      <c r="U2114" s="426"/>
      <c r="V2114" s="426"/>
      <c r="W2114" s="426"/>
      <c r="X2114" s="426"/>
    </row>
    <row r="2115" spans="1:24" ht="12.75">
      <c r="A2115" s="422" t="s">
        <v>662</v>
      </c>
      <c r="B2115" s="423" t="s">
        <v>187</v>
      </c>
      <c r="C2115" s="423" t="s">
        <v>774</v>
      </c>
      <c r="D2115" s="423">
        <v>2015</v>
      </c>
      <c r="E2115" s="423" t="s">
        <v>775</v>
      </c>
      <c r="F2115" s="424">
        <v>9233</v>
      </c>
      <c r="G2115" s="424">
        <v>70</v>
      </c>
      <c r="H2115" s="425">
        <v>70</v>
      </c>
      <c r="I2115" s="424">
        <v>0</v>
      </c>
      <c r="J2115" s="424">
        <v>5428</v>
      </c>
      <c r="K2115" s="424">
        <v>0</v>
      </c>
      <c r="L2115" s="424">
        <v>0</v>
      </c>
      <c r="M2115" s="424">
        <v>0</v>
      </c>
      <c r="N2115" s="424">
        <v>6188</v>
      </c>
      <c r="O2115" s="424">
        <v>0</v>
      </c>
      <c r="P2115" s="424">
        <v>14231</v>
      </c>
      <c r="Q2115" s="425">
        <v>1951</v>
      </c>
      <c r="R2115" s="319">
        <f t="shared" si="255"/>
        <v>35080</v>
      </c>
      <c r="S2115" s="364">
        <f t="shared" si="256"/>
        <v>2021</v>
      </c>
      <c r="T2115" s="426"/>
      <c r="U2115" s="426"/>
      <c r="V2115" s="426"/>
      <c r="W2115" s="426"/>
      <c r="X2115" s="426"/>
    </row>
    <row r="2116" spans="1:24" ht="12.75">
      <c r="A2116" s="422" t="s">
        <v>187</v>
      </c>
      <c r="B2116" s="423" t="s">
        <v>187</v>
      </c>
      <c r="C2116" s="423" t="s">
        <v>774</v>
      </c>
      <c r="D2116" s="423">
        <v>2015</v>
      </c>
      <c r="E2116" s="423" t="s">
        <v>775</v>
      </c>
      <c r="F2116" s="424">
        <v>1050</v>
      </c>
      <c r="G2116" s="424">
        <v>0</v>
      </c>
      <c r="H2116" s="425">
        <v>0</v>
      </c>
      <c r="I2116" s="424">
        <v>0</v>
      </c>
      <c r="J2116" s="424">
        <v>695</v>
      </c>
      <c r="K2116" s="424">
        <v>0</v>
      </c>
      <c r="L2116" s="424">
        <v>0</v>
      </c>
      <c r="M2116" s="424">
        <v>0</v>
      </c>
      <c r="N2116" s="424">
        <v>755</v>
      </c>
      <c r="O2116" s="424">
        <v>19</v>
      </c>
      <c r="P2116" s="424">
        <v>1593</v>
      </c>
      <c r="Q2116" s="425">
        <v>212</v>
      </c>
      <c r="R2116" s="319">
        <f t="shared" si="255"/>
        <v>4093</v>
      </c>
      <c r="S2116" s="364">
        <f t="shared" si="256"/>
        <v>231</v>
      </c>
      <c r="T2116" s="426"/>
      <c r="U2116" s="426"/>
      <c r="V2116" s="426"/>
      <c r="W2116" s="426"/>
      <c r="X2116" s="426"/>
    </row>
    <row r="2117" spans="1:24" ht="12.75">
      <c r="A2117" s="422" t="s">
        <v>663</v>
      </c>
      <c r="B2117" s="423" t="s">
        <v>187</v>
      </c>
      <c r="C2117" s="423" t="s">
        <v>774</v>
      </c>
      <c r="D2117" s="423">
        <v>2015</v>
      </c>
      <c r="E2117" s="423" t="s">
        <v>775</v>
      </c>
      <c r="F2117" s="424">
        <v>22</v>
      </c>
      <c r="G2117" s="424">
        <v>5</v>
      </c>
      <c r="H2117" s="425">
        <v>5</v>
      </c>
      <c r="I2117" s="424">
        <v>0</v>
      </c>
      <c r="J2117" s="424">
        <v>13</v>
      </c>
      <c r="K2117" s="424">
        <v>0</v>
      </c>
      <c r="L2117" s="424">
        <v>0</v>
      </c>
      <c r="M2117" s="424">
        <v>0</v>
      </c>
      <c r="N2117" s="424">
        <v>214</v>
      </c>
      <c r="O2117" s="424">
        <v>0</v>
      </c>
      <c r="P2117" s="424">
        <v>28</v>
      </c>
      <c r="Q2117" s="425">
        <v>60</v>
      </c>
      <c r="R2117" s="319">
        <f t="shared" si="255"/>
        <v>277</v>
      </c>
      <c r="S2117" s="364">
        <f t="shared" si="256"/>
        <v>65</v>
      </c>
      <c r="T2117" s="426"/>
      <c r="U2117" s="426"/>
      <c r="V2117" s="426"/>
      <c r="W2117" s="426"/>
      <c r="X2117" s="426"/>
    </row>
    <row r="2118" spans="1:24" ht="12.75">
      <c r="A2118" s="422" t="s">
        <v>664</v>
      </c>
      <c r="B2118" s="423" t="s">
        <v>187</v>
      </c>
      <c r="C2118" s="423" t="s">
        <v>774</v>
      </c>
      <c r="D2118" s="423">
        <v>2015</v>
      </c>
      <c r="E2118" s="423" t="s">
        <v>775</v>
      </c>
      <c r="F2118" s="424">
        <v>147</v>
      </c>
      <c r="G2118" s="424">
        <v>0</v>
      </c>
      <c r="H2118" s="425">
        <v>0</v>
      </c>
      <c r="I2118" s="424">
        <v>0</v>
      </c>
      <c r="J2118" s="424">
        <v>95</v>
      </c>
      <c r="K2118" s="424">
        <v>7</v>
      </c>
      <c r="L2118" s="424">
        <v>7</v>
      </c>
      <c r="M2118" s="424">
        <v>0</v>
      </c>
      <c r="N2118" s="424">
        <v>104</v>
      </c>
      <c r="O2118" s="424">
        <v>1</v>
      </c>
      <c r="P2118" s="424">
        <v>93</v>
      </c>
      <c r="Q2118" s="425">
        <v>6</v>
      </c>
      <c r="R2118" s="319">
        <f t="shared" si="255"/>
        <v>439</v>
      </c>
      <c r="S2118" s="364">
        <f t="shared" si="256"/>
        <v>14</v>
      </c>
      <c r="T2118" s="426"/>
      <c r="U2118" s="426"/>
      <c r="V2118" s="426"/>
      <c r="W2118" s="426"/>
      <c r="X2118" s="426"/>
    </row>
    <row r="2119" spans="1:24" ht="12.75">
      <c r="A2119" s="457" t="s">
        <v>665</v>
      </c>
      <c r="B2119" s="458" t="s">
        <v>187</v>
      </c>
      <c r="C2119" s="458" t="s">
        <v>774</v>
      </c>
      <c r="D2119" s="458">
        <v>2015</v>
      </c>
      <c r="E2119" s="458" t="s">
        <v>775</v>
      </c>
      <c r="F2119" s="425">
        <v>1640</v>
      </c>
      <c r="G2119" s="424">
        <v>43</v>
      </c>
      <c r="H2119" s="425">
        <v>43</v>
      </c>
      <c r="I2119" s="425">
        <v>0</v>
      </c>
      <c r="J2119" s="424">
        <v>906</v>
      </c>
      <c r="K2119" s="424">
        <v>0</v>
      </c>
      <c r="L2119" s="425">
        <v>0</v>
      </c>
      <c r="M2119" s="425">
        <v>0</v>
      </c>
      <c r="N2119" s="425">
        <v>932</v>
      </c>
      <c r="O2119" s="425">
        <v>26</v>
      </c>
      <c r="P2119" s="425">
        <v>1974</v>
      </c>
      <c r="Q2119" s="425">
        <v>796</v>
      </c>
      <c r="R2119" s="319">
        <f t="shared" si="255"/>
        <v>5452</v>
      </c>
      <c r="S2119" s="364">
        <f t="shared" si="256"/>
        <v>865</v>
      </c>
      <c r="T2119" s="323">
        <f>SUM(G2105:G2119)</f>
        <v>204</v>
      </c>
      <c r="U2119" s="323">
        <f>SUM(K2105:K2119)</f>
        <v>456</v>
      </c>
      <c r="V2119" s="323">
        <f>SUM(O2105:O2119)</f>
        <v>196</v>
      </c>
      <c r="W2119" s="323">
        <f>SUM(Q2105:Q2119)</f>
        <v>5298</v>
      </c>
      <c r="X2119" s="323">
        <f>T2119+U2119+V2119+W2119</f>
        <v>6154</v>
      </c>
    </row>
    <row r="2120" spans="1:24" ht="12.75">
      <c r="A2120" s="428" t="s">
        <v>651</v>
      </c>
      <c r="B2120" s="429" t="s">
        <v>187</v>
      </c>
      <c r="C2120" s="429" t="s">
        <v>774</v>
      </c>
      <c r="D2120" s="429">
        <v>2016</v>
      </c>
      <c r="E2120" s="429" t="s">
        <v>775</v>
      </c>
      <c r="F2120" s="430">
        <v>253</v>
      </c>
      <c r="G2120" s="430">
        <v>9</v>
      </c>
      <c r="H2120" s="431">
        <v>9</v>
      </c>
      <c r="I2120" s="430">
        <v>0</v>
      </c>
      <c r="J2120" s="430">
        <v>138</v>
      </c>
      <c r="K2120" s="430">
        <v>1</v>
      </c>
      <c r="L2120" s="430">
        <v>1</v>
      </c>
      <c r="M2120" s="430">
        <v>0</v>
      </c>
      <c r="N2120" s="430">
        <v>151</v>
      </c>
      <c r="O2120" s="430">
        <v>9</v>
      </c>
      <c r="P2120" s="430">
        <v>391</v>
      </c>
      <c r="Q2120" s="431">
        <v>214</v>
      </c>
      <c r="R2120" s="328">
        <f t="shared" si="255"/>
        <v>933</v>
      </c>
      <c r="S2120" s="365">
        <f t="shared" si="256"/>
        <v>233</v>
      </c>
      <c r="T2120" s="432"/>
      <c r="U2120" s="432"/>
      <c r="V2120" s="432"/>
      <c r="W2120" s="432"/>
      <c r="X2120" s="432"/>
    </row>
    <row r="2121" spans="1:24" ht="12.75">
      <c r="A2121" s="428" t="s">
        <v>652</v>
      </c>
      <c r="B2121" s="429" t="s">
        <v>187</v>
      </c>
      <c r="C2121" s="429" t="s">
        <v>774</v>
      </c>
      <c r="D2121" s="429">
        <v>2016</v>
      </c>
      <c r="E2121" s="429" t="s">
        <v>775</v>
      </c>
      <c r="F2121" s="430">
        <v>356</v>
      </c>
      <c r="G2121" s="430">
        <v>0</v>
      </c>
      <c r="H2121" s="431">
        <v>0</v>
      </c>
      <c r="I2121" s="430">
        <v>0</v>
      </c>
      <c r="J2121" s="430">
        <v>207</v>
      </c>
      <c r="K2121" s="430">
        <v>0</v>
      </c>
      <c r="L2121" s="430">
        <v>0</v>
      </c>
      <c r="M2121" s="430">
        <v>0</v>
      </c>
      <c r="N2121" s="430">
        <v>231</v>
      </c>
      <c r="O2121" s="430">
        <v>18</v>
      </c>
      <c r="P2121" s="430">
        <v>270</v>
      </c>
      <c r="Q2121" s="431">
        <v>9</v>
      </c>
      <c r="R2121" s="328">
        <f t="shared" si="255"/>
        <v>1064</v>
      </c>
      <c r="S2121" s="365">
        <f t="shared" si="256"/>
        <v>27</v>
      </c>
      <c r="T2121" s="432"/>
      <c r="U2121" s="432"/>
      <c r="V2121" s="432"/>
      <c r="W2121" s="432"/>
      <c r="X2121" s="432"/>
    </row>
    <row r="2122" spans="1:24" ht="12.75">
      <c r="A2122" s="428" t="s">
        <v>653</v>
      </c>
      <c r="B2122" s="429" t="s">
        <v>187</v>
      </c>
      <c r="C2122" s="429" t="s">
        <v>774</v>
      </c>
      <c r="D2122" s="429">
        <v>2016</v>
      </c>
      <c r="E2122" s="429" t="s">
        <v>775</v>
      </c>
      <c r="F2122" s="430">
        <v>236</v>
      </c>
      <c r="G2122" s="430">
        <v>0</v>
      </c>
      <c r="H2122" s="431">
        <v>0</v>
      </c>
      <c r="I2122" s="430">
        <v>0</v>
      </c>
      <c r="J2122" s="430">
        <v>160</v>
      </c>
      <c r="K2122" s="430">
        <v>0</v>
      </c>
      <c r="L2122" s="430">
        <v>0</v>
      </c>
      <c r="M2122" s="430">
        <v>0</v>
      </c>
      <c r="N2122" s="430">
        <v>217</v>
      </c>
      <c r="O2122" s="430">
        <v>0</v>
      </c>
      <c r="P2122" s="430">
        <v>475</v>
      </c>
      <c r="Q2122" s="431">
        <v>321</v>
      </c>
      <c r="R2122" s="328">
        <f t="shared" si="255"/>
        <v>1088</v>
      </c>
      <c r="S2122" s="365">
        <f t="shared" si="256"/>
        <v>321</v>
      </c>
      <c r="T2122" s="432"/>
      <c r="U2122" s="432"/>
      <c r="V2122" s="432"/>
      <c r="W2122" s="432"/>
      <c r="X2122" s="432"/>
    </row>
    <row r="2123" spans="1:24" ht="12.75">
      <c r="A2123" s="428" t="s">
        <v>654</v>
      </c>
      <c r="B2123" s="429" t="s">
        <v>187</v>
      </c>
      <c r="C2123" s="429" t="s">
        <v>774</v>
      </c>
      <c r="D2123" s="429">
        <v>2016</v>
      </c>
      <c r="E2123" s="429" t="s">
        <v>775</v>
      </c>
      <c r="F2123" s="430">
        <v>169</v>
      </c>
      <c r="G2123" s="430">
        <v>1</v>
      </c>
      <c r="H2123" s="431">
        <v>1</v>
      </c>
      <c r="I2123" s="430">
        <v>0</v>
      </c>
      <c r="J2123" s="430">
        <v>99</v>
      </c>
      <c r="K2123" s="430">
        <v>1</v>
      </c>
      <c r="L2123" s="430">
        <v>1</v>
      </c>
      <c r="M2123" s="430">
        <v>0</v>
      </c>
      <c r="N2123" s="430">
        <v>112</v>
      </c>
      <c r="O2123" s="430">
        <v>0</v>
      </c>
      <c r="P2123" s="430">
        <v>97</v>
      </c>
      <c r="Q2123" s="431">
        <v>52</v>
      </c>
      <c r="R2123" s="328">
        <f t="shared" si="255"/>
        <v>477</v>
      </c>
      <c r="S2123" s="365">
        <f t="shared" si="256"/>
        <v>54</v>
      </c>
      <c r="T2123" s="432"/>
      <c r="U2123" s="432"/>
      <c r="V2123" s="432"/>
      <c r="W2123" s="432"/>
      <c r="X2123" s="432"/>
    </row>
    <row r="2124" spans="1:24" ht="12.75">
      <c r="A2124" s="428" t="s">
        <v>656</v>
      </c>
      <c r="B2124" s="429" t="s">
        <v>187</v>
      </c>
      <c r="C2124" s="429" t="s">
        <v>774</v>
      </c>
      <c r="D2124" s="429">
        <v>2016</v>
      </c>
      <c r="E2124" s="429" t="s">
        <v>775</v>
      </c>
      <c r="F2124" s="430">
        <v>201</v>
      </c>
      <c r="G2124" s="430">
        <v>0</v>
      </c>
      <c r="H2124" s="431">
        <v>0</v>
      </c>
      <c r="I2124" s="430">
        <v>0</v>
      </c>
      <c r="J2124" s="430">
        <v>112</v>
      </c>
      <c r="K2124" s="430">
        <v>2</v>
      </c>
      <c r="L2124" s="430">
        <v>2</v>
      </c>
      <c r="M2124" s="430">
        <v>0</v>
      </c>
      <c r="N2124" s="430">
        <v>132</v>
      </c>
      <c r="O2124" s="430">
        <v>3</v>
      </c>
      <c r="P2124" s="430">
        <v>174</v>
      </c>
      <c r="Q2124" s="431">
        <v>38</v>
      </c>
      <c r="R2124" s="328">
        <f t="shared" si="255"/>
        <v>619</v>
      </c>
      <c r="S2124" s="365">
        <f t="shared" si="256"/>
        <v>43</v>
      </c>
      <c r="T2124" s="432"/>
      <c r="U2124" s="432"/>
      <c r="V2124" s="432"/>
      <c r="W2124" s="432"/>
      <c r="X2124" s="432"/>
    </row>
    <row r="2125" spans="1:24" ht="12.75">
      <c r="A2125" s="428" t="s">
        <v>657</v>
      </c>
      <c r="B2125" s="429" t="s">
        <v>187</v>
      </c>
      <c r="C2125" s="429" t="s">
        <v>774</v>
      </c>
      <c r="D2125" s="429">
        <v>2016</v>
      </c>
      <c r="E2125" s="429" t="s">
        <v>775</v>
      </c>
      <c r="F2125" s="430">
        <v>1004</v>
      </c>
      <c r="G2125" s="430">
        <v>0</v>
      </c>
      <c r="H2125" s="431">
        <v>0</v>
      </c>
      <c r="I2125" s="430">
        <v>0</v>
      </c>
      <c r="J2125" s="430">
        <v>570</v>
      </c>
      <c r="K2125" s="430">
        <v>0</v>
      </c>
      <c r="L2125" s="430">
        <v>0</v>
      </c>
      <c r="M2125" s="430">
        <v>0</v>
      </c>
      <c r="N2125" s="430">
        <v>565</v>
      </c>
      <c r="O2125" s="430">
        <v>0</v>
      </c>
      <c r="P2125" s="430">
        <v>1151</v>
      </c>
      <c r="Q2125" s="431">
        <v>82</v>
      </c>
      <c r="R2125" s="328">
        <f t="shared" si="255"/>
        <v>3290</v>
      </c>
      <c r="S2125" s="365">
        <f t="shared" si="256"/>
        <v>82</v>
      </c>
      <c r="T2125" s="432"/>
      <c r="U2125" s="432"/>
      <c r="V2125" s="432"/>
      <c r="W2125" s="432"/>
      <c r="X2125" s="432"/>
    </row>
    <row r="2126" spans="1:24" ht="12.75">
      <c r="A2126" s="428" t="s">
        <v>658</v>
      </c>
      <c r="B2126" s="429" t="s">
        <v>187</v>
      </c>
      <c r="C2126" s="429" t="s">
        <v>774</v>
      </c>
      <c r="D2126" s="429">
        <v>2016</v>
      </c>
      <c r="E2126" s="429" t="s">
        <v>775</v>
      </c>
      <c r="F2126" s="430">
        <v>23</v>
      </c>
      <c r="G2126" s="430">
        <v>5</v>
      </c>
      <c r="H2126" s="431">
        <v>5</v>
      </c>
      <c r="I2126" s="430">
        <v>0</v>
      </c>
      <c r="J2126" s="430">
        <v>13</v>
      </c>
      <c r="K2126" s="430">
        <v>0</v>
      </c>
      <c r="L2126" s="430">
        <v>0</v>
      </c>
      <c r="M2126" s="430">
        <v>0</v>
      </c>
      <c r="N2126" s="430">
        <v>13</v>
      </c>
      <c r="O2126" s="430">
        <v>0</v>
      </c>
      <c r="P2126" s="430">
        <v>12</v>
      </c>
      <c r="Q2126" s="431">
        <v>8</v>
      </c>
      <c r="R2126" s="328">
        <f t="shared" si="255"/>
        <v>61</v>
      </c>
      <c r="S2126" s="365">
        <f t="shared" si="256"/>
        <v>13</v>
      </c>
      <c r="T2126" s="432"/>
      <c r="U2126" s="432"/>
      <c r="V2126" s="432"/>
      <c r="W2126" s="432"/>
      <c r="X2126" s="432"/>
    </row>
    <row r="2127" spans="1:24" ht="12.75">
      <c r="A2127" s="428" t="s">
        <v>659</v>
      </c>
      <c r="B2127" s="429" t="s">
        <v>187</v>
      </c>
      <c r="C2127" s="429" t="s">
        <v>774</v>
      </c>
      <c r="D2127" s="429">
        <v>2016</v>
      </c>
      <c r="E2127" s="429" t="s">
        <v>775</v>
      </c>
      <c r="F2127" s="430">
        <v>273</v>
      </c>
      <c r="G2127" s="430">
        <v>29</v>
      </c>
      <c r="H2127" s="431">
        <v>29</v>
      </c>
      <c r="I2127" s="430">
        <v>0</v>
      </c>
      <c r="J2127" s="430">
        <v>154</v>
      </c>
      <c r="K2127" s="430">
        <v>23</v>
      </c>
      <c r="L2127" s="430">
        <v>23</v>
      </c>
      <c r="M2127" s="430">
        <v>0</v>
      </c>
      <c r="N2127" s="430">
        <v>185</v>
      </c>
      <c r="O2127" s="430">
        <v>6</v>
      </c>
      <c r="P2127" s="430">
        <v>316</v>
      </c>
      <c r="Q2127" s="431">
        <v>219</v>
      </c>
      <c r="R2127" s="328">
        <f t="shared" si="255"/>
        <v>928</v>
      </c>
      <c r="S2127" s="365">
        <f t="shared" si="256"/>
        <v>277</v>
      </c>
      <c r="T2127" s="432"/>
      <c r="U2127" s="432"/>
      <c r="V2127" s="432"/>
      <c r="W2127" s="432"/>
      <c r="X2127" s="432"/>
    </row>
    <row r="2128" spans="1:24" ht="12.75">
      <c r="A2128" s="428" t="s">
        <v>660</v>
      </c>
      <c r="B2128" s="429" t="s">
        <v>187</v>
      </c>
      <c r="C2128" s="429" t="s">
        <v>774</v>
      </c>
      <c r="D2128" s="429">
        <v>2016</v>
      </c>
      <c r="E2128" s="429" t="s">
        <v>775</v>
      </c>
      <c r="F2128" s="430">
        <v>814</v>
      </c>
      <c r="G2128" s="430">
        <v>17</v>
      </c>
      <c r="H2128" s="431">
        <v>17</v>
      </c>
      <c r="I2128" s="430">
        <v>0</v>
      </c>
      <c r="J2128" s="430">
        <v>492</v>
      </c>
      <c r="K2128" s="430">
        <v>109</v>
      </c>
      <c r="L2128" s="430">
        <v>109</v>
      </c>
      <c r="M2128" s="430">
        <v>0</v>
      </c>
      <c r="N2128" s="430">
        <v>527</v>
      </c>
      <c r="O2128" s="430">
        <v>0</v>
      </c>
      <c r="P2128" s="430">
        <v>1093</v>
      </c>
      <c r="Q2128" s="431">
        <v>376</v>
      </c>
      <c r="R2128" s="328">
        <f t="shared" si="255"/>
        <v>2926</v>
      </c>
      <c r="S2128" s="365">
        <f t="shared" si="256"/>
        <v>502</v>
      </c>
      <c r="T2128" s="432"/>
      <c r="U2128" s="432"/>
      <c r="V2128" s="432"/>
      <c r="W2128" s="432"/>
      <c r="X2128" s="432"/>
    </row>
    <row r="2129" spans="1:24" ht="12.75">
      <c r="A2129" s="428" t="s">
        <v>661</v>
      </c>
      <c r="B2129" s="429" t="s">
        <v>187</v>
      </c>
      <c r="C2129" s="429" t="s">
        <v>774</v>
      </c>
      <c r="D2129" s="429">
        <v>2016</v>
      </c>
      <c r="E2129" s="429" t="s">
        <v>775</v>
      </c>
      <c r="F2129" s="430">
        <v>691</v>
      </c>
      <c r="G2129" s="430">
        <v>0</v>
      </c>
      <c r="H2129" s="431">
        <v>0</v>
      </c>
      <c r="I2129" s="430">
        <v>0</v>
      </c>
      <c r="J2129" s="430">
        <v>432</v>
      </c>
      <c r="K2129" s="430">
        <v>0</v>
      </c>
      <c r="L2129" s="430">
        <v>0</v>
      </c>
      <c r="M2129" s="430">
        <v>0</v>
      </c>
      <c r="N2129" s="430">
        <v>278</v>
      </c>
      <c r="O2129" s="430">
        <v>3</v>
      </c>
      <c r="P2129" s="430">
        <v>587</v>
      </c>
      <c r="Q2129" s="431">
        <v>15</v>
      </c>
      <c r="R2129" s="328">
        <f t="shared" si="255"/>
        <v>1988</v>
      </c>
      <c r="S2129" s="365">
        <f t="shared" si="256"/>
        <v>18</v>
      </c>
      <c r="T2129" s="432"/>
      <c r="U2129" s="432"/>
      <c r="V2129" s="432"/>
      <c r="W2129" s="432"/>
      <c r="X2129" s="432"/>
    </row>
    <row r="2130" spans="1:24" ht="12.75">
      <c r="A2130" s="428" t="s">
        <v>662</v>
      </c>
      <c r="B2130" s="429" t="s">
        <v>187</v>
      </c>
      <c r="C2130" s="429" t="s">
        <v>774</v>
      </c>
      <c r="D2130" s="429">
        <v>2016</v>
      </c>
      <c r="E2130" s="429" t="s">
        <v>775</v>
      </c>
      <c r="F2130" s="430">
        <v>9233</v>
      </c>
      <c r="G2130" s="430">
        <v>314</v>
      </c>
      <c r="H2130" s="431">
        <v>314</v>
      </c>
      <c r="I2130" s="430">
        <v>0</v>
      </c>
      <c r="J2130" s="430">
        <v>5428</v>
      </c>
      <c r="K2130" s="430">
        <v>0</v>
      </c>
      <c r="L2130" s="430">
        <v>0</v>
      </c>
      <c r="M2130" s="430">
        <v>0</v>
      </c>
      <c r="N2130" s="430">
        <v>6188</v>
      </c>
      <c r="O2130" s="430">
        <v>0</v>
      </c>
      <c r="P2130" s="430">
        <v>14231</v>
      </c>
      <c r="Q2130" s="431">
        <v>1774</v>
      </c>
      <c r="R2130" s="328">
        <f t="shared" si="255"/>
        <v>35080</v>
      </c>
      <c r="S2130" s="365">
        <f t="shared" si="256"/>
        <v>2088</v>
      </c>
      <c r="T2130" s="432"/>
      <c r="U2130" s="432"/>
      <c r="V2130" s="432"/>
      <c r="W2130" s="432"/>
      <c r="X2130" s="432"/>
    </row>
    <row r="2131" spans="1:24" ht="12.75">
      <c r="A2131" s="428" t="s">
        <v>187</v>
      </c>
      <c r="B2131" s="429" t="s">
        <v>187</v>
      </c>
      <c r="C2131" s="429" t="s">
        <v>774</v>
      </c>
      <c r="D2131" s="429">
        <v>2016</v>
      </c>
      <c r="E2131" s="429" t="s">
        <v>775</v>
      </c>
      <c r="F2131" s="430">
        <v>1050</v>
      </c>
      <c r="G2131" s="430">
        <v>1</v>
      </c>
      <c r="H2131" s="431">
        <v>1</v>
      </c>
      <c r="I2131" s="430">
        <v>0</v>
      </c>
      <c r="J2131" s="430">
        <v>695</v>
      </c>
      <c r="K2131" s="430">
        <v>1</v>
      </c>
      <c r="L2131" s="430">
        <v>1</v>
      </c>
      <c r="M2131" s="430">
        <v>0</v>
      </c>
      <c r="N2131" s="430">
        <v>755</v>
      </c>
      <c r="O2131" s="430">
        <v>16</v>
      </c>
      <c r="P2131" s="430">
        <v>1593</v>
      </c>
      <c r="Q2131" s="431">
        <v>399</v>
      </c>
      <c r="R2131" s="328">
        <f t="shared" si="255"/>
        <v>4093</v>
      </c>
      <c r="S2131" s="365">
        <f t="shared" si="256"/>
        <v>417</v>
      </c>
      <c r="T2131" s="432"/>
      <c r="U2131" s="432"/>
      <c r="V2131" s="432"/>
      <c r="W2131" s="432"/>
      <c r="X2131" s="432"/>
    </row>
    <row r="2132" spans="1:24" ht="12.75">
      <c r="A2132" s="428" t="s">
        <v>663</v>
      </c>
      <c r="B2132" s="429" t="s">
        <v>187</v>
      </c>
      <c r="C2132" s="429" t="s">
        <v>774</v>
      </c>
      <c r="D2132" s="429">
        <v>2016</v>
      </c>
      <c r="E2132" s="429" t="s">
        <v>775</v>
      </c>
      <c r="F2132" s="430">
        <v>22</v>
      </c>
      <c r="G2132" s="430">
        <v>11</v>
      </c>
      <c r="H2132" s="431">
        <v>11</v>
      </c>
      <c r="I2132" s="430">
        <v>0</v>
      </c>
      <c r="J2132" s="430">
        <v>13</v>
      </c>
      <c r="K2132" s="430">
        <v>0</v>
      </c>
      <c r="L2132" s="430">
        <v>0</v>
      </c>
      <c r="M2132" s="430">
        <v>0</v>
      </c>
      <c r="N2132" s="430">
        <v>214</v>
      </c>
      <c r="O2132" s="430">
        <v>0</v>
      </c>
      <c r="P2132" s="430">
        <v>28</v>
      </c>
      <c r="Q2132" s="431">
        <v>66</v>
      </c>
      <c r="R2132" s="328">
        <f t="shared" si="255"/>
        <v>277</v>
      </c>
      <c r="S2132" s="365">
        <f t="shared" si="256"/>
        <v>77</v>
      </c>
      <c r="T2132" s="432"/>
      <c r="U2132" s="432"/>
      <c r="V2132" s="432"/>
      <c r="W2132" s="432"/>
      <c r="X2132" s="432"/>
    </row>
    <row r="2133" spans="1:24" ht="12.75">
      <c r="A2133" s="428" t="s">
        <v>664</v>
      </c>
      <c r="B2133" s="429" t="s">
        <v>187</v>
      </c>
      <c r="C2133" s="429" t="s">
        <v>774</v>
      </c>
      <c r="D2133" s="429">
        <v>2016</v>
      </c>
      <c r="E2133" s="429" t="s">
        <v>775</v>
      </c>
      <c r="F2133" s="430">
        <v>147</v>
      </c>
      <c r="G2133" s="430">
        <v>0</v>
      </c>
      <c r="H2133" s="431">
        <v>0</v>
      </c>
      <c r="I2133" s="430">
        <v>0</v>
      </c>
      <c r="J2133" s="430">
        <v>95</v>
      </c>
      <c r="K2133" s="430">
        <v>11</v>
      </c>
      <c r="L2133" s="430">
        <v>11</v>
      </c>
      <c r="M2133" s="430">
        <v>0</v>
      </c>
      <c r="N2133" s="430">
        <v>104</v>
      </c>
      <c r="O2133" s="430">
        <v>1</v>
      </c>
      <c r="P2133" s="430">
        <v>93</v>
      </c>
      <c r="Q2133" s="431">
        <v>6</v>
      </c>
      <c r="R2133" s="328">
        <f t="shared" si="255"/>
        <v>439</v>
      </c>
      <c r="S2133" s="365">
        <f t="shared" si="256"/>
        <v>18</v>
      </c>
      <c r="T2133" s="432"/>
      <c r="U2133" s="432"/>
      <c r="V2133" s="432"/>
      <c r="W2133" s="432"/>
      <c r="X2133" s="432"/>
    </row>
    <row r="2134" spans="1:24" ht="12.75">
      <c r="A2134" s="459" t="s">
        <v>665</v>
      </c>
      <c r="B2134" s="460" t="s">
        <v>187</v>
      </c>
      <c r="C2134" s="460" t="s">
        <v>774</v>
      </c>
      <c r="D2134" s="460">
        <v>2016</v>
      </c>
      <c r="E2134" s="460" t="s">
        <v>775</v>
      </c>
      <c r="F2134" s="431">
        <v>1640</v>
      </c>
      <c r="G2134" s="430">
        <v>0</v>
      </c>
      <c r="H2134" s="431">
        <v>0</v>
      </c>
      <c r="I2134" s="431">
        <v>0</v>
      </c>
      <c r="J2134" s="430">
        <v>906</v>
      </c>
      <c r="K2134" s="430">
        <v>1</v>
      </c>
      <c r="L2134" s="431">
        <v>1</v>
      </c>
      <c r="M2134" s="431">
        <v>0</v>
      </c>
      <c r="N2134" s="431">
        <v>932</v>
      </c>
      <c r="O2134" s="431">
        <v>32</v>
      </c>
      <c r="P2134" s="431">
        <v>1974</v>
      </c>
      <c r="Q2134" s="431">
        <v>222</v>
      </c>
      <c r="R2134" s="328">
        <f t="shared" si="255"/>
        <v>5452</v>
      </c>
      <c r="S2134" s="365">
        <f t="shared" si="256"/>
        <v>255</v>
      </c>
      <c r="T2134" s="331">
        <f>SUM(G2120:G2134)</f>
        <v>387</v>
      </c>
      <c r="U2134" s="331">
        <f>SUM(K2120:K2134)</f>
        <v>149</v>
      </c>
      <c r="V2134" s="331">
        <f>SUM(O2120:O2134)</f>
        <v>88</v>
      </c>
      <c r="W2134" s="331">
        <f>SUM(Q2120:Q2134)</f>
        <v>3801</v>
      </c>
      <c r="X2134" s="331">
        <f>T2134+U2134+V2134+W2134</f>
        <v>4425</v>
      </c>
    </row>
    <row r="2135" spans="1:24" ht="12.75">
      <c r="A2135" s="433" t="s">
        <v>651</v>
      </c>
      <c r="B2135" s="434" t="s">
        <v>187</v>
      </c>
      <c r="C2135" s="434" t="s">
        <v>774</v>
      </c>
      <c r="D2135" s="434">
        <v>2017</v>
      </c>
      <c r="E2135" s="434" t="s">
        <v>775</v>
      </c>
      <c r="F2135" s="435">
        <v>253</v>
      </c>
      <c r="G2135" s="435">
        <v>0</v>
      </c>
      <c r="H2135" s="436">
        <v>0</v>
      </c>
      <c r="I2135" s="435">
        <v>0</v>
      </c>
      <c r="J2135" s="435">
        <v>138</v>
      </c>
      <c r="K2135" s="435">
        <v>1</v>
      </c>
      <c r="L2135" s="435">
        <v>1</v>
      </c>
      <c r="M2135" s="435">
        <v>0</v>
      </c>
      <c r="N2135" s="435">
        <v>151</v>
      </c>
      <c r="O2135" s="435">
        <v>4</v>
      </c>
      <c r="P2135" s="435">
        <v>391</v>
      </c>
      <c r="Q2135" s="436">
        <v>59</v>
      </c>
      <c r="R2135" s="336">
        <f t="shared" si="255"/>
        <v>933</v>
      </c>
      <c r="S2135" s="366">
        <f t="shared" si="256"/>
        <v>64</v>
      </c>
      <c r="T2135" s="437"/>
      <c r="U2135" s="437"/>
      <c r="V2135" s="437"/>
      <c r="W2135" s="437"/>
      <c r="X2135" s="437"/>
    </row>
    <row r="2136" spans="1:24" ht="12.75">
      <c r="A2136" s="433" t="s">
        <v>652</v>
      </c>
      <c r="B2136" s="434" t="s">
        <v>187</v>
      </c>
      <c r="C2136" s="434" t="s">
        <v>774</v>
      </c>
      <c r="D2136" s="434">
        <v>2017</v>
      </c>
      <c r="E2136" s="434" t="s">
        <v>775</v>
      </c>
      <c r="F2136" s="435">
        <v>356</v>
      </c>
      <c r="G2136" s="435">
        <v>0</v>
      </c>
      <c r="H2136" s="436">
        <v>0</v>
      </c>
      <c r="I2136" s="435">
        <v>0</v>
      </c>
      <c r="J2136" s="435">
        <v>207</v>
      </c>
      <c r="K2136" s="435">
        <v>0</v>
      </c>
      <c r="L2136" s="435">
        <v>0</v>
      </c>
      <c r="M2136" s="435">
        <v>0</v>
      </c>
      <c r="N2136" s="435">
        <v>231</v>
      </c>
      <c r="O2136" s="435">
        <v>12</v>
      </c>
      <c r="P2136" s="435">
        <v>270</v>
      </c>
      <c r="Q2136" s="436">
        <v>16</v>
      </c>
      <c r="R2136" s="336">
        <f t="shared" si="255"/>
        <v>1064</v>
      </c>
      <c r="S2136" s="366">
        <f t="shared" si="256"/>
        <v>28</v>
      </c>
      <c r="T2136" s="437"/>
      <c r="U2136" s="437"/>
      <c r="V2136" s="437"/>
      <c r="W2136" s="437"/>
      <c r="X2136" s="437"/>
    </row>
    <row r="2137" spans="1:24" ht="12.75">
      <c r="A2137" s="433" t="s">
        <v>653</v>
      </c>
      <c r="B2137" s="434" t="s">
        <v>187</v>
      </c>
      <c r="C2137" s="434" t="s">
        <v>774</v>
      </c>
      <c r="D2137" s="434">
        <v>2017</v>
      </c>
      <c r="E2137" s="434" t="s">
        <v>775</v>
      </c>
      <c r="F2137" s="435">
        <v>236</v>
      </c>
      <c r="G2137" s="435">
        <v>0</v>
      </c>
      <c r="H2137" s="436">
        <v>0</v>
      </c>
      <c r="I2137" s="435">
        <v>0</v>
      </c>
      <c r="J2137" s="435">
        <v>160</v>
      </c>
      <c r="K2137" s="435">
        <v>202</v>
      </c>
      <c r="L2137" s="435">
        <v>202</v>
      </c>
      <c r="M2137" s="435">
        <v>0</v>
      </c>
      <c r="N2137" s="435">
        <v>217</v>
      </c>
      <c r="O2137" s="435">
        <v>0</v>
      </c>
      <c r="P2137" s="435">
        <v>475</v>
      </c>
      <c r="Q2137" s="436">
        <v>243</v>
      </c>
      <c r="R2137" s="336">
        <f t="shared" si="255"/>
        <v>1088</v>
      </c>
      <c r="S2137" s="366">
        <f t="shared" si="256"/>
        <v>445</v>
      </c>
      <c r="T2137" s="437"/>
      <c r="U2137" s="437"/>
      <c r="V2137" s="437"/>
      <c r="W2137" s="437"/>
      <c r="X2137" s="437"/>
    </row>
    <row r="2138" spans="1:24" ht="12.75">
      <c r="A2138" s="433" t="s">
        <v>654</v>
      </c>
      <c r="B2138" s="434" t="s">
        <v>187</v>
      </c>
      <c r="C2138" s="434" t="s">
        <v>774</v>
      </c>
      <c r="D2138" s="434">
        <v>2017</v>
      </c>
      <c r="E2138" s="434" t="s">
        <v>775</v>
      </c>
      <c r="F2138" s="435">
        <v>169</v>
      </c>
      <c r="G2138" s="435">
        <v>0</v>
      </c>
      <c r="H2138" s="436">
        <v>0</v>
      </c>
      <c r="I2138" s="435">
        <v>0</v>
      </c>
      <c r="J2138" s="435">
        <v>99</v>
      </c>
      <c r="K2138" s="435">
        <v>0</v>
      </c>
      <c r="L2138" s="435">
        <v>0</v>
      </c>
      <c r="M2138" s="435">
        <v>0</v>
      </c>
      <c r="N2138" s="435">
        <v>112</v>
      </c>
      <c r="O2138" s="435">
        <v>0</v>
      </c>
      <c r="P2138" s="435">
        <v>97</v>
      </c>
      <c r="Q2138" s="436">
        <v>49</v>
      </c>
      <c r="R2138" s="336">
        <f t="shared" si="255"/>
        <v>477</v>
      </c>
      <c r="S2138" s="366">
        <f t="shared" si="256"/>
        <v>49</v>
      </c>
      <c r="T2138" s="437"/>
      <c r="U2138" s="437"/>
      <c r="V2138" s="437"/>
      <c r="W2138" s="437"/>
      <c r="X2138" s="437"/>
    </row>
    <row r="2139" spans="1:24" ht="12.75">
      <c r="A2139" s="433" t="s">
        <v>655</v>
      </c>
      <c r="B2139" s="434" t="s">
        <v>187</v>
      </c>
      <c r="C2139" s="434" t="s">
        <v>774</v>
      </c>
      <c r="D2139" s="434">
        <v>2017</v>
      </c>
      <c r="E2139" s="434" t="s">
        <v>775</v>
      </c>
      <c r="F2139" s="435">
        <v>46</v>
      </c>
      <c r="G2139" s="435">
        <v>5</v>
      </c>
      <c r="H2139" s="436">
        <v>5</v>
      </c>
      <c r="I2139" s="435">
        <v>0</v>
      </c>
      <c r="J2139" s="435">
        <v>28</v>
      </c>
      <c r="K2139" s="435">
        <v>2</v>
      </c>
      <c r="L2139" s="435">
        <v>2</v>
      </c>
      <c r="M2139" s="435">
        <v>0</v>
      </c>
      <c r="N2139" s="435">
        <v>32</v>
      </c>
      <c r="O2139" s="435">
        <v>2</v>
      </c>
      <c r="P2139" s="435">
        <v>15</v>
      </c>
      <c r="Q2139" s="436">
        <v>4</v>
      </c>
      <c r="R2139" s="336">
        <f t="shared" si="255"/>
        <v>121</v>
      </c>
      <c r="S2139" s="366">
        <f t="shared" si="256"/>
        <v>13</v>
      </c>
      <c r="T2139" s="437"/>
      <c r="U2139" s="437"/>
      <c r="V2139" s="437"/>
      <c r="W2139" s="437"/>
      <c r="X2139" s="437"/>
    </row>
    <row r="2140" spans="1:24" ht="12.75">
      <c r="A2140" s="433" t="s">
        <v>656</v>
      </c>
      <c r="B2140" s="434" t="s">
        <v>187</v>
      </c>
      <c r="C2140" s="434" t="s">
        <v>774</v>
      </c>
      <c r="D2140" s="434">
        <v>2017</v>
      </c>
      <c r="E2140" s="434" t="s">
        <v>775</v>
      </c>
      <c r="F2140" s="435">
        <v>201</v>
      </c>
      <c r="G2140" s="435">
        <v>0</v>
      </c>
      <c r="H2140" s="436">
        <v>0</v>
      </c>
      <c r="I2140" s="435">
        <v>0</v>
      </c>
      <c r="J2140" s="435">
        <v>112</v>
      </c>
      <c r="K2140" s="435">
        <v>0</v>
      </c>
      <c r="L2140" s="435">
        <v>0</v>
      </c>
      <c r="M2140" s="435">
        <v>0</v>
      </c>
      <c r="N2140" s="435">
        <v>132</v>
      </c>
      <c r="O2140" s="435">
        <v>4</v>
      </c>
      <c r="P2140" s="435">
        <v>174</v>
      </c>
      <c r="Q2140" s="436">
        <v>9</v>
      </c>
      <c r="R2140" s="336">
        <f t="shared" si="255"/>
        <v>619</v>
      </c>
      <c r="S2140" s="366">
        <f t="shared" si="256"/>
        <v>13</v>
      </c>
      <c r="T2140" s="437"/>
      <c r="U2140" s="437"/>
      <c r="V2140" s="437"/>
      <c r="W2140" s="437"/>
      <c r="X2140" s="437"/>
    </row>
    <row r="2141" spans="1:24" ht="12.75">
      <c r="A2141" s="433" t="s">
        <v>657</v>
      </c>
      <c r="B2141" s="434" t="s">
        <v>187</v>
      </c>
      <c r="C2141" s="434" t="s">
        <v>774</v>
      </c>
      <c r="D2141" s="434">
        <v>2017</v>
      </c>
      <c r="E2141" s="434" t="s">
        <v>775</v>
      </c>
      <c r="F2141" s="435">
        <v>1004</v>
      </c>
      <c r="G2141" s="435">
        <v>0</v>
      </c>
      <c r="H2141" s="436">
        <v>0</v>
      </c>
      <c r="I2141" s="435">
        <v>0</v>
      </c>
      <c r="J2141" s="435">
        <v>570</v>
      </c>
      <c r="K2141" s="435">
        <v>0</v>
      </c>
      <c r="L2141" s="435">
        <v>0</v>
      </c>
      <c r="M2141" s="435">
        <v>0</v>
      </c>
      <c r="N2141" s="435">
        <v>565</v>
      </c>
      <c r="O2141" s="435">
        <v>0</v>
      </c>
      <c r="P2141" s="435">
        <v>1151</v>
      </c>
      <c r="Q2141" s="436">
        <v>111</v>
      </c>
      <c r="R2141" s="336">
        <f t="shared" si="255"/>
        <v>3290</v>
      </c>
      <c r="S2141" s="366">
        <f t="shared" si="256"/>
        <v>111</v>
      </c>
      <c r="T2141" s="437"/>
      <c r="U2141" s="437"/>
      <c r="V2141" s="437"/>
      <c r="W2141" s="437"/>
      <c r="X2141" s="437"/>
    </row>
    <row r="2142" spans="1:24" ht="12.75">
      <c r="A2142" s="433" t="s">
        <v>658</v>
      </c>
      <c r="B2142" s="434" t="s">
        <v>187</v>
      </c>
      <c r="C2142" s="434" t="s">
        <v>774</v>
      </c>
      <c r="D2142" s="434">
        <v>2017</v>
      </c>
      <c r="E2142" s="434" t="s">
        <v>775</v>
      </c>
      <c r="F2142" s="435">
        <v>23</v>
      </c>
      <c r="G2142" s="435">
        <v>12</v>
      </c>
      <c r="H2142" s="436">
        <v>0</v>
      </c>
      <c r="I2142" s="435">
        <v>12</v>
      </c>
      <c r="J2142" s="435">
        <v>13</v>
      </c>
      <c r="K2142" s="435">
        <v>0</v>
      </c>
      <c r="L2142" s="435">
        <v>0</v>
      </c>
      <c r="M2142" s="435">
        <v>0</v>
      </c>
      <c r="N2142" s="435">
        <v>13</v>
      </c>
      <c r="O2142" s="435">
        <v>0</v>
      </c>
      <c r="P2142" s="435">
        <v>12</v>
      </c>
      <c r="Q2142" s="436">
        <v>4</v>
      </c>
      <c r="R2142" s="336">
        <f t="shared" si="255"/>
        <v>61</v>
      </c>
      <c r="S2142" s="366">
        <f t="shared" si="256"/>
        <v>16</v>
      </c>
      <c r="T2142" s="437"/>
      <c r="U2142" s="437"/>
      <c r="V2142" s="437"/>
      <c r="W2142" s="437"/>
      <c r="X2142" s="437"/>
    </row>
    <row r="2143" spans="1:24" ht="12.75">
      <c r="A2143" s="433" t="s">
        <v>659</v>
      </c>
      <c r="B2143" s="434" t="s">
        <v>187</v>
      </c>
      <c r="C2143" s="434" t="s">
        <v>774</v>
      </c>
      <c r="D2143" s="434">
        <v>2017</v>
      </c>
      <c r="E2143" s="434" t="s">
        <v>775</v>
      </c>
      <c r="F2143" s="435">
        <v>273</v>
      </c>
      <c r="G2143" s="435">
        <v>0</v>
      </c>
      <c r="H2143" s="436">
        <v>0</v>
      </c>
      <c r="I2143" s="435">
        <v>0</v>
      </c>
      <c r="J2143" s="435">
        <v>154</v>
      </c>
      <c r="K2143" s="435">
        <v>13</v>
      </c>
      <c r="L2143" s="435">
        <v>13</v>
      </c>
      <c r="M2143" s="435">
        <v>0</v>
      </c>
      <c r="N2143" s="435">
        <v>185</v>
      </c>
      <c r="O2143" s="435">
        <v>9</v>
      </c>
      <c r="P2143" s="435">
        <v>316</v>
      </c>
      <c r="Q2143" s="436">
        <v>192</v>
      </c>
      <c r="R2143" s="336">
        <f t="shared" si="255"/>
        <v>928</v>
      </c>
      <c r="S2143" s="366">
        <f t="shared" si="256"/>
        <v>214</v>
      </c>
      <c r="T2143" s="437"/>
      <c r="U2143" s="437"/>
      <c r="V2143" s="437"/>
      <c r="W2143" s="437"/>
      <c r="X2143" s="437"/>
    </row>
    <row r="2144" spans="1:24" ht="12.75">
      <c r="A2144" s="433" t="s">
        <v>660</v>
      </c>
      <c r="B2144" s="434" t="s">
        <v>187</v>
      </c>
      <c r="C2144" s="434" t="s">
        <v>774</v>
      </c>
      <c r="D2144" s="434">
        <v>2017</v>
      </c>
      <c r="E2144" s="434" t="s">
        <v>775</v>
      </c>
      <c r="F2144" s="435">
        <v>814</v>
      </c>
      <c r="G2144" s="435">
        <v>98</v>
      </c>
      <c r="H2144" s="436">
        <v>98</v>
      </c>
      <c r="I2144" s="435">
        <v>0</v>
      </c>
      <c r="J2144" s="435">
        <v>492</v>
      </c>
      <c r="K2144" s="435">
        <v>23</v>
      </c>
      <c r="L2144" s="435">
        <v>23</v>
      </c>
      <c r="M2144" s="435">
        <v>0</v>
      </c>
      <c r="N2144" s="435">
        <v>527</v>
      </c>
      <c r="O2144" s="435">
        <v>0</v>
      </c>
      <c r="P2144" s="435">
        <v>1093</v>
      </c>
      <c r="Q2144" s="436">
        <v>1418</v>
      </c>
      <c r="R2144" s="336">
        <f t="shared" si="255"/>
        <v>2926</v>
      </c>
      <c r="S2144" s="366">
        <f t="shared" si="256"/>
        <v>1539</v>
      </c>
      <c r="T2144" s="437"/>
      <c r="U2144" s="437"/>
      <c r="V2144" s="437"/>
      <c r="W2144" s="437"/>
      <c r="X2144" s="437"/>
    </row>
    <row r="2145" spans="1:24" ht="12.75">
      <c r="A2145" s="433" t="s">
        <v>661</v>
      </c>
      <c r="B2145" s="434" t="s">
        <v>187</v>
      </c>
      <c r="C2145" s="434" t="s">
        <v>774</v>
      </c>
      <c r="D2145" s="434">
        <v>2017</v>
      </c>
      <c r="E2145" s="434" t="s">
        <v>775</v>
      </c>
      <c r="F2145" s="435">
        <v>691</v>
      </c>
      <c r="G2145" s="435">
        <v>0</v>
      </c>
      <c r="H2145" s="436">
        <v>0</v>
      </c>
      <c r="I2145" s="435">
        <v>0</v>
      </c>
      <c r="J2145" s="435">
        <v>432</v>
      </c>
      <c r="K2145" s="435">
        <v>0</v>
      </c>
      <c r="L2145" s="435">
        <v>0</v>
      </c>
      <c r="M2145" s="435">
        <v>0</v>
      </c>
      <c r="N2145" s="435">
        <v>278</v>
      </c>
      <c r="O2145" s="435">
        <v>28</v>
      </c>
      <c r="P2145" s="435">
        <v>587</v>
      </c>
      <c r="Q2145" s="436">
        <v>61</v>
      </c>
      <c r="R2145" s="336">
        <f t="shared" si="255"/>
        <v>1988</v>
      </c>
      <c r="S2145" s="366">
        <f t="shared" si="256"/>
        <v>89</v>
      </c>
      <c r="T2145" s="437"/>
      <c r="U2145" s="437"/>
      <c r="V2145" s="437"/>
      <c r="W2145" s="437"/>
      <c r="X2145" s="437"/>
    </row>
    <row r="2146" spans="1:24" ht="12.75">
      <c r="A2146" s="433" t="s">
        <v>662</v>
      </c>
      <c r="B2146" s="434" t="s">
        <v>187</v>
      </c>
      <c r="C2146" s="434" t="s">
        <v>774</v>
      </c>
      <c r="D2146" s="434">
        <v>2017</v>
      </c>
      <c r="E2146" s="434" t="s">
        <v>775</v>
      </c>
      <c r="F2146" s="435">
        <v>9233</v>
      </c>
      <c r="G2146" s="435">
        <v>190</v>
      </c>
      <c r="H2146" s="436">
        <v>190</v>
      </c>
      <c r="I2146" s="435">
        <v>0</v>
      </c>
      <c r="J2146" s="435">
        <v>5428</v>
      </c>
      <c r="K2146" s="435">
        <v>0</v>
      </c>
      <c r="L2146" s="435">
        <v>0</v>
      </c>
      <c r="M2146" s="435">
        <v>0</v>
      </c>
      <c r="N2146" s="435">
        <v>6188</v>
      </c>
      <c r="O2146" s="435">
        <v>285</v>
      </c>
      <c r="P2146" s="435">
        <v>14231</v>
      </c>
      <c r="Q2146" s="436">
        <v>2622</v>
      </c>
      <c r="R2146" s="336">
        <f t="shared" si="255"/>
        <v>35080</v>
      </c>
      <c r="S2146" s="366">
        <f t="shared" si="256"/>
        <v>3097</v>
      </c>
      <c r="T2146" s="437"/>
      <c r="U2146" s="437"/>
      <c r="V2146" s="437"/>
      <c r="W2146" s="437"/>
      <c r="X2146" s="437"/>
    </row>
    <row r="2147" spans="1:24" ht="12.75">
      <c r="A2147" s="433" t="s">
        <v>187</v>
      </c>
      <c r="B2147" s="434" t="s">
        <v>187</v>
      </c>
      <c r="C2147" s="434" t="s">
        <v>774</v>
      </c>
      <c r="D2147" s="434">
        <v>2017</v>
      </c>
      <c r="E2147" s="434" t="s">
        <v>775</v>
      </c>
      <c r="F2147" s="435">
        <v>1050</v>
      </c>
      <c r="G2147" s="435">
        <v>0</v>
      </c>
      <c r="H2147" s="436">
        <v>0</v>
      </c>
      <c r="I2147" s="435">
        <v>0</v>
      </c>
      <c r="J2147" s="435">
        <v>695</v>
      </c>
      <c r="K2147" s="435">
        <v>0</v>
      </c>
      <c r="L2147" s="435">
        <v>0</v>
      </c>
      <c r="M2147" s="435">
        <v>0</v>
      </c>
      <c r="N2147" s="435">
        <v>755</v>
      </c>
      <c r="O2147" s="435">
        <v>6</v>
      </c>
      <c r="P2147" s="435">
        <v>1593</v>
      </c>
      <c r="Q2147" s="436">
        <v>1609</v>
      </c>
      <c r="R2147" s="336">
        <f t="shared" si="255"/>
        <v>4093</v>
      </c>
      <c r="S2147" s="366">
        <f t="shared" si="256"/>
        <v>1615</v>
      </c>
      <c r="T2147" s="437"/>
      <c r="U2147" s="437"/>
      <c r="V2147" s="437"/>
      <c r="W2147" s="437"/>
      <c r="X2147" s="437"/>
    </row>
    <row r="2148" spans="1:24" ht="12.75">
      <c r="A2148" s="433" t="s">
        <v>663</v>
      </c>
      <c r="B2148" s="434" t="s">
        <v>187</v>
      </c>
      <c r="C2148" s="434" t="s">
        <v>774</v>
      </c>
      <c r="D2148" s="434">
        <v>2017</v>
      </c>
      <c r="E2148" s="434" t="s">
        <v>775</v>
      </c>
      <c r="F2148" s="435">
        <v>22</v>
      </c>
      <c r="G2148" s="435">
        <v>13</v>
      </c>
      <c r="H2148" s="436">
        <v>0</v>
      </c>
      <c r="I2148" s="435">
        <v>13</v>
      </c>
      <c r="J2148" s="435">
        <v>13</v>
      </c>
      <c r="K2148" s="435">
        <v>0</v>
      </c>
      <c r="L2148" s="435">
        <v>0</v>
      </c>
      <c r="M2148" s="435">
        <v>0</v>
      </c>
      <c r="N2148" s="435">
        <v>214</v>
      </c>
      <c r="O2148" s="435">
        <v>0</v>
      </c>
      <c r="P2148" s="435">
        <v>28</v>
      </c>
      <c r="Q2148" s="436">
        <v>43</v>
      </c>
      <c r="R2148" s="336">
        <f t="shared" si="255"/>
        <v>277</v>
      </c>
      <c r="S2148" s="366">
        <f t="shared" si="256"/>
        <v>56</v>
      </c>
      <c r="T2148" s="437"/>
      <c r="U2148" s="437"/>
      <c r="V2148" s="437"/>
      <c r="W2148" s="437"/>
      <c r="X2148" s="437"/>
    </row>
    <row r="2149" spans="1:24" ht="12.75">
      <c r="A2149" s="433" t="s">
        <v>664</v>
      </c>
      <c r="B2149" s="434" t="s">
        <v>187</v>
      </c>
      <c r="C2149" s="434" t="s">
        <v>774</v>
      </c>
      <c r="D2149" s="434">
        <v>2017</v>
      </c>
      <c r="E2149" s="434" t="s">
        <v>775</v>
      </c>
      <c r="F2149" s="435">
        <v>147</v>
      </c>
      <c r="G2149" s="435">
        <v>0</v>
      </c>
      <c r="H2149" s="436">
        <v>0</v>
      </c>
      <c r="I2149" s="435">
        <v>0</v>
      </c>
      <c r="J2149" s="435">
        <v>95</v>
      </c>
      <c r="K2149" s="435">
        <v>14</v>
      </c>
      <c r="L2149" s="435">
        <v>14</v>
      </c>
      <c r="M2149" s="435">
        <v>0</v>
      </c>
      <c r="N2149" s="435">
        <v>104</v>
      </c>
      <c r="O2149" s="435">
        <v>4</v>
      </c>
      <c r="P2149" s="435">
        <v>93</v>
      </c>
      <c r="Q2149" s="436">
        <v>7</v>
      </c>
      <c r="R2149" s="336">
        <f t="shared" si="255"/>
        <v>439</v>
      </c>
      <c r="S2149" s="366">
        <f t="shared" si="256"/>
        <v>25</v>
      </c>
      <c r="T2149" s="437"/>
      <c r="U2149" s="437"/>
      <c r="V2149" s="437"/>
      <c r="W2149" s="437"/>
      <c r="X2149" s="437"/>
    </row>
    <row r="2150" spans="1:24" ht="12.75">
      <c r="A2150" s="461" t="s">
        <v>665</v>
      </c>
      <c r="B2150" s="462" t="s">
        <v>187</v>
      </c>
      <c r="C2150" s="462" t="s">
        <v>774</v>
      </c>
      <c r="D2150" s="462">
        <v>2017</v>
      </c>
      <c r="E2150" s="462" t="s">
        <v>775</v>
      </c>
      <c r="F2150" s="436">
        <v>1640</v>
      </c>
      <c r="G2150" s="435">
        <v>46</v>
      </c>
      <c r="H2150" s="436">
        <v>46</v>
      </c>
      <c r="I2150" s="436">
        <v>0</v>
      </c>
      <c r="J2150" s="435">
        <v>906</v>
      </c>
      <c r="K2150" s="435">
        <v>20</v>
      </c>
      <c r="L2150" s="436">
        <v>20</v>
      </c>
      <c r="M2150" s="436">
        <v>0</v>
      </c>
      <c r="N2150" s="436">
        <v>932</v>
      </c>
      <c r="O2150" s="436">
        <v>47</v>
      </c>
      <c r="P2150" s="436">
        <v>1974</v>
      </c>
      <c r="Q2150" s="436">
        <v>381</v>
      </c>
      <c r="R2150" s="336">
        <f t="shared" si="255"/>
        <v>5452</v>
      </c>
      <c r="S2150" s="366">
        <f t="shared" si="256"/>
        <v>494</v>
      </c>
      <c r="T2150" s="339">
        <f>SUM(G2135:G2150)</f>
        <v>364</v>
      </c>
      <c r="U2150" s="339">
        <f>SUM(K2135:K2150)</f>
        <v>275</v>
      </c>
      <c r="V2150" s="339">
        <f>SUM(O2135:O2150)</f>
        <v>401</v>
      </c>
      <c r="W2150" s="339">
        <f>SUM(Q2135:Q2150)</f>
        <v>6828</v>
      </c>
      <c r="X2150" s="339">
        <f>T2150+U2150+V2150+W2150</f>
        <v>7868</v>
      </c>
    </row>
    <row r="2151" spans="1:24" ht="12.75">
      <c r="A2151" s="438" t="s">
        <v>651</v>
      </c>
      <c r="B2151" s="439" t="s">
        <v>187</v>
      </c>
      <c r="C2151" s="439" t="s">
        <v>774</v>
      </c>
      <c r="D2151" s="439">
        <v>2018</v>
      </c>
      <c r="E2151" s="439" t="s">
        <v>775</v>
      </c>
      <c r="F2151" s="440">
        <v>253</v>
      </c>
      <c r="G2151" s="441">
        <v>2</v>
      </c>
      <c r="H2151" s="440">
        <v>2</v>
      </c>
      <c r="I2151" s="440">
        <v>0</v>
      </c>
      <c r="J2151" s="440">
        <v>138</v>
      </c>
      <c r="K2151" s="441">
        <v>2</v>
      </c>
      <c r="L2151" s="440">
        <v>2</v>
      </c>
      <c r="M2151" s="440">
        <v>0</v>
      </c>
      <c r="N2151" s="440">
        <v>151</v>
      </c>
      <c r="O2151" s="440">
        <v>3</v>
      </c>
      <c r="P2151" s="440">
        <v>391</v>
      </c>
      <c r="Q2151" s="440">
        <v>46</v>
      </c>
      <c r="R2151" s="344">
        <f t="shared" si="255"/>
        <v>933</v>
      </c>
      <c r="S2151" s="367">
        <f t="shared" si="256"/>
        <v>53</v>
      </c>
      <c r="T2151" s="442"/>
      <c r="U2151" s="442"/>
      <c r="V2151" s="442"/>
      <c r="W2151" s="442"/>
      <c r="X2151" s="442"/>
    </row>
    <row r="2152" spans="1:24" ht="12.75">
      <c r="A2152" s="438" t="s">
        <v>652</v>
      </c>
      <c r="B2152" s="439" t="s">
        <v>187</v>
      </c>
      <c r="C2152" s="439" t="s">
        <v>774</v>
      </c>
      <c r="D2152" s="439">
        <v>2018</v>
      </c>
      <c r="E2152" s="439" t="s">
        <v>775</v>
      </c>
      <c r="F2152" s="440">
        <v>356</v>
      </c>
      <c r="G2152" s="441">
        <v>19</v>
      </c>
      <c r="H2152" s="440">
        <v>18</v>
      </c>
      <c r="I2152" s="440">
        <v>1</v>
      </c>
      <c r="J2152" s="440">
        <v>207</v>
      </c>
      <c r="K2152" s="441">
        <v>0</v>
      </c>
      <c r="L2152" s="440">
        <v>0</v>
      </c>
      <c r="M2152" s="440">
        <v>0</v>
      </c>
      <c r="N2152" s="440">
        <v>231</v>
      </c>
      <c r="O2152" s="440">
        <v>15</v>
      </c>
      <c r="P2152" s="440">
        <v>270</v>
      </c>
      <c r="Q2152" s="440">
        <v>2</v>
      </c>
      <c r="R2152" s="344">
        <f t="shared" si="255"/>
        <v>1064</v>
      </c>
      <c r="S2152" s="367">
        <f t="shared" si="256"/>
        <v>36</v>
      </c>
      <c r="T2152" s="442"/>
      <c r="U2152" s="442"/>
      <c r="V2152" s="442"/>
      <c r="W2152" s="442"/>
      <c r="X2152" s="442"/>
    </row>
    <row r="2153" spans="1:24" ht="12.75">
      <c r="A2153" s="438" t="s">
        <v>653</v>
      </c>
      <c r="B2153" s="439" t="s">
        <v>187</v>
      </c>
      <c r="C2153" s="439" t="s">
        <v>774</v>
      </c>
      <c r="D2153" s="439">
        <v>2018</v>
      </c>
      <c r="E2153" s="439" t="s">
        <v>775</v>
      </c>
      <c r="F2153" s="440">
        <v>236</v>
      </c>
      <c r="G2153" s="441">
        <v>37</v>
      </c>
      <c r="H2153" s="440">
        <v>37</v>
      </c>
      <c r="I2153" s="440">
        <v>0</v>
      </c>
      <c r="J2153" s="440">
        <v>160</v>
      </c>
      <c r="K2153" s="441">
        <v>38</v>
      </c>
      <c r="L2153" s="440">
        <v>38</v>
      </c>
      <c r="M2153" s="440">
        <v>0</v>
      </c>
      <c r="N2153" s="440">
        <v>217</v>
      </c>
      <c r="O2153" s="440">
        <v>0</v>
      </c>
      <c r="P2153" s="440">
        <v>475</v>
      </c>
      <c r="Q2153" s="440">
        <v>1</v>
      </c>
      <c r="R2153" s="344">
        <f t="shared" si="255"/>
        <v>1088</v>
      </c>
      <c r="S2153" s="367">
        <f t="shared" si="256"/>
        <v>76</v>
      </c>
      <c r="T2153" s="442"/>
      <c r="U2153" s="442"/>
      <c r="V2153" s="442"/>
      <c r="W2153" s="442"/>
      <c r="X2153" s="442"/>
    </row>
    <row r="2154" spans="1:24" ht="12.75">
      <c r="A2154" s="438" t="s">
        <v>654</v>
      </c>
      <c r="B2154" s="439" t="s">
        <v>187</v>
      </c>
      <c r="C2154" s="439" t="s">
        <v>774</v>
      </c>
      <c r="D2154" s="439">
        <v>2018</v>
      </c>
      <c r="E2154" s="439" t="s">
        <v>775</v>
      </c>
      <c r="F2154" s="440">
        <v>169</v>
      </c>
      <c r="G2154" s="441">
        <v>0</v>
      </c>
      <c r="H2154" s="440">
        <v>0</v>
      </c>
      <c r="I2154" s="440">
        <v>0</v>
      </c>
      <c r="J2154" s="440">
        <v>99</v>
      </c>
      <c r="K2154" s="441">
        <v>10</v>
      </c>
      <c r="L2154" s="440">
        <v>2</v>
      </c>
      <c r="M2154" s="440">
        <v>8</v>
      </c>
      <c r="N2154" s="440">
        <v>112</v>
      </c>
      <c r="O2154" s="440">
        <v>1</v>
      </c>
      <c r="P2154" s="440">
        <v>97</v>
      </c>
      <c r="Q2154" s="440">
        <v>60</v>
      </c>
      <c r="R2154" s="344">
        <f t="shared" si="255"/>
        <v>477</v>
      </c>
      <c r="S2154" s="367">
        <f t="shared" si="256"/>
        <v>71</v>
      </c>
      <c r="T2154" s="442"/>
      <c r="U2154" s="442"/>
      <c r="V2154" s="442"/>
      <c r="W2154" s="442"/>
      <c r="X2154" s="442"/>
    </row>
    <row r="2155" spans="1:24" ht="12.75">
      <c r="A2155" s="438" t="s">
        <v>655</v>
      </c>
      <c r="B2155" s="439" t="s">
        <v>187</v>
      </c>
      <c r="C2155" s="439" t="s">
        <v>774</v>
      </c>
      <c r="D2155" s="439">
        <v>2018</v>
      </c>
      <c r="E2155" s="439" t="s">
        <v>775</v>
      </c>
      <c r="F2155" s="440">
        <v>46</v>
      </c>
      <c r="G2155" s="441">
        <v>3</v>
      </c>
      <c r="H2155" s="440">
        <v>0</v>
      </c>
      <c r="I2155" s="440">
        <v>3</v>
      </c>
      <c r="J2155" s="440">
        <v>28</v>
      </c>
      <c r="K2155" s="441">
        <v>1</v>
      </c>
      <c r="L2155" s="440">
        <v>0</v>
      </c>
      <c r="M2155" s="440">
        <v>1</v>
      </c>
      <c r="N2155" s="440">
        <v>32</v>
      </c>
      <c r="O2155" s="440">
        <v>1</v>
      </c>
      <c r="P2155" s="440">
        <v>15</v>
      </c>
      <c r="Q2155" s="440">
        <v>23</v>
      </c>
      <c r="R2155" s="344">
        <f t="shared" si="255"/>
        <v>121</v>
      </c>
      <c r="S2155" s="367">
        <f t="shared" si="256"/>
        <v>28</v>
      </c>
      <c r="T2155" s="442"/>
      <c r="U2155" s="442"/>
      <c r="V2155" s="442"/>
      <c r="W2155" s="442"/>
      <c r="X2155" s="442"/>
    </row>
    <row r="2156" spans="1:24" ht="12.75">
      <c r="A2156" s="438" t="s">
        <v>656</v>
      </c>
      <c r="B2156" s="439" t="s">
        <v>187</v>
      </c>
      <c r="C2156" s="439" t="s">
        <v>774</v>
      </c>
      <c r="D2156" s="439">
        <v>2018</v>
      </c>
      <c r="E2156" s="439" t="s">
        <v>775</v>
      </c>
      <c r="F2156" s="440">
        <v>201</v>
      </c>
      <c r="G2156" s="441">
        <v>0</v>
      </c>
      <c r="H2156" s="440">
        <v>0</v>
      </c>
      <c r="I2156" s="440">
        <v>0</v>
      </c>
      <c r="J2156" s="440">
        <v>112</v>
      </c>
      <c r="K2156" s="441">
        <v>0</v>
      </c>
      <c r="L2156" s="440">
        <v>0</v>
      </c>
      <c r="M2156" s="440">
        <v>0</v>
      </c>
      <c r="N2156" s="440">
        <v>132</v>
      </c>
      <c r="O2156" s="440">
        <v>16</v>
      </c>
      <c r="P2156" s="440">
        <v>174</v>
      </c>
      <c r="Q2156" s="440">
        <v>7</v>
      </c>
      <c r="R2156" s="344">
        <f t="shared" si="255"/>
        <v>619</v>
      </c>
      <c r="S2156" s="367">
        <f t="shared" si="256"/>
        <v>23</v>
      </c>
      <c r="T2156" s="442"/>
      <c r="U2156" s="442"/>
      <c r="V2156" s="442"/>
      <c r="W2156" s="442"/>
      <c r="X2156" s="442"/>
    </row>
    <row r="2157" spans="1:24" ht="12.75">
      <c r="A2157" s="438" t="s">
        <v>657</v>
      </c>
      <c r="B2157" s="439" t="s">
        <v>187</v>
      </c>
      <c r="C2157" s="439" t="s">
        <v>774</v>
      </c>
      <c r="D2157" s="439">
        <v>2018</v>
      </c>
      <c r="E2157" s="439" t="s">
        <v>775</v>
      </c>
      <c r="F2157" s="440">
        <v>1004</v>
      </c>
      <c r="G2157" s="441">
        <v>10</v>
      </c>
      <c r="H2157" s="440">
        <v>10</v>
      </c>
      <c r="I2157" s="440">
        <v>0</v>
      </c>
      <c r="J2157" s="440">
        <v>570</v>
      </c>
      <c r="K2157" s="441">
        <v>0</v>
      </c>
      <c r="L2157" s="440">
        <v>0</v>
      </c>
      <c r="M2157" s="440">
        <v>0</v>
      </c>
      <c r="N2157" s="440">
        <v>565</v>
      </c>
      <c r="O2157" s="440">
        <v>0</v>
      </c>
      <c r="P2157" s="440">
        <v>1151</v>
      </c>
      <c r="Q2157" s="440">
        <v>1776</v>
      </c>
      <c r="R2157" s="344">
        <f t="shared" si="255"/>
        <v>3290</v>
      </c>
      <c r="S2157" s="367">
        <f t="shared" si="256"/>
        <v>1786</v>
      </c>
      <c r="T2157" s="442"/>
      <c r="U2157" s="442"/>
      <c r="V2157" s="442"/>
      <c r="W2157" s="442"/>
      <c r="X2157" s="442"/>
    </row>
    <row r="2158" spans="1:24" ht="12.75">
      <c r="A2158" s="438" t="s">
        <v>658</v>
      </c>
      <c r="B2158" s="439" t="s">
        <v>187</v>
      </c>
      <c r="C2158" s="439" t="s">
        <v>774</v>
      </c>
      <c r="D2158" s="439">
        <v>2018</v>
      </c>
      <c r="E2158" s="439" t="s">
        <v>775</v>
      </c>
      <c r="F2158" s="440">
        <v>23</v>
      </c>
      <c r="G2158" s="441">
        <v>8</v>
      </c>
      <c r="H2158" s="440">
        <v>0</v>
      </c>
      <c r="I2158" s="440">
        <v>8</v>
      </c>
      <c r="J2158" s="440">
        <v>13</v>
      </c>
      <c r="K2158" s="441">
        <v>0</v>
      </c>
      <c r="L2158" s="440">
        <v>0</v>
      </c>
      <c r="M2158" s="440">
        <v>0</v>
      </c>
      <c r="N2158" s="440">
        <v>13</v>
      </c>
      <c r="O2158" s="440">
        <v>0</v>
      </c>
      <c r="P2158" s="440">
        <v>12</v>
      </c>
      <c r="Q2158" s="440">
        <v>0</v>
      </c>
      <c r="R2158" s="344">
        <f t="shared" si="255"/>
        <v>61</v>
      </c>
      <c r="S2158" s="367">
        <f t="shared" si="256"/>
        <v>8</v>
      </c>
      <c r="T2158" s="442"/>
      <c r="U2158" s="442"/>
      <c r="V2158" s="442"/>
      <c r="W2158" s="442"/>
      <c r="X2158" s="442"/>
    </row>
    <row r="2159" spans="1:24" ht="12.75">
      <c r="A2159" s="438" t="s">
        <v>659</v>
      </c>
      <c r="B2159" s="439" t="s">
        <v>187</v>
      </c>
      <c r="C2159" s="439" t="s">
        <v>774</v>
      </c>
      <c r="D2159" s="439">
        <v>2018</v>
      </c>
      <c r="E2159" s="439" t="s">
        <v>775</v>
      </c>
      <c r="F2159" s="440">
        <v>273</v>
      </c>
      <c r="G2159" s="441">
        <v>39</v>
      </c>
      <c r="H2159" s="440">
        <v>39</v>
      </c>
      <c r="I2159" s="440">
        <v>0</v>
      </c>
      <c r="J2159" s="440">
        <v>154</v>
      </c>
      <c r="K2159" s="441">
        <v>24</v>
      </c>
      <c r="L2159" s="440">
        <v>24</v>
      </c>
      <c r="M2159" s="440">
        <v>0</v>
      </c>
      <c r="N2159" s="440">
        <v>185</v>
      </c>
      <c r="O2159" s="440">
        <v>263</v>
      </c>
      <c r="P2159" s="440">
        <v>316</v>
      </c>
      <c r="Q2159" s="440">
        <v>193</v>
      </c>
      <c r="R2159" s="344">
        <f t="shared" si="255"/>
        <v>928</v>
      </c>
      <c r="S2159" s="367">
        <f t="shared" si="256"/>
        <v>519</v>
      </c>
      <c r="T2159" s="442"/>
      <c r="U2159" s="442"/>
      <c r="V2159" s="442"/>
      <c r="W2159" s="442"/>
      <c r="X2159" s="442"/>
    </row>
    <row r="2160" spans="1:24" ht="12.75">
      <c r="A2160" s="438" t="s">
        <v>660</v>
      </c>
      <c r="B2160" s="439" t="s">
        <v>187</v>
      </c>
      <c r="C2160" s="439" t="s">
        <v>774</v>
      </c>
      <c r="D2160" s="439">
        <v>2018</v>
      </c>
      <c r="E2160" s="439" t="s">
        <v>775</v>
      </c>
      <c r="F2160" s="440">
        <v>814</v>
      </c>
      <c r="G2160" s="441">
        <v>0</v>
      </c>
      <c r="H2160" s="440">
        <v>0</v>
      </c>
      <c r="I2160" s="440">
        <v>0</v>
      </c>
      <c r="J2160" s="440">
        <v>492</v>
      </c>
      <c r="K2160" s="441">
        <v>10</v>
      </c>
      <c r="L2160" s="440">
        <v>10</v>
      </c>
      <c r="M2160" s="440">
        <v>0</v>
      </c>
      <c r="N2160" s="440">
        <v>527</v>
      </c>
      <c r="O2160" s="440">
        <v>0</v>
      </c>
      <c r="P2160" s="440">
        <v>1093</v>
      </c>
      <c r="Q2160" s="440">
        <v>320</v>
      </c>
      <c r="R2160" s="344">
        <f t="shared" si="255"/>
        <v>2926</v>
      </c>
      <c r="S2160" s="367">
        <f t="shared" si="256"/>
        <v>330</v>
      </c>
      <c r="T2160" s="442"/>
      <c r="U2160" s="442"/>
      <c r="V2160" s="442"/>
      <c r="W2160" s="442"/>
      <c r="X2160" s="442"/>
    </row>
    <row r="2161" spans="1:24" ht="12.75">
      <c r="A2161" s="438" t="s">
        <v>661</v>
      </c>
      <c r="B2161" s="439" t="s">
        <v>187</v>
      </c>
      <c r="C2161" s="439" t="s">
        <v>774</v>
      </c>
      <c r="D2161" s="439">
        <v>2018</v>
      </c>
      <c r="E2161" s="439" t="s">
        <v>775</v>
      </c>
      <c r="F2161" s="440">
        <v>691</v>
      </c>
      <c r="G2161" s="441">
        <v>0</v>
      </c>
      <c r="H2161" s="440">
        <v>0</v>
      </c>
      <c r="I2161" s="440">
        <v>0</v>
      </c>
      <c r="J2161" s="440">
        <v>432</v>
      </c>
      <c r="K2161" s="441">
        <v>0</v>
      </c>
      <c r="L2161" s="440">
        <v>0</v>
      </c>
      <c r="M2161" s="440">
        <v>0</v>
      </c>
      <c r="N2161" s="440">
        <v>278</v>
      </c>
      <c r="O2161" s="440">
        <v>0</v>
      </c>
      <c r="P2161" s="440">
        <v>587</v>
      </c>
      <c r="Q2161" s="440">
        <v>54</v>
      </c>
      <c r="R2161" s="344">
        <f t="shared" si="255"/>
        <v>1988</v>
      </c>
      <c r="S2161" s="367">
        <f t="shared" si="256"/>
        <v>54</v>
      </c>
      <c r="T2161" s="442"/>
      <c r="U2161" s="442"/>
      <c r="V2161" s="442"/>
      <c r="W2161" s="442"/>
      <c r="X2161" s="442"/>
    </row>
    <row r="2162" spans="1:24" ht="12.75">
      <c r="A2162" s="438" t="s">
        <v>662</v>
      </c>
      <c r="B2162" s="439" t="s">
        <v>187</v>
      </c>
      <c r="C2162" s="439" t="s">
        <v>774</v>
      </c>
      <c r="D2162" s="439">
        <v>2018</v>
      </c>
      <c r="E2162" s="439" t="s">
        <v>775</v>
      </c>
      <c r="F2162" s="440">
        <v>9233</v>
      </c>
      <c r="G2162" s="441">
        <v>146</v>
      </c>
      <c r="H2162" s="440">
        <v>146</v>
      </c>
      <c r="I2162" s="440">
        <v>0</v>
      </c>
      <c r="J2162" s="440">
        <v>5428</v>
      </c>
      <c r="K2162" s="441">
        <v>0</v>
      </c>
      <c r="L2162" s="440">
        <v>0</v>
      </c>
      <c r="M2162" s="440">
        <v>0</v>
      </c>
      <c r="N2162" s="440">
        <v>6188</v>
      </c>
      <c r="O2162" s="440">
        <v>1300</v>
      </c>
      <c r="P2162" s="440">
        <v>14231</v>
      </c>
      <c r="Q2162" s="440">
        <v>1527</v>
      </c>
      <c r="R2162" s="344">
        <f t="shared" si="255"/>
        <v>35080</v>
      </c>
      <c r="S2162" s="367">
        <f t="shared" si="256"/>
        <v>2973</v>
      </c>
      <c r="T2162" s="442"/>
      <c r="U2162" s="442"/>
      <c r="V2162" s="442"/>
      <c r="W2162" s="442"/>
      <c r="X2162" s="442"/>
    </row>
    <row r="2163" spans="1:24" ht="12.75">
      <c r="A2163" s="438" t="s">
        <v>187</v>
      </c>
      <c r="B2163" s="439" t="s">
        <v>187</v>
      </c>
      <c r="C2163" s="439" t="s">
        <v>774</v>
      </c>
      <c r="D2163" s="439">
        <v>2018</v>
      </c>
      <c r="E2163" s="439" t="s">
        <v>775</v>
      </c>
      <c r="F2163" s="440">
        <v>1050</v>
      </c>
      <c r="G2163" s="441">
        <v>0</v>
      </c>
      <c r="H2163" s="440">
        <v>0</v>
      </c>
      <c r="I2163" s="440">
        <v>0</v>
      </c>
      <c r="J2163" s="440">
        <v>695</v>
      </c>
      <c r="K2163" s="441">
        <v>0</v>
      </c>
      <c r="L2163" s="440">
        <v>0</v>
      </c>
      <c r="M2163" s="440">
        <v>0</v>
      </c>
      <c r="N2163" s="440">
        <v>755</v>
      </c>
      <c r="O2163" s="440">
        <v>5</v>
      </c>
      <c r="P2163" s="440">
        <v>1593</v>
      </c>
      <c r="Q2163" s="440">
        <v>1162</v>
      </c>
      <c r="R2163" s="344">
        <f t="shared" si="255"/>
        <v>4093</v>
      </c>
      <c r="S2163" s="367">
        <f t="shared" si="256"/>
        <v>1167</v>
      </c>
      <c r="T2163" s="442"/>
      <c r="U2163" s="442"/>
      <c r="V2163" s="442"/>
      <c r="W2163" s="442"/>
      <c r="X2163" s="442"/>
    </row>
    <row r="2164" spans="1:24" ht="12.75">
      <c r="A2164" s="438" t="s">
        <v>663</v>
      </c>
      <c r="B2164" s="439" t="s">
        <v>187</v>
      </c>
      <c r="C2164" s="439" t="s">
        <v>774</v>
      </c>
      <c r="D2164" s="439">
        <v>2018</v>
      </c>
      <c r="E2164" s="439" t="s">
        <v>775</v>
      </c>
      <c r="F2164" s="440">
        <v>22</v>
      </c>
      <c r="G2164" s="441">
        <v>22</v>
      </c>
      <c r="H2164" s="440">
        <v>0</v>
      </c>
      <c r="I2164" s="440">
        <v>22</v>
      </c>
      <c r="J2164" s="440">
        <v>13</v>
      </c>
      <c r="K2164" s="441">
        <v>0</v>
      </c>
      <c r="L2164" s="440">
        <v>0</v>
      </c>
      <c r="M2164" s="440">
        <v>0</v>
      </c>
      <c r="N2164" s="440">
        <v>214</v>
      </c>
      <c r="O2164" s="440">
        <v>65</v>
      </c>
      <c r="P2164" s="440">
        <v>28</v>
      </c>
      <c r="Q2164" s="440">
        <v>0</v>
      </c>
      <c r="R2164" s="344">
        <f t="shared" si="255"/>
        <v>277</v>
      </c>
      <c r="S2164" s="367">
        <f t="shared" si="256"/>
        <v>87</v>
      </c>
      <c r="T2164" s="442"/>
      <c r="U2164" s="442"/>
      <c r="V2164" s="442"/>
      <c r="W2164" s="442"/>
      <c r="X2164" s="442"/>
    </row>
    <row r="2165" spans="1:24" ht="12.75">
      <c r="A2165" s="438" t="s">
        <v>664</v>
      </c>
      <c r="B2165" s="439" t="s">
        <v>187</v>
      </c>
      <c r="C2165" s="439" t="s">
        <v>774</v>
      </c>
      <c r="D2165" s="439">
        <v>2018</v>
      </c>
      <c r="E2165" s="439" t="s">
        <v>775</v>
      </c>
      <c r="F2165" s="440">
        <v>147</v>
      </c>
      <c r="G2165" s="454"/>
      <c r="H2165" s="455"/>
      <c r="I2165" s="455"/>
      <c r="J2165" s="440">
        <v>95</v>
      </c>
      <c r="K2165" s="454"/>
      <c r="L2165" s="455"/>
      <c r="M2165" s="455"/>
      <c r="N2165" s="440">
        <v>104</v>
      </c>
      <c r="O2165" s="455"/>
      <c r="P2165" s="440">
        <v>93</v>
      </c>
      <c r="Q2165" s="455"/>
      <c r="R2165" s="344">
        <f t="shared" si="255"/>
        <v>439</v>
      </c>
      <c r="S2165" s="367">
        <f t="shared" si="256"/>
        <v>0</v>
      </c>
      <c r="T2165" s="442"/>
      <c r="U2165" s="442"/>
      <c r="V2165" s="442"/>
      <c r="W2165" s="442"/>
      <c r="X2165" s="442"/>
    </row>
    <row r="2166" spans="1:24" ht="12.75">
      <c r="A2166" s="438" t="s">
        <v>665</v>
      </c>
      <c r="B2166" s="439" t="s">
        <v>187</v>
      </c>
      <c r="C2166" s="439" t="s">
        <v>774</v>
      </c>
      <c r="D2166" s="439">
        <v>2018</v>
      </c>
      <c r="E2166" s="439" t="s">
        <v>775</v>
      </c>
      <c r="F2166" s="440">
        <v>1640</v>
      </c>
      <c r="G2166" s="441">
        <v>0</v>
      </c>
      <c r="H2166" s="440">
        <v>0</v>
      </c>
      <c r="I2166" s="440">
        <v>0</v>
      </c>
      <c r="J2166" s="440">
        <v>906</v>
      </c>
      <c r="K2166" s="441">
        <v>0</v>
      </c>
      <c r="L2166" s="440">
        <v>0</v>
      </c>
      <c r="M2166" s="440">
        <v>0</v>
      </c>
      <c r="N2166" s="440">
        <v>932</v>
      </c>
      <c r="O2166" s="440">
        <v>62</v>
      </c>
      <c r="P2166" s="440">
        <v>1974</v>
      </c>
      <c r="Q2166" s="440">
        <v>207</v>
      </c>
      <c r="R2166" s="344">
        <f t="shared" si="255"/>
        <v>5452</v>
      </c>
      <c r="S2166" s="367">
        <f t="shared" si="256"/>
        <v>269</v>
      </c>
      <c r="T2166" s="345">
        <f>SUM(G2151:G2166)</f>
        <v>286</v>
      </c>
      <c r="U2166" s="345">
        <f>SUM(K2151:K2166)</f>
        <v>85</v>
      </c>
      <c r="V2166" s="345">
        <f>SUM(O2151:O2166)</f>
        <v>1731</v>
      </c>
      <c r="W2166" s="345">
        <f>SUM(Q2151:Q2166)</f>
        <v>5378</v>
      </c>
      <c r="X2166" s="345">
        <f>T2166+U2166+V2166+W2166</f>
        <v>7480</v>
      </c>
    </row>
    <row r="2167" spans="1:24" ht="12.75">
      <c r="A2167" s="346" t="s">
        <v>651</v>
      </c>
      <c r="B2167" s="347" t="s">
        <v>187</v>
      </c>
      <c r="C2167" s="347" t="s">
        <v>782</v>
      </c>
      <c r="D2167" s="347">
        <v>2019</v>
      </c>
      <c r="E2167" s="347" t="s">
        <v>775</v>
      </c>
      <c r="F2167" s="348">
        <v>253</v>
      </c>
      <c r="G2167" s="348">
        <v>0</v>
      </c>
      <c r="H2167" s="348">
        <v>0</v>
      </c>
      <c r="I2167" s="348">
        <v>0</v>
      </c>
      <c r="J2167" s="348">
        <v>138</v>
      </c>
      <c r="K2167" s="348">
        <v>0</v>
      </c>
      <c r="L2167" s="348">
        <v>0</v>
      </c>
      <c r="M2167" s="348">
        <v>0</v>
      </c>
      <c r="N2167" s="348">
        <v>151</v>
      </c>
      <c r="O2167" s="348">
        <v>0</v>
      </c>
      <c r="P2167" s="348">
        <v>391</v>
      </c>
      <c r="Q2167" s="348">
        <v>36</v>
      </c>
      <c r="R2167" s="350">
        <f t="shared" si="255"/>
        <v>933</v>
      </c>
      <c r="S2167" s="348">
        <f t="shared" si="256"/>
        <v>36</v>
      </c>
      <c r="T2167" s="348"/>
      <c r="U2167" s="348"/>
      <c r="V2167" s="348"/>
      <c r="W2167" s="349"/>
      <c r="X2167" s="349"/>
    </row>
    <row r="2168" spans="1:24" ht="12.75">
      <c r="A2168" s="346" t="s">
        <v>652</v>
      </c>
      <c r="B2168" s="347" t="s">
        <v>187</v>
      </c>
      <c r="C2168" s="347" t="s">
        <v>782</v>
      </c>
      <c r="D2168" s="347">
        <v>2019</v>
      </c>
      <c r="E2168" s="347" t="s">
        <v>775</v>
      </c>
      <c r="F2168" s="348">
        <v>356</v>
      </c>
      <c r="G2168" s="348">
        <v>0</v>
      </c>
      <c r="H2168" s="348">
        <v>0</v>
      </c>
      <c r="I2168" s="348">
        <v>0</v>
      </c>
      <c r="J2168" s="348">
        <v>207</v>
      </c>
      <c r="K2168" s="348">
        <v>0</v>
      </c>
      <c r="L2168" s="348">
        <v>0</v>
      </c>
      <c r="M2168" s="348">
        <v>0</v>
      </c>
      <c r="N2168" s="348">
        <v>231</v>
      </c>
      <c r="O2168" s="348">
        <v>15</v>
      </c>
      <c r="P2168" s="348">
        <v>270</v>
      </c>
      <c r="Q2168" s="348">
        <v>24</v>
      </c>
      <c r="R2168" s="350">
        <f t="shared" si="255"/>
        <v>1064</v>
      </c>
      <c r="S2168" s="348">
        <f t="shared" si="256"/>
        <v>39</v>
      </c>
      <c r="T2168" s="348"/>
      <c r="U2168" s="348"/>
      <c r="V2168" s="348"/>
      <c r="W2168" s="349"/>
      <c r="X2168" s="349"/>
    </row>
    <row r="2169" spans="1:24" ht="12.75">
      <c r="A2169" s="346" t="s">
        <v>653</v>
      </c>
      <c r="B2169" s="347" t="s">
        <v>187</v>
      </c>
      <c r="C2169" s="347" t="s">
        <v>782</v>
      </c>
      <c r="D2169" s="347">
        <v>2019</v>
      </c>
      <c r="E2169" s="347" t="s">
        <v>775</v>
      </c>
      <c r="F2169" s="348">
        <v>236</v>
      </c>
      <c r="G2169" s="348">
        <v>0</v>
      </c>
      <c r="H2169" s="348">
        <v>0</v>
      </c>
      <c r="I2169" s="348">
        <v>0</v>
      </c>
      <c r="J2169" s="348">
        <v>160</v>
      </c>
      <c r="K2169" s="348">
        <v>0</v>
      </c>
      <c r="L2169" s="348">
        <v>0</v>
      </c>
      <c r="M2169" s="348">
        <v>0</v>
      </c>
      <c r="N2169" s="348">
        <v>217</v>
      </c>
      <c r="O2169" s="348">
        <v>10</v>
      </c>
      <c r="P2169" s="348">
        <v>475</v>
      </c>
      <c r="Q2169" s="348">
        <v>153</v>
      </c>
      <c r="R2169" s="350">
        <f t="shared" si="255"/>
        <v>1088</v>
      </c>
      <c r="S2169" s="348">
        <f t="shared" si="256"/>
        <v>163</v>
      </c>
      <c r="T2169" s="348"/>
      <c r="U2169" s="348"/>
      <c r="V2169" s="348"/>
      <c r="W2169" s="349"/>
      <c r="X2169" s="349"/>
    </row>
    <row r="2170" spans="1:24" ht="12.75">
      <c r="A2170" s="346" t="s">
        <v>654</v>
      </c>
      <c r="B2170" s="347" t="s">
        <v>187</v>
      </c>
      <c r="C2170" s="347" t="s">
        <v>782</v>
      </c>
      <c r="D2170" s="347">
        <v>2019</v>
      </c>
      <c r="E2170" s="347" t="s">
        <v>775</v>
      </c>
      <c r="F2170" s="348">
        <v>169</v>
      </c>
      <c r="G2170" s="348">
        <v>0</v>
      </c>
      <c r="H2170" s="348">
        <v>0</v>
      </c>
      <c r="I2170" s="348">
        <v>0</v>
      </c>
      <c r="J2170" s="348">
        <v>99</v>
      </c>
      <c r="K2170" s="348">
        <v>0</v>
      </c>
      <c r="L2170" s="348">
        <v>0</v>
      </c>
      <c r="M2170" s="348">
        <v>0</v>
      </c>
      <c r="N2170" s="348">
        <v>112</v>
      </c>
      <c r="O2170" s="348">
        <v>0</v>
      </c>
      <c r="P2170" s="348">
        <v>97</v>
      </c>
      <c r="Q2170" s="348">
        <v>107</v>
      </c>
      <c r="R2170" s="350">
        <f t="shared" si="255"/>
        <v>477</v>
      </c>
      <c r="S2170" s="348">
        <f t="shared" si="256"/>
        <v>107</v>
      </c>
      <c r="T2170" s="348"/>
      <c r="U2170" s="348"/>
      <c r="V2170" s="348"/>
      <c r="W2170" s="349"/>
      <c r="X2170" s="349"/>
    </row>
    <row r="2171" spans="1:24" ht="12.75">
      <c r="A2171" s="346" t="s">
        <v>655</v>
      </c>
      <c r="B2171" s="347" t="s">
        <v>187</v>
      </c>
      <c r="C2171" s="347" t="s">
        <v>782</v>
      </c>
      <c r="D2171" s="347">
        <v>2019</v>
      </c>
      <c r="E2171" s="347" t="s">
        <v>775</v>
      </c>
      <c r="F2171" s="348">
        <v>46</v>
      </c>
      <c r="G2171" s="348">
        <v>5</v>
      </c>
      <c r="H2171" s="348">
        <v>0</v>
      </c>
      <c r="I2171" s="348">
        <v>5</v>
      </c>
      <c r="J2171" s="348">
        <v>28</v>
      </c>
      <c r="K2171" s="348">
        <v>2</v>
      </c>
      <c r="L2171" s="348">
        <v>0</v>
      </c>
      <c r="M2171" s="348">
        <v>2</v>
      </c>
      <c r="N2171" s="348">
        <v>32</v>
      </c>
      <c r="O2171" s="348">
        <v>1</v>
      </c>
      <c r="P2171" s="348">
        <v>15</v>
      </c>
      <c r="Q2171" s="348">
        <v>11</v>
      </c>
      <c r="R2171" s="350">
        <f t="shared" si="255"/>
        <v>121</v>
      </c>
      <c r="S2171" s="348">
        <f t="shared" si="256"/>
        <v>19</v>
      </c>
      <c r="T2171" s="348"/>
      <c r="U2171" s="348"/>
      <c r="V2171" s="348"/>
      <c r="W2171" s="349"/>
      <c r="X2171" s="349"/>
    </row>
    <row r="2172" spans="1:24" ht="12.75">
      <c r="A2172" s="346" t="s">
        <v>656</v>
      </c>
      <c r="B2172" s="347" t="s">
        <v>187</v>
      </c>
      <c r="C2172" s="347" t="s">
        <v>782</v>
      </c>
      <c r="D2172" s="347">
        <v>2019</v>
      </c>
      <c r="E2172" s="347" t="s">
        <v>775</v>
      </c>
      <c r="F2172" s="348">
        <v>201</v>
      </c>
      <c r="G2172" s="348">
        <v>0</v>
      </c>
      <c r="H2172" s="348">
        <v>0</v>
      </c>
      <c r="I2172" s="348">
        <v>0</v>
      </c>
      <c r="J2172" s="348">
        <v>112</v>
      </c>
      <c r="K2172" s="348">
        <v>0</v>
      </c>
      <c r="L2172" s="348">
        <v>0</v>
      </c>
      <c r="M2172" s="348">
        <v>0</v>
      </c>
      <c r="N2172" s="348">
        <v>132</v>
      </c>
      <c r="O2172" s="348">
        <v>28</v>
      </c>
      <c r="P2172" s="348">
        <v>174</v>
      </c>
      <c r="Q2172" s="348">
        <v>3</v>
      </c>
      <c r="R2172" s="350">
        <f t="shared" si="255"/>
        <v>619</v>
      </c>
      <c r="S2172" s="348">
        <f t="shared" si="256"/>
        <v>31</v>
      </c>
      <c r="T2172" s="348"/>
      <c r="U2172" s="348"/>
      <c r="V2172" s="348"/>
      <c r="W2172" s="349"/>
      <c r="X2172" s="349"/>
    </row>
    <row r="2173" spans="1:24" ht="12.75">
      <c r="A2173" s="346" t="s">
        <v>657</v>
      </c>
      <c r="B2173" s="347" t="s">
        <v>187</v>
      </c>
      <c r="C2173" s="347" t="s">
        <v>782</v>
      </c>
      <c r="D2173" s="347">
        <v>2019</v>
      </c>
      <c r="E2173" s="347" t="s">
        <v>775</v>
      </c>
      <c r="F2173" s="348">
        <v>1004</v>
      </c>
      <c r="G2173" s="348">
        <v>0</v>
      </c>
      <c r="H2173" s="348">
        <v>0</v>
      </c>
      <c r="I2173" s="348">
        <v>0</v>
      </c>
      <c r="J2173" s="348">
        <v>570</v>
      </c>
      <c r="K2173" s="348">
        <v>0</v>
      </c>
      <c r="L2173" s="348">
        <v>0</v>
      </c>
      <c r="M2173" s="348">
        <v>0</v>
      </c>
      <c r="N2173" s="348">
        <v>565</v>
      </c>
      <c r="O2173" s="348">
        <v>0</v>
      </c>
      <c r="P2173" s="348">
        <v>1151</v>
      </c>
      <c r="Q2173" s="348">
        <v>141</v>
      </c>
      <c r="R2173" s="350">
        <f t="shared" si="255"/>
        <v>3290</v>
      </c>
      <c r="S2173" s="348">
        <f t="shared" si="256"/>
        <v>141</v>
      </c>
      <c r="T2173" s="348"/>
      <c r="U2173" s="348"/>
      <c r="V2173" s="348"/>
      <c r="W2173" s="349"/>
      <c r="X2173" s="349"/>
    </row>
    <row r="2174" spans="1:24" ht="12.75">
      <c r="A2174" s="346" t="s">
        <v>658</v>
      </c>
      <c r="B2174" s="347" t="s">
        <v>187</v>
      </c>
      <c r="C2174" s="347" t="s">
        <v>782</v>
      </c>
      <c r="D2174" s="347">
        <v>2019</v>
      </c>
      <c r="E2174" s="347" t="s">
        <v>775</v>
      </c>
      <c r="F2174" s="348">
        <v>23</v>
      </c>
      <c r="G2174" s="348">
        <v>14</v>
      </c>
      <c r="H2174" s="348">
        <v>0</v>
      </c>
      <c r="I2174" s="348">
        <v>14</v>
      </c>
      <c r="J2174" s="348">
        <v>13</v>
      </c>
      <c r="K2174" s="348">
        <v>0</v>
      </c>
      <c r="L2174" s="348">
        <v>0</v>
      </c>
      <c r="M2174" s="348">
        <v>0</v>
      </c>
      <c r="N2174" s="348">
        <v>13</v>
      </c>
      <c r="O2174" s="348">
        <v>0</v>
      </c>
      <c r="P2174" s="348">
        <v>12</v>
      </c>
      <c r="Q2174" s="348">
        <v>12</v>
      </c>
      <c r="R2174" s="350">
        <f t="shared" si="255"/>
        <v>61</v>
      </c>
      <c r="S2174" s="348">
        <f t="shared" si="256"/>
        <v>26</v>
      </c>
      <c r="T2174" s="348"/>
      <c r="U2174" s="348"/>
      <c r="V2174" s="348"/>
      <c r="W2174" s="349"/>
      <c r="X2174" s="349"/>
    </row>
    <row r="2175" spans="1:24" ht="12.75">
      <c r="A2175" s="346" t="s">
        <v>659</v>
      </c>
      <c r="B2175" s="347" t="s">
        <v>187</v>
      </c>
      <c r="C2175" s="347" t="s">
        <v>782</v>
      </c>
      <c r="D2175" s="347">
        <v>2019</v>
      </c>
      <c r="E2175" s="347" t="s">
        <v>775</v>
      </c>
      <c r="F2175" s="348">
        <v>273</v>
      </c>
      <c r="G2175" s="348">
        <v>0</v>
      </c>
      <c r="H2175" s="348">
        <v>0</v>
      </c>
      <c r="I2175" s="348">
        <v>0</v>
      </c>
      <c r="J2175" s="348">
        <v>154</v>
      </c>
      <c r="K2175" s="348">
        <v>11</v>
      </c>
      <c r="L2175" s="348">
        <v>11</v>
      </c>
      <c r="M2175" s="348">
        <v>0</v>
      </c>
      <c r="N2175" s="348">
        <v>185</v>
      </c>
      <c r="O2175" s="348">
        <v>14</v>
      </c>
      <c r="P2175" s="348">
        <v>316</v>
      </c>
      <c r="Q2175" s="348">
        <v>142</v>
      </c>
      <c r="R2175" s="350">
        <f t="shared" si="255"/>
        <v>928</v>
      </c>
      <c r="S2175" s="348">
        <f t="shared" si="256"/>
        <v>167</v>
      </c>
      <c r="T2175" s="348"/>
      <c r="U2175" s="348"/>
      <c r="V2175" s="348"/>
      <c r="W2175" s="349"/>
      <c r="X2175" s="349"/>
    </row>
    <row r="2176" spans="1:24" ht="12.75">
      <c r="A2176" s="346" t="s">
        <v>660</v>
      </c>
      <c r="B2176" s="347" t="s">
        <v>187</v>
      </c>
      <c r="C2176" s="347" t="s">
        <v>782</v>
      </c>
      <c r="D2176" s="347">
        <v>2019</v>
      </c>
      <c r="E2176" s="347" t="s">
        <v>775</v>
      </c>
      <c r="F2176" s="348">
        <v>814</v>
      </c>
      <c r="G2176" s="348">
        <v>61</v>
      </c>
      <c r="H2176" s="348">
        <v>61</v>
      </c>
      <c r="I2176" s="348">
        <v>0</v>
      </c>
      <c r="J2176" s="348">
        <v>492</v>
      </c>
      <c r="K2176" s="348">
        <v>0</v>
      </c>
      <c r="L2176" s="348">
        <v>0</v>
      </c>
      <c r="M2176" s="348">
        <v>0</v>
      </c>
      <c r="N2176" s="348">
        <v>527</v>
      </c>
      <c r="O2176" s="348">
        <v>0</v>
      </c>
      <c r="P2176" s="348">
        <v>1093</v>
      </c>
      <c r="Q2176" s="348">
        <v>233</v>
      </c>
      <c r="R2176" s="350">
        <f t="shared" si="255"/>
        <v>2926</v>
      </c>
      <c r="S2176" s="348">
        <f t="shared" si="256"/>
        <v>294</v>
      </c>
      <c r="T2176" s="348"/>
      <c r="U2176" s="348"/>
      <c r="V2176" s="348"/>
      <c r="W2176" s="349"/>
      <c r="X2176" s="349"/>
    </row>
    <row r="2177" spans="1:24" ht="12.75">
      <c r="A2177" s="346" t="s">
        <v>661</v>
      </c>
      <c r="B2177" s="347" t="s">
        <v>187</v>
      </c>
      <c r="C2177" s="347" t="s">
        <v>782</v>
      </c>
      <c r="D2177" s="347">
        <v>2019</v>
      </c>
      <c r="E2177" s="347" t="s">
        <v>775</v>
      </c>
      <c r="F2177" s="348">
        <v>691</v>
      </c>
      <c r="G2177" s="348">
        <v>0</v>
      </c>
      <c r="H2177" s="348">
        <v>0</v>
      </c>
      <c r="I2177" s="348">
        <v>0</v>
      </c>
      <c r="J2177" s="348">
        <v>432</v>
      </c>
      <c r="K2177" s="348">
        <v>2</v>
      </c>
      <c r="L2177" s="348">
        <v>2</v>
      </c>
      <c r="M2177" s="348">
        <v>0</v>
      </c>
      <c r="N2177" s="348">
        <v>278</v>
      </c>
      <c r="O2177" s="348">
        <v>0</v>
      </c>
      <c r="P2177" s="348">
        <v>587</v>
      </c>
      <c r="Q2177" s="348">
        <v>105</v>
      </c>
      <c r="R2177" s="350">
        <f t="shared" si="255"/>
        <v>1988</v>
      </c>
      <c r="S2177" s="348">
        <f t="shared" si="256"/>
        <v>107</v>
      </c>
      <c r="T2177" s="348"/>
      <c r="U2177" s="348"/>
      <c r="V2177" s="348"/>
      <c r="W2177" s="349"/>
      <c r="X2177" s="349"/>
    </row>
    <row r="2178" spans="1:24" ht="12.75">
      <c r="A2178" s="346" t="s">
        <v>662</v>
      </c>
      <c r="B2178" s="347" t="s">
        <v>187</v>
      </c>
      <c r="C2178" s="347" t="s">
        <v>782</v>
      </c>
      <c r="D2178" s="347">
        <v>2019</v>
      </c>
      <c r="E2178" s="347" t="s">
        <v>775</v>
      </c>
      <c r="F2178" s="348">
        <v>9233</v>
      </c>
      <c r="G2178" s="348">
        <v>134</v>
      </c>
      <c r="H2178" s="348">
        <v>134</v>
      </c>
      <c r="I2178" s="348">
        <v>0</v>
      </c>
      <c r="J2178" s="348">
        <v>5428</v>
      </c>
      <c r="K2178" s="348">
        <v>0</v>
      </c>
      <c r="L2178" s="348">
        <v>0</v>
      </c>
      <c r="M2178" s="348">
        <v>0</v>
      </c>
      <c r="N2178" s="348">
        <v>6188</v>
      </c>
      <c r="O2178" s="348">
        <v>719</v>
      </c>
      <c r="P2178" s="348">
        <v>14231</v>
      </c>
      <c r="Q2178" s="348">
        <v>1572</v>
      </c>
      <c r="R2178" s="350">
        <f t="shared" si="255"/>
        <v>35080</v>
      </c>
      <c r="S2178" s="348">
        <f t="shared" si="256"/>
        <v>2425</v>
      </c>
      <c r="T2178" s="348"/>
      <c r="U2178" s="348"/>
      <c r="V2178" s="348"/>
      <c r="W2178" s="349"/>
      <c r="X2178" s="349"/>
    </row>
    <row r="2179" spans="1:24" ht="12.75">
      <c r="A2179" s="346" t="s">
        <v>187</v>
      </c>
      <c r="B2179" s="347" t="s">
        <v>187</v>
      </c>
      <c r="C2179" s="347" t="s">
        <v>782</v>
      </c>
      <c r="D2179" s="347">
        <v>2019</v>
      </c>
      <c r="E2179" s="347" t="s">
        <v>775</v>
      </c>
      <c r="F2179" s="348">
        <v>1050</v>
      </c>
      <c r="G2179" s="348">
        <v>130</v>
      </c>
      <c r="H2179" s="348">
        <v>130</v>
      </c>
      <c r="I2179" s="348">
        <v>0</v>
      </c>
      <c r="J2179" s="348">
        <v>695</v>
      </c>
      <c r="K2179" s="348">
        <v>15</v>
      </c>
      <c r="L2179" s="348">
        <v>15</v>
      </c>
      <c r="M2179" s="348">
        <v>0</v>
      </c>
      <c r="N2179" s="348">
        <v>755</v>
      </c>
      <c r="O2179" s="348">
        <v>8</v>
      </c>
      <c r="P2179" s="348">
        <v>1593</v>
      </c>
      <c r="Q2179" s="348">
        <v>626</v>
      </c>
      <c r="R2179" s="350">
        <f t="shared" si="255"/>
        <v>4093</v>
      </c>
      <c r="S2179" s="348">
        <f t="shared" si="256"/>
        <v>779</v>
      </c>
      <c r="T2179" s="348"/>
      <c r="U2179" s="348"/>
      <c r="V2179" s="348"/>
      <c r="W2179" s="349"/>
      <c r="X2179" s="349"/>
    </row>
    <row r="2180" spans="1:24" ht="12.75">
      <c r="A2180" s="346" t="s">
        <v>663</v>
      </c>
      <c r="B2180" s="347" t="s">
        <v>187</v>
      </c>
      <c r="C2180" s="347" t="s">
        <v>782</v>
      </c>
      <c r="D2180" s="347">
        <v>2019</v>
      </c>
      <c r="E2180" s="347" t="s">
        <v>775</v>
      </c>
      <c r="F2180" s="348">
        <v>22</v>
      </c>
      <c r="G2180" s="348">
        <v>24</v>
      </c>
      <c r="H2180" s="348">
        <v>0</v>
      </c>
      <c r="I2180" s="348">
        <v>24</v>
      </c>
      <c r="J2180" s="348">
        <v>13</v>
      </c>
      <c r="K2180" s="348">
        <v>0</v>
      </c>
      <c r="L2180" s="348">
        <v>0</v>
      </c>
      <c r="M2180" s="348">
        <v>0</v>
      </c>
      <c r="N2180" s="348">
        <v>214</v>
      </c>
      <c r="O2180" s="348">
        <v>2532</v>
      </c>
      <c r="P2180" s="348">
        <v>28</v>
      </c>
      <c r="Q2180" s="348">
        <v>41</v>
      </c>
      <c r="R2180" s="350">
        <f t="shared" si="255"/>
        <v>277</v>
      </c>
      <c r="S2180" s="348">
        <f t="shared" si="256"/>
        <v>2597</v>
      </c>
      <c r="T2180" s="348"/>
      <c r="U2180" s="348"/>
      <c r="V2180" s="348"/>
      <c r="W2180" s="349"/>
      <c r="X2180" s="349"/>
    </row>
    <row r="2181" spans="1:24" ht="12.75">
      <c r="A2181" s="346" t="s">
        <v>664</v>
      </c>
      <c r="B2181" s="347" t="s">
        <v>187</v>
      </c>
      <c r="C2181" s="347" t="s">
        <v>782</v>
      </c>
      <c r="D2181" s="347">
        <v>2019</v>
      </c>
      <c r="E2181" s="347" t="s">
        <v>775</v>
      </c>
      <c r="F2181" s="348">
        <v>147</v>
      </c>
      <c r="G2181" s="348">
        <v>0</v>
      </c>
      <c r="H2181" s="348">
        <v>0</v>
      </c>
      <c r="I2181" s="348">
        <v>0</v>
      </c>
      <c r="J2181" s="348">
        <v>95</v>
      </c>
      <c r="K2181" s="348">
        <v>17</v>
      </c>
      <c r="L2181" s="348">
        <v>17</v>
      </c>
      <c r="M2181" s="348">
        <v>0</v>
      </c>
      <c r="N2181" s="348">
        <v>104</v>
      </c>
      <c r="O2181" s="348">
        <v>8</v>
      </c>
      <c r="P2181" s="348">
        <v>93</v>
      </c>
      <c r="Q2181" s="348">
        <v>3</v>
      </c>
      <c r="R2181" s="350">
        <f t="shared" si="255"/>
        <v>439</v>
      </c>
      <c r="S2181" s="348">
        <f t="shared" si="256"/>
        <v>28</v>
      </c>
      <c r="T2181" s="349"/>
      <c r="U2181" s="349"/>
      <c r="V2181" s="349"/>
      <c r="W2181" s="349"/>
      <c r="X2181" s="349"/>
    </row>
    <row r="2182" spans="1:24" ht="12.75">
      <c r="A2182" s="346" t="s">
        <v>665</v>
      </c>
      <c r="B2182" s="347" t="s">
        <v>187</v>
      </c>
      <c r="C2182" s="347" t="s">
        <v>782</v>
      </c>
      <c r="D2182" s="347">
        <v>2019</v>
      </c>
      <c r="E2182" s="347" t="s">
        <v>775</v>
      </c>
      <c r="F2182" s="348">
        <v>1640</v>
      </c>
      <c r="G2182" s="348">
        <v>25</v>
      </c>
      <c r="H2182" s="348">
        <v>25</v>
      </c>
      <c r="I2182" s="348">
        <v>0</v>
      </c>
      <c r="J2182" s="348">
        <v>906</v>
      </c>
      <c r="K2182" s="348">
        <v>0</v>
      </c>
      <c r="L2182" s="348">
        <v>0</v>
      </c>
      <c r="M2182" s="348">
        <v>0</v>
      </c>
      <c r="N2182" s="348">
        <v>932</v>
      </c>
      <c r="O2182" s="348">
        <v>40</v>
      </c>
      <c r="P2182" s="348">
        <v>1974</v>
      </c>
      <c r="Q2182" s="348">
        <v>609</v>
      </c>
      <c r="R2182" s="350">
        <f t="shared" si="255"/>
        <v>5452</v>
      </c>
      <c r="S2182" s="348">
        <f t="shared" si="256"/>
        <v>674</v>
      </c>
      <c r="T2182" s="352">
        <f>SUM(G2167:G2182)</f>
        <v>393</v>
      </c>
      <c r="U2182" s="352">
        <f>SUM(K2167:K2182)</f>
        <v>47</v>
      </c>
      <c r="V2182" s="352">
        <f>SUM(O2167:O2182)</f>
        <v>3375</v>
      </c>
      <c r="W2182" s="352">
        <f>SUM(Q2167:Q2182)</f>
        <v>3818</v>
      </c>
      <c r="X2182" s="352">
        <f>T2182+U2182+V2182+W2182</f>
        <v>7633</v>
      </c>
    </row>
    <row r="2183" spans="1:24" ht="12.75">
      <c r="A2183" s="444"/>
      <c r="B2183" s="445"/>
      <c r="C2183" s="445"/>
      <c r="D2183" s="445"/>
      <c r="E2183" s="445"/>
      <c r="F2183" s="446"/>
      <c r="G2183" s="446"/>
      <c r="H2183" s="447"/>
      <c r="I2183" s="446"/>
      <c r="J2183" s="446"/>
      <c r="K2183" s="446"/>
      <c r="L2183" s="446"/>
      <c r="M2183" s="446"/>
      <c r="N2183" s="446"/>
      <c r="O2183" s="446"/>
      <c r="P2183" s="446"/>
      <c r="Q2183" s="447"/>
      <c r="R2183" s="393"/>
      <c r="S2183" s="361" t="s">
        <v>783</v>
      </c>
      <c r="T2183" s="448">
        <f t="shared" ref="T2183:X2183" si="257">SUM(T2099:T2182)</f>
        <v>1948</v>
      </c>
      <c r="U2183" s="448">
        <f t="shared" si="257"/>
        <v>1263</v>
      </c>
      <c r="V2183" s="448">
        <f t="shared" si="257"/>
        <v>5791</v>
      </c>
      <c r="W2183" s="448">
        <f t="shared" si="257"/>
        <v>30579</v>
      </c>
      <c r="X2183" s="448">
        <f t="shared" si="257"/>
        <v>39581</v>
      </c>
    </row>
    <row r="2184" spans="1:24" ht="12.75">
      <c r="A2184" s="449"/>
      <c r="B2184" s="450"/>
      <c r="C2184" s="450"/>
      <c r="D2184" s="450"/>
      <c r="E2184" s="450"/>
      <c r="F2184" s="451"/>
      <c r="G2184" s="451"/>
      <c r="H2184" s="452"/>
      <c r="I2184" s="451"/>
      <c r="J2184" s="451"/>
      <c r="K2184" s="451"/>
      <c r="L2184" s="451"/>
      <c r="M2184" s="451"/>
      <c r="N2184" s="451"/>
      <c r="O2184" s="451"/>
      <c r="P2184" s="451"/>
      <c r="Q2184" s="452"/>
      <c r="R2184" s="182"/>
      <c r="S2184" s="362"/>
      <c r="T2184" s="97"/>
      <c r="U2184" s="97"/>
      <c r="V2184" s="97"/>
      <c r="W2184" s="97"/>
      <c r="X2184" s="97"/>
    </row>
    <row r="2185" spans="1:24" ht="12.75">
      <c r="A2185" s="422" t="s">
        <v>879</v>
      </c>
      <c r="B2185" s="423" t="s">
        <v>188</v>
      </c>
      <c r="C2185" s="423" t="s">
        <v>177</v>
      </c>
      <c r="D2185" s="423">
        <v>2015</v>
      </c>
      <c r="E2185" s="423" t="s">
        <v>775</v>
      </c>
      <c r="F2185" s="424">
        <v>34</v>
      </c>
      <c r="G2185" s="424">
        <v>0</v>
      </c>
      <c r="H2185" s="425">
        <v>0</v>
      </c>
      <c r="I2185" s="424">
        <v>0</v>
      </c>
      <c r="J2185" s="424">
        <v>23</v>
      </c>
      <c r="K2185" s="424">
        <v>0</v>
      </c>
      <c r="L2185" s="424">
        <v>0</v>
      </c>
      <c r="M2185" s="424">
        <v>0</v>
      </c>
      <c r="N2185" s="424">
        <v>26</v>
      </c>
      <c r="O2185" s="424">
        <v>0</v>
      </c>
      <c r="P2185" s="424">
        <v>60</v>
      </c>
      <c r="Q2185" s="425">
        <v>2</v>
      </c>
      <c r="R2185" s="319">
        <f t="shared" ref="R2185:R2208" si="258">F2185+J2185+N2185+P2185</f>
        <v>143</v>
      </c>
      <c r="S2185" s="364">
        <f t="shared" ref="S2185:S2208" si="259">K2185+O2185+G2185+Q2185</f>
        <v>2</v>
      </c>
      <c r="T2185" s="426"/>
      <c r="U2185" s="426"/>
      <c r="V2185" s="426"/>
      <c r="W2185" s="426"/>
      <c r="X2185" s="426"/>
    </row>
    <row r="2186" spans="1:24" ht="12.75">
      <c r="A2186" s="422" t="s">
        <v>880</v>
      </c>
      <c r="B2186" s="423" t="s">
        <v>188</v>
      </c>
      <c r="C2186" s="423" t="s">
        <v>177</v>
      </c>
      <c r="D2186" s="423">
        <v>2015</v>
      </c>
      <c r="E2186" s="423" t="s">
        <v>775</v>
      </c>
      <c r="F2186" s="424">
        <v>180</v>
      </c>
      <c r="G2186" s="424">
        <v>5</v>
      </c>
      <c r="H2186" s="425">
        <v>5</v>
      </c>
      <c r="I2186" s="424">
        <v>0</v>
      </c>
      <c r="J2186" s="424">
        <v>118</v>
      </c>
      <c r="K2186" s="424">
        <v>7</v>
      </c>
      <c r="L2186" s="424">
        <v>7</v>
      </c>
      <c r="M2186" s="424">
        <v>0</v>
      </c>
      <c r="N2186" s="424">
        <v>136</v>
      </c>
      <c r="O2186" s="424">
        <v>39</v>
      </c>
      <c r="P2186" s="424">
        <v>313</v>
      </c>
      <c r="Q2186" s="425">
        <v>94</v>
      </c>
      <c r="R2186" s="319">
        <f t="shared" si="258"/>
        <v>747</v>
      </c>
      <c r="S2186" s="364">
        <f t="shared" si="259"/>
        <v>145</v>
      </c>
      <c r="T2186" s="426"/>
      <c r="U2186" s="426"/>
      <c r="V2186" s="426"/>
      <c r="W2186" s="426"/>
      <c r="X2186" s="426"/>
    </row>
    <row r="2187" spans="1:24" ht="12.75">
      <c r="A2187" s="422" t="s">
        <v>881</v>
      </c>
      <c r="B2187" s="423" t="s">
        <v>188</v>
      </c>
      <c r="C2187" s="423" t="s">
        <v>177</v>
      </c>
      <c r="D2187" s="423">
        <v>2015</v>
      </c>
      <c r="E2187" s="423" t="s">
        <v>775</v>
      </c>
      <c r="F2187" s="424">
        <v>317</v>
      </c>
      <c r="G2187" s="424">
        <v>1</v>
      </c>
      <c r="H2187" s="425">
        <v>1</v>
      </c>
      <c r="I2187" s="424">
        <v>0</v>
      </c>
      <c r="J2187" s="424">
        <v>207</v>
      </c>
      <c r="K2187" s="424">
        <v>2</v>
      </c>
      <c r="L2187" s="424">
        <v>2</v>
      </c>
      <c r="M2187" s="424">
        <v>0</v>
      </c>
      <c r="N2187" s="424">
        <v>239</v>
      </c>
      <c r="O2187" s="424">
        <v>84</v>
      </c>
      <c r="P2187" s="424">
        <v>551</v>
      </c>
      <c r="Q2187" s="425">
        <v>33</v>
      </c>
      <c r="R2187" s="319">
        <f t="shared" si="258"/>
        <v>1314</v>
      </c>
      <c r="S2187" s="364">
        <f t="shared" si="259"/>
        <v>120</v>
      </c>
      <c r="T2187" s="426"/>
      <c r="U2187" s="426"/>
      <c r="V2187" s="426"/>
      <c r="W2187" s="426"/>
      <c r="X2187" s="426"/>
    </row>
    <row r="2188" spans="1:24" ht="12.75">
      <c r="A2188" s="422" t="s">
        <v>882</v>
      </c>
      <c r="B2188" s="423" t="s">
        <v>188</v>
      </c>
      <c r="C2188" s="423" t="s">
        <v>177</v>
      </c>
      <c r="D2188" s="423">
        <v>2015</v>
      </c>
      <c r="E2188" s="423" t="s">
        <v>775</v>
      </c>
      <c r="F2188" s="424">
        <v>34</v>
      </c>
      <c r="G2188" s="424">
        <v>0</v>
      </c>
      <c r="H2188" s="425">
        <v>0</v>
      </c>
      <c r="I2188" s="424">
        <v>0</v>
      </c>
      <c r="J2188" s="424">
        <v>22</v>
      </c>
      <c r="K2188" s="424">
        <v>0</v>
      </c>
      <c r="L2188" s="424">
        <v>0</v>
      </c>
      <c r="M2188" s="424">
        <v>0</v>
      </c>
      <c r="N2188" s="424">
        <v>26</v>
      </c>
      <c r="O2188" s="424">
        <v>0</v>
      </c>
      <c r="P2188" s="424">
        <v>58</v>
      </c>
      <c r="Q2188" s="425">
        <v>5</v>
      </c>
      <c r="R2188" s="319">
        <f t="shared" si="258"/>
        <v>140</v>
      </c>
      <c r="S2188" s="364">
        <f t="shared" si="259"/>
        <v>5</v>
      </c>
      <c r="T2188" s="323">
        <f>SUM(G2185:G2188)</f>
        <v>6</v>
      </c>
      <c r="U2188" s="323">
        <f>SUM(K2185:K2188)</f>
        <v>9</v>
      </c>
      <c r="V2188" s="323">
        <f>SUM(O2185:O2188)</f>
        <v>123</v>
      </c>
      <c r="W2188" s="323">
        <f>SUM(Q2185:Q2188)</f>
        <v>134</v>
      </c>
      <c r="X2188" s="323">
        <f>T2188+U2188+V2188+W2188</f>
        <v>272</v>
      </c>
    </row>
    <row r="2189" spans="1:24" ht="12.75">
      <c r="A2189" s="428" t="s">
        <v>666</v>
      </c>
      <c r="B2189" s="429" t="s">
        <v>188</v>
      </c>
      <c r="C2189" s="429" t="s">
        <v>177</v>
      </c>
      <c r="D2189" s="429">
        <v>2016</v>
      </c>
      <c r="E2189" s="429" t="s">
        <v>775</v>
      </c>
      <c r="F2189" s="430">
        <v>34</v>
      </c>
      <c r="G2189" s="430">
        <v>0</v>
      </c>
      <c r="H2189" s="431">
        <v>0</v>
      </c>
      <c r="I2189" s="430">
        <v>0</v>
      </c>
      <c r="J2189" s="430">
        <v>23</v>
      </c>
      <c r="K2189" s="430">
        <v>0</v>
      </c>
      <c r="L2189" s="430">
        <v>0</v>
      </c>
      <c r="M2189" s="430">
        <v>0</v>
      </c>
      <c r="N2189" s="430">
        <v>26</v>
      </c>
      <c r="O2189" s="430">
        <v>0</v>
      </c>
      <c r="P2189" s="430">
        <v>60</v>
      </c>
      <c r="Q2189" s="431">
        <v>1</v>
      </c>
      <c r="R2189" s="328">
        <f t="shared" si="258"/>
        <v>143</v>
      </c>
      <c r="S2189" s="365">
        <f t="shared" si="259"/>
        <v>1</v>
      </c>
      <c r="T2189" s="432"/>
      <c r="U2189" s="432"/>
      <c r="V2189" s="432"/>
      <c r="W2189" s="432"/>
      <c r="X2189" s="432"/>
    </row>
    <row r="2190" spans="1:24" ht="12.75">
      <c r="A2190" s="428" t="s">
        <v>188</v>
      </c>
      <c r="B2190" s="429" t="s">
        <v>188</v>
      </c>
      <c r="C2190" s="429" t="s">
        <v>177</v>
      </c>
      <c r="D2190" s="429">
        <v>2016</v>
      </c>
      <c r="E2190" s="429" t="s">
        <v>775</v>
      </c>
      <c r="F2190" s="430">
        <v>180</v>
      </c>
      <c r="G2190" s="430">
        <v>1</v>
      </c>
      <c r="H2190" s="431">
        <v>1</v>
      </c>
      <c r="I2190" s="430">
        <v>0</v>
      </c>
      <c r="J2190" s="430">
        <v>118</v>
      </c>
      <c r="K2190" s="430">
        <v>15</v>
      </c>
      <c r="L2190" s="430">
        <v>15</v>
      </c>
      <c r="M2190" s="430">
        <v>0</v>
      </c>
      <c r="N2190" s="430">
        <v>136</v>
      </c>
      <c r="O2190" s="430">
        <v>112</v>
      </c>
      <c r="P2190" s="430">
        <v>313</v>
      </c>
      <c r="Q2190" s="431">
        <v>44</v>
      </c>
      <c r="R2190" s="328">
        <f t="shared" si="258"/>
        <v>747</v>
      </c>
      <c r="S2190" s="365">
        <f t="shared" si="259"/>
        <v>172</v>
      </c>
      <c r="T2190" s="432"/>
      <c r="U2190" s="432"/>
      <c r="V2190" s="432"/>
      <c r="W2190" s="432"/>
      <c r="X2190" s="432"/>
    </row>
    <row r="2191" spans="1:24" ht="12.75">
      <c r="A2191" s="428" t="s">
        <v>667</v>
      </c>
      <c r="B2191" s="429" t="s">
        <v>188</v>
      </c>
      <c r="C2191" s="429" t="s">
        <v>177</v>
      </c>
      <c r="D2191" s="429">
        <v>2016</v>
      </c>
      <c r="E2191" s="429" t="s">
        <v>775</v>
      </c>
      <c r="F2191" s="430">
        <v>317</v>
      </c>
      <c r="G2191" s="430">
        <v>42</v>
      </c>
      <c r="H2191" s="431">
        <v>42</v>
      </c>
      <c r="I2191" s="430">
        <v>0</v>
      </c>
      <c r="J2191" s="430">
        <v>207</v>
      </c>
      <c r="K2191" s="430">
        <v>23</v>
      </c>
      <c r="L2191" s="430">
        <v>23</v>
      </c>
      <c r="M2191" s="430">
        <v>0</v>
      </c>
      <c r="N2191" s="430">
        <v>239</v>
      </c>
      <c r="O2191" s="430">
        <v>35</v>
      </c>
      <c r="P2191" s="430">
        <v>551</v>
      </c>
      <c r="Q2191" s="431">
        <v>17</v>
      </c>
      <c r="R2191" s="328">
        <f t="shared" si="258"/>
        <v>1314</v>
      </c>
      <c r="S2191" s="365">
        <f t="shared" si="259"/>
        <v>117</v>
      </c>
      <c r="T2191" s="432"/>
      <c r="U2191" s="432"/>
      <c r="V2191" s="432"/>
      <c r="W2191" s="432"/>
      <c r="X2191" s="432"/>
    </row>
    <row r="2192" spans="1:24" ht="12.75">
      <c r="A2192" s="428" t="s">
        <v>668</v>
      </c>
      <c r="B2192" s="429" t="s">
        <v>188</v>
      </c>
      <c r="C2192" s="429" t="s">
        <v>177</v>
      </c>
      <c r="D2192" s="429">
        <v>2016</v>
      </c>
      <c r="E2192" s="429" t="s">
        <v>775</v>
      </c>
      <c r="F2192" s="430">
        <v>34</v>
      </c>
      <c r="G2192" s="430">
        <v>0</v>
      </c>
      <c r="H2192" s="431">
        <v>0</v>
      </c>
      <c r="I2192" s="430">
        <v>0</v>
      </c>
      <c r="J2192" s="430">
        <v>22</v>
      </c>
      <c r="K2192" s="430">
        <v>0</v>
      </c>
      <c r="L2192" s="430">
        <v>0</v>
      </c>
      <c r="M2192" s="430">
        <v>0</v>
      </c>
      <c r="N2192" s="430">
        <v>26</v>
      </c>
      <c r="O2192" s="430">
        <v>0</v>
      </c>
      <c r="P2192" s="430">
        <v>58</v>
      </c>
      <c r="Q2192" s="431">
        <v>9</v>
      </c>
      <c r="R2192" s="328">
        <f t="shared" si="258"/>
        <v>140</v>
      </c>
      <c r="S2192" s="365">
        <f t="shared" si="259"/>
        <v>9</v>
      </c>
      <c r="T2192" s="432"/>
      <c r="U2192" s="432"/>
      <c r="V2192" s="432"/>
      <c r="W2192" s="432"/>
      <c r="X2192" s="432"/>
    </row>
    <row r="2193" spans="1:24" ht="12.75">
      <c r="A2193" s="459" t="s">
        <v>669</v>
      </c>
      <c r="B2193" s="460" t="s">
        <v>188</v>
      </c>
      <c r="C2193" s="460" t="s">
        <v>177</v>
      </c>
      <c r="D2193" s="460">
        <v>2016</v>
      </c>
      <c r="E2193" s="460" t="s">
        <v>775</v>
      </c>
      <c r="F2193" s="431">
        <v>169</v>
      </c>
      <c r="G2193" s="430">
        <v>20</v>
      </c>
      <c r="H2193" s="431">
        <v>20</v>
      </c>
      <c r="I2193" s="431">
        <v>0</v>
      </c>
      <c r="J2193" s="431">
        <v>110</v>
      </c>
      <c r="K2193" s="430">
        <v>2</v>
      </c>
      <c r="L2193" s="431">
        <v>2</v>
      </c>
      <c r="M2193" s="431">
        <v>0</v>
      </c>
      <c r="N2193" s="431">
        <v>128</v>
      </c>
      <c r="O2193" s="431">
        <v>4</v>
      </c>
      <c r="P2193" s="431">
        <v>293</v>
      </c>
      <c r="Q2193" s="431">
        <v>27</v>
      </c>
      <c r="R2193" s="328">
        <f t="shared" si="258"/>
        <v>700</v>
      </c>
      <c r="S2193" s="365">
        <f t="shared" si="259"/>
        <v>53</v>
      </c>
      <c r="T2193" s="413">
        <f>SUM(G2189:G2193)</f>
        <v>63</v>
      </c>
      <c r="U2193" s="413">
        <f>SUM(K2189:K2193)</f>
        <v>40</v>
      </c>
      <c r="V2193" s="413">
        <f>SUM(O2189:O2193)</f>
        <v>151</v>
      </c>
      <c r="W2193" s="413">
        <f>SUM(Q2189:Q2193)</f>
        <v>98</v>
      </c>
      <c r="X2193" s="413">
        <f>T2193+U2193+V2193+W2193</f>
        <v>352</v>
      </c>
    </row>
    <row r="2194" spans="1:24" ht="12.75">
      <c r="A2194" s="433" t="s">
        <v>666</v>
      </c>
      <c r="B2194" s="434" t="s">
        <v>188</v>
      </c>
      <c r="C2194" s="434" t="s">
        <v>177</v>
      </c>
      <c r="D2194" s="434">
        <v>2017</v>
      </c>
      <c r="E2194" s="434" t="s">
        <v>775</v>
      </c>
      <c r="F2194" s="435">
        <v>34</v>
      </c>
      <c r="G2194" s="435">
        <v>0</v>
      </c>
      <c r="H2194" s="436">
        <v>0</v>
      </c>
      <c r="I2194" s="435">
        <v>0</v>
      </c>
      <c r="J2194" s="435">
        <v>23</v>
      </c>
      <c r="K2194" s="435">
        <v>0</v>
      </c>
      <c r="L2194" s="435">
        <v>0</v>
      </c>
      <c r="M2194" s="435">
        <v>0</v>
      </c>
      <c r="N2194" s="435">
        <v>26</v>
      </c>
      <c r="O2194" s="435">
        <v>1</v>
      </c>
      <c r="P2194" s="435">
        <v>60</v>
      </c>
      <c r="Q2194" s="436">
        <v>20</v>
      </c>
      <c r="R2194" s="336">
        <f t="shared" si="258"/>
        <v>143</v>
      </c>
      <c r="S2194" s="366">
        <f t="shared" si="259"/>
        <v>21</v>
      </c>
      <c r="T2194" s="437"/>
      <c r="U2194" s="437"/>
      <c r="V2194" s="437"/>
      <c r="W2194" s="437"/>
      <c r="X2194" s="437"/>
    </row>
    <row r="2195" spans="1:24" ht="12.75">
      <c r="A2195" s="433" t="s">
        <v>188</v>
      </c>
      <c r="B2195" s="434" t="s">
        <v>188</v>
      </c>
      <c r="C2195" s="434" t="s">
        <v>177</v>
      </c>
      <c r="D2195" s="434">
        <v>2017</v>
      </c>
      <c r="E2195" s="434" t="s">
        <v>775</v>
      </c>
      <c r="F2195" s="435">
        <v>180</v>
      </c>
      <c r="G2195" s="435">
        <v>0</v>
      </c>
      <c r="H2195" s="436">
        <v>0</v>
      </c>
      <c r="I2195" s="435">
        <v>0</v>
      </c>
      <c r="J2195" s="435">
        <v>118</v>
      </c>
      <c r="K2195" s="435">
        <v>13</v>
      </c>
      <c r="L2195" s="435">
        <v>13</v>
      </c>
      <c r="M2195" s="435">
        <v>0</v>
      </c>
      <c r="N2195" s="435">
        <v>136</v>
      </c>
      <c r="O2195" s="435">
        <v>41</v>
      </c>
      <c r="P2195" s="435">
        <v>313</v>
      </c>
      <c r="Q2195" s="436">
        <v>109</v>
      </c>
      <c r="R2195" s="336">
        <f t="shared" si="258"/>
        <v>747</v>
      </c>
      <c r="S2195" s="366">
        <f t="shared" si="259"/>
        <v>163</v>
      </c>
      <c r="T2195" s="437"/>
      <c r="U2195" s="437"/>
      <c r="V2195" s="437"/>
      <c r="W2195" s="437"/>
      <c r="X2195" s="437"/>
    </row>
    <row r="2196" spans="1:24" ht="12.75">
      <c r="A2196" s="433" t="s">
        <v>667</v>
      </c>
      <c r="B2196" s="434" t="s">
        <v>188</v>
      </c>
      <c r="C2196" s="434" t="s">
        <v>177</v>
      </c>
      <c r="D2196" s="434">
        <v>2017</v>
      </c>
      <c r="E2196" s="434" t="s">
        <v>775</v>
      </c>
      <c r="F2196" s="435">
        <v>317</v>
      </c>
      <c r="G2196" s="435">
        <v>0</v>
      </c>
      <c r="H2196" s="436">
        <v>0</v>
      </c>
      <c r="I2196" s="435">
        <v>0</v>
      </c>
      <c r="J2196" s="435">
        <v>207</v>
      </c>
      <c r="K2196" s="435">
        <v>0</v>
      </c>
      <c r="L2196" s="435">
        <v>0</v>
      </c>
      <c r="M2196" s="435">
        <v>0</v>
      </c>
      <c r="N2196" s="435">
        <v>239</v>
      </c>
      <c r="O2196" s="435">
        <v>66</v>
      </c>
      <c r="P2196" s="435">
        <v>551</v>
      </c>
      <c r="Q2196" s="436">
        <v>38</v>
      </c>
      <c r="R2196" s="336">
        <f t="shared" si="258"/>
        <v>1314</v>
      </c>
      <c r="S2196" s="366">
        <f t="shared" si="259"/>
        <v>104</v>
      </c>
      <c r="T2196" s="437"/>
      <c r="U2196" s="437"/>
      <c r="V2196" s="437"/>
      <c r="W2196" s="437"/>
      <c r="X2196" s="437"/>
    </row>
    <row r="2197" spans="1:24" ht="12.75">
      <c r="A2197" s="433" t="s">
        <v>668</v>
      </c>
      <c r="B2197" s="434" t="s">
        <v>188</v>
      </c>
      <c r="C2197" s="434" t="s">
        <v>177</v>
      </c>
      <c r="D2197" s="434">
        <v>2017</v>
      </c>
      <c r="E2197" s="434" t="s">
        <v>775</v>
      </c>
      <c r="F2197" s="435">
        <v>34</v>
      </c>
      <c r="G2197" s="435">
        <v>0</v>
      </c>
      <c r="H2197" s="436">
        <v>0</v>
      </c>
      <c r="I2197" s="435">
        <v>0</v>
      </c>
      <c r="J2197" s="435">
        <v>22</v>
      </c>
      <c r="K2197" s="435">
        <v>3</v>
      </c>
      <c r="L2197" s="435">
        <v>3</v>
      </c>
      <c r="M2197" s="435">
        <v>0</v>
      </c>
      <c r="N2197" s="435">
        <v>26</v>
      </c>
      <c r="O2197" s="435">
        <v>4</v>
      </c>
      <c r="P2197" s="435">
        <v>58</v>
      </c>
      <c r="Q2197" s="436">
        <v>38</v>
      </c>
      <c r="R2197" s="336">
        <f t="shared" si="258"/>
        <v>140</v>
      </c>
      <c r="S2197" s="366">
        <f t="shared" si="259"/>
        <v>45</v>
      </c>
      <c r="T2197" s="437"/>
      <c r="U2197" s="437"/>
      <c r="V2197" s="437"/>
      <c r="W2197" s="437"/>
      <c r="X2197" s="437"/>
    </row>
    <row r="2198" spans="1:24" ht="12.75">
      <c r="A2198" s="461" t="s">
        <v>669</v>
      </c>
      <c r="B2198" s="462" t="s">
        <v>188</v>
      </c>
      <c r="C2198" s="462" t="s">
        <v>177</v>
      </c>
      <c r="D2198" s="462">
        <v>2017</v>
      </c>
      <c r="E2198" s="462" t="s">
        <v>775</v>
      </c>
      <c r="F2198" s="436">
        <v>169</v>
      </c>
      <c r="G2198" s="435">
        <v>1</v>
      </c>
      <c r="H2198" s="436">
        <v>1</v>
      </c>
      <c r="I2198" s="436">
        <v>0</v>
      </c>
      <c r="J2198" s="436">
        <v>110</v>
      </c>
      <c r="K2198" s="435">
        <v>3</v>
      </c>
      <c r="L2198" s="436">
        <v>3</v>
      </c>
      <c r="M2198" s="436">
        <v>0</v>
      </c>
      <c r="N2198" s="436">
        <v>128</v>
      </c>
      <c r="O2198" s="436">
        <v>7</v>
      </c>
      <c r="P2198" s="436">
        <v>293</v>
      </c>
      <c r="Q2198" s="436">
        <v>103</v>
      </c>
      <c r="R2198" s="336">
        <f t="shared" si="258"/>
        <v>700</v>
      </c>
      <c r="S2198" s="366">
        <f t="shared" si="259"/>
        <v>114</v>
      </c>
      <c r="T2198" s="414">
        <f>SUM(G2194:G2198)</f>
        <v>1</v>
      </c>
      <c r="U2198" s="414">
        <f>SUM(K2194:K2198)</f>
        <v>19</v>
      </c>
      <c r="V2198" s="414">
        <f>SUM(O2194:O2198)</f>
        <v>119</v>
      </c>
      <c r="W2198" s="414">
        <f>SUM(Q2194:Q2198)</f>
        <v>308</v>
      </c>
      <c r="X2198" s="414">
        <f>T2198+U2198+V2198+W2198</f>
        <v>447</v>
      </c>
    </row>
    <row r="2199" spans="1:24" ht="12.75">
      <c r="A2199" s="438" t="s">
        <v>666</v>
      </c>
      <c r="B2199" s="439" t="s">
        <v>188</v>
      </c>
      <c r="C2199" s="439" t="s">
        <v>177</v>
      </c>
      <c r="D2199" s="439">
        <v>2018</v>
      </c>
      <c r="E2199" s="439" t="s">
        <v>775</v>
      </c>
      <c r="F2199" s="440">
        <v>34</v>
      </c>
      <c r="G2199" s="441">
        <v>0</v>
      </c>
      <c r="H2199" s="440">
        <v>0</v>
      </c>
      <c r="I2199" s="440">
        <v>0</v>
      </c>
      <c r="J2199" s="440">
        <v>23</v>
      </c>
      <c r="K2199" s="441">
        <v>0</v>
      </c>
      <c r="L2199" s="440">
        <v>0</v>
      </c>
      <c r="M2199" s="440">
        <v>0</v>
      </c>
      <c r="N2199" s="440">
        <v>26</v>
      </c>
      <c r="O2199" s="440">
        <v>0</v>
      </c>
      <c r="P2199" s="440">
        <v>60</v>
      </c>
      <c r="Q2199" s="440">
        <v>0</v>
      </c>
      <c r="R2199" s="344">
        <f t="shared" si="258"/>
        <v>143</v>
      </c>
      <c r="S2199" s="367">
        <f t="shared" si="259"/>
        <v>0</v>
      </c>
      <c r="T2199" s="442"/>
      <c r="U2199" s="442"/>
      <c r="V2199" s="442"/>
      <c r="W2199" s="442"/>
      <c r="X2199" s="442"/>
    </row>
    <row r="2200" spans="1:24" ht="12.75">
      <c r="A2200" s="438" t="s">
        <v>188</v>
      </c>
      <c r="B2200" s="439" t="s">
        <v>188</v>
      </c>
      <c r="C2200" s="439" t="s">
        <v>177</v>
      </c>
      <c r="D2200" s="439">
        <v>2018</v>
      </c>
      <c r="E2200" s="439" t="s">
        <v>775</v>
      </c>
      <c r="F2200" s="440">
        <v>180</v>
      </c>
      <c r="G2200" s="441">
        <v>6</v>
      </c>
      <c r="H2200" s="440">
        <v>6</v>
      </c>
      <c r="I2200" s="440">
        <v>0</v>
      </c>
      <c r="J2200" s="440">
        <v>118</v>
      </c>
      <c r="K2200" s="441">
        <v>53</v>
      </c>
      <c r="L2200" s="440">
        <v>47</v>
      </c>
      <c r="M2200" s="440">
        <v>6</v>
      </c>
      <c r="N2200" s="440">
        <v>136</v>
      </c>
      <c r="O2200" s="440">
        <v>1</v>
      </c>
      <c r="P2200" s="440">
        <v>313</v>
      </c>
      <c r="Q2200" s="440">
        <v>90</v>
      </c>
      <c r="R2200" s="344">
        <f t="shared" si="258"/>
        <v>747</v>
      </c>
      <c r="S2200" s="367">
        <f t="shared" si="259"/>
        <v>150</v>
      </c>
      <c r="T2200" s="442"/>
      <c r="U2200" s="442"/>
      <c r="V2200" s="442"/>
      <c r="W2200" s="442"/>
      <c r="X2200" s="442"/>
    </row>
    <row r="2201" spans="1:24" ht="12.75">
      <c r="A2201" s="438" t="s">
        <v>667</v>
      </c>
      <c r="B2201" s="439" t="s">
        <v>188</v>
      </c>
      <c r="C2201" s="439" t="s">
        <v>177</v>
      </c>
      <c r="D2201" s="439">
        <v>2018</v>
      </c>
      <c r="E2201" s="439" t="s">
        <v>775</v>
      </c>
      <c r="F2201" s="440">
        <v>317</v>
      </c>
      <c r="G2201" s="441">
        <v>0</v>
      </c>
      <c r="H2201" s="440">
        <v>0</v>
      </c>
      <c r="I2201" s="440">
        <v>0</v>
      </c>
      <c r="J2201" s="440">
        <v>207</v>
      </c>
      <c r="K2201" s="441">
        <v>15</v>
      </c>
      <c r="L2201" s="440">
        <v>0</v>
      </c>
      <c r="M2201" s="440">
        <v>15</v>
      </c>
      <c r="N2201" s="440">
        <v>239</v>
      </c>
      <c r="O2201" s="440">
        <v>26</v>
      </c>
      <c r="P2201" s="440">
        <v>551</v>
      </c>
      <c r="Q2201" s="440">
        <v>44</v>
      </c>
      <c r="R2201" s="344">
        <f t="shared" si="258"/>
        <v>1314</v>
      </c>
      <c r="S2201" s="367">
        <f t="shared" si="259"/>
        <v>85</v>
      </c>
      <c r="T2201" s="442"/>
      <c r="U2201" s="442"/>
      <c r="V2201" s="442"/>
      <c r="W2201" s="442"/>
      <c r="X2201" s="442"/>
    </row>
    <row r="2202" spans="1:24" ht="12.75">
      <c r="A2202" s="438" t="s">
        <v>668</v>
      </c>
      <c r="B2202" s="439" t="s">
        <v>188</v>
      </c>
      <c r="C2202" s="439" t="s">
        <v>177</v>
      </c>
      <c r="D2202" s="439">
        <v>2018</v>
      </c>
      <c r="E2202" s="439" t="s">
        <v>775</v>
      </c>
      <c r="F2202" s="440">
        <v>34</v>
      </c>
      <c r="G2202" s="441">
        <v>0</v>
      </c>
      <c r="H2202" s="440">
        <v>0</v>
      </c>
      <c r="I2202" s="440">
        <v>0</v>
      </c>
      <c r="J2202" s="440">
        <v>22</v>
      </c>
      <c r="K2202" s="441">
        <v>0</v>
      </c>
      <c r="L2202" s="440">
        <v>0</v>
      </c>
      <c r="M2202" s="440">
        <v>0</v>
      </c>
      <c r="N2202" s="440">
        <v>26</v>
      </c>
      <c r="O2202" s="440">
        <v>3</v>
      </c>
      <c r="P2202" s="440">
        <v>58</v>
      </c>
      <c r="Q2202" s="440">
        <v>63</v>
      </c>
      <c r="R2202" s="344">
        <f t="shared" si="258"/>
        <v>140</v>
      </c>
      <c r="S2202" s="367">
        <f t="shared" si="259"/>
        <v>66</v>
      </c>
      <c r="T2202" s="442"/>
      <c r="U2202" s="442"/>
      <c r="V2202" s="442"/>
      <c r="W2202" s="442"/>
      <c r="X2202" s="442"/>
    </row>
    <row r="2203" spans="1:24" ht="12.75">
      <c r="A2203" s="438" t="s">
        <v>669</v>
      </c>
      <c r="B2203" s="439" t="s">
        <v>188</v>
      </c>
      <c r="C2203" s="439" t="s">
        <v>177</v>
      </c>
      <c r="D2203" s="439">
        <v>2018</v>
      </c>
      <c r="E2203" s="439" t="s">
        <v>775</v>
      </c>
      <c r="F2203" s="440">
        <v>169</v>
      </c>
      <c r="G2203" s="441">
        <v>0</v>
      </c>
      <c r="H2203" s="440">
        <v>0</v>
      </c>
      <c r="I2203" s="440">
        <v>0</v>
      </c>
      <c r="J2203" s="440">
        <v>110</v>
      </c>
      <c r="K2203" s="441">
        <v>0</v>
      </c>
      <c r="L2203" s="440">
        <v>0</v>
      </c>
      <c r="M2203" s="440">
        <v>0</v>
      </c>
      <c r="N2203" s="440">
        <v>128</v>
      </c>
      <c r="O2203" s="440">
        <v>0</v>
      </c>
      <c r="P2203" s="440">
        <v>293</v>
      </c>
      <c r="Q2203" s="440">
        <v>4</v>
      </c>
      <c r="R2203" s="344">
        <f t="shared" si="258"/>
        <v>700</v>
      </c>
      <c r="S2203" s="367">
        <f t="shared" si="259"/>
        <v>4</v>
      </c>
      <c r="T2203" s="443">
        <f>SUM(G2199:G2203)</f>
        <v>6</v>
      </c>
      <c r="U2203" s="443">
        <f>SUM(K2199:K2203)</f>
        <v>68</v>
      </c>
      <c r="V2203" s="443">
        <f>SUM(O2199:O2203)</f>
        <v>30</v>
      </c>
      <c r="W2203" s="443">
        <f>SUM(Q2199:Q2203)</f>
        <v>201</v>
      </c>
      <c r="X2203" s="443">
        <f>T2203+U2203+V2203+W2203</f>
        <v>305</v>
      </c>
    </row>
    <row r="2204" spans="1:24" ht="12.75">
      <c r="A2204" s="346" t="s">
        <v>666</v>
      </c>
      <c r="B2204" s="347" t="s">
        <v>188</v>
      </c>
      <c r="C2204" s="347" t="s">
        <v>811</v>
      </c>
      <c r="D2204" s="347">
        <v>2019</v>
      </c>
      <c r="E2204" s="347" t="s">
        <v>775</v>
      </c>
      <c r="F2204" s="348">
        <v>34</v>
      </c>
      <c r="G2204" s="348">
        <v>0</v>
      </c>
      <c r="H2204" s="348">
        <v>0</v>
      </c>
      <c r="I2204" s="348">
        <v>0</v>
      </c>
      <c r="J2204" s="348">
        <v>23</v>
      </c>
      <c r="K2204" s="348">
        <v>0</v>
      </c>
      <c r="L2204" s="348">
        <v>0</v>
      </c>
      <c r="M2204" s="348">
        <v>0</v>
      </c>
      <c r="N2204" s="348">
        <v>26</v>
      </c>
      <c r="O2204" s="348">
        <v>0</v>
      </c>
      <c r="P2204" s="348">
        <v>60</v>
      </c>
      <c r="Q2204" s="348">
        <v>7</v>
      </c>
      <c r="R2204" s="350">
        <f t="shared" si="258"/>
        <v>143</v>
      </c>
      <c r="S2204" s="348">
        <f t="shared" si="259"/>
        <v>7</v>
      </c>
      <c r="T2204" s="348"/>
      <c r="U2204" s="348"/>
      <c r="V2204" s="348"/>
      <c r="W2204" s="349"/>
      <c r="X2204" s="349"/>
    </row>
    <row r="2205" spans="1:24" ht="12.75">
      <c r="A2205" s="346" t="s">
        <v>188</v>
      </c>
      <c r="B2205" s="347" t="s">
        <v>188</v>
      </c>
      <c r="C2205" s="347" t="s">
        <v>811</v>
      </c>
      <c r="D2205" s="347">
        <v>2019</v>
      </c>
      <c r="E2205" s="347" t="s">
        <v>775</v>
      </c>
      <c r="F2205" s="348">
        <v>180</v>
      </c>
      <c r="G2205" s="348">
        <v>0</v>
      </c>
      <c r="H2205" s="348">
        <v>0</v>
      </c>
      <c r="I2205" s="348">
        <v>0</v>
      </c>
      <c r="J2205" s="348">
        <v>118</v>
      </c>
      <c r="K2205" s="348">
        <v>115</v>
      </c>
      <c r="L2205" s="348">
        <v>64</v>
      </c>
      <c r="M2205" s="348">
        <v>51</v>
      </c>
      <c r="N2205" s="348">
        <v>136</v>
      </c>
      <c r="O2205" s="348">
        <v>16</v>
      </c>
      <c r="P2205" s="348">
        <v>313</v>
      </c>
      <c r="Q2205" s="348">
        <v>27</v>
      </c>
      <c r="R2205" s="350">
        <f t="shared" si="258"/>
        <v>747</v>
      </c>
      <c r="S2205" s="348">
        <f t="shared" si="259"/>
        <v>158</v>
      </c>
      <c r="T2205" s="348"/>
      <c r="U2205" s="348"/>
      <c r="V2205" s="348"/>
      <c r="W2205" s="349"/>
      <c r="X2205" s="349"/>
    </row>
    <row r="2206" spans="1:24" ht="12.75">
      <c r="A2206" s="346" t="s">
        <v>667</v>
      </c>
      <c r="B2206" s="347" t="s">
        <v>188</v>
      </c>
      <c r="C2206" s="347" t="s">
        <v>811</v>
      </c>
      <c r="D2206" s="347">
        <v>2019</v>
      </c>
      <c r="E2206" s="347" t="s">
        <v>775</v>
      </c>
      <c r="F2206" s="348">
        <v>317</v>
      </c>
      <c r="G2206" s="348">
        <v>0</v>
      </c>
      <c r="H2206" s="348">
        <v>0</v>
      </c>
      <c r="I2206" s="348">
        <v>0</v>
      </c>
      <c r="J2206" s="348">
        <v>207</v>
      </c>
      <c r="K2206" s="348">
        <v>2</v>
      </c>
      <c r="L2206" s="348">
        <v>2</v>
      </c>
      <c r="M2206" s="348">
        <v>0</v>
      </c>
      <c r="N2206" s="348">
        <v>239</v>
      </c>
      <c r="O2206" s="348">
        <v>28</v>
      </c>
      <c r="P2206" s="348">
        <v>551</v>
      </c>
      <c r="Q2206" s="348">
        <v>46</v>
      </c>
      <c r="R2206" s="350">
        <f t="shared" si="258"/>
        <v>1314</v>
      </c>
      <c r="S2206" s="348">
        <f t="shared" si="259"/>
        <v>76</v>
      </c>
      <c r="T2206" s="348"/>
      <c r="U2206" s="348"/>
      <c r="V2206" s="348"/>
      <c r="W2206" s="349"/>
      <c r="X2206" s="349"/>
    </row>
    <row r="2207" spans="1:24" ht="12.75">
      <c r="A2207" s="346" t="s">
        <v>668</v>
      </c>
      <c r="B2207" s="347" t="s">
        <v>188</v>
      </c>
      <c r="C2207" s="347" t="s">
        <v>811</v>
      </c>
      <c r="D2207" s="347">
        <v>2019</v>
      </c>
      <c r="E2207" s="347" t="s">
        <v>775</v>
      </c>
      <c r="F2207" s="348">
        <v>34</v>
      </c>
      <c r="G2207" s="348">
        <v>0</v>
      </c>
      <c r="H2207" s="348">
        <v>0</v>
      </c>
      <c r="I2207" s="348">
        <v>0</v>
      </c>
      <c r="J2207" s="348">
        <v>22</v>
      </c>
      <c r="K2207" s="348">
        <v>0</v>
      </c>
      <c r="L2207" s="348">
        <v>0</v>
      </c>
      <c r="M2207" s="348">
        <v>0</v>
      </c>
      <c r="N2207" s="348">
        <v>26</v>
      </c>
      <c r="O2207" s="348">
        <v>0</v>
      </c>
      <c r="P2207" s="348">
        <v>58</v>
      </c>
      <c r="Q2207" s="348">
        <v>12</v>
      </c>
      <c r="R2207" s="350">
        <f t="shared" si="258"/>
        <v>140</v>
      </c>
      <c r="S2207" s="348">
        <f t="shared" si="259"/>
        <v>12</v>
      </c>
      <c r="T2207" s="348"/>
      <c r="U2207" s="348"/>
      <c r="V2207" s="348"/>
      <c r="W2207" s="349"/>
      <c r="X2207" s="349"/>
    </row>
    <row r="2208" spans="1:24" ht="12.75">
      <c r="A2208" s="346" t="s">
        <v>669</v>
      </c>
      <c r="B2208" s="347" t="s">
        <v>188</v>
      </c>
      <c r="C2208" s="347" t="s">
        <v>811</v>
      </c>
      <c r="D2208" s="347">
        <v>2019</v>
      </c>
      <c r="E2208" s="347" t="s">
        <v>775</v>
      </c>
      <c r="F2208" s="348">
        <v>169</v>
      </c>
      <c r="G2208" s="348">
        <v>0</v>
      </c>
      <c r="H2208" s="348">
        <v>0</v>
      </c>
      <c r="I2208" s="348">
        <v>0</v>
      </c>
      <c r="J2208" s="348">
        <v>110</v>
      </c>
      <c r="K2208" s="348">
        <v>1</v>
      </c>
      <c r="L2208" s="348">
        <v>1</v>
      </c>
      <c r="M2208" s="348">
        <v>0</v>
      </c>
      <c r="N2208" s="348">
        <v>128</v>
      </c>
      <c r="O2208" s="348">
        <v>1</v>
      </c>
      <c r="P2208" s="348">
        <v>293</v>
      </c>
      <c r="Q2208" s="348">
        <v>25</v>
      </c>
      <c r="R2208" s="350">
        <f t="shared" si="258"/>
        <v>700</v>
      </c>
      <c r="S2208" s="348">
        <f t="shared" si="259"/>
        <v>27</v>
      </c>
      <c r="T2208" s="410">
        <f>SUM(G2204:G2208)</f>
        <v>0</v>
      </c>
      <c r="U2208" s="410">
        <f>SUM(K2204:K2208)</f>
        <v>118</v>
      </c>
      <c r="V2208" s="410">
        <f>SUM(O2204:O2208)</f>
        <v>45</v>
      </c>
      <c r="W2208" s="410">
        <f>SUM(Q2204:Q2208)</f>
        <v>117</v>
      </c>
      <c r="X2208" s="410">
        <f>T2208+U2208+V2208+W2208</f>
        <v>280</v>
      </c>
    </row>
    <row r="2209" spans="1:24" ht="12.75">
      <c r="A2209" s="444"/>
      <c r="B2209" s="445"/>
      <c r="C2209" s="445"/>
      <c r="D2209" s="445"/>
      <c r="E2209" s="445"/>
      <c r="F2209" s="446"/>
      <c r="G2209" s="446"/>
      <c r="H2209" s="447"/>
      <c r="I2209" s="446"/>
      <c r="J2209" s="446"/>
      <c r="K2209" s="446"/>
      <c r="L2209" s="446"/>
      <c r="M2209" s="446"/>
      <c r="N2209" s="446"/>
      <c r="O2209" s="446"/>
      <c r="P2209" s="446"/>
      <c r="Q2209" s="447"/>
      <c r="R2209" s="499"/>
      <c r="S2209" s="361" t="s">
        <v>783</v>
      </c>
      <c r="T2209" s="448">
        <f t="shared" ref="T2209:X2209" si="260">SUM(T2187:T2208)</f>
        <v>76</v>
      </c>
      <c r="U2209" s="448">
        <f t="shared" si="260"/>
        <v>254</v>
      </c>
      <c r="V2209" s="448">
        <f t="shared" si="260"/>
        <v>468</v>
      </c>
      <c r="W2209" s="448">
        <f t="shared" si="260"/>
        <v>858</v>
      </c>
      <c r="X2209" s="448">
        <f t="shared" si="260"/>
        <v>1656</v>
      </c>
    </row>
    <row r="2210" spans="1:24" ht="12.75">
      <c r="A2210" s="449"/>
      <c r="B2210" s="450"/>
      <c r="C2210" s="450"/>
      <c r="D2210" s="450"/>
      <c r="E2210" s="450"/>
      <c r="F2210" s="451"/>
      <c r="G2210" s="451"/>
      <c r="H2210" s="452"/>
      <c r="I2210" s="451"/>
      <c r="J2210" s="451"/>
      <c r="K2210" s="451"/>
      <c r="L2210" s="451"/>
      <c r="M2210" s="451"/>
      <c r="N2210" s="451"/>
      <c r="O2210" s="451"/>
      <c r="P2210" s="451"/>
      <c r="Q2210" s="452"/>
      <c r="R2210" s="500" t="s">
        <v>883</v>
      </c>
      <c r="S2210" s="362"/>
      <c r="T2210" s="97"/>
      <c r="U2210" s="97"/>
      <c r="V2210" s="97"/>
      <c r="W2210" s="184"/>
      <c r="X2210" s="97"/>
    </row>
    <row r="2211" spans="1:24" ht="12.75">
      <c r="A2211" s="417" t="s">
        <v>671</v>
      </c>
      <c r="B2211" s="418" t="s">
        <v>189</v>
      </c>
      <c r="C2211" s="418" t="s">
        <v>784</v>
      </c>
      <c r="D2211" s="418">
        <v>2014</v>
      </c>
      <c r="E2211" s="418" t="s">
        <v>775</v>
      </c>
      <c r="F2211" s="419">
        <v>287</v>
      </c>
      <c r="G2211" s="419">
        <v>0</v>
      </c>
      <c r="H2211" s="420">
        <v>0</v>
      </c>
      <c r="I2211" s="419">
        <v>0</v>
      </c>
      <c r="J2211" s="419">
        <v>181</v>
      </c>
      <c r="K2211" s="419">
        <v>2</v>
      </c>
      <c r="L2211" s="419">
        <v>2</v>
      </c>
      <c r="M2211" s="419">
        <v>0</v>
      </c>
      <c r="N2211" s="419">
        <v>205</v>
      </c>
      <c r="O2211" s="419">
        <v>17</v>
      </c>
      <c r="P2211" s="419">
        <v>502</v>
      </c>
      <c r="Q2211" s="420">
        <v>83</v>
      </c>
      <c r="R2211" s="311">
        <f t="shared" ref="R2211:R2229" si="261">F2211+J2211+N2211+P2211</f>
        <v>1175</v>
      </c>
      <c r="S2211" s="363">
        <f t="shared" ref="S2211:S2229" si="262">K2211+O2211+G2211+Q2211</f>
        <v>102</v>
      </c>
      <c r="T2211" s="490">
        <f>G2211</f>
        <v>0</v>
      </c>
      <c r="U2211" s="490">
        <f>K2211</f>
        <v>2</v>
      </c>
      <c r="V2211" s="490">
        <f>O2211</f>
        <v>17</v>
      </c>
      <c r="W2211" s="490">
        <f>Q2211</f>
        <v>83</v>
      </c>
      <c r="X2211" s="490">
        <f>T2211+U2211+V2211+W2211</f>
        <v>102</v>
      </c>
    </row>
    <row r="2212" spans="1:24" ht="12.75">
      <c r="A2212" s="422" t="s">
        <v>670</v>
      </c>
      <c r="B2212" s="423" t="s">
        <v>189</v>
      </c>
      <c r="C2212" s="423" t="s">
        <v>784</v>
      </c>
      <c r="D2212" s="423">
        <v>2015</v>
      </c>
      <c r="E2212" s="423" t="s">
        <v>775</v>
      </c>
      <c r="F2212" s="424">
        <v>32</v>
      </c>
      <c r="G2212" s="424">
        <v>0</v>
      </c>
      <c r="H2212" s="425">
        <v>0</v>
      </c>
      <c r="I2212" s="424">
        <v>0</v>
      </c>
      <c r="J2212" s="424">
        <v>21</v>
      </c>
      <c r="K2212" s="424">
        <v>0</v>
      </c>
      <c r="L2212" s="424">
        <v>0</v>
      </c>
      <c r="M2212" s="424">
        <v>0</v>
      </c>
      <c r="N2212" s="424">
        <v>24</v>
      </c>
      <c r="O2212" s="424">
        <v>19</v>
      </c>
      <c r="P2212" s="424">
        <v>59</v>
      </c>
      <c r="Q2212" s="425">
        <v>1</v>
      </c>
      <c r="R2212" s="319">
        <f t="shared" si="261"/>
        <v>136</v>
      </c>
      <c r="S2212" s="364">
        <f t="shared" si="262"/>
        <v>20</v>
      </c>
      <c r="T2212" s="426"/>
      <c r="U2212" s="426"/>
      <c r="V2212" s="426"/>
      <c r="W2212" s="426"/>
      <c r="X2212" s="426"/>
    </row>
    <row r="2213" spans="1:24" ht="12.75">
      <c r="A2213" s="422" t="s">
        <v>671</v>
      </c>
      <c r="B2213" s="423" t="s">
        <v>189</v>
      </c>
      <c r="C2213" s="423" t="s">
        <v>784</v>
      </c>
      <c r="D2213" s="423">
        <v>2015</v>
      </c>
      <c r="E2213" s="423" t="s">
        <v>775</v>
      </c>
      <c r="F2213" s="424">
        <v>287</v>
      </c>
      <c r="G2213" s="424">
        <v>35</v>
      </c>
      <c r="H2213" s="425">
        <v>35</v>
      </c>
      <c r="I2213" s="424">
        <v>0</v>
      </c>
      <c r="J2213" s="424">
        <v>181</v>
      </c>
      <c r="K2213" s="424">
        <v>48</v>
      </c>
      <c r="L2213" s="424">
        <v>48</v>
      </c>
      <c r="M2213" s="424">
        <v>0</v>
      </c>
      <c r="N2213" s="424">
        <v>205</v>
      </c>
      <c r="O2213" s="424">
        <v>63</v>
      </c>
      <c r="P2213" s="424">
        <v>502</v>
      </c>
      <c r="Q2213" s="425">
        <v>174</v>
      </c>
      <c r="R2213" s="319">
        <f t="shared" si="261"/>
        <v>1175</v>
      </c>
      <c r="S2213" s="364">
        <f t="shared" si="262"/>
        <v>320</v>
      </c>
      <c r="T2213" s="426"/>
      <c r="U2213" s="426"/>
      <c r="V2213" s="426"/>
      <c r="W2213" s="426"/>
      <c r="X2213" s="426"/>
    </row>
    <row r="2214" spans="1:24" ht="12.75">
      <c r="A2214" s="422" t="s">
        <v>673</v>
      </c>
      <c r="B2214" s="423" t="s">
        <v>189</v>
      </c>
      <c r="C2214" s="423" t="s">
        <v>784</v>
      </c>
      <c r="D2214" s="423">
        <v>2015</v>
      </c>
      <c r="E2214" s="423" t="s">
        <v>775</v>
      </c>
      <c r="F2214" s="424">
        <v>32</v>
      </c>
      <c r="G2214" s="424">
        <v>7</v>
      </c>
      <c r="H2214" s="425">
        <v>7</v>
      </c>
      <c r="I2214" s="424">
        <v>0</v>
      </c>
      <c r="J2214" s="424">
        <v>21</v>
      </c>
      <c r="K2214" s="424">
        <v>13</v>
      </c>
      <c r="L2214" s="424">
        <v>13</v>
      </c>
      <c r="M2214" s="424">
        <v>0</v>
      </c>
      <c r="N2214" s="424">
        <v>23</v>
      </c>
      <c r="O2214" s="424">
        <v>0</v>
      </c>
      <c r="P2214" s="424">
        <v>58</v>
      </c>
      <c r="Q2214" s="425">
        <v>0</v>
      </c>
      <c r="R2214" s="319">
        <f t="shared" si="261"/>
        <v>134</v>
      </c>
      <c r="S2214" s="364">
        <f t="shared" si="262"/>
        <v>20</v>
      </c>
      <c r="T2214" s="323">
        <f>SUM(G2212:G2214)</f>
        <v>42</v>
      </c>
      <c r="U2214" s="323">
        <f>SUM(K2212:K2214)</f>
        <v>61</v>
      </c>
      <c r="V2214" s="323">
        <f>SUM(O2212:O2214)</f>
        <v>82</v>
      </c>
      <c r="W2214" s="323">
        <f>SUM(Q2212:Q2214)</f>
        <v>175</v>
      </c>
      <c r="X2214" s="323">
        <f>T2214+U2214+V2214+W2214</f>
        <v>360</v>
      </c>
    </row>
    <row r="2215" spans="1:24" ht="12.75">
      <c r="A2215" s="428" t="s">
        <v>670</v>
      </c>
      <c r="B2215" s="429" t="s">
        <v>189</v>
      </c>
      <c r="C2215" s="429" t="s">
        <v>784</v>
      </c>
      <c r="D2215" s="429">
        <v>2016</v>
      </c>
      <c r="E2215" s="429" t="s">
        <v>775</v>
      </c>
      <c r="F2215" s="430">
        <v>32</v>
      </c>
      <c r="G2215" s="430">
        <v>0</v>
      </c>
      <c r="H2215" s="431">
        <v>0</v>
      </c>
      <c r="I2215" s="430">
        <v>0</v>
      </c>
      <c r="J2215" s="430">
        <v>21</v>
      </c>
      <c r="K2215" s="430">
        <v>4</v>
      </c>
      <c r="L2215" s="430">
        <v>4</v>
      </c>
      <c r="M2215" s="430">
        <v>0</v>
      </c>
      <c r="N2215" s="430">
        <v>24</v>
      </c>
      <c r="O2215" s="430">
        <v>33</v>
      </c>
      <c r="P2215" s="430">
        <v>59</v>
      </c>
      <c r="Q2215" s="431">
        <v>9</v>
      </c>
      <c r="R2215" s="328">
        <f t="shared" si="261"/>
        <v>136</v>
      </c>
      <c r="S2215" s="365">
        <f t="shared" si="262"/>
        <v>46</v>
      </c>
      <c r="T2215" s="432"/>
      <c r="U2215" s="432"/>
      <c r="V2215" s="432"/>
      <c r="W2215" s="432"/>
      <c r="X2215" s="432"/>
    </row>
    <row r="2216" spans="1:24" ht="12.75">
      <c r="A2216" s="428" t="s">
        <v>671</v>
      </c>
      <c r="B2216" s="429" t="s">
        <v>189</v>
      </c>
      <c r="C2216" s="429" t="s">
        <v>784</v>
      </c>
      <c r="D2216" s="429">
        <v>2016</v>
      </c>
      <c r="E2216" s="429" t="s">
        <v>775</v>
      </c>
      <c r="F2216" s="430">
        <v>287</v>
      </c>
      <c r="G2216" s="430">
        <v>0</v>
      </c>
      <c r="H2216" s="431">
        <v>0</v>
      </c>
      <c r="I2216" s="430">
        <v>0</v>
      </c>
      <c r="J2216" s="430">
        <v>181</v>
      </c>
      <c r="K2216" s="430">
        <v>0</v>
      </c>
      <c r="L2216" s="430">
        <v>0</v>
      </c>
      <c r="M2216" s="430">
        <v>0</v>
      </c>
      <c r="N2216" s="430">
        <v>205</v>
      </c>
      <c r="O2216" s="430">
        <v>6</v>
      </c>
      <c r="P2216" s="430">
        <v>502</v>
      </c>
      <c r="Q2216" s="431">
        <v>128</v>
      </c>
      <c r="R2216" s="328">
        <f t="shared" si="261"/>
        <v>1175</v>
      </c>
      <c r="S2216" s="365">
        <f t="shared" si="262"/>
        <v>134</v>
      </c>
      <c r="T2216" s="432"/>
      <c r="U2216" s="432"/>
      <c r="V2216" s="432"/>
      <c r="W2216" s="432"/>
      <c r="X2216" s="432"/>
    </row>
    <row r="2217" spans="1:24" ht="12.75">
      <c r="A2217" s="428" t="s">
        <v>673</v>
      </c>
      <c r="B2217" s="429" t="s">
        <v>189</v>
      </c>
      <c r="C2217" s="429" t="s">
        <v>784</v>
      </c>
      <c r="D2217" s="429">
        <v>2016</v>
      </c>
      <c r="E2217" s="429" t="s">
        <v>775</v>
      </c>
      <c r="F2217" s="430">
        <v>32</v>
      </c>
      <c r="G2217" s="430">
        <v>2</v>
      </c>
      <c r="H2217" s="431">
        <v>2</v>
      </c>
      <c r="I2217" s="430">
        <v>0</v>
      </c>
      <c r="J2217" s="430">
        <v>21</v>
      </c>
      <c r="K2217" s="430">
        <v>0</v>
      </c>
      <c r="L2217" s="430">
        <v>0</v>
      </c>
      <c r="M2217" s="430">
        <v>0</v>
      </c>
      <c r="N2217" s="430">
        <v>23</v>
      </c>
      <c r="O2217" s="430">
        <v>8</v>
      </c>
      <c r="P2217" s="430">
        <v>58</v>
      </c>
      <c r="Q2217" s="431">
        <v>0</v>
      </c>
      <c r="R2217" s="328">
        <f t="shared" si="261"/>
        <v>134</v>
      </c>
      <c r="S2217" s="365">
        <f t="shared" si="262"/>
        <v>10</v>
      </c>
      <c r="T2217" s="331">
        <f>SUM(G2215:G2217)</f>
        <v>2</v>
      </c>
      <c r="U2217" s="331">
        <f>SUM(K2215:K2217)</f>
        <v>4</v>
      </c>
      <c r="V2217" s="331">
        <f>SUM(O2215:O2217)</f>
        <v>47</v>
      </c>
      <c r="W2217" s="331">
        <f>SUM(Q2215:Q2217)</f>
        <v>137</v>
      </c>
      <c r="X2217" s="331">
        <f>T2217+U2217+V2217+W2217</f>
        <v>190</v>
      </c>
    </row>
    <row r="2218" spans="1:24" ht="12.75">
      <c r="A2218" s="433" t="s">
        <v>670</v>
      </c>
      <c r="B2218" s="434" t="s">
        <v>189</v>
      </c>
      <c r="C2218" s="434" t="s">
        <v>784</v>
      </c>
      <c r="D2218" s="434">
        <v>2017</v>
      </c>
      <c r="E2218" s="434" t="s">
        <v>775</v>
      </c>
      <c r="F2218" s="435">
        <v>32</v>
      </c>
      <c r="G2218" s="435">
        <v>23</v>
      </c>
      <c r="H2218" s="436">
        <v>23</v>
      </c>
      <c r="I2218" s="435">
        <v>0</v>
      </c>
      <c r="J2218" s="435">
        <v>21</v>
      </c>
      <c r="K2218" s="435">
        <v>15</v>
      </c>
      <c r="L2218" s="435">
        <v>15</v>
      </c>
      <c r="M2218" s="435">
        <v>0</v>
      </c>
      <c r="N2218" s="435">
        <v>24</v>
      </c>
      <c r="O2218" s="435">
        <v>40</v>
      </c>
      <c r="P2218" s="435">
        <v>59</v>
      </c>
      <c r="Q2218" s="436">
        <v>23</v>
      </c>
      <c r="R2218" s="336">
        <f t="shared" si="261"/>
        <v>136</v>
      </c>
      <c r="S2218" s="366">
        <f t="shared" si="262"/>
        <v>101</v>
      </c>
      <c r="T2218" s="437"/>
      <c r="U2218" s="437"/>
      <c r="V2218" s="437"/>
      <c r="W2218" s="437"/>
      <c r="X2218" s="437"/>
    </row>
    <row r="2219" spans="1:24" ht="12.75">
      <c r="A2219" s="433" t="s">
        <v>671</v>
      </c>
      <c r="B2219" s="434" t="s">
        <v>189</v>
      </c>
      <c r="C2219" s="434" t="s">
        <v>784</v>
      </c>
      <c r="D2219" s="434">
        <v>2017</v>
      </c>
      <c r="E2219" s="434" t="s">
        <v>775</v>
      </c>
      <c r="F2219" s="435">
        <v>287</v>
      </c>
      <c r="G2219" s="435">
        <v>0</v>
      </c>
      <c r="H2219" s="436">
        <v>0</v>
      </c>
      <c r="I2219" s="435">
        <v>0</v>
      </c>
      <c r="J2219" s="435">
        <v>181</v>
      </c>
      <c r="K2219" s="435">
        <v>0</v>
      </c>
      <c r="L2219" s="435">
        <v>0</v>
      </c>
      <c r="M2219" s="435">
        <v>0</v>
      </c>
      <c r="N2219" s="435">
        <v>205</v>
      </c>
      <c r="O2219" s="435">
        <v>17</v>
      </c>
      <c r="P2219" s="435">
        <v>502</v>
      </c>
      <c r="Q2219" s="436">
        <v>135</v>
      </c>
      <c r="R2219" s="336">
        <f t="shared" si="261"/>
        <v>1175</v>
      </c>
      <c r="S2219" s="366">
        <f t="shared" si="262"/>
        <v>152</v>
      </c>
      <c r="T2219" s="437"/>
      <c r="U2219" s="437"/>
      <c r="V2219" s="437"/>
      <c r="W2219" s="437"/>
      <c r="X2219" s="437"/>
    </row>
    <row r="2220" spans="1:24" ht="12.75">
      <c r="A2220" s="433" t="s">
        <v>672</v>
      </c>
      <c r="B2220" s="434" t="s">
        <v>189</v>
      </c>
      <c r="C2220" s="434" t="s">
        <v>784</v>
      </c>
      <c r="D2220" s="434">
        <v>2017</v>
      </c>
      <c r="E2220" s="434" t="s">
        <v>775</v>
      </c>
      <c r="F2220" s="435">
        <v>189</v>
      </c>
      <c r="G2220" s="435">
        <v>4</v>
      </c>
      <c r="H2220" s="436">
        <v>0</v>
      </c>
      <c r="I2220" s="435">
        <v>4</v>
      </c>
      <c r="J2220" s="435">
        <v>117</v>
      </c>
      <c r="K2220" s="435">
        <v>9</v>
      </c>
      <c r="L2220" s="435">
        <v>0</v>
      </c>
      <c r="M2220" s="435">
        <v>9</v>
      </c>
      <c r="N2220" s="435">
        <v>128</v>
      </c>
      <c r="O2220" s="435">
        <v>132</v>
      </c>
      <c r="P2220" s="435">
        <v>321</v>
      </c>
      <c r="Q2220" s="436">
        <v>1</v>
      </c>
      <c r="R2220" s="336">
        <f t="shared" si="261"/>
        <v>755</v>
      </c>
      <c r="S2220" s="366">
        <f t="shared" si="262"/>
        <v>146</v>
      </c>
      <c r="T2220" s="437"/>
      <c r="U2220" s="437"/>
      <c r="V2220" s="437"/>
      <c r="W2220" s="437"/>
      <c r="X2220" s="437"/>
    </row>
    <row r="2221" spans="1:24" ht="12.75">
      <c r="A2221" s="433" t="s">
        <v>673</v>
      </c>
      <c r="B2221" s="434" t="s">
        <v>189</v>
      </c>
      <c r="C2221" s="434" t="s">
        <v>784</v>
      </c>
      <c r="D2221" s="434">
        <v>2017</v>
      </c>
      <c r="E2221" s="434" t="s">
        <v>775</v>
      </c>
      <c r="F2221" s="435">
        <v>32</v>
      </c>
      <c r="G2221" s="435">
        <v>0</v>
      </c>
      <c r="H2221" s="436">
        <v>0</v>
      </c>
      <c r="I2221" s="435">
        <v>0</v>
      </c>
      <c r="J2221" s="435">
        <v>21</v>
      </c>
      <c r="K2221" s="435">
        <v>4</v>
      </c>
      <c r="L2221" s="435">
        <v>1</v>
      </c>
      <c r="M2221" s="435">
        <v>3</v>
      </c>
      <c r="N2221" s="435">
        <v>23</v>
      </c>
      <c r="O2221" s="435">
        <v>29</v>
      </c>
      <c r="P2221" s="435">
        <v>58</v>
      </c>
      <c r="Q2221" s="436">
        <v>2</v>
      </c>
      <c r="R2221" s="336">
        <f t="shared" si="261"/>
        <v>134</v>
      </c>
      <c r="S2221" s="366">
        <f t="shared" si="262"/>
        <v>35</v>
      </c>
      <c r="T2221" s="339">
        <f>SUM(G2218:G2221)</f>
        <v>27</v>
      </c>
      <c r="U2221" s="339">
        <f>SUM(K2218:K2221)</f>
        <v>28</v>
      </c>
      <c r="V2221" s="339">
        <f>SUM(O2218:O2221)</f>
        <v>218</v>
      </c>
      <c r="W2221" s="339">
        <f>SUM(Q2218:Q2221)</f>
        <v>161</v>
      </c>
      <c r="X2221" s="339">
        <f>T2221+U2221+V2221+W2221</f>
        <v>434</v>
      </c>
    </row>
    <row r="2222" spans="1:24" ht="12.75">
      <c r="A2222" s="438" t="s">
        <v>670</v>
      </c>
      <c r="B2222" s="439" t="s">
        <v>189</v>
      </c>
      <c r="C2222" s="439" t="s">
        <v>784</v>
      </c>
      <c r="D2222" s="439">
        <v>2018</v>
      </c>
      <c r="E2222" s="439" t="s">
        <v>775</v>
      </c>
      <c r="F2222" s="440">
        <v>32</v>
      </c>
      <c r="G2222" s="441">
        <v>0</v>
      </c>
      <c r="H2222" s="440">
        <v>0</v>
      </c>
      <c r="I2222" s="440">
        <v>0</v>
      </c>
      <c r="J2222" s="440">
        <v>21</v>
      </c>
      <c r="K2222" s="441">
        <v>1</v>
      </c>
      <c r="L2222" s="440">
        <v>0</v>
      </c>
      <c r="M2222" s="440">
        <v>1</v>
      </c>
      <c r="N2222" s="440">
        <v>24</v>
      </c>
      <c r="O2222" s="440">
        <v>1</v>
      </c>
      <c r="P2222" s="440">
        <v>59</v>
      </c>
      <c r="Q2222" s="440">
        <v>27</v>
      </c>
      <c r="R2222" s="344">
        <f t="shared" si="261"/>
        <v>136</v>
      </c>
      <c r="S2222" s="367">
        <f t="shared" si="262"/>
        <v>29</v>
      </c>
      <c r="T2222" s="442"/>
      <c r="U2222" s="442"/>
      <c r="V2222" s="442"/>
      <c r="W2222" s="442"/>
      <c r="X2222" s="442"/>
    </row>
    <row r="2223" spans="1:24" ht="12.75">
      <c r="A2223" s="438" t="s">
        <v>671</v>
      </c>
      <c r="B2223" s="439" t="s">
        <v>189</v>
      </c>
      <c r="C2223" s="439" t="s">
        <v>784</v>
      </c>
      <c r="D2223" s="439">
        <v>2018</v>
      </c>
      <c r="E2223" s="439" t="s">
        <v>775</v>
      </c>
      <c r="F2223" s="440">
        <v>287</v>
      </c>
      <c r="G2223" s="441">
        <v>0</v>
      </c>
      <c r="H2223" s="440">
        <v>0</v>
      </c>
      <c r="I2223" s="440">
        <v>0</v>
      </c>
      <c r="J2223" s="440">
        <v>181</v>
      </c>
      <c r="K2223" s="441">
        <v>79</v>
      </c>
      <c r="L2223" s="440">
        <v>79</v>
      </c>
      <c r="M2223" s="440">
        <v>0</v>
      </c>
      <c r="N2223" s="440">
        <v>205</v>
      </c>
      <c r="O2223" s="440">
        <v>10</v>
      </c>
      <c r="P2223" s="440">
        <v>502</v>
      </c>
      <c r="Q2223" s="440">
        <v>109</v>
      </c>
      <c r="R2223" s="344">
        <f t="shared" si="261"/>
        <v>1175</v>
      </c>
      <c r="S2223" s="367">
        <f t="shared" si="262"/>
        <v>198</v>
      </c>
      <c r="T2223" s="442"/>
      <c r="U2223" s="442"/>
      <c r="V2223" s="442"/>
      <c r="W2223" s="442"/>
      <c r="X2223" s="442"/>
    </row>
    <row r="2224" spans="1:24" ht="12.75">
      <c r="A2224" s="438" t="s">
        <v>672</v>
      </c>
      <c r="B2224" s="439" t="s">
        <v>189</v>
      </c>
      <c r="C2224" s="439" t="s">
        <v>784</v>
      </c>
      <c r="D2224" s="439">
        <v>2018</v>
      </c>
      <c r="E2224" s="439" t="s">
        <v>775</v>
      </c>
      <c r="F2224" s="440">
        <v>189</v>
      </c>
      <c r="G2224" s="441">
        <v>12</v>
      </c>
      <c r="H2224" s="440">
        <v>0</v>
      </c>
      <c r="I2224" s="440">
        <v>12</v>
      </c>
      <c r="J2224" s="440">
        <v>117</v>
      </c>
      <c r="K2224" s="441">
        <v>23</v>
      </c>
      <c r="L2224" s="440">
        <v>0</v>
      </c>
      <c r="M2224" s="440">
        <v>23</v>
      </c>
      <c r="N2224" s="440">
        <v>128</v>
      </c>
      <c r="O2224" s="440">
        <v>6</v>
      </c>
      <c r="P2224" s="440">
        <v>321</v>
      </c>
      <c r="Q2224" s="440">
        <v>144</v>
      </c>
      <c r="R2224" s="344">
        <f t="shared" si="261"/>
        <v>755</v>
      </c>
      <c r="S2224" s="367">
        <f t="shared" si="262"/>
        <v>185</v>
      </c>
      <c r="T2224" s="442"/>
      <c r="U2224" s="442"/>
      <c r="V2224" s="442"/>
      <c r="W2224" s="442"/>
      <c r="X2224" s="442"/>
    </row>
    <row r="2225" spans="1:24" ht="12.75">
      <c r="A2225" s="438" t="s">
        <v>673</v>
      </c>
      <c r="B2225" s="439" t="s">
        <v>189</v>
      </c>
      <c r="C2225" s="439" t="s">
        <v>784</v>
      </c>
      <c r="D2225" s="439">
        <v>2018</v>
      </c>
      <c r="E2225" s="439" t="s">
        <v>775</v>
      </c>
      <c r="F2225" s="440">
        <v>32</v>
      </c>
      <c r="G2225" s="441">
        <v>0</v>
      </c>
      <c r="H2225" s="440">
        <v>0</v>
      </c>
      <c r="I2225" s="440">
        <v>0</v>
      </c>
      <c r="J2225" s="440">
        <v>21</v>
      </c>
      <c r="K2225" s="441">
        <v>15</v>
      </c>
      <c r="L2225" s="440">
        <v>0</v>
      </c>
      <c r="M2225" s="440">
        <v>15</v>
      </c>
      <c r="N2225" s="440">
        <v>23</v>
      </c>
      <c r="O2225" s="440">
        <v>26</v>
      </c>
      <c r="P2225" s="440">
        <v>58</v>
      </c>
      <c r="Q2225" s="440">
        <v>0</v>
      </c>
      <c r="R2225" s="344">
        <f t="shared" si="261"/>
        <v>134</v>
      </c>
      <c r="S2225" s="367">
        <f t="shared" si="262"/>
        <v>41</v>
      </c>
      <c r="T2225" s="345">
        <f>SUM(G2222:G2225)</f>
        <v>12</v>
      </c>
      <c r="U2225" s="345">
        <f>SUM(K2222:K2225)</f>
        <v>118</v>
      </c>
      <c r="V2225" s="345">
        <f>SUM(O2222:O2225)</f>
        <v>43</v>
      </c>
      <c r="W2225" s="345">
        <f>SUM(Q2222:Q2225)</f>
        <v>280</v>
      </c>
      <c r="X2225" s="345">
        <f>T2225+U2225+V2225+W2225</f>
        <v>453</v>
      </c>
    </row>
    <row r="2226" spans="1:24" ht="12.75">
      <c r="A2226" s="346" t="s">
        <v>670</v>
      </c>
      <c r="B2226" s="347" t="s">
        <v>189</v>
      </c>
      <c r="C2226" s="347" t="s">
        <v>785</v>
      </c>
      <c r="D2226" s="347">
        <v>2019</v>
      </c>
      <c r="E2226" s="347" t="s">
        <v>775</v>
      </c>
      <c r="F2226" s="348">
        <v>32</v>
      </c>
      <c r="G2226" s="348">
        <v>0</v>
      </c>
      <c r="H2226" s="348">
        <v>0</v>
      </c>
      <c r="I2226" s="348">
        <v>0</v>
      </c>
      <c r="J2226" s="348">
        <v>21</v>
      </c>
      <c r="K2226" s="348">
        <v>0</v>
      </c>
      <c r="L2226" s="348">
        <v>0</v>
      </c>
      <c r="M2226" s="348">
        <v>0</v>
      </c>
      <c r="N2226" s="348">
        <v>24</v>
      </c>
      <c r="O2226" s="348">
        <v>0</v>
      </c>
      <c r="P2226" s="348">
        <v>59</v>
      </c>
      <c r="Q2226" s="348">
        <v>26</v>
      </c>
      <c r="R2226" s="350">
        <f t="shared" si="261"/>
        <v>136</v>
      </c>
      <c r="S2226" s="348">
        <f t="shared" si="262"/>
        <v>26</v>
      </c>
      <c r="T2226" s="348"/>
      <c r="U2226" s="348"/>
      <c r="V2226" s="348"/>
      <c r="W2226" s="349"/>
      <c r="X2226" s="349"/>
    </row>
    <row r="2227" spans="1:24" ht="12.75">
      <c r="A2227" s="346" t="s">
        <v>671</v>
      </c>
      <c r="B2227" s="347" t="s">
        <v>189</v>
      </c>
      <c r="C2227" s="347" t="s">
        <v>785</v>
      </c>
      <c r="D2227" s="347">
        <v>2019</v>
      </c>
      <c r="E2227" s="347" t="s">
        <v>775</v>
      </c>
      <c r="F2227" s="348">
        <v>287</v>
      </c>
      <c r="G2227" s="348">
        <v>0</v>
      </c>
      <c r="H2227" s="348">
        <v>0</v>
      </c>
      <c r="I2227" s="348">
        <v>0</v>
      </c>
      <c r="J2227" s="348">
        <v>181</v>
      </c>
      <c r="K2227" s="348">
        <v>59</v>
      </c>
      <c r="L2227" s="348">
        <v>59</v>
      </c>
      <c r="M2227" s="348">
        <v>0</v>
      </c>
      <c r="N2227" s="348">
        <v>205</v>
      </c>
      <c r="O2227" s="348">
        <v>0</v>
      </c>
      <c r="P2227" s="348">
        <v>502</v>
      </c>
      <c r="Q2227" s="348">
        <v>249</v>
      </c>
      <c r="R2227" s="350">
        <f t="shared" si="261"/>
        <v>1175</v>
      </c>
      <c r="S2227" s="348">
        <f t="shared" si="262"/>
        <v>308</v>
      </c>
      <c r="T2227" s="348"/>
      <c r="U2227" s="348"/>
      <c r="V2227" s="348"/>
      <c r="W2227" s="349"/>
      <c r="X2227" s="349"/>
    </row>
    <row r="2228" spans="1:24" ht="12.75">
      <c r="A2228" s="346" t="s">
        <v>672</v>
      </c>
      <c r="B2228" s="347" t="s">
        <v>189</v>
      </c>
      <c r="C2228" s="347" t="s">
        <v>785</v>
      </c>
      <c r="D2228" s="347">
        <v>2019</v>
      </c>
      <c r="E2228" s="347" t="s">
        <v>775</v>
      </c>
      <c r="F2228" s="348">
        <v>189</v>
      </c>
      <c r="G2228" s="348">
        <v>3</v>
      </c>
      <c r="H2228" s="348">
        <v>0</v>
      </c>
      <c r="I2228" s="348">
        <v>3</v>
      </c>
      <c r="J2228" s="348">
        <v>117</v>
      </c>
      <c r="K2228" s="348">
        <v>8</v>
      </c>
      <c r="L2228" s="348">
        <v>0</v>
      </c>
      <c r="M2228" s="348">
        <v>8</v>
      </c>
      <c r="N2228" s="348">
        <v>128</v>
      </c>
      <c r="O2228" s="348">
        <v>5</v>
      </c>
      <c r="P2228" s="348">
        <v>321</v>
      </c>
      <c r="Q2228" s="348">
        <v>280</v>
      </c>
      <c r="R2228" s="350">
        <f t="shared" si="261"/>
        <v>755</v>
      </c>
      <c r="S2228" s="348">
        <f t="shared" si="262"/>
        <v>296</v>
      </c>
      <c r="T2228" s="348"/>
      <c r="U2228" s="348"/>
      <c r="V2228" s="348"/>
      <c r="W2228" s="349"/>
      <c r="X2228" s="349"/>
    </row>
    <row r="2229" spans="1:24" ht="12.75">
      <c r="A2229" s="346" t="s">
        <v>673</v>
      </c>
      <c r="B2229" s="347" t="s">
        <v>189</v>
      </c>
      <c r="C2229" s="347" t="s">
        <v>785</v>
      </c>
      <c r="D2229" s="347">
        <v>2019</v>
      </c>
      <c r="E2229" s="347" t="s">
        <v>775</v>
      </c>
      <c r="F2229" s="348">
        <v>32</v>
      </c>
      <c r="G2229" s="348">
        <v>30</v>
      </c>
      <c r="H2229" s="348">
        <v>30</v>
      </c>
      <c r="I2229" s="348">
        <v>0</v>
      </c>
      <c r="J2229" s="348">
        <v>21</v>
      </c>
      <c r="K2229" s="348">
        <v>0</v>
      </c>
      <c r="L2229" s="348">
        <v>0</v>
      </c>
      <c r="M2229" s="348">
        <v>0</v>
      </c>
      <c r="N2229" s="348">
        <v>23</v>
      </c>
      <c r="O2229" s="348">
        <v>25</v>
      </c>
      <c r="P2229" s="348">
        <v>58</v>
      </c>
      <c r="Q2229" s="348">
        <v>17</v>
      </c>
      <c r="R2229" s="350">
        <f t="shared" si="261"/>
        <v>134</v>
      </c>
      <c r="S2229" s="348">
        <f t="shared" si="262"/>
        <v>72</v>
      </c>
      <c r="T2229" s="399">
        <f>SUM(G2226:G2229)</f>
        <v>33</v>
      </c>
      <c r="U2229" s="399">
        <f>SUM(K2226:K2229)</f>
        <v>67</v>
      </c>
      <c r="V2229" s="399">
        <f>SUM(O2226:O2229)</f>
        <v>30</v>
      </c>
      <c r="W2229" s="399">
        <f>SUM(Q2226:Q2229)</f>
        <v>572</v>
      </c>
      <c r="X2229" s="399">
        <f>T2229+U2229+V2229+W2229</f>
        <v>702</v>
      </c>
    </row>
    <row r="2230" spans="1:24" ht="12.75">
      <c r="A2230" s="444"/>
      <c r="B2230" s="445"/>
      <c r="C2230" s="445"/>
      <c r="D2230" s="445"/>
      <c r="E2230" s="445"/>
      <c r="F2230" s="446"/>
      <c r="G2230" s="446"/>
      <c r="H2230" s="447"/>
      <c r="I2230" s="446"/>
      <c r="J2230" s="446"/>
      <c r="K2230" s="446"/>
      <c r="L2230" s="446"/>
      <c r="M2230" s="446"/>
      <c r="N2230" s="446"/>
      <c r="O2230" s="446"/>
      <c r="P2230" s="446"/>
      <c r="Q2230" s="447"/>
      <c r="R2230" s="393"/>
      <c r="S2230" s="361" t="s">
        <v>783</v>
      </c>
      <c r="T2230" s="448">
        <f t="shared" ref="T2230:X2230" si="263">SUM(T2211:T2229)</f>
        <v>116</v>
      </c>
      <c r="U2230" s="448">
        <f t="shared" si="263"/>
        <v>280</v>
      </c>
      <c r="V2230" s="448">
        <f t="shared" si="263"/>
        <v>437</v>
      </c>
      <c r="W2230" s="448">
        <f t="shared" si="263"/>
        <v>1408</v>
      </c>
      <c r="X2230" s="448">
        <f t="shared" si="263"/>
        <v>2241</v>
      </c>
    </row>
    <row r="2231" spans="1:24" ht="12.75">
      <c r="A2231" s="449"/>
      <c r="B2231" s="450"/>
      <c r="C2231" s="450"/>
      <c r="D2231" s="450"/>
      <c r="E2231" s="450"/>
      <c r="F2231" s="451"/>
      <c r="G2231" s="451"/>
      <c r="H2231" s="452"/>
      <c r="I2231" s="451"/>
      <c r="J2231" s="451"/>
      <c r="K2231" s="451"/>
      <c r="L2231" s="451"/>
      <c r="M2231" s="451"/>
      <c r="N2231" s="451"/>
      <c r="O2231" s="451"/>
      <c r="P2231" s="451"/>
      <c r="Q2231" s="452"/>
      <c r="R2231" s="182"/>
      <c r="S2231" s="362"/>
      <c r="T2231" s="97"/>
      <c r="U2231" s="97"/>
      <c r="V2231" s="97"/>
      <c r="W2231" s="97"/>
      <c r="X2231" s="97"/>
    </row>
    <row r="2232" spans="1:24" ht="12.75">
      <c r="A2232" s="417" t="s">
        <v>676</v>
      </c>
      <c r="B2232" s="418" t="s">
        <v>191</v>
      </c>
      <c r="C2232" s="418" t="s">
        <v>784</v>
      </c>
      <c r="D2232" s="418">
        <v>2014</v>
      </c>
      <c r="E2232" s="418" t="s">
        <v>775</v>
      </c>
      <c r="F2232" s="419">
        <v>3</v>
      </c>
      <c r="G2232" s="419">
        <v>0</v>
      </c>
      <c r="H2232" s="420">
        <v>0</v>
      </c>
      <c r="I2232" s="419">
        <v>0</v>
      </c>
      <c r="J2232" s="419">
        <v>2</v>
      </c>
      <c r="K2232" s="419">
        <v>0</v>
      </c>
      <c r="L2232" s="419">
        <v>0</v>
      </c>
      <c r="M2232" s="419">
        <v>0</v>
      </c>
      <c r="N2232" s="419">
        <v>2</v>
      </c>
      <c r="O2232" s="419">
        <v>0</v>
      </c>
      <c r="P2232" s="419">
        <v>5</v>
      </c>
      <c r="Q2232" s="420">
        <v>0</v>
      </c>
      <c r="R2232" s="311">
        <f t="shared" ref="R2232:R2261" si="264">F2232+J2232+N2232+P2232</f>
        <v>12</v>
      </c>
      <c r="S2232" s="363">
        <f t="shared" ref="S2232:S2261" si="265">K2232+O2232+G2232+Q2232</f>
        <v>0</v>
      </c>
      <c r="T2232" s="421"/>
      <c r="U2232" s="421"/>
      <c r="V2232" s="421"/>
      <c r="W2232" s="421"/>
      <c r="X2232" s="421"/>
    </row>
    <row r="2233" spans="1:24" ht="12.75">
      <c r="A2233" s="417" t="s">
        <v>677</v>
      </c>
      <c r="B2233" s="418" t="s">
        <v>191</v>
      </c>
      <c r="C2233" s="418" t="s">
        <v>784</v>
      </c>
      <c r="D2233" s="418">
        <v>2014</v>
      </c>
      <c r="E2233" s="418" t="s">
        <v>775</v>
      </c>
      <c r="F2233" s="419">
        <v>6</v>
      </c>
      <c r="G2233" s="419">
        <v>0</v>
      </c>
      <c r="H2233" s="420">
        <v>0</v>
      </c>
      <c r="I2233" s="419">
        <v>0</v>
      </c>
      <c r="J2233" s="419">
        <v>4</v>
      </c>
      <c r="K2233" s="419">
        <v>0</v>
      </c>
      <c r="L2233" s="419">
        <v>0</v>
      </c>
      <c r="M2233" s="419">
        <v>0</v>
      </c>
      <c r="N2233" s="419">
        <v>4</v>
      </c>
      <c r="O2233" s="419">
        <v>0</v>
      </c>
      <c r="P2233" s="419">
        <v>9</v>
      </c>
      <c r="Q2233" s="420">
        <v>0</v>
      </c>
      <c r="R2233" s="311">
        <f t="shared" si="264"/>
        <v>23</v>
      </c>
      <c r="S2233" s="363">
        <f t="shared" si="265"/>
        <v>0</v>
      </c>
      <c r="T2233" s="421"/>
      <c r="U2233" s="421"/>
      <c r="V2233" s="421"/>
      <c r="W2233" s="421"/>
      <c r="X2233" s="421"/>
    </row>
    <row r="2234" spans="1:24" ht="12.75">
      <c r="A2234" s="417" t="s">
        <v>681</v>
      </c>
      <c r="B2234" s="418" t="s">
        <v>191</v>
      </c>
      <c r="C2234" s="418" t="s">
        <v>784</v>
      </c>
      <c r="D2234" s="418">
        <v>2014</v>
      </c>
      <c r="E2234" s="418" t="s">
        <v>775</v>
      </c>
      <c r="F2234" s="419">
        <v>11</v>
      </c>
      <c r="G2234" s="419">
        <v>0</v>
      </c>
      <c r="H2234" s="420">
        <v>0</v>
      </c>
      <c r="I2234" s="419">
        <v>0</v>
      </c>
      <c r="J2234" s="419">
        <v>7</v>
      </c>
      <c r="K2234" s="419">
        <v>0</v>
      </c>
      <c r="L2234" s="419">
        <v>0</v>
      </c>
      <c r="M2234" s="419">
        <v>0</v>
      </c>
      <c r="N2234" s="419">
        <v>8</v>
      </c>
      <c r="O2234" s="419">
        <v>0</v>
      </c>
      <c r="P2234" s="419">
        <v>19</v>
      </c>
      <c r="Q2234" s="420">
        <v>1</v>
      </c>
      <c r="R2234" s="311">
        <f t="shared" si="264"/>
        <v>45</v>
      </c>
      <c r="S2234" s="363">
        <f t="shared" si="265"/>
        <v>1</v>
      </c>
      <c r="T2234" s="411">
        <f>SUM(G2232:G2234)</f>
        <v>0</v>
      </c>
      <c r="U2234" s="411">
        <f>SUM(K2232:K2234)</f>
        <v>0</v>
      </c>
      <c r="V2234" s="411">
        <f>SUM(O2232:O2234)</f>
        <v>0</v>
      </c>
      <c r="W2234" s="411">
        <f>SUM(Q2232:Q2234)</f>
        <v>1</v>
      </c>
      <c r="X2234" s="411">
        <f>T2234+U2234+V2234+W2234</f>
        <v>1</v>
      </c>
    </row>
    <row r="2235" spans="1:24" ht="12.75">
      <c r="A2235" s="422" t="s">
        <v>676</v>
      </c>
      <c r="B2235" s="423" t="s">
        <v>191</v>
      </c>
      <c r="C2235" s="423" t="s">
        <v>784</v>
      </c>
      <c r="D2235" s="423">
        <v>2015</v>
      </c>
      <c r="E2235" s="423" t="s">
        <v>775</v>
      </c>
      <c r="F2235" s="424">
        <v>3</v>
      </c>
      <c r="G2235" s="424">
        <v>0</v>
      </c>
      <c r="H2235" s="425">
        <v>0</v>
      </c>
      <c r="I2235" s="424">
        <v>0</v>
      </c>
      <c r="J2235" s="424">
        <v>2</v>
      </c>
      <c r="K2235" s="424">
        <v>1</v>
      </c>
      <c r="L2235" s="424">
        <v>1</v>
      </c>
      <c r="M2235" s="424">
        <v>0</v>
      </c>
      <c r="N2235" s="424">
        <v>2</v>
      </c>
      <c r="O2235" s="424">
        <v>1</v>
      </c>
      <c r="P2235" s="424">
        <v>5</v>
      </c>
      <c r="Q2235" s="425">
        <v>0</v>
      </c>
      <c r="R2235" s="319">
        <f t="shared" si="264"/>
        <v>12</v>
      </c>
      <c r="S2235" s="364">
        <f t="shared" si="265"/>
        <v>2</v>
      </c>
      <c r="T2235" s="426"/>
      <c r="U2235" s="426"/>
      <c r="V2235" s="426"/>
      <c r="W2235" s="426"/>
      <c r="X2235" s="426"/>
    </row>
    <row r="2236" spans="1:24" ht="12.75">
      <c r="A2236" s="422" t="s">
        <v>677</v>
      </c>
      <c r="B2236" s="423" t="s">
        <v>191</v>
      </c>
      <c r="C2236" s="423" t="s">
        <v>784</v>
      </c>
      <c r="D2236" s="423">
        <v>2015</v>
      </c>
      <c r="E2236" s="423" t="s">
        <v>775</v>
      </c>
      <c r="F2236" s="424">
        <v>6</v>
      </c>
      <c r="G2236" s="424">
        <v>0</v>
      </c>
      <c r="H2236" s="425">
        <v>0</v>
      </c>
      <c r="I2236" s="424">
        <v>0</v>
      </c>
      <c r="J2236" s="424">
        <v>4</v>
      </c>
      <c r="K2236" s="424">
        <v>0</v>
      </c>
      <c r="L2236" s="424">
        <v>0</v>
      </c>
      <c r="M2236" s="424">
        <v>0</v>
      </c>
      <c r="N2236" s="424">
        <v>4</v>
      </c>
      <c r="O2236" s="424">
        <v>0</v>
      </c>
      <c r="P2236" s="424">
        <v>9</v>
      </c>
      <c r="Q2236" s="425">
        <v>1</v>
      </c>
      <c r="R2236" s="319">
        <f t="shared" si="264"/>
        <v>23</v>
      </c>
      <c r="S2236" s="364">
        <f t="shared" si="265"/>
        <v>1</v>
      </c>
      <c r="T2236" s="426"/>
      <c r="U2236" s="426"/>
      <c r="V2236" s="426"/>
      <c r="W2236" s="426"/>
      <c r="X2236" s="426"/>
    </row>
    <row r="2237" spans="1:24" ht="12.75">
      <c r="A2237" s="457" t="s">
        <v>685</v>
      </c>
      <c r="B2237" s="458" t="s">
        <v>191</v>
      </c>
      <c r="C2237" s="458" t="s">
        <v>784</v>
      </c>
      <c r="D2237" s="458">
        <v>2015</v>
      </c>
      <c r="E2237" s="458" t="s">
        <v>775</v>
      </c>
      <c r="F2237" s="425">
        <v>25</v>
      </c>
      <c r="G2237" s="424">
        <v>0</v>
      </c>
      <c r="H2237" s="425">
        <v>0</v>
      </c>
      <c r="I2237" s="425">
        <v>0</v>
      </c>
      <c r="J2237" s="425">
        <v>17</v>
      </c>
      <c r="K2237" s="424">
        <v>0</v>
      </c>
      <c r="L2237" s="425">
        <v>0</v>
      </c>
      <c r="M2237" s="425">
        <v>0</v>
      </c>
      <c r="N2237" s="425">
        <v>18</v>
      </c>
      <c r="O2237" s="425">
        <v>2</v>
      </c>
      <c r="P2237" s="425">
        <v>43</v>
      </c>
      <c r="Q2237" s="425">
        <v>0</v>
      </c>
      <c r="R2237" s="319">
        <f t="shared" si="264"/>
        <v>103</v>
      </c>
      <c r="S2237" s="364">
        <f t="shared" si="265"/>
        <v>2</v>
      </c>
      <c r="T2237" s="427">
        <f>SUM(G2235:G2237)</f>
        <v>0</v>
      </c>
      <c r="U2237" s="427">
        <f>SUM(K2235:K2237)</f>
        <v>1</v>
      </c>
      <c r="V2237" s="427">
        <f>SUM(O2235:O2237)</f>
        <v>3</v>
      </c>
      <c r="W2237" s="427">
        <f>SUM(Q2235:Q2237)</f>
        <v>1</v>
      </c>
      <c r="X2237" s="427">
        <f>T2237+U2237+V2237+W2237</f>
        <v>5</v>
      </c>
    </row>
    <row r="2238" spans="1:24" ht="12.75">
      <c r="A2238" s="428" t="s">
        <v>677</v>
      </c>
      <c r="B2238" s="429" t="s">
        <v>191</v>
      </c>
      <c r="C2238" s="429" t="s">
        <v>784</v>
      </c>
      <c r="D2238" s="429">
        <v>2016</v>
      </c>
      <c r="E2238" s="429" t="s">
        <v>775</v>
      </c>
      <c r="F2238" s="430">
        <v>6</v>
      </c>
      <c r="G2238" s="430">
        <v>0</v>
      </c>
      <c r="H2238" s="431">
        <v>0</v>
      </c>
      <c r="I2238" s="430">
        <v>0</v>
      </c>
      <c r="J2238" s="430">
        <v>4</v>
      </c>
      <c r="K2238" s="430">
        <v>0</v>
      </c>
      <c r="L2238" s="430">
        <v>0</v>
      </c>
      <c r="M2238" s="430">
        <v>0</v>
      </c>
      <c r="N2238" s="430">
        <v>4</v>
      </c>
      <c r="O2238" s="430">
        <v>0</v>
      </c>
      <c r="P2238" s="430">
        <v>9</v>
      </c>
      <c r="Q2238" s="431">
        <v>1</v>
      </c>
      <c r="R2238" s="328">
        <f t="shared" si="264"/>
        <v>23</v>
      </c>
      <c r="S2238" s="365">
        <f t="shared" si="265"/>
        <v>1</v>
      </c>
      <c r="T2238" s="432"/>
      <c r="U2238" s="432"/>
      <c r="V2238" s="432"/>
      <c r="W2238" s="432"/>
      <c r="X2238" s="432"/>
    </row>
    <row r="2239" spans="1:24" ht="12.75">
      <c r="A2239" s="459" t="s">
        <v>685</v>
      </c>
      <c r="B2239" s="460" t="s">
        <v>191</v>
      </c>
      <c r="C2239" s="460" t="s">
        <v>784</v>
      </c>
      <c r="D2239" s="460">
        <v>2016</v>
      </c>
      <c r="E2239" s="460" t="s">
        <v>775</v>
      </c>
      <c r="F2239" s="431">
        <v>25</v>
      </c>
      <c r="G2239" s="430">
        <v>0</v>
      </c>
      <c r="H2239" s="431">
        <v>0</v>
      </c>
      <c r="I2239" s="431">
        <v>0</v>
      </c>
      <c r="J2239" s="431">
        <v>17</v>
      </c>
      <c r="K2239" s="430">
        <v>0</v>
      </c>
      <c r="L2239" s="431">
        <v>0</v>
      </c>
      <c r="M2239" s="431">
        <v>0</v>
      </c>
      <c r="N2239" s="431">
        <v>18</v>
      </c>
      <c r="O2239" s="431">
        <v>0</v>
      </c>
      <c r="P2239" s="431">
        <v>43</v>
      </c>
      <c r="Q2239" s="431">
        <v>0</v>
      </c>
      <c r="R2239" s="328">
        <f t="shared" si="264"/>
        <v>103</v>
      </c>
      <c r="S2239" s="365">
        <f t="shared" si="265"/>
        <v>0</v>
      </c>
      <c r="T2239" s="413">
        <f>SUM(G2238:G2239)</f>
        <v>0</v>
      </c>
      <c r="U2239" s="413">
        <f>SUM(K2238:K2239)</f>
        <v>0</v>
      </c>
      <c r="V2239" s="413">
        <f>SUM(O2238:O2239)</f>
        <v>0</v>
      </c>
      <c r="W2239" s="413">
        <f>SUM(Q2238:Q2239)</f>
        <v>1</v>
      </c>
      <c r="X2239" s="413">
        <f>T2239+U2239+V2239+W2239</f>
        <v>1</v>
      </c>
    </row>
    <row r="2240" spans="1:24" ht="12.75">
      <c r="A2240" s="433" t="s">
        <v>676</v>
      </c>
      <c r="B2240" s="434" t="s">
        <v>191</v>
      </c>
      <c r="C2240" s="434" t="s">
        <v>784</v>
      </c>
      <c r="D2240" s="434">
        <v>2017</v>
      </c>
      <c r="E2240" s="434" t="s">
        <v>775</v>
      </c>
      <c r="F2240" s="435">
        <v>3</v>
      </c>
      <c r="G2240" s="435">
        <v>0</v>
      </c>
      <c r="H2240" s="436">
        <v>0</v>
      </c>
      <c r="I2240" s="435">
        <v>0</v>
      </c>
      <c r="J2240" s="435">
        <v>2</v>
      </c>
      <c r="K2240" s="435">
        <v>0</v>
      </c>
      <c r="L2240" s="435">
        <v>0</v>
      </c>
      <c r="M2240" s="435">
        <v>0</v>
      </c>
      <c r="N2240" s="435">
        <v>2</v>
      </c>
      <c r="O2240" s="435">
        <v>0</v>
      </c>
      <c r="P2240" s="435">
        <v>5</v>
      </c>
      <c r="Q2240" s="436">
        <v>0</v>
      </c>
      <c r="R2240" s="336">
        <f t="shared" si="264"/>
        <v>12</v>
      </c>
      <c r="S2240" s="366">
        <f t="shared" si="265"/>
        <v>0</v>
      </c>
      <c r="T2240" s="437"/>
      <c r="U2240" s="437"/>
      <c r="V2240" s="437"/>
      <c r="W2240" s="437"/>
      <c r="X2240" s="437"/>
    </row>
    <row r="2241" spans="1:24" ht="12.75">
      <c r="A2241" s="433" t="s">
        <v>677</v>
      </c>
      <c r="B2241" s="434" t="s">
        <v>191</v>
      </c>
      <c r="C2241" s="434" t="s">
        <v>784</v>
      </c>
      <c r="D2241" s="434">
        <v>2017</v>
      </c>
      <c r="E2241" s="434" t="s">
        <v>775</v>
      </c>
      <c r="F2241" s="435">
        <v>6</v>
      </c>
      <c r="G2241" s="435">
        <v>0</v>
      </c>
      <c r="H2241" s="436">
        <v>0</v>
      </c>
      <c r="I2241" s="435">
        <v>0</v>
      </c>
      <c r="J2241" s="435">
        <v>4</v>
      </c>
      <c r="K2241" s="435">
        <v>0</v>
      </c>
      <c r="L2241" s="435">
        <v>0</v>
      </c>
      <c r="M2241" s="435">
        <v>0</v>
      </c>
      <c r="N2241" s="435">
        <v>4</v>
      </c>
      <c r="O2241" s="435">
        <v>0</v>
      </c>
      <c r="P2241" s="435">
        <v>9</v>
      </c>
      <c r="Q2241" s="436">
        <v>1</v>
      </c>
      <c r="R2241" s="336">
        <f t="shared" si="264"/>
        <v>23</v>
      </c>
      <c r="S2241" s="366">
        <f t="shared" si="265"/>
        <v>1</v>
      </c>
      <c r="T2241" s="437"/>
      <c r="U2241" s="437"/>
      <c r="V2241" s="437"/>
      <c r="W2241" s="437"/>
      <c r="X2241" s="437"/>
    </row>
    <row r="2242" spans="1:24" ht="12.75">
      <c r="A2242" s="433" t="s">
        <v>678</v>
      </c>
      <c r="B2242" s="434" t="s">
        <v>191</v>
      </c>
      <c r="C2242" s="434" t="s">
        <v>784</v>
      </c>
      <c r="D2242" s="434">
        <v>2017</v>
      </c>
      <c r="E2242" s="434" t="s">
        <v>775</v>
      </c>
      <c r="F2242" s="435">
        <v>3</v>
      </c>
      <c r="G2242" s="435">
        <v>0</v>
      </c>
      <c r="H2242" s="436">
        <v>0</v>
      </c>
      <c r="I2242" s="435">
        <v>0</v>
      </c>
      <c r="J2242" s="435">
        <v>2</v>
      </c>
      <c r="K2242" s="435">
        <v>0</v>
      </c>
      <c r="L2242" s="435">
        <v>0</v>
      </c>
      <c r="M2242" s="435">
        <v>0</v>
      </c>
      <c r="N2242" s="435">
        <v>2</v>
      </c>
      <c r="O2242" s="435">
        <v>1</v>
      </c>
      <c r="P2242" s="435">
        <v>3</v>
      </c>
      <c r="Q2242" s="436">
        <v>0</v>
      </c>
      <c r="R2242" s="336">
        <f t="shared" si="264"/>
        <v>10</v>
      </c>
      <c r="S2242" s="366">
        <f t="shared" si="265"/>
        <v>1</v>
      </c>
      <c r="T2242" s="437"/>
      <c r="U2242" s="437"/>
      <c r="V2242" s="437"/>
      <c r="W2242" s="437"/>
      <c r="X2242" s="437"/>
    </row>
    <row r="2243" spans="1:24" ht="12.75">
      <c r="A2243" s="433" t="s">
        <v>680</v>
      </c>
      <c r="B2243" s="434" t="s">
        <v>191</v>
      </c>
      <c r="C2243" s="434" t="s">
        <v>784</v>
      </c>
      <c r="D2243" s="434">
        <v>2017</v>
      </c>
      <c r="E2243" s="434" t="s">
        <v>775</v>
      </c>
      <c r="F2243" s="435">
        <v>5</v>
      </c>
      <c r="G2243" s="435">
        <v>0</v>
      </c>
      <c r="H2243" s="436">
        <v>0</v>
      </c>
      <c r="I2243" s="435">
        <v>0</v>
      </c>
      <c r="J2243" s="435">
        <v>3</v>
      </c>
      <c r="K2243" s="435">
        <v>0</v>
      </c>
      <c r="L2243" s="435">
        <v>0</v>
      </c>
      <c r="M2243" s="435">
        <v>0</v>
      </c>
      <c r="N2243" s="435">
        <v>3</v>
      </c>
      <c r="O2243" s="435">
        <v>0</v>
      </c>
      <c r="P2243" s="435">
        <v>8</v>
      </c>
      <c r="Q2243" s="436">
        <v>0</v>
      </c>
      <c r="R2243" s="336">
        <f t="shared" si="264"/>
        <v>19</v>
      </c>
      <c r="S2243" s="366">
        <f t="shared" si="265"/>
        <v>0</v>
      </c>
      <c r="T2243" s="437"/>
      <c r="U2243" s="437"/>
      <c r="V2243" s="437"/>
      <c r="W2243" s="437"/>
      <c r="X2243" s="437"/>
    </row>
    <row r="2244" spans="1:24" ht="12.75">
      <c r="A2244" s="461" t="s">
        <v>685</v>
      </c>
      <c r="B2244" s="462" t="s">
        <v>191</v>
      </c>
      <c r="C2244" s="462" t="s">
        <v>784</v>
      </c>
      <c r="D2244" s="462">
        <v>2017</v>
      </c>
      <c r="E2244" s="462" t="s">
        <v>775</v>
      </c>
      <c r="F2244" s="436">
        <v>25</v>
      </c>
      <c r="G2244" s="435">
        <v>0</v>
      </c>
      <c r="H2244" s="436">
        <v>0</v>
      </c>
      <c r="I2244" s="436">
        <v>0</v>
      </c>
      <c r="J2244" s="436">
        <v>17</v>
      </c>
      <c r="K2244" s="435">
        <v>0</v>
      </c>
      <c r="L2244" s="436">
        <v>0</v>
      </c>
      <c r="M2244" s="436">
        <v>0</v>
      </c>
      <c r="N2244" s="436">
        <v>18</v>
      </c>
      <c r="O2244" s="436">
        <v>3</v>
      </c>
      <c r="P2244" s="436">
        <v>43</v>
      </c>
      <c r="Q2244" s="436">
        <v>0</v>
      </c>
      <c r="R2244" s="336">
        <f t="shared" si="264"/>
        <v>103</v>
      </c>
      <c r="S2244" s="366">
        <f t="shared" si="265"/>
        <v>3</v>
      </c>
      <c r="T2244" s="414">
        <f>SUM(G2240:G2244)</f>
        <v>0</v>
      </c>
      <c r="U2244" s="414">
        <f>SUM(K2240:K2244)</f>
        <v>0</v>
      </c>
      <c r="V2244" s="414">
        <f>SUM(O2240:O2244)</f>
        <v>4</v>
      </c>
      <c r="W2244" s="414">
        <f>SUM(Q2240:Q2244)</f>
        <v>1</v>
      </c>
      <c r="X2244" s="414">
        <f>T2244+U2244+V2244+W2244</f>
        <v>5</v>
      </c>
    </row>
    <row r="2245" spans="1:24" ht="12.75">
      <c r="A2245" s="438" t="s">
        <v>676</v>
      </c>
      <c r="B2245" s="439" t="s">
        <v>191</v>
      </c>
      <c r="C2245" s="439" t="s">
        <v>784</v>
      </c>
      <c r="D2245" s="439">
        <v>2018</v>
      </c>
      <c r="E2245" s="439" t="s">
        <v>775</v>
      </c>
      <c r="F2245" s="440">
        <v>3</v>
      </c>
      <c r="G2245" s="454"/>
      <c r="H2245" s="455"/>
      <c r="I2245" s="455"/>
      <c r="J2245" s="440">
        <v>2</v>
      </c>
      <c r="K2245" s="454"/>
      <c r="L2245" s="455"/>
      <c r="M2245" s="455"/>
      <c r="N2245" s="440">
        <v>2</v>
      </c>
      <c r="O2245" s="455"/>
      <c r="P2245" s="440">
        <v>5</v>
      </c>
      <c r="Q2245" s="455"/>
      <c r="R2245" s="344">
        <f t="shared" si="264"/>
        <v>12</v>
      </c>
      <c r="S2245" s="367">
        <f t="shared" si="265"/>
        <v>0</v>
      </c>
      <c r="T2245" s="442"/>
      <c r="U2245" s="442"/>
      <c r="V2245" s="442"/>
      <c r="W2245" s="442"/>
      <c r="X2245" s="442"/>
    </row>
    <row r="2246" spans="1:24" ht="12.75">
      <c r="A2246" s="438" t="s">
        <v>677</v>
      </c>
      <c r="B2246" s="439" t="s">
        <v>191</v>
      </c>
      <c r="C2246" s="439" t="s">
        <v>784</v>
      </c>
      <c r="D2246" s="439">
        <v>2018</v>
      </c>
      <c r="E2246" s="439" t="s">
        <v>775</v>
      </c>
      <c r="F2246" s="440">
        <v>6</v>
      </c>
      <c r="G2246" s="454"/>
      <c r="H2246" s="455"/>
      <c r="I2246" s="455"/>
      <c r="J2246" s="440">
        <v>4</v>
      </c>
      <c r="K2246" s="454"/>
      <c r="L2246" s="455"/>
      <c r="M2246" s="455"/>
      <c r="N2246" s="440">
        <v>4</v>
      </c>
      <c r="O2246" s="455"/>
      <c r="P2246" s="440">
        <v>9</v>
      </c>
      <c r="Q2246" s="455"/>
      <c r="R2246" s="344">
        <f t="shared" si="264"/>
        <v>23</v>
      </c>
      <c r="S2246" s="367">
        <f t="shared" si="265"/>
        <v>0</v>
      </c>
      <c r="T2246" s="442"/>
      <c r="U2246" s="442"/>
      <c r="V2246" s="442"/>
      <c r="W2246" s="442"/>
      <c r="X2246" s="442"/>
    </row>
    <row r="2247" spans="1:24" ht="12.75">
      <c r="A2247" s="438" t="s">
        <v>678</v>
      </c>
      <c r="B2247" s="439" t="s">
        <v>191</v>
      </c>
      <c r="C2247" s="439" t="s">
        <v>784</v>
      </c>
      <c r="D2247" s="439">
        <v>2018</v>
      </c>
      <c r="E2247" s="439" t="s">
        <v>775</v>
      </c>
      <c r="F2247" s="440">
        <v>3</v>
      </c>
      <c r="G2247" s="454"/>
      <c r="H2247" s="455"/>
      <c r="I2247" s="455"/>
      <c r="J2247" s="440">
        <v>2</v>
      </c>
      <c r="K2247" s="454"/>
      <c r="L2247" s="455"/>
      <c r="M2247" s="455"/>
      <c r="N2247" s="440">
        <v>2</v>
      </c>
      <c r="O2247" s="455"/>
      <c r="P2247" s="440">
        <v>3</v>
      </c>
      <c r="Q2247" s="455"/>
      <c r="R2247" s="344">
        <f t="shared" si="264"/>
        <v>10</v>
      </c>
      <c r="S2247" s="367">
        <f t="shared" si="265"/>
        <v>0</v>
      </c>
      <c r="T2247" s="442"/>
      <c r="U2247" s="442"/>
      <c r="V2247" s="442"/>
      <c r="W2247" s="442"/>
      <c r="X2247" s="442"/>
    </row>
    <row r="2248" spans="1:24" ht="12.75">
      <c r="A2248" s="438" t="s">
        <v>680</v>
      </c>
      <c r="B2248" s="439" t="s">
        <v>191</v>
      </c>
      <c r="C2248" s="439" t="s">
        <v>784</v>
      </c>
      <c r="D2248" s="439">
        <v>2018</v>
      </c>
      <c r="E2248" s="439" t="s">
        <v>775</v>
      </c>
      <c r="F2248" s="440">
        <v>5</v>
      </c>
      <c r="G2248" s="454"/>
      <c r="H2248" s="455"/>
      <c r="I2248" s="455"/>
      <c r="J2248" s="440">
        <v>3</v>
      </c>
      <c r="K2248" s="454"/>
      <c r="L2248" s="455"/>
      <c r="M2248" s="455"/>
      <c r="N2248" s="440">
        <v>3</v>
      </c>
      <c r="O2248" s="455"/>
      <c r="P2248" s="440">
        <v>8</v>
      </c>
      <c r="Q2248" s="455"/>
      <c r="R2248" s="344">
        <f t="shared" si="264"/>
        <v>19</v>
      </c>
      <c r="S2248" s="367">
        <f t="shared" si="265"/>
        <v>0</v>
      </c>
      <c r="T2248" s="442"/>
      <c r="U2248" s="442"/>
      <c r="V2248" s="442"/>
      <c r="W2248" s="442"/>
      <c r="X2248" s="442"/>
    </row>
    <row r="2249" spans="1:24" ht="12.75">
      <c r="A2249" s="438" t="s">
        <v>683</v>
      </c>
      <c r="B2249" s="439" t="s">
        <v>191</v>
      </c>
      <c r="C2249" s="439" t="s">
        <v>784</v>
      </c>
      <c r="D2249" s="439">
        <v>2018</v>
      </c>
      <c r="E2249" s="439" t="s">
        <v>775</v>
      </c>
      <c r="F2249" s="440">
        <v>3</v>
      </c>
      <c r="G2249" s="454"/>
      <c r="H2249" s="455"/>
      <c r="I2249" s="455"/>
      <c r="J2249" s="440">
        <v>2</v>
      </c>
      <c r="K2249" s="454"/>
      <c r="L2249" s="455"/>
      <c r="M2249" s="455"/>
      <c r="N2249" s="440">
        <v>2</v>
      </c>
      <c r="O2249" s="455"/>
      <c r="P2249" s="440">
        <v>6</v>
      </c>
      <c r="Q2249" s="455"/>
      <c r="R2249" s="344">
        <f t="shared" si="264"/>
        <v>13</v>
      </c>
      <c r="S2249" s="367">
        <f t="shared" si="265"/>
        <v>0</v>
      </c>
      <c r="T2249" s="442"/>
      <c r="U2249" s="442"/>
      <c r="V2249" s="442"/>
      <c r="W2249" s="442"/>
      <c r="X2249" s="442"/>
    </row>
    <row r="2250" spans="1:24" ht="12.75">
      <c r="A2250" s="438" t="s">
        <v>684</v>
      </c>
      <c r="B2250" s="439" t="s">
        <v>191</v>
      </c>
      <c r="C2250" s="439" t="s">
        <v>784</v>
      </c>
      <c r="D2250" s="439">
        <v>2018</v>
      </c>
      <c r="E2250" s="439" t="s">
        <v>775</v>
      </c>
      <c r="F2250" s="440">
        <v>10</v>
      </c>
      <c r="G2250" s="441">
        <v>0</v>
      </c>
      <c r="H2250" s="440">
        <v>0</v>
      </c>
      <c r="I2250" s="440">
        <v>0</v>
      </c>
      <c r="J2250" s="440">
        <v>6</v>
      </c>
      <c r="K2250" s="441">
        <v>0</v>
      </c>
      <c r="L2250" s="440">
        <v>0</v>
      </c>
      <c r="M2250" s="440">
        <v>0</v>
      </c>
      <c r="N2250" s="440">
        <v>6</v>
      </c>
      <c r="O2250" s="440">
        <v>0</v>
      </c>
      <c r="P2250" s="440">
        <v>16</v>
      </c>
      <c r="Q2250" s="440">
        <v>2</v>
      </c>
      <c r="R2250" s="344">
        <f t="shared" si="264"/>
        <v>38</v>
      </c>
      <c r="S2250" s="367">
        <f t="shared" si="265"/>
        <v>2</v>
      </c>
      <c r="T2250" s="442"/>
      <c r="U2250" s="442"/>
      <c r="V2250" s="442"/>
      <c r="W2250" s="442"/>
      <c r="X2250" s="442"/>
    </row>
    <row r="2251" spans="1:24" ht="12.75">
      <c r="A2251" s="438" t="s">
        <v>685</v>
      </c>
      <c r="B2251" s="439" t="s">
        <v>191</v>
      </c>
      <c r="C2251" s="439" t="s">
        <v>784</v>
      </c>
      <c r="D2251" s="439">
        <v>2018</v>
      </c>
      <c r="E2251" s="439" t="s">
        <v>775</v>
      </c>
      <c r="F2251" s="440">
        <v>25</v>
      </c>
      <c r="G2251" s="441">
        <v>0</v>
      </c>
      <c r="H2251" s="440">
        <v>0</v>
      </c>
      <c r="I2251" s="440">
        <v>0</v>
      </c>
      <c r="J2251" s="440">
        <v>17</v>
      </c>
      <c r="K2251" s="441">
        <v>0</v>
      </c>
      <c r="L2251" s="440">
        <v>0</v>
      </c>
      <c r="M2251" s="440">
        <v>0</v>
      </c>
      <c r="N2251" s="440">
        <v>18</v>
      </c>
      <c r="O2251" s="440">
        <v>1</v>
      </c>
      <c r="P2251" s="440">
        <v>43</v>
      </c>
      <c r="Q2251" s="440">
        <v>0</v>
      </c>
      <c r="R2251" s="344">
        <f t="shared" si="264"/>
        <v>103</v>
      </c>
      <c r="S2251" s="367">
        <f t="shared" si="265"/>
        <v>1</v>
      </c>
      <c r="T2251" s="443">
        <f>SUM(G2245:G2251)</f>
        <v>0</v>
      </c>
      <c r="U2251" s="443">
        <f>SUM(K2245:K2251)</f>
        <v>0</v>
      </c>
      <c r="V2251" s="443">
        <f>SUM(O2245:O2251)</f>
        <v>1</v>
      </c>
      <c r="W2251" s="443">
        <f>SUM(Q2245:Q2251)</f>
        <v>2</v>
      </c>
      <c r="X2251" s="443">
        <f>T2251+U2251+V2251+W2251</f>
        <v>3</v>
      </c>
    </row>
    <row r="2252" spans="1:24" ht="12.75">
      <c r="A2252" s="346" t="s">
        <v>676</v>
      </c>
      <c r="B2252" s="347" t="s">
        <v>191</v>
      </c>
      <c r="C2252" s="347" t="s">
        <v>785</v>
      </c>
      <c r="D2252" s="347">
        <v>2019</v>
      </c>
      <c r="E2252" s="347" t="s">
        <v>775</v>
      </c>
      <c r="F2252" s="348">
        <v>3</v>
      </c>
      <c r="G2252" s="348">
        <v>0</v>
      </c>
      <c r="H2252" s="348">
        <v>0</v>
      </c>
      <c r="I2252" s="348">
        <v>0</v>
      </c>
      <c r="J2252" s="348">
        <v>2</v>
      </c>
      <c r="K2252" s="348">
        <v>0</v>
      </c>
      <c r="L2252" s="348">
        <v>0</v>
      </c>
      <c r="M2252" s="348">
        <v>0</v>
      </c>
      <c r="N2252" s="348">
        <v>2</v>
      </c>
      <c r="O2252" s="348">
        <v>0</v>
      </c>
      <c r="P2252" s="348">
        <v>5</v>
      </c>
      <c r="Q2252" s="348">
        <v>0</v>
      </c>
      <c r="R2252" s="350">
        <f t="shared" si="264"/>
        <v>12</v>
      </c>
      <c r="S2252" s="348">
        <f t="shared" si="265"/>
        <v>0</v>
      </c>
      <c r="T2252" s="348"/>
      <c r="U2252" s="348"/>
      <c r="V2252" s="348"/>
      <c r="W2252" s="349"/>
      <c r="X2252" s="349"/>
    </row>
    <row r="2253" spans="1:24" ht="12.75">
      <c r="A2253" s="346" t="s">
        <v>677</v>
      </c>
      <c r="B2253" s="347" t="s">
        <v>191</v>
      </c>
      <c r="C2253" s="347" t="s">
        <v>785</v>
      </c>
      <c r="D2253" s="347">
        <v>2019</v>
      </c>
      <c r="E2253" s="347" t="s">
        <v>775</v>
      </c>
      <c r="F2253" s="348">
        <v>6</v>
      </c>
      <c r="G2253" s="348">
        <v>0</v>
      </c>
      <c r="H2253" s="348">
        <v>0</v>
      </c>
      <c r="I2253" s="348">
        <v>0</v>
      </c>
      <c r="J2253" s="348">
        <v>4</v>
      </c>
      <c r="K2253" s="348">
        <v>0</v>
      </c>
      <c r="L2253" s="348">
        <v>0</v>
      </c>
      <c r="M2253" s="348">
        <v>0</v>
      </c>
      <c r="N2253" s="348">
        <v>4</v>
      </c>
      <c r="O2253" s="348">
        <v>0</v>
      </c>
      <c r="P2253" s="348">
        <v>9</v>
      </c>
      <c r="Q2253" s="348">
        <v>0</v>
      </c>
      <c r="R2253" s="350">
        <f t="shared" si="264"/>
        <v>23</v>
      </c>
      <c r="S2253" s="348">
        <f t="shared" si="265"/>
        <v>0</v>
      </c>
      <c r="T2253" s="348"/>
      <c r="U2253" s="348"/>
      <c r="V2253" s="348"/>
      <c r="W2253" s="349"/>
      <c r="X2253" s="349"/>
    </row>
    <row r="2254" spans="1:24" ht="12.75">
      <c r="A2254" s="346" t="s">
        <v>678</v>
      </c>
      <c r="B2254" s="347" t="s">
        <v>191</v>
      </c>
      <c r="C2254" s="347" t="s">
        <v>785</v>
      </c>
      <c r="D2254" s="347">
        <v>2019</v>
      </c>
      <c r="E2254" s="347" t="s">
        <v>775</v>
      </c>
      <c r="F2254" s="348">
        <v>3</v>
      </c>
      <c r="G2254" s="348">
        <v>0</v>
      </c>
      <c r="H2254" s="348">
        <v>0</v>
      </c>
      <c r="I2254" s="348">
        <v>0</v>
      </c>
      <c r="J2254" s="348">
        <v>2</v>
      </c>
      <c r="K2254" s="348">
        <v>0</v>
      </c>
      <c r="L2254" s="348">
        <v>0</v>
      </c>
      <c r="M2254" s="348">
        <v>0</v>
      </c>
      <c r="N2254" s="348">
        <v>2</v>
      </c>
      <c r="O2254" s="348">
        <v>0</v>
      </c>
      <c r="P2254" s="348">
        <v>3</v>
      </c>
      <c r="Q2254" s="348">
        <v>0</v>
      </c>
      <c r="R2254" s="350">
        <f t="shared" si="264"/>
        <v>10</v>
      </c>
      <c r="S2254" s="348">
        <f t="shared" si="265"/>
        <v>0</v>
      </c>
      <c r="T2254" s="348"/>
      <c r="U2254" s="348"/>
      <c r="V2254" s="348"/>
      <c r="W2254" s="349"/>
      <c r="X2254" s="349"/>
    </row>
    <row r="2255" spans="1:24" ht="12.75">
      <c r="A2255" s="346" t="s">
        <v>679</v>
      </c>
      <c r="B2255" s="347" t="s">
        <v>191</v>
      </c>
      <c r="C2255" s="347" t="s">
        <v>785</v>
      </c>
      <c r="D2255" s="347">
        <v>2019</v>
      </c>
      <c r="E2255" s="347" t="s">
        <v>775</v>
      </c>
      <c r="F2255" s="348">
        <v>2</v>
      </c>
      <c r="G2255" s="348">
        <v>0</v>
      </c>
      <c r="H2255" s="348">
        <v>0</v>
      </c>
      <c r="I2255" s="348">
        <v>0</v>
      </c>
      <c r="J2255" s="348">
        <v>1</v>
      </c>
      <c r="K2255" s="348">
        <v>0</v>
      </c>
      <c r="L2255" s="348">
        <v>0</v>
      </c>
      <c r="M2255" s="348">
        <v>0</v>
      </c>
      <c r="N2255" s="348">
        <v>2</v>
      </c>
      <c r="O2255" s="348">
        <v>0</v>
      </c>
      <c r="P2255" s="348">
        <v>4</v>
      </c>
      <c r="Q2255" s="348">
        <v>0</v>
      </c>
      <c r="R2255" s="350">
        <f t="shared" si="264"/>
        <v>9</v>
      </c>
      <c r="S2255" s="348">
        <f t="shared" si="265"/>
        <v>0</v>
      </c>
      <c r="T2255" s="348"/>
      <c r="U2255" s="348"/>
      <c r="V2255" s="348"/>
      <c r="W2255" s="349"/>
      <c r="X2255" s="349"/>
    </row>
    <row r="2256" spans="1:24" ht="12.75">
      <c r="A2256" s="346" t="s">
        <v>680</v>
      </c>
      <c r="B2256" s="347" t="s">
        <v>191</v>
      </c>
      <c r="C2256" s="347" t="s">
        <v>785</v>
      </c>
      <c r="D2256" s="347">
        <v>2019</v>
      </c>
      <c r="E2256" s="347" t="s">
        <v>775</v>
      </c>
      <c r="F2256" s="348">
        <v>5</v>
      </c>
      <c r="G2256" s="348">
        <v>0</v>
      </c>
      <c r="H2256" s="348">
        <v>0</v>
      </c>
      <c r="I2256" s="348">
        <v>0</v>
      </c>
      <c r="J2256" s="348">
        <v>3</v>
      </c>
      <c r="K2256" s="348">
        <v>0</v>
      </c>
      <c r="L2256" s="348">
        <v>0</v>
      </c>
      <c r="M2256" s="348">
        <v>0</v>
      </c>
      <c r="N2256" s="348">
        <v>3</v>
      </c>
      <c r="O2256" s="348">
        <v>0</v>
      </c>
      <c r="P2256" s="348">
        <v>8</v>
      </c>
      <c r="Q2256" s="348">
        <v>0</v>
      </c>
      <c r="R2256" s="350">
        <f t="shared" si="264"/>
        <v>19</v>
      </c>
      <c r="S2256" s="348">
        <f t="shared" si="265"/>
        <v>0</v>
      </c>
      <c r="T2256" s="348"/>
      <c r="U2256" s="348"/>
      <c r="V2256" s="348"/>
      <c r="W2256" s="349"/>
      <c r="X2256" s="349"/>
    </row>
    <row r="2257" spans="1:24" ht="12.75">
      <c r="A2257" s="346" t="s">
        <v>681</v>
      </c>
      <c r="B2257" s="347" t="s">
        <v>191</v>
      </c>
      <c r="C2257" s="347" t="s">
        <v>785</v>
      </c>
      <c r="D2257" s="347">
        <v>2019</v>
      </c>
      <c r="E2257" s="347" t="s">
        <v>775</v>
      </c>
      <c r="F2257" s="348">
        <v>11</v>
      </c>
      <c r="G2257" s="348">
        <v>0</v>
      </c>
      <c r="H2257" s="348">
        <v>0</v>
      </c>
      <c r="I2257" s="348">
        <v>0</v>
      </c>
      <c r="J2257" s="348">
        <v>7</v>
      </c>
      <c r="K2257" s="348">
        <v>0</v>
      </c>
      <c r="L2257" s="348">
        <v>0</v>
      </c>
      <c r="M2257" s="348">
        <v>0</v>
      </c>
      <c r="N2257" s="348">
        <v>8</v>
      </c>
      <c r="O2257" s="348">
        <v>1</v>
      </c>
      <c r="P2257" s="348">
        <v>19</v>
      </c>
      <c r="Q2257" s="348">
        <v>1</v>
      </c>
      <c r="R2257" s="350">
        <f t="shared" si="264"/>
        <v>45</v>
      </c>
      <c r="S2257" s="348">
        <f t="shared" si="265"/>
        <v>2</v>
      </c>
      <c r="T2257" s="348"/>
      <c r="U2257" s="348"/>
      <c r="V2257" s="348"/>
      <c r="W2257" s="349"/>
      <c r="X2257" s="349"/>
    </row>
    <row r="2258" spans="1:24" ht="12.75">
      <c r="A2258" s="346" t="s">
        <v>682</v>
      </c>
      <c r="B2258" s="347" t="s">
        <v>191</v>
      </c>
      <c r="C2258" s="347" t="s">
        <v>785</v>
      </c>
      <c r="D2258" s="347">
        <v>2019</v>
      </c>
      <c r="E2258" s="347" t="s">
        <v>775</v>
      </c>
      <c r="F2258" s="348">
        <v>65</v>
      </c>
      <c r="G2258" s="348">
        <v>0</v>
      </c>
      <c r="H2258" s="348">
        <v>0</v>
      </c>
      <c r="I2258" s="348">
        <v>0</v>
      </c>
      <c r="J2258" s="348">
        <v>40</v>
      </c>
      <c r="K2258" s="348">
        <v>0</v>
      </c>
      <c r="L2258" s="348">
        <v>0</v>
      </c>
      <c r="M2258" s="348">
        <v>0</v>
      </c>
      <c r="N2258" s="348">
        <v>43</v>
      </c>
      <c r="O2258" s="348">
        <v>0</v>
      </c>
      <c r="P2258" s="348">
        <v>110</v>
      </c>
      <c r="Q2258" s="348">
        <v>11</v>
      </c>
      <c r="R2258" s="350">
        <f t="shared" si="264"/>
        <v>258</v>
      </c>
      <c r="S2258" s="348">
        <f t="shared" si="265"/>
        <v>11</v>
      </c>
      <c r="T2258" s="348"/>
      <c r="U2258" s="348"/>
      <c r="V2258" s="348"/>
      <c r="W2258" s="349"/>
      <c r="X2258" s="349"/>
    </row>
    <row r="2259" spans="1:24" ht="12.75">
      <c r="A2259" s="346" t="s">
        <v>683</v>
      </c>
      <c r="B2259" s="347" t="s">
        <v>191</v>
      </c>
      <c r="C2259" s="347" t="s">
        <v>785</v>
      </c>
      <c r="D2259" s="347">
        <v>2019</v>
      </c>
      <c r="E2259" s="347" t="s">
        <v>775</v>
      </c>
      <c r="F2259" s="348">
        <v>3</v>
      </c>
      <c r="G2259" s="348">
        <v>0</v>
      </c>
      <c r="H2259" s="348">
        <v>0</v>
      </c>
      <c r="I2259" s="348">
        <v>0</v>
      </c>
      <c r="J2259" s="348">
        <v>2</v>
      </c>
      <c r="K2259" s="348">
        <v>0</v>
      </c>
      <c r="L2259" s="348">
        <v>0</v>
      </c>
      <c r="M2259" s="348">
        <v>0</v>
      </c>
      <c r="N2259" s="348">
        <v>2</v>
      </c>
      <c r="O2259" s="348">
        <v>0</v>
      </c>
      <c r="P2259" s="348">
        <v>6</v>
      </c>
      <c r="Q2259" s="348">
        <v>0</v>
      </c>
      <c r="R2259" s="350">
        <f t="shared" si="264"/>
        <v>13</v>
      </c>
      <c r="S2259" s="348">
        <f t="shared" si="265"/>
        <v>0</v>
      </c>
      <c r="T2259" s="348"/>
      <c r="U2259" s="348"/>
      <c r="V2259" s="348"/>
      <c r="W2259" s="349"/>
      <c r="X2259" s="349"/>
    </row>
    <row r="2260" spans="1:24" ht="12.75">
      <c r="A2260" s="346" t="s">
        <v>684</v>
      </c>
      <c r="B2260" s="347" t="s">
        <v>191</v>
      </c>
      <c r="C2260" s="347" t="s">
        <v>785</v>
      </c>
      <c r="D2260" s="347">
        <v>2019</v>
      </c>
      <c r="E2260" s="347" t="s">
        <v>775</v>
      </c>
      <c r="F2260" s="348">
        <v>10</v>
      </c>
      <c r="G2260" s="348">
        <v>0</v>
      </c>
      <c r="H2260" s="348">
        <v>0</v>
      </c>
      <c r="I2260" s="348">
        <v>0</v>
      </c>
      <c r="J2260" s="348">
        <v>6</v>
      </c>
      <c r="K2260" s="348">
        <v>0</v>
      </c>
      <c r="L2260" s="348">
        <v>0</v>
      </c>
      <c r="M2260" s="348">
        <v>0</v>
      </c>
      <c r="N2260" s="348">
        <v>6</v>
      </c>
      <c r="O2260" s="348">
        <v>0</v>
      </c>
      <c r="P2260" s="348">
        <v>16</v>
      </c>
      <c r="Q2260" s="348">
        <v>4</v>
      </c>
      <c r="R2260" s="350">
        <f t="shared" si="264"/>
        <v>38</v>
      </c>
      <c r="S2260" s="348">
        <f t="shared" si="265"/>
        <v>4</v>
      </c>
      <c r="T2260" s="348"/>
      <c r="U2260" s="348"/>
      <c r="V2260" s="348"/>
      <c r="W2260" s="349"/>
      <c r="X2260" s="349"/>
    </row>
    <row r="2261" spans="1:24" ht="12.75">
      <c r="A2261" s="346" t="s">
        <v>685</v>
      </c>
      <c r="B2261" s="347" t="s">
        <v>191</v>
      </c>
      <c r="C2261" s="347" t="s">
        <v>785</v>
      </c>
      <c r="D2261" s="347">
        <v>2019</v>
      </c>
      <c r="E2261" s="347" t="s">
        <v>775</v>
      </c>
      <c r="F2261" s="348">
        <v>25</v>
      </c>
      <c r="G2261" s="348">
        <v>0</v>
      </c>
      <c r="H2261" s="348">
        <v>0</v>
      </c>
      <c r="I2261" s="348">
        <v>0</v>
      </c>
      <c r="J2261" s="348">
        <v>17</v>
      </c>
      <c r="K2261" s="348">
        <v>0</v>
      </c>
      <c r="L2261" s="348">
        <v>0</v>
      </c>
      <c r="M2261" s="348">
        <v>0</v>
      </c>
      <c r="N2261" s="348">
        <v>18</v>
      </c>
      <c r="O2261" s="348">
        <v>0</v>
      </c>
      <c r="P2261" s="348">
        <v>43</v>
      </c>
      <c r="Q2261" s="348">
        <v>0</v>
      </c>
      <c r="R2261" s="350">
        <f t="shared" si="264"/>
        <v>103</v>
      </c>
      <c r="S2261" s="348">
        <f t="shared" si="265"/>
        <v>0</v>
      </c>
      <c r="T2261" s="410">
        <f>SUM(G2252:G2261)</f>
        <v>0</v>
      </c>
      <c r="U2261" s="410">
        <f>SUM(K2252:K2261)</f>
        <v>0</v>
      </c>
      <c r="V2261" s="410">
        <f>SUM(O2252:O2261)</f>
        <v>1</v>
      </c>
      <c r="W2261" s="410">
        <f>SUM(Q2252:Q2261)</f>
        <v>16</v>
      </c>
      <c r="X2261" s="410">
        <f>T2261+U2261+V2261+W2261</f>
        <v>17</v>
      </c>
    </row>
    <row r="2262" spans="1:24" ht="12.75">
      <c r="A2262" s="501"/>
      <c r="B2262" s="502"/>
      <c r="C2262" s="502"/>
      <c r="D2262" s="502"/>
      <c r="E2262" s="502"/>
      <c r="F2262" s="503"/>
      <c r="G2262" s="503"/>
      <c r="H2262" s="504"/>
      <c r="I2262" s="503"/>
      <c r="J2262" s="503"/>
      <c r="K2262" s="503"/>
      <c r="L2262" s="503"/>
      <c r="M2262" s="503"/>
      <c r="N2262" s="503"/>
      <c r="O2262" s="503"/>
      <c r="P2262" s="503"/>
      <c r="Q2262" s="504"/>
      <c r="R2262" s="398"/>
      <c r="S2262" s="361" t="s">
        <v>783</v>
      </c>
      <c r="T2262" s="448">
        <f t="shared" ref="T2262:X2262" si="266">SUM(T2232:T2261)</f>
        <v>0</v>
      </c>
      <c r="U2262" s="448">
        <f t="shared" si="266"/>
        <v>1</v>
      </c>
      <c r="V2262" s="448">
        <f t="shared" si="266"/>
        <v>9</v>
      </c>
      <c r="W2262" s="448">
        <f t="shared" si="266"/>
        <v>22</v>
      </c>
      <c r="X2262" s="448">
        <f t="shared" si="266"/>
        <v>32</v>
      </c>
    </row>
    <row r="2263" spans="1:24" ht="12.75">
      <c r="A2263" s="449"/>
      <c r="B2263" s="450"/>
      <c r="C2263" s="450"/>
      <c r="D2263" s="450"/>
      <c r="E2263" s="450"/>
      <c r="F2263" s="451"/>
      <c r="G2263" s="451"/>
      <c r="H2263" s="452"/>
      <c r="I2263" s="451"/>
      <c r="J2263" s="451"/>
      <c r="K2263" s="451"/>
      <c r="L2263" s="451"/>
      <c r="M2263" s="451"/>
      <c r="N2263" s="451"/>
      <c r="O2263" s="451"/>
      <c r="P2263" s="451"/>
      <c r="Q2263" s="452"/>
      <c r="R2263" s="182"/>
      <c r="S2263" s="362"/>
      <c r="T2263" s="97"/>
      <c r="U2263" s="97"/>
      <c r="V2263" s="97"/>
      <c r="W2263" s="97"/>
      <c r="X2263" s="97"/>
    </row>
    <row r="2264" spans="1:24" ht="12.75">
      <c r="A2264" s="417" t="s">
        <v>884</v>
      </c>
      <c r="B2264" s="418" t="s">
        <v>192</v>
      </c>
      <c r="C2264" s="418" t="s">
        <v>774</v>
      </c>
      <c r="D2264" s="418">
        <v>2014</v>
      </c>
      <c r="E2264" s="418" t="s">
        <v>775</v>
      </c>
      <c r="F2264" s="419">
        <v>94</v>
      </c>
      <c r="G2264" s="419">
        <v>0</v>
      </c>
      <c r="H2264" s="420">
        <v>0</v>
      </c>
      <c r="I2264" s="419">
        <v>0</v>
      </c>
      <c r="J2264" s="419">
        <v>54</v>
      </c>
      <c r="K2264" s="419">
        <v>0</v>
      </c>
      <c r="L2264" s="419">
        <v>0</v>
      </c>
      <c r="M2264" s="419">
        <v>0</v>
      </c>
      <c r="N2264" s="419">
        <v>56</v>
      </c>
      <c r="O2264" s="419">
        <v>0</v>
      </c>
      <c r="P2264" s="419">
        <v>123</v>
      </c>
      <c r="Q2264" s="420">
        <v>4</v>
      </c>
      <c r="R2264" s="311">
        <f t="shared" ref="R2264:R2306" si="267">F2264+J2264+N2264+P2264</f>
        <v>327</v>
      </c>
      <c r="S2264" s="363">
        <f t="shared" ref="S2264:S2306" si="268">K2264+O2264+G2264+Q2264</f>
        <v>4</v>
      </c>
      <c r="T2264" s="421"/>
      <c r="U2264" s="421"/>
      <c r="V2264" s="421"/>
      <c r="W2264" s="421"/>
      <c r="X2264" s="421"/>
    </row>
    <row r="2265" spans="1:24" ht="12.75">
      <c r="A2265" s="417" t="s">
        <v>885</v>
      </c>
      <c r="B2265" s="418" t="s">
        <v>192</v>
      </c>
      <c r="C2265" s="418" t="s">
        <v>774</v>
      </c>
      <c r="D2265" s="418">
        <v>2014</v>
      </c>
      <c r="E2265" s="418" t="s">
        <v>775</v>
      </c>
      <c r="F2265" s="419">
        <v>779</v>
      </c>
      <c r="G2265" s="419">
        <v>0</v>
      </c>
      <c r="H2265" s="420">
        <v>0</v>
      </c>
      <c r="I2265" s="419">
        <v>0</v>
      </c>
      <c r="J2265" s="419">
        <v>404</v>
      </c>
      <c r="K2265" s="419">
        <v>0</v>
      </c>
      <c r="L2265" s="419">
        <v>0</v>
      </c>
      <c r="M2265" s="419">
        <v>0</v>
      </c>
      <c r="N2265" s="419">
        <v>456</v>
      </c>
      <c r="O2265" s="419">
        <v>6</v>
      </c>
      <c r="P2265" s="419">
        <v>1461</v>
      </c>
      <c r="Q2265" s="420">
        <v>319</v>
      </c>
      <c r="R2265" s="311">
        <f t="shared" si="267"/>
        <v>3100</v>
      </c>
      <c r="S2265" s="363">
        <f t="shared" si="268"/>
        <v>325</v>
      </c>
      <c r="T2265" s="421"/>
      <c r="U2265" s="421"/>
      <c r="V2265" s="421"/>
      <c r="W2265" s="421"/>
      <c r="X2265" s="421"/>
    </row>
    <row r="2266" spans="1:24" ht="12.75">
      <c r="A2266" s="417" t="s">
        <v>886</v>
      </c>
      <c r="B2266" s="463" t="s">
        <v>192</v>
      </c>
      <c r="C2266" s="418" t="s">
        <v>774</v>
      </c>
      <c r="D2266" s="418">
        <v>2014</v>
      </c>
      <c r="E2266" s="418" t="s">
        <v>775</v>
      </c>
      <c r="F2266" s="419">
        <v>26</v>
      </c>
      <c r="G2266" s="419">
        <v>1</v>
      </c>
      <c r="H2266" s="420">
        <v>1</v>
      </c>
      <c r="I2266" s="419">
        <v>0</v>
      </c>
      <c r="J2266" s="419">
        <v>15</v>
      </c>
      <c r="K2266" s="419">
        <v>13</v>
      </c>
      <c r="L2266" s="419">
        <v>13</v>
      </c>
      <c r="M2266" s="419">
        <v>0</v>
      </c>
      <c r="N2266" s="419">
        <v>19</v>
      </c>
      <c r="O2266" s="419">
        <v>2</v>
      </c>
      <c r="P2266" s="419">
        <v>43</v>
      </c>
      <c r="Q2266" s="420">
        <v>7</v>
      </c>
      <c r="R2266" s="311">
        <f t="shared" si="267"/>
        <v>103</v>
      </c>
      <c r="S2266" s="363">
        <f t="shared" si="268"/>
        <v>23</v>
      </c>
      <c r="T2266" s="421"/>
      <c r="U2266" s="421"/>
      <c r="V2266" s="421"/>
      <c r="W2266" s="421"/>
      <c r="X2266" s="421"/>
    </row>
    <row r="2267" spans="1:24" ht="12.75">
      <c r="A2267" s="464" t="s">
        <v>887</v>
      </c>
      <c r="B2267" s="465" t="s">
        <v>192</v>
      </c>
      <c r="C2267" s="465" t="s">
        <v>774</v>
      </c>
      <c r="D2267" s="465">
        <v>2014</v>
      </c>
      <c r="E2267" s="465" t="s">
        <v>775</v>
      </c>
      <c r="F2267" s="420">
        <v>147</v>
      </c>
      <c r="G2267" s="419">
        <v>0</v>
      </c>
      <c r="H2267" s="420">
        <v>0</v>
      </c>
      <c r="I2267" s="420">
        <v>0</v>
      </c>
      <c r="J2267" s="419">
        <v>57</v>
      </c>
      <c r="K2267" s="419">
        <v>0</v>
      </c>
      <c r="L2267" s="420">
        <v>0</v>
      </c>
      <c r="M2267" s="420">
        <v>0</v>
      </c>
      <c r="N2267" s="420">
        <v>60</v>
      </c>
      <c r="O2267" s="420">
        <v>0</v>
      </c>
      <c r="P2267" s="420">
        <v>241</v>
      </c>
      <c r="Q2267" s="420">
        <v>0</v>
      </c>
      <c r="R2267" s="311">
        <f t="shared" si="267"/>
        <v>505</v>
      </c>
      <c r="S2267" s="363">
        <f t="shared" si="268"/>
        <v>0</v>
      </c>
      <c r="T2267" s="314">
        <f>SUM(G2264:G2267)</f>
        <v>1</v>
      </c>
      <c r="U2267" s="314">
        <f>SUM(K2264:K2267)</f>
        <v>13</v>
      </c>
      <c r="V2267" s="314">
        <f>SUM(O2264:O2267)</f>
        <v>8</v>
      </c>
      <c r="W2267" s="314">
        <f>SUM(Q2264:Q2267)</f>
        <v>330</v>
      </c>
      <c r="X2267" s="314">
        <f>T2267+U2267+V2267+W2267</f>
        <v>352</v>
      </c>
    </row>
    <row r="2268" spans="1:24" ht="12.75">
      <c r="A2268" s="422" t="s">
        <v>686</v>
      </c>
      <c r="B2268" s="423" t="s">
        <v>192</v>
      </c>
      <c r="C2268" s="423" t="s">
        <v>774</v>
      </c>
      <c r="D2268" s="423">
        <v>2015</v>
      </c>
      <c r="E2268" s="423" t="s">
        <v>775</v>
      </c>
      <c r="F2268" s="424">
        <v>94</v>
      </c>
      <c r="G2268" s="424">
        <v>0</v>
      </c>
      <c r="H2268" s="425">
        <v>0</v>
      </c>
      <c r="I2268" s="424">
        <v>0</v>
      </c>
      <c r="J2268" s="424">
        <v>54</v>
      </c>
      <c r="K2268" s="424">
        <v>1</v>
      </c>
      <c r="L2268" s="424">
        <v>1</v>
      </c>
      <c r="M2268" s="424">
        <v>0</v>
      </c>
      <c r="N2268" s="424">
        <v>56</v>
      </c>
      <c r="O2268" s="424">
        <v>0</v>
      </c>
      <c r="P2268" s="424">
        <v>123</v>
      </c>
      <c r="Q2268" s="425">
        <v>2</v>
      </c>
      <c r="R2268" s="319">
        <f t="shared" si="267"/>
        <v>327</v>
      </c>
      <c r="S2268" s="364">
        <f t="shared" si="268"/>
        <v>3</v>
      </c>
      <c r="T2268" s="426"/>
      <c r="U2268" s="426"/>
      <c r="V2268" s="426"/>
      <c r="W2268" s="426"/>
      <c r="X2268" s="426"/>
    </row>
    <row r="2269" spans="1:24" ht="12.75">
      <c r="A2269" s="422" t="s">
        <v>687</v>
      </c>
      <c r="B2269" s="423" t="s">
        <v>192</v>
      </c>
      <c r="C2269" s="423" t="s">
        <v>774</v>
      </c>
      <c r="D2269" s="423">
        <v>2015</v>
      </c>
      <c r="E2269" s="423" t="s">
        <v>775</v>
      </c>
      <c r="F2269" s="424">
        <v>50</v>
      </c>
      <c r="G2269" s="424">
        <v>0</v>
      </c>
      <c r="H2269" s="425">
        <v>0</v>
      </c>
      <c r="I2269" s="424">
        <v>0</v>
      </c>
      <c r="J2269" s="424">
        <v>24</v>
      </c>
      <c r="K2269" s="424">
        <v>0</v>
      </c>
      <c r="L2269" s="424">
        <v>0</v>
      </c>
      <c r="M2269" s="424">
        <v>0</v>
      </c>
      <c r="N2269" s="424">
        <v>30</v>
      </c>
      <c r="O2269" s="424">
        <v>59</v>
      </c>
      <c r="P2269" s="424">
        <v>93</v>
      </c>
      <c r="Q2269" s="425">
        <v>0</v>
      </c>
      <c r="R2269" s="319">
        <f t="shared" si="267"/>
        <v>197</v>
      </c>
      <c r="S2269" s="364">
        <f t="shared" si="268"/>
        <v>59</v>
      </c>
      <c r="T2269" s="426"/>
      <c r="U2269" s="426"/>
      <c r="V2269" s="426"/>
      <c r="W2269" s="426"/>
      <c r="X2269" s="426"/>
    </row>
    <row r="2270" spans="1:24" ht="12.75">
      <c r="A2270" s="422" t="s">
        <v>688</v>
      </c>
      <c r="B2270" s="423" t="s">
        <v>192</v>
      </c>
      <c r="C2270" s="423" t="s">
        <v>774</v>
      </c>
      <c r="D2270" s="423">
        <v>2015</v>
      </c>
      <c r="E2270" s="423" t="s">
        <v>775</v>
      </c>
      <c r="F2270" s="424">
        <v>779</v>
      </c>
      <c r="G2270" s="424">
        <v>0</v>
      </c>
      <c r="H2270" s="425">
        <v>0</v>
      </c>
      <c r="I2270" s="424">
        <v>0</v>
      </c>
      <c r="J2270" s="424">
        <v>404</v>
      </c>
      <c r="K2270" s="424">
        <v>0</v>
      </c>
      <c r="L2270" s="424">
        <v>0</v>
      </c>
      <c r="M2270" s="424">
        <v>0</v>
      </c>
      <c r="N2270" s="424">
        <v>456</v>
      </c>
      <c r="O2270" s="424">
        <v>290</v>
      </c>
      <c r="P2270" s="424">
        <v>1461</v>
      </c>
      <c r="Q2270" s="425">
        <v>448</v>
      </c>
      <c r="R2270" s="319">
        <f t="shared" si="267"/>
        <v>3100</v>
      </c>
      <c r="S2270" s="364">
        <f t="shared" si="268"/>
        <v>738</v>
      </c>
      <c r="T2270" s="426"/>
      <c r="U2270" s="426"/>
      <c r="V2270" s="426"/>
      <c r="W2270" s="426"/>
      <c r="X2270" s="426"/>
    </row>
    <row r="2271" spans="1:24" ht="12.75">
      <c r="A2271" s="422" t="s">
        <v>689</v>
      </c>
      <c r="B2271" s="423" t="s">
        <v>192</v>
      </c>
      <c r="C2271" s="423" t="s">
        <v>774</v>
      </c>
      <c r="D2271" s="423">
        <v>2015</v>
      </c>
      <c r="E2271" s="423" t="s">
        <v>775</v>
      </c>
      <c r="F2271" s="424">
        <v>45</v>
      </c>
      <c r="G2271" s="424">
        <v>0</v>
      </c>
      <c r="H2271" s="425">
        <v>0</v>
      </c>
      <c r="I2271" s="424">
        <v>0</v>
      </c>
      <c r="J2271" s="424">
        <v>36</v>
      </c>
      <c r="K2271" s="424">
        <v>0</v>
      </c>
      <c r="L2271" s="424">
        <v>0</v>
      </c>
      <c r="M2271" s="424">
        <v>0</v>
      </c>
      <c r="N2271" s="424">
        <v>48</v>
      </c>
      <c r="O2271" s="424">
        <v>67</v>
      </c>
      <c r="P2271" s="424">
        <v>170</v>
      </c>
      <c r="Q2271" s="425">
        <v>80</v>
      </c>
      <c r="R2271" s="319">
        <f t="shared" si="267"/>
        <v>299</v>
      </c>
      <c r="S2271" s="364">
        <f t="shared" si="268"/>
        <v>147</v>
      </c>
      <c r="T2271" s="426"/>
      <c r="U2271" s="426"/>
      <c r="V2271" s="426"/>
      <c r="W2271" s="426"/>
      <c r="X2271" s="426"/>
    </row>
    <row r="2272" spans="1:24" ht="12.75">
      <c r="A2272" s="422" t="s">
        <v>690</v>
      </c>
      <c r="B2272" s="423" t="s">
        <v>192</v>
      </c>
      <c r="C2272" s="423" t="s">
        <v>774</v>
      </c>
      <c r="D2272" s="423">
        <v>2015</v>
      </c>
      <c r="E2272" s="423" t="s">
        <v>775</v>
      </c>
      <c r="F2272" s="424">
        <v>26</v>
      </c>
      <c r="G2272" s="424">
        <v>0</v>
      </c>
      <c r="H2272" s="425">
        <v>0</v>
      </c>
      <c r="I2272" s="424">
        <v>0</v>
      </c>
      <c r="J2272" s="424">
        <v>15</v>
      </c>
      <c r="K2272" s="424">
        <v>11</v>
      </c>
      <c r="L2272" s="424">
        <v>0</v>
      </c>
      <c r="M2272" s="424">
        <v>11</v>
      </c>
      <c r="N2272" s="424">
        <v>19</v>
      </c>
      <c r="O2272" s="424">
        <v>7</v>
      </c>
      <c r="P2272" s="424">
        <v>43</v>
      </c>
      <c r="Q2272" s="425">
        <v>14</v>
      </c>
      <c r="R2272" s="319">
        <f t="shared" si="267"/>
        <v>103</v>
      </c>
      <c r="S2272" s="364">
        <f t="shared" si="268"/>
        <v>32</v>
      </c>
      <c r="T2272" s="426"/>
      <c r="U2272" s="426"/>
      <c r="V2272" s="426"/>
      <c r="W2272" s="426"/>
      <c r="X2272" s="426"/>
    </row>
    <row r="2273" spans="1:24" ht="12.75">
      <c r="A2273" s="457" t="s">
        <v>691</v>
      </c>
      <c r="B2273" s="458" t="s">
        <v>192</v>
      </c>
      <c r="C2273" s="458" t="s">
        <v>774</v>
      </c>
      <c r="D2273" s="458">
        <v>2015</v>
      </c>
      <c r="E2273" s="458" t="s">
        <v>775</v>
      </c>
      <c r="F2273" s="425">
        <v>147</v>
      </c>
      <c r="G2273" s="424">
        <v>0</v>
      </c>
      <c r="H2273" s="425">
        <v>0</v>
      </c>
      <c r="I2273" s="425">
        <v>0</v>
      </c>
      <c r="J2273" s="424">
        <v>57</v>
      </c>
      <c r="K2273" s="424">
        <v>0</v>
      </c>
      <c r="L2273" s="425">
        <v>0</v>
      </c>
      <c r="M2273" s="425">
        <v>0</v>
      </c>
      <c r="N2273" s="425">
        <v>60</v>
      </c>
      <c r="O2273" s="425">
        <v>0</v>
      </c>
      <c r="P2273" s="425">
        <v>241</v>
      </c>
      <c r="Q2273" s="425">
        <v>8</v>
      </c>
      <c r="R2273" s="319">
        <f t="shared" si="267"/>
        <v>505</v>
      </c>
      <c r="S2273" s="364">
        <f t="shared" si="268"/>
        <v>8</v>
      </c>
      <c r="T2273" s="426"/>
      <c r="U2273" s="426"/>
      <c r="V2273" s="426"/>
      <c r="W2273" s="426"/>
      <c r="X2273" s="426"/>
    </row>
    <row r="2274" spans="1:24" ht="12.75">
      <c r="A2274" s="457" t="s">
        <v>692</v>
      </c>
      <c r="B2274" s="458" t="s">
        <v>192</v>
      </c>
      <c r="C2274" s="458" t="s">
        <v>774</v>
      </c>
      <c r="D2274" s="458">
        <v>2015</v>
      </c>
      <c r="E2274" s="458" t="s">
        <v>775</v>
      </c>
      <c r="F2274" s="425">
        <v>287</v>
      </c>
      <c r="G2274" s="424">
        <v>20</v>
      </c>
      <c r="H2274" s="425">
        <v>20</v>
      </c>
      <c r="I2274" s="425">
        <v>0</v>
      </c>
      <c r="J2274" s="424">
        <v>134</v>
      </c>
      <c r="K2274" s="424">
        <v>46</v>
      </c>
      <c r="L2274" s="425">
        <v>46</v>
      </c>
      <c r="M2274" s="425">
        <v>0</v>
      </c>
      <c r="N2274" s="425">
        <v>173</v>
      </c>
      <c r="O2274" s="425">
        <v>158</v>
      </c>
      <c r="P2274" s="425">
        <v>490</v>
      </c>
      <c r="Q2274" s="425">
        <v>212</v>
      </c>
      <c r="R2274" s="319">
        <f t="shared" si="267"/>
        <v>1084</v>
      </c>
      <c r="S2274" s="364">
        <f t="shared" si="268"/>
        <v>436</v>
      </c>
      <c r="T2274" s="427">
        <f>SUM(G2268:G2274)</f>
        <v>20</v>
      </c>
      <c r="U2274" s="427">
        <f>SUM(K2268:K2274)</f>
        <v>58</v>
      </c>
      <c r="V2274" s="427">
        <f>SUM(O2268:O2274)</f>
        <v>581</v>
      </c>
      <c r="W2274" s="427">
        <f>SUM(Q2268:Q2274)</f>
        <v>764</v>
      </c>
      <c r="X2274" s="427">
        <f>T2274+U2274+V2274+W2274</f>
        <v>1423</v>
      </c>
    </row>
    <row r="2275" spans="1:24" ht="12.75">
      <c r="A2275" s="428" t="s">
        <v>686</v>
      </c>
      <c r="B2275" s="429" t="s">
        <v>192</v>
      </c>
      <c r="C2275" s="429" t="s">
        <v>774</v>
      </c>
      <c r="D2275" s="429">
        <v>2016</v>
      </c>
      <c r="E2275" s="429" t="s">
        <v>775</v>
      </c>
      <c r="F2275" s="430">
        <v>94</v>
      </c>
      <c r="G2275" s="430">
        <v>0</v>
      </c>
      <c r="H2275" s="431">
        <v>0</v>
      </c>
      <c r="I2275" s="430">
        <v>0</v>
      </c>
      <c r="J2275" s="430">
        <v>54</v>
      </c>
      <c r="K2275" s="430">
        <v>2</v>
      </c>
      <c r="L2275" s="430">
        <v>2</v>
      </c>
      <c r="M2275" s="430">
        <v>0</v>
      </c>
      <c r="N2275" s="430">
        <v>56</v>
      </c>
      <c r="O2275" s="430">
        <v>0</v>
      </c>
      <c r="P2275" s="430">
        <v>123</v>
      </c>
      <c r="Q2275" s="431">
        <v>1</v>
      </c>
      <c r="R2275" s="328">
        <f t="shared" si="267"/>
        <v>327</v>
      </c>
      <c r="S2275" s="365">
        <f t="shared" si="268"/>
        <v>3</v>
      </c>
      <c r="T2275" s="432"/>
      <c r="U2275" s="432"/>
      <c r="V2275" s="432"/>
      <c r="W2275" s="432"/>
      <c r="X2275" s="432"/>
    </row>
    <row r="2276" spans="1:24" ht="12.75">
      <c r="A2276" s="428" t="s">
        <v>687</v>
      </c>
      <c r="B2276" s="429" t="s">
        <v>192</v>
      </c>
      <c r="C2276" s="429" t="s">
        <v>774</v>
      </c>
      <c r="D2276" s="429">
        <v>2016</v>
      </c>
      <c r="E2276" s="429" t="s">
        <v>775</v>
      </c>
      <c r="F2276" s="430">
        <v>50</v>
      </c>
      <c r="G2276" s="430">
        <v>0</v>
      </c>
      <c r="H2276" s="431">
        <v>0</v>
      </c>
      <c r="I2276" s="430">
        <v>0</v>
      </c>
      <c r="J2276" s="430">
        <v>24</v>
      </c>
      <c r="K2276" s="430">
        <v>54</v>
      </c>
      <c r="L2276" s="430">
        <v>54</v>
      </c>
      <c r="M2276" s="430">
        <v>0</v>
      </c>
      <c r="N2276" s="430">
        <v>30</v>
      </c>
      <c r="O2276" s="430">
        <v>0</v>
      </c>
      <c r="P2276" s="430">
        <v>93</v>
      </c>
      <c r="Q2276" s="431">
        <v>43</v>
      </c>
      <c r="R2276" s="328">
        <f t="shared" si="267"/>
        <v>197</v>
      </c>
      <c r="S2276" s="365">
        <f t="shared" si="268"/>
        <v>97</v>
      </c>
      <c r="T2276" s="432"/>
      <c r="U2276" s="432"/>
      <c r="V2276" s="432"/>
      <c r="W2276" s="432"/>
      <c r="X2276" s="432"/>
    </row>
    <row r="2277" spans="1:24" ht="12.75">
      <c r="A2277" s="428" t="s">
        <v>688</v>
      </c>
      <c r="B2277" s="429" t="s">
        <v>192</v>
      </c>
      <c r="C2277" s="429" t="s">
        <v>774</v>
      </c>
      <c r="D2277" s="429">
        <v>2016</v>
      </c>
      <c r="E2277" s="429" t="s">
        <v>775</v>
      </c>
      <c r="F2277" s="430">
        <v>779</v>
      </c>
      <c r="G2277" s="430">
        <v>0</v>
      </c>
      <c r="H2277" s="431">
        <v>0</v>
      </c>
      <c r="I2277" s="430">
        <v>0</v>
      </c>
      <c r="J2277" s="430">
        <v>404</v>
      </c>
      <c r="K2277" s="430">
        <v>0</v>
      </c>
      <c r="L2277" s="430">
        <v>0</v>
      </c>
      <c r="M2277" s="430">
        <v>0</v>
      </c>
      <c r="N2277" s="430">
        <v>456</v>
      </c>
      <c r="O2277" s="430">
        <v>63</v>
      </c>
      <c r="P2277" s="430">
        <v>1461</v>
      </c>
      <c r="Q2277" s="431">
        <v>200</v>
      </c>
      <c r="R2277" s="328">
        <f t="shared" si="267"/>
        <v>3100</v>
      </c>
      <c r="S2277" s="365">
        <f t="shared" si="268"/>
        <v>263</v>
      </c>
      <c r="T2277" s="432"/>
      <c r="U2277" s="432"/>
      <c r="V2277" s="432"/>
      <c r="W2277" s="432"/>
      <c r="X2277" s="432"/>
    </row>
    <row r="2278" spans="1:24" ht="12.75">
      <c r="A2278" s="428" t="s">
        <v>689</v>
      </c>
      <c r="B2278" s="429" t="s">
        <v>192</v>
      </c>
      <c r="C2278" s="429" t="s">
        <v>774</v>
      </c>
      <c r="D2278" s="429">
        <v>2016</v>
      </c>
      <c r="E2278" s="429" t="s">
        <v>775</v>
      </c>
      <c r="F2278" s="430">
        <v>45</v>
      </c>
      <c r="G2278" s="430">
        <v>0</v>
      </c>
      <c r="H2278" s="431">
        <v>0</v>
      </c>
      <c r="I2278" s="430">
        <v>0</v>
      </c>
      <c r="J2278" s="430">
        <v>36</v>
      </c>
      <c r="K2278" s="430">
        <v>0</v>
      </c>
      <c r="L2278" s="430">
        <v>0</v>
      </c>
      <c r="M2278" s="430">
        <v>0</v>
      </c>
      <c r="N2278" s="430">
        <v>48</v>
      </c>
      <c r="O2278" s="430">
        <v>12</v>
      </c>
      <c r="P2278" s="430">
        <v>170</v>
      </c>
      <c r="Q2278" s="431">
        <v>156</v>
      </c>
      <c r="R2278" s="328">
        <f t="shared" si="267"/>
        <v>299</v>
      </c>
      <c r="S2278" s="365">
        <f t="shared" si="268"/>
        <v>168</v>
      </c>
      <c r="T2278" s="432"/>
      <c r="U2278" s="432"/>
      <c r="V2278" s="432"/>
      <c r="W2278" s="432"/>
      <c r="X2278" s="432"/>
    </row>
    <row r="2279" spans="1:24" ht="12.75">
      <c r="A2279" s="428" t="s">
        <v>690</v>
      </c>
      <c r="B2279" s="480" t="s">
        <v>192</v>
      </c>
      <c r="C2279" s="429" t="s">
        <v>774</v>
      </c>
      <c r="D2279" s="429">
        <v>2016</v>
      </c>
      <c r="E2279" s="429" t="s">
        <v>775</v>
      </c>
      <c r="F2279" s="430">
        <v>26</v>
      </c>
      <c r="G2279" s="430">
        <v>3</v>
      </c>
      <c r="H2279" s="431">
        <v>0</v>
      </c>
      <c r="I2279" s="430">
        <v>3</v>
      </c>
      <c r="J2279" s="430">
        <v>15</v>
      </c>
      <c r="K2279" s="430">
        <v>8</v>
      </c>
      <c r="L2279" s="430">
        <v>0</v>
      </c>
      <c r="M2279" s="430">
        <v>8</v>
      </c>
      <c r="N2279" s="430">
        <v>19</v>
      </c>
      <c r="O2279" s="430">
        <v>5</v>
      </c>
      <c r="P2279" s="430">
        <v>43</v>
      </c>
      <c r="Q2279" s="431">
        <v>16</v>
      </c>
      <c r="R2279" s="328">
        <f t="shared" si="267"/>
        <v>103</v>
      </c>
      <c r="S2279" s="365">
        <f t="shared" si="268"/>
        <v>32</v>
      </c>
      <c r="T2279" s="432"/>
      <c r="U2279" s="432"/>
      <c r="V2279" s="432"/>
      <c r="W2279" s="432"/>
      <c r="X2279" s="432"/>
    </row>
    <row r="2280" spans="1:24" ht="12.75">
      <c r="A2280" s="459" t="s">
        <v>691</v>
      </c>
      <c r="B2280" s="460" t="s">
        <v>192</v>
      </c>
      <c r="C2280" s="460" t="s">
        <v>774</v>
      </c>
      <c r="D2280" s="460">
        <v>2016</v>
      </c>
      <c r="E2280" s="460" t="s">
        <v>775</v>
      </c>
      <c r="F2280" s="431">
        <v>147</v>
      </c>
      <c r="G2280" s="430">
        <v>0</v>
      </c>
      <c r="H2280" s="431">
        <v>0</v>
      </c>
      <c r="I2280" s="431">
        <v>0</v>
      </c>
      <c r="J2280" s="430">
        <v>57</v>
      </c>
      <c r="K2280" s="430">
        <v>0</v>
      </c>
      <c r="L2280" s="431">
        <v>0</v>
      </c>
      <c r="M2280" s="431">
        <v>0</v>
      </c>
      <c r="N2280" s="431">
        <v>60</v>
      </c>
      <c r="O2280" s="431">
        <v>0</v>
      </c>
      <c r="P2280" s="431">
        <v>241</v>
      </c>
      <c r="Q2280" s="431">
        <v>52</v>
      </c>
      <c r="R2280" s="328">
        <f t="shared" si="267"/>
        <v>505</v>
      </c>
      <c r="S2280" s="365">
        <f t="shared" si="268"/>
        <v>52</v>
      </c>
      <c r="T2280" s="432"/>
      <c r="U2280" s="432"/>
      <c r="V2280" s="432"/>
      <c r="W2280" s="432"/>
      <c r="X2280" s="432"/>
    </row>
    <row r="2281" spans="1:24" ht="12.75">
      <c r="A2281" s="459" t="s">
        <v>692</v>
      </c>
      <c r="B2281" s="460" t="s">
        <v>192</v>
      </c>
      <c r="C2281" s="460" t="s">
        <v>774</v>
      </c>
      <c r="D2281" s="460">
        <v>2016</v>
      </c>
      <c r="E2281" s="460" t="s">
        <v>775</v>
      </c>
      <c r="F2281" s="431">
        <v>287</v>
      </c>
      <c r="G2281" s="430">
        <v>0</v>
      </c>
      <c r="H2281" s="431">
        <v>0</v>
      </c>
      <c r="I2281" s="431">
        <v>0</v>
      </c>
      <c r="J2281" s="430">
        <v>134</v>
      </c>
      <c r="K2281" s="430">
        <v>0</v>
      </c>
      <c r="L2281" s="431">
        <v>0</v>
      </c>
      <c r="M2281" s="431">
        <v>0</v>
      </c>
      <c r="N2281" s="431">
        <v>173</v>
      </c>
      <c r="O2281" s="431">
        <v>160</v>
      </c>
      <c r="P2281" s="431">
        <v>490</v>
      </c>
      <c r="Q2281" s="431">
        <v>177</v>
      </c>
      <c r="R2281" s="328">
        <f t="shared" si="267"/>
        <v>1084</v>
      </c>
      <c r="S2281" s="365">
        <f t="shared" si="268"/>
        <v>337</v>
      </c>
      <c r="T2281" s="432"/>
      <c r="U2281" s="432"/>
      <c r="V2281" s="432"/>
      <c r="W2281" s="432"/>
      <c r="X2281" s="432"/>
    </row>
    <row r="2282" spans="1:24" ht="12.75">
      <c r="A2282" s="459" t="s">
        <v>693</v>
      </c>
      <c r="B2282" s="460" t="s">
        <v>192</v>
      </c>
      <c r="C2282" s="460" t="s">
        <v>774</v>
      </c>
      <c r="D2282" s="460">
        <v>2016</v>
      </c>
      <c r="E2282" s="460" t="s">
        <v>775</v>
      </c>
      <c r="F2282" s="431">
        <v>283</v>
      </c>
      <c r="G2282" s="430">
        <v>0</v>
      </c>
      <c r="H2282" s="431">
        <v>0</v>
      </c>
      <c r="I2282" s="431">
        <v>0</v>
      </c>
      <c r="J2282" s="430">
        <v>178</v>
      </c>
      <c r="K2282" s="430">
        <v>0</v>
      </c>
      <c r="L2282" s="431">
        <v>0</v>
      </c>
      <c r="M2282" s="431">
        <v>0</v>
      </c>
      <c r="N2282" s="431">
        <v>211</v>
      </c>
      <c r="O2282" s="431">
        <v>0</v>
      </c>
      <c r="P2282" s="431">
        <v>690</v>
      </c>
      <c r="Q2282" s="431">
        <v>47</v>
      </c>
      <c r="R2282" s="328">
        <f t="shared" si="267"/>
        <v>1362</v>
      </c>
      <c r="S2282" s="365">
        <f t="shared" si="268"/>
        <v>47</v>
      </c>
      <c r="T2282" s="413">
        <f>SUM(G2275:G2282)</f>
        <v>3</v>
      </c>
      <c r="U2282" s="413">
        <f>SUM(K2275:K2282)</f>
        <v>64</v>
      </c>
      <c r="V2282" s="413">
        <f>SUM(O2275:O2282)</f>
        <v>240</v>
      </c>
      <c r="W2282" s="413">
        <f>SUM(Q2275:Q2282)</f>
        <v>692</v>
      </c>
      <c r="X2282" s="413">
        <f>T2282+U2282+V2282+W2282</f>
        <v>999</v>
      </c>
    </row>
    <row r="2283" spans="1:24" ht="12.75">
      <c r="A2283" s="433" t="s">
        <v>686</v>
      </c>
      <c r="B2283" s="434" t="s">
        <v>192</v>
      </c>
      <c r="C2283" s="434" t="s">
        <v>774</v>
      </c>
      <c r="D2283" s="434">
        <v>2017</v>
      </c>
      <c r="E2283" s="434" t="s">
        <v>775</v>
      </c>
      <c r="F2283" s="435">
        <v>94</v>
      </c>
      <c r="G2283" s="435">
        <v>1</v>
      </c>
      <c r="H2283" s="436">
        <v>1</v>
      </c>
      <c r="I2283" s="435">
        <v>0</v>
      </c>
      <c r="J2283" s="435">
        <v>54</v>
      </c>
      <c r="K2283" s="435">
        <v>0</v>
      </c>
      <c r="L2283" s="435">
        <v>0</v>
      </c>
      <c r="M2283" s="435">
        <v>0</v>
      </c>
      <c r="N2283" s="435">
        <v>56</v>
      </c>
      <c r="O2283" s="435">
        <v>0</v>
      </c>
      <c r="P2283" s="435">
        <v>123</v>
      </c>
      <c r="Q2283" s="436">
        <v>8</v>
      </c>
      <c r="R2283" s="336">
        <f t="shared" si="267"/>
        <v>327</v>
      </c>
      <c r="S2283" s="366">
        <f t="shared" si="268"/>
        <v>9</v>
      </c>
      <c r="T2283" s="437"/>
      <c r="U2283" s="437"/>
      <c r="V2283" s="437"/>
      <c r="W2283" s="437"/>
      <c r="X2283" s="437"/>
    </row>
    <row r="2284" spans="1:24" ht="12.75">
      <c r="A2284" s="433" t="s">
        <v>687</v>
      </c>
      <c r="B2284" s="434" t="s">
        <v>192</v>
      </c>
      <c r="C2284" s="434" t="s">
        <v>774</v>
      </c>
      <c r="D2284" s="434">
        <v>2017</v>
      </c>
      <c r="E2284" s="434" t="s">
        <v>775</v>
      </c>
      <c r="F2284" s="435">
        <v>50</v>
      </c>
      <c r="G2284" s="435">
        <v>0</v>
      </c>
      <c r="H2284" s="436">
        <v>0</v>
      </c>
      <c r="I2284" s="435">
        <v>0</v>
      </c>
      <c r="J2284" s="435">
        <v>24</v>
      </c>
      <c r="K2284" s="435">
        <v>0</v>
      </c>
      <c r="L2284" s="435">
        <v>0</v>
      </c>
      <c r="M2284" s="435">
        <v>0</v>
      </c>
      <c r="N2284" s="435">
        <v>30</v>
      </c>
      <c r="O2284" s="435">
        <v>0</v>
      </c>
      <c r="P2284" s="435">
        <v>93</v>
      </c>
      <c r="Q2284" s="436">
        <v>104</v>
      </c>
      <c r="R2284" s="336">
        <f t="shared" si="267"/>
        <v>197</v>
      </c>
      <c r="S2284" s="366">
        <f t="shared" si="268"/>
        <v>104</v>
      </c>
      <c r="T2284" s="437"/>
      <c r="U2284" s="437"/>
      <c r="V2284" s="437"/>
      <c r="W2284" s="437"/>
      <c r="X2284" s="437"/>
    </row>
    <row r="2285" spans="1:24" ht="12.75">
      <c r="A2285" s="433" t="s">
        <v>688</v>
      </c>
      <c r="B2285" s="453" t="s">
        <v>192</v>
      </c>
      <c r="C2285" s="434" t="s">
        <v>774</v>
      </c>
      <c r="D2285" s="434">
        <v>2017</v>
      </c>
      <c r="E2285" s="434" t="s">
        <v>775</v>
      </c>
      <c r="F2285" s="435">
        <v>779</v>
      </c>
      <c r="G2285" s="435">
        <v>0</v>
      </c>
      <c r="H2285" s="436">
        <v>0</v>
      </c>
      <c r="I2285" s="435">
        <v>0</v>
      </c>
      <c r="J2285" s="435">
        <v>404</v>
      </c>
      <c r="K2285" s="435">
        <v>0</v>
      </c>
      <c r="L2285" s="435">
        <v>0</v>
      </c>
      <c r="M2285" s="435">
        <v>0</v>
      </c>
      <c r="N2285" s="435">
        <v>456</v>
      </c>
      <c r="O2285" s="435">
        <v>1</v>
      </c>
      <c r="P2285" s="435">
        <v>1461</v>
      </c>
      <c r="Q2285" s="436">
        <v>435</v>
      </c>
      <c r="R2285" s="336">
        <f t="shared" si="267"/>
        <v>3100</v>
      </c>
      <c r="S2285" s="366">
        <f t="shared" si="268"/>
        <v>436</v>
      </c>
      <c r="T2285" s="437"/>
      <c r="U2285" s="437"/>
      <c r="V2285" s="437"/>
      <c r="W2285" s="437"/>
      <c r="X2285" s="437"/>
    </row>
    <row r="2286" spans="1:24" ht="12.75">
      <c r="A2286" s="433" t="s">
        <v>689</v>
      </c>
      <c r="B2286" s="434" t="s">
        <v>192</v>
      </c>
      <c r="C2286" s="434" t="s">
        <v>774</v>
      </c>
      <c r="D2286" s="434">
        <v>2017</v>
      </c>
      <c r="E2286" s="434" t="s">
        <v>775</v>
      </c>
      <c r="F2286" s="435">
        <v>45</v>
      </c>
      <c r="G2286" s="435">
        <v>0</v>
      </c>
      <c r="H2286" s="436">
        <v>0</v>
      </c>
      <c r="I2286" s="435">
        <v>0</v>
      </c>
      <c r="J2286" s="435">
        <v>36</v>
      </c>
      <c r="K2286" s="435">
        <v>4</v>
      </c>
      <c r="L2286" s="435">
        <v>0</v>
      </c>
      <c r="M2286" s="435">
        <v>4</v>
      </c>
      <c r="N2286" s="435">
        <v>48</v>
      </c>
      <c r="O2286" s="435">
        <v>73</v>
      </c>
      <c r="P2286" s="435">
        <v>170</v>
      </c>
      <c r="Q2286" s="436">
        <v>75</v>
      </c>
      <c r="R2286" s="336">
        <f t="shared" si="267"/>
        <v>299</v>
      </c>
      <c r="S2286" s="366">
        <f t="shared" si="268"/>
        <v>152</v>
      </c>
      <c r="T2286" s="437"/>
      <c r="U2286" s="437"/>
      <c r="V2286" s="437"/>
      <c r="W2286" s="437"/>
      <c r="X2286" s="437"/>
    </row>
    <row r="2287" spans="1:24" ht="12.75">
      <c r="A2287" s="433" t="s">
        <v>690</v>
      </c>
      <c r="B2287" s="434" t="s">
        <v>192</v>
      </c>
      <c r="C2287" s="434" t="s">
        <v>774</v>
      </c>
      <c r="D2287" s="434">
        <v>2017</v>
      </c>
      <c r="E2287" s="434" t="s">
        <v>775</v>
      </c>
      <c r="F2287" s="435">
        <v>26</v>
      </c>
      <c r="G2287" s="435">
        <v>0</v>
      </c>
      <c r="H2287" s="436">
        <v>0</v>
      </c>
      <c r="I2287" s="435">
        <v>0</v>
      </c>
      <c r="J2287" s="435">
        <v>15</v>
      </c>
      <c r="K2287" s="435">
        <v>6</v>
      </c>
      <c r="L2287" s="435">
        <v>0</v>
      </c>
      <c r="M2287" s="435">
        <v>6</v>
      </c>
      <c r="N2287" s="435">
        <v>19</v>
      </c>
      <c r="O2287" s="435">
        <v>5</v>
      </c>
      <c r="P2287" s="435">
        <v>43</v>
      </c>
      <c r="Q2287" s="436">
        <v>9</v>
      </c>
      <c r="R2287" s="336">
        <f t="shared" si="267"/>
        <v>103</v>
      </c>
      <c r="S2287" s="366">
        <f t="shared" si="268"/>
        <v>20</v>
      </c>
      <c r="T2287" s="437"/>
      <c r="U2287" s="437"/>
      <c r="V2287" s="437"/>
      <c r="W2287" s="437"/>
      <c r="X2287" s="437"/>
    </row>
    <row r="2288" spans="1:24" ht="12.75">
      <c r="A2288" s="461" t="s">
        <v>691</v>
      </c>
      <c r="B2288" s="462" t="s">
        <v>192</v>
      </c>
      <c r="C2288" s="462" t="s">
        <v>774</v>
      </c>
      <c r="D2288" s="462">
        <v>2017</v>
      </c>
      <c r="E2288" s="462" t="s">
        <v>775</v>
      </c>
      <c r="F2288" s="436">
        <v>147</v>
      </c>
      <c r="G2288" s="435">
        <v>0</v>
      </c>
      <c r="H2288" s="436">
        <v>0</v>
      </c>
      <c r="I2288" s="436">
        <v>0</v>
      </c>
      <c r="J2288" s="435">
        <v>57</v>
      </c>
      <c r="K2288" s="435">
        <v>0</v>
      </c>
      <c r="L2288" s="436">
        <v>0</v>
      </c>
      <c r="M2288" s="436">
        <v>0</v>
      </c>
      <c r="N2288" s="436">
        <v>60</v>
      </c>
      <c r="O2288" s="436">
        <v>0</v>
      </c>
      <c r="P2288" s="436">
        <v>241</v>
      </c>
      <c r="Q2288" s="436">
        <v>19</v>
      </c>
      <c r="R2288" s="336">
        <f t="shared" si="267"/>
        <v>505</v>
      </c>
      <c r="S2288" s="366">
        <f t="shared" si="268"/>
        <v>19</v>
      </c>
      <c r="T2288" s="437"/>
      <c r="U2288" s="437"/>
      <c r="V2288" s="437"/>
      <c r="W2288" s="437"/>
      <c r="X2288" s="437"/>
    </row>
    <row r="2289" spans="1:24" ht="12.75">
      <c r="A2289" s="461" t="s">
        <v>692</v>
      </c>
      <c r="B2289" s="462" t="s">
        <v>192</v>
      </c>
      <c r="C2289" s="462" t="s">
        <v>774</v>
      </c>
      <c r="D2289" s="462">
        <v>2017</v>
      </c>
      <c r="E2289" s="462" t="s">
        <v>775</v>
      </c>
      <c r="F2289" s="436">
        <v>287</v>
      </c>
      <c r="G2289" s="435">
        <v>14</v>
      </c>
      <c r="H2289" s="436">
        <v>14</v>
      </c>
      <c r="I2289" s="436">
        <v>0</v>
      </c>
      <c r="J2289" s="435">
        <v>134</v>
      </c>
      <c r="K2289" s="435">
        <v>26</v>
      </c>
      <c r="L2289" s="436">
        <v>24</v>
      </c>
      <c r="M2289" s="436">
        <v>2</v>
      </c>
      <c r="N2289" s="436">
        <v>173</v>
      </c>
      <c r="O2289" s="436">
        <v>214</v>
      </c>
      <c r="P2289" s="436">
        <v>490</v>
      </c>
      <c r="Q2289" s="436">
        <v>63</v>
      </c>
      <c r="R2289" s="336">
        <f t="shared" si="267"/>
        <v>1084</v>
      </c>
      <c r="S2289" s="366">
        <f t="shared" si="268"/>
        <v>317</v>
      </c>
      <c r="T2289" s="437"/>
      <c r="U2289" s="437"/>
      <c r="V2289" s="437"/>
      <c r="W2289" s="437"/>
      <c r="X2289" s="437"/>
    </row>
    <row r="2290" spans="1:24" ht="12.75">
      <c r="A2290" s="461" t="s">
        <v>693</v>
      </c>
      <c r="B2290" s="462" t="s">
        <v>192</v>
      </c>
      <c r="C2290" s="462" t="s">
        <v>774</v>
      </c>
      <c r="D2290" s="462">
        <v>2017</v>
      </c>
      <c r="E2290" s="462" t="s">
        <v>775</v>
      </c>
      <c r="F2290" s="436">
        <v>283</v>
      </c>
      <c r="G2290" s="435">
        <v>0</v>
      </c>
      <c r="H2290" s="436">
        <v>0</v>
      </c>
      <c r="I2290" s="436">
        <v>0</v>
      </c>
      <c r="J2290" s="435">
        <v>178</v>
      </c>
      <c r="K2290" s="435">
        <v>0</v>
      </c>
      <c r="L2290" s="436">
        <v>0</v>
      </c>
      <c r="M2290" s="436">
        <v>0</v>
      </c>
      <c r="N2290" s="436">
        <v>211</v>
      </c>
      <c r="O2290" s="436">
        <v>0</v>
      </c>
      <c r="P2290" s="436">
        <v>690</v>
      </c>
      <c r="Q2290" s="436">
        <v>44</v>
      </c>
      <c r="R2290" s="336">
        <f t="shared" si="267"/>
        <v>1362</v>
      </c>
      <c r="S2290" s="366">
        <f t="shared" si="268"/>
        <v>44</v>
      </c>
      <c r="T2290" s="414">
        <f>SUM(G2283:G2290)</f>
        <v>15</v>
      </c>
      <c r="U2290" s="414">
        <f>SUM(K2283:K2290)</f>
        <v>36</v>
      </c>
      <c r="V2290" s="414">
        <f>SUM(O2283:O2290)</f>
        <v>293</v>
      </c>
      <c r="W2290" s="414">
        <f>SUM(Q2283:Q2290)</f>
        <v>757</v>
      </c>
      <c r="X2290" s="414">
        <f>T2290+U2290+V2290+W2290</f>
        <v>1101</v>
      </c>
    </row>
    <row r="2291" spans="1:24" ht="12.75">
      <c r="A2291" s="438" t="s">
        <v>686</v>
      </c>
      <c r="B2291" s="439" t="s">
        <v>192</v>
      </c>
      <c r="C2291" s="439" t="s">
        <v>774</v>
      </c>
      <c r="D2291" s="439">
        <v>2018</v>
      </c>
      <c r="E2291" s="439" t="s">
        <v>775</v>
      </c>
      <c r="F2291" s="440">
        <v>94</v>
      </c>
      <c r="G2291" s="441">
        <v>0</v>
      </c>
      <c r="H2291" s="440">
        <v>0</v>
      </c>
      <c r="I2291" s="440">
        <v>0</v>
      </c>
      <c r="J2291" s="440">
        <v>54</v>
      </c>
      <c r="K2291" s="441">
        <v>0</v>
      </c>
      <c r="L2291" s="440">
        <v>0</v>
      </c>
      <c r="M2291" s="440">
        <v>0</v>
      </c>
      <c r="N2291" s="440">
        <v>56</v>
      </c>
      <c r="O2291" s="440">
        <v>3</v>
      </c>
      <c r="P2291" s="440">
        <v>123</v>
      </c>
      <c r="Q2291" s="440">
        <v>0</v>
      </c>
      <c r="R2291" s="344">
        <f t="shared" si="267"/>
        <v>327</v>
      </c>
      <c r="S2291" s="367">
        <f t="shared" si="268"/>
        <v>3</v>
      </c>
      <c r="T2291" s="442"/>
      <c r="U2291" s="442"/>
      <c r="V2291" s="442"/>
      <c r="W2291" s="442"/>
      <c r="X2291" s="442"/>
    </row>
    <row r="2292" spans="1:24" ht="12.75">
      <c r="A2292" s="438" t="s">
        <v>687</v>
      </c>
      <c r="B2292" s="439" t="s">
        <v>192</v>
      </c>
      <c r="C2292" s="439" t="s">
        <v>774</v>
      </c>
      <c r="D2292" s="439">
        <v>2018</v>
      </c>
      <c r="E2292" s="439" t="s">
        <v>775</v>
      </c>
      <c r="F2292" s="440">
        <v>50</v>
      </c>
      <c r="G2292" s="454"/>
      <c r="H2292" s="455"/>
      <c r="I2292" s="455"/>
      <c r="J2292" s="440">
        <v>24</v>
      </c>
      <c r="K2292" s="454"/>
      <c r="L2292" s="455"/>
      <c r="M2292" s="455"/>
      <c r="N2292" s="440">
        <v>30</v>
      </c>
      <c r="O2292" s="455"/>
      <c r="P2292" s="440">
        <v>93</v>
      </c>
      <c r="Q2292" s="486">
        <v>0</v>
      </c>
      <c r="R2292" s="344">
        <f t="shared" si="267"/>
        <v>197</v>
      </c>
      <c r="S2292" s="367">
        <f t="shared" si="268"/>
        <v>0</v>
      </c>
      <c r="T2292" s="442"/>
      <c r="U2292" s="442"/>
      <c r="V2292" s="442"/>
      <c r="W2292" s="442"/>
      <c r="X2292" s="442"/>
    </row>
    <row r="2293" spans="1:24" ht="12.75">
      <c r="A2293" s="438" t="s">
        <v>688</v>
      </c>
      <c r="B2293" s="439" t="s">
        <v>192</v>
      </c>
      <c r="C2293" s="439" t="s">
        <v>774</v>
      </c>
      <c r="D2293" s="439">
        <v>2018</v>
      </c>
      <c r="E2293" s="439" t="s">
        <v>775</v>
      </c>
      <c r="F2293" s="440">
        <v>779</v>
      </c>
      <c r="G2293" s="441">
        <v>0</v>
      </c>
      <c r="H2293" s="440">
        <v>0</v>
      </c>
      <c r="I2293" s="440">
        <v>0</v>
      </c>
      <c r="J2293" s="440">
        <v>404</v>
      </c>
      <c r="K2293" s="441">
        <v>0</v>
      </c>
      <c r="L2293" s="440">
        <v>0</v>
      </c>
      <c r="M2293" s="440">
        <v>0</v>
      </c>
      <c r="N2293" s="440">
        <v>456</v>
      </c>
      <c r="O2293" s="440">
        <v>0</v>
      </c>
      <c r="P2293" s="440">
        <v>1461</v>
      </c>
      <c r="Q2293" s="440">
        <v>311</v>
      </c>
      <c r="R2293" s="344">
        <f t="shared" si="267"/>
        <v>3100</v>
      </c>
      <c r="S2293" s="367">
        <f t="shared" si="268"/>
        <v>311</v>
      </c>
      <c r="T2293" s="442"/>
      <c r="U2293" s="442"/>
      <c r="V2293" s="442"/>
      <c r="W2293" s="442"/>
      <c r="X2293" s="442"/>
    </row>
    <row r="2294" spans="1:24" ht="12.75">
      <c r="A2294" s="438" t="s">
        <v>689</v>
      </c>
      <c r="B2294" s="439" t="s">
        <v>192</v>
      </c>
      <c r="C2294" s="439" t="s">
        <v>774</v>
      </c>
      <c r="D2294" s="439">
        <v>2018</v>
      </c>
      <c r="E2294" s="439" t="s">
        <v>775</v>
      </c>
      <c r="F2294" s="440">
        <v>45</v>
      </c>
      <c r="G2294" s="441">
        <v>0</v>
      </c>
      <c r="H2294" s="440">
        <v>0</v>
      </c>
      <c r="I2294" s="440">
        <v>0</v>
      </c>
      <c r="J2294" s="440">
        <v>36</v>
      </c>
      <c r="K2294" s="441">
        <v>0</v>
      </c>
      <c r="L2294" s="440">
        <v>0</v>
      </c>
      <c r="M2294" s="440">
        <v>0</v>
      </c>
      <c r="N2294" s="440">
        <v>48</v>
      </c>
      <c r="O2294" s="440">
        <v>3</v>
      </c>
      <c r="P2294" s="440">
        <v>170</v>
      </c>
      <c r="Q2294" s="440">
        <v>6</v>
      </c>
      <c r="R2294" s="344">
        <f t="shared" si="267"/>
        <v>299</v>
      </c>
      <c r="S2294" s="367">
        <f t="shared" si="268"/>
        <v>9</v>
      </c>
      <c r="T2294" s="442"/>
      <c r="U2294" s="442"/>
      <c r="V2294" s="442"/>
      <c r="W2294" s="442"/>
      <c r="X2294" s="442"/>
    </row>
    <row r="2295" spans="1:24" ht="12.75">
      <c r="A2295" s="438" t="s">
        <v>690</v>
      </c>
      <c r="B2295" s="439" t="s">
        <v>192</v>
      </c>
      <c r="C2295" s="439" t="s">
        <v>774</v>
      </c>
      <c r="D2295" s="439">
        <v>2018</v>
      </c>
      <c r="E2295" s="439" t="s">
        <v>775</v>
      </c>
      <c r="F2295" s="440">
        <v>26</v>
      </c>
      <c r="G2295" s="441">
        <v>1</v>
      </c>
      <c r="H2295" s="440">
        <v>0</v>
      </c>
      <c r="I2295" s="440">
        <v>1</v>
      </c>
      <c r="J2295" s="440">
        <v>15</v>
      </c>
      <c r="K2295" s="441">
        <v>17</v>
      </c>
      <c r="L2295" s="440">
        <v>0</v>
      </c>
      <c r="M2295" s="440">
        <v>17</v>
      </c>
      <c r="N2295" s="440">
        <v>19</v>
      </c>
      <c r="O2295" s="440">
        <v>3</v>
      </c>
      <c r="P2295" s="440">
        <v>43</v>
      </c>
      <c r="Q2295" s="440">
        <v>13</v>
      </c>
      <c r="R2295" s="344">
        <f t="shared" si="267"/>
        <v>103</v>
      </c>
      <c r="S2295" s="367">
        <f t="shared" si="268"/>
        <v>34</v>
      </c>
      <c r="T2295" s="442"/>
      <c r="U2295" s="442"/>
      <c r="V2295" s="442"/>
      <c r="W2295" s="442"/>
      <c r="X2295" s="442"/>
    </row>
    <row r="2296" spans="1:24" ht="12.75">
      <c r="A2296" s="438" t="s">
        <v>691</v>
      </c>
      <c r="B2296" s="439" t="s">
        <v>192</v>
      </c>
      <c r="C2296" s="439" t="s">
        <v>774</v>
      </c>
      <c r="D2296" s="439">
        <v>2018</v>
      </c>
      <c r="E2296" s="439" t="s">
        <v>775</v>
      </c>
      <c r="F2296" s="440">
        <v>147</v>
      </c>
      <c r="G2296" s="441">
        <v>0</v>
      </c>
      <c r="H2296" s="440">
        <v>0</v>
      </c>
      <c r="I2296" s="440">
        <v>0</v>
      </c>
      <c r="J2296" s="440">
        <v>57</v>
      </c>
      <c r="K2296" s="441">
        <v>0</v>
      </c>
      <c r="L2296" s="440">
        <v>0</v>
      </c>
      <c r="M2296" s="440">
        <v>0</v>
      </c>
      <c r="N2296" s="440">
        <v>60</v>
      </c>
      <c r="O2296" s="440">
        <v>0</v>
      </c>
      <c r="P2296" s="440">
        <v>241</v>
      </c>
      <c r="Q2296" s="440">
        <v>5</v>
      </c>
      <c r="R2296" s="344">
        <f t="shared" si="267"/>
        <v>505</v>
      </c>
      <c r="S2296" s="367">
        <f t="shared" si="268"/>
        <v>5</v>
      </c>
      <c r="T2296" s="442"/>
      <c r="U2296" s="442"/>
      <c r="V2296" s="442"/>
      <c r="W2296" s="442"/>
      <c r="X2296" s="442"/>
    </row>
    <row r="2297" spans="1:24" ht="12.75">
      <c r="A2297" s="438" t="s">
        <v>692</v>
      </c>
      <c r="B2297" s="439" t="s">
        <v>192</v>
      </c>
      <c r="C2297" s="439" t="s">
        <v>774</v>
      </c>
      <c r="D2297" s="439">
        <v>2018</v>
      </c>
      <c r="E2297" s="439" t="s">
        <v>775</v>
      </c>
      <c r="F2297" s="440">
        <v>287</v>
      </c>
      <c r="G2297" s="441">
        <v>14</v>
      </c>
      <c r="H2297" s="440">
        <v>14</v>
      </c>
      <c r="I2297" s="440">
        <v>0</v>
      </c>
      <c r="J2297" s="440">
        <v>134</v>
      </c>
      <c r="K2297" s="441">
        <v>24</v>
      </c>
      <c r="L2297" s="440">
        <v>24</v>
      </c>
      <c r="M2297" s="440">
        <v>0</v>
      </c>
      <c r="N2297" s="440">
        <v>173</v>
      </c>
      <c r="O2297" s="440">
        <v>1</v>
      </c>
      <c r="P2297" s="440">
        <v>490</v>
      </c>
      <c r="Q2297" s="440">
        <v>205</v>
      </c>
      <c r="R2297" s="344">
        <f t="shared" si="267"/>
        <v>1084</v>
      </c>
      <c r="S2297" s="367">
        <f t="shared" si="268"/>
        <v>244</v>
      </c>
      <c r="T2297" s="442"/>
      <c r="U2297" s="442"/>
      <c r="V2297" s="442"/>
      <c r="W2297" s="442"/>
      <c r="X2297" s="442"/>
    </row>
    <row r="2298" spans="1:24" ht="12.75">
      <c r="A2298" s="438" t="s">
        <v>693</v>
      </c>
      <c r="B2298" s="439" t="s">
        <v>192</v>
      </c>
      <c r="C2298" s="439" t="s">
        <v>774</v>
      </c>
      <c r="D2298" s="439">
        <v>2018</v>
      </c>
      <c r="E2298" s="439" t="s">
        <v>775</v>
      </c>
      <c r="F2298" s="440">
        <v>283</v>
      </c>
      <c r="G2298" s="441">
        <v>0</v>
      </c>
      <c r="H2298" s="440">
        <v>0</v>
      </c>
      <c r="I2298" s="440">
        <v>0</v>
      </c>
      <c r="J2298" s="440">
        <v>178</v>
      </c>
      <c r="K2298" s="441">
        <v>0</v>
      </c>
      <c r="L2298" s="440">
        <v>0</v>
      </c>
      <c r="M2298" s="440">
        <v>0</v>
      </c>
      <c r="N2298" s="440">
        <v>211</v>
      </c>
      <c r="O2298" s="440">
        <v>0</v>
      </c>
      <c r="P2298" s="440">
        <v>690</v>
      </c>
      <c r="Q2298" s="440">
        <v>55</v>
      </c>
      <c r="R2298" s="344">
        <f t="shared" si="267"/>
        <v>1362</v>
      </c>
      <c r="S2298" s="367">
        <f t="shared" si="268"/>
        <v>55</v>
      </c>
      <c r="T2298" s="443">
        <f>SUM(G2291:G2298)</f>
        <v>15</v>
      </c>
      <c r="U2298" s="443">
        <f>SUM(K2291:K2298)</f>
        <v>41</v>
      </c>
      <c r="V2298" s="443">
        <f>SUM(O2291:O2298)</f>
        <v>10</v>
      </c>
      <c r="W2298" s="443">
        <f>SUM(Q2291:Q2298)</f>
        <v>595</v>
      </c>
      <c r="X2298" s="443">
        <f>T2298+U2298+V2298+W2298</f>
        <v>661</v>
      </c>
    </row>
    <row r="2299" spans="1:24" ht="12.75">
      <c r="A2299" s="346" t="s">
        <v>686</v>
      </c>
      <c r="B2299" s="347" t="s">
        <v>192</v>
      </c>
      <c r="C2299" s="347" t="s">
        <v>782</v>
      </c>
      <c r="D2299" s="347">
        <v>2019</v>
      </c>
      <c r="E2299" s="347" t="s">
        <v>775</v>
      </c>
      <c r="F2299" s="348">
        <v>94</v>
      </c>
      <c r="G2299" s="348">
        <v>0</v>
      </c>
      <c r="H2299" s="348">
        <v>0</v>
      </c>
      <c r="I2299" s="348">
        <v>0</v>
      </c>
      <c r="J2299" s="348">
        <v>54</v>
      </c>
      <c r="K2299" s="348">
        <v>0</v>
      </c>
      <c r="L2299" s="348">
        <v>0</v>
      </c>
      <c r="M2299" s="348">
        <v>0</v>
      </c>
      <c r="N2299" s="348">
        <v>56</v>
      </c>
      <c r="O2299" s="348">
        <v>0</v>
      </c>
      <c r="P2299" s="348">
        <v>123</v>
      </c>
      <c r="Q2299" s="348">
        <v>0</v>
      </c>
      <c r="R2299" s="350">
        <f t="shared" si="267"/>
        <v>327</v>
      </c>
      <c r="S2299" s="348">
        <f t="shared" si="268"/>
        <v>0</v>
      </c>
      <c r="T2299" s="348"/>
      <c r="U2299" s="348"/>
      <c r="V2299" s="348"/>
      <c r="W2299" s="349"/>
      <c r="X2299" s="349"/>
    </row>
    <row r="2300" spans="1:24" ht="12.75">
      <c r="A2300" s="346" t="s">
        <v>687</v>
      </c>
      <c r="B2300" s="347" t="s">
        <v>192</v>
      </c>
      <c r="C2300" s="347" t="s">
        <v>782</v>
      </c>
      <c r="D2300" s="347">
        <v>2019</v>
      </c>
      <c r="E2300" s="347" t="s">
        <v>775</v>
      </c>
      <c r="F2300" s="348">
        <v>50</v>
      </c>
      <c r="G2300" s="348">
        <v>0</v>
      </c>
      <c r="H2300" s="348">
        <v>0</v>
      </c>
      <c r="I2300" s="348">
        <v>0</v>
      </c>
      <c r="J2300" s="348">
        <v>24</v>
      </c>
      <c r="K2300" s="348">
        <v>0</v>
      </c>
      <c r="L2300" s="348">
        <v>0</v>
      </c>
      <c r="M2300" s="348">
        <v>0</v>
      </c>
      <c r="N2300" s="348">
        <v>30</v>
      </c>
      <c r="O2300" s="348">
        <v>71</v>
      </c>
      <c r="P2300" s="348">
        <v>93</v>
      </c>
      <c r="Q2300" s="348">
        <v>44</v>
      </c>
      <c r="R2300" s="350">
        <f t="shared" si="267"/>
        <v>197</v>
      </c>
      <c r="S2300" s="348">
        <f t="shared" si="268"/>
        <v>115</v>
      </c>
      <c r="T2300" s="348"/>
      <c r="U2300" s="348"/>
      <c r="V2300" s="348"/>
      <c r="W2300" s="349"/>
      <c r="X2300" s="349"/>
    </row>
    <row r="2301" spans="1:24" ht="12.75">
      <c r="A2301" s="346" t="s">
        <v>688</v>
      </c>
      <c r="B2301" s="347" t="s">
        <v>192</v>
      </c>
      <c r="C2301" s="347" t="s">
        <v>782</v>
      </c>
      <c r="D2301" s="347">
        <v>2019</v>
      </c>
      <c r="E2301" s="347" t="s">
        <v>775</v>
      </c>
      <c r="F2301" s="348">
        <v>779</v>
      </c>
      <c r="G2301" s="348">
        <v>0</v>
      </c>
      <c r="H2301" s="348">
        <v>0</v>
      </c>
      <c r="I2301" s="348">
        <v>0</v>
      </c>
      <c r="J2301" s="348">
        <v>404</v>
      </c>
      <c r="K2301" s="348">
        <v>0</v>
      </c>
      <c r="L2301" s="348">
        <v>0</v>
      </c>
      <c r="M2301" s="348">
        <v>0</v>
      </c>
      <c r="N2301" s="348">
        <v>456</v>
      </c>
      <c r="O2301" s="348">
        <v>2</v>
      </c>
      <c r="P2301" s="348">
        <v>1461</v>
      </c>
      <c r="Q2301" s="348">
        <v>352</v>
      </c>
      <c r="R2301" s="350">
        <f t="shared" si="267"/>
        <v>3100</v>
      </c>
      <c r="S2301" s="348">
        <f t="shared" si="268"/>
        <v>354</v>
      </c>
      <c r="T2301" s="348"/>
      <c r="U2301" s="348"/>
      <c r="V2301" s="348"/>
      <c r="W2301" s="349"/>
      <c r="X2301" s="349"/>
    </row>
    <row r="2302" spans="1:24" ht="12.75">
      <c r="A2302" s="346" t="s">
        <v>689</v>
      </c>
      <c r="B2302" s="347" t="s">
        <v>192</v>
      </c>
      <c r="C2302" s="347" t="s">
        <v>782</v>
      </c>
      <c r="D2302" s="347">
        <v>2019</v>
      </c>
      <c r="E2302" s="347" t="s">
        <v>775</v>
      </c>
      <c r="F2302" s="348">
        <v>45</v>
      </c>
      <c r="G2302" s="348">
        <v>0</v>
      </c>
      <c r="H2302" s="348">
        <v>0</v>
      </c>
      <c r="I2302" s="348">
        <v>0</v>
      </c>
      <c r="J2302" s="348">
        <v>36</v>
      </c>
      <c r="K2302" s="348">
        <v>0</v>
      </c>
      <c r="L2302" s="348">
        <v>0</v>
      </c>
      <c r="M2302" s="348">
        <v>0</v>
      </c>
      <c r="N2302" s="348">
        <v>48</v>
      </c>
      <c r="O2302" s="348">
        <v>0</v>
      </c>
      <c r="P2302" s="348">
        <v>170</v>
      </c>
      <c r="Q2302" s="348">
        <v>121</v>
      </c>
      <c r="R2302" s="350">
        <f t="shared" si="267"/>
        <v>299</v>
      </c>
      <c r="S2302" s="348">
        <f t="shared" si="268"/>
        <v>121</v>
      </c>
      <c r="T2302" s="348"/>
      <c r="U2302" s="348"/>
      <c r="V2302" s="348"/>
      <c r="W2302" s="349"/>
      <c r="X2302" s="349"/>
    </row>
    <row r="2303" spans="1:24" ht="12.75">
      <c r="A2303" s="346" t="s">
        <v>690</v>
      </c>
      <c r="B2303" s="347" t="s">
        <v>192</v>
      </c>
      <c r="C2303" s="347" t="s">
        <v>782</v>
      </c>
      <c r="D2303" s="347">
        <v>2019</v>
      </c>
      <c r="E2303" s="347" t="s">
        <v>775</v>
      </c>
      <c r="F2303" s="348">
        <v>26</v>
      </c>
      <c r="G2303" s="348">
        <v>1</v>
      </c>
      <c r="H2303" s="348">
        <v>0</v>
      </c>
      <c r="I2303" s="348">
        <v>1</v>
      </c>
      <c r="J2303" s="348">
        <v>15</v>
      </c>
      <c r="K2303" s="348">
        <v>18</v>
      </c>
      <c r="L2303" s="348">
        <v>0</v>
      </c>
      <c r="M2303" s="348">
        <v>18</v>
      </c>
      <c r="N2303" s="348">
        <v>19</v>
      </c>
      <c r="O2303" s="348">
        <v>5</v>
      </c>
      <c r="P2303" s="348">
        <v>43</v>
      </c>
      <c r="Q2303" s="348">
        <v>6</v>
      </c>
      <c r="R2303" s="350">
        <f t="shared" si="267"/>
        <v>103</v>
      </c>
      <c r="S2303" s="348">
        <f t="shared" si="268"/>
        <v>30</v>
      </c>
      <c r="T2303" s="348"/>
      <c r="U2303" s="348"/>
      <c r="V2303" s="348"/>
      <c r="W2303" s="349"/>
      <c r="X2303" s="349"/>
    </row>
    <row r="2304" spans="1:24" ht="12.75">
      <c r="A2304" s="346" t="s">
        <v>691</v>
      </c>
      <c r="B2304" s="347" t="s">
        <v>192</v>
      </c>
      <c r="C2304" s="347" t="s">
        <v>782</v>
      </c>
      <c r="D2304" s="347">
        <v>2019</v>
      </c>
      <c r="E2304" s="347" t="s">
        <v>775</v>
      </c>
      <c r="F2304" s="348">
        <v>147</v>
      </c>
      <c r="G2304" s="348">
        <v>0</v>
      </c>
      <c r="H2304" s="348">
        <v>0</v>
      </c>
      <c r="I2304" s="348">
        <v>0</v>
      </c>
      <c r="J2304" s="348">
        <v>57</v>
      </c>
      <c r="K2304" s="348">
        <v>0</v>
      </c>
      <c r="L2304" s="348">
        <v>0</v>
      </c>
      <c r="M2304" s="348">
        <v>0</v>
      </c>
      <c r="N2304" s="348">
        <v>60</v>
      </c>
      <c r="O2304" s="348">
        <v>0</v>
      </c>
      <c r="P2304" s="348">
        <v>241</v>
      </c>
      <c r="Q2304" s="348">
        <v>0</v>
      </c>
      <c r="R2304" s="350">
        <f t="shared" si="267"/>
        <v>505</v>
      </c>
      <c r="S2304" s="348">
        <f t="shared" si="268"/>
        <v>0</v>
      </c>
      <c r="T2304" s="348"/>
      <c r="U2304" s="348"/>
      <c r="V2304" s="348"/>
      <c r="W2304" s="349"/>
      <c r="X2304" s="349"/>
    </row>
    <row r="2305" spans="1:24" ht="12.75">
      <c r="A2305" s="346" t="s">
        <v>692</v>
      </c>
      <c r="B2305" s="347" t="s">
        <v>192</v>
      </c>
      <c r="C2305" s="347" t="s">
        <v>782</v>
      </c>
      <c r="D2305" s="347">
        <v>2019</v>
      </c>
      <c r="E2305" s="347" t="s">
        <v>775</v>
      </c>
      <c r="F2305" s="348">
        <v>287</v>
      </c>
      <c r="G2305" s="348">
        <v>0</v>
      </c>
      <c r="H2305" s="348">
        <v>0</v>
      </c>
      <c r="I2305" s="348">
        <v>0</v>
      </c>
      <c r="J2305" s="348">
        <v>134</v>
      </c>
      <c r="K2305" s="348">
        <v>3</v>
      </c>
      <c r="L2305" s="348">
        <v>0</v>
      </c>
      <c r="M2305" s="348">
        <v>3</v>
      </c>
      <c r="N2305" s="348">
        <v>173</v>
      </c>
      <c r="O2305" s="348">
        <v>0</v>
      </c>
      <c r="P2305" s="348">
        <v>490</v>
      </c>
      <c r="Q2305" s="348">
        <v>378</v>
      </c>
      <c r="R2305" s="350">
        <f t="shared" si="267"/>
        <v>1084</v>
      </c>
      <c r="S2305" s="348">
        <f t="shared" si="268"/>
        <v>381</v>
      </c>
      <c r="T2305" s="348"/>
      <c r="U2305" s="348"/>
      <c r="V2305" s="348"/>
      <c r="W2305" s="349"/>
      <c r="X2305" s="349"/>
    </row>
    <row r="2306" spans="1:24" ht="12.75">
      <c r="A2306" s="346" t="s">
        <v>693</v>
      </c>
      <c r="B2306" s="347" t="s">
        <v>192</v>
      </c>
      <c r="C2306" s="347" t="s">
        <v>782</v>
      </c>
      <c r="D2306" s="347">
        <v>2019</v>
      </c>
      <c r="E2306" s="347" t="s">
        <v>775</v>
      </c>
      <c r="F2306" s="348">
        <v>283</v>
      </c>
      <c r="G2306" s="348">
        <v>0</v>
      </c>
      <c r="H2306" s="348">
        <v>0</v>
      </c>
      <c r="I2306" s="348">
        <v>0</v>
      </c>
      <c r="J2306" s="348">
        <v>178</v>
      </c>
      <c r="K2306" s="348">
        <v>0</v>
      </c>
      <c r="L2306" s="348">
        <v>0</v>
      </c>
      <c r="M2306" s="348">
        <v>0</v>
      </c>
      <c r="N2306" s="348">
        <v>211</v>
      </c>
      <c r="O2306" s="348">
        <v>0</v>
      </c>
      <c r="P2306" s="348">
        <v>690</v>
      </c>
      <c r="Q2306" s="348">
        <v>64</v>
      </c>
      <c r="R2306" s="350">
        <f t="shared" si="267"/>
        <v>1362</v>
      </c>
      <c r="S2306" s="348">
        <f t="shared" si="268"/>
        <v>64</v>
      </c>
      <c r="T2306" s="410">
        <f>SUM(G2299:G2306)</f>
        <v>1</v>
      </c>
      <c r="U2306" s="410">
        <f>SUM(K2299:K2306)</f>
        <v>21</v>
      </c>
      <c r="V2306" s="410">
        <f>SUM(O2299:O2306)</f>
        <v>78</v>
      </c>
      <c r="W2306" s="410">
        <f>SUM(Q2299:Q2306)</f>
        <v>965</v>
      </c>
      <c r="X2306" s="410">
        <f>T2306+U2306+V2306+W2306</f>
        <v>1065</v>
      </c>
    </row>
    <row r="2307" spans="1:24" ht="12.75">
      <c r="A2307" s="449"/>
      <c r="B2307" s="450"/>
      <c r="C2307" s="450"/>
      <c r="D2307" s="450"/>
      <c r="E2307" s="450"/>
      <c r="F2307" s="451"/>
      <c r="G2307" s="451"/>
      <c r="H2307" s="452"/>
      <c r="I2307" s="451"/>
      <c r="J2307" s="451"/>
      <c r="K2307" s="451"/>
      <c r="L2307" s="451"/>
      <c r="M2307" s="451"/>
      <c r="N2307" s="451"/>
      <c r="O2307" s="451"/>
      <c r="P2307" s="451"/>
      <c r="Q2307" s="452"/>
      <c r="R2307" s="182"/>
      <c r="S2307" s="361" t="s">
        <v>783</v>
      </c>
      <c r="T2307" s="448">
        <f t="shared" ref="T2307:X2307" si="269">SUM(T2264:T2306)</f>
        <v>55</v>
      </c>
      <c r="U2307" s="448">
        <f t="shared" si="269"/>
        <v>233</v>
      </c>
      <c r="V2307" s="448">
        <f t="shared" si="269"/>
        <v>1210</v>
      </c>
      <c r="W2307" s="448">
        <f t="shared" si="269"/>
        <v>4103</v>
      </c>
      <c r="X2307" s="448">
        <f t="shared" si="269"/>
        <v>5601</v>
      </c>
    </row>
    <row r="2308" spans="1:24" ht="12.75">
      <c r="A2308" s="449"/>
      <c r="B2308" s="450"/>
      <c r="C2308" s="450"/>
      <c r="D2308" s="450"/>
      <c r="E2308" s="450"/>
      <c r="F2308" s="451"/>
      <c r="G2308" s="451"/>
      <c r="H2308" s="452"/>
      <c r="I2308" s="451"/>
      <c r="J2308" s="451"/>
      <c r="K2308" s="451"/>
      <c r="L2308" s="451"/>
      <c r="M2308" s="451"/>
      <c r="N2308" s="451"/>
      <c r="O2308" s="451"/>
      <c r="P2308" s="451"/>
      <c r="Q2308" s="452"/>
      <c r="R2308" s="182"/>
      <c r="S2308" s="362"/>
      <c r="T2308" s="97"/>
      <c r="U2308" s="97"/>
      <c r="V2308" s="97"/>
      <c r="W2308" s="97"/>
      <c r="X2308" s="97"/>
    </row>
    <row r="2309" spans="1:24" ht="12.75">
      <c r="A2309" s="417" t="s">
        <v>888</v>
      </c>
      <c r="B2309" s="418" t="s">
        <v>193</v>
      </c>
      <c r="C2309" s="418" t="s">
        <v>774</v>
      </c>
      <c r="D2309" s="418">
        <v>2014</v>
      </c>
      <c r="E2309" s="418" t="s">
        <v>775</v>
      </c>
      <c r="F2309" s="419">
        <v>39</v>
      </c>
      <c r="G2309" s="419">
        <v>0</v>
      </c>
      <c r="H2309" s="420">
        <v>0</v>
      </c>
      <c r="I2309" s="419">
        <v>0</v>
      </c>
      <c r="J2309" s="419">
        <v>29</v>
      </c>
      <c r="K2309" s="419">
        <v>0</v>
      </c>
      <c r="L2309" s="419">
        <v>0</v>
      </c>
      <c r="M2309" s="419">
        <v>0</v>
      </c>
      <c r="N2309" s="419">
        <v>31</v>
      </c>
      <c r="O2309" s="419">
        <v>0</v>
      </c>
      <c r="P2309" s="419">
        <v>112</v>
      </c>
      <c r="Q2309" s="420">
        <v>0</v>
      </c>
      <c r="R2309" s="311">
        <f t="shared" ref="R2309:R2362" si="270">F2309+J2309+N2309+P2309</f>
        <v>211</v>
      </c>
      <c r="S2309" s="363">
        <f t="shared" ref="S2309:S2362" si="271">K2309+O2309+G2309+Q2309</f>
        <v>0</v>
      </c>
      <c r="T2309" s="421"/>
      <c r="U2309" s="421"/>
      <c r="V2309" s="421"/>
      <c r="W2309" s="421"/>
      <c r="X2309" s="421"/>
    </row>
    <row r="2310" spans="1:24" ht="12.75">
      <c r="A2310" s="417" t="s">
        <v>889</v>
      </c>
      <c r="B2310" s="418" t="s">
        <v>193</v>
      </c>
      <c r="C2310" s="418" t="s">
        <v>774</v>
      </c>
      <c r="D2310" s="418">
        <v>2014</v>
      </c>
      <c r="E2310" s="418" t="s">
        <v>775</v>
      </c>
      <c r="F2310" s="419">
        <v>31</v>
      </c>
      <c r="G2310" s="419">
        <v>0</v>
      </c>
      <c r="H2310" s="420">
        <v>0</v>
      </c>
      <c r="I2310" s="419">
        <v>0</v>
      </c>
      <c r="J2310" s="419">
        <v>24</v>
      </c>
      <c r="K2310" s="419">
        <v>0</v>
      </c>
      <c r="L2310" s="419">
        <v>0</v>
      </c>
      <c r="M2310" s="419">
        <v>0</v>
      </c>
      <c r="N2310" s="419">
        <v>26</v>
      </c>
      <c r="O2310" s="419">
        <v>0</v>
      </c>
      <c r="P2310" s="419">
        <v>76</v>
      </c>
      <c r="Q2310" s="420">
        <v>27</v>
      </c>
      <c r="R2310" s="311">
        <f t="shared" si="270"/>
        <v>157</v>
      </c>
      <c r="S2310" s="363">
        <f t="shared" si="271"/>
        <v>27</v>
      </c>
      <c r="T2310" s="421"/>
      <c r="U2310" s="421"/>
      <c r="V2310" s="421"/>
      <c r="W2310" s="421"/>
      <c r="X2310" s="421"/>
    </row>
    <row r="2311" spans="1:24" ht="12.75">
      <c r="A2311" s="417" t="s">
        <v>890</v>
      </c>
      <c r="B2311" s="418" t="s">
        <v>193</v>
      </c>
      <c r="C2311" s="418" t="s">
        <v>774</v>
      </c>
      <c r="D2311" s="418">
        <v>2014</v>
      </c>
      <c r="E2311" s="418" t="s">
        <v>775</v>
      </c>
      <c r="F2311" s="419">
        <v>181</v>
      </c>
      <c r="G2311" s="419">
        <v>0</v>
      </c>
      <c r="H2311" s="420">
        <v>0</v>
      </c>
      <c r="I2311" s="419">
        <v>0</v>
      </c>
      <c r="J2311" s="419">
        <v>107</v>
      </c>
      <c r="K2311" s="419">
        <v>0</v>
      </c>
      <c r="L2311" s="419">
        <v>0</v>
      </c>
      <c r="M2311" s="419">
        <v>0</v>
      </c>
      <c r="N2311" s="419">
        <v>127</v>
      </c>
      <c r="O2311" s="419">
        <v>0</v>
      </c>
      <c r="P2311" s="419">
        <v>484</v>
      </c>
      <c r="Q2311" s="420">
        <v>0</v>
      </c>
      <c r="R2311" s="311">
        <f t="shared" si="270"/>
        <v>899</v>
      </c>
      <c r="S2311" s="363">
        <f t="shared" si="271"/>
        <v>0</v>
      </c>
      <c r="T2311" s="421"/>
      <c r="U2311" s="421"/>
      <c r="V2311" s="421"/>
      <c r="W2311" s="421"/>
      <c r="X2311" s="421"/>
    </row>
    <row r="2312" spans="1:24" ht="12.75">
      <c r="A2312" s="417" t="s">
        <v>891</v>
      </c>
      <c r="B2312" s="418" t="s">
        <v>193</v>
      </c>
      <c r="C2312" s="418" t="s">
        <v>774</v>
      </c>
      <c r="D2312" s="418">
        <v>2014</v>
      </c>
      <c r="E2312" s="418" t="s">
        <v>775</v>
      </c>
      <c r="F2312" s="419">
        <v>1041</v>
      </c>
      <c r="G2312" s="419">
        <v>11</v>
      </c>
      <c r="H2312" s="420">
        <v>11</v>
      </c>
      <c r="I2312" s="419">
        <v>0</v>
      </c>
      <c r="J2312" s="419">
        <v>671</v>
      </c>
      <c r="K2312" s="419">
        <v>90</v>
      </c>
      <c r="L2312" s="419">
        <v>90</v>
      </c>
      <c r="M2312" s="419">
        <v>0</v>
      </c>
      <c r="N2312" s="419">
        <v>759</v>
      </c>
      <c r="O2312" s="419">
        <v>10</v>
      </c>
      <c r="P2312" s="419">
        <v>2612</v>
      </c>
      <c r="Q2312" s="420">
        <v>141</v>
      </c>
      <c r="R2312" s="311">
        <f t="shared" si="270"/>
        <v>5083</v>
      </c>
      <c r="S2312" s="363">
        <f t="shared" si="271"/>
        <v>252</v>
      </c>
      <c r="T2312" s="421"/>
      <c r="U2312" s="421"/>
      <c r="V2312" s="421"/>
      <c r="W2312" s="421"/>
      <c r="X2312" s="421"/>
    </row>
    <row r="2313" spans="1:24" ht="12.75">
      <c r="A2313" s="417" t="s">
        <v>892</v>
      </c>
      <c r="B2313" s="418" t="s">
        <v>193</v>
      </c>
      <c r="C2313" s="418" t="s">
        <v>774</v>
      </c>
      <c r="D2313" s="418">
        <v>2014</v>
      </c>
      <c r="E2313" s="418" t="s">
        <v>775</v>
      </c>
      <c r="F2313" s="419">
        <v>22</v>
      </c>
      <c r="G2313" s="419">
        <v>0</v>
      </c>
      <c r="H2313" s="420">
        <v>0</v>
      </c>
      <c r="I2313" s="419">
        <v>0</v>
      </c>
      <c r="J2313" s="419">
        <v>17</v>
      </c>
      <c r="K2313" s="419">
        <v>0</v>
      </c>
      <c r="L2313" s="419">
        <v>0</v>
      </c>
      <c r="M2313" s="419">
        <v>0</v>
      </c>
      <c r="N2313" s="419">
        <v>19</v>
      </c>
      <c r="O2313" s="419">
        <v>3</v>
      </c>
      <c r="P2313" s="419">
        <v>62</v>
      </c>
      <c r="Q2313" s="420">
        <v>1</v>
      </c>
      <c r="R2313" s="311">
        <f t="shared" si="270"/>
        <v>120</v>
      </c>
      <c r="S2313" s="363">
        <f t="shared" si="271"/>
        <v>4</v>
      </c>
      <c r="T2313" s="421"/>
      <c r="U2313" s="421"/>
      <c r="V2313" s="421"/>
      <c r="W2313" s="421"/>
      <c r="X2313" s="421"/>
    </row>
    <row r="2314" spans="1:24" ht="12.75">
      <c r="A2314" s="417" t="s">
        <v>893</v>
      </c>
      <c r="B2314" s="418" t="s">
        <v>193</v>
      </c>
      <c r="C2314" s="418" t="s">
        <v>774</v>
      </c>
      <c r="D2314" s="418">
        <v>2014</v>
      </c>
      <c r="E2314" s="418" t="s">
        <v>775</v>
      </c>
      <c r="F2314" s="419">
        <v>126</v>
      </c>
      <c r="G2314" s="419">
        <v>1</v>
      </c>
      <c r="H2314" s="420">
        <v>1</v>
      </c>
      <c r="I2314" s="419">
        <v>0</v>
      </c>
      <c r="J2314" s="419">
        <v>37</v>
      </c>
      <c r="K2314" s="419">
        <v>7</v>
      </c>
      <c r="L2314" s="419">
        <v>7</v>
      </c>
      <c r="M2314" s="419">
        <v>0</v>
      </c>
      <c r="N2314" s="419">
        <v>160</v>
      </c>
      <c r="O2314" s="419">
        <v>32</v>
      </c>
      <c r="P2314" s="419">
        <v>192</v>
      </c>
      <c r="Q2314" s="420">
        <v>51</v>
      </c>
      <c r="R2314" s="311">
        <f t="shared" si="270"/>
        <v>515</v>
      </c>
      <c r="S2314" s="363">
        <f t="shared" si="271"/>
        <v>91</v>
      </c>
      <c r="T2314" s="421"/>
      <c r="U2314" s="421"/>
      <c r="V2314" s="421"/>
      <c r="W2314" s="421"/>
      <c r="X2314" s="421"/>
    </row>
    <row r="2315" spans="1:24" ht="12.75">
      <c r="A2315" s="464" t="s">
        <v>894</v>
      </c>
      <c r="B2315" s="465" t="s">
        <v>193</v>
      </c>
      <c r="C2315" s="465" t="s">
        <v>774</v>
      </c>
      <c r="D2315" s="465">
        <v>2014</v>
      </c>
      <c r="E2315" s="465" t="s">
        <v>775</v>
      </c>
      <c r="F2315" s="420">
        <v>120</v>
      </c>
      <c r="G2315" s="419">
        <v>0</v>
      </c>
      <c r="H2315" s="420">
        <v>0</v>
      </c>
      <c r="I2315" s="420">
        <v>0</v>
      </c>
      <c r="J2315" s="420">
        <v>65</v>
      </c>
      <c r="K2315" s="419">
        <v>0</v>
      </c>
      <c r="L2315" s="420">
        <v>0</v>
      </c>
      <c r="M2315" s="420">
        <v>0</v>
      </c>
      <c r="N2315" s="420">
        <v>67</v>
      </c>
      <c r="O2315" s="420">
        <v>1</v>
      </c>
      <c r="P2315" s="420">
        <v>188</v>
      </c>
      <c r="Q2315" s="420">
        <v>9</v>
      </c>
      <c r="R2315" s="311">
        <f t="shared" si="270"/>
        <v>440</v>
      </c>
      <c r="S2315" s="363">
        <f t="shared" si="271"/>
        <v>10</v>
      </c>
      <c r="T2315" s="411">
        <f>SUM(G2309:G2315)</f>
        <v>12</v>
      </c>
      <c r="U2315" s="411">
        <f>SUM(K2309:K2315)</f>
        <v>97</v>
      </c>
      <c r="V2315" s="411">
        <f>SUM(O2309:O2315)</f>
        <v>46</v>
      </c>
      <c r="W2315" s="411">
        <f>SUM(Q2309:Q2315)</f>
        <v>229</v>
      </c>
      <c r="X2315" s="411">
        <f>T2315+U2315+V2315+W2315</f>
        <v>384</v>
      </c>
    </row>
    <row r="2316" spans="1:24" ht="12.75">
      <c r="A2316" s="422" t="s">
        <v>694</v>
      </c>
      <c r="B2316" s="473" t="s">
        <v>193</v>
      </c>
      <c r="C2316" s="423" t="s">
        <v>774</v>
      </c>
      <c r="D2316" s="423">
        <v>2015</v>
      </c>
      <c r="E2316" s="423" t="s">
        <v>775</v>
      </c>
      <c r="F2316" s="424">
        <v>39</v>
      </c>
      <c r="G2316" s="424">
        <v>25</v>
      </c>
      <c r="H2316" s="425">
        <v>25</v>
      </c>
      <c r="I2316" s="424">
        <v>0</v>
      </c>
      <c r="J2316" s="424">
        <v>29</v>
      </c>
      <c r="K2316" s="424">
        <v>7</v>
      </c>
      <c r="L2316" s="424">
        <v>7</v>
      </c>
      <c r="M2316" s="424">
        <v>0</v>
      </c>
      <c r="N2316" s="424">
        <v>31</v>
      </c>
      <c r="O2316" s="424">
        <v>0</v>
      </c>
      <c r="P2316" s="424">
        <v>112</v>
      </c>
      <c r="Q2316" s="425">
        <v>0</v>
      </c>
      <c r="R2316" s="319">
        <f t="shared" si="270"/>
        <v>211</v>
      </c>
      <c r="S2316" s="364">
        <f t="shared" si="271"/>
        <v>32</v>
      </c>
      <c r="T2316" s="426"/>
      <c r="U2316" s="426"/>
      <c r="V2316" s="426"/>
      <c r="W2316" s="426"/>
      <c r="X2316" s="426"/>
    </row>
    <row r="2317" spans="1:24" ht="12.75">
      <c r="A2317" s="422" t="s">
        <v>696</v>
      </c>
      <c r="B2317" s="423" t="s">
        <v>193</v>
      </c>
      <c r="C2317" s="423" t="s">
        <v>774</v>
      </c>
      <c r="D2317" s="423">
        <v>2015</v>
      </c>
      <c r="E2317" s="423" t="s">
        <v>775</v>
      </c>
      <c r="F2317" s="424">
        <v>31</v>
      </c>
      <c r="G2317" s="424">
        <v>1</v>
      </c>
      <c r="H2317" s="425">
        <v>1</v>
      </c>
      <c r="I2317" s="424">
        <v>0</v>
      </c>
      <c r="J2317" s="424">
        <v>24</v>
      </c>
      <c r="K2317" s="424">
        <v>2</v>
      </c>
      <c r="L2317" s="424">
        <v>2</v>
      </c>
      <c r="M2317" s="424">
        <v>0</v>
      </c>
      <c r="N2317" s="424">
        <v>26</v>
      </c>
      <c r="O2317" s="424">
        <v>12</v>
      </c>
      <c r="P2317" s="424">
        <v>76</v>
      </c>
      <c r="Q2317" s="425">
        <v>44</v>
      </c>
      <c r="R2317" s="319">
        <f t="shared" si="270"/>
        <v>157</v>
      </c>
      <c r="S2317" s="364">
        <f t="shared" si="271"/>
        <v>59</v>
      </c>
      <c r="T2317" s="426"/>
      <c r="U2317" s="426"/>
      <c r="V2317" s="426"/>
      <c r="W2317" s="426"/>
      <c r="X2317" s="426"/>
    </row>
    <row r="2318" spans="1:24" ht="12.75">
      <c r="A2318" s="422" t="s">
        <v>697</v>
      </c>
      <c r="B2318" s="423" t="s">
        <v>193</v>
      </c>
      <c r="C2318" s="423" t="s">
        <v>774</v>
      </c>
      <c r="D2318" s="423">
        <v>2015</v>
      </c>
      <c r="E2318" s="423" t="s">
        <v>775</v>
      </c>
      <c r="F2318" s="424">
        <v>199</v>
      </c>
      <c r="G2318" s="424">
        <v>0</v>
      </c>
      <c r="H2318" s="425">
        <v>0</v>
      </c>
      <c r="I2318" s="424">
        <v>0</v>
      </c>
      <c r="J2318" s="424">
        <v>103</v>
      </c>
      <c r="K2318" s="424">
        <v>0</v>
      </c>
      <c r="L2318" s="424">
        <v>0</v>
      </c>
      <c r="M2318" s="424">
        <v>0</v>
      </c>
      <c r="N2318" s="424">
        <v>121</v>
      </c>
      <c r="O2318" s="424">
        <v>7</v>
      </c>
      <c r="P2318" s="424">
        <v>322</v>
      </c>
      <c r="Q2318" s="425">
        <v>235</v>
      </c>
      <c r="R2318" s="319">
        <f t="shared" si="270"/>
        <v>745</v>
      </c>
      <c r="S2318" s="364">
        <f t="shared" si="271"/>
        <v>242</v>
      </c>
      <c r="T2318" s="426"/>
      <c r="U2318" s="426"/>
      <c r="V2318" s="426"/>
      <c r="W2318" s="426"/>
      <c r="X2318" s="426"/>
    </row>
    <row r="2319" spans="1:24" ht="12.75">
      <c r="A2319" s="422" t="s">
        <v>698</v>
      </c>
      <c r="B2319" s="423" t="s">
        <v>193</v>
      </c>
      <c r="C2319" s="423" t="s">
        <v>774</v>
      </c>
      <c r="D2319" s="423">
        <v>2015</v>
      </c>
      <c r="E2319" s="423" t="s">
        <v>775</v>
      </c>
      <c r="F2319" s="424">
        <v>181</v>
      </c>
      <c r="G2319" s="424">
        <v>0</v>
      </c>
      <c r="H2319" s="425">
        <v>0</v>
      </c>
      <c r="I2319" s="424">
        <v>0</v>
      </c>
      <c r="J2319" s="424">
        <v>107</v>
      </c>
      <c r="K2319" s="424">
        <v>0</v>
      </c>
      <c r="L2319" s="424">
        <v>0</v>
      </c>
      <c r="M2319" s="424">
        <v>0</v>
      </c>
      <c r="N2319" s="424">
        <v>127</v>
      </c>
      <c r="O2319" s="424">
        <v>0</v>
      </c>
      <c r="P2319" s="424">
        <v>484</v>
      </c>
      <c r="Q2319" s="425">
        <v>244</v>
      </c>
      <c r="R2319" s="319">
        <f t="shared" si="270"/>
        <v>899</v>
      </c>
      <c r="S2319" s="364">
        <f t="shared" si="271"/>
        <v>244</v>
      </c>
      <c r="T2319" s="426"/>
      <c r="U2319" s="426"/>
      <c r="V2319" s="426"/>
      <c r="W2319" s="426"/>
      <c r="X2319" s="426"/>
    </row>
    <row r="2320" spans="1:24" ht="12.75">
      <c r="A2320" s="422" t="s">
        <v>699</v>
      </c>
      <c r="B2320" s="423" t="s">
        <v>193</v>
      </c>
      <c r="C2320" s="423" t="s">
        <v>774</v>
      </c>
      <c r="D2320" s="423">
        <v>2015</v>
      </c>
      <c r="E2320" s="423" t="s">
        <v>775</v>
      </c>
      <c r="F2320" s="424">
        <v>1041</v>
      </c>
      <c r="G2320" s="424">
        <v>0</v>
      </c>
      <c r="H2320" s="425">
        <v>0</v>
      </c>
      <c r="I2320" s="424">
        <v>0</v>
      </c>
      <c r="J2320" s="424">
        <v>671</v>
      </c>
      <c r="K2320" s="424">
        <v>24</v>
      </c>
      <c r="L2320" s="424">
        <v>24</v>
      </c>
      <c r="M2320" s="424">
        <v>0</v>
      </c>
      <c r="N2320" s="424">
        <v>759</v>
      </c>
      <c r="O2320" s="424">
        <v>8</v>
      </c>
      <c r="P2320" s="424">
        <v>2612</v>
      </c>
      <c r="Q2320" s="425">
        <v>94</v>
      </c>
      <c r="R2320" s="319">
        <f t="shared" si="270"/>
        <v>5083</v>
      </c>
      <c r="S2320" s="364">
        <f t="shared" si="271"/>
        <v>126</v>
      </c>
      <c r="T2320" s="426"/>
      <c r="U2320" s="426"/>
      <c r="V2320" s="426"/>
      <c r="W2320" s="426"/>
      <c r="X2320" s="426"/>
    </row>
    <row r="2321" spans="1:24" ht="12.75">
      <c r="A2321" s="422" t="s">
        <v>700</v>
      </c>
      <c r="B2321" s="423" t="s">
        <v>193</v>
      </c>
      <c r="C2321" s="423" t="s">
        <v>774</v>
      </c>
      <c r="D2321" s="423">
        <v>2015</v>
      </c>
      <c r="E2321" s="423" t="s">
        <v>775</v>
      </c>
      <c r="F2321" s="424">
        <v>22</v>
      </c>
      <c r="G2321" s="424">
        <v>0</v>
      </c>
      <c r="H2321" s="425">
        <v>0</v>
      </c>
      <c r="I2321" s="424">
        <v>0</v>
      </c>
      <c r="J2321" s="424">
        <v>17</v>
      </c>
      <c r="K2321" s="424">
        <v>1</v>
      </c>
      <c r="L2321" s="424">
        <v>1</v>
      </c>
      <c r="M2321" s="424">
        <v>0</v>
      </c>
      <c r="N2321" s="424">
        <v>19</v>
      </c>
      <c r="O2321" s="424">
        <v>2</v>
      </c>
      <c r="P2321" s="424">
        <v>62</v>
      </c>
      <c r="Q2321" s="425">
        <v>9</v>
      </c>
      <c r="R2321" s="319">
        <f t="shared" si="270"/>
        <v>120</v>
      </c>
      <c r="S2321" s="364">
        <f t="shared" si="271"/>
        <v>12</v>
      </c>
      <c r="T2321" s="426"/>
      <c r="U2321" s="426"/>
      <c r="V2321" s="426"/>
      <c r="W2321" s="426"/>
      <c r="X2321" s="426"/>
    </row>
    <row r="2322" spans="1:24" ht="12.75">
      <c r="A2322" s="422" t="s">
        <v>701</v>
      </c>
      <c r="B2322" s="423" t="s">
        <v>193</v>
      </c>
      <c r="C2322" s="423" t="s">
        <v>774</v>
      </c>
      <c r="D2322" s="423">
        <v>2015</v>
      </c>
      <c r="E2322" s="423" t="s">
        <v>775</v>
      </c>
      <c r="F2322" s="424">
        <v>126</v>
      </c>
      <c r="G2322" s="424">
        <v>24</v>
      </c>
      <c r="H2322" s="425">
        <v>24</v>
      </c>
      <c r="I2322" s="424">
        <v>0</v>
      </c>
      <c r="J2322" s="424">
        <v>37</v>
      </c>
      <c r="K2322" s="424">
        <v>46</v>
      </c>
      <c r="L2322" s="424">
        <v>46</v>
      </c>
      <c r="M2322" s="424">
        <v>0</v>
      </c>
      <c r="N2322" s="424">
        <v>160</v>
      </c>
      <c r="O2322" s="424">
        <v>44</v>
      </c>
      <c r="P2322" s="424">
        <v>192</v>
      </c>
      <c r="Q2322" s="425">
        <v>79</v>
      </c>
      <c r="R2322" s="319">
        <f t="shared" si="270"/>
        <v>515</v>
      </c>
      <c r="S2322" s="364">
        <f t="shared" si="271"/>
        <v>193</v>
      </c>
      <c r="T2322" s="426"/>
      <c r="U2322" s="426"/>
      <c r="V2322" s="426"/>
      <c r="W2322" s="426"/>
      <c r="X2322" s="426"/>
    </row>
    <row r="2323" spans="1:24" ht="12.75">
      <c r="A2323" s="457" t="s">
        <v>702</v>
      </c>
      <c r="B2323" s="458" t="s">
        <v>193</v>
      </c>
      <c r="C2323" s="458" t="s">
        <v>774</v>
      </c>
      <c r="D2323" s="458">
        <v>2015</v>
      </c>
      <c r="E2323" s="458" t="s">
        <v>775</v>
      </c>
      <c r="F2323" s="425">
        <v>120</v>
      </c>
      <c r="G2323" s="424">
        <v>0</v>
      </c>
      <c r="H2323" s="425">
        <v>0</v>
      </c>
      <c r="I2323" s="425">
        <v>0</v>
      </c>
      <c r="J2323" s="425">
        <v>65</v>
      </c>
      <c r="K2323" s="424">
        <v>0</v>
      </c>
      <c r="L2323" s="425">
        <v>0</v>
      </c>
      <c r="M2323" s="425">
        <v>0</v>
      </c>
      <c r="N2323" s="425">
        <v>67</v>
      </c>
      <c r="O2323" s="425">
        <v>0</v>
      </c>
      <c r="P2323" s="425">
        <v>188</v>
      </c>
      <c r="Q2323" s="425">
        <v>55</v>
      </c>
      <c r="R2323" s="319">
        <f t="shared" si="270"/>
        <v>440</v>
      </c>
      <c r="S2323" s="364">
        <f t="shared" si="271"/>
        <v>55</v>
      </c>
      <c r="T2323" s="427">
        <f>SUM(G2316:G2323)</f>
        <v>50</v>
      </c>
      <c r="U2323" s="427">
        <f>SUM(K2316:K2323)</f>
        <v>80</v>
      </c>
      <c r="V2323" s="427">
        <f>SUM(O2316:O2323)</f>
        <v>73</v>
      </c>
      <c r="W2323" s="427">
        <f>SUM(Q2316:Q2323)</f>
        <v>760</v>
      </c>
      <c r="X2323" s="427">
        <f>T2323+U2323+V2323+W2323</f>
        <v>963</v>
      </c>
    </row>
    <row r="2324" spans="1:24" ht="12.75">
      <c r="A2324" s="428" t="s">
        <v>694</v>
      </c>
      <c r="B2324" s="429" t="s">
        <v>193</v>
      </c>
      <c r="C2324" s="429" t="s">
        <v>774</v>
      </c>
      <c r="D2324" s="429">
        <v>2016</v>
      </c>
      <c r="E2324" s="429" t="s">
        <v>775</v>
      </c>
      <c r="F2324" s="430">
        <v>39</v>
      </c>
      <c r="G2324" s="430">
        <v>0</v>
      </c>
      <c r="H2324" s="431">
        <v>0</v>
      </c>
      <c r="I2324" s="430">
        <v>0</v>
      </c>
      <c r="J2324" s="430">
        <v>29</v>
      </c>
      <c r="K2324" s="430">
        <v>0</v>
      </c>
      <c r="L2324" s="430">
        <v>0</v>
      </c>
      <c r="M2324" s="430">
        <v>0</v>
      </c>
      <c r="N2324" s="430">
        <v>31</v>
      </c>
      <c r="O2324" s="430">
        <v>2</v>
      </c>
      <c r="P2324" s="430">
        <v>112</v>
      </c>
      <c r="Q2324" s="431">
        <v>13</v>
      </c>
      <c r="R2324" s="328">
        <f t="shared" si="270"/>
        <v>211</v>
      </c>
      <c r="S2324" s="365">
        <f t="shared" si="271"/>
        <v>15</v>
      </c>
      <c r="T2324" s="432"/>
      <c r="U2324" s="432"/>
      <c r="V2324" s="432"/>
      <c r="W2324" s="432"/>
      <c r="X2324" s="432"/>
    </row>
    <row r="2325" spans="1:24" ht="12.75">
      <c r="A2325" s="428" t="s">
        <v>695</v>
      </c>
      <c r="B2325" s="429" t="s">
        <v>193</v>
      </c>
      <c r="C2325" s="429" t="s">
        <v>774</v>
      </c>
      <c r="D2325" s="429">
        <v>2016</v>
      </c>
      <c r="E2325" s="429" t="s">
        <v>775</v>
      </c>
      <c r="F2325" s="430">
        <v>35</v>
      </c>
      <c r="G2325" s="430">
        <v>1</v>
      </c>
      <c r="H2325" s="431">
        <v>1</v>
      </c>
      <c r="I2325" s="430">
        <v>0</v>
      </c>
      <c r="J2325" s="430">
        <v>18</v>
      </c>
      <c r="K2325" s="430">
        <v>3</v>
      </c>
      <c r="L2325" s="430">
        <v>3</v>
      </c>
      <c r="M2325" s="430">
        <v>0</v>
      </c>
      <c r="N2325" s="430">
        <v>18</v>
      </c>
      <c r="O2325" s="430">
        <v>0</v>
      </c>
      <c r="P2325" s="430">
        <v>66</v>
      </c>
      <c r="Q2325" s="431">
        <v>16</v>
      </c>
      <c r="R2325" s="328">
        <f t="shared" si="270"/>
        <v>137</v>
      </c>
      <c r="S2325" s="365">
        <f t="shared" si="271"/>
        <v>20</v>
      </c>
      <c r="T2325" s="432"/>
      <c r="U2325" s="432"/>
      <c r="V2325" s="432"/>
      <c r="W2325" s="432"/>
      <c r="X2325" s="432"/>
    </row>
    <row r="2326" spans="1:24" ht="12.75">
      <c r="A2326" s="428" t="s">
        <v>696</v>
      </c>
      <c r="B2326" s="429" t="s">
        <v>193</v>
      </c>
      <c r="C2326" s="429" t="s">
        <v>774</v>
      </c>
      <c r="D2326" s="429">
        <v>2016</v>
      </c>
      <c r="E2326" s="429" t="s">
        <v>775</v>
      </c>
      <c r="F2326" s="430">
        <v>31</v>
      </c>
      <c r="G2326" s="430">
        <v>2</v>
      </c>
      <c r="H2326" s="431">
        <v>2</v>
      </c>
      <c r="I2326" s="430">
        <v>0</v>
      </c>
      <c r="J2326" s="430">
        <v>24</v>
      </c>
      <c r="K2326" s="430">
        <v>3</v>
      </c>
      <c r="L2326" s="430">
        <v>3</v>
      </c>
      <c r="M2326" s="430">
        <v>0</v>
      </c>
      <c r="N2326" s="430">
        <v>26</v>
      </c>
      <c r="O2326" s="430">
        <v>4</v>
      </c>
      <c r="P2326" s="430">
        <v>76</v>
      </c>
      <c r="Q2326" s="431">
        <v>23</v>
      </c>
      <c r="R2326" s="328">
        <f t="shared" si="270"/>
        <v>157</v>
      </c>
      <c r="S2326" s="365">
        <f t="shared" si="271"/>
        <v>32</v>
      </c>
      <c r="T2326" s="432"/>
      <c r="U2326" s="432"/>
      <c r="V2326" s="432"/>
      <c r="W2326" s="432"/>
      <c r="X2326" s="432"/>
    </row>
    <row r="2327" spans="1:24" ht="12.75">
      <c r="A2327" s="428" t="s">
        <v>697</v>
      </c>
      <c r="B2327" s="429" t="s">
        <v>193</v>
      </c>
      <c r="C2327" s="429" t="s">
        <v>774</v>
      </c>
      <c r="D2327" s="429">
        <v>2016</v>
      </c>
      <c r="E2327" s="429" t="s">
        <v>775</v>
      </c>
      <c r="F2327" s="430">
        <v>199</v>
      </c>
      <c r="G2327" s="430">
        <v>0</v>
      </c>
      <c r="H2327" s="431">
        <v>0</v>
      </c>
      <c r="I2327" s="430">
        <v>0</v>
      </c>
      <c r="J2327" s="430">
        <v>103</v>
      </c>
      <c r="K2327" s="430">
        <v>0</v>
      </c>
      <c r="L2327" s="430">
        <v>0</v>
      </c>
      <c r="M2327" s="430">
        <v>0</v>
      </c>
      <c r="N2327" s="430">
        <v>121</v>
      </c>
      <c r="O2327" s="430">
        <v>8</v>
      </c>
      <c r="P2327" s="430">
        <v>322</v>
      </c>
      <c r="Q2327" s="431">
        <v>206</v>
      </c>
      <c r="R2327" s="328">
        <f t="shared" si="270"/>
        <v>745</v>
      </c>
      <c r="S2327" s="365">
        <f t="shared" si="271"/>
        <v>214</v>
      </c>
      <c r="T2327" s="432"/>
      <c r="U2327" s="432"/>
      <c r="V2327" s="432"/>
      <c r="W2327" s="432"/>
      <c r="X2327" s="432"/>
    </row>
    <row r="2328" spans="1:24" ht="12.75">
      <c r="A2328" s="428" t="s">
        <v>698</v>
      </c>
      <c r="B2328" s="429" t="s">
        <v>193</v>
      </c>
      <c r="C2328" s="429" t="s">
        <v>774</v>
      </c>
      <c r="D2328" s="429">
        <v>2016</v>
      </c>
      <c r="E2328" s="429" t="s">
        <v>775</v>
      </c>
      <c r="F2328" s="430">
        <v>181</v>
      </c>
      <c r="G2328" s="430">
        <v>0</v>
      </c>
      <c r="H2328" s="431">
        <v>0</v>
      </c>
      <c r="I2328" s="430">
        <v>0</v>
      </c>
      <c r="J2328" s="430">
        <v>107</v>
      </c>
      <c r="K2328" s="430">
        <v>0</v>
      </c>
      <c r="L2328" s="430">
        <v>0</v>
      </c>
      <c r="M2328" s="430">
        <v>0</v>
      </c>
      <c r="N2328" s="430">
        <v>127</v>
      </c>
      <c r="O2328" s="430">
        <v>1</v>
      </c>
      <c r="P2328" s="430">
        <v>484</v>
      </c>
      <c r="Q2328" s="431">
        <v>161</v>
      </c>
      <c r="R2328" s="328">
        <f t="shared" si="270"/>
        <v>899</v>
      </c>
      <c r="S2328" s="365">
        <f t="shared" si="271"/>
        <v>162</v>
      </c>
      <c r="T2328" s="432"/>
      <c r="U2328" s="432"/>
      <c r="V2328" s="432"/>
      <c r="W2328" s="432"/>
      <c r="X2328" s="432"/>
    </row>
    <row r="2329" spans="1:24" ht="12.75">
      <c r="A2329" s="428" t="s">
        <v>699</v>
      </c>
      <c r="B2329" s="429" t="s">
        <v>193</v>
      </c>
      <c r="C2329" s="429" t="s">
        <v>774</v>
      </c>
      <c r="D2329" s="429">
        <v>2016</v>
      </c>
      <c r="E2329" s="429" t="s">
        <v>775</v>
      </c>
      <c r="F2329" s="430">
        <v>1041</v>
      </c>
      <c r="G2329" s="430">
        <v>38</v>
      </c>
      <c r="H2329" s="431">
        <v>38</v>
      </c>
      <c r="I2329" s="430">
        <v>0</v>
      </c>
      <c r="J2329" s="430">
        <v>671</v>
      </c>
      <c r="K2329" s="430">
        <v>3</v>
      </c>
      <c r="L2329" s="430">
        <v>3</v>
      </c>
      <c r="M2329" s="430">
        <v>0</v>
      </c>
      <c r="N2329" s="430">
        <v>759</v>
      </c>
      <c r="O2329" s="430">
        <v>16</v>
      </c>
      <c r="P2329" s="430">
        <v>2612</v>
      </c>
      <c r="Q2329" s="431">
        <v>246</v>
      </c>
      <c r="R2329" s="328">
        <f t="shared" si="270"/>
        <v>5083</v>
      </c>
      <c r="S2329" s="365">
        <f t="shared" si="271"/>
        <v>303</v>
      </c>
      <c r="T2329" s="432"/>
      <c r="U2329" s="432"/>
      <c r="V2329" s="432"/>
      <c r="W2329" s="432"/>
      <c r="X2329" s="432"/>
    </row>
    <row r="2330" spans="1:24" ht="12.75">
      <c r="A2330" s="428" t="s">
        <v>700</v>
      </c>
      <c r="B2330" s="429" t="s">
        <v>193</v>
      </c>
      <c r="C2330" s="429" t="s">
        <v>774</v>
      </c>
      <c r="D2330" s="429">
        <v>2016</v>
      </c>
      <c r="E2330" s="429" t="s">
        <v>775</v>
      </c>
      <c r="F2330" s="430">
        <v>22</v>
      </c>
      <c r="G2330" s="430">
        <v>0</v>
      </c>
      <c r="H2330" s="431">
        <v>0</v>
      </c>
      <c r="I2330" s="430">
        <v>0</v>
      </c>
      <c r="J2330" s="430">
        <v>17</v>
      </c>
      <c r="K2330" s="430">
        <v>0</v>
      </c>
      <c r="L2330" s="430">
        <v>0</v>
      </c>
      <c r="M2330" s="430">
        <v>0</v>
      </c>
      <c r="N2330" s="430">
        <v>19</v>
      </c>
      <c r="O2330" s="430">
        <v>6</v>
      </c>
      <c r="P2330" s="430">
        <v>62</v>
      </c>
      <c r="Q2330" s="431">
        <v>2</v>
      </c>
      <c r="R2330" s="328">
        <f t="shared" si="270"/>
        <v>120</v>
      </c>
      <c r="S2330" s="365">
        <f t="shared" si="271"/>
        <v>8</v>
      </c>
      <c r="T2330" s="432"/>
      <c r="U2330" s="432"/>
      <c r="V2330" s="432"/>
      <c r="W2330" s="432"/>
      <c r="X2330" s="432"/>
    </row>
    <row r="2331" spans="1:24" ht="12.75">
      <c r="A2331" s="428" t="s">
        <v>193</v>
      </c>
      <c r="B2331" s="429" t="s">
        <v>193</v>
      </c>
      <c r="C2331" s="429" t="s">
        <v>774</v>
      </c>
      <c r="D2331" s="429">
        <v>2016</v>
      </c>
      <c r="E2331" s="429" t="s">
        <v>775</v>
      </c>
      <c r="F2331" s="430">
        <v>24</v>
      </c>
      <c r="G2331" s="430">
        <v>0</v>
      </c>
      <c r="H2331" s="431">
        <v>0</v>
      </c>
      <c r="I2331" s="430">
        <v>0</v>
      </c>
      <c r="J2331" s="430">
        <v>23</v>
      </c>
      <c r="K2331" s="430">
        <v>0</v>
      </c>
      <c r="L2331" s="430">
        <v>0</v>
      </c>
      <c r="M2331" s="430">
        <v>0</v>
      </c>
      <c r="N2331" s="430">
        <v>27</v>
      </c>
      <c r="O2331" s="430">
        <v>0</v>
      </c>
      <c r="P2331" s="430">
        <v>63</v>
      </c>
      <c r="Q2331" s="431">
        <v>12</v>
      </c>
      <c r="R2331" s="328">
        <f t="shared" si="270"/>
        <v>137</v>
      </c>
      <c r="S2331" s="365">
        <f t="shared" si="271"/>
        <v>12</v>
      </c>
      <c r="T2331" s="432"/>
      <c r="U2331" s="432"/>
      <c r="V2331" s="432"/>
      <c r="W2331" s="432"/>
      <c r="X2331" s="432"/>
    </row>
    <row r="2332" spans="1:24" ht="12.75">
      <c r="A2332" s="428" t="s">
        <v>701</v>
      </c>
      <c r="B2332" s="429" t="s">
        <v>193</v>
      </c>
      <c r="C2332" s="429" t="s">
        <v>774</v>
      </c>
      <c r="D2332" s="429">
        <v>2016</v>
      </c>
      <c r="E2332" s="429" t="s">
        <v>775</v>
      </c>
      <c r="F2332" s="430">
        <v>126</v>
      </c>
      <c r="G2332" s="430">
        <v>78</v>
      </c>
      <c r="H2332" s="431">
        <v>78</v>
      </c>
      <c r="I2332" s="430">
        <v>0</v>
      </c>
      <c r="J2332" s="430">
        <v>37</v>
      </c>
      <c r="K2332" s="430">
        <v>18</v>
      </c>
      <c r="L2332" s="430">
        <v>17</v>
      </c>
      <c r="M2332" s="430">
        <v>1</v>
      </c>
      <c r="N2332" s="430">
        <v>160</v>
      </c>
      <c r="O2332" s="430">
        <v>55</v>
      </c>
      <c r="P2332" s="430">
        <v>192</v>
      </c>
      <c r="Q2332" s="431">
        <v>154</v>
      </c>
      <c r="R2332" s="328">
        <f t="shared" si="270"/>
        <v>515</v>
      </c>
      <c r="S2332" s="365">
        <f t="shared" si="271"/>
        <v>305</v>
      </c>
      <c r="T2332" s="432"/>
      <c r="U2332" s="432"/>
      <c r="V2332" s="432"/>
      <c r="W2332" s="432"/>
      <c r="X2332" s="432"/>
    </row>
    <row r="2333" spans="1:24" ht="12.75">
      <c r="A2333" s="459" t="s">
        <v>702</v>
      </c>
      <c r="B2333" s="460" t="s">
        <v>193</v>
      </c>
      <c r="C2333" s="460" t="s">
        <v>774</v>
      </c>
      <c r="D2333" s="460">
        <v>2016</v>
      </c>
      <c r="E2333" s="460" t="s">
        <v>775</v>
      </c>
      <c r="F2333" s="431">
        <v>120</v>
      </c>
      <c r="G2333" s="430">
        <v>0</v>
      </c>
      <c r="H2333" s="431">
        <v>0</v>
      </c>
      <c r="I2333" s="431">
        <v>0</v>
      </c>
      <c r="J2333" s="431">
        <v>65</v>
      </c>
      <c r="K2333" s="430">
        <v>0</v>
      </c>
      <c r="L2333" s="431">
        <v>0</v>
      </c>
      <c r="M2333" s="431">
        <v>0</v>
      </c>
      <c r="N2333" s="431">
        <v>67</v>
      </c>
      <c r="O2333" s="431">
        <v>0</v>
      </c>
      <c r="P2333" s="431">
        <v>188</v>
      </c>
      <c r="Q2333" s="431">
        <v>3</v>
      </c>
      <c r="R2333" s="328">
        <f t="shared" si="270"/>
        <v>440</v>
      </c>
      <c r="S2333" s="365">
        <f t="shared" si="271"/>
        <v>3</v>
      </c>
      <c r="T2333" s="413">
        <f>SUM(G2324:G2333)</f>
        <v>119</v>
      </c>
      <c r="U2333" s="413">
        <f>SUM(K2324:K2333)</f>
        <v>27</v>
      </c>
      <c r="V2333" s="413">
        <f>SUM(O2324:O2333)</f>
        <v>92</v>
      </c>
      <c r="W2333" s="413">
        <f>SUM(Q2324:Q2333)</f>
        <v>836</v>
      </c>
      <c r="X2333" s="413">
        <f>T2333+U2333+V2333+W2333</f>
        <v>1074</v>
      </c>
    </row>
    <row r="2334" spans="1:24" ht="12.75">
      <c r="A2334" s="433" t="s">
        <v>694</v>
      </c>
      <c r="B2334" s="434" t="s">
        <v>193</v>
      </c>
      <c r="C2334" s="434" t="s">
        <v>774</v>
      </c>
      <c r="D2334" s="434">
        <v>2017</v>
      </c>
      <c r="E2334" s="434" t="s">
        <v>775</v>
      </c>
      <c r="F2334" s="435">
        <v>39</v>
      </c>
      <c r="G2334" s="435">
        <v>0</v>
      </c>
      <c r="H2334" s="436">
        <v>0</v>
      </c>
      <c r="I2334" s="435">
        <v>0</v>
      </c>
      <c r="J2334" s="435">
        <v>29</v>
      </c>
      <c r="K2334" s="435">
        <v>0</v>
      </c>
      <c r="L2334" s="435">
        <v>0</v>
      </c>
      <c r="M2334" s="435">
        <v>0</v>
      </c>
      <c r="N2334" s="435">
        <v>31</v>
      </c>
      <c r="O2334" s="435">
        <v>3</v>
      </c>
      <c r="P2334" s="435">
        <v>112</v>
      </c>
      <c r="Q2334" s="436">
        <v>22</v>
      </c>
      <c r="R2334" s="336">
        <f t="shared" si="270"/>
        <v>211</v>
      </c>
      <c r="S2334" s="366">
        <f t="shared" si="271"/>
        <v>25</v>
      </c>
      <c r="T2334" s="437"/>
      <c r="U2334" s="437"/>
      <c r="V2334" s="437"/>
      <c r="W2334" s="437"/>
      <c r="X2334" s="437"/>
    </row>
    <row r="2335" spans="1:24" ht="12.75">
      <c r="A2335" s="433" t="s">
        <v>695</v>
      </c>
      <c r="B2335" s="434" t="s">
        <v>193</v>
      </c>
      <c r="C2335" s="434" t="s">
        <v>774</v>
      </c>
      <c r="D2335" s="434">
        <v>2017</v>
      </c>
      <c r="E2335" s="434" t="s">
        <v>775</v>
      </c>
      <c r="F2335" s="435">
        <v>35</v>
      </c>
      <c r="G2335" s="435">
        <v>3</v>
      </c>
      <c r="H2335" s="436">
        <v>3</v>
      </c>
      <c r="I2335" s="435">
        <v>0</v>
      </c>
      <c r="J2335" s="435">
        <v>18</v>
      </c>
      <c r="K2335" s="435">
        <v>10</v>
      </c>
      <c r="L2335" s="435">
        <v>0</v>
      </c>
      <c r="M2335" s="435">
        <v>10</v>
      </c>
      <c r="N2335" s="435">
        <v>18</v>
      </c>
      <c r="O2335" s="435">
        <v>11</v>
      </c>
      <c r="P2335" s="435">
        <v>66</v>
      </c>
      <c r="Q2335" s="436">
        <v>22</v>
      </c>
      <c r="R2335" s="336">
        <f t="shared" si="270"/>
        <v>137</v>
      </c>
      <c r="S2335" s="366">
        <f t="shared" si="271"/>
        <v>46</v>
      </c>
      <c r="T2335" s="437"/>
      <c r="U2335" s="437"/>
      <c r="V2335" s="437"/>
      <c r="W2335" s="437"/>
      <c r="X2335" s="437"/>
    </row>
    <row r="2336" spans="1:24" ht="12.75">
      <c r="A2336" s="433" t="s">
        <v>696</v>
      </c>
      <c r="B2336" s="434" t="s">
        <v>193</v>
      </c>
      <c r="C2336" s="434" t="s">
        <v>774</v>
      </c>
      <c r="D2336" s="434">
        <v>2017</v>
      </c>
      <c r="E2336" s="434" t="s">
        <v>775</v>
      </c>
      <c r="F2336" s="435">
        <v>31</v>
      </c>
      <c r="G2336" s="435">
        <v>12</v>
      </c>
      <c r="H2336" s="436">
        <v>12</v>
      </c>
      <c r="I2336" s="435">
        <v>0</v>
      </c>
      <c r="J2336" s="435">
        <v>24</v>
      </c>
      <c r="K2336" s="435">
        <v>20</v>
      </c>
      <c r="L2336" s="435">
        <v>20</v>
      </c>
      <c r="M2336" s="435">
        <v>0</v>
      </c>
      <c r="N2336" s="435">
        <v>26</v>
      </c>
      <c r="O2336" s="435">
        <v>29</v>
      </c>
      <c r="P2336" s="435">
        <v>76</v>
      </c>
      <c r="Q2336" s="436">
        <v>16</v>
      </c>
      <c r="R2336" s="336">
        <f t="shared" si="270"/>
        <v>157</v>
      </c>
      <c r="S2336" s="366">
        <f t="shared" si="271"/>
        <v>77</v>
      </c>
      <c r="T2336" s="437"/>
      <c r="U2336" s="437"/>
      <c r="V2336" s="437"/>
      <c r="W2336" s="437"/>
      <c r="X2336" s="437"/>
    </row>
    <row r="2337" spans="1:24" ht="12.75">
      <c r="A2337" s="433" t="s">
        <v>697</v>
      </c>
      <c r="B2337" s="434" t="s">
        <v>193</v>
      </c>
      <c r="C2337" s="434" t="s">
        <v>774</v>
      </c>
      <c r="D2337" s="434">
        <v>2017</v>
      </c>
      <c r="E2337" s="434" t="s">
        <v>775</v>
      </c>
      <c r="F2337" s="435">
        <v>199</v>
      </c>
      <c r="G2337" s="435">
        <v>9</v>
      </c>
      <c r="H2337" s="436">
        <v>9</v>
      </c>
      <c r="I2337" s="435">
        <v>0</v>
      </c>
      <c r="J2337" s="435">
        <v>103</v>
      </c>
      <c r="K2337" s="435">
        <v>14</v>
      </c>
      <c r="L2337" s="435">
        <v>14</v>
      </c>
      <c r="M2337" s="435">
        <v>0</v>
      </c>
      <c r="N2337" s="435">
        <v>121</v>
      </c>
      <c r="O2337" s="435">
        <v>9</v>
      </c>
      <c r="P2337" s="435">
        <v>322</v>
      </c>
      <c r="Q2337" s="436">
        <v>150</v>
      </c>
      <c r="R2337" s="336">
        <f t="shared" si="270"/>
        <v>745</v>
      </c>
      <c r="S2337" s="366">
        <f t="shared" si="271"/>
        <v>182</v>
      </c>
      <c r="T2337" s="437"/>
      <c r="U2337" s="437"/>
      <c r="V2337" s="437"/>
      <c r="W2337" s="437"/>
      <c r="X2337" s="437"/>
    </row>
    <row r="2338" spans="1:24" ht="12.75">
      <c r="A2338" s="433" t="s">
        <v>698</v>
      </c>
      <c r="B2338" s="434" t="s">
        <v>193</v>
      </c>
      <c r="C2338" s="434" t="s">
        <v>774</v>
      </c>
      <c r="D2338" s="434">
        <v>2017</v>
      </c>
      <c r="E2338" s="434" t="s">
        <v>775</v>
      </c>
      <c r="F2338" s="435">
        <v>181</v>
      </c>
      <c r="G2338" s="435">
        <v>0</v>
      </c>
      <c r="H2338" s="436">
        <v>0</v>
      </c>
      <c r="I2338" s="435">
        <v>0</v>
      </c>
      <c r="J2338" s="435">
        <v>107</v>
      </c>
      <c r="K2338" s="435">
        <v>0</v>
      </c>
      <c r="L2338" s="435">
        <v>0</v>
      </c>
      <c r="M2338" s="435">
        <v>0</v>
      </c>
      <c r="N2338" s="435">
        <v>127</v>
      </c>
      <c r="O2338" s="435">
        <v>13</v>
      </c>
      <c r="P2338" s="435">
        <v>484</v>
      </c>
      <c r="Q2338" s="436">
        <v>165</v>
      </c>
      <c r="R2338" s="336">
        <f t="shared" si="270"/>
        <v>899</v>
      </c>
      <c r="S2338" s="366">
        <f t="shared" si="271"/>
        <v>178</v>
      </c>
      <c r="T2338" s="437"/>
      <c r="U2338" s="437"/>
      <c r="V2338" s="437"/>
      <c r="W2338" s="437"/>
      <c r="X2338" s="437"/>
    </row>
    <row r="2339" spans="1:24" ht="12.75">
      <c r="A2339" s="433" t="s">
        <v>699</v>
      </c>
      <c r="B2339" s="434" t="s">
        <v>193</v>
      </c>
      <c r="C2339" s="434" t="s">
        <v>774</v>
      </c>
      <c r="D2339" s="434">
        <v>2017</v>
      </c>
      <c r="E2339" s="434" t="s">
        <v>775</v>
      </c>
      <c r="F2339" s="435">
        <v>1041</v>
      </c>
      <c r="G2339" s="435">
        <v>56</v>
      </c>
      <c r="H2339" s="436">
        <v>56</v>
      </c>
      <c r="I2339" s="435">
        <v>0</v>
      </c>
      <c r="J2339" s="435">
        <v>671</v>
      </c>
      <c r="K2339" s="435">
        <v>22</v>
      </c>
      <c r="L2339" s="435">
        <v>22</v>
      </c>
      <c r="M2339" s="435">
        <v>0</v>
      </c>
      <c r="N2339" s="435">
        <v>759</v>
      </c>
      <c r="O2339" s="435">
        <v>16</v>
      </c>
      <c r="P2339" s="435">
        <v>2612</v>
      </c>
      <c r="Q2339" s="436">
        <v>251</v>
      </c>
      <c r="R2339" s="336">
        <f t="shared" si="270"/>
        <v>5083</v>
      </c>
      <c r="S2339" s="366">
        <f t="shared" si="271"/>
        <v>345</v>
      </c>
      <c r="T2339" s="437"/>
      <c r="U2339" s="437"/>
      <c r="V2339" s="437"/>
      <c r="W2339" s="437"/>
      <c r="X2339" s="437"/>
    </row>
    <row r="2340" spans="1:24" ht="12.75">
      <c r="A2340" s="433" t="s">
        <v>700</v>
      </c>
      <c r="B2340" s="434" t="s">
        <v>193</v>
      </c>
      <c r="C2340" s="434" t="s">
        <v>774</v>
      </c>
      <c r="D2340" s="434">
        <v>2017</v>
      </c>
      <c r="E2340" s="434" t="s">
        <v>775</v>
      </c>
      <c r="F2340" s="435">
        <v>22</v>
      </c>
      <c r="G2340" s="435">
        <v>0</v>
      </c>
      <c r="H2340" s="436">
        <v>0</v>
      </c>
      <c r="I2340" s="435">
        <v>0</v>
      </c>
      <c r="J2340" s="435">
        <v>17</v>
      </c>
      <c r="K2340" s="435">
        <v>2</v>
      </c>
      <c r="L2340" s="435">
        <v>2</v>
      </c>
      <c r="M2340" s="435">
        <v>0</v>
      </c>
      <c r="N2340" s="435">
        <v>19</v>
      </c>
      <c r="O2340" s="435">
        <v>5</v>
      </c>
      <c r="P2340" s="435">
        <v>62</v>
      </c>
      <c r="Q2340" s="436">
        <v>11</v>
      </c>
      <c r="R2340" s="336">
        <f t="shared" si="270"/>
        <v>120</v>
      </c>
      <c r="S2340" s="366">
        <f t="shared" si="271"/>
        <v>18</v>
      </c>
      <c r="T2340" s="437"/>
      <c r="U2340" s="437"/>
      <c r="V2340" s="437"/>
      <c r="W2340" s="437"/>
      <c r="X2340" s="437"/>
    </row>
    <row r="2341" spans="1:24" ht="12.75">
      <c r="A2341" s="433" t="s">
        <v>193</v>
      </c>
      <c r="B2341" s="434" t="s">
        <v>193</v>
      </c>
      <c r="C2341" s="434" t="s">
        <v>774</v>
      </c>
      <c r="D2341" s="434">
        <v>2017</v>
      </c>
      <c r="E2341" s="434" t="s">
        <v>775</v>
      </c>
      <c r="F2341" s="435">
        <v>24</v>
      </c>
      <c r="G2341" s="435">
        <v>0</v>
      </c>
      <c r="H2341" s="436">
        <v>0</v>
      </c>
      <c r="I2341" s="435">
        <v>0</v>
      </c>
      <c r="J2341" s="435">
        <v>23</v>
      </c>
      <c r="K2341" s="435">
        <v>0</v>
      </c>
      <c r="L2341" s="435">
        <v>0</v>
      </c>
      <c r="M2341" s="435">
        <v>0</v>
      </c>
      <c r="N2341" s="435">
        <v>27</v>
      </c>
      <c r="O2341" s="435">
        <v>1</v>
      </c>
      <c r="P2341" s="435">
        <v>63</v>
      </c>
      <c r="Q2341" s="436">
        <v>9</v>
      </c>
      <c r="R2341" s="336">
        <f t="shared" si="270"/>
        <v>137</v>
      </c>
      <c r="S2341" s="366">
        <f t="shared" si="271"/>
        <v>10</v>
      </c>
      <c r="T2341" s="437"/>
      <c r="U2341" s="437"/>
      <c r="V2341" s="437"/>
      <c r="W2341" s="437"/>
      <c r="X2341" s="437"/>
    </row>
    <row r="2342" spans="1:24" ht="12.75">
      <c r="A2342" s="433" t="s">
        <v>701</v>
      </c>
      <c r="B2342" s="434" t="s">
        <v>193</v>
      </c>
      <c r="C2342" s="434" t="s">
        <v>774</v>
      </c>
      <c r="D2342" s="434">
        <v>2017</v>
      </c>
      <c r="E2342" s="434" t="s">
        <v>775</v>
      </c>
      <c r="F2342" s="435">
        <v>126</v>
      </c>
      <c r="G2342" s="435">
        <v>0</v>
      </c>
      <c r="H2342" s="436">
        <v>0</v>
      </c>
      <c r="I2342" s="435">
        <v>0</v>
      </c>
      <c r="J2342" s="435">
        <v>37</v>
      </c>
      <c r="K2342" s="435">
        <v>10</v>
      </c>
      <c r="L2342" s="435">
        <v>10</v>
      </c>
      <c r="M2342" s="435">
        <v>0</v>
      </c>
      <c r="N2342" s="435">
        <v>160</v>
      </c>
      <c r="O2342" s="435">
        <v>57</v>
      </c>
      <c r="P2342" s="435">
        <v>192</v>
      </c>
      <c r="Q2342" s="436">
        <v>168</v>
      </c>
      <c r="R2342" s="336">
        <f t="shared" si="270"/>
        <v>515</v>
      </c>
      <c r="S2342" s="366">
        <f t="shared" si="271"/>
        <v>235</v>
      </c>
      <c r="T2342" s="437"/>
      <c r="U2342" s="437"/>
      <c r="V2342" s="437"/>
      <c r="W2342" s="437"/>
      <c r="X2342" s="437"/>
    </row>
    <row r="2343" spans="1:24" ht="12.75">
      <c r="A2343" s="461" t="s">
        <v>702</v>
      </c>
      <c r="B2343" s="462" t="s">
        <v>193</v>
      </c>
      <c r="C2343" s="462" t="s">
        <v>774</v>
      </c>
      <c r="D2343" s="462">
        <v>2017</v>
      </c>
      <c r="E2343" s="462" t="s">
        <v>775</v>
      </c>
      <c r="F2343" s="436">
        <v>120</v>
      </c>
      <c r="G2343" s="435">
        <v>0</v>
      </c>
      <c r="H2343" s="436">
        <v>0</v>
      </c>
      <c r="I2343" s="436">
        <v>0</v>
      </c>
      <c r="J2343" s="436">
        <v>65</v>
      </c>
      <c r="K2343" s="435">
        <v>0</v>
      </c>
      <c r="L2343" s="436">
        <v>0</v>
      </c>
      <c r="M2343" s="436">
        <v>0</v>
      </c>
      <c r="N2343" s="436">
        <v>67</v>
      </c>
      <c r="O2343" s="436">
        <v>0</v>
      </c>
      <c r="P2343" s="436">
        <v>188</v>
      </c>
      <c r="Q2343" s="436">
        <v>5</v>
      </c>
      <c r="R2343" s="336">
        <f t="shared" si="270"/>
        <v>440</v>
      </c>
      <c r="S2343" s="366">
        <f t="shared" si="271"/>
        <v>5</v>
      </c>
      <c r="T2343" s="414">
        <f>SUM(G2334:G2343)</f>
        <v>80</v>
      </c>
      <c r="U2343" s="414">
        <f>SUM(K2334:K2343)</f>
        <v>78</v>
      </c>
      <c r="V2343" s="414">
        <f>SUM(O2334:O2343)</f>
        <v>144</v>
      </c>
      <c r="W2343" s="414">
        <f>SUM(Q2334:Q2343)</f>
        <v>819</v>
      </c>
      <c r="X2343" s="414">
        <f>T2343+U2343+V2343+W2343</f>
        <v>1121</v>
      </c>
    </row>
    <row r="2344" spans="1:24" ht="12.75">
      <c r="A2344" s="438" t="s">
        <v>694</v>
      </c>
      <c r="B2344" s="439" t="s">
        <v>193</v>
      </c>
      <c r="C2344" s="439" t="s">
        <v>774</v>
      </c>
      <c r="D2344" s="439">
        <v>2018</v>
      </c>
      <c r="E2344" s="439" t="s">
        <v>775</v>
      </c>
      <c r="F2344" s="440">
        <v>39</v>
      </c>
      <c r="G2344" s="441">
        <v>0</v>
      </c>
      <c r="H2344" s="440">
        <v>0</v>
      </c>
      <c r="I2344" s="440">
        <v>0</v>
      </c>
      <c r="J2344" s="440">
        <v>29</v>
      </c>
      <c r="K2344" s="441">
        <v>0</v>
      </c>
      <c r="L2344" s="440">
        <v>0</v>
      </c>
      <c r="M2344" s="440">
        <v>0</v>
      </c>
      <c r="N2344" s="440">
        <v>31</v>
      </c>
      <c r="O2344" s="440">
        <v>0</v>
      </c>
      <c r="P2344" s="440">
        <v>112</v>
      </c>
      <c r="Q2344" s="440">
        <v>14</v>
      </c>
      <c r="R2344" s="344">
        <f t="shared" si="270"/>
        <v>211</v>
      </c>
      <c r="S2344" s="367">
        <f t="shared" si="271"/>
        <v>14</v>
      </c>
      <c r="T2344" s="442"/>
      <c r="U2344" s="442"/>
      <c r="V2344" s="442"/>
      <c r="W2344" s="442"/>
      <c r="X2344" s="442"/>
    </row>
    <row r="2345" spans="1:24" ht="12.75">
      <c r="A2345" s="438" t="s">
        <v>695</v>
      </c>
      <c r="B2345" s="439" t="s">
        <v>193</v>
      </c>
      <c r="C2345" s="439" t="s">
        <v>774</v>
      </c>
      <c r="D2345" s="439">
        <v>2018</v>
      </c>
      <c r="E2345" s="439" t="s">
        <v>775</v>
      </c>
      <c r="F2345" s="440">
        <v>35</v>
      </c>
      <c r="G2345" s="441">
        <v>0</v>
      </c>
      <c r="H2345" s="440">
        <v>0</v>
      </c>
      <c r="I2345" s="440">
        <v>0</v>
      </c>
      <c r="J2345" s="440">
        <v>18</v>
      </c>
      <c r="K2345" s="441">
        <v>0</v>
      </c>
      <c r="L2345" s="440">
        <v>0</v>
      </c>
      <c r="M2345" s="440">
        <v>0</v>
      </c>
      <c r="N2345" s="440">
        <v>18</v>
      </c>
      <c r="O2345" s="440">
        <v>2</v>
      </c>
      <c r="P2345" s="440">
        <v>66</v>
      </c>
      <c r="Q2345" s="440">
        <v>0</v>
      </c>
      <c r="R2345" s="344">
        <f t="shared" si="270"/>
        <v>137</v>
      </c>
      <c r="S2345" s="367">
        <f t="shared" si="271"/>
        <v>2</v>
      </c>
      <c r="T2345" s="442"/>
      <c r="U2345" s="442"/>
      <c r="V2345" s="442"/>
      <c r="W2345" s="442"/>
      <c r="X2345" s="442"/>
    </row>
    <row r="2346" spans="1:24" ht="12.75">
      <c r="A2346" s="438" t="s">
        <v>696</v>
      </c>
      <c r="B2346" s="439" t="s">
        <v>193</v>
      </c>
      <c r="C2346" s="439" t="s">
        <v>774</v>
      </c>
      <c r="D2346" s="439">
        <v>2018</v>
      </c>
      <c r="E2346" s="439" t="s">
        <v>775</v>
      </c>
      <c r="F2346" s="440">
        <v>31</v>
      </c>
      <c r="G2346" s="441">
        <v>0</v>
      </c>
      <c r="H2346" s="440">
        <v>0</v>
      </c>
      <c r="I2346" s="440">
        <v>0</v>
      </c>
      <c r="J2346" s="440">
        <v>24</v>
      </c>
      <c r="K2346" s="441">
        <v>0</v>
      </c>
      <c r="L2346" s="440">
        <v>0</v>
      </c>
      <c r="M2346" s="440">
        <v>0</v>
      </c>
      <c r="N2346" s="440">
        <v>26</v>
      </c>
      <c r="O2346" s="440">
        <v>11</v>
      </c>
      <c r="P2346" s="440">
        <v>76</v>
      </c>
      <c r="Q2346" s="440">
        <v>41</v>
      </c>
      <c r="R2346" s="344">
        <f t="shared" si="270"/>
        <v>157</v>
      </c>
      <c r="S2346" s="367">
        <f t="shared" si="271"/>
        <v>52</v>
      </c>
      <c r="T2346" s="442"/>
      <c r="U2346" s="442"/>
      <c r="V2346" s="442"/>
      <c r="W2346" s="442"/>
      <c r="X2346" s="442"/>
    </row>
    <row r="2347" spans="1:24" ht="12.75">
      <c r="A2347" s="438" t="s">
        <v>697</v>
      </c>
      <c r="B2347" s="439" t="s">
        <v>193</v>
      </c>
      <c r="C2347" s="439" t="s">
        <v>774</v>
      </c>
      <c r="D2347" s="439">
        <v>2018</v>
      </c>
      <c r="E2347" s="439" t="s">
        <v>775</v>
      </c>
      <c r="F2347" s="440">
        <v>199</v>
      </c>
      <c r="G2347" s="441">
        <v>0</v>
      </c>
      <c r="H2347" s="440">
        <v>0</v>
      </c>
      <c r="I2347" s="440">
        <v>0</v>
      </c>
      <c r="J2347" s="440">
        <v>103</v>
      </c>
      <c r="K2347" s="441">
        <v>4</v>
      </c>
      <c r="L2347" s="440">
        <v>4</v>
      </c>
      <c r="M2347" s="440">
        <v>0</v>
      </c>
      <c r="N2347" s="440">
        <v>121</v>
      </c>
      <c r="O2347" s="440">
        <v>31</v>
      </c>
      <c r="P2347" s="440">
        <v>322</v>
      </c>
      <c r="Q2347" s="440">
        <v>77</v>
      </c>
      <c r="R2347" s="344">
        <f t="shared" si="270"/>
        <v>745</v>
      </c>
      <c r="S2347" s="367">
        <f t="shared" si="271"/>
        <v>112</v>
      </c>
      <c r="T2347" s="442"/>
      <c r="U2347" s="442"/>
      <c r="V2347" s="442"/>
      <c r="W2347" s="442"/>
      <c r="X2347" s="442"/>
    </row>
    <row r="2348" spans="1:24" ht="12.75">
      <c r="A2348" s="438" t="s">
        <v>698</v>
      </c>
      <c r="B2348" s="439" t="s">
        <v>193</v>
      </c>
      <c r="C2348" s="439" t="s">
        <v>774</v>
      </c>
      <c r="D2348" s="439">
        <v>2018</v>
      </c>
      <c r="E2348" s="439" t="s">
        <v>775</v>
      </c>
      <c r="F2348" s="440">
        <v>181</v>
      </c>
      <c r="G2348" s="441">
        <v>109</v>
      </c>
      <c r="H2348" s="440">
        <v>109</v>
      </c>
      <c r="I2348" s="440">
        <v>0</v>
      </c>
      <c r="J2348" s="440">
        <v>107</v>
      </c>
      <c r="K2348" s="441">
        <v>109</v>
      </c>
      <c r="L2348" s="440">
        <v>109</v>
      </c>
      <c r="M2348" s="440">
        <v>0</v>
      </c>
      <c r="N2348" s="440">
        <v>127</v>
      </c>
      <c r="O2348" s="440">
        <v>5</v>
      </c>
      <c r="P2348" s="440">
        <v>484</v>
      </c>
      <c r="Q2348" s="440">
        <v>371</v>
      </c>
      <c r="R2348" s="344">
        <f t="shared" si="270"/>
        <v>899</v>
      </c>
      <c r="S2348" s="367">
        <f t="shared" si="271"/>
        <v>594</v>
      </c>
      <c r="T2348" s="442"/>
      <c r="U2348" s="442"/>
      <c r="V2348" s="442"/>
      <c r="W2348" s="442"/>
      <c r="X2348" s="442"/>
    </row>
    <row r="2349" spans="1:24" ht="12.75">
      <c r="A2349" s="438" t="s">
        <v>700</v>
      </c>
      <c r="B2349" s="439" t="s">
        <v>193</v>
      </c>
      <c r="C2349" s="439" t="s">
        <v>774</v>
      </c>
      <c r="D2349" s="439">
        <v>2018</v>
      </c>
      <c r="E2349" s="439" t="s">
        <v>775</v>
      </c>
      <c r="F2349" s="440">
        <v>22</v>
      </c>
      <c r="G2349" s="441">
        <v>3</v>
      </c>
      <c r="H2349" s="440">
        <v>0</v>
      </c>
      <c r="I2349" s="440">
        <v>3</v>
      </c>
      <c r="J2349" s="440">
        <v>17</v>
      </c>
      <c r="K2349" s="441">
        <v>4</v>
      </c>
      <c r="L2349" s="440">
        <v>0</v>
      </c>
      <c r="M2349" s="440">
        <v>4</v>
      </c>
      <c r="N2349" s="440">
        <v>19</v>
      </c>
      <c r="O2349" s="440">
        <v>4</v>
      </c>
      <c r="P2349" s="440">
        <v>62</v>
      </c>
      <c r="Q2349" s="440">
        <v>1</v>
      </c>
      <c r="R2349" s="344">
        <f t="shared" si="270"/>
        <v>120</v>
      </c>
      <c r="S2349" s="367">
        <f t="shared" si="271"/>
        <v>12</v>
      </c>
      <c r="T2349" s="442"/>
      <c r="U2349" s="442"/>
      <c r="V2349" s="442"/>
      <c r="W2349" s="442"/>
      <c r="X2349" s="442"/>
    </row>
    <row r="2350" spans="1:24" ht="12.75">
      <c r="A2350" s="438" t="s">
        <v>193</v>
      </c>
      <c r="B2350" s="439" t="s">
        <v>193</v>
      </c>
      <c r="C2350" s="439" t="s">
        <v>774</v>
      </c>
      <c r="D2350" s="439">
        <v>2018</v>
      </c>
      <c r="E2350" s="439" t="s">
        <v>775</v>
      </c>
      <c r="F2350" s="440">
        <v>24</v>
      </c>
      <c r="G2350" s="441">
        <v>0</v>
      </c>
      <c r="H2350" s="440">
        <v>0</v>
      </c>
      <c r="I2350" s="440">
        <v>0</v>
      </c>
      <c r="J2350" s="440">
        <v>23</v>
      </c>
      <c r="K2350" s="441">
        <v>7</v>
      </c>
      <c r="L2350" s="440">
        <v>0</v>
      </c>
      <c r="M2350" s="440">
        <v>7</v>
      </c>
      <c r="N2350" s="440">
        <v>27</v>
      </c>
      <c r="O2350" s="440">
        <v>10</v>
      </c>
      <c r="P2350" s="440">
        <v>63</v>
      </c>
      <c r="Q2350" s="440">
        <v>7</v>
      </c>
      <c r="R2350" s="344">
        <f t="shared" si="270"/>
        <v>137</v>
      </c>
      <c r="S2350" s="367">
        <f t="shared" si="271"/>
        <v>24</v>
      </c>
      <c r="T2350" s="442"/>
      <c r="U2350" s="442"/>
      <c r="V2350" s="442"/>
      <c r="W2350" s="442"/>
      <c r="X2350" s="442"/>
    </row>
    <row r="2351" spans="1:24" ht="12.75">
      <c r="A2351" s="438" t="s">
        <v>701</v>
      </c>
      <c r="B2351" s="439" t="s">
        <v>193</v>
      </c>
      <c r="C2351" s="439" t="s">
        <v>774</v>
      </c>
      <c r="D2351" s="439">
        <v>2018</v>
      </c>
      <c r="E2351" s="439" t="s">
        <v>775</v>
      </c>
      <c r="F2351" s="440">
        <v>126</v>
      </c>
      <c r="G2351" s="441">
        <v>12</v>
      </c>
      <c r="H2351" s="440">
        <v>12</v>
      </c>
      <c r="I2351" s="440">
        <v>0</v>
      </c>
      <c r="J2351" s="440">
        <v>37</v>
      </c>
      <c r="K2351" s="441">
        <v>86</v>
      </c>
      <c r="L2351" s="440">
        <v>85</v>
      </c>
      <c r="M2351" s="440">
        <v>1</v>
      </c>
      <c r="N2351" s="440">
        <v>160</v>
      </c>
      <c r="O2351" s="440">
        <v>71</v>
      </c>
      <c r="P2351" s="440">
        <v>192</v>
      </c>
      <c r="Q2351" s="440">
        <v>108</v>
      </c>
      <c r="R2351" s="344">
        <f t="shared" si="270"/>
        <v>515</v>
      </c>
      <c r="S2351" s="367">
        <f t="shared" si="271"/>
        <v>277</v>
      </c>
      <c r="T2351" s="442"/>
      <c r="U2351" s="442"/>
      <c r="V2351" s="442"/>
      <c r="W2351" s="442"/>
      <c r="X2351" s="442"/>
    </row>
    <row r="2352" spans="1:24" ht="12.75">
      <c r="A2352" s="438" t="s">
        <v>702</v>
      </c>
      <c r="B2352" s="439" t="s">
        <v>193</v>
      </c>
      <c r="C2352" s="439" t="s">
        <v>774</v>
      </c>
      <c r="D2352" s="439">
        <v>2018</v>
      </c>
      <c r="E2352" s="439" t="s">
        <v>775</v>
      </c>
      <c r="F2352" s="440">
        <v>120</v>
      </c>
      <c r="G2352" s="441">
        <v>0</v>
      </c>
      <c r="H2352" s="440">
        <v>0</v>
      </c>
      <c r="I2352" s="440">
        <v>0</v>
      </c>
      <c r="J2352" s="440">
        <v>65</v>
      </c>
      <c r="K2352" s="441">
        <v>0</v>
      </c>
      <c r="L2352" s="440">
        <v>0</v>
      </c>
      <c r="M2352" s="440">
        <v>0</v>
      </c>
      <c r="N2352" s="440">
        <v>67</v>
      </c>
      <c r="O2352" s="440">
        <v>0</v>
      </c>
      <c r="P2352" s="440">
        <v>188</v>
      </c>
      <c r="Q2352" s="440">
        <v>18</v>
      </c>
      <c r="R2352" s="344">
        <f t="shared" si="270"/>
        <v>440</v>
      </c>
      <c r="S2352" s="367">
        <f t="shared" si="271"/>
        <v>18</v>
      </c>
      <c r="T2352" s="443">
        <f>SUM(G2344:G2352)</f>
        <v>124</v>
      </c>
      <c r="U2352" s="443">
        <f>SUM(K2344:K2352)</f>
        <v>210</v>
      </c>
      <c r="V2352" s="443">
        <f>SUM(O2344:O2352)</f>
        <v>134</v>
      </c>
      <c r="W2352" s="443">
        <f>SUM(Q2344:Q2352)</f>
        <v>637</v>
      </c>
      <c r="X2352" s="443">
        <f>T2352+U2352+V2352+W2352</f>
        <v>1105</v>
      </c>
    </row>
    <row r="2353" spans="1:24" ht="12.75">
      <c r="A2353" s="346" t="s">
        <v>694</v>
      </c>
      <c r="B2353" s="347" t="s">
        <v>193</v>
      </c>
      <c r="C2353" s="347" t="s">
        <v>782</v>
      </c>
      <c r="D2353" s="347">
        <v>2019</v>
      </c>
      <c r="E2353" s="347" t="s">
        <v>775</v>
      </c>
      <c r="F2353" s="348">
        <v>39</v>
      </c>
      <c r="G2353" s="348">
        <v>0</v>
      </c>
      <c r="H2353" s="348">
        <v>0</v>
      </c>
      <c r="I2353" s="348">
        <v>0</v>
      </c>
      <c r="J2353" s="348">
        <v>29</v>
      </c>
      <c r="K2353" s="348">
        <v>0</v>
      </c>
      <c r="L2353" s="348">
        <v>0</v>
      </c>
      <c r="M2353" s="348">
        <v>0</v>
      </c>
      <c r="N2353" s="348">
        <v>31</v>
      </c>
      <c r="O2353" s="348">
        <v>0</v>
      </c>
      <c r="P2353" s="348">
        <v>112</v>
      </c>
      <c r="Q2353" s="348">
        <v>28</v>
      </c>
      <c r="R2353" s="350">
        <f t="shared" si="270"/>
        <v>211</v>
      </c>
      <c r="S2353" s="348">
        <f t="shared" si="271"/>
        <v>28</v>
      </c>
      <c r="T2353" s="348"/>
      <c r="U2353" s="348"/>
      <c r="V2353" s="348"/>
      <c r="W2353" s="349"/>
      <c r="X2353" s="349"/>
    </row>
    <row r="2354" spans="1:24" ht="12.75">
      <c r="A2354" s="346" t="s">
        <v>695</v>
      </c>
      <c r="B2354" s="347" t="s">
        <v>193</v>
      </c>
      <c r="C2354" s="347" t="s">
        <v>782</v>
      </c>
      <c r="D2354" s="347">
        <v>2019</v>
      </c>
      <c r="E2354" s="347" t="s">
        <v>775</v>
      </c>
      <c r="F2354" s="348">
        <v>35</v>
      </c>
      <c r="G2354" s="348">
        <v>1</v>
      </c>
      <c r="H2354" s="348">
        <v>0</v>
      </c>
      <c r="I2354" s="348">
        <v>1</v>
      </c>
      <c r="J2354" s="348">
        <v>18</v>
      </c>
      <c r="K2354" s="348">
        <v>3</v>
      </c>
      <c r="L2354" s="348">
        <v>0</v>
      </c>
      <c r="M2354" s="348">
        <v>3</v>
      </c>
      <c r="N2354" s="348">
        <v>18</v>
      </c>
      <c r="O2354" s="348">
        <v>0</v>
      </c>
      <c r="P2354" s="348">
        <v>66</v>
      </c>
      <c r="Q2354" s="348">
        <v>3</v>
      </c>
      <c r="R2354" s="350">
        <f t="shared" si="270"/>
        <v>137</v>
      </c>
      <c r="S2354" s="348">
        <f t="shared" si="271"/>
        <v>7</v>
      </c>
      <c r="T2354" s="348"/>
      <c r="U2354" s="348"/>
      <c r="V2354" s="348"/>
      <c r="W2354" s="349"/>
      <c r="X2354" s="349"/>
    </row>
    <row r="2355" spans="1:24" ht="12.75">
      <c r="A2355" s="346" t="s">
        <v>696</v>
      </c>
      <c r="B2355" s="347" t="s">
        <v>193</v>
      </c>
      <c r="C2355" s="347" t="s">
        <v>782</v>
      </c>
      <c r="D2355" s="347">
        <v>2019</v>
      </c>
      <c r="E2355" s="347" t="s">
        <v>775</v>
      </c>
      <c r="F2355" s="348">
        <v>31</v>
      </c>
      <c r="G2355" s="348">
        <v>0</v>
      </c>
      <c r="H2355" s="348">
        <v>0</v>
      </c>
      <c r="I2355" s="348">
        <v>0</v>
      </c>
      <c r="J2355" s="348">
        <v>24</v>
      </c>
      <c r="K2355" s="348">
        <v>1</v>
      </c>
      <c r="L2355" s="348">
        <v>1</v>
      </c>
      <c r="M2355" s="348">
        <v>0</v>
      </c>
      <c r="N2355" s="348">
        <v>26</v>
      </c>
      <c r="O2355" s="348">
        <v>18</v>
      </c>
      <c r="P2355" s="348">
        <v>76</v>
      </c>
      <c r="Q2355" s="348">
        <v>12</v>
      </c>
      <c r="R2355" s="350">
        <f t="shared" si="270"/>
        <v>157</v>
      </c>
      <c r="S2355" s="348">
        <f t="shared" si="271"/>
        <v>31</v>
      </c>
      <c r="T2355" s="348"/>
      <c r="U2355" s="348"/>
      <c r="V2355" s="348"/>
      <c r="W2355" s="349"/>
      <c r="X2355" s="349"/>
    </row>
    <row r="2356" spans="1:24" ht="12.75">
      <c r="A2356" s="346" t="s">
        <v>697</v>
      </c>
      <c r="B2356" s="347" t="s">
        <v>193</v>
      </c>
      <c r="C2356" s="347" t="s">
        <v>782</v>
      </c>
      <c r="D2356" s="347">
        <v>2019</v>
      </c>
      <c r="E2356" s="347" t="s">
        <v>775</v>
      </c>
      <c r="F2356" s="348">
        <v>199</v>
      </c>
      <c r="G2356" s="348">
        <v>0</v>
      </c>
      <c r="H2356" s="348">
        <v>0</v>
      </c>
      <c r="I2356" s="348">
        <v>0</v>
      </c>
      <c r="J2356" s="348">
        <v>103</v>
      </c>
      <c r="K2356" s="348">
        <v>4</v>
      </c>
      <c r="L2356" s="348">
        <v>4</v>
      </c>
      <c r="M2356" s="348">
        <v>0</v>
      </c>
      <c r="N2356" s="348">
        <v>121</v>
      </c>
      <c r="O2356" s="348">
        <v>41</v>
      </c>
      <c r="P2356" s="348">
        <v>322</v>
      </c>
      <c r="Q2356" s="348">
        <v>117</v>
      </c>
      <c r="R2356" s="350">
        <f t="shared" si="270"/>
        <v>745</v>
      </c>
      <c r="S2356" s="348">
        <f t="shared" si="271"/>
        <v>162</v>
      </c>
      <c r="T2356" s="348"/>
      <c r="U2356" s="348"/>
      <c r="V2356" s="348"/>
      <c r="W2356" s="349"/>
      <c r="X2356" s="349"/>
    </row>
    <row r="2357" spans="1:24" ht="12.75">
      <c r="A2357" s="346" t="s">
        <v>698</v>
      </c>
      <c r="B2357" s="347" t="s">
        <v>193</v>
      </c>
      <c r="C2357" s="347" t="s">
        <v>782</v>
      </c>
      <c r="D2357" s="347">
        <v>2019</v>
      </c>
      <c r="E2357" s="347" t="s">
        <v>775</v>
      </c>
      <c r="F2357" s="348">
        <v>181</v>
      </c>
      <c r="G2357" s="348">
        <v>7</v>
      </c>
      <c r="H2357" s="348">
        <v>7</v>
      </c>
      <c r="I2357" s="348">
        <v>0</v>
      </c>
      <c r="J2357" s="348">
        <v>107</v>
      </c>
      <c r="K2357" s="348">
        <v>0</v>
      </c>
      <c r="L2357" s="348">
        <v>0</v>
      </c>
      <c r="M2357" s="348">
        <v>0</v>
      </c>
      <c r="N2357" s="348">
        <v>127</v>
      </c>
      <c r="O2357" s="348">
        <v>0</v>
      </c>
      <c r="P2357" s="348">
        <v>484</v>
      </c>
      <c r="Q2357" s="348">
        <v>306</v>
      </c>
      <c r="R2357" s="350">
        <f t="shared" si="270"/>
        <v>899</v>
      </c>
      <c r="S2357" s="348">
        <f t="shared" si="271"/>
        <v>313</v>
      </c>
      <c r="T2357" s="348"/>
      <c r="U2357" s="348"/>
      <c r="V2357" s="348"/>
      <c r="W2357" s="349"/>
      <c r="X2357" s="349"/>
    </row>
    <row r="2358" spans="1:24" ht="12.75">
      <c r="A2358" s="346" t="s">
        <v>699</v>
      </c>
      <c r="B2358" s="347" t="s">
        <v>193</v>
      </c>
      <c r="C2358" s="347" t="s">
        <v>782</v>
      </c>
      <c r="D2358" s="347">
        <v>2019</v>
      </c>
      <c r="E2358" s="347" t="s">
        <v>775</v>
      </c>
      <c r="F2358" s="348">
        <v>1041</v>
      </c>
      <c r="G2358" s="348">
        <v>6</v>
      </c>
      <c r="H2358" s="348">
        <v>6</v>
      </c>
      <c r="I2358" s="348">
        <v>0</v>
      </c>
      <c r="J2358" s="348">
        <v>671</v>
      </c>
      <c r="K2358" s="348">
        <v>12</v>
      </c>
      <c r="L2358" s="348">
        <v>12</v>
      </c>
      <c r="M2358" s="348">
        <v>0</v>
      </c>
      <c r="N2358" s="348">
        <v>759</v>
      </c>
      <c r="O2358" s="348">
        <v>50</v>
      </c>
      <c r="P2358" s="348">
        <v>2612</v>
      </c>
      <c r="Q2358" s="348">
        <v>379</v>
      </c>
      <c r="R2358" s="350">
        <f t="shared" si="270"/>
        <v>5083</v>
      </c>
      <c r="S2358" s="348">
        <f t="shared" si="271"/>
        <v>447</v>
      </c>
      <c r="T2358" s="348"/>
      <c r="U2358" s="348"/>
      <c r="V2358" s="348"/>
      <c r="W2358" s="349"/>
      <c r="X2358" s="349"/>
    </row>
    <row r="2359" spans="1:24" ht="12.75">
      <c r="A2359" s="346" t="s">
        <v>700</v>
      </c>
      <c r="B2359" s="347" t="s">
        <v>193</v>
      </c>
      <c r="C2359" s="347" t="s">
        <v>782</v>
      </c>
      <c r="D2359" s="347">
        <v>2019</v>
      </c>
      <c r="E2359" s="347" t="s">
        <v>775</v>
      </c>
      <c r="F2359" s="348">
        <v>22</v>
      </c>
      <c r="G2359" s="348">
        <v>1</v>
      </c>
      <c r="H2359" s="348">
        <v>0</v>
      </c>
      <c r="I2359" s="348">
        <v>1</v>
      </c>
      <c r="J2359" s="348">
        <v>17</v>
      </c>
      <c r="K2359" s="348">
        <v>3</v>
      </c>
      <c r="L2359" s="348">
        <v>0</v>
      </c>
      <c r="M2359" s="348">
        <v>3</v>
      </c>
      <c r="N2359" s="348">
        <v>19</v>
      </c>
      <c r="O2359" s="348">
        <v>0</v>
      </c>
      <c r="P2359" s="348">
        <v>62</v>
      </c>
      <c r="Q2359" s="348">
        <v>1</v>
      </c>
      <c r="R2359" s="350">
        <f t="shared" si="270"/>
        <v>120</v>
      </c>
      <c r="S2359" s="348">
        <f t="shared" si="271"/>
        <v>5</v>
      </c>
      <c r="T2359" s="348"/>
      <c r="U2359" s="348"/>
      <c r="V2359" s="348"/>
      <c r="W2359" s="349"/>
      <c r="X2359" s="349"/>
    </row>
    <row r="2360" spans="1:24" ht="12.75">
      <c r="A2360" s="346" t="s">
        <v>193</v>
      </c>
      <c r="B2360" s="347" t="s">
        <v>193</v>
      </c>
      <c r="C2360" s="347" t="s">
        <v>782</v>
      </c>
      <c r="D2360" s="347">
        <v>2019</v>
      </c>
      <c r="E2360" s="347" t="s">
        <v>775</v>
      </c>
      <c r="F2360" s="348">
        <v>24</v>
      </c>
      <c r="G2360" s="348">
        <v>4</v>
      </c>
      <c r="H2360" s="348">
        <v>4</v>
      </c>
      <c r="I2360" s="348">
        <v>0</v>
      </c>
      <c r="J2360" s="348">
        <v>23</v>
      </c>
      <c r="K2360" s="348">
        <v>2</v>
      </c>
      <c r="L2360" s="348">
        <v>2</v>
      </c>
      <c r="M2360" s="348">
        <v>0</v>
      </c>
      <c r="N2360" s="348">
        <v>27</v>
      </c>
      <c r="O2360" s="348">
        <v>4</v>
      </c>
      <c r="P2360" s="348">
        <v>63</v>
      </c>
      <c r="Q2360" s="348">
        <v>49</v>
      </c>
      <c r="R2360" s="350">
        <f t="shared" si="270"/>
        <v>137</v>
      </c>
      <c r="S2360" s="348">
        <f t="shared" si="271"/>
        <v>59</v>
      </c>
      <c r="T2360" s="348"/>
      <c r="U2360" s="348"/>
      <c r="V2360" s="348"/>
      <c r="W2360" s="349"/>
      <c r="X2360" s="349"/>
    </row>
    <row r="2361" spans="1:24" ht="12.75">
      <c r="A2361" s="346" t="s">
        <v>701</v>
      </c>
      <c r="B2361" s="347" t="s">
        <v>193</v>
      </c>
      <c r="C2361" s="347" t="s">
        <v>782</v>
      </c>
      <c r="D2361" s="347">
        <v>2019</v>
      </c>
      <c r="E2361" s="347" t="s">
        <v>775</v>
      </c>
      <c r="F2361" s="348">
        <v>126</v>
      </c>
      <c r="G2361" s="348">
        <v>0</v>
      </c>
      <c r="H2361" s="348">
        <v>0</v>
      </c>
      <c r="I2361" s="348">
        <v>0</v>
      </c>
      <c r="J2361" s="348">
        <v>37</v>
      </c>
      <c r="K2361" s="348">
        <v>63</v>
      </c>
      <c r="L2361" s="348">
        <v>0</v>
      </c>
      <c r="M2361" s="348">
        <v>63</v>
      </c>
      <c r="N2361" s="348">
        <v>160</v>
      </c>
      <c r="O2361" s="348">
        <v>82</v>
      </c>
      <c r="P2361" s="348">
        <v>192</v>
      </c>
      <c r="Q2361" s="348">
        <v>394</v>
      </c>
      <c r="R2361" s="350">
        <f t="shared" si="270"/>
        <v>515</v>
      </c>
      <c r="S2361" s="348">
        <f t="shared" si="271"/>
        <v>539</v>
      </c>
      <c r="T2361" s="373"/>
      <c r="U2361" s="373"/>
      <c r="V2361" s="373"/>
      <c r="W2361" s="373"/>
      <c r="X2361" s="373"/>
    </row>
    <row r="2362" spans="1:24" ht="12.75">
      <c r="A2362" s="346" t="s">
        <v>702</v>
      </c>
      <c r="B2362" s="347" t="s">
        <v>193</v>
      </c>
      <c r="C2362" s="347" t="s">
        <v>782</v>
      </c>
      <c r="D2362" s="347">
        <v>2019</v>
      </c>
      <c r="E2362" s="347" t="s">
        <v>775</v>
      </c>
      <c r="F2362" s="348">
        <v>120</v>
      </c>
      <c r="G2362" s="348">
        <v>30</v>
      </c>
      <c r="H2362" s="348">
        <v>30</v>
      </c>
      <c r="I2362" s="348">
        <v>0</v>
      </c>
      <c r="J2362" s="348">
        <v>65</v>
      </c>
      <c r="K2362" s="348">
        <v>29</v>
      </c>
      <c r="L2362" s="348">
        <v>29</v>
      </c>
      <c r="M2362" s="348">
        <v>0</v>
      </c>
      <c r="N2362" s="348">
        <v>67</v>
      </c>
      <c r="O2362" s="348">
        <v>1</v>
      </c>
      <c r="P2362" s="348">
        <v>188</v>
      </c>
      <c r="Q2362" s="348">
        <v>23</v>
      </c>
      <c r="R2362" s="350">
        <f t="shared" si="270"/>
        <v>440</v>
      </c>
      <c r="S2362" s="348">
        <f t="shared" si="271"/>
        <v>83</v>
      </c>
      <c r="T2362" s="410">
        <f>SUM(G2353:G2362)</f>
        <v>49</v>
      </c>
      <c r="U2362" s="410">
        <f>SUM(K2353:K2362)</f>
        <v>117</v>
      </c>
      <c r="V2362" s="410">
        <f>SUM(O2353:O2362)</f>
        <v>196</v>
      </c>
      <c r="W2362" s="410">
        <f>SUM(Q2353:Q2362)</f>
        <v>1312</v>
      </c>
      <c r="X2362" s="410">
        <f>T2362+U2362+V2362+W2362</f>
        <v>1674</v>
      </c>
    </row>
    <row r="2363" spans="1:24" ht="12.75">
      <c r="A2363" s="444"/>
      <c r="B2363" s="445"/>
      <c r="C2363" s="445"/>
      <c r="D2363" s="445"/>
      <c r="E2363" s="445"/>
      <c r="F2363" s="446"/>
      <c r="G2363" s="446"/>
      <c r="H2363" s="447"/>
      <c r="I2363" s="446"/>
      <c r="J2363" s="446"/>
      <c r="K2363" s="446"/>
      <c r="L2363" s="446"/>
      <c r="M2363" s="446"/>
      <c r="N2363" s="446"/>
      <c r="O2363" s="446"/>
      <c r="P2363" s="446"/>
      <c r="Q2363" s="447"/>
      <c r="R2363" s="393"/>
      <c r="S2363" s="361" t="s">
        <v>783</v>
      </c>
      <c r="T2363" s="448">
        <f t="shared" ref="T2363:X2363" si="272">SUM(T2309:T2362)</f>
        <v>434</v>
      </c>
      <c r="U2363" s="448">
        <f t="shared" si="272"/>
        <v>609</v>
      </c>
      <c r="V2363" s="448">
        <f t="shared" si="272"/>
        <v>685</v>
      </c>
      <c r="W2363" s="448">
        <f t="shared" si="272"/>
        <v>4593</v>
      </c>
      <c r="X2363" s="448">
        <f t="shared" si="272"/>
        <v>6321</v>
      </c>
    </row>
    <row r="2364" spans="1:24" ht="12.75">
      <c r="A2364" s="449"/>
      <c r="B2364" s="450"/>
      <c r="C2364" s="450"/>
      <c r="D2364" s="450"/>
      <c r="E2364" s="450"/>
      <c r="F2364" s="451"/>
      <c r="G2364" s="451"/>
      <c r="H2364" s="452"/>
      <c r="I2364" s="451"/>
      <c r="J2364" s="451"/>
      <c r="K2364" s="451"/>
      <c r="L2364" s="451"/>
      <c r="M2364" s="451"/>
      <c r="N2364" s="451"/>
      <c r="O2364" s="451"/>
      <c r="P2364" s="451"/>
      <c r="Q2364" s="452"/>
      <c r="R2364" s="182"/>
      <c r="S2364" s="362"/>
      <c r="T2364" s="97"/>
      <c r="U2364" s="97"/>
      <c r="V2364" s="97"/>
      <c r="W2364" s="97"/>
      <c r="X2364" s="97"/>
    </row>
    <row r="2365" spans="1:24" ht="12.75">
      <c r="A2365" s="422" t="s">
        <v>895</v>
      </c>
      <c r="B2365" s="423" t="s">
        <v>195</v>
      </c>
      <c r="C2365" s="423" t="s">
        <v>177</v>
      </c>
      <c r="D2365" s="423">
        <v>2015</v>
      </c>
      <c r="E2365" s="423" t="s">
        <v>775</v>
      </c>
      <c r="F2365" s="424">
        <v>53</v>
      </c>
      <c r="G2365" s="424">
        <v>0</v>
      </c>
      <c r="H2365" s="425">
        <v>0</v>
      </c>
      <c r="I2365" s="424">
        <v>0</v>
      </c>
      <c r="J2365" s="424">
        <v>34</v>
      </c>
      <c r="K2365" s="424">
        <v>0</v>
      </c>
      <c r="L2365" s="424">
        <v>0</v>
      </c>
      <c r="M2365" s="424">
        <v>0</v>
      </c>
      <c r="N2365" s="424">
        <v>38</v>
      </c>
      <c r="O2365" s="424">
        <v>0</v>
      </c>
      <c r="P2365" s="424">
        <v>93</v>
      </c>
      <c r="Q2365" s="425">
        <v>32</v>
      </c>
      <c r="R2365" s="319">
        <f t="shared" ref="R2365:R2399" si="273">F2365+J2365+N2365+P2365</f>
        <v>218</v>
      </c>
      <c r="S2365" s="364">
        <f t="shared" ref="S2365:S2399" si="274">K2365+O2365+G2365+Q2365</f>
        <v>32</v>
      </c>
      <c r="T2365" s="426"/>
      <c r="U2365" s="426"/>
      <c r="V2365" s="426"/>
      <c r="W2365" s="426"/>
      <c r="X2365" s="426"/>
    </row>
    <row r="2366" spans="1:24" ht="12.75">
      <c r="A2366" s="422" t="s">
        <v>896</v>
      </c>
      <c r="B2366" s="423" t="s">
        <v>195</v>
      </c>
      <c r="C2366" s="423" t="s">
        <v>177</v>
      </c>
      <c r="D2366" s="423">
        <v>2015</v>
      </c>
      <c r="E2366" s="423" t="s">
        <v>775</v>
      </c>
      <c r="F2366" s="424">
        <v>1546</v>
      </c>
      <c r="G2366" s="424">
        <v>0</v>
      </c>
      <c r="H2366" s="425">
        <v>0</v>
      </c>
      <c r="I2366" s="424">
        <v>0</v>
      </c>
      <c r="J2366" s="424">
        <v>991</v>
      </c>
      <c r="K2366" s="424">
        <v>0</v>
      </c>
      <c r="L2366" s="424">
        <v>0</v>
      </c>
      <c r="M2366" s="424">
        <v>0</v>
      </c>
      <c r="N2366" s="424">
        <v>1100</v>
      </c>
      <c r="O2366" s="424">
        <v>0</v>
      </c>
      <c r="P2366" s="424">
        <v>2724</v>
      </c>
      <c r="Q2366" s="425">
        <v>18</v>
      </c>
      <c r="R2366" s="319">
        <f t="shared" si="273"/>
        <v>6361</v>
      </c>
      <c r="S2366" s="364">
        <f t="shared" si="274"/>
        <v>18</v>
      </c>
      <c r="T2366" s="426"/>
      <c r="U2366" s="426"/>
      <c r="V2366" s="426"/>
      <c r="W2366" s="426"/>
      <c r="X2366" s="426"/>
    </row>
    <row r="2367" spans="1:24" ht="12.75">
      <c r="A2367" s="422" t="s">
        <v>897</v>
      </c>
      <c r="B2367" s="423" t="s">
        <v>195</v>
      </c>
      <c r="C2367" s="423" t="s">
        <v>177</v>
      </c>
      <c r="D2367" s="423">
        <v>2015</v>
      </c>
      <c r="E2367" s="423" t="s">
        <v>775</v>
      </c>
      <c r="F2367" s="424">
        <v>321</v>
      </c>
      <c r="G2367" s="424">
        <v>0</v>
      </c>
      <c r="H2367" s="425">
        <v>0</v>
      </c>
      <c r="I2367" s="424">
        <v>0</v>
      </c>
      <c r="J2367" s="424">
        <v>206</v>
      </c>
      <c r="K2367" s="424">
        <v>0</v>
      </c>
      <c r="L2367" s="424">
        <v>0</v>
      </c>
      <c r="M2367" s="424">
        <v>0</v>
      </c>
      <c r="N2367" s="424">
        <v>217</v>
      </c>
      <c r="O2367" s="424">
        <v>0</v>
      </c>
      <c r="P2367" s="424">
        <v>536</v>
      </c>
      <c r="Q2367" s="425">
        <v>52</v>
      </c>
      <c r="R2367" s="319">
        <f t="shared" si="273"/>
        <v>1280</v>
      </c>
      <c r="S2367" s="364">
        <f t="shared" si="274"/>
        <v>52</v>
      </c>
      <c r="T2367" s="426"/>
      <c r="U2367" s="426"/>
      <c r="V2367" s="426"/>
      <c r="W2367" s="426"/>
      <c r="X2367" s="426"/>
    </row>
    <row r="2368" spans="1:24" ht="12.75">
      <c r="A2368" s="422" t="s">
        <v>898</v>
      </c>
      <c r="B2368" s="423" t="s">
        <v>195</v>
      </c>
      <c r="C2368" s="423" t="s">
        <v>177</v>
      </c>
      <c r="D2368" s="423">
        <v>2015</v>
      </c>
      <c r="E2368" s="423" t="s">
        <v>775</v>
      </c>
      <c r="F2368" s="424">
        <v>538</v>
      </c>
      <c r="G2368" s="424">
        <v>0</v>
      </c>
      <c r="H2368" s="425">
        <v>0</v>
      </c>
      <c r="I2368" s="424">
        <v>0</v>
      </c>
      <c r="J2368" s="424">
        <v>345</v>
      </c>
      <c r="K2368" s="424">
        <v>0</v>
      </c>
      <c r="L2368" s="424">
        <v>0</v>
      </c>
      <c r="M2368" s="424">
        <v>0</v>
      </c>
      <c r="N2368" s="424">
        <v>391</v>
      </c>
      <c r="O2368" s="424">
        <v>30</v>
      </c>
      <c r="P2368" s="424">
        <v>967</v>
      </c>
      <c r="Q2368" s="425">
        <v>76</v>
      </c>
      <c r="R2368" s="319">
        <f t="shared" si="273"/>
        <v>2241</v>
      </c>
      <c r="S2368" s="364">
        <f t="shared" si="274"/>
        <v>106</v>
      </c>
      <c r="T2368" s="426"/>
      <c r="U2368" s="426"/>
      <c r="V2368" s="426"/>
      <c r="W2368" s="426"/>
      <c r="X2368" s="426"/>
    </row>
    <row r="2369" spans="1:24" ht="12.75">
      <c r="A2369" s="457" t="s">
        <v>899</v>
      </c>
      <c r="B2369" s="458" t="s">
        <v>195</v>
      </c>
      <c r="C2369" s="458" t="s">
        <v>177</v>
      </c>
      <c r="D2369" s="458">
        <v>2015</v>
      </c>
      <c r="E2369" s="458" t="s">
        <v>775</v>
      </c>
      <c r="F2369" s="425">
        <v>877</v>
      </c>
      <c r="G2369" s="424">
        <v>1</v>
      </c>
      <c r="H2369" s="425">
        <v>1</v>
      </c>
      <c r="I2369" s="425">
        <v>0</v>
      </c>
      <c r="J2369" s="424">
        <v>562</v>
      </c>
      <c r="K2369" s="424">
        <v>3</v>
      </c>
      <c r="L2369" s="425">
        <v>3</v>
      </c>
      <c r="M2369" s="425">
        <v>0</v>
      </c>
      <c r="N2369" s="425">
        <v>627</v>
      </c>
      <c r="O2369" s="425">
        <v>41</v>
      </c>
      <c r="P2369" s="425">
        <v>1552</v>
      </c>
      <c r="Q2369" s="425">
        <v>15</v>
      </c>
      <c r="R2369" s="319">
        <f t="shared" si="273"/>
        <v>3618</v>
      </c>
      <c r="S2369" s="364">
        <f t="shared" si="274"/>
        <v>60</v>
      </c>
      <c r="T2369" s="427">
        <f>SUM(G2365:G2369)</f>
        <v>1</v>
      </c>
      <c r="U2369" s="427">
        <f>SUM(K2365:K2369)</f>
        <v>3</v>
      </c>
      <c r="V2369" s="427">
        <f>SUM(O2365:O2369)</f>
        <v>71</v>
      </c>
      <c r="W2369" s="427">
        <f>SUM(Q2365:Q2369)</f>
        <v>193</v>
      </c>
      <c r="X2369" s="427">
        <f>T2369+U2369+V2369+W2369</f>
        <v>268</v>
      </c>
    </row>
    <row r="2370" spans="1:24" ht="12.75">
      <c r="A2370" s="428" t="s">
        <v>703</v>
      </c>
      <c r="B2370" s="429" t="s">
        <v>195</v>
      </c>
      <c r="C2370" s="429" t="s">
        <v>177</v>
      </c>
      <c r="D2370" s="429">
        <v>2016</v>
      </c>
      <c r="E2370" s="429" t="s">
        <v>775</v>
      </c>
      <c r="F2370" s="430">
        <v>622</v>
      </c>
      <c r="G2370" s="430">
        <v>0</v>
      </c>
      <c r="H2370" s="431">
        <v>0</v>
      </c>
      <c r="I2370" s="430">
        <v>0</v>
      </c>
      <c r="J2370" s="430">
        <v>399</v>
      </c>
      <c r="K2370" s="430">
        <v>0</v>
      </c>
      <c r="L2370" s="430">
        <v>0</v>
      </c>
      <c r="M2370" s="430">
        <v>0</v>
      </c>
      <c r="N2370" s="430">
        <v>446</v>
      </c>
      <c r="O2370" s="430">
        <v>0</v>
      </c>
      <c r="P2370" s="430">
        <v>1104</v>
      </c>
      <c r="Q2370" s="431">
        <v>0</v>
      </c>
      <c r="R2370" s="328">
        <f t="shared" si="273"/>
        <v>2571</v>
      </c>
      <c r="S2370" s="365">
        <f t="shared" si="274"/>
        <v>0</v>
      </c>
      <c r="T2370" s="432"/>
      <c r="U2370" s="432"/>
      <c r="V2370" s="432"/>
      <c r="W2370" s="432"/>
      <c r="X2370" s="432"/>
    </row>
    <row r="2371" spans="1:24" ht="12.75">
      <c r="A2371" s="428" t="s">
        <v>704</v>
      </c>
      <c r="B2371" s="429" t="s">
        <v>195</v>
      </c>
      <c r="C2371" s="429" t="s">
        <v>177</v>
      </c>
      <c r="D2371" s="429">
        <v>2016</v>
      </c>
      <c r="E2371" s="429" t="s">
        <v>775</v>
      </c>
      <c r="F2371" s="430">
        <v>53</v>
      </c>
      <c r="G2371" s="430">
        <v>0</v>
      </c>
      <c r="H2371" s="431">
        <v>0</v>
      </c>
      <c r="I2371" s="430">
        <v>0</v>
      </c>
      <c r="J2371" s="430">
        <v>34</v>
      </c>
      <c r="K2371" s="430">
        <v>0</v>
      </c>
      <c r="L2371" s="430">
        <v>0</v>
      </c>
      <c r="M2371" s="430">
        <v>0</v>
      </c>
      <c r="N2371" s="430">
        <v>38</v>
      </c>
      <c r="O2371" s="430">
        <v>0</v>
      </c>
      <c r="P2371" s="430">
        <v>93</v>
      </c>
      <c r="Q2371" s="431">
        <v>15</v>
      </c>
      <c r="R2371" s="328">
        <f t="shared" si="273"/>
        <v>218</v>
      </c>
      <c r="S2371" s="365">
        <f t="shared" si="274"/>
        <v>15</v>
      </c>
      <c r="T2371" s="432"/>
      <c r="U2371" s="432"/>
      <c r="V2371" s="432"/>
      <c r="W2371" s="432"/>
      <c r="X2371" s="432"/>
    </row>
    <row r="2372" spans="1:24" ht="12.75">
      <c r="A2372" s="428" t="s">
        <v>705</v>
      </c>
      <c r="B2372" s="429" t="s">
        <v>195</v>
      </c>
      <c r="C2372" s="429" t="s">
        <v>177</v>
      </c>
      <c r="D2372" s="429">
        <v>2016</v>
      </c>
      <c r="E2372" s="429" t="s">
        <v>775</v>
      </c>
      <c r="F2372" s="430">
        <v>1546</v>
      </c>
      <c r="G2372" s="430">
        <v>0</v>
      </c>
      <c r="H2372" s="431">
        <v>0</v>
      </c>
      <c r="I2372" s="430">
        <v>0</v>
      </c>
      <c r="J2372" s="430">
        <v>991</v>
      </c>
      <c r="K2372" s="430">
        <v>50</v>
      </c>
      <c r="L2372" s="430">
        <v>50</v>
      </c>
      <c r="M2372" s="430">
        <v>0</v>
      </c>
      <c r="N2372" s="430">
        <v>1100</v>
      </c>
      <c r="O2372" s="430">
        <v>56</v>
      </c>
      <c r="P2372" s="430">
        <v>2724</v>
      </c>
      <c r="Q2372" s="431">
        <v>150</v>
      </c>
      <c r="R2372" s="328">
        <f t="shared" si="273"/>
        <v>6361</v>
      </c>
      <c r="S2372" s="365">
        <f t="shared" si="274"/>
        <v>256</v>
      </c>
      <c r="T2372" s="432"/>
      <c r="U2372" s="432"/>
      <c r="V2372" s="432"/>
      <c r="W2372" s="432"/>
      <c r="X2372" s="432"/>
    </row>
    <row r="2373" spans="1:24" ht="12.75">
      <c r="A2373" s="428" t="s">
        <v>707</v>
      </c>
      <c r="B2373" s="429" t="s">
        <v>195</v>
      </c>
      <c r="C2373" s="429" t="s">
        <v>177</v>
      </c>
      <c r="D2373" s="429">
        <v>2016</v>
      </c>
      <c r="E2373" s="429" t="s">
        <v>775</v>
      </c>
      <c r="F2373" s="430">
        <v>315</v>
      </c>
      <c r="G2373" s="430">
        <v>0</v>
      </c>
      <c r="H2373" s="431">
        <v>0</v>
      </c>
      <c r="I2373" s="430">
        <v>0</v>
      </c>
      <c r="J2373" s="430">
        <v>202</v>
      </c>
      <c r="K2373" s="430">
        <v>0</v>
      </c>
      <c r="L2373" s="430">
        <v>0</v>
      </c>
      <c r="M2373" s="430">
        <v>0</v>
      </c>
      <c r="N2373" s="430">
        <v>210</v>
      </c>
      <c r="O2373" s="430">
        <v>4</v>
      </c>
      <c r="P2373" s="430">
        <v>520</v>
      </c>
      <c r="Q2373" s="431">
        <v>101</v>
      </c>
      <c r="R2373" s="328">
        <f t="shared" si="273"/>
        <v>1247</v>
      </c>
      <c r="S2373" s="365">
        <f t="shared" si="274"/>
        <v>105</v>
      </c>
      <c r="T2373" s="432"/>
      <c r="U2373" s="432"/>
      <c r="V2373" s="432"/>
      <c r="W2373" s="432"/>
      <c r="X2373" s="432"/>
    </row>
    <row r="2374" spans="1:24" ht="12.75">
      <c r="A2374" s="428" t="s">
        <v>709</v>
      </c>
      <c r="B2374" s="429" t="s">
        <v>195</v>
      </c>
      <c r="C2374" s="429" t="s">
        <v>177</v>
      </c>
      <c r="D2374" s="429">
        <v>2016</v>
      </c>
      <c r="E2374" s="429" t="s">
        <v>775</v>
      </c>
      <c r="F2374" s="430">
        <v>321</v>
      </c>
      <c r="G2374" s="430">
        <v>33</v>
      </c>
      <c r="H2374" s="431">
        <v>33</v>
      </c>
      <c r="I2374" s="430">
        <v>0</v>
      </c>
      <c r="J2374" s="430">
        <v>206</v>
      </c>
      <c r="K2374" s="430">
        <v>38</v>
      </c>
      <c r="L2374" s="430">
        <v>38</v>
      </c>
      <c r="M2374" s="430">
        <v>0</v>
      </c>
      <c r="N2374" s="430">
        <v>217</v>
      </c>
      <c r="O2374" s="430">
        <v>0</v>
      </c>
      <c r="P2374" s="430">
        <v>536</v>
      </c>
      <c r="Q2374" s="431">
        <v>0</v>
      </c>
      <c r="R2374" s="328">
        <f t="shared" si="273"/>
        <v>1280</v>
      </c>
      <c r="S2374" s="365">
        <f t="shared" si="274"/>
        <v>71</v>
      </c>
      <c r="T2374" s="432"/>
      <c r="U2374" s="432"/>
      <c r="V2374" s="432"/>
      <c r="W2374" s="432"/>
      <c r="X2374" s="432"/>
    </row>
    <row r="2375" spans="1:24" ht="12.75">
      <c r="A2375" s="428" t="s">
        <v>710</v>
      </c>
      <c r="B2375" s="429" t="s">
        <v>195</v>
      </c>
      <c r="C2375" s="429" t="s">
        <v>177</v>
      </c>
      <c r="D2375" s="429">
        <v>2016</v>
      </c>
      <c r="E2375" s="429" t="s">
        <v>775</v>
      </c>
      <c r="F2375" s="430">
        <v>538</v>
      </c>
      <c r="G2375" s="430">
        <v>0</v>
      </c>
      <c r="H2375" s="431">
        <v>0</v>
      </c>
      <c r="I2375" s="430">
        <v>0</v>
      </c>
      <c r="J2375" s="430">
        <v>345</v>
      </c>
      <c r="K2375" s="430">
        <v>10</v>
      </c>
      <c r="L2375" s="430">
        <v>0</v>
      </c>
      <c r="M2375" s="430">
        <v>10</v>
      </c>
      <c r="N2375" s="430">
        <v>391</v>
      </c>
      <c r="O2375" s="430">
        <v>3</v>
      </c>
      <c r="P2375" s="430">
        <v>967</v>
      </c>
      <c r="Q2375" s="431">
        <v>121</v>
      </c>
      <c r="R2375" s="328">
        <f t="shared" si="273"/>
        <v>2241</v>
      </c>
      <c r="S2375" s="365">
        <f t="shared" si="274"/>
        <v>134</v>
      </c>
      <c r="T2375" s="432"/>
      <c r="U2375" s="432"/>
      <c r="V2375" s="432"/>
      <c r="W2375" s="432"/>
      <c r="X2375" s="432"/>
    </row>
    <row r="2376" spans="1:24" ht="12.75">
      <c r="A2376" s="459" t="s">
        <v>711</v>
      </c>
      <c r="B2376" s="460" t="s">
        <v>195</v>
      </c>
      <c r="C2376" s="460" t="s">
        <v>177</v>
      </c>
      <c r="D2376" s="460">
        <v>2016</v>
      </c>
      <c r="E2376" s="460" t="s">
        <v>775</v>
      </c>
      <c r="F2376" s="431">
        <v>877</v>
      </c>
      <c r="G2376" s="430">
        <v>1</v>
      </c>
      <c r="H2376" s="431">
        <v>1</v>
      </c>
      <c r="I2376" s="431">
        <v>0</v>
      </c>
      <c r="J2376" s="430">
        <v>562</v>
      </c>
      <c r="K2376" s="430">
        <v>120</v>
      </c>
      <c r="L2376" s="431">
        <v>120</v>
      </c>
      <c r="M2376" s="431">
        <v>0</v>
      </c>
      <c r="N2376" s="431">
        <v>627</v>
      </c>
      <c r="O2376" s="431">
        <v>547</v>
      </c>
      <c r="P2376" s="431">
        <v>1552</v>
      </c>
      <c r="Q2376" s="431">
        <v>13</v>
      </c>
      <c r="R2376" s="328">
        <f t="shared" si="273"/>
        <v>3618</v>
      </c>
      <c r="S2376" s="365">
        <f t="shared" si="274"/>
        <v>681</v>
      </c>
      <c r="T2376" s="413">
        <f>SUM(G2370:G2376)</f>
        <v>34</v>
      </c>
      <c r="U2376" s="413">
        <f>SUM(K2370:K2376)</f>
        <v>218</v>
      </c>
      <c r="V2376" s="413">
        <f>SUM(O2370:O2376)</f>
        <v>610</v>
      </c>
      <c r="W2376" s="413">
        <f>SUM(Q2370:Q2376)</f>
        <v>400</v>
      </c>
      <c r="X2376" s="413">
        <f>T2376+U2376+V2376+W2376</f>
        <v>1262</v>
      </c>
    </row>
    <row r="2377" spans="1:24" ht="12.75">
      <c r="A2377" s="433" t="s">
        <v>703</v>
      </c>
      <c r="B2377" s="453" t="s">
        <v>195</v>
      </c>
      <c r="C2377" s="434" t="s">
        <v>177</v>
      </c>
      <c r="D2377" s="434">
        <v>2017</v>
      </c>
      <c r="E2377" s="434" t="s">
        <v>775</v>
      </c>
      <c r="F2377" s="435">
        <v>622</v>
      </c>
      <c r="G2377" s="435">
        <v>0</v>
      </c>
      <c r="H2377" s="436">
        <v>0</v>
      </c>
      <c r="I2377" s="435">
        <v>0</v>
      </c>
      <c r="J2377" s="435">
        <v>399</v>
      </c>
      <c r="K2377" s="435">
        <v>0</v>
      </c>
      <c r="L2377" s="435">
        <v>0</v>
      </c>
      <c r="M2377" s="435">
        <v>0</v>
      </c>
      <c r="N2377" s="435">
        <v>446</v>
      </c>
      <c r="O2377" s="435">
        <v>5</v>
      </c>
      <c r="P2377" s="435">
        <v>1104</v>
      </c>
      <c r="Q2377" s="436">
        <v>0</v>
      </c>
      <c r="R2377" s="336">
        <f t="shared" si="273"/>
        <v>2571</v>
      </c>
      <c r="S2377" s="366">
        <f t="shared" si="274"/>
        <v>5</v>
      </c>
      <c r="T2377" s="437"/>
      <c r="U2377" s="437"/>
      <c r="V2377" s="437"/>
      <c r="W2377" s="437"/>
      <c r="X2377" s="437"/>
    </row>
    <row r="2378" spans="1:24" ht="12.75">
      <c r="A2378" s="433" t="s">
        <v>704</v>
      </c>
      <c r="B2378" s="434" t="s">
        <v>195</v>
      </c>
      <c r="C2378" s="434" t="s">
        <v>177</v>
      </c>
      <c r="D2378" s="434">
        <v>2017</v>
      </c>
      <c r="E2378" s="434" t="s">
        <v>775</v>
      </c>
      <c r="F2378" s="435">
        <v>53</v>
      </c>
      <c r="G2378" s="435">
        <v>0</v>
      </c>
      <c r="H2378" s="436">
        <v>0</v>
      </c>
      <c r="I2378" s="435">
        <v>0</v>
      </c>
      <c r="J2378" s="435">
        <v>34</v>
      </c>
      <c r="K2378" s="435">
        <v>0</v>
      </c>
      <c r="L2378" s="435">
        <v>0</v>
      </c>
      <c r="M2378" s="435">
        <v>0</v>
      </c>
      <c r="N2378" s="435">
        <v>38</v>
      </c>
      <c r="O2378" s="435">
        <v>0</v>
      </c>
      <c r="P2378" s="435">
        <v>93</v>
      </c>
      <c r="Q2378" s="436">
        <v>16</v>
      </c>
      <c r="R2378" s="336">
        <f t="shared" si="273"/>
        <v>218</v>
      </c>
      <c r="S2378" s="366">
        <f t="shared" si="274"/>
        <v>16</v>
      </c>
      <c r="T2378" s="437"/>
      <c r="U2378" s="437"/>
      <c r="V2378" s="437"/>
      <c r="W2378" s="437"/>
      <c r="X2378" s="437"/>
    </row>
    <row r="2379" spans="1:24" ht="12.75">
      <c r="A2379" s="433" t="s">
        <v>705</v>
      </c>
      <c r="B2379" s="434" t="s">
        <v>195</v>
      </c>
      <c r="C2379" s="434" t="s">
        <v>177</v>
      </c>
      <c r="D2379" s="434">
        <v>2017</v>
      </c>
      <c r="E2379" s="434" t="s">
        <v>775</v>
      </c>
      <c r="F2379" s="435">
        <v>1546</v>
      </c>
      <c r="G2379" s="435">
        <v>0</v>
      </c>
      <c r="H2379" s="436">
        <v>0</v>
      </c>
      <c r="I2379" s="435">
        <v>0</v>
      </c>
      <c r="J2379" s="435">
        <v>991</v>
      </c>
      <c r="K2379" s="435">
        <v>0</v>
      </c>
      <c r="L2379" s="435">
        <v>0</v>
      </c>
      <c r="M2379" s="435">
        <v>0</v>
      </c>
      <c r="N2379" s="435">
        <v>1100</v>
      </c>
      <c r="O2379" s="435">
        <v>3</v>
      </c>
      <c r="P2379" s="435">
        <v>2724</v>
      </c>
      <c r="Q2379" s="436">
        <v>137</v>
      </c>
      <c r="R2379" s="336">
        <f t="shared" si="273"/>
        <v>6361</v>
      </c>
      <c r="S2379" s="366">
        <f t="shared" si="274"/>
        <v>140</v>
      </c>
      <c r="T2379" s="437"/>
      <c r="U2379" s="437"/>
      <c r="V2379" s="437"/>
      <c r="W2379" s="437"/>
      <c r="X2379" s="437"/>
    </row>
    <row r="2380" spans="1:24" ht="12.75">
      <c r="A2380" s="433" t="s">
        <v>707</v>
      </c>
      <c r="B2380" s="434" t="s">
        <v>195</v>
      </c>
      <c r="C2380" s="434" t="s">
        <v>177</v>
      </c>
      <c r="D2380" s="434">
        <v>2017</v>
      </c>
      <c r="E2380" s="434" t="s">
        <v>775</v>
      </c>
      <c r="F2380" s="435">
        <v>315</v>
      </c>
      <c r="G2380" s="435">
        <v>0</v>
      </c>
      <c r="H2380" s="436">
        <v>0</v>
      </c>
      <c r="I2380" s="435">
        <v>0</v>
      </c>
      <c r="J2380" s="435">
        <v>202</v>
      </c>
      <c r="K2380" s="435">
        <v>0</v>
      </c>
      <c r="L2380" s="435">
        <v>0</v>
      </c>
      <c r="M2380" s="435">
        <v>0</v>
      </c>
      <c r="N2380" s="435">
        <v>210</v>
      </c>
      <c r="O2380" s="435">
        <v>76</v>
      </c>
      <c r="P2380" s="435">
        <v>520</v>
      </c>
      <c r="Q2380" s="436">
        <v>34</v>
      </c>
      <c r="R2380" s="336">
        <f t="shared" si="273"/>
        <v>1247</v>
      </c>
      <c r="S2380" s="366">
        <f t="shared" si="274"/>
        <v>110</v>
      </c>
      <c r="T2380" s="437"/>
      <c r="U2380" s="437"/>
      <c r="V2380" s="437"/>
      <c r="W2380" s="437"/>
      <c r="X2380" s="437"/>
    </row>
    <row r="2381" spans="1:24" ht="12.75">
      <c r="A2381" s="433" t="s">
        <v>709</v>
      </c>
      <c r="B2381" s="434" t="s">
        <v>195</v>
      </c>
      <c r="C2381" s="434" t="s">
        <v>177</v>
      </c>
      <c r="D2381" s="434">
        <v>2017</v>
      </c>
      <c r="E2381" s="434" t="s">
        <v>775</v>
      </c>
      <c r="F2381" s="435">
        <v>321</v>
      </c>
      <c r="G2381" s="435">
        <v>0</v>
      </c>
      <c r="H2381" s="436">
        <v>0</v>
      </c>
      <c r="I2381" s="435">
        <v>0</v>
      </c>
      <c r="J2381" s="435">
        <v>206</v>
      </c>
      <c r="K2381" s="435">
        <v>0</v>
      </c>
      <c r="L2381" s="435">
        <v>0</v>
      </c>
      <c r="M2381" s="435">
        <v>0</v>
      </c>
      <c r="N2381" s="435">
        <v>217</v>
      </c>
      <c r="O2381" s="435">
        <v>0</v>
      </c>
      <c r="P2381" s="435">
        <v>536</v>
      </c>
      <c r="Q2381" s="436">
        <v>13</v>
      </c>
      <c r="R2381" s="336">
        <f t="shared" si="273"/>
        <v>1280</v>
      </c>
      <c r="S2381" s="366">
        <f t="shared" si="274"/>
        <v>13</v>
      </c>
      <c r="T2381" s="437"/>
      <c r="U2381" s="437"/>
      <c r="V2381" s="437"/>
      <c r="W2381" s="437"/>
      <c r="X2381" s="437"/>
    </row>
    <row r="2382" spans="1:24" ht="12.75">
      <c r="A2382" s="433" t="s">
        <v>710</v>
      </c>
      <c r="B2382" s="434" t="s">
        <v>195</v>
      </c>
      <c r="C2382" s="434" t="s">
        <v>177</v>
      </c>
      <c r="D2382" s="434">
        <v>2017</v>
      </c>
      <c r="E2382" s="434" t="s">
        <v>775</v>
      </c>
      <c r="F2382" s="435">
        <v>538</v>
      </c>
      <c r="G2382" s="435">
        <v>0</v>
      </c>
      <c r="H2382" s="436">
        <v>0</v>
      </c>
      <c r="I2382" s="435">
        <v>0</v>
      </c>
      <c r="J2382" s="435">
        <v>345</v>
      </c>
      <c r="K2382" s="435">
        <v>0</v>
      </c>
      <c r="L2382" s="435">
        <v>0</v>
      </c>
      <c r="M2382" s="435">
        <v>0</v>
      </c>
      <c r="N2382" s="435">
        <v>391</v>
      </c>
      <c r="O2382" s="435">
        <v>11</v>
      </c>
      <c r="P2382" s="435">
        <v>967</v>
      </c>
      <c r="Q2382" s="436">
        <v>120</v>
      </c>
      <c r="R2382" s="336">
        <f t="shared" si="273"/>
        <v>2241</v>
      </c>
      <c r="S2382" s="366">
        <f t="shared" si="274"/>
        <v>131</v>
      </c>
      <c r="T2382" s="437"/>
      <c r="U2382" s="437"/>
      <c r="V2382" s="437"/>
      <c r="W2382" s="437"/>
      <c r="X2382" s="437"/>
    </row>
    <row r="2383" spans="1:24" ht="12.75">
      <c r="A2383" s="461" t="s">
        <v>711</v>
      </c>
      <c r="B2383" s="462" t="s">
        <v>195</v>
      </c>
      <c r="C2383" s="462" t="s">
        <v>177</v>
      </c>
      <c r="D2383" s="462">
        <v>2017</v>
      </c>
      <c r="E2383" s="462" t="s">
        <v>775</v>
      </c>
      <c r="F2383" s="436">
        <v>877</v>
      </c>
      <c r="G2383" s="435">
        <v>0</v>
      </c>
      <c r="H2383" s="436">
        <v>0</v>
      </c>
      <c r="I2383" s="436">
        <v>0</v>
      </c>
      <c r="J2383" s="435">
        <v>562</v>
      </c>
      <c r="K2383" s="435">
        <v>0</v>
      </c>
      <c r="L2383" s="436">
        <v>0</v>
      </c>
      <c r="M2383" s="436">
        <v>0</v>
      </c>
      <c r="N2383" s="436">
        <v>627</v>
      </c>
      <c r="O2383" s="436">
        <v>3</v>
      </c>
      <c r="P2383" s="436">
        <v>1552</v>
      </c>
      <c r="Q2383" s="436">
        <v>18</v>
      </c>
      <c r="R2383" s="336">
        <f t="shared" si="273"/>
        <v>3618</v>
      </c>
      <c r="S2383" s="366">
        <f t="shared" si="274"/>
        <v>21</v>
      </c>
      <c r="T2383" s="414">
        <f>SUM(G2377:G2383)</f>
        <v>0</v>
      </c>
      <c r="U2383" s="414">
        <f>SUM(K2377:K2383)</f>
        <v>0</v>
      </c>
      <c r="V2383" s="414">
        <f>SUM(O2377:O2383)</f>
        <v>98</v>
      </c>
      <c r="W2383" s="414">
        <f>SUM(Q2377:Q2383)</f>
        <v>338</v>
      </c>
      <c r="X2383" s="414">
        <f>T2383+U2383+V2383+W2383</f>
        <v>436</v>
      </c>
    </row>
    <row r="2384" spans="1:24" ht="12.75">
      <c r="A2384" s="438" t="s">
        <v>703</v>
      </c>
      <c r="B2384" s="439" t="s">
        <v>195</v>
      </c>
      <c r="C2384" s="439" t="s">
        <v>177</v>
      </c>
      <c r="D2384" s="439">
        <v>2018</v>
      </c>
      <c r="E2384" s="439" t="s">
        <v>775</v>
      </c>
      <c r="F2384" s="440">
        <v>622</v>
      </c>
      <c r="G2384" s="441">
        <v>0</v>
      </c>
      <c r="H2384" s="440">
        <v>0</v>
      </c>
      <c r="I2384" s="440">
        <v>0</v>
      </c>
      <c r="J2384" s="440">
        <v>399</v>
      </c>
      <c r="K2384" s="441">
        <v>0</v>
      </c>
      <c r="L2384" s="440">
        <v>0</v>
      </c>
      <c r="M2384" s="440">
        <v>0</v>
      </c>
      <c r="N2384" s="440">
        <v>446</v>
      </c>
      <c r="O2384" s="440">
        <v>0</v>
      </c>
      <c r="P2384" s="440">
        <v>1104</v>
      </c>
      <c r="Q2384" s="440">
        <v>0</v>
      </c>
      <c r="R2384" s="344">
        <f t="shared" si="273"/>
        <v>2571</v>
      </c>
      <c r="S2384" s="367">
        <f t="shared" si="274"/>
        <v>0</v>
      </c>
      <c r="T2384" s="442"/>
      <c r="U2384" s="442"/>
      <c r="V2384" s="442"/>
      <c r="W2384" s="442"/>
      <c r="X2384" s="442"/>
    </row>
    <row r="2385" spans="1:24" ht="12.75">
      <c r="A2385" s="438" t="s">
        <v>704</v>
      </c>
      <c r="B2385" s="439" t="s">
        <v>195</v>
      </c>
      <c r="C2385" s="439" t="s">
        <v>177</v>
      </c>
      <c r="D2385" s="439">
        <v>2018</v>
      </c>
      <c r="E2385" s="439" t="s">
        <v>775</v>
      </c>
      <c r="F2385" s="440">
        <v>53</v>
      </c>
      <c r="G2385" s="441">
        <v>0</v>
      </c>
      <c r="H2385" s="440">
        <v>0</v>
      </c>
      <c r="I2385" s="440">
        <v>0</v>
      </c>
      <c r="J2385" s="440">
        <v>34</v>
      </c>
      <c r="K2385" s="441">
        <v>0</v>
      </c>
      <c r="L2385" s="440">
        <v>0</v>
      </c>
      <c r="M2385" s="440">
        <v>0</v>
      </c>
      <c r="N2385" s="440">
        <v>38</v>
      </c>
      <c r="O2385" s="440">
        <v>0</v>
      </c>
      <c r="P2385" s="440">
        <v>93</v>
      </c>
      <c r="Q2385" s="440">
        <v>8</v>
      </c>
      <c r="R2385" s="344">
        <f t="shared" si="273"/>
        <v>218</v>
      </c>
      <c r="S2385" s="367">
        <f t="shared" si="274"/>
        <v>8</v>
      </c>
      <c r="T2385" s="442"/>
      <c r="U2385" s="442"/>
      <c r="V2385" s="442"/>
      <c r="W2385" s="442"/>
      <c r="X2385" s="442"/>
    </row>
    <row r="2386" spans="1:24" ht="12.75">
      <c r="A2386" s="438" t="s">
        <v>705</v>
      </c>
      <c r="B2386" s="439" t="s">
        <v>195</v>
      </c>
      <c r="C2386" s="439" t="s">
        <v>177</v>
      </c>
      <c r="D2386" s="439">
        <v>2018</v>
      </c>
      <c r="E2386" s="439" t="s">
        <v>775</v>
      </c>
      <c r="F2386" s="440">
        <v>1546</v>
      </c>
      <c r="G2386" s="441">
        <v>0</v>
      </c>
      <c r="H2386" s="440">
        <v>0</v>
      </c>
      <c r="I2386" s="440">
        <v>0</v>
      </c>
      <c r="J2386" s="440">
        <v>991</v>
      </c>
      <c r="K2386" s="441">
        <v>6</v>
      </c>
      <c r="L2386" s="440">
        <v>5</v>
      </c>
      <c r="M2386" s="440">
        <v>1</v>
      </c>
      <c r="N2386" s="440">
        <v>1100</v>
      </c>
      <c r="O2386" s="440">
        <v>87</v>
      </c>
      <c r="P2386" s="440">
        <v>2724</v>
      </c>
      <c r="Q2386" s="440">
        <v>120</v>
      </c>
      <c r="R2386" s="344">
        <f t="shared" si="273"/>
        <v>6361</v>
      </c>
      <c r="S2386" s="367">
        <f t="shared" si="274"/>
        <v>213</v>
      </c>
      <c r="T2386" s="442"/>
      <c r="U2386" s="442"/>
      <c r="V2386" s="442"/>
      <c r="W2386" s="442"/>
      <c r="X2386" s="442"/>
    </row>
    <row r="2387" spans="1:24" ht="12.75">
      <c r="A2387" s="438" t="s">
        <v>707</v>
      </c>
      <c r="B2387" s="439" t="s">
        <v>195</v>
      </c>
      <c r="C2387" s="439" t="s">
        <v>177</v>
      </c>
      <c r="D2387" s="439">
        <v>2018</v>
      </c>
      <c r="E2387" s="439" t="s">
        <v>775</v>
      </c>
      <c r="F2387" s="440">
        <v>315</v>
      </c>
      <c r="G2387" s="441">
        <v>0</v>
      </c>
      <c r="H2387" s="440">
        <v>0</v>
      </c>
      <c r="I2387" s="440">
        <v>0</v>
      </c>
      <c r="J2387" s="440">
        <v>202</v>
      </c>
      <c r="K2387" s="441">
        <v>1</v>
      </c>
      <c r="L2387" s="440">
        <v>0</v>
      </c>
      <c r="M2387" s="440">
        <v>1</v>
      </c>
      <c r="N2387" s="440">
        <v>210</v>
      </c>
      <c r="O2387" s="440">
        <v>4</v>
      </c>
      <c r="P2387" s="440">
        <v>520</v>
      </c>
      <c r="Q2387" s="440">
        <v>119</v>
      </c>
      <c r="R2387" s="344">
        <f t="shared" si="273"/>
        <v>1247</v>
      </c>
      <c r="S2387" s="367">
        <f t="shared" si="274"/>
        <v>124</v>
      </c>
      <c r="T2387" s="442"/>
      <c r="U2387" s="442"/>
      <c r="V2387" s="442"/>
      <c r="W2387" s="442"/>
      <c r="X2387" s="442"/>
    </row>
    <row r="2388" spans="1:24" ht="12.75">
      <c r="A2388" s="438" t="s">
        <v>709</v>
      </c>
      <c r="B2388" s="439" t="s">
        <v>195</v>
      </c>
      <c r="C2388" s="439" t="s">
        <v>177</v>
      </c>
      <c r="D2388" s="439">
        <v>2018</v>
      </c>
      <c r="E2388" s="439" t="s">
        <v>775</v>
      </c>
      <c r="F2388" s="440">
        <v>321</v>
      </c>
      <c r="G2388" s="441">
        <v>0</v>
      </c>
      <c r="H2388" s="440">
        <v>0</v>
      </c>
      <c r="I2388" s="440">
        <v>0</v>
      </c>
      <c r="J2388" s="440">
        <v>206</v>
      </c>
      <c r="K2388" s="441">
        <v>0</v>
      </c>
      <c r="L2388" s="440">
        <v>0</v>
      </c>
      <c r="M2388" s="440">
        <v>0</v>
      </c>
      <c r="N2388" s="440">
        <v>217</v>
      </c>
      <c r="O2388" s="440">
        <v>0</v>
      </c>
      <c r="P2388" s="440">
        <v>536</v>
      </c>
      <c r="Q2388" s="440">
        <v>38</v>
      </c>
      <c r="R2388" s="344">
        <f t="shared" si="273"/>
        <v>1280</v>
      </c>
      <c r="S2388" s="367">
        <f t="shared" si="274"/>
        <v>38</v>
      </c>
      <c r="T2388" s="442"/>
      <c r="U2388" s="442"/>
      <c r="V2388" s="442"/>
      <c r="W2388" s="442"/>
      <c r="X2388" s="442"/>
    </row>
    <row r="2389" spans="1:24" ht="12.75">
      <c r="A2389" s="438" t="s">
        <v>710</v>
      </c>
      <c r="B2389" s="439" t="s">
        <v>195</v>
      </c>
      <c r="C2389" s="439" t="s">
        <v>177</v>
      </c>
      <c r="D2389" s="439">
        <v>2018</v>
      </c>
      <c r="E2389" s="439" t="s">
        <v>775</v>
      </c>
      <c r="F2389" s="440">
        <v>538</v>
      </c>
      <c r="G2389" s="441">
        <v>0</v>
      </c>
      <c r="H2389" s="440">
        <v>0</v>
      </c>
      <c r="I2389" s="440">
        <v>0</v>
      </c>
      <c r="J2389" s="440">
        <v>345</v>
      </c>
      <c r="K2389" s="441">
        <v>6</v>
      </c>
      <c r="L2389" s="440">
        <v>0</v>
      </c>
      <c r="M2389" s="440">
        <v>6</v>
      </c>
      <c r="N2389" s="440">
        <v>391</v>
      </c>
      <c r="O2389" s="440">
        <v>0</v>
      </c>
      <c r="P2389" s="440">
        <v>967</v>
      </c>
      <c r="Q2389" s="440">
        <v>108</v>
      </c>
      <c r="R2389" s="344">
        <f t="shared" si="273"/>
        <v>2241</v>
      </c>
      <c r="S2389" s="367">
        <f t="shared" si="274"/>
        <v>114</v>
      </c>
      <c r="T2389" s="442"/>
      <c r="U2389" s="442"/>
      <c r="V2389" s="442"/>
      <c r="W2389" s="442"/>
      <c r="X2389" s="442"/>
    </row>
    <row r="2390" spans="1:24" ht="12.75">
      <c r="A2390" s="438" t="s">
        <v>712</v>
      </c>
      <c r="B2390" s="439" t="s">
        <v>195</v>
      </c>
      <c r="C2390" s="439" t="s">
        <v>177</v>
      </c>
      <c r="D2390" s="439">
        <v>2018</v>
      </c>
      <c r="E2390" s="439" t="s">
        <v>775</v>
      </c>
      <c r="F2390" s="440">
        <v>131</v>
      </c>
      <c r="G2390" s="441">
        <v>0</v>
      </c>
      <c r="H2390" s="440">
        <v>0</v>
      </c>
      <c r="I2390" s="440">
        <v>0</v>
      </c>
      <c r="J2390" s="440">
        <v>84</v>
      </c>
      <c r="K2390" s="441">
        <v>0</v>
      </c>
      <c r="L2390" s="440">
        <v>0</v>
      </c>
      <c r="M2390" s="440">
        <v>0</v>
      </c>
      <c r="N2390" s="440">
        <v>89</v>
      </c>
      <c r="O2390" s="440">
        <v>0</v>
      </c>
      <c r="P2390" s="440">
        <v>221</v>
      </c>
      <c r="Q2390" s="440">
        <v>8</v>
      </c>
      <c r="R2390" s="344">
        <f t="shared" si="273"/>
        <v>525</v>
      </c>
      <c r="S2390" s="367">
        <f t="shared" si="274"/>
        <v>8</v>
      </c>
      <c r="T2390" s="443">
        <f>SUM(G2384:G2390)</f>
        <v>0</v>
      </c>
      <c r="U2390" s="443">
        <f>SUM(K2384:K2390)</f>
        <v>13</v>
      </c>
      <c r="V2390" s="443">
        <f>SUM(O2384:O2390)</f>
        <v>91</v>
      </c>
      <c r="W2390" s="443">
        <f>SUM(Q2384:Q2390)</f>
        <v>401</v>
      </c>
      <c r="X2390" s="443">
        <f>T2390+U2390+V2390+W2390</f>
        <v>505</v>
      </c>
    </row>
    <row r="2391" spans="1:24" ht="12.75">
      <c r="A2391" s="346" t="s">
        <v>703</v>
      </c>
      <c r="B2391" s="347" t="s">
        <v>195</v>
      </c>
      <c r="C2391" s="347" t="s">
        <v>811</v>
      </c>
      <c r="D2391" s="347">
        <v>2019</v>
      </c>
      <c r="E2391" s="347" t="s">
        <v>775</v>
      </c>
      <c r="F2391" s="348">
        <v>622</v>
      </c>
      <c r="G2391" s="348">
        <v>0</v>
      </c>
      <c r="H2391" s="348">
        <v>0</v>
      </c>
      <c r="I2391" s="348">
        <v>0</v>
      </c>
      <c r="J2391" s="348">
        <v>399</v>
      </c>
      <c r="K2391" s="348">
        <v>0</v>
      </c>
      <c r="L2391" s="348">
        <v>0</v>
      </c>
      <c r="M2391" s="348">
        <v>0</v>
      </c>
      <c r="N2391" s="348">
        <v>446</v>
      </c>
      <c r="O2391" s="348">
        <v>6</v>
      </c>
      <c r="P2391" s="348">
        <v>1104</v>
      </c>
      <c r="Q2391" s="348">
        <v>58</v>
      </c>
      <c r="R2391" s="350">
        <f t="shared" si="273"/>
        <v>2571</v>
      </c>
      <c r="S2391" s="348">
        <f t="shared" si="274"/>
        <v>64</v>
      </c>
      <c r="T2391" s="348"/>
      <c r="U2391" s="348"/>
      <c r="V2391" s="348"/>
      <c r="W2391" s="349"/>
      <c r="X2391" s="349"/>
    </row>
    <row r="2392" spans="1:24" ht="12.75">
      <c r="A2392" s="346" t="s">
        <v>704</v>
      </c>
      <c r="B2392" s="347" t="s">
        <v>195</v>
      </c>
      <c r="C2392" s="347" t="s">
        <v>811</v>
      </c>
      <c r="D2392" s="347">
        <v>2019</v>
      </c>
      <c r="E2392" s="347" t="s">
        <v>775</v>
      </c>
      <c r="F2392" s="348">
        <v>53</v>
      </c>
      <c r="G2392" s="348">
        <v>0</v>
      </c>
      <c r="H2392" s="348">
        <v>0</v>
      </c>
      <c r="I2392" s="348">
        <v>0</v>
      </c>
      <c r="J2392" s="348">
        <v>34</v>
      </c>
      <c r="K2392" s="348">
        <v>0</v>
      </c>
      <c r="L2392" s="348">
        <v>0</v>
      </c>
      <c r="M2392" s="348">
        <v>0</v>
      </c>
      <c r="N2392" s="348">
        <v>38</v>
      </c>
      <c r="O2392" s="348">
        <v>0</v>
      </c>
      <c r="P2392" s="348">
        <v>93</v>
      </c>
      <c r="Q2392" s="348">
        <v>20</v>
      </c>
      <c r="R2392" s="350">
        <f t="shared" si="273"/>
        <v>218</v>
      </c>
      <c r="S2392" s="348">
        <f t="shared" si="274"/>
        <v>20</v>
      </c>
      <c r="T2392" s="348"/>
      <c r="U2392" s="348"/>
      <c r="V2392" s="348"/>
      <c r="W2392" s="349"/>
      <c r="X2392" s="349"/>
    </row>
    <row r="2393" spans="1:24" ht="12.75">
      <c r="A2393" s="346" t="s">
        <v>705</v>
      </c>
      <c r="B2393" s="347" t="s">
        <v>195</v>
      </c>
      <c r="C2393" s="347" t="s">
        <v>811</v>
      </c>
      <c r="D2393" s="347">
        <v>2019</v>
      </c>
      <c r="E2393" s="347" t="s">
        <v>775</v>
      </c>
      <c r="F2393" s="348">
        <v>1546</v>
      </c>
      <c r="G2393" s="348">
        <v>0</v>
      </c>
      <c r="H2393" s="348">
        <v>0</v>
      </c>
      <c r="I2393" s="348">
        <v>0</v>
      </c>
      <c r="J2393" s="348">
        <v>991</v>
      </c>
      <c r="K2393" s="348">
        <v>5</v>
      </c>
      <c r="L2393" s="348">
        <v>0</v>
      </c>
      <c r="M2393" s="348">
        <v>5</v>
      </c>
      <c r="N2393" s="348">
        <v>1100</v>
      </c>
      <c r="O2393" s="348">
        <v>130</v>
      </c>
      <c r="P2393" s="348">
        <v>2724</v>
      </c>
      <c r="Q2393" s="348">
        <v>159</v>
      </c>
      <c r="R2393" s="350">
        <f t="shared" si="273"/>
        <v>6361</v>
      </c>
      <c r="S2393" s="348">
        <f t="shared" si="274"/>
        <v>294</v>
      </c>
      <c r="T2393" s="348"/>
      <c r="U2393" s="348"/>
      <c r="V2393" s="348"/>
      <c r="W2393" s="349"/>
      <c r="X2393" s="349"/>
    </row>
    <row r="2394" spans="1:24" ht="12.75">
      <c r="A2394" s="346" t="s">
        <v>706</v>
      </c>
      <c r="B2394" s="347" t="s">
        <v>195</v>
      </c>
      <c r="C2394" s="347" t="s">
        <v>811</v>
      </c>
      <c r="D2394" s="347">
        <v>2019</v>
      </c>
      <c r="E2394" s="347" t="s">
        <v>775</v>
      </c>
      <c r="F2394" s="348">
        <v>186</v>
      </c>
      <c r="G2394" s="348">
        <v>0</v>
      </c>
      <c r="H2394" s="348">
        <v>0</v>
      </c>
      <c r="I2394" s="348">
        <v>0</v>
      </c>
      <c r="J2394" s="348">
        <v>119</v>
      </c>
      <c r="K2394" s="348">
        <v>0</v>
      </c>
      <c r="L2394" s="348">
        <v>0</v>
      </c>
      <c r="M2394" s="348">
        <v>0</v>
      </c>
      <c r="N2394" s="348">
        <v>136</v>
      </c>
      <c r="O2394" s="348">
        <v>0</v>
      </c>
      <c r="P2394" s="348">
        <v>337</v>
      </c>
      <c r="Q2394" s="348">
        <v>0</v>
      </c>
      <c r="R2394" s="350">
        <f t="shared" si="273"/>
        <v>778</v>
      </c>
      <c r="S2394" s="348">
        <f t="shared" si="274"/>
        <v>0</v>
      </c>
      <c r="T2394" s="348"/>
      <c r="U2394" s="348"/>
      <c r="V2394" s="348"/>
      <c r="W2394" s="349"/>
      <c r="X2394" s="349"/>
    </row>
    <row r="2395" spans="1:24" ht="12.75">
      <c r="A2395" s="346" t="s">
        <v>707</v>
      </c>
      <c r="B2395" s="347" t="s">
        <v>195</v>
      </c>
      <c r="C2395" s="347" t="s">
        <v>811</v>
      </c>
      <c r="D2395" s="347">
        <v>2019</v>
      </c>
      <c r="E2395" s="347" t="s">
        <v>775</v>
      </c>
      <c r="F2395" s="348">
        <v>315</v>
      </c>
      <c r="G2395" s="348">
        <v>14</v>
      </c>
      <c r="H2395" s="348">
        <v>0</v>
      </c>
      <c r="I2395" s="348">
        <v>14</v>
      </c>
      <c r="J2395" s="348">
        <v>202</v>
      </c>
      <c r="K2395" s="348">
        <v>43</v>
      </c>
      <c r="L2395" s="348">
        <v>0</v>
      </c>
      <c r="M2395" s="348">
        <v>43</v>
      </c>
      <c r="N2395" s="348">
        <v>210</v>
      </c>
      <c r="O2395" s="348">
        <v>0</v>
      </c>
      <c r="P2395" s="348">
        <v>520</v>
      </c>
      <c r="Q2395" s="348">
        <v>33</v>
      </c>
      <c r="R2395" s="350">
        <f t="shared" si="273"/>
        <v>1247</v>
      </c>
      <c r="S2395" s="348">
        <f t="shared" si="274"/>
        <v>90</v>
      </c>
      <c r="T2395" s="348"/>
      <c r="U2395" s="348"/>
      <c r="V2395" s="348"/>
      <c r="W2395" s="349"/>
      <c r="X2395" s="349"/>
    </row>
    <row r="2396" spans="1:24" ht="12.75">
      <c r="A2396" s="346" t="s">
        <v>709</v>
      </c>
      <c r="B2396" s="347" t="s">
        <v>195</v>
      </c>
      <c r="C2396" s="347" t="s">
        <v>811</v>
      </c>
      <c r="D2396" s="347">
        <v>2019</v>
      </c>
      <c r="E2396" s="347" t="s">
        <v>775</v>
      </c>
      <c r="F2396" s="348">
        <v>321</v>
      </c>
      <c r="G2396" s="348">
        <v>0</v>
      </c>
      <c r="H2396" s="348">
        <v>0</v>
      </c>
      <c r="I2396" s="348">
        <v>0</v>
      </c>
      <c r="J2396" s="348">
        <v>206</v>
      </c>
      <c r="K2396" s="348">
        <v>0</v>
      </c>
      <c r="L2396" s="348">
        <v>0</v>
      </c>
      <c r="M2396" s="348">
        <v>0</v>
      </c>
      <c r="N2396" s="348">
        <v>217</v>
      </c>
      <c r="O2396" s="348">
        <v>0</v>
      </c>
      <c r="P2396" s="348">
        <v>536</v>
      </c>
      <c r="Q2396" s="348">
        <v>18</v>
      </c>
      <c r="R2396" s="350">
        <f t="shared" si="273"/>
        <v>1280</v>
      </c>
      <c r="S2396" s="348">
        <f t="shared" si="274"/>
        <v>18</v>
      </c>
      <c r="T2396" s="348"/>
      <c r="U2396" s="348"/>
      <c r="V2396" s="348"/>
      <c r="W2396" s="349"/>
      <c r="X2396" s="349"/>
    </row>
    <row r="2397" spans="1:24" ht="12.75">
      <c r="A2397" s="346" t="s">
        <v>710</v>
      </c>
      <c r="B2397" s="347" t="s">
        <v>195</v>
      </c>
      <c r="C2397" s="347" t="s">
        <v>811</v>
      </c>
      <c r="D2397" s="347">
        <v>2019</v>
      </c>
      <c r="E2397" s="347" t="s">
        <v>775</v>
      </c>
      <c r="F2397" s="348">
        <v>538</v>
      </c>
      <c r="G2397" s="348">
        <v>0</v>
      </c>
      <c r="H2397" s="348">
        <v>0</v>
      </c>
      <c r="I2397" s="348">
        <v>0</v>
      </c>
      <c r="J2397" s="348">
        <v>345</v>
      </c>
      <c r="K2397" s="348">
        <v>13</v>
      </c>
      <c r="L2397" s="348">
        <v>0</v>
      </c>
      <c r="M2397" s="348">
        <v>13</v>
      </c>
      <c r="N2397" s="348">
        <v>391</v>
      </c>
      <c r="O2397" s="348">
        <v>0</v>
      </c>
      <c r="P2397" s="348">
        <v>967</v>
      </c>
      <c r="Q2397" s="348">
        <v>54</v>
      </c>
      <c r="R2397" s="350">
        <f t="shared" si="273"/>
        <v>2241</v>
      </c>
      <c r="S2397" s="348">
        <f t="shared" si="274"/>
        <v>67</v>
      </c>
      <c r="T2397" s="348"/>
      <c r="U2397" s="348"/>
      <c r="V2397" s="348"/>
      <c r="W2397" s="349"/>
      <c r="X2397" s="349"/>
    </row>
    <row r="2398" spans="1:24" ht="12.75">
      <c r="A2398" s="346" t="s">
        <v>711</v>
      </c>
      <c r="B2398" s="347" t="s">
        <v>195</v>
      </c>
      <c r="C2398" s="347" t="s">
        <v>811</v>
      </c>
      <c r="D2398" s="347">
        <v>2019</v>
      </c>
      <c r="E2398" s="347" t="s">
        <v>775</v>
      </c>
      <c r="F2398" s="348">
        <v>877</v>
      </c>
      <c r="G2398" s="348">
        <v>16</v>
      </c>
      <c r="H2398" s="348">
        <v>16</v>
      </c>
      <c r="I2398" s="348">
        <v>0</v>
      </c>
      <c r="J2398" s="348">
        <v>562</v>
      </c>
      <c r="K2398" s="348">
        <v>114</v>
      </c>
      <c r="L2398" s="348">
        <v>45</v>
      </c>
      <c r="M2398" s="348">
        <v>69</v>
      </c>
      <c r="N2398" s="348">
        <v>627</v>
      </c>
      <c r="O2398" s="348">
        <v>6</v>
      </c>
      <c r="P2398" s="348">
        <v>1552</v>
      </c>
      <c r="Q2398" s="348">
        <v>95</v>
      </c>
      <c r="R2398" s="350">
        <f t="shared" si="273"/>
        <v>3618</v>
      </c>
      <c r="S2398" s="348">
        <f t="shared" si="274"/>
        <v>231</v>
      </c>
      <c r="T2398" s="348"/>
      <c r="U2398" s="348"/>
      <c r="V2398" s="348"/>
      <c r="W2398" s="349"/>
      <c r="X2398" s="349"/>
    </row>
    <row r="2399" spans="1:24" ht="12.75">
      <c r="A2399" s="346" t="s">
        <v>712</v>
      </c>
      <c r="B2399" s="347" t="s">
        <v>195</v>
      </c>
      <c r="C2399" s="347" t="s">
        <v>811</v>
      </c>
      <c r="D2399" s="347">
        <v>2019</v>
      </c>
      <c r="E2399" s="347" t="s">
        <v>775</v>
      </c>
      <c r="F2399" s="348">
        <v>131</v>
      </c>
      <c r="G2399" s="348">
        <v>0</v>
      </c>
      <c r="H2399" s="348">
        <v>0</v>
      </c>
      <c r="I2399" s="348">
        <v>0</v>
      </c>
      <c r="J2399" s="348">
        <v>84</v>
      </c>
      <c r="K2399" s="348">
        <v>0</v>
      </c>
      <c r="L2399" s="348">
        <v>0</v>
      </c>
      <c r="M2399" s="348">
        <v>0</v>
      </c>
      <c r="N2399" s="348">
        <v>89</v>
      </c>
      <c r="O2399" s="348">
        <v>0</v>
      </c>
      <c r="P2399" s="348">
        <v>221</v>
      </c>
      <c r="Q2399" s="348">
        <v>21</v>
      </c>
      <c r="R2399" s="350">
        <f t="shared" si="273"/>
        <v>525</v>
      </c>
      <c r="S2399" s="348">
        <f t="shared" si="274"/>
        <v>21</v>
      </c>
      <c r="T2399" s="410">
        <f>SUM(G2391:G2399)</f>
        <v>30</v>
      </c>
      <c r="U2399" s="410">
        <f>SUM(K2391:K2399)</f>
        <v>175</v>
      </c>
      <c r="V2399" s="410">
        <f>SUM(O2391:O2399)</f>
        <v>142</v>
      </c>
      <c r="W2399" s="410">
        <f>SUM(Q2391:Q2399)</f>
        <v>458</v>
      </c>
      <c r="X2399" s="410">
        <f>T2399+U2399+V2399+W2399</f>
        <v>805</v>
      </c>
    </row>
    <row r="2400" spans="1:24" ht="12.75">
      <c r="A2400" s="474"/>
      <c r="B2400" s="475"/>
      <c r="C2400" s="475"/>
      <c r="D2400" s="475"/>
      <c r="E2400" s="475"/>
      <c r="F2400" s="476"/>
      <c r="G2400" s="476"/>
      <c r="H2400" s="477"/>
      <c r="I2400" s="476"/>
      <c r="J2400" s="476"/>
      <c r="K2400" s="476"/>
      <c r="L2400" s="476"/>
      <c r="M2400" s="476"/>
      <c r="N2400" s="476"/>
      <c r="O2400" s="476"/>
      <c r="P2400" s="476"/>
      <c r="Q2400" s="477"/>
      <c r="R2400" s="182"/>
      <c r="S2400" s="361" t="s">
        <v>783</v>
      </c>
      <c r="T2400" s="505">
        <f t="shared" ref="T2400:X2400" si="275">SUM(T2365:T2399)</f>
        <v>65</v>
      </c>
      <c r="U2400" s="505">
        <f t="shared" si="275"/>
        <v>409</v>
      </c>
      <c r="V2400" s="505">
        <f t="shared" si="275"/>
        <v>1012</v>
      </c>
      <c r="W2400" s="505">
        <f t="shared" si="275"/>
        <v>1790</v>
      </c>
      <c r="X2400" s="505">
        <f t="shared" si="275"/>
        <v>3276</v>
      </c>
    </row>
    <row r="2401" spans="1:24" ht="12.75">
      <c r="A2401" s="474"/>
      <c r="B2401" s="475"/>
      <c r="C2401" s="475"/>
      <c r="D2401" s="475"/>
      <c r="E2401" s="475"/>
      <c r="F2401" s="476"/>
      <c r="G2401" s="476"/>
      <c r="H2401" s="477"/>
      <c r="I2401" s="476"/>
      <c r="J2401" s="476"/>
      <c r="K2401" s="476"/>
      <c r="L2401" s="476"/>
      <c r="M2401" s="476"/>
      <c r="N2401" s="476"/>
      <c r="O2401" s="476"/>
      <c r="P2401" s="476"/>
      <c r="Q2401" s="477"/>
      <c r="R2401" s="182"/>
      <c r="S2401" s="362"/>
      <c r="T2401" s="184"/>
      <c r="U2401" s="184"/>
      <c r="V2401" s="184"/>
      <c r="W2401" s="184"/>
      <c r="X2401" s="184"/>
    </row>
    <row r="2402" spans="1:24" ht="12.75">
      <c r="A2402" s="467" t="s">
        <v>900</v>
      </c>
      <c r="B2402" s="468" t="s">
        <v>196</v>
      </c>
      <c r="C2402" s="468" t="s">
        <v>799</v>
      </c>
      <c r="D2402" s="468">
        <v>2013</v>
      </c>
      <c r="E2402" s="468" t="s">
        <v>775</v>
      </c>
      <c r="F2402" s="469">
        <v>104</v>
      </c>
      <c r="G2402" s="469">
        <v>0</v>
      </c>
      <c r="H2402" s="470">
        <v>0</v>
      </c>
      <c r="I2402" s="469">
        <v>0</v>
      </c>
      <c r="J2402" s="469">
        <v>72</v>
      </c>
      <c r="K2402" s="469">
        <v>0</v>
      </c>
      <c r="L2402" s="469">
        <v>0</v>
      </c>
      <c r="M2402" s="469">
        <v>0</v>
      </c>
      <c r="N2402" s="469">
        <v>83</v>
      </c>
      <c r="O2402" s="469">
        <v>0</v>
      </c>
      <c r="P2402" s="469">
        <v>190</v>
      </c>
      <c r="Q2402" s="470">
        <v>0</v>
      </c>
      <c r="R2402" s="381">
        <f t="shared" ref="R2402:R2422" si="276">F2402+J2402+N2402+P2402</f>
        <v>449</v>
      </c>
      <c r="S2402" s="382">
        <f t="shared" ref="S2402:S2422" si="277">K2402+O2402+G2402+Q2402</f>
        <v>0</v>
      </c>
      <c r="T2402" s="471"/>
      <c r="U2402" s="471"/>
      <c r="V2402" s="471"/>
      <c r="W2402" s="471"/>
      <c r="X2402" s="471"/>
    </row>
    <row r="2403" spans="1:24" ht="12.75">
      <c r="A2403" s="488" t="s">
        <v>901</v>
      </c>
      <c r="B2403" s="489" t="s">
        <v>196</v>
      </c>
      <c r="C2403" s="489" t="s">
        <v>799</v>
      </c>
      <c r="D2403" s="489">
        <v>2013</v>
      </c>
      <c r="E2403" s="489" t="s">
        <v>775</v>
      </c>
      <c r="F2403" s="470">
        <v>85</v>
      </c>
      <c r="G2403" s="469">
        <v>0</v>
      </c>
      <c r="H2403" s="470">
        <v>0</v>
      </c>
      <c r="I2403" s="470">
        <v>0</v>
      </c>
      <c r="J2403" s="469">
        <v>60</v>
      </c>
      <c r="K2403" s="469">
        <v>0</v>
      </c>
      <c r="L2403" s="470">
        <v>0</v>
      </c>
      <c r="M2403" s="470">
        <v>0</v>
      </c>
      <c r="N2403" s="470">
        <v>62</v>
      </c>
      <c r="O2403" s="470">
        <v>4</v>
      </c>
      <c r="P2403" s="470">
        <v>128</v>
      </c>
      <c r="Q2403" s="470">
        <v>8</v>
      </c>
      <c r="R2403" s="381">
        <f t="shared" si="276"/>
        <v>335</v>
      </c>
      <c r="S2403" s="382">
        <f t="shared" si="277"/>
        <v>12</v>
      </c>
      <c r="T2403" s="471"/>
      <c r="U2403" s="471"/>
      <c r="V2403" s="471"/>
      <c r="W2403" s="471"/>
      <c r="X2403" s="471"/>
    </row>
    <row r="2404" spans="1:24" ht="12.75">
      <c r="A2404" s="488" t="s">
        <v>902</v>
      </c>
      <c r="B2404" s="489" t="s">
        <v>196</v>
      </c>
      <c r="C2404" s="489" t="s">
        <v>799</v>
      </c>
      <c r="D2404" s="489">
        <v>2013</v>
      </c>
      <c r="E2404" s="489" t="s">
        <v>775</v>
      </c>
      <c r="F2404" s="470">
        <v>624</v>
      </c>
      <c r="G2404" s="469">
        <v>0</v>
      </c>
      <c r="H2404" s="470">
        <v>0</v>
      </c>
      <c r="I2404" s="470">
        <v>0</v>
      </c>
      <c r="J2404" s="470">
        <v>437</v>
      </c>
      <c r="K2404" s="469">
        <v>0</v>
      </c>
      <c r="L2404" s="470">
        <v>0</v>
      </c>
      <c r="M2404" s="470">
        <v>0</v>
      </c>
      <c r="N2404" s="470">
        <v>498</v>
      </c>
      <c r="O2404" s="470">
        <v>0</v>
      </c>
      <c r="P2404" s="470">
        <v>1120</v>
      </c>
      <c r="Q2404" s="470">
        <v>50</v>
      </c>
      <c r="R2404" s="381">
        <f t="shared" si="276"/>
        <v>2679</v>
      </c>
      <c r="S2404" s="382">
        <f t="shared" si="277"/>
        <v>50</v>
      </c>
      <c r="T2404" s="506">
        <f>SUM(G2402:G2404)</f>
        <v>0</v>
      </c>
      <c r="U2404" s="506">
        <f>SUM(K2402:K2404)</f>
        <v>0</v>
      </c>
      <c r="V2404" s="506">
        <f>SUM(O2402:O2404)</f>
        <v>4</v>
      </c>
      <c r="W2404" s="506">
        <f>SUM(Q2402:Q2404)</f>
        <v>58</v>
      </c>
      <c r="X2404" s="506">
        <f>T2404+U2404+V2404+W2404</f>
        <v>62</v>
      </c>
    </row>
    <row r="2405" spans="1:24" ht="12.75">
      <c r="A2405" s="417" t="s">
        <v>713</v>
      </c>
      <c r="B2405" s="418" t="s">
        <v>196</v>
      </c>
      <c r="C2405" s="418" t="s">
        <v>799</v>
      </c>
      <c r="D2405" s="418">
        <v>2014</v>
      </c>
      <c r="E2405" s="418" t="s">
        <v>775</v>
      </c>
      <c r="F2405" s="419">
        <v>104</v>
      </c>
      <c r="G2405" s="419">
        <v>0</v>
      </c>
      <c r="H2405" s="420">
        <v>0</v>
      </c>
      <c r="I2405" s="419">
        <v>0</v>
      </c>
      <c r="J2405" s="419">
        <v>72</v>
      </c>
      <c r="K2405" s="419">
        <v>0</v>
      </c>
      <c r="L2405" s="419">
        <v>0</v>
      </c>
      <c r="M2405" s="419">
        <v>0</v>
      </c>
      <c r="N2405" s="419">
        <v>83</v>
      </c>
      <c r="O2405" s="419">
        <v>1</v>
      </c>
      <c r="P2405" s="419">
        <v>190</v>
      </c>
      <c r="Q2405" s="420">
        <v>0</v>
      </c>
      <c r="R2405" s="311">
        <f t="shared" si="276"/>
        <v>449</v>
      </c>
      <c r="S2405" s="363">
        <f t="shared" si="277"/>
        <v>1</v>
      </c>
      <c r="T2405" s="490"/>
      <c r="U2405" s="490"/>
      <c r="V2405" s="490"/>
      <c r="W2405" s="490"/>
      <c r="X2405" s="490"/>
    </row>
    <row r="2406" spans="1:24" ht="12.75">
      <c r="A2406" s="464" t="s">
        <v>714</v>
      </c>
      <c r="B2406" s="465" t="s">
        <v>196</v>
      </c>
      <c r="C2406" s="465" t="s">
        <v>799</v>
      </c>
      <c r="D2406" s="465">
        <v>2014</v>
      </c>
      <c r="E2406" s="465" t="s">
        <v>775</v>
      </c>
      <c r="F2406" s="420">
        <v>85</v>
      </c>
      <c r="G2406" s="419">
        <v>0</v>
      </c>
      <c r="H2406" s="420">
        <v>0</v>
      </c>
      <c r="I2406" s="420">
        <v>0</v>
      </c>
      <c r="J2406" s="419">
        <v>60</v>
      </c>
      <c r="K2406" s="419">
        <v>0</v>
      </c>
      <c r="L2406" s="420">
        <v>0</v>
      </c>
      <c r="M2406" s="420">
        <v>0</v>
      </c>
      <c r="N2406" s="420">
        <v>62</v>
      </c>
      <c r="O2406" s="420">
        <v>1</v>
      </c>
      <c r="P2406" s="420">
        <v>128</v>
      </c>
      <c r="Q2406" s="420">
        <v>19</v>
      </c>
      <c r="R2406" s="311">
        <f t="shared" si="276"/>
        <v>335</v>
      </c>
      <c r="S2406" s="363">
        <f t="shared" si="277"/>
        <v>20</v>
      </c>
      <c r="T2406" s="490"/>
      <c r="U2406" s="490"/>
      <c r="V2406" s="490"/>
      <c r="W2406" s="490"/>
      <c r="X2406" s="490"/>
    </row>
    <row r="2407" spans="1:24" ht="12.75">
      <c r="A2407" s="464" t="s">
        <v>715</v>
      </c>
      <c r="B2407" s="465" t="s">
        <v>196</v>
      </c>
      <c r="C2407" s="465" t="s">
        <v>799</v>
      </c>
      <c r="D2407" s="465">
        <v>2014</v>
      </c>
      <c r="E2407" s="465" t="s">
        <v>775</v>
      </c>
      <c r="F2407" s="420">
        <v>624</v>
      </c>
      <c r="G2407" s="419">
        <v>0</v>
      </c>
      <c r="H2407" s="420">
        <v>0</v>
      </c>
      <c r="I2407" s="420">
        <v>0</v>
      </c>
      <c r="J2407" s="420">
        <v>437</v>
      </c>
      <c r="K2407" s="419">
        <v>0</v>
      </c>
      <c r="L2407" s="420">
        <v>0</v>
      </c>
      <c r="M2407" s="420">
        <v>0</v>
      </c>
      <c r="N2407" s="420">
        <v>498</v>
      </c>
      <c r="O2407" s="420">
        <v>5</v>
      </c>
      <c r="P2407" s="420">
        <v>1120</v>
      </c>
      <c r="Q2407" s="420">
        <v>50</v>
      </c>
      <c r="R2407" s="311">
        <f t="shared" si="276"/>
        <v>2679</v>
      </c>
      <c r="S2407" s="363">
        <f t="shared" si="277"/>
        <v>55</v>
      </c>
      <c r="T2407" s="490">
        <f>SUM(G2405:G2407)</f>
        <v>0</v>
      </c>
      <c r="U2407" s="490">
        <f>SUM(K2405:K2407)</f>
        <v>0</v>
      </c>
      <c r="V2407" s="490">
        <f>SUM(O2405:O2407)</f>
        <v>7</v>
      </c>
      <c r="W2407" s="490">
        <f>SUM(Q2405:Q2407)</f>
        <v>69</v>
      </c>
      <c r="X2407" s="490">
        <f>T2407+U2407+V2407+W2407</f>
        <v>76</v>
      </c>
    </row>
    <row r="2408" spans="1:24" ht="12.75">
      <c r="A2408" s="422" t="s">
        <v>713</v>
      </c>
      <c r="B2408" s="423" t="s">
        <v>196</v>
      </c>
      <c r="C2408" s="423" t="s">
        <v>799</v>
      </c>
      <c r="D2408" s="423">
        <v>2015</v>
      </c>
      <c r="E2408" s="423" t="s">
        <v>775</v>
      </c>
      <c r="F2408" s="424">
        <v>104</v>
      </c>
      <c r="G2408" s="424">
        <v>46</v>
      </c>
      <c r="H2408" s="425">
        <v>46</v>
      </c>
      <c r="I2408" s="424">
        <v>0</v>
      </c>
      <c r="J2408" s="424">
        <v>72</v>
      </c>
      <c r="K2408" s="424">
        <v>37</v>
      </c>
      <c r="L2408" s="424">
        <v>37</v>
      </c>
      <c r="M2408" s="424">
        <v>0</v>
      </c>
      <c r="N2408" s="424">
        <v>83</v>
      </c>
      <c r="O2408" s="424">
        <v>2</v>
      </c>
      <c r="P2408" s="424">
        <v>190</v>
      </c>
      <c r="Q2408" s="425">
        <v>2</v>
      </c>
      <c r="R2408" s="319">
        <f t="shared" si="276"/>
        <v>449</v>
      </c>
      <c r="S2408" s="364">
        <f t="shared" si="277"/>
        <v>87</v>
      </c>
      <c r="T2408" s="491"/>
      <c r="U2408" s="491"/>
      <c r="V2408" s="491"/>
      <c r="W2408" s="491"/>
      <c r="X2408" s="491"/>
    </row>
    <row r="2409" spans="1:24" ht="12.75">
      <c r="A2409" s="457" t="s">
        <v>714</v>
      </c>
      <c r="B2409" s="458" t="s">
        <v>196</v>
      </c>
      <c r="C2409" s="458" t="s">
        <v>799</v>
      </c>
      <c r="D2409" s="458">
        <v>2015</v>
      </c>
      <c r="E2409" s="458" t="s">
        <v>775</v>
      </c>
      <c r="F2409" s="425">
        <v>85</v>
      </c>
      <c r="G2409" s="424">
        <v>0</v>
      </c>
      <c r="H2409" s="425">
        <v>0</v>
      </c>
      <c r="I2409" s="425">
        <v>0</v>
      </c>
      <c r="J2409" s="424">
        <v>60</v>
      </c>
      <c r="K2409" s="424">
        <v>0</v>
      </c>
      <c r="L2409" s="425">
        <v>0</v>
      </c>
      <c r="M2409" s="425">
        <v>0</v>
      </c>
      <c r="N2409" s="425">
        <v>62</v>
      </c>
      <c r="O2409" s="425">
        <v>7</v>
      </c>
      <c r="P2409" s="425">
        <v>128</v>
      </c>
      <c r="Q2409" s="425">
        <v>19</v>
      </c>
      <c r="R2409" s="319">
        <f t="shared" si="276"/>
        <v>335</v>
      </c>
      <c r="S2409" s="364">
        <f t="shared" si="277"/>
        <v>26</v>
      </c>
      <c r="T2409" s="491"/>
      <c r="U2409" s="491"/>
      <c r="V2409" s="491"/>
      <c r="W2409" s="491"/>
      <c r="X2409" s="491"/>
    </row>
    <row r="2410" spans="1:24" ht="12.75">
      <c r="A2410" s="457" t="s">
        <v>715</v>
      </c>
      <c r="B2410" s="458" t="s">
        <v>196</v>
      </c>
      <c r="C2410" s="458" t="s">
        <v>799</v>
      </c>
      <c r="D2410" s="458">
        <v>2015</v>
      </c>
      <c r="E2410" s="458" t="s">
        <v>775</v>
      </c>
      <c r="F2410" s="425">
        <v>624</v>
      </c>
      <c r="G2410" s="424">
        <v>0</v>
      </c>
      <c r="H2410" s="425">
        <v>0</v>
      </c>
      <c r="I2410" s="425">
        <v>0</v>
      </c>
      <c r="J2410" s="425">
        <v>437</v>
      </c>
      <c r="K2410" s="424">
        <v>2</v>
      </c>
      <c r="L2410" s="425">
        <v>2</v>
      </c>
      <c r="M2410" s="425">
        <v>0</v>
      </c>
      <c r="N2410" s="425">
        <v>498</v>
      </c>
      <c r="O2410" s="425">
        <v>45</v>
      </c>
      <c r="P2410" s="425">
        <v>1120</v>
      </c>
      <c r="Q2410" s="425">
        <v>0</v>
      </c>
      <c r="R2410" s="319">
        <f t="shared" si="276"/>
        <v>2679</v>
      </c>
      <c r="S2410" s="364">
        <f t="shared" si="277"/>
        <v>47</v>
      </c>
      <c r="T2410" s="491">
        <f>SUM(G2408:G2410)</f>
        <v>46</v>
      </c>
      <c r="U2410" s="491">
        <f>SUM(K2408:K2410)</f>
        <v>39</v>
      </c>
      <c r="V2410" s="491">
        <f>SUM(O2408:O2410)</f>
        <v>54</v>
      </c>
      <c r="W2410" s="491">
        <f>SUM(Q2408:Q2410)</f>
        <v>21</v>
      </c>
      <c r="X2410" s="491">
        <f>T2410+U2410+V2410+W2410</f>
        <v>160</v>
      </c>
    </row>
    <row r="2411" spans="1:24" ht="12.75">
      <c r="A2411" s="428" t="s">
        <v>713</v>
      </c>
      <c r="B2411" s="429" t="s">
        <v>196</v>
      </c>
      <c r="C2411" s="429" t="s">
        <v>799</v>
      </c>
      <c r="D2411" s="429">
        <v>2016</v>
      </c>
      <c r="E2411" s="429" t="s">
        <v>775</v>
      </c>
      <c r="F2411" s="430">
        <v>104</v>
      </c>
      <c r="G2411" s="430">
        <v>0</v>
      </c>
      <c r="H2411" s="431">
        <v>0</v>
      </c>
      <c r="I2411" s="430">
        <v>0</v>
      </c>
      <c r="J2411" s="430">
        <v>72</v>
      </c>
      <c r="K2411" s="430">
        <v>0</v>
      </c>
      <c r="L2411" s="430">
        <v>0</v>
      </c>
      <c r="M2411" s="430">
        <v>0</v>
      </c>
      <c r="N2411" s="430">
        <v>83</v>
      </c>
      <c r="O2411" s="430">
        <v>0</v>
      </c>
      <c r="P2411" s="430">
        <v>190</v>
      </c>
      <c r="Q2411" s="431">
        <v>2</v>
      </c>
      <c r="R2411" s="328">
        <f t="shared" si="276"/>
        <v>449</v>
      </c>
      <c r="S2411" s="365">
        <f t="shared" si="277"/>
        <v>2</v>
      </c>
      <c r="T2411" s="492"/>
      <c r="U2411" s="492"/>
      <c r="V2411" s="492"/>
      <c r="W2411" s="492"/>
      <c r="X2411" s="492"/>
    </row>
    <row r="2412" spans="1:24" ht="12.75">
      <c r="A2412" s="459" t="s">
        <v>714</v>
      </c>
      <c r="B2412" s="460" t="s">
        <v>196</v>
      </c>
      <c r="C2412" s="460" t="s">
        <v>799</v>
      </c>
      <c r="D2412" s="460">
        <v>2016</v>
      </c>
      <c r="E2412" s="460" t="s">
        <v>775</v>
      </c>
      <c r="F2412" s="431">
        <v>85</v>
      </c>
      <c r="G2412" s="430">
        <v>0</v>
      </c>
      <c r="H2412" s="431">
        <v>0</v>
      </c>
      <c r="I2412" s="431">
        <v>0</v>
      </c>
      <c r="J2412" s="430">
        <v>60</v>
      </c>
      <c r="K2412" s="430">
        <v>0</v>
      </c>
      <c r="L2412" s="431">
        <v>0</v>
      </c>
      <c r="M2412" s="431">
        <v>0</v>
      </c>
      <c r="N2412" s="431">
        <v>62</v>
      </c>
      <c r="O2412" s="431">
        <v>2</v>
      </c>
      <c r="P2412" s="431">
        <v>128</v>
      </c>
      <c r="Q2412" s="431">
        <v>8</v>
      </c>
      <c r="R2412" s="328">
        <f t="shared" si="276"/>
        <v>335</v>
      </c>
      <c r="S2412" s="365">
        <f t="shared" si="277"/>
        <v>10</v>
      </c>
      <c r="T2412" s="492"/>
      <c r="U2412" s="492"/>
      <c r="V2412" s="492"/>
      <c r="W2412" s="492"/>
      <c r="X2412" s="492"/>
    </row>
    <row r="2413" spans="1:24" ht="12.75">
      <c r="A2413" s="459" t="s">
        <v>715</v>
      </c>
      <c r="B2413" s="460" t="s">
        <v>196</v>
      </c>
      <c r="C2413" s="460" t="s">
        <v>799</v>
      </c>
      <c r="D2413" s="460">
        <v>2016</v>
      </c>
      <c r="E2413" s="460" t="s">
        <v>775</v>
      </c>
      <c r="F2413" s="431">
        <v>624</v>
      </c>
      <c r="G2413" s="430">
        <v>1</v>
      </c>
      <c r="H2413" s="431">
        <v>1</v>
      </c>
      <c r="I2413" s="431">
        <v>0</v>
      </c>
      <c r="J2413" s="431">
        <v>437</v>
      </c>
      <c r="K2413" s="430">
        <v>5</v>
      </c>
      <c r="L2413" s="431">
        <v>5</v>
      </c>
      <c r="M2413" s="431">
        <v>0</v>
      </c>
      <c r="N2413" s="431">
        <v>498</v>
      </c>
      <c r="O2413" s="431">
        <v>47</v>
      </c>
      <c r="P2413" s="431">
        <v>1120</v>
      </c>
      <c r="Q2413" s="431">
        <v>0</v>
      </c>
      <c r="R2413" s="328">
        <f t="shared" si="276"/>
        <v>2679</v>
      </c>
      <c r="S2413" s="365">
        <f t="shared" si="277"/>
        <v>53</v>
      </c>
      <c r="T2413" s="492">
        <f>SUM(G2411:G2413)</f>
        <v>1</v>
      </c>
      <c r="U2413" s="492">
        <f>SUM(K2411:K2413)</f>
        <v>5</v>
      </c>
      <c r="V2413" s="492">
        <f>SUM(O2411:O2413)</f>
        <v>49</v>
      </c>
      <c r="W2413" s="492">
        <f>SUM(Q2411:Q2413)</f>
        <v>10</v>
      </c>
      <c r="X2413" s="492">
        <f>T2413+U2413+V2413+W2413</f>
        <v>65</v>
      </c>
    </row>
    <row r="2414" spans="1:24" ht="12.75">
      <c r="A2414" s="433" t="s">
        <v>713</v>
      </c>
      <c r="B2414" s="434" t="s">
        <v>196</v>
      </c>
      <c r="C2414" s="434" t="s">
        <v>799</v>
      </c>
      <c r="D2414" s="434">
        <v>2017</v>
      </c>
      <c r="E2414" s="434" t="s">
        <v>775</v>
      </c>
      <c r="F2414" s="435">
        <v>104</v>
      </c>
      <c r="G2414" s="435">
        <v>0</v>
      </c>
      <c r="H2414" s="436">
        <v>0</v>
      </c>
      <c r="I2414" s="435">
        <v>0</v>
      </c>
      <c r="J2414" s="435">
        <v>72</v>
      </c>
      <c r="K2414" s="435">
        <v>0</v>
      </c>
      <c r="L2414" s="435">
        <v>0</v>
      </c>
      <c r="M2414" s="435">
        <v>0</v>
      </c>
      <c r="N2414" s="435">
        <v>83</v>
      </c>
      <c r="O2414" s="435">
        <v>0</v>
      </c>
      <c r="P2414" s="435">
        <v>190</v>
      </c>
      <c r="Q2414" s="436">
        <v>1</v>
      </c>
      <c r="R2414" s="336">
        <f t="shared" si="276"/>
        <v>449</v>
      </c>
      <c r="S2414" s="366">
        <f t="shared" si="277"/>
        <v>1</v>
      </c>
      <c r="T2414" s="493"/>
      <c r="U2414" s="493"/>
      <c r="V2414" s="493"/>
      <c r="W2414" s="493"/>
      <c r="X2414" s="493"/>
    </row>
    <row r="2415" spans="1:24" ht="12.75">
      <c r="A2415" s="461" t="s">
        <v>714</v>
      </c>
      <c r="B2415" s="462" t="s">
        <v>196</v>
      </c>
      <c r="C2415" s="462" t="s">
        <v>799</v>
      </c>
      <c r="D2415" s="462">
        <v>2017</v>
      </c>
      <c r="E2415" s="462" t="s">
        <v>775</v>
      </c>
      <c r="F2415" s="436">
        <v>85</v>
      </c>
      <c r="G2415" s="435">
        <v>0</v>
      </c>
      <c r="H2415" s="436">
        <v>0</v>
      </c>
      <c r="I2415" s="436">
        <v>0</v>
      </c>
      <c r="J2415" s="435">
        <v>60</v>
      </c>
      <c r="K2415" s="435">
        <v>0</v>
      </c>
      <c r="L2415" s="436">
        <v>0</v>
      </c>
      <c r="M2415" s="436">
        <v>0</v>
      </c>
      <c r="N2415" s="436">
        <v>62</v>
      </c>
      <c r="O2415" s="436">
        <v>3</v>
      </c>
      <c r="P2415" s="436">
        <v>128</v>
      </c>
      <c r="Q2415" s="436">
        <v>13</v>
      </c>
      <c r="R2415" s="336">
        <f t="shared" si="276"/>
        <v>335</v>
      </c>
      <c r="S2415" s="366">
        <f t="shared" si="277"/>
        <v>16</v>
      </c>
      <c r="T2415" s="493"/>
      <c r="U2415" s="493"/>
      <c r="V2415" s="493"/>
      <c r="W2415" s="493"/>
      <c r="X2415" s="493"/>
    </row>
    <row r="2416" spans="1:24" ht="12.75">
      <c r="A2416" s="461" t="s">
        <v>715</v>
      </c>
      <c r="B2416" s="462" t="s">
        <v>196</v>
      </c>
      <c r="C2416" s="462" t="s">
        <v>799</v>
      </c>
      <c r="D2416" s="462">
        <v>2017</v>
      </c>
      <c r="E2416" s="462" t="s">
        <v>775</v>
      </c>
      <c r="F2416" s="436">
        <v>624</v>
      </c>
      <c r="G2416" s="435">
        <v>2</v>
      </c>
      <c r="H2416" s="436">
        <v>2</v>
      </c>
      <c r="I2416" s="436">
        <v>0</v>
      </c>
      <c r="J2416" s="436">
        <v>437</v>
      </c>
      <c r="K2416" s="435">
        <v>4</v>
      </c>
      <c r="L2416" s="436">
        <v>4</v>
      </c>
      <c r="M2416" s="436">
        <v>0</v>
      </c>
      <c r="N2416" s="436">
        <v>498</v>
      </c>
      <c r="O2416" s="436">
        <v>38</v>
      </c>
      <c r="P2416" s="436">
        <v>1120</v>
      </c>
      <c r="Q2416" s="436">
        <v>0</v>
      </c>
      <c r="R2416" s="336">
        <f t="shared" si="276"/>
        <v>2679</v>
      </c>
      <c r="S2416" s="366">
        <f t="shared" si="277"/>
        <v>44</v>
      </c>
      <c r="T2416" s="493">
        <f>SUM(G2414:G2416)</f>
        <v>2</v>
      </c>
      <c r="U2416" s="493">
        <f>SUM(K2414:K2416)</f>
        <v>4</v>
      </c>
      <c r="V2416" s="493">
        <f>SUM(O2414:O2416)</f>
        <v>41</v>
      </c>
      <c r="W2416" s="493">
        <f>SUM(Q2414:Q2416)</f>
        <v>14</v>
      </c>
      <c r="X2416" s="493">
        <f>T2416+U2416+V2416+W2416</f>
        <v>61</v>
      </c>
    </row>
    <row r="2417" spans="1:24" ht="12.75">
      <c r="A2417" s="438" t="s">
        <v>713</v>
      </c>
      <c r="B2417" s="439" t="s">
        <v>196</v>
      </c>
      <c r="C2417" s="439" t="s">
        <v>799</v>
      </c>
      <c r="D2417" s="439">
        <v>2018</v>
      </c>
      <c r="E2417" s="439" t="s">
        <v>775</v>
      </c>
      <c r="F2417" s="440">
        <v>104</v>
      </c>
      <c r="G2417" s="441">
        <v>0</v>
      </c>
      <c r="H2417" s="440">
        <v>0</v>
      </c>
      <c r="I2417" s="440">
        <v>0</v>
      </c>
      <c r="J2417" s="440">
        <v>72</v>
      </c>
      <c r="K2417" s="441">
        <v>0</v>
      </c>
      <c r="L2417" s="440">
        <v>0</v>
      </c>
      <c r="M2417" s="440">
        <v>0</v>
      </c>
      <c r="N2417" s="440">
        <v>83</v>
      </c>
      <c r="O2417" s="440">
        <v>0</v>
      </c>
      <c r="P2417" s="440">
        <v>190</v>
      </c>
      <c r="Q2417" s="440">
        <v>52</v>
      </c>
      <c r="R2417" s="344">
        <f t="shared" si="276"/>
        <v>449</v>
      </c>
      <c r="S2417" s="367">
        <f t="shared" si="277"/>
        <v>52</v>
      </c>
      <c r="T2417" s="442"/>
      <c r="U2417" s="442"/>
      <c r="V2417" s="442"/>
      <c r="W2417" s="442"/>
      <c r="X2417" s="442"/>
    </row>
    <row r="2418" spans="1:24" ht="12.75">
      <c r="A2418" s="438" t="s">
        <v>714</v>
      </c>
      <c r="B2418" s="439" t="s">
        <v>196</v>
      </c>
      <c r="C2418" s="439" t="s">
        <v>799</v>
      </c>
      <c r="D2418" s="439">
        <v>2018</v>
      </c>
      <c r="E2418" s="439" t="s">
        <v>775</v>
      </c>
      <c r="F2418" s="440">
        <v>85</v>
      </c>
      <c r="G2418" s="441">
        <v>2</v>
      </c>
      <c r="H2418" s="440">
        <v>0</v>
      </c>
      <c r="I2418" s="440">
        <v>2</v>
      </c>
      <c r="J2418" s="440">
        <v>60</v>
      </c>
      <c r="K2418" s="441">
        <v>1</v>
      </c>
      <c r="L2418" s="440">
        <v>0</v>
      </c>
      <c r="M2418" s="440">
        <v>1</v>
      </c>
      <c r="N2418" s="440">
        <v>62</v>
      </c>
      <c r="O2418" s="440">
        <v>2</v>
      </c>
      <c r="P2418" s="440">
        <v>128</v>
      </c>
      <c r="Q2418" s="440">
        <v>5</v>
      </c>
      <c r="R2418" s="344">
        <f t="shared" si="276"/>
        <v>335</v>
      </c>
      <c r="S2418" s="367">
        <f t="shared" si="277"/>
        <v>10</v>
      </c>
      <c r="T2418" s="443">
        <f>SUM(G2417:G2418)</f>
        <v>2</v>
      </c>
      <c r="U2418" s="443">
        <f>SUM(K2417:K2418)</f>
        <v>1</v>
      </c>
      <c r="V2418" s="443">
        <f>SUM(O2417:O2418)</f>
        <v>2</v>
      </c>
      <c r="W2418" s="443">
        <f>SUM(Q2417:Q2418)</f>
        <v>57</v>
      </c>
      <c r="X2418" s="443">
        <f>T2418+U2418+V2418+W2418</f>
        <v>62</v>
      </c>
    </row>
    <row r="2419" spans="1:24" ht="12.75">
      <c r="A2419" s="346" t="s">
        <v>713</v>
      </c>
      <c r="B2419" s="347" t="s">
        <v>196</v>
      </c>
      <c r="C2419" s="347" t="s">
        <v>801</v>
      </c>
      <c r="D2419" s="347">
        <v>2019</v>
      </c>
      <c r="E2419" s="347" t="s">
        <v>775</v>
      </c>
      <c r="F2419" s="348">
        <v>104</v>
      </c>
      <c r="G2419" s="348">
        <v>0</v>
      </c>
      <c r="H2419" s="348">
        <v>0</v>
      </c>
      <c r="I2419" s="348">
        <v>0</v>
      </c>
      <c r="J2419" s="348">
        <v>72</v>
      </c>
      <c r="K2419" s="348">
        <v>0</v>
      </c>
      <c r="L2419" s="348">
        <v>0</v>
      </c>
      <c r="M2419" s="348">
        <v>0</v>
      </c>
      <c r="N2419" s="348">
        <v>83</v>
      </c>
      <c r="O2419" s="348">
        <v>0</v>
      </c>
      <c r="P2419" s="348">
        <v>190</v>
      </c>
      <c r="Q2419" s="348">
        <v>50</v>
      </c>
      <c r="R2419" s="350">
        <f t="shared" si="276"/>
        <v>449</v>
      </c>
      <c r="S2419" s="348">
        <f t="shared" si="277"/>
        <v>50</v>
      </c>
      <c r="T2419" s="348"/>
      <c r="U2419" s="348"/>
      <c r="V2419" s="348"/>
      <c r="W2419" s="349"/>
      <c r="X2419" s="349"/>
    </row>
    <row r="2420" spans="1:24" ht="12.75">
      <c r="A2420" s="346" t="s">
        <v>714</v>
      </c>
      <c r="B2420" s="347" t="s">
        <v>196</v>
      </c>
      <c r="C2420" s="347" t="s">
        <v>801</v>
      </c>
      <c r="D2420" s="347">
        <v>2019</v>
      </c>
      <c r="E2420" s="347" t="s">
        <v>775</v>
      </c>
      <c r="F2420" s="348">
        <v>85</v>
      </c>
      <c r="G2420" s="348">
        <v>0</v>
      </c>
      <c r="H2420" s="348">
        <v>0</v>
      </c>
      <c r="I2420" s="348">
        <v>0</v>
      </c>
      <c r="J2420" s="348">
        <v>60</v>
      </c>
      <c r="K2420" s="348">
        <v>0</v>
      </c>
      <c r="L2420" s="348">
        <v>0</v>
      </c>
      <c r="M2420" s="348">
        <v>0</v>
      </c>
      <c r="N2420" s="348">
        <v>62</v>
      </c>
      <c r="O2420" s="348">
        <v>0</v>
      </c>
      <c r="P2420" s="348">
        <v>128</v>
      </c>
      <c r="Q2420" s="348">
        <v>9</v>
      </c>
      <c r="R2420" s="350">
        <f t="shared" si="276"/>
        <v>335</v>
      </c>
      <c r="S2420" s="348">
        <f t="shared" si="277"/>
        <v>9</v>
      </c>
      <c r="T2420" s="348"/>
      <c r="U2420" s="348"/>
      <c r="V2420" s="348"/>
      <c r="W2420" s="349"/>
      <c r="X2420" s="349"/>
    </row>
    <row r="2421" spans="1:24" ht="12.75">
      <c r="A2421" s="346" t="s">
        <v>715</v>
      </c>
      <c r="B2421" s="347" t="s">
        <v>196</v>
      </c>
      <c r="C2421" s="347" t="s">
        <v>801</v>
      </c>
      <c r="D2421" s="347">
        <v>2019</v>
      </c>
      <c r="E2421" s="347" t="s">
        <v>775</v>
      </c>
      <c r="F2421" s="348">
        <v>624</v>
      </c>
      <c r="G2421" s="348">
        <v>0</v>
      </c>
      <c r="H2421" s="348">
        <v>0</v>
      </c>
      <c r="I2421" s="348">
        <v>0</v>
      </c>
      <c r="J2421" s="348">
        <v>437</v>
      </c>
      <c r="K2421" s="348">
        <v>0</v>
      </c>
      <c r="L2421" s="348">
        <v>0</v>
      </c>
      <c r="M2421" s="348">
        <v>0</v>
      </c>
      <c r="N2421" s="348">
        <v>498</v>
      </c>
      <c r="O2421" s="348">
        <v>0</v>
      </c>
      <c r="P2421" s="348">
        <v>1120</v>
      </c>
      <c r="Q2421" s="348">
        <v>0</v>
      </c>
      <c r="R2421" s="350">
        <f t="shared" si="276"/>
        <v>2679</v>
      </c>
      <c r="S2421" s="348">
        <f t="shared" si="277"/>
        <v>0</v>
      </c>
      <c r="T2421" s="348"/>
      <c r="U2421" s="348"/>
      <c r="V2421" s="348"/>
      <c r="W2421" s="349"/>
      <c r="X2421" s="349"/>
    </row>
    <row r="2422" spans="1:24" ht="12.75">
      <c r="A2422" s="346" t="s">
        <v>715</v>
      </c>
      <c r="B2422" s="347" t="s">
        <v>196</v>
      </c>
      <c r="C2422" s="347" t="s">
        <v>801</v>
      </c>
      <c r="D2422" s="347">
        <v>2019</v>
      </c>
      <c r="E2422" s="347" t="s">
        <v>775</v>
      </c>
      <c r="F2422" s="348">
        <v>624</v>
      </c>
      <c r="G2422" s="348">
        <v>0</v>
      </c>
      <c r="H2422" s="348">
        <v>0</v>
      </c>
      <c r="I2422" s="348">
        <v>0</v>
      </c>
      <c r="J2422" s="348">
        <v>437</v>
      </c>
      <c r="K2422" s="348">
        <v>0</v>
      </c>
      <c r="L2422" s="348">
        <v>0</v>
      </c>
      <c r="M2422" s="348">
        <v>0</v>
      </c>
      <c r="N2422" s="348">
        <v>498</v>
      </c>
      <c r="O2422" s="348">
        <v>0</v>
      </c>
      <c r="P2422" s="348">
        <v>1120</v>
      </c>
      <c r="Q2422" s="348">
        <v>0</v>
      </c>
      <c r="R2422" s="350">
        <f t="shared" si="276"/>
        <v>2679</v>
      </c>
      <c r="S2422" s="348">
        <f t="shared" si="277"/>
        <v>0</v>
      </c>
      <c r="T2422" s="399">
        <f>SUM(G2419:G2422)</f>
        <v>0</v>
      </c>
      <c r="U2422" s="399">
        <f>SUM(K2419:K2422)</f>
        <v>0</v>
      </c>
      <c r="V2422" s="399">
        <f>SUM(O2419:O2422)</f>
        <v>0</v>
      </c>
      <c r="W2422" s="399">
        <f>SUM(Q2419:Q2422)</f>
        <v>59</v>
      </c>
      <c r="X2422" s="399">
        <f>T2422+U2422+V2422+W2422</f>
        <v>59</v>
      </c>
    </row>
    <row r="2423" spans="1:24" ht="12.75">
      <c r="A2423" s="501"/>
      <c r="B2423" s="502"/>
      <c r="C2423" s="502"/>
      <c r="D2423" s="502"/>
      <c r="E2423" s="502"/>
      <c r="F2423" s="503"/>
      <c r="G2423" s="503"/>
      <c r="H2423" s="504"/>
      <c r="I2423" s="503"/>
      <c r="J2423" s="503"/>
      <c r="K2423" s="503"/>
      <c r="L2423" s="503"/>
      <c r="M2423" s="503"/>
      <c r="N2423" s="503"/>
      <c r="O2423" s="503"/>
      <c r="P2423" s="503"/>
      <c r="Q2423" s="504"/>
      <c r="R2423" s="398"/>
      <c r="S2423" s="361" t="s">
        <v>783</v>
      </c>
      <c r="T2423" s="448">
        <f t="shared" ref="T2423:X2423" si="278">SUM(T2402:T2422)</f>
        <v>51</v>
      </c>
      <c r="U2423" s="448">
        <f t="shared" si="278"/>
        <v>49</v>
      </c>
      <c r="V2423" s="448">
        <f t="shared" si="278"/>
        <v>157</v>
      </c>
      <c r="W2423" s="448">
        <f t="shared" si="278"/>
        <v>288</v>
      </c>
      <c r="X2423" s="448">
        <f t="shared" si="278"/>
        <v>545</v>
      </c>
    </row>
    <row r="2424" spans="1:24" ht="12.75">
      <c r="A2424" s="449"/>
      <c r="B2424" s="450"/>
      <c r="C2424" s="450"/>
      <c r="D2424" s="450"/>
      <c r="E2424" s="450"/>
      <c r="F2424" s="451"/>
      <c r="G2424" s="451"/>
      <c r="H2424" s="452"/>
      <c r="I2424" s="451"/>
      <c r="J2424" s="451"/>
      <c r="K2424" s="451"/>
      <c r="L2424" s="451"/>
      <c r="M2424" s="451"/>
      <c r="N2424" s="451"/>
      <c r="O2424" s="451"/>
      <c r="P2424" s="451"/>
      <c r="Q2424" s="452"/>
      <c r="R2424" s="182"/>
      <c r="S2424" s="362"/>
      <c r="T2424" s="97"/>
      <c r="U2424" s="97"/>
      <c r="V2424" s="97"/>
      <c r="W2424" s="97"/>
      <c r="X2424" s="97"/>
    </row>
    <row r="2425" spans="1:24" ht="12.75">
      <c r="A2425" s="417" t="s">
        <v>717</v>
      </c>
      <c r="B2425" s="418" t="s">
        <v>197</v>
      </c>
      <c r="C2425" s="418" t="s">
        <v>784</v>
      </c>
      <c r="D2425" s="418">
        <v>2014</v>
      </c>
      <c r="E2425" s="418" t="s">
        <v>775</v>
      </c>
      <c r="F2425" s="419">
        <v>73</v>
      </c>
      <c r="G2425" s="419">
        <v>0</v>
      </c>
      <c r="H2425" s="420">
        <v>0</v>
      </c>
      <c r="I2425" s="419">
        <v>0</v>
      </c>
      <c r="J2425" s="419">
        <v>52</v>
      </c>
      <c r="K2425" s="419">
        <v>26</v>
      </c>
      <c r="L2425" s="419">
        <v>26</v>
      </c>
      <c r="M2425" s="419">
        <v>0</v>
      </c>
      <c r="N2425" s="419">
        <v>61</v>
      </c>
      <c r="O2425" s="419">
        <v>1</v>
      </c>
      <c r="P2425" s="419">
        <v>137</v>
      </c>
      <c r="Q2425" s="420">
        <v>0</v>
      </c>
      <c r="R2425" s="311">
        <f t="shared" ref="R2425:R2440" si="279">F2425+J2425+N2425+P2425</f>
        <v>323</v>
      </c>
      <c r="S2425" s="363">
        <f t="shared" ref="S2425:S2440" si="280">K2425+O2425+G2425+Q2425</f>
        <v>27</v>
      </c>
      <c r="T2425" s="421"/>
      <c r="U2425" s="421"/>
      <c r="V2425" s="421"/>
      <c r="W2425" s="421"/>
      <c r="X2425" s="421"/>
    </row>
    <row r="2426" spans="1:24" ht="12.75">
      <c r="A2426" s="464" t="s">
        <v>718</v>
      </c>
      <c r="B2426" s="465" t="s">
        <v>197</v>
      </c>
      <c r="C2426" s="465" t="s">
        <v>784</v>
      </c>
      <c r="D2426" s="465">
        <v>2014</v>
      </c>
      <c r="E2426" s="465" t="s">
        <v>775</v>
      </c>
      <c r="F2426" s="420">
        <v>112</v>
      </c>
      <c r="G2426" s="419">
        <v>16</v>
      </c>
      <c r="H2426" s="420">
        <v>0</v>
      </c>
      <c r="I2426" s="420">
        <v>16</v>
      </c>
      <c r="J2426" s="419">
        <v>76</v>
      </c>
      <c r="K2426" s="419">
        <v>7</v>
      </c>
      <c r="L2426" s="420">
        <v>0</v>
      </c>
      <c r="M2426" s="420">
        <v>7</v>
      </c>
      <c r="N2426" s="420">
        <v>89</v>
      </c>
      <c r="O2426" s="420">
        <v>6</v>
      </c>
      <c r="P2426" s="420">
        <v>209</v>
      </c>
      <c r="Q2426" s="420">
        <v>52</v>
      </c>
      <c r="R2426" s="311">
        <f t="shared" si="279"/>
        <v>486</v>
      </c>
      <c r="S2426" s="363">
        <f t="shared" si="280"/>
        <v>81</v>
      </c>
      <c r="T2426" s="411">
        <f>SUM(G2425:G2426)</f>
        <v>16</v>
      </c>
      <c r="U2426" s="411">
        <f>SUM(K2425:K2426)</f>
        <v>33</v>
      </c>
      <c r="V2426" s="411">
        <f>SUM(O2425:O2426)</f>
        <v>7</v>
      </c>
      <c r="W2426" s="411">
        <f>SUM(Q2425:Q2426)</f>
        <v>52</v>
      </c>
      <c r="X2426" s="411">
        <f t="shared" ref="X2426:X2427" si="281">T2426+U2426+V2426+W2426</f>
        <v>108</v>
      </c>
    </row>
    <row r="2427" spans="1:24" ht="12.75">
      <c r="A2427" s="422" t="s">
        <v>717</v>
      </c>
      <c r="B2427" s="423" t="s">
        <v>197</v>
      </c>
      <c r="C2427" s="423" t="s">
        <v>784</v>
      </c>
      <c r="D2427" s="423">
        <v>2015</v>
      </c>
      <c r="E2427" s="423" t="s">
        <v>775</v>
      </c>
      <c r="F2427" s="424">
        <v>73</v>
      </c>
      <c r="G2427" s="424">
        <v>0</v>
      </c>
      <c r="H2427" s="425">
        <v>0</v>
      </c>
      <c r="I2427" s="424">
        <v>0</v>
      </c>
      <c r="J2427" s="424">
        <v>52</v>
      </c>
      <c r="K2427" s="424">
        <v>0</v>
      </c>
      <c r="L2427" s="424">
        <v>0</v>
      </c>
      <c r="M2427" s="424">
        <v>0</v>
      </c>
      <c r="N2427" s="424">
        <v>61</v>
      </c>
      <c r="O2427" s="424">
        <v>1</v>
      </c>
      <c r="P2427" s="424">
        <v>137</v>
      </c>
      <c r="Q2427" s="425">
        <v>0</v>
      </c>
      <c r="R2427" s="319">
        <f t="shared" si="279"/>
        <v>323</v>
      </c>
      <c r="S2427" s="364">
        <f t="shared" si="280"/>
        <v>1</v>
      </c>
      <c r="T2427" s="491">
        <f>G2427</f>
        <v>0</v>
      </c>
      <c r="U2427" s="491">
        <f>K2427</f>
        <v>0</v>
      </c>
      <c r="V2427" s="491">
        <f>O2427</f>
        <v>1</v>
      </c>
      <c r="W2427" s="491">
        <f>Q2427</f>
        <v>0</v>
      </c>
      <c r="X2427" s="411">
        <f t="shared" si="281"/>
        <v>1</v>
      </c>
    </row>
    <row r="2428" spans="1:24" ht="12.75">
      <c r="A2428" s="428" t="s">
        <v>717</v>
      </c>
      <c r="B2428" s="429" t="s">
        <v>197</v>
      </c>
      <c r="C2428" s="429" t="s">
        <v>784</v>
      </c>
      <c r="D2428" s="429">
        <v>2016</v>
      </c>
      <c r="E2428" s="429" t="s">
        <v>775</v>
      </c>
      <c r="F2428" s="430">
        <v>73</v>
      </c>
      <c r="G2428" s="430">
        <v>0</v>
      </c>
      <c r="H2428" s="431">
        <v>0</v>
      </c>
      <c r="I2428" s="430">
        <v>0</v>
      </c>
      <c r="J2428" s="430">
        <v>52</v>
      </c>
      <c r="K2428" s="430">
        <v>0</v>
      </c>
      <c r="L2428" s="430">
        <v>0</v>
      </c>
      <c r="M2428" s="430">
        <v>0</v>
      </c>
      <c r="N2428" s="430">
        <v>61</v>
      </c>
      <c r="O2428" s="430">
        <v>4</v>
      </c>
      <c r="P2428" s="430">
        <v>137</v>
      </c>
      <c r="Q2428" s="431">
        <v>0</v>
      </c>
      <c r="R2428" s="328">
        <f t="shared" si="279"/>
        <v>323</v>
      </c>
      <c r="S2428" s="365">
        <f t="shared" si="280"/>
        <v>4</v>
      </c>
      <c r="T2428" s="432"/>
      <c r="U2428" s="432"/>
      <c r="V2428" s="432"/>
      <c r="W2428" s="432"/>
      <c r="X2428" s="432"/>
    </row>
    <row r="2429" spans="1:24" ht="12.75">
      <c r="A2429" s="459" t="s">
        <v>718</v>
      </c>
      <c r="B2429" s="460" t="s">
        <v>197</v>
      </c>
      <c r="C2429" s="460" t="s">
        <v>784</v>
      </c>
      <c r="D2429" s="460">
        <v>2016</v>
      </c>
      <c r="E2429" s="460" t="s">
        <v>775</v>
      </c>
      <c r="F2429" s="431">
        <v>112</v>
      </c>
      <c r="G2429" s="430">
        <v>0</v>
      </c>
      <c r="H2429" s="431">
        <v>0</v>
      </c>
      <c r="I2429" s="431">
        <v>0</v>
      </c>
      <c r="J2429" s="430">
        <v>76</v>
      </c>
      <c r="K2429" s="430">
        <v>23</v>
      </c>
      <c r="L2429" s="431">
        <v>23</v>
      </c>
      <c r="M2429" s="431">
        <v>0</v>
      </c>
      <c r="N2429" s="431">
        <v>89</v>
      </c>
      <c r="O2429" s="431">
        <v>8</v>
      </c>
      <c r="P2429" s="431">
        <v>209</v>
      </c>
      <c r="Q2429" s="431">
        <v>0</v>
      </c>
      <c r="R2429" s="328">
        <f t="shared" si="279"/>
        <v>486</v>
      </c>
      <c r="S2429" s="365">
        <f t="shared" si="280"/>
        <v>31</v>
      </c>
      <c r="T2429" s="413">
        <f>SUM(G2428:G2429)</f>
        <v>0</v>
      </c>
      <c r="U2429" s="413">
        <f>SUM(K2428:K2429)</f>
        <v>23</v>
      </c>
      <c r="V2429" s="413">
        <f>SUM(O2428:O2429)</f>
        <v>12</v>
      </c>
      <c r="W2429" s="413">
        <f>SUM(Q2428:Q2429)</f>
        <v>0</v>
      </c>
      <c r="X2429" s="413">
        <f>T2429+U2429+V2429+W2429</f>
        <v>35</v>
      </c>
    </row>
    <row r="2430" spans="1:24" ht="12.75">
      <c r="A2430" s="433" t="s">
        <v>717</v>
      </c>
      <c r="B2430" s="434" t="s">
        <v>197</v>
      </c>
      <c r="C2430" s="434" t="s">
        <v>784</v>
      </c>
      <c r="D2430" s="434">
        <v>2017</v>
      </c>
      <c r="E2430" s="434" t="s">
        <v>775</v>
      </c>
      <c r="F2430" s="435">
        <v>73</v>
      </c>
      <c r="G2430" s="435">
        <v>0</v>
      </c>
      <c r="H2430" s="436">
        <v>0</v>
      </c>
      <c r="I2430" s="435">
        <v>0</v>
      </c>
      <c r="J2430" s="435">
        <v>52</v>
      </c>
      <c r="K2430" s="435">
        <v>18</v>
      </c>
      <c r="L2430" s="435">
        <v>0</v>
      </c>
      <c r="M2430" s="435">
        <v>18</v>
      </c>
      <c r="N2430" s="435">
        <v>61</v>
      </c>
      <c r="O2430" s="435">
        <v>20</v>
      </c>
      <c r="P2430" s="435">
        <v>137</v>
      </c>
      <c r="Q2430" s="436">
        <v>0</v>
      </c>
      <c r="R2430" s="336">
        <f t="shared" si="279"/>
        <v>323</v>
      </c>
      <c r="S2430" s="366">
        <f t="shared" si="280"/>
        <v>38</v>
      </c>
      <c r="T2430" s="437"/>
      <c r="U2430" s="437"/>
      <c r="V2430" s="437"/>
      <c r="W2430" s="437"/>
      <c r="X2430" s="437"/>
    </row>
    <row r="2431" spans="1:24" ht="12.75">
      <c r="A2431" s="461" t="s">
        <v>197</v>
      </c>
      <c r="B2431" s="462" t="s">
        <v>197</v>
      </c>
      <c r="C2431" s="462" t="s">
        <v>784</v>
      </c>
      <c r="D2431" s="462">
        <v>2017</v>
      </c>
      <c r="E2431" s="462" t="s">
        <v>775</v>
      </c>
      <c r="F2431" s="436">
        <v>2</v>
      </c>
      <c r="G2431" s="435">
        <v>0</v>
      </c>
      <c r="H2431" s="436">
        <v>0</v>
      </c>
      <c r="I2431" s="436">
        <v>0</v>
      </c>
      <c r="J2431" s="435">
        <v>2</v>
      </c>
      <c r="K2431" s="435">
        <v>0</v>
      </c>
      <c r="L2431" s="436">
        <v>0</v>
      </c>
      <c r="M2431" s="436">
        <v>0</v>
      </c>
      <c r="N2431" s="436">
        <v>2</v>
      </c>
      <c r="O2431" s="436">
        <v>0</v>
      </c>
      <c r="P2431" s="436">
        <v>4</v>
      </c>
      <c r="Q2431" s="436">
        <v>0</v>
      </c>
      <c r="R2431" s="336">
        <f t="shared" si="279"/>
        <v>10</v>
      </c>
      <c r="S2431" s="366">
        <f t="shared" si="280"/>
        <v>0</v>
      </c>
      <c r="T2431" s="437"/>
      <c r="U2431" s="437"/>
      <c r="V2431" s="437"/>
      <c r="W2431" s="437"/>
      <c r="X2431" s="437"/>
    </row>
    <row r="2432" spans="1:24" ht="12.75">
      <c r="A2432" s="461" t="s">
        <v>718</v>
      </c>
      <c r="B2432" s="462" t="s">
        <v>197</v>
      </c>
      <c r="C2432" s="462" t="s">
        <v>784</v>
      </c>
      <c r="D2432" s="462">
        <v>2017</v>
      </c>
      <c r="E2432" s="462" t="s">
        <v>775</v>
      </c>
      <c r="F2432" s="436">
        <v>112</v>
      </c>
      <c r="G2432" s="435">
        <v>0</v>
      </c>
      <c r="H2432" s="436">
        <v>0</v>
      </c>
      <c r="I2432" s="436">
        <v>0</v>
      </c>
      <c r="J2432" s="435">
        <v>76</v>
      </c>
      <c r="K2432" s="435">
        <v>40</v>
      </c>
      <c r="L2432" s="436">
        <v>0</v>
      </c>
      <c r="M2432" s="436">
        <v>40</v>
      </c>
      <c r="N2432" s="436">
        <v>89</v>
      </c>
      <c r="O2432" s="436">
        <v>55</v>
      </c>
      <c r="P2432" s="436">
        <v>209</v>
      </c>
      <c r="Q2432" s="436">
        <v>0</v>
      </c>
      <c r="R2432" s="336">
        <f t="shared" si="279"/>
        <v>486</v>
      </c>
      <c r="S2432" s="366">
        <f t="shared" si="280"/>
        <v>95</v>
      </c>
      <c r="T2432" s="493">
        <f>SUM(G2430:G2432)</f>
        <v>0</v>
      </c>
      <c r="U2432" s="493">
        <f>SUM(K2430:K2432)</f>
        <v>58</v>
      </c>
      <c r="V2432" s="493">
        <f>SUM(O2430:O2432)</f>
        <v>75</v>
      </c>
      <c r="W2432" s="493">
        <f>SUM(Q2430:Q2432)</f>
        <v>0</v>
      </c>
      <c r="X2432" s="493">
        <f>T2432+U2432+V2432+W2432</f>
        <v>133</v>
      </c>
    </row>
    <row r="2433" spans="1:24" ht="12.75">
      <c r="A2433" s="438" t="s">
        <v>716</v>
      </c>
      <c r="B2433" s="439" t="s">
        <v>197</v>
      </c>
      <c r="C2433" s="439" t="s">
        <v>784</v>
      </c>
      <c r="D2433" s="439">
        <v>2018</v>
      </c>
      <c r="E2433" s="439" t="s">
        <v>775</v>
      </c>
      <c r="F2433" s="440">
        <v>38</v>
      </c>
      <c r="G2433" s="441">
        <v>0</v>
      </c>
      <c r="H2433" s="440">
        <v>0</v>
      </c>
      <c r="I2433" s="440">
        <v>0</v>
      </c>
      <c r="J2433" s="440">
        <v>30</v>
      </c>
      <c r="K2433" s="441">
        <v>0</v>
      </c>
      <c r="L2433" s="440">
        <v>0</v>
      </c>
      <c r="M2433" s="440">
        <v>0</v>
      </c>
      <c r="N2433" s="440">
        <v>33</v>
      </c>
      <c r="O2433" s="440">
        <v>4</v>
      </c>
      <c r="P2433" s="440">
        <v>75</v>
      </c>
      <c r="Q2433" s="440">
        <v>13</v>
      </c>
      <c r="R2433" s="344">
        <f t="shared" si="279"/>
        <v>176</v>
      </c>
      <c r="S2433" s="367">
        <f t="shared" si="280"/>
        <v>17</v>
      </c>
      <c r="T2433" s="442"/>
      <c r="U2433" s="442"/>
      <c r="V2433" s="442"/>
      <c r="W2433" s="442"/>
      <c r="X2433" s="442"/>
    </row>
    <row r="2434" spans="1:24" ht="12.75">
      <c r="A2434" s="438" t="s">
        <v>717</v>
      </c>
      <c r="B2434" s="439" t="s">
        <v>197</v>
      </c>
      <c r="C2434" s="439" t="s">
        <v>784</v>
      </c>
      <c r="D2434" s="439">
        <v>2018</v>
      </c>
      <c r="E2434" s="439" t="s">
        <v>775</v>
      </c>
      <c r="F2434" s="440">
        <v>73</v>
      </c>
      <c r="G2434" s="441">
        <v>0</v>
      </c>
      <c r="H2434" s="440">
        <v>0</v>
      </c>
      <c r="I2434" s="440">
        <v>0</v>
      </c>
      <c r="J2434" s="440">
        <v>52</v>
      </c>
      <c r="K2434" s="441">
        <v>2</v>
      </c>
      <c r="L2434" s="440">
        <v>0</v>
      </c>
      <c r="M2434" s="440">
        <v>2</v>
      </c>
      <c r="N2434" s="440">
        <v>61</v>
      </c>
      <c r="O2434" s="440">
        <v>3</v>
      </c>
      <c r="P2434" s="440">
        <v>137</v>
      </c>
      <c r="Q2434" s="440">
        <v>0</v>
      </c>
      <c r="R2434" s="344">
        <f t="shared" si="279"/>
        <v>323</v>
      </c>
      <c r="S2434" s="367">
        <f t="shared" si="280"/>
        <v>5</v>
      </c>
      <c r="T2434" s="442"/>
      <c r="U2434" s="442"/>
      <c r="V2434" s="442"/>
      <c r="W2434" s="442"/>
      <c r="X2434" s="442"/>
    </row>
    <row r="2435" spans="1:24" ht="12.75">
      <c r="A2435" s="438" t="s">
        <v>197</v>
      </c>
      <c r="B2435" s="439" t="s">
        <v>197</v>
      </c>
      <c r="C2435" s="439" t="s">
        <v>784</v>
      </c>
      <c r="D2435" s="439">
        <v>2018</v>
      </c>
      <c r="E2435" s="439" t="s">
        <v>775</v>
      </c>
      <c r="F2435" s="440">
        <v>2</v>
      </c>
      <c r="G2435" s="454"/>
      <c r="H2435" s="455"/>
      <c r="I2435" s="455"/>
      <c r="J2435" s="440">
        <v>2</v>
      </c>
      <c r="K2435" s="454"/>
      <c r="L2435" s="455"/>
      <c r="M2435" s="455"/>
      <c r="N2435" s="440">
        <v>2</v>
      </c>
      <c r="O2435" s="455"/>
      <c r="P2435" s="440">
        <v>4</v>
      </c>
      <c r="Q2435" s="455"/>
      <c r="R2435" s="344">
        <f t="shared" si="279"/>
        <v>10</v>
      </c>
      <c r="S2435" s="367">
        <f t="shared" si="280"/>
        <v>0</v>
      </c>
      <c r="T2435" s="442"/>
      <c r="U2435" s="442"/>
      <c r="V2435" s="442"/>
      <c r="W2435" s="442"/>
      <c r="X2435" s="442"/>
    </row>
    <row r="2436" spans="1:24" ht="12.75">
      <c r="A2436" s="438" t="s">
        <v>718</v>
      </c>
      <c r="B2436" s="439" t="s">
        <v>197</v>
      </c>
      <c r="C2436" s="439" t="s">
        <v>784</v>
      </c>
      <c r="D2436" s="439">
        <v>2018</v>
      </c>
      <c r="E2436" s="439" t="s">
        <v>775</v>
      </c>
      <c r="F2436" s="440">
        <v>112</v>
      </c>
      <c r="G2436" s="454"/>
      <c r="H2436" s="455"/>
      <c r="I2436" s="455"/>
      <c r="J2436" s="440">
        <v>76</v>
      </c>
      <c r="K2436" s="454"/>
      <c r="L2436" s="455"/>
      <c r="M2436" s="455"/>
      <c r="N2436" s="440">
        <v>89</v>
      </c>
      <c r="O2436" s="455"/>
      <c r="P2436" s="440">
        <v>209</v>
      </c>
      <c r="Q2436" s="455"/>
      <c r="R2436" s="344">
        <f t="shared" si="279"/>
        <v>486</v>
      </c>
      <c r="S2436" s="367">
        <f t="shared" si="280"/>
        <v>0</v>
      </c>
      <c r="T2436" s="494">
        <f>SUM(G2433:G2436)</f>
        <v>0</v>
      </c>
      <c r="U2436" s="494">
        <f>SUM(K2433:K2436)</f>
        <v>2</v>
      </c>
      <c r="V2436" s="494">
        <f>SUM(O2433:O2436)</f>
        <v>7</v>
      </c>
      <c r="W2436" s="494">
        <f>SUM(Q2433:Q2436)</f>
        <v>13</v>
      </c>
      <c r="X2436" s="494">
        <f>T2436+U2436+V2436+W2436</f>
        <v>22</v>
      </c>
    </row>
    <row r="2437" spans="1:24" ht="12.75">
      <c r="A2437" s="346" t="s">
        <v>716</v>
      </c>
      <c r="B2437" s="347" t="s">
        <v>197</v>
      </c>
      <c r="C2437" s="347" t="s">
        <v>785</v>
      </c>
      <c r="D2437" s="347">
        <v>2019</v>
      </c>
      <c r="E2437" s="347" t="s">
        <v>775</v>
      </c>
      <c r="F2437" s="348">
        <v>38</v>
      </c>
      <c r="G2437" s="348">
        <v>0</v>
      </c>
      <c r="H2437" s="348">
        <v>0</v>
      </c>
      <c r="I2437" s="348">
        <v>0</v>
      </c>
      <c r="J2437" s="348">
        <v>30</v>
      </c>
      <c r="K2437" s="348">
        <v>0</v>
      </c>
      <c r="L2437" s="348">
        <v>0</v>
      </c>
      <c r="M2437" s="348">
        <v>0</v>
      </c>
      <c r="N2437" s="348">
        <v>33</v>
      </c>
      <c r="O2437" s="348">
        <v>0</v>
      </c>
      <c r="P2437" s="348">
        <v>75</v>
      </c>
      <c r="Q2437" s="348">
        <v>0</v>
      </c>
      <c r="R2437" s="350">
        <f t="shared" si="279"/>
        <v>176</v>
      </c>
      <c r="S2437" s="348">
        <f t="shared" si="280"/>
        <v>0</v>
      </c>
      <c r="T2437" s="348"/>
      <c r="U2437" s="348"/>
      <c r="V2437" s="348"/>
      <c r="W2437" s="349"/>
      <c r="X2437" s="349"/>
    </row>
    <row r="2438" spans="1:24" ht="12.75">
      <c r="A2438" s="346" t="s">
        <v>717</v>
      </c>
      <c r="B2438" s="347" t="s">
        <v>197</v>
      </c>
      <c r="C2438" s="347" t="s">
        <v>785</v>
      </c>
      <c r="D2438" s="347">
        <v>2019</v>
      </c>
      <c r="E2438" s="347" t="s">
        <v>775</v>
      </c>
      <c r="F2438" s="348">
        <v>73</v>
      </c>
      <c r="G2438" s="348">
        <v>0</v>
      </c>
      <c r="H2438" s="348">
        <v>0</v>
      </c>
      <c r="I2438" s="348">
        <v>0</v>
      </c>
      <c r="J2438" s="348">
        <v>52</v>
      </c>
      <c r="K2438" s="348">
        <v>0</v>
      </c>
      <c r="L2438" s="348">
        <v>0</v>
      </c>
      <c r="M2438" s="348">
        <v>0</v>
      </c>
      <c r="N2438" s="348">
        <v>61</v>
      </c>
      <c r="O2438" s="348">
        <v>4</v>
      </c>
      <c r="P2438" s="348">
        <v>137</v>
      </c>
      <c r="Q2438" s="348">
        <v>0</v>
      </c>
      <c r="R2438" s="350">
        <f t="shared" si="279"/>
        <v>323</v>
      </c>
      <c r="S2438" s="348">
        <f t="shared" si="280"/>
        <v>4</v>
      </c>
      <c r="T2438" s="348"/>
      <c r="U2438" s="348"/>
      <c r="V2438" s="348"/>
      <c r="W2438" s="349"/>
      <c r="X2438" s="349"/>
    </row>
    <row r="2439" spans="1:24" ht="12.75">
      <c r="A2439" s="346" t="s">
        <v>197</v>
      </c>
      <c r="B2439" s="347" t="s">
        <v>197</v>
      </c>
      <c r="C2439" s="347" t="s">
        <v>785</v>
      </c>
      <c r="D2439" s="347">
        <v>2019</v>
      </c>
      <c r="E2439" s="347" t="s">
        <v>775</v>
      </c>
      <c r="F2439" s="348">
        <v>2</v>
      </c>
      <c r="G2439" s="348">
        <v>0</v>
      </c>
      <c r="H2439" s="348">
        <v>0</v>
      </c>
      <c r="I2439" s="348">
        <v>0</v>
      </c>
      <c r="J2439" s="348">
        <v>2</v>
      </c>
      <c r="K2439" s="348">
        <v>0</v>
      </c>
      <c r="L2439" s="348">
        <v>0</v>
      </c>
      <c r="M2439" s="348">
        <v>0</v>
      </c>
      <c r="N2439" s="348">
        <v>2</v>
      </c>
      <c r="O2439" s="348">
        <v>0</v>
      </c>
      <c r="P2439" s="348">
        <v>4</v>
      </c>
      <c r="Q2439" s="348">
        <v>0</v>
      </c>
      <c r="R2439" s="350">
        <f t="shared" si="279"/>
        <v>10</v>
      </c>
      <c r="S2439" s="348">
        <f t="shared" si="280"/>
        <v>0</v>
      </c>
      <c r="T2439" s="348"/>
      <c r="U2439" s="348"/>
      <c r="V2439" s="348"/>
      <c r="W2439" s="349"/>
      <c r="X2439" s="349"/>
    </row>
    <row r="2440" spans="1:24" ht="12.75">
      <c r="A2440" s="346" t="s">
        <v>718</v>
      </c>
      <c r="B2440" s="347" t="s">
        <v>197</v>
      </c>
      <c r="C2440" s="347" t="s">
        <v>785</v>
      </c>
      <c r="D2440" s="347">
        <v>2019</v>
      </c>
      <c r="E2440" s="347" t="s">
        <v>775</v>
      </c>
      <c r="F2440" s="348">
        <v>112</v>
      </c>
      <c r="G2440" s="348">
        <v>5</v>
      </c>
      <c r="H2440" s="348">
        <v>0</v>
      </c>
      <c r="I2440" s="348">
        <v>5</v>
      </c>
      <c r="J2440" s="348">
        <v>76</v>
      </c>
      <c r="K2440" s="348">
        <v>23</v>
      </c>
      <c r="L2440" s="348">
        <v>0</v>
      </c>
      <c r="M2440" s="348">
        <v>23</v>
      </c>
      <c r="N2440" s="348">
        <v>89</v>
      </c>
      <c r="O2440" s="348">
        <v>12</v>
      </c>
      <c r="P2440" s="348">
        <v>209</v>
      </c>
      <c r="Q2440" s="348">
        <v>47</v>
      </c>
      <c r="R2440" s="350">
        <f t="shared" si="279"/>
        <v>486</v>
      </c>
      <c r="S2440" s="348">
        <f t="shared" si="280"/>
        <v>87</v>
      </c>
      <c r="T2440" s="498">
        <f>SUM(G2437:G2440)</f>
        <v>5</v>
      </c>
      <c r="U2440" s="498">
        <f>SUM(K2437:K2440)</f>
        <v>23</v>
      </c>
      <c r="V2440" s="498">
        <f>SUM(O2437:O2440)</f>
        <v>16</v>
      </c>
      <c r="W2440" s="498">
        <f>SUM(Q2437:Q2440)</f>
        <v>47</v>
      </c>
      <c r="X2440" s="498">
        <f>T2440+U2440+V2440+W2440</f>
        <v>91</v>
      </c>
    </row>
    <row r="2441" spans="1:24" ht="12.75">
      <c r="A2441" s="507"/>
      <c r="B2441" s="508"/>
      <c r="C2441" s="508"/>
      <c r="D2441" s="508"/>
      <c r="E2441" s="508"/>
      <c r="F2441" s="361"/>
      <c r="G2441" s="361"/>
      <c r="H2441" s="361"/>
      <c r="I2441" s="361"/>
      <c r="J2441" s="361"/>
      <c r="K2441" s="361"/>
      <c r="L2441" s="361"/>
      <c r="M2441" s="361"/>
      <c r="N2441" s="361"/>
      <c r="O2441" s="361"/>
      <c r="P2441" s="361"/>
      <c r="Q2441" s="361"/>
      <c r="R2441" s="398"/>
      <c r="S2441" s="361" t="s">
        <v>783</v>
      </c>
      <c r="T2441" s="361">
        <f t="shared" ref="T2441:X2441" si="282">SUM(T2425:T2440)</f>
        <v>21</v>
      </c>
      <c r="U2441" s="361">
        <f t="shared" si="282"/>
        <v>139</v>
      </c>
      <c r="V2441" s="361">
        <f t="shared" si="282"/>
        <v>118</v>
      </c>
      <c r="W2441" s="361">
        <f t="shared" si="282"/>
        <v>112</v>
      </c>
      <c r="X2441" s="361">
        <f t="shared" si="282"/>
        <v>390</v>
      </c>
    </row>
    <row r="2442" spans="1:24" ht="12.75">
      <c r="A2442" s="509"/>
      <c r="B2442" s="510"/>
      <c r="C2442" s="510"/>
      <c r="D2442" s="510"/>
      <c r="E2442" s="510"/>
      <c r="F2442" s="362"/>
      <c r="G2442" s="362"/>
      <c r="H2442" s="362"/>
      <c r="I2442" s="362"/>
      <c r="J2442" s="362"/>
      <c r="K2442" s="362"/>
      <c r="L2442" s="362"/>
      <c r="M2442" s="362"/>
      <c r="N2442" s="362"/>
      <c r="O2442" s="362"/>
      <c r="P2442" s="362"/>
      <c r="Q2442" s="362"/>
      <c r="R2442" s="182"/>
      <c r="S2442" s="362"/>
      <c r="T2442" s="456"/>
      <c r="U2442" s="456"/>
      <c r="V2442" s="456"/>
      <c r="W2442" s="456"/>
      <c r="X2442" s="456"/>
    </row>
    <row r="2443" spans="1:24" ht="12.75">
      <c r="A2443" s="346" t="s">
        <v>719</v>
      </c>
      <c r="B2443" s="347" t="s">
        <v>198</v>
      </c>
      <c r="C2443" s="347" t="s">
        <v>785</v>
      </c>
      <c r="D2443" s="347">
        <v>2019</v>
      </c>
      <c r="E2443" s="347" t="s">
        <v>775</v>
      </c>
      <c r="F2443" s="348">
        <v>2</v>
      </c>
      <c r="G2443" s="348">
        <v>0</v>
      </c>
      <c r="H2443" s="348">
        <v>0</v>
      </c>
      <c r="I2443" s="348">
        <v>0</v>
      </c>
      <c r="J2443" s="348">
        <v>2</v>
      </c>
      <c r="K2443" s="348">
        <v>0</v>
      </c>
      <c r="L2443" s="348">
        <v>0</v>
      </c>
      <c r="M2443" s="348">
        <v>0</v>
      </c>
      <c r="N2443" s="348">
        <v>2</v>
      </c>
      <c r="O2443" s="348">
        <v>0</v>
      </c>
      <c r="P2443" s="348">
        <v>4</v>
      </c>
      <c r="Q2443" s="348">
        <v>0</v>
      </c>
      <c r="R2443" s="350">
        <f>F2443+J2443+N2443+P2443</f>
        <v>10</v>
      </c>
      <c r="S2443" s="348">
        <f>K2443+O2443+G2443+Q2443</f>
        <v>0</v>
      </c>
      <c r="T2443" s="373">
        <v>0</v>
      </c>
      <c r="U2443" s="373">
        <v>0</v>
      </c>
      <c r="V2443" s="373">
        <v>0</v>
      </c>
      <c r="W2443" s="373">
        <v>0</v>
      </c>
      <c r="X2443" s="373">
        <f>T2443+U2443+V2443+W2443</f>
        <v>0</v>
      </c>
    </row>
    <row r="2444" spans="1:24" ht="12.75">
      <c r="A2444" s="449"/>
      <c r="B2444" s="450"/>
      <c r="C2444" s="450"/>
      <c r="D2444" s="450"/>
      <c r="E2444" s="450"/>
      <c r="F2444" s="451"/>
      <c r="G2444" s="451"/>
      <c r="H2444" s="452"/>
      <c r="I2444" s="451"/>
      <c r="J2444" s="451"/>
      <c r="K2444" s="451"/>
      <c r="L2444" s="451"/>
      <c r="M2444" s="451"/>
      <c r="N2444" s="451"/>
      <c r="O2444" s="451"/>
      <c r="P2444" s="451"/>
      <c r="Q2444" s="452"/>
      <c r="R2444" s="182"/>
      <c r="S2444" s="362"/>
      <c r="T2444" s="97"/>
      <c r="U2444" s="97"/>
      <c r="V2444" s="97"/>
      <c r="W2444" s="97"/>
      <c r="X2444" s="97"/>
    </row>
    <row r="2445" spans="1:24" ht="12.75">
      <c r="A2445" s="422" t="s">
        <v>903</v>
      </c>
      <c r="B2445" s="423" t="s">
        <v>199</v>
      </c>
      <c r="C2445" s="423" t="s">
        <v>177</v>
      </c>
      <c r="D2445" s="423">
        <v>2015</v>
      </c>
      <c r="E2445" s="423" t="s">
        <v>775</v>
      </c>
      <c r="F2445" s="424">
        <v>211</v>
      </c>
      <c r="G2445" s="424">
        <v>0</v>
      </c>
      <c r="H2445" s="425">
        <v>0</v>
      </c>
      <c r="I2445" s="424">
        <v>0</v>
      </c>
      <c r="J2445" s="424">
        <v>163</v>
      </c>
      <c r="K2445" s="424">
        <v>64</v>
      </c>
      <c r="L2445" s="424">
        <v>0</v>
      </c>
      <c r="M2445" s="424">
        <v>64</v>
      </c>
      <c r="N2445" s="424">
        <v>121</v>
      </c>
      <c r="O2445" s="424">
        <v>50</v>
      </c>
      <c r="P2445" s="424">
        <v>470</v>
      </c>
      <c r="Q2445" s="425">
        <v>0</v>
      </c>
      <c r="R2445" s="319">
        <f t="shared" ref="R2445:R2484" si="283">F2445+J2445+N2445+P2445</f>
        <v>965</v>
      </c>
      <c r="S2445" s="364">
        <f t="shared" ref="S2445:S2484" si="284">K2445+O2445+G2445+Q2445</f>
        <v>114</v>
      </c>
      <c r="T2445" s="426"/>
      <c r="U2445" s="426"/>
      <c r="V2445" s="426"/>
      <c r="W2445" s="426"/>
      <c r="X2445" s="426"/>
    </row>
    <row r="2446" spans="1:24" ht="12.75">
      <c r="A2446" s="422" t="s">
        <v>904</v>
      </c>
      <c r="B2446" s="423" t="s">
        <v>199</v>
      </c>
      <c r="C2446" s="423" t="s">
        <v>177</v>
      </c>
      <c r="D2446" s="423">
        <v>2015</v>
      </c>
      <c r="E2446" s="423" t="s">
        <v>775</v>
      </c>
      <c r="F2446" s="424">
        <v>80</v>
      </c>
      <c r="G2446" s="424">
        <v>4</v>
      </c>
      <c r="H2446" s="425">
        <v>4</v>
      </c>
      <c r="I2446" s="424">
        <v>0</v>
      </c>
      <c r="J2446" s="424">
        <v>80</v>
      </c>
      <c r="K2446" s="424">
        <v>28</v>
      </c>
      <c r="L2446" s="424">
        <v>27</v>
      </c>
      <c r="M2446" s="424">
        <v>1</v>
      </c>
      <c r="N2446" s="424">
        <v>82</v>
      </c>
      <c r="O2446" s="424">
        <v>7</v>
      </c>
      <c r="P2446" s="424">
        <v>348</v>
      </c>
      <c r="Q2446" s="425">
        <v>9</v>
      </c>
      <c r="R2446" s="319">
        <f t="shared" si="283"/>
        <v>590</v>
      </c>
      <c r="S2446" s="364">
        <f t="shared" si="284"/>
        <v>48</v>
      </c>
      <c r="T2446" s="426"/>
      <c r="U2446" s="426"/>
      <c r="V2446" s="426"/>
      <c r="W2446" s="426"/>
      <c r="X2446" s="426"/>
    </row>
    <row r="2447" spans="1:24" ht="12.75">
      <c r="A2447" s="422" t="s">
        <v>905</v>
      </c>
      <c r="B2447" s="423" t="s">
        <v>199</v>
      </c>
      <c r="C2447" s="423" t="s">
        <v>177</v>
      </c>
      <c r="D2447" s="423">
        <v>2015</v>
      </c>
      <c r="E2447" s="423" t="s">
        <v>775</v>
      </c>
      <c r="F2447" s="424">
        <v>623</v>
      </c>
      <c r="G2447" s="424">
        <v>0</v>
      </c>
      <c r="H2447" s="425">
        <v>0</v>
      </c>
      <c r="I2447" s="424">
        <v>0</v>
      </c>
      <c r="J2447" s="424">
        <v>576</v>
      </c>
      <c r="K2447" s="424">
        <v>3</v>
      </c>
      <c r="L2447" s="424">
        <v>3</v>
      </c>
      <c r="M2447" s="424">
        <v>0</v>
      </c>
      <c r="N2447" s="424">
        <v>566</v>
      </c>
      <c r="O2447" s="424">
        <v>97</v>
      </c>
      <c r="P2447" s="424">
        <v>1431</v>
      </c>
      <c r="Q2447" s="425">
        <v>8</v>
      </c>
      <c r="R2447" s="319">
        <f t="shared" si="283"/>
        <v>3196</v>
      </c>
      <c r="S2447" s="364">
        <f t="shared" si="284"/>
        <v>108</v>
      </c>
      <c r="T2447" s="426"/>
      <c r="U2447" s="426"/>
      <c r="V2447" s="426"/>
      <c r="W2447" s="426"/>
      <c r="X2447" s="426"/>
    </row>
    <row r="2448" spans="1:24" ht="12.75">
      <c r="A2448" s="457" t="s">
        <v>906</v>
      </c>
      <c r="B2448" s="458" t="s">
        <v>199</v>
      </c>
      <c r="C2448" s="458" t="s">
        <v>177</v>
      </c>
      <c r="D2448" s="458">
        <v>2015</v>
      </c>
      <c r="E2448" s="458" t="s">
        <v>775</v>
      </c>
      <c r="F2448" s="425">
        <v>920</v>
      </c>
      <c r="G2448" s="424">
        <v>0</v>
      </c>
      <c r="H2448" s="425">
        <v>0</v>
      </c>
      <c r="I2448" s="425">
        <v>0</v>
      </c>
      <c r="J2448" s="424">
        <v>609</v>
      </c>
      <c r="K2448" s="424">
        <v>0</v>
      </c>
      <c r="L2448" s="425">
        <v>0</v>
      </c>
      <c r="M2448" s="425">
        <v>0</v>
      </c>
      <c r="N2448" s="425">
        <v>613</v>
      </c>
      <c r="O2448" s="425">
        <v>0</v>
      </c>
      <c r="P2448" s="425">
        <v>1452</v>
      </c>
      <c r="Q2448" s="425">
        <v>485</v>
      </c>
      <c r="R2448" s="319">
        <f t="shared" si="283"/>
        <v>3594</v>
      </c>
      <c r="S2448" s="364">
        <f t="shared" si="284"/>
        <v>485</v>
      </c>
      <c r="T2448" s="426"/>
      <c r="U2448" s="426"/>
      <c r="V2448" s="426"/>
      <c r="W2448" s="426"/>
      <c r="X2448" s="426"/>
    </row>
    <row r="2449" spans="1:24" ht="12.75">
      <c r="A2449" s="457" t="s">
        <v>907</v>
      </c>
      <c r="B2449" s="458" t="s">
        <v>199</v>
      </c>
      <c r="C2449" s="458" t="s">
        <v>177</v>
      </c>
      <c r="D2449" s="458">
        <v>2015</v>
      </c>
      <c r="E2449" s="458" t="s">
        <v>775</v>
      </c>
      <c r="F2449" s="425">
        <v>1477</v>
      </c>
      <c r="G2449" s="424">
        <v>55</v>
      </c>
      <c r="H2449" s="425">
        <v>0</v>
      </c>
      <c r="I2449" s="425">
        <v>55</v>
      </c>
      <c r="J2449" s="424">
        <v>1065</v>
      </c>
      <c r="K2449" s="424">
        <v>63</v>
      </c>
      <c r="L2449" s="425">
        <v>0</v>
      </c>
      <c r="M2449" s="425">
        <v>63</v>
      </c>
      <c r="N2449" s="425">
        <v>1169</v>
      </c>
      <c r="O2449" s="425">
        <v>25</v>
      </c>
      <c r="P2449" s="425">
        <v>3370</v>
      </c>
      <c r="Q2449" s="425">
        <v>23</v>
      </c>
      <c r="R2449" s="319">
        <f t="shared" si="283"/>
        <v>7081</v>
      </c>
      <c r="S2449" s="364">
        <f t="shared" si="284"/>
        <v>166</v>
      </c>
      <c r="T2449" s="426"/>
      <c r="U2449" s="426"/>
      <c r="V2449" s="426"/>
      <c r="W2449" s="426"/>
      <c r="X2449" s="426"/>
    </row>
    <row r="2450" spans="1:24" ht="12.75">
      <c r="A2450" s="457" t="s">
        <v>908</v>
      </c>
      <c r="B2450" s="458" t="s">
        <v>199</v>
      </c>
      <c r="C2450" s="458" t="s">
        <v>177</v>
      </c>
      <c r="D2450" s="458">
        <v>2015</v>
      </c>
      <c r="E2450" s="458" t="s">
        <v>775</v>
      </c>
      <c r="F2450" s="425">
        <v>2616</v>
      </c>
      <c r="G2450" s="424">
        <v>9</v>
      </c>
      <c r="H2450" s="425">
        <v>9</v>
      </c>
      <c r="I2450" s="425">
        <v>0</v>
      </c>
      <c r="J2450" s="424">
        <v>1931</v>
      </c>
      <c r="K2450" s="424">
        <v>106</v>
      </c>
      <c r="L2450" s="425">
        <v>106</v>
      </c>
      <c r="M2450" s="425">
        <v>0</v>
      </c>
      <c r="N2450" s="425">
        <v>1802</v>
      </c>
      <c r="O2450" s="425">
        <v>132</v>
      </c>
      <c r="P2450" s="425">
        <v>3672</v>
      </c>
      <c r="Q2450" s="425">
        <v>367</v>
      </c>
      <c r="R2450" s="319">
        <f t="shared" si="283"/>
        <v>10021</v>
      </c>
      <c r="S2450" s="364">
        <f t="shared" si="284"/>
        <v>614</v>
      </c>
      <c r="T2450" s="426"/>
      <c r="U2450" s="426"/>
      <c r="V2450" s="426"/>
      <c r="W2450" s="426"/>
      <c r="X2450" s="426"/>
    </row>
    <row r="2451" spans="1:24" ht="12.75">
      <c r="A2451" s="457" t="s">
        <v>909</v>
      </c>
      <c r="B2451" s="458" t="s">
        <v>199</v>
      </c>
      <c r="C2451" s="458" t="s">
        <v>177</v>
      </c>
      <c r="D2451" s="458">
        <v>2015</v>
      </c>
      <c r="E2451" s="458" t="s">
        <v>775</v>
      </c>
      <c r="F2451" s="425">
        <v>71</v>
      </c>
      <c r="G2451" s="424">
        <v>0</v>
      </c>
      <c r="H2451" s="425">
        <v>0</v>
      </c>
      <c r="I2451" s="425">
        <v>0</v>
      </c>
      <c r="J2451" s="425">
        <v>41</v>
      </c>
      <c r="K2451" s="424">
        <v>0</v>
      </c>
      <c r="L2451" s="425">
        <v>0</v>
      </c>
      <c r="M2451" s="425">
        <v>0</v>
      </c>
      <c r="N2451" s="425">
        <v>69</v>
      </c>
      <c r="O2451" s="425">
        <v>6</v>
      </c>
      <c r="P2451" s="425">
        <v>191</v>
      </c>
      <c r="Q2451" s="425">
        <v>0</v>
      </c>
      <c r="R2451" s="319">
        <f t="shared" si="283"/>
        <v>372</v>
      </c>
      <c r="S2451" s="364">
        <f t="shared" si="284"/>
        <v>6</v>
      </c>
      <c r="T2451" s="427">
        <f>SUM(G2445:G2451)</f>
        <v>68</v>
      </c>
      <c r="U2451" s="427">
        <f>SUM(K2445:K2451)</f>
        <v>264</v>
      </c>
      <c r="V2451" s="427">
        <f>SUM(O2445:O2451)</f>
        <v>317</v>
      </c>
      <c r="W2451" s="427">
        <f>SUM(Q2445:Q2451)</f>
        <v>892</v>
      </c>
      <c r="X2451" s="427">
        <f>T2451+U2451+V2451+W2451</f>
        <v>1541</v>
      </c>
    </row>
    <row r="2452" spans="1:24" ht="12.75">
      <c r="A2452" s="428" t="s">
        <v>720</v>
      </c>
      <c r="B2452" s="429" t="s">
        <v>199</v>
      </c>
      <c r="C2452" s="429" t="s">
        <v>177</v>
      </c>
      <c r="D2452" s="429">
        <v>2016</v>
      </c>
      <c r="E2452" s="429" t="s">
        <v>775</v>
      </c>
      <c r="F2452" s="430">
        <v>211</v>
      </c>
      <c r="G2452" s="430">
        <v>0</v>
      </c>
      <c r="H2452" s="431">
        <v>0</v>
      </c>
      <c r="I2452" s="430">
        <v>0</v>
      </c>
      <c r="J2452" s="430">
        <v>163</v>
      </c>
      <c r="K2452" s="430">
        <v>9</v>
      </c>
      <c r="L2452" s="430">
        <v>0</v>
      </c>
      <c r="M2452" s="430">
        <v>9</v>
      </c>
      <c r="N2452" s="430">
        <v>121</v>
      </c>
      <c r="O2452" s="430">
        <v>12</v>
      </c>
      <c r="P2452" s="430">
        <v>470</v>
      </c>
      <c r="Q2452" s="431">
        <v>0</v>
      </c>
      <c r="R2452" s="328">
        <f t="shared" si="283"/>
        <v>965</v>
      </c>
      <c r="S2452" s="365">
        <f t="shared" si="284"/>
        <v>21</v>
      </c>
      <c r="T2452" s="432"/>
      <c r="U2452" s="432"/>
      <c r="V2452" s="432"/>
      <c r="W2452" s="432"/>
      <c r="X2452" s="432"/>
    </row>
    <row r="2453" spans="1:24" ht="12.75">
      <c r="A2453" s="428" t="s">
        <v>722</v>
      </c>
      <c r="B2453" s="429" t="s">
        <v>199</v>
      </c>
      <c r="C2453" s="429" t="s">
        <v>177</v>
      </c>
      <c r="D2453" s="429">
        <v>2016</v>
      </c>
      <c r="E2453" s="429" t="s">
        <v>775</v>
      </c>
      <c r="F2453" s="430">
        <v>74</v>
      </c>
      <c r="G2453" s="430">
        <v>0</v>
      </c>
      <c r="H2453" s="431">
        <v>0</v>
      </c>
      <c r="I2453" s="430">
        <v>0</v>
      </c>
      <c r="J2453" s="430">
        <v>65</v>
      </c>
      <c r="K2453" s="430">
        <v>6</v>
      </c>
      <c r="L2453" s="430">
        <v>6</v>
      </c>
      <c r="M2453" s="430">
        <v>0</v>
      </c>
      <c r="N2453" s="430">
        <v>68</v>
      </c>
      <c r="O2453" s="430">
        <v>6</v>
      </c>
      <c r="P2453" s="430">
        <v>259</v>
      </c>
      <c r="Q2453" s="431">
        <v>0</v>
      </c>
      <c r="R2453" s="328">
        <f t="shared" si="283"/>
        <v>466</v>
      </c>
      <c r="S2453" s="365">
        <f t="shared" si="284"/>
        <v>12</v>
      </c>
      <c r="T2453" s="432"/>
      <c r="U2453" s="432"/>
      <c r="V2453" s="432"/>
      <c r="W2453" s="432"/>
      <c r="X2453" s="432"/>
    </row>
    <row r="2454" spans="1:24" ht="12.75">
      <c r="A2454" s="428" t="s">
        <v>723</v>
      </c>
      <c r="B2454" s="480" t="s">
        <v>199</v>
      </c>
      <c r="C2454" s="429" t="s">
        <v>177</v>
      </c>
      <c r="D2454" s="429">
        <v>2016</v>
      </c>
      <c r="E2454" s="429" t="s">
        <v>775</v>
      </c>
      <c r="F2454" s="430">
        <v>80</v>
      </c>
      <c r="G2454" s="430">
        <v>3</v>
      </c>
      <c r="H2454" s="431">
        <v>3</v>
      </c>
      <c r="I2454" s="430">
        <v>0</v>
      </c>
      <c r="J2454" s="430">
        <v>80</v>
      </c>
      <c r="K2454" s="430">
        <v>20</v>
      </c>
      <c r="L2454" s="430">
        <v>20</v>
      </c>
      <c r="M2454" s="430">
        <v>0</v>
      </c>
      <c r="N2454" s="430">
        <v>82</v>
      </c>
      <c r="O2454" s="430">
        <v>0</v>
      </c>
      <c r="P2454" s="430">
        <v>348</v>
      </c>
      <c r="Q2454" s="431">
        <v>1</v>
      </c>
      <c r="R2454" s="328">
        <f t="shared" si="283"/>
        <v>590</v>
      </c>
      <c r="S2454" s="365">
        <f t="shared" si="284"/>
        <v>24</v>
      </c>
      <c r="T2454" s="432"/>
      <c r="U2454" s="432"/>
      <c r="V2454" s="432"/>
      <c r="W2454" s="432"/>
      <c r="X2454" s="432"/>
    </row>
    <row r="2455" spans="1:24" ht="12.75">
      <c r="A2455" s="428" t="s">
        <v>724</v>
      </c>
      <c r="B2455" s="429" t="s">
        <v>199</v>
      </c>
      <c r="C2455" s="429" t="s">
        <v>177</v>
      </c>
      <c r="D2455" s="429">
        <v>2016</v>
      </c>
      <c r="E2455" s="429" t="s">
        <v>775</v>
      </c>
      <c r="F2455" s="430">
        <v>623</v>
      </c>
      <c r="G2455" s="430">
        <v>0</v>
      </c>
      <c r="H2455" s="431">
        <v>0</v>
      </c>
      <c r="I2455" s="430">
        <v>0</v>
      </c>
      <c r="J2455" s="430">
        <v>576</v>
      </c>
      <c r="K2455" s="430">
        <v>2</v>
      </c>
      <c r="L2455" s="430">
        <v>2</v>
      </c>
      <c r="M2455" s="430">
        <v>0</v>
      </c>
      <c r="N2455" s="430">
        <v>566</v>
      </c>
      <c r="O2455" s="430">
        <v>40</v>
      </c>
      <c r="P2455" s="430">
        <v>1431</v>
      </c>
      <c r="Q2455" s="431">
        <v>1</v>
      </c>
      <c r="R2455" s="328">
        <f t="shared" si="283"/>
        <v>3196</v>
      </c>
      <c r="S2455" s="365">
        <f t="shared" si="284"/>
        <v>43</v>
      </c>
      <c r="T2455" s="432"/>
      <c r="U2455" s="432"/>
      <c r="V2455" s="432"/>
      <c r="W2455" s="432"/>
      <c r="X2455" s="432"/>
    </row>
    <row r="2456" spans="1:24" ht="12.75">
      <c r="A2456" s="459" t="s">
        <v>199</v>
      </c>
      <c r="B2456" s="460" t="s">
        <v>199</v>
      </c>
      <c r="C2456" s="460" t="s">
        <v>177</v>
      </c>
      <c r="D2456" s="460">
        <v>2016</v>
      </c>
      <c r="E2456" s="460" t="s">
        <v>775</v>
      </c>
      <c r="F2456" s="431">
        <v>920</v>
      </c>
      <c r="G2456" s="430">
        <v>0</v>
      </c>
      <c r="H2456" s="431">
        <v>0</v>
      </c>
      <c r="I2456" s="431">
        <v>0</v>
      </c>
      <c r="J2456" s="430">
        <v>609</v>
      </c>
      <c r="K2456" s="430">
        <v>0</v>
      </c>
      <c r="L2456" s="431">
        <v>0</v>
      </c>
      <c r="M2456" s="431">
        <v>0</v>
      </c>
      <c r="N2456" s="431">
        <v>613</v>
      </c>
      <c r="O2456" s="431">
        <v>0</v>
      </c>
      <c r="P2456" s="431">
        <v>1452</v>
      </c>
      <c r="Q2456" s="431">
        <v>335</v>
      </c>
      <c r="R2456" s="328">
        <f t="shared" si="283"/>
        <v>3594</v>
      </c>
      <c r="S2456" s="365">
        <f t="shared" si="284"/>
        <v>335</v>
      </c>
      <c r="T2456" s="432"/>
      <c r="U2456" s="432"/>
      <c r="V2456" s="432"/>
      <c r="W2456" s="432"/>
      <c r="X2456" s="432"/>
    </row>
    <row r="2457" spans="1:24" ht="12.75">
      <c r="A2457" s="459" t="s">
        <v>725</v>
      </c>
      <c r="B2457" s="460" t="s">
        <v>199</v>
      </c>
      <c r="C2457" s="460" t="s">
        <v>177</v>
      </c>
      <c r="D2457" s="460">
        <v>2016</v>
      </c>
      <c r="E2457" s="460" t="s">
        <v>775</v>
      </c>
      <c r="F2457" s="431">
        <v>1477</v>
      </c>
      <c r="G2457" s="430">
        <v>67</v>
      </c>
      <c r="H2457" s="431">
        <v>0</v>
      </c>
      <c r="I2457" s="431">
        <v>67</v>
      </c>
      <c r="J2457" s="430">
        <v>1065</v>
      </c>
      <c r="K2457" s="430">
        <v>27</v>
      </c>
      <c r="L2457" s="431">
        <v>0</v>
      </c>
      <c r="M2457" s="431">
        <v>27</v>
      </c>
      <c r="N2457" s="431">
        <v>1169</v>
      </c>
      <c r="O2457" s="431">
        <v>57</v>
      </c>
      <c r="P2457" s="431">
        <v>3370</v>
      </c>
      <c r="Q2457" s="431">
        <v>58</v>
      </c>
      <c r="R2457" s="328">
        <f t="shared" si="283"/>
        <v>7081</v>
      </c>
      <c r="S2457" s="365">
        <f t="shared" si="284"/>
        <v>209</v>
      </c>
      <c r="T2457" s="432"/>
      <c r="U2457" s="432"/>
      <c r="V2457" s="432"/>
      <c r="W2457" s="432"/>
      <c r="X2457" s="432"/>
    </row>
    <row r="2458" spans="1:24" ht="12.75">
      <c r="A2458" s="459" t="s">
        <v>726</v>
      </c>
      <c r="B2458" s="460" t="s">
        <v>199</v>
      </c>
      <c r="C2458" s="460" t="s">
        <v>177</v>
      </c>
      <c r="D2458" s="460">
        <v>2016</v>
      </c>
      <c r="E2458" s="460" t="s">
        <v>775</v>
      </c>
      <c r="F2458" s="431">
        <v>2616</v>
      </c>
      <c r="G2458" s="430">
        <v>78</v>
      </c>
      <c r="H2458" s="431">
        <v>36</v>
      </c>
      <c r="I2458" s="431">
        <v>42</v>
      </c>
      <c r="J2458" s="430">
        <v>1931</v>
      </c>
      <c r="K2458" s="430">
        <v>118</v>
      </c>
      <c r="L2458" s="431">
        <v>0</v>
      </c>
      <c r="M2458" s="431">
        <v>118</v>
      </c>
      <c r="N2458" s="431">
        <v>1802</v>
      </c>
      <c r="O2458" s="431">
        <v>279</v>
      </c>
      <c r="P2458" s="431">
        <v>3672</v>
      </c>
      <c r="Q2458" s="431">
        <v>246</v>
      </c>
      <c r="R2458" s="328">
        <f t="shared" si="283"/>
        <v>10021</v>
      </c>
      <c r="S2458" s="365">
        <f t="shared" si="284"/>
        <v>721</v>
      </c>
      <c r="T2458" s="432"/>
      <c r="U2458" s="432"/>
      <c r="V2458" s="432"/>
      <c r="W2458" s="432"/>
      <c r="X2458" s="432"/>
    </row>
    <row r="2459" spans="1:24" ht="12.75">
      <c r="A2459" s="459" t="s">
        <v>727</v>
      </c>
      <c r="B2459" s="460" t="s">
        <v>199</v>
      </c>
      <c r="C2459" s="460" t="s">
        <v>177</v>
      </c>
      <c r="D2459" s="460">
        <v>2016</v>
      </c>
      <c r="E2459" s="460" t="s">
        <v>775</v>
      </c>
      <c r="F2459" s="431">
        <v>71</v>
      </c>
      <c r="G2459" s="430">
        <v>3</v>
      </c>
      <c r="H2459" s="431">
        <v>0</v>
      </c>
      <c r="I2459" s="431">
        <v>3</v>
      </c>
      <c r="J2459" s="431">
        <v>41</v>
      </c>
      <c r="K2459" s="430">
        <v>3</v>
      </c>
      <c r="L2459" s="431">
        <v>0</v>
      </c>
      <c r="M2459" s="431">
        <v>3</v>
      </c>
      <c r="N2459" s="431">
        <v>69</v>
      </c>
      <c r="O2459" s="431">
        <v>1</v>
      </c>
      <c r="P2459" s="431">
        <v>191</v>
      </c>
      <c r="Q2459" s="431">
        <v>0</v>
      </c>
      <c r="R2459" s="328">
        <f t="shared" si="283"/>
        <v>372</v>
      </c>
      <c r="S2459" s="365">
        <f t="shared" si="284"/>
        <v>7</v>
      </c>
      <c r="T2459" s="413">
        <f>SUM(G2452:G2459)</f>
        <v>151</v>
      </c>
      <c r="U2459" s="413">
        <f>SUM(K2452:K2459)</f>
        <v>185</v>
      </c>
      <c r="V2459" s="413">
        <f>SUM(O2452:O2459)</f>
        <v>395</v>
      </c>
      <c r="W2459" s="413">
        <f>SUM(Q2452:Q2459)</f>
        <v>641</v>
      </c>
      <c r="X2459" s="413">
        <f>T2459+U2459+V2459+W2459</f>
        <v>1372</v>
      </c>
    </row>
    <row r="2460" spans="1:24" ht="12.75">
      <c r="A2460" s="433" t="s">
        <v>720</v>
      </c>
      <c r="B2460" s="434" t="s">
        <v>199</v>
      </c>
      <c r="C2460" s="434" t="s">
        <v>177</v>
      </c>
      <c r="D2460" s="434">
        <v>2017</v>
      </c>
      <c r="E2460" s="434" t="s">
        <v>775</v>
      </c>
      <c r="F2460" s="435">
        <v>211</v>
      </c>
      <c r="G2460" s="435">
        <v>43</v>
      </c>
      <c r="H2460" s="436">
        <v>43</v>
      </c>
      <c r="I2460" s="435">
        <v>0</v>
      </c>
      <c r="J2460" s="435">
        <v>163</v>
      </c>
      <c r="K2460" s="435">
        <v>19</v>
      </c>
      <c r="L2460" s="435">
        <v>0</v>
      </c>
      <c r="M2460" s="435">
        <v>19</v>
      </c>
      <c r="N2460" s="435">
        <v>121</v>
      </c>
      <c r="O2460" s="435">
        <v>46</v>
      </c>
      <c r="P2460" s="435">
        <v>470</v>
      </c>
      <c r="Q2460" s="436">
        <v>11</v>
      </c>
      <c r="R2460" s="336">
        <f t="shared" si="283"/>
        <v>965</v>
      </c>
      <c r="S2460" s="366">
        <f t="shared" si="284"/>
        <v>119</v>
      </c>
      <c r="T2460" s="437"/>
      <c r="U2460" s="437"/>
      <c r="V2460" s="437"/>
      <c r="W2460" s="437"/>
      <c r="X2460" s="437"/>
    </row>
    <row r="2461" spans="1:24" ht="12.75">
      <c r="A2461" s="433" t="s">
        <v>721</v>
      </c>
      <c r="B2461" s="434" t="s">
        <v>199</v>
      </c>
      <c r="C2461" s="434" t="s">
        <v>177</v>
      </c>
      <c r="D2461" s="434">
        <v>2017</v>
      </c>
      <c r="E2461" s="434" t="s">
        <v>775</v>
      </c>
      <c r="F2461" s="435">
        <v>143</v>
      </c>
      <c r="G2461" s="435">
        <v>0</v>
      </c>
      <c r="H2461" s="436">
        <v>0</v>
      </c>
      <c r="I2461" s="435">
        <v>0</v>
      </c>
      <c r="J2461" s="435">
        <v>125</v>
      </c>
      <c r="K2461" s="435">
        <v>2</v>
      </c>
      <c r="L2461" s="435">
        <v>0</v>
      </c>
      <c r="M2461" s="435">
        <v>2</v>
      </c>
      <c r="N2461" s="435">
        <v>85</v>
      </c>
      <c r="O2461" s="435">
        <v>2</v>
      </c>
      <c r="P2461" s="435">
        <v>272</v>
      </c>
      <c r="Q2461" s="436">
        <v>6</v>
      </c>
      <c r="R2461" s="336">
        <f t="shared" si="283"/>
        <v>625</v>
      </c>
      <c r="S2461" s="366">
        <f t="shared" si="284"/>
        <v>10</v>
      </c>
      <c r="T2461" s="437"/>
      <c r="U2461" s="437"/>
      <c r="V2461" s="437"/>
      <c r="W2461" s="437"/>
      <c r="X2461" s="437"/>
    </row>
    <row r="2462" spans="1:24" ht="12.75">
      <c r="A2462" s="433" t="s">
        <v>722</v>
      </c>
      <c r="B2462" s="434" t="s">
        <v>199</v>
      </c>
      <c r="C2462" s="434" t="s">
        <v>177</v>
      </c>
      <c r="D2462" s="434">
        <v>2017</v>
      </c>
      <c r="E2462" s="434" t="s">
        <v>775</v>
      </c>
      <c r="F2462" s="435">
        <v>74</v>
      </c>
      <c r="G2462" s="435">
        <v>6</v>
      </c>
      <c r="H2462" s="436">
        <v>0</v>
      </c>
      <c r="I2462" s="435">
        <v>6</v>
      </c>
      <c r="J2462" s="435">
        <v>65</v>
      </c>
      <c r="K2462" s="435">
        <v>7</v>
      </c>
      <c r="L2462" s="435">
        <v>0</v>
      </c>
      <c r="M2462" s="435">
        <v>7</v>
      </c>
      <c r="N2462" s="435">
        <v>68</v>
      </c>
      <c r="O2462" s="435">
        <v>5</v>
      </c>
      <c r="P2462" s="435">
        <v>259</v>
      </c>
      <c r="Q2462" s="436">
        <v>5</v>
      </c>
      <c r="R2462" s="336">
        <f t="shared" si="283"/>
        <v>466</v>
      </c>
      <c r="S2462" s="366">
        <f t="shared" si="284"/>
        <v>23</v>
      </c>
      <c r="T2462" s="437"/>
      <c r="U2462" s="437"/>
      <c r="V2462" s="437"/>
      <c r="W2462" s="437"/>
      <c r="X2462" s="437"/>
    </row>
    <row r="2463" spans="1:24" ht="12.75">
      <c r="A2463" s="433" t="s">
        <v>723</v>
      </c>
      <c r="B2463" s="434" t="s">
        <v>199</v>
      </c>
      <c r="C2463" s="434" t="s">
        <v>177</v>
      </c>
      <c r="D2463" s="434">
        <v>2017</v>
      </c>
      <c r="E2463" s="434" t="s">
        <v>775</v>
      </c>
      <c r="F2463" s="435">
        <v>80</v>
      </c>
      <c r="G2463" s="435">
        <v>33</v>
      </c>
      <c r="H2463" s="436">
        <v>32</v>
      </c>
      <c r="I2463" s="435">
        <v>1</v>
      </c>
      <c r="J2463" s="435">
        <v>80</v>
      </c>
      <c r="K2463" s="435">
        <v>19</v>
      </c>
      <c r="L2463" s="435">
        <v>18</v>
      </c>
      <c r="M2463" s="435">
        <v>1</v>
      </c>
      <c r="N2463" s="435">
        <v>82</v>
      </c>
      <c r="O2463" s="435">
        <v>20</v>
      </c>
      <c r="P2463" s="435">
        <v>348</v>
      </c>
      <c r="Q2463" s="436">
        <v>0</v>
      </c>
      <c r="R2463" s="336">
        <f t="shared" si="283"/>
        <v>590</v>
      </c>
      <c r="S2463" s="366">
        <f t="shared" si="284"/>
        <v>72</v>
      </c>
      <c r="T2463" s="437"/>
      <c r="U2463" s="437"/>
      <c r="V2463" s="437"/>
      <c r="W2463" s="437"/>
      <c r="X2463" s="437"/>
    </row>
    <row r="2464" spans="1:24" ht="12.75">
      <c r="A2464" s="433" t="s">
        <v>724</v>
      </c>
      <c r="B2464" s="434" t="s">
        <v>199</v>
      </c>
      <c r="C2464" s="434" t="s">
        <v>177</v>
      </c>
      <c r="D2464" s="434">
        <v>2017</v>
      </c>
      <c r="E2464" s="434" t="s">
        <v>775</v>
      </c>
      <c r="F2464" s="435">
        <v>623</v>
      </c>
      <c r="G2464" s="435">
        <v>0</v>
      </c>
      <c r="H2464" s="436">
        <v>0</v>
      </c>
      <c r="I2464" s="435">
        <v>0</v>
      </c>
      <c r="J2464" s="435">
        <v>576</v>
      </c>
      <c r="K2464" s="435">
        <v>2</v>
      </c>
      <c r="L2464" s="435">
        <v>2</v>
      </c>
      <c r="M2464" s="435">
        <v>0</v>
      </c>
      <c r="N2464" s="435">
        <v>566</v>
      </c>
      <c r="O2464" s="435">
        <v>15</v>
      </c>
      <c r="P2464" s="435">
        <v>1431</v>
      </c>
      <c r="Q2464" s="436">
        <v>2</v>
      </c>
      <c r="R2464" s="336">
        <f t="shared" si="283"/>
        <v>3196</v>
      </c>
      <c r="S2464" s="366">
        <f t="shared" si="284"/>
        <v>19</v>
      </c>
      <c r="T2464" s="437"/>
      <c r="U2464" s="437"/>
      <c r="V2464" s="437"/>
      <c r="W2464" s="437"/>
      <c r="X2464" s="437"/>
    </row>
    <row r="2465" spans="1:24" ht="12.75">
      <c r="A2465" s="461" t="s">
        <v>199</v>
      </c>
      <c r="B2465" s="462" t="s">
        <v>199</v>
      </c>
      <c r="C2465" s="462" t="s">
        <v>177</v>
      </c>
      <c r="D2465" s="462">
        <v>2017</v>
      </c>
      <c r="E2465" s="462" t="s">
        <v>775</v>
      </c>
      <c r="F2465" s="436">
        <v>920</v>
      </c>
      <c r="G2465" s="435">
        <v>0</v>
      </c>
      <c r="H2465" s="436">
        <v>0</v>
      </c>
      <c r="I2465" s="436">
        <v>0</v>
      </c>
      <c r="J2465" s="435">
        <v>609</v>
      </c>
      <c r="K2465" s="435">
        <v>7</v>
      </c>
      <c r="L2465" s="436">
        <v>7</v>
      </c>
      <c r="M2465" s="436">
        <v>0</v>
      </c>
      <c r="N2465" s="436">
        <v>613</v>
      </c>
      <c r="O2465" s="436">
        <v>0</v>
      </c>
      <c r="P2465" s="436">
        <v>1452</v>
      </c>
      <c r="Q2465" s="436">
        <v>354</v>
      </c>
      <c r="R2465" s="336">
        <f t="shared" si="283"/>
        <v>3594</v>
      </c>
      <c r="S2465" s="366">
        <f t="shared" si="284"/>
        <v>361</v>
      </c>
      <c r="T2465" s="437"/>
      <c r="U2465" s="437"/>
      <c r="V2465" s="437"/>
      <c r="W2465" s="437"/>
      <c r="X2465" s="437"/>
    </row>
    <row r="2466" spans="1:24" ht="12.75">
      <c r="A2466" s="461" t="s">
        <v>725</v>
      </c>
      <c r="B2466" s="462" t="s">
        <v>199</v>
      </c>
      <c r="C2466" s="462" t="s">
        <v>177</v>
      </c>
      <c r="D2466" s="462">
        <v>2017</v>
      </c>
      <c r="E2466" s="462" t="s">
        <v>775</v>
      </c>
      <c r="F2466" s="436">
        <v>1477</v>
      </c>
      <c r="G2466" s="435">
        <v>33</v>
      </c>
      <c r="H2466" s="436">
        <v>0</v>
      </c>
      <c r="I2466" s="436">
        <v>33</v>
      </c>
      <c r="J2466" s="435">
        <v>1065</v>
      </c>
      <c r="K2466" s="435">
        <v>84</v>
      </c>
      <c r="L2466" s="436">
        <v>0</v>
      </c>
      <c r="M2466" s="436">
        <v>84</v>
      </c>
      <c r="N2466" s="436">
        <v>1169</v>
      </c>
      <c r="O2466" s="436">
        <v>16</v>
      </c>
      <c r="P2466" s="436">
        <v>3370</v>
      </c>
      <c r="Q2466" s="436">
        <v>13</v>
      </c>
      <c r="R2466" s="336">
        <f t="shared" si="283"/>
        <v>7081</v>
      </c>
      <c r="S2466" s="366">
        <f t="shared" si="284"/>
        <v>146</v>
      </c>
      <c r="T2466" s="437"/>
      <c r="U2466" s="437"/>
      <c r="V2466" s="437"/>
      <c r="W2466" s="437"/>
      <c r="X2466" s="437"/>
    </row>
    <row r="2467" spans="1:24" ht="12.75">
      <c r="A2467" s="461" t="s">
        <v>726</v>
      </c>
      <c r="B2467" s="462" t="s">
        <v>199</v>
      </c>
      <c r="C2467" s="462" t="s">
        <v>177</v>
      </c>
      <c r="D2467" s="462">
        <v>2017</v>
      </c>
      <c r="E2467" s="462" t="s">
        <v>775</v>
      </c>
      <c r="F2467" s="436">
        <v>2616</v>
      </c>
      <c r="G2467" s="435">
        <v>2</v>
      </c>
      <c r="H2467" s="436">
        <v>2</v>
      </c>
      <c r="I2467" s="436">
        <v>0</v>
      </c>
      <c r="J2467" s="435">
        <v>1931</v>
      </c>
      <c r="K2467" s="435">
        <v>72</v>
      </c>
      <c r="L2467" s="436">
        <v>72</v>
      </c>
      <c r="M2467" s="436">
        <v>0</v>
      </c>
      <c r="N2467" s="436">
        <v>1802</v>
      </c>
      <c r="O2467" s="436">
        <v>29</v>
      </c>
      <c r="P2467" s="436">
        <v>3672</v>
      </c>
      <c r="Q2467" s="436">
        <v>403</v>
      </c>
      <c r="R2467" s="336">
        <f t="shared" si="283"/>
        <v>10021</v>
      </c>
      <c r="S2467" s="366">
        <f t="shared" si="284"/>
        <v>506</v>
      </c>
      <c r="T2467" s="437"/>
      <c r="U2467" s="437"/>
      <c r="V2467" s="437"/>
      <c r="W2467" s="437"/>
      <c r="X2467" s="437"/>
    </row>
    <row r="2468" spans="1:24" ht="12.75">
      <c r="A2468" s="461" t="s">
        <v>727</v>
      </c>
      <c r="B2468" s="462" t="s">
        <v>199</v>
      </c>
      <c r="C2468" s="462" t="s">
        <v>177</v>
      </c>
      <c r="D2468" s="462">
        <v>2017</v>
      </c>
      <c r="E2468" s="462" t="s">
        <v>775</v>
      </c>
      <c r="F2468" s="436">
        <v>71</v>
      </c>
      <c r="G2468" s="435">
        <v>2</v>
      </c>
      <c r="H2468" s="436">
        <v>0</v>
      </c>
      <c r="I2468" s="436">
        <v>2</v>
      </c>
      <c r="J2468" s="436">
        <v>41</v>
      </c>
      <c r="K2468" s="435">
        <v>1</v>
      </c>
      <c r="L2468" s="436">
        <v>0</v>
      </c>
      <c r="M2468" s="436">
        <v>1</v>
      </c>
      <c r="N2468" s="436">
        <v>69</v>
      </c>
      <c r="O2468" s="436">
        <v>0</v>
      </c>
      <c r="P2468" s="436">
        <v>191</v>
      </c>
      <c r="Q2468" s="436">
        <v>1</v>
      </c>
      <c r="R2468" s="336">
        <f t="shared" si="283"/>
        <v>372</v>
      </c>
      <c r="S2468" s="366">
        <f t="shared" si="284"/>
        <v>4</v>
      </c>
      <c r="T2468" s="414">
        <f>SUM(G2460:G2468)</f>
        <v>119</v>
      </c>
      <c r="U2468" s="414">
        <f>SUM(K2460:K2468)</f>
        <v>213</v>
      </c>
      <c r="V2468" s="414">
        <f>SUM(O2460:O2468)</f>
        <v>133</v>
      </c>
      <c r="W2468" s="414">
        <f>SUM(Q2460:Q2468)</f>
        <v>795</v>
      </c>
      <c r="X2468" s="414">
        <f>T2468+U2468+V2468+W2468</f>
        <v>1260</v>
      </c>
    </row>
    <row r="2469" spans="1:24" ht="12.75">
      <c r="A2469" s="438" t="s">
        <v>720</v>
      </c>
      <c r="B2469" s="439" t="s">
        <v>199</v>
      </c>
      <c r="C2469" s="439" t="s">
        <v>177</v>
      </c>
      <c r="D2469" s="439">
        <v>2018</v>
      </c>
      <c r="E2469" s="439" t="s">
        <v>775</v>
      </c>
      <c r="F2469" s="440">
        <v>211</v>
      </c>
      <c r="G2469" s="441">
        <v>0</v>
      </c>
      <c r="H2469" s="440">
        <v>0</v>
      </c>
      <c r="I2469" s="440">
        <v>0</v>
      </c>
      <c r="J2469" s="440">
        <v>163</v>
      </c>
      <c r="K2469" s="441">
        <v>0</v>
      </c>
      <c r="L2469" s="440">
        <v>0</v>
      </c>
      <c r="M2469" s="440">
        <v>0</v>
      </c>
      <c r="N2469" s="440">
        <v>121</v>
      </c>
      <c r="O2469" s="440">
        <v>69</v>
      </c>
      <c r="P2469" s="440">
        <v>470</v>
      </c>
      <c r="Q2469" s="440">
        <v>30</v>
      </c>
      <c r="R2469" s="344">
        <f t="shared" si="283"/>
        <v>965</v>
      </c>
      <c r="S2469" s="367">
        <f t="shared" si="284"/>
        <v>99</v>
      </c>
      <c r="T2469" s="442"/>
      <c r="U2469" s="442"/>
      <c r="V2469" s="442"/>
      <c r="W2469" s="442"/>
      <c r="X2469" s="442"/>
    </row>
    <row r="2470" spans="1:24" ht="12.75">
      <c r="A2470" s="438" t="s">
        <v>721</v>
      </c>
      <c r="B2470" s="439" t="s">
        <v>199</v>
      </c>
      <c r="C2470" s="439" t="s">
        <v>177</v>
      </c>
      <c r="D2470" s="439">
        <v>2018</v>
      </c>
      <c r="E2470" s="439" t="s">
        <v>775</v>
      </c>
      <c r="F2470" s="440">
        <v>143</v>
      </c>
      <c r="G2470" s="454"/>
      <c r="H2470" s="455"/>
      <c r="I2470" s="455"/>
      <c r="J2470" s="440">
        <v>125</v>
      </c>
      <c r="K2470" s="454"/>
      <c r="L2470" s="455"/>
      <c r="M2470" s="455"/>
      <c r="N2470" s="440">
        <v>85</v>
      </c>
      <c r="O2470" s="455"/>
      <c r="P2470" s="440">
        <v>272</v>
      </c>
      <c r="Q2470" s="455"/>
      <c r="R2470" s="344">
        <f t="shared" si="283"/>
        <v>625</v>
      </c>
      <c r="S2470" s="367">
        <f t="shared" si="284"/>
        <v>0</v>
      </c>
      <c r="T2470" s="442"/>
      <c r="U2470" s="442"/>
      <c r="V2470" s="442"/>
      <c r="W2470" s="442"/>
      <c r="X2470" s="442"/>
    </row>
    <row r="2471" spans="1:24" ht="12.75">
      <c r="A2471" s="438" t="s">
        <v>722</v>
      </c>
      <c r="B2471" s="439" t="s">
        <v>199</v>
      </c>
      <c r="C2471" s="439" t="s">
        <v>177</v>
      </c>
      <c r="D2471" s="439">
        <v>2018</v>
      </c>
      <c r="E2471" s="439" t="s">
        <v>775</v>
      </c>
      <c r="F2471" s="440">
        <v>74</v>
      </c>
      <c r="G2471" s="454"/>
      <c r="H2471" s="455"/>
      <c r="I2471" s="455"/>
      <c r="J2471" s="440">
        <v>65</v>
      </c>
      <c r="K2471" s="454"/>
      <c r="L2471" s="455"/>
      <c r="M2471" s="455"/>
      <c r="N2471" s="440">
        <v>68</v>
      </c>
      <c r="O2471" s="455"/>
      <c r="P2471" s="440">
        <v>259</v>
      </c>
      <c r="Q2471" s="455"/>
      <c r="R2471" s="344">
        <f t="shared" si="283"/>
        <v>466</v>
      </c>
      <c r="S2471" s="367">
        <f t="shared" si="284"/>
        <v>0</v>
      </c>
      <c r="T2471" s="442"/>
      <c r="U2471" s="442"/>
      <c r="V2471" s="442"/>
      <c r="W2471" s="442"/>
      <c r="X2471" s="442"/>
    </row>
    <row r="2472" spans="1:24" ht="12.75">
      <c r="A2472" s="438" t="s">
        <v>723</v>
      </c>
      <c r="B2472" s="439" t="s">
        <v>199</v>
      </c>
      <c r="C2472" s="439" t="s">
        <v>177</v>
      </c>
      <c r="D2472" s="439">
        <v>2018</v>
      </c>
      <c r="E2472" s="439" t="s">
        <v>775</v>
      </c>
      <c r="F2472" s="440">
        <v>80</v>
      </c>
      <c r="G2472" s="441">
        <v>0</v>
      </c>
      <c r="H2472" s="440">
        <v>0</v>
      </c>
      <c r="I2472" s="440">
        <v>0</v>
      </c>
      <c r="J2472" s="440">
        <v>80</v>
      </c>
      <c r="K2472" s="441">
        <v>1</v>
      </c>
      <c r="L2472" s="440">
        <v>0</v>
      </c>
      <c r="M2472" s="440">
        <v>1</v>
      </c>
      <c r="N2472" s="440">
        <v>82</v>
      </c>
      <c r="O2472" s="440">
        <v>20</v>
      </c>
      <c r="P2472" s="440">
        <v>348</v>
      </c>
      <c r="Q2472" s="440">
        <v>0</v>
      </c>
      <c r="R2472" s="344">
        <f t="shared" si="283"/>
        <v>590</v>
      </c>
      <c r="S2472" s="367">
        <f t="shared" si="284"/>
        <v>21</v>
      </c>
      <c r="T2472" s="442"/>
      <c r="U2472" s="442"/>
      <c r="V2472" s="442"/>
      <c r="W2472" s="442"/>
      <c r="X2472" s="442"/>
    </row>
    <row r="2473" spans="1:24" ht="12.75">
      <c r="A2473" s="438" t="s">
        <v>199</v>
      </c>
      <c r="B2473" s="439" t="s">
        <v>199</v>
      </c>
      <c r="C2473" s="439" t="s">
        <v>177</v>
      </c>
      <c r="D2473" s="439">
        <v>2018</v>
      </c>
      <c r="E2473" s="439" t="s">
        <v>775</v>
      </c>
      <c r="F2473" s="440">
        <v>920</v>
      </c>
      <c r="G2473" s="441">
        <v>43</v>
      </c>
      <c r="H2473" s="440">
        <v>43</v>
      </c>
      <c r="I2473" s="440">
        <v>0</v>
      </c>
      <c r="J2473" s="440">
        <v>609</v>
      </c>
      <c r="K2473" s="441">
        <v>21</v>
      </c>
      <c r="L2473" s="440">
        <v>21</v>
      </c>
      <c r="M2473" s="440">
        <v>0</v>
      </c>
      <c r="N2473" s="440">
        <v>613</v>
      </c>
      <c r="O2473" s="440">
        <v>0</v>
      </c>
      <c r="P2473" s="440">
        <v>1452</v>
      </c>
      <c r="Q2473" s="440">
        <v>533</v>
      </c>
      <c r="R2473" s="344">
        <f t="shared" si="283"/>
        <v>3594</v>
      </c>
      <c r="S2473" s="367">
        <f t="shared" si="284"/>
        <v>597</v>
      </c>
      <c r="T2473" s="442"/>
      <c r="U2473" s="442"/>
      <c r="V2473" s="442"/>
      <c r="W2473" s="442"/>
      <c r="X2473" s="442"/>
    </row>
    <row r="2474" spans="1:24" ht="12.75">
      <c r="A2474" s="438" t="s">
        <v>725</v>
      </c>
      <c r="B2474" s="439" t="s">
        <v>199</v>
      </c>
      <c r="C2474" s="439" t="s">
        <v>177</v>
      </c>
      <c r="D2474" s="439">
        <v>2018</v>
      </c>
      <c r="E2474" s="439" t="s">
        <v>775</v>
      </c>
      <c r="F2474" s="440">
        <v>1477</v>
      </c>
      <c r="G2474" s="441">
        <v>60</v>
      </c>
      <c r="H2474" s="440">
        <v>0</v>
      </c>
      <c r="I2474" s="440">
        <v>60</v>
      </c>
      <c r="J2474" s="440">
        <v>1065</v>
      </c>
      <c r="K2474" s="441">
        <v>41</v>
      </c>
      <c r="L2474" s="440">
        <v>0</v>
      </c>
      <c r="M2474" s="440">
        <v>41</v>
      </c>
      <c r="N2474" s="440">
        <v>1169</v>
      </c>
      <c r="O2474" s="440">
        <v>21</v>
      </c>
      <c r="P2474" s="440">
        <v>3370</v>
      </c>
      <c r="Q2474" s="440">
        <v>23</v>
      </c>
      <c r="R2474" s="344">
        <f t="shared" si="283"/>
        <v>7081</v>
      </c>
      <c r="S2474" s="367">
        <f t="shared" si="284"/>
        <v>145</v>
      </c>
      <c r="T2474" s="442"/>
      <c r="U2474" s="442"/>
      <c r="V2474" s="442"/>
      <c r="W2474" s="442"/>
      <c r="X2474" s="442"/>
    </row>
    <row r="2475" spans="1:24" ht="12.75">
      <c r="A2475" s="438" t="s">
        <v>726</v>
      </c>
      <c r="B2475" s="439" t="s">
        <v>199</v>
      </c>
      <c r="C2475" s="439" t="s">
        <v>177</v>
      </c>
      <c r="D2475" s="439">
        <v>2018</v>
      </c>
      <c r="E2475" s="439" t="s">
        <v>775</v>
      </c>
      <c r="F2475" s="440">
        <v>2616</v>
      </c>
      <c r="G2475" s="441">
        <v>0</v>
      </c>
      <c r="H2475" s="440">
        <v>0</v>
      </c>
      <c r="I2475" s="440">
        <v>0</v>
      </c>
      <c r="J2475" s="440">
        <v>1931</v>
      </c>
      <c r="K2475" s="441">
        <v>86</v>
      </c>
      <c r="L2475" s="440">
        <v>0</v>
      </c>
      <c r="M2475" s="440">
        <v>86</v>
      </c>
      <c r="N2475" s="440">
        <v>1802</v>
      </c>
      <c r="O2475" s="440">
        <v>102</v>
      </c>
      <c r="P2475" s="440">
        <v>3672</v>
      </c>
      <c r="Q2475" s="440">
        <v>391</v>
      </c>
      <c r="R2475" s="344">
        <f t="shared" si="283"/>
        <v>10021</v>
      </c>
      <c r="S2475" s="367">
        <f t="shared" si="284"/>
        <v>579</v>
      </c>
      <c r="T2475" s="442"/>
      <c r="U2475" s="442"/>
      <c r="V2475" s="442"/>
      <c r="W2475" s="442"/>
      <c r="X2475" s="442"/>
    </row>
    <row r="2476" spans="1:24" ht="12.75">
      <c r="A2476" s="438" t="s">
        <v>727</v>
      </c>
      <c r="B2476" s="439" t="s">
        <v>199</v>
      </c>
      <c r="C2476" s="439" t="s">
        <v>177</v>
      </c>
      <c r="D2476" s="439">
        <v>2018</v>
      </c>
      <c r="E2476" s="439" t="s">
        <v>775</v>
      </c>
      <c r="F2476" s="440">
        <v>71</v>
      </c>
      <c r="G2476" s="441">
        <v>0</v>
      </c>
      <c r="H2476" s="440">
        <v>0</v>
      </c>
      <c r="I2476" s="440">
        <v>0</v>
      </c>
      <c r="J2476" s="440">
        <v>41</v>
      </c>
      <c r="K2476" s="441">
        <v>25</v>
      </c>
      <c r="L2476" s="440">
        <v>0</v>
      </c>
      <c r="M2476" s="440">
        <v>25</v>
      </c>
      <c r="N2476" s="440">
        <v>69</v>
      </c>
      <c r="O2476" s="440">
        <v>0</v>
      </c>
      <c r="P2476" s="440">
        <v>191</v>
      </c>
      <c r="Q2476" s="440">
        <v>0</v>
      </c>
      <c r="R2476" s="344">
        <f t="shared" si="283"/>
        <v>372</v>
      </c>
      <c r="S2476" s="367">
        <f t="shared" si="284"/>
        <v>25</v>
      </c>
      <c r="T2476" s="443">
        <f>SUM(G2469:G2476)</f>
        <v>103</v>
      </c>
      <c r="U2476" s="443">
        <f>SUM(K2469:K2476)</f>
        <v>174</v>
      </c>
      <c r="V2476" s="443">
        <f>SUM(O2469:O2476)</f>
        <v>212</v>
      </c>
      <c r="W2476" s="443">
        <f>SUM(Q2469:Q2476)</f>
        <v>977</v>
      </c>
      <c r="X2476" s="443">
        <f>T2476+U2476+V2476+W2476</f>
        <v>1466</v>
      </c>
    </row>
    <row r="2477" spans="1:24" ht="12.75">
      <c r="A2477" s="346" t="s">
        <v>720</v>
      </c>
      <c r="B2477" s="347" t="s">
        <v>199</v>
      </c>
      <c r="C2477" s="347" t="s">
        <v>811</v>
      </c>
      <c r="D2477" s="347">
        <v>2019</v>
      </c>
      <c r="E2477" s="347" t="s">
        <v>775</v>
      </c>
      <c r="F2477" s="348">
        <v>211</v>
      </c>
      <c r="G2477" s="348">
        <v>2</v>
      </c>
      <c r="H2477" s="348">
        <v>0</v>
      </c>
      <c r="I2477" s="348">
        <v>2</v>
      </c>
      <c r="J2477" s="348">
        <v>163</v>
      </c>
      <c r="K2477" s="348">
        <v>0</v>
      </c>
      <c r="L2477" s="348">
        <v>0</v>
      </c>
      <c r="M2477" s="348">
        <v>0</v>
      </c>
      <c r="N2477" s="348">
        <v>121</v>
      </c>
      <c r="O2477" s="348">
        <v>25</v>
      </c>
      <c r="P2477" s="348">
        <v>470</v>
      </c>
      <c r="Q2477" s="348">
        <v>202</v>
      </c>
      <c r="R2477" s="350">
        <f t="shared" si="283"/>
        <v>965</v>
      </c>
      <c r="S2477" s="348">
        <f t="shared" si="284"/>
        <v>229</v>
      </c>
      <c r="T2477" s="348"/>
      <c r="U2477" s="348"/>
      <c r="V2477" s="348"/>
      <c r="W2477" s="349"/>
      <c r="X2477" s="349"/>
    </row>
    <row r="2478" spans="1:24" ht="12.75">
      <c r="A2478" s="346" t="s">
        <v>721</v>
      </c>
      <c r="B2478" s="347" t="s">
        <v>199</v>
      </c>
      <c r="C2478" s="347" t="s">
        <v>811</v>
      </c>
      <c r="D2478" s="347">
        <v>2019</v>
      </c>
      <c r="E2478" s="347" t="s">
        <v>775</v>
      </c>
      <c r="F2478" s="348">
        <v>143</v>
      </c>
      <c r="G2478" s="348">
        <v>0</v>
      </c>
      <c r="H2478" s="348">
        <v>0</v>
      </c>
      <c r="I2478" s="348">
        <v>0</v>
      </c>
      <c r="J2478" s="348">
        <v>125</v>
      </c>
      <c r="K2478" s="348">
        <v>4</v>
      </c>
      <c r="L2478" s="348">
        <v>0</v>
      </c>
      <c r="M2478" s="348">
        <v>4</v>
      </c>
      <c r="N2478" s="348">
        <v>85</v>
      </c>
      <c r="O2478" s="348">
        <v>2</v>
      </c>
      <c r="P2478" s="348">
        <v>272</v>
      </c>
      <c r="Q2478" s="348">
        <v>8</v>
      </c>
      <c r="R2478" s="350">
        <f t="shared" si="283"/>
        <v>625</v>
      </c>
      <c r="S2478" s="348">
        <f t="shared" si="284"/>
        <v>14</v>
      </c>
      <c r="T2478" s="348"/>
      <c r="U2478" s="348"/>
      <c r="V2478" s="348"/>
      <c r="W2478" s="349"/>
      <c r="X2478" s="349"/>
    </row>
    <row r="2479" spans="1:24" ht="12.75">
      <c r="A2479" s="346" t="s">
        <v>723</v>
      </c>
      <c r="B2479" s="347" t="s">
        <v>199</v>
      </c>
      <c r="C2479" s="347" t="s">
        <v>811</v>
      </c>
      <c r="D2479" s="347">
        <v>2019</v>
      </c>
      <c r="E2479" s="347" t="s">
        <v>775</v>
      </c>
      <c r="F2479" s="348">
        <v>80</v>
      </c>
      <c r="G2479" s="348">
        <v>0</v>
      </c>
      <c r="H2479" s="348">
        <v>0</v>
      </c>
      <c r="I2479" s="348">
        <v>0</v>
      </c>
      <c r="J2479" s="348">
        <v>80</v>
      </c>
      <c r="K2479" s="348">
        <v>0</v>
      </c>
      <c r="L2479" s="348">
        <v>0</v>
      </c>
      <c r="M2479" s="348">
        <v>0</v>
      </c>
      <c r="N2479" s="348">
        <v>82</v>
      </c>
      <c r="O2479" s="348">
        <v>6</v>
      </c>
      <c r="P2479" s="348">
        <v>348</v>
      </c>
      <c r="Q2479" s="348">
        <v>0</v>
      </c>
      <c r="R2479" s="350">
        <f t="shared" si="283"/>
        <v>590</v>
      </c>
      <c r="S2479" s="348">
        <f t="shared" si="284"/>
        <v>6</v>
      </c>
      <c r="T2479" s="348"/>
      <c r="U2479" s="348"/>
      <c r="V2479" s="348"/>
      <c r="W2479" s="349"/>
      <c r="X2479" s="349"/>
    </row>
    <row r="2480" spans="1:24" ht="12.75">
      <c r="A2480" s="346" t="s">
        <v>724</v>
      </c>
      <c r="B2480" s="347" t="s">
        <v>199</v>
      </c>
      <c r="C2480" s="347" t="s">
        <v>811</v>
      </c>
      <c r="D2480" s="347">
        <v>2019</v>
      </c>
      <c r="E2480" s="347" t="s">
        <v>775</v>
      </c>
      <c r="F2480" s="348">
        <v>623</v>
      </c>
      <c r="G2480" s="348">
        <v>0</v>
      </c>
      <c r="H2480" s="348">
        <v>0</v>
      </c>
      <c r="I2480" s="348">
        <v>0</v>
      </c>
      <c r="J2480" s="348">
        <v>576</v>
      </c>
      <c r="K2480" s="348">
        <v>12</v>
      </c>
      <c r="L2480" s="348">
        <v>8</v>
      </c>
      <c r="M2480" s="348">
        <v>4</v>
      </c>
      <c r="N2480" s="348">
        <v>566</v>
      </c>
      <c r="O2480" s="348">
        <v>2</v>
      </c>
      <c r="P2480" s="348">
        <v>1431</v>
      </c>
      <c r="Q2480" s="348">
        <v>64</v>
      </c>
      <c r="R2480" s="350">
        <f t="shared" si="283"/>
        <v>3196</v>
      </c>
      <c r="S2480" s="348">
        <f t="shared" si="284"/>
        <v>78</v>
      </c>
      <c r="T2480" s="348"/>
      <c r="U2480" s="348"/>
      <c r="V2480" s="348"/>
      <c r="W2480" s="349"/>
      <c r="X2480" s="349"/>
    </row>
    <row r="2481" spans="1:24" ht="12.75">
      <c r="A2481" s="346" t="s">
        <v>199</v>
      </c>
      <c r="B2481" s="347" t="s">
        <v>199</v>
      </c>
      <c r="C2481" s="347" t="s">
        <v>811</v>
      </c>
      <c r="D2481" s="347">
        <v>2019</v>
      </c>
      <c r="E2481" s="347" t="s">
        <v>775</v>
      </c>
      <c r="F2481" s="348">
        <v>920</v>
      </c>
      <c r="G2481" s="348">
        <v>0</v>
      </c>
      <c r="H2481" s="348">
        <v>0</v>
      </c>
      <c r="I2481" s="348">
        <v>0</v>
      </c>
      <c r="J2481" s="348">
        <v>609</v>
      </c>
      <c r="K2481" s="348">
        <v>0</v>
      </c>
      <c r="L2481" s="348">
        <v>0</v>
      </c>
      <c r="M2481" s="348">
        <v>0</v>
      </c>
      <c r="N2481" s="348">
        <v>613</v>
      </c>
      <c r="O2481" s="348">
        <v>193</v>
      </c>
      <c r="P2481" s="348">
        <v>1452</v>
      </c>
      <c r="Q2481" s="348">
        <v>439</v>
      </c>
      <c r="R2481" s="350">
        <f t="shared" si="283"/>
        <v>3594</v>
      </c>
      <c r="S2481" s="348">
        <f t="shared" si="284"/>
        <v>632</v>
      </c>
      <c r="T2481" s="348"/>
      <c r="U2481" s="348"/>
      <c r="V2481" s="348"/>
      <c r="W2481" s="349"/>
      <c r="X2481" s="349"/>
    </row>
    <row r="2482" spans="1:24" ht="12.75">
      <c r="A2482" s="346" t="s">
        <v>725</v>
      </c>
      <c r="B2482" s="347" t="s">
        <v>199</v>
      </c>
      <c r="C2482" s="347" t="s">
        <v>811</v>
      </c>
      <c r="D2482" s="347">
        <v>2019</v>
      </c>
      <c r="E2482" s="347" t="s">
        <v>775</v>
      </c>
      <c r="F2482" s="348">
        <v>1477</v>
      </c>
      <c r="G2482" s="348">
        <v>43</v>
      </c>
      <c r="H2482" s="348">
        <v>0</v>
      </c>
      <c r="I2482" s="348">
        <v>43</v>
      </c>
      <c r="J2482" s="348">
        <v>1065</v>
      </c>
      <c r="K2482" s="348">
        <v>111</v>
      </c>
      <c r="L2482" s="348">
        <v>0</v>
      </c>
      <c r="M2482" s="348">
        <v>111</v>
      </c>
      <c r="N2482" s="348">
        <v>1169</v>
      </c>
      <c r="O2482" s="348">
        <v>35</v>
      </c>
      <c r="P2482" s="348">
        <v>3370</v>
      </c>
      <c r="Q2482" s="348">
        <v>36</v>
      </c>
      <c r="R2482" s="350">
        <f t="shared" si="283"/>
        <v>7081</v>
      </c>
      <c r="S2482" s="348">
        <f t="shared" si="284"/>
        <v>225</v>
      </c>
      <c r="T2482" s="348"/>
      <c r="U2482" s="348"/>
      <c r="V2482" s="348"/>
      <c r="W2482" s="349"/>
      <c r="X2482" s="349"/>
    </row>
    <row r="2483" spans="1:24" ht="12.75">
      <c r="A2483" s="346" t="s">
        <v>726</v>
      </c>
      <c r="B2483" s="347" t="s">
        <v>199</v>
      </c>
      <c r="C2483" s="347" t="s">
        <v>811</v>
      </c>
      <c r="D2483" s="347">
        <v>2019</v>
      </c>
      <c r="E2483" s="347" t="s">
        <v>775</v>
      </c>
      <c r="F2483" s="348">
        <v>2616</v>
      </c>
      <c r="G2483" s="348">
        <v>20</v>
      </c>
      <c r="H2483" s="348">
        <v>0</v>
      </c>
      <c r="I2483" s="348">
        <v>20</v>
      </c>
      <c r="J2483" s="348">
        <v>1931</v>
      </c>
      <c r="K2483" s="348">
        <v>46</v>
      </c>
      <c r="L2483" s="348">
        <v>0</v>
      </c>
      <c r="M2483" s="348">
        <v>46</v>
      </c>
      <c r="N2483" s="348">
        <v>1802</v>
      </c>
      <c r="O2483" s="348">
        <v>463</v>
      </c>
      <c r="P2483" s="348">
        <v>3672</v>
      </c>
      <c r="Q2483" s="348">
        <v>169</v>
      </c>
      <c r="R2483" s="350">
        <f t="shared" si="283"/>
        <v>10021</v>
      </c>
      <c r="S2483" s="348">
        <f t="shared" si="284"/>
        <v>698</v>
      </c>
      <c r="T2483" s="348"/>
      <c r="U2483" s="348"/>
      <c r="V2483" s="348"/>
      <c r="W2483" s="349"/>
      <c r="X2483" s="349"/>
    </row>
    <row r="2484" spans="1:24" ht="12.75">
      <c r="A2484" s="346" t="s">
        <v>727</v>
      </c>
      <c r="B2484" s="347" t="s">
        <v>199</v>
      </c>
      <c r="C2484" s="347" t="s">
        <v>811</v>
      </c>
      <c r="D2484" s="347">
        <v>2019</v>
      </c>
      <c r="E2484" s="347" t="s">
        <v>775</v>
      </c>
      <c r="F2484" s="348">
        <v>71</v>
      </c>
      <c r="G2484" s="348">
        <v>0</v>
      </c>
      <c r="H2484" s="348">
        <v>0</v>
      </c>
      <c r="I2484" s="348">
        <v>0</v>
      </c>
      <c r="J2484" s="348">
        <v>41</v>
      </c>
      <c r="K2484" s="348">
        <v>37</v>
      </c>
      <c r="L2484" s="348">
        <v>0</v>
      </c>
      <c r="M2484" s="348">
        <v>37</v>
      </c>
      <c r="N2484" s="348">
        <v>69</v>
      </c>
      <c r="O2484" s="348">
        <v>17</v>
      </c>
      <c r="P2484" s="348">
        <v>191</v>
      </c>
      <c r="Q2484" s="348">
        <v>0</v>
      </c>
      <c r="R2484" s="350">
        <f t="shared" si="283"/>
        <v>372</v>
      </c>
      <c r="S2484" s="348">
        <f t="shared" si="284"/>
        <v>54</v>
      </c>
      <c r="T2484" s="410">
        <f>SUM(G2477:G2484)</f>
        <v>65</v>
      </c>
      <c r="U2484" s="410">
        <f>SUM(K2477:K2484)</f>
        <v>210</v>
      </c>
      <c r="V2484" s="410">
        <f>SUM(O2477:O2484)</f>
        <v>743</v>
      </c>
      <c r="W2484" s="410">
        <f>SUM(Q2477:Q2484)</f>
        <v>918</v>
      </c>
      <c r="X2484" s="410">
        <f>T2484+U2484+V2484+W2484</f>
        <v>1936</v>
      </c>
    </row>
    <row r="2485" spans="1:24" ht="12.75">
      <c r="A2485" s="501"/>
      <c r="B2485" s="502"/>
      <c r="C2485" s="502"/>
      <c r="D2485" s="502"/>
      <c r="E2485" s="502"/>
      <c r="F2485" s="503"/>
      <c r="G2485" s="503"/>
      <c r="H2485" s="504"/>
      <c r="I2485" s="503"/>
      <c r="J2485" s="503"/>
      <c r="K2485" s="503"/>
      <c r="L2485" s="503"/>
      <c r="M2485" s="503"/>
      <c r="N2485" s="503"/>
      <c r="O2485" s="503"/>
      <c r="P2485" s="503"/>
      <c r="Q2485" s="504"/>
      <c r="R2485" s="398"/>
      <c r="S2485" s="361" t="s">
        <v>783</v>
      </c>
      <c r="T2485" s="448">
        <f t="shared" ref="T2485:X2485" si="285">SUM(T2445:T2484)</f>
        <v>506</v>
      </c>
      <c r="U2485" s="448">
        <f t="shared" si="285"/>
        <v>1046</v>
      </c>
      <c r="V2485" s="448">
        <f t="shared" si="285"/>
        <v>1800</v>
      </c>
      <c r="W2485" s="448">
        <f t="shared" si="285"/>
        <v>4223</v>
      </c>
      <c r="X2485" s="448">
        <f t="shared" si="285"/>
        <v>7575</v>
      </c>
    </row>
    <row r="2486" spans="1:24" ht="12.75">
      <c r="A2486" s="449"/>
      <c r="B2486" s="450"/>
      <c r="C2486" s="450"/>
      <c r="D2486" s="450"/>
      <c r="E2486" s="450"/>
      <c r="F2486" s="451"/>
      <c r="G2486" s="451"/>
      <c r="H2486" s="452"/>
      <c r="I2486" s="451"/>
      <c r="J2486" s="451"/>
      <c r="K2486" s="451"/>
      <c r="L2486" s="451"/>
      <c r="M2486" s="451"/>
      <c r="N2486" s="451"/>
      <c r="O2486" s="451"/>
      <c r="P2486" s="451"/>
      <c r="Q2486" s="452"/>
      <c r="R2486" s="182"/>
      <c r="S2486" s="362"/>
      <c r="T2486" s="97"/>
      <c r="U2486" s="97"/>
      <c r="V2486" s="97"/>
      <c r="W2486" s="97"/>
      <c r="X2486" s="97"/>
    </row>
    <row r="2487" spans="1:24" ht="12.75">
      <c r="A2487" s="417" t="s">
        <v>728</v>
      </c>
      <c r="B2487" s="418" t="s">
        <v>200</v>
      </c>
      <c r="C2487" s="418" t="s">
        <v>784</v>
      </c>
      <c r="D2487" s="418">
        <v>2014</v>
      </c>
      <c r="E2487" s="418" t="s">
        <v>775</v>
      </c>
      <c r="F2487" s="419">
        <v>23</v>
      </c>
      <c r="G2487" s="419">
        <v>0</v>
      </c>
      <c r="H2487" s="420">
        <v>0</v>
      </c>
      <c r="I2487" s="419">
        <v>0</v>
      </c>
      <c r="J2487" s="419">
        <v>16</v>
      </c>
      <c r="K2487" s="419">
        <v>1</v>
      </c>
      <c r="L2487" s="419">
        <v>0</v>
      </c>
      <c r="M2487" s="419">
        <v>1</v>
      </c>
      <c r="N2487" s="419">
        <v>19</v>
      </c>
      <c r="O2487" s="419">
        <v>2</v>
      </c>
      <c r="P2487" s="419">
        <v>42</v>
      </c>
      <c r="Q2487" s="420">
        <v>0</v>
      </c>
      <c r="R2487" s="311">
        <f t="shared" ref="R2487:R2498" si="286">F2487+J2487+N2487+P2487</f>
        <v>100</v>
      </c>
      <c r="S2487" s="363">
        <f t="shared" ref="S2487:S2498" si="287">K2487+O2487+G2487+Q2487</f>
        <v>3</v>
      </c>
      <c r="T2487" s="421"/>
      <c r="U2487" s="421"/>
      <c r="V2487" s="421"/>
      <c r="W2487" s="421"/>
      <c r="X2487" s="421"/>
    </row>
    <row r="2488" spans="1:24" ht="12.75">
      <c r="A2488" s="464" t="s">
        <v>729</v>
      </c>
      <c r="B2488" s="465" t="s">
        <v>200</v>
      </c>
      <c r="C2488" s="465" t="s">
        <v>784</v>
      </c>
      <c r="D2488" s="465">
        <v>2014</v>
      </c>
      <c r="E2488" s="465" t="s">
        <v>775</v>
      </c>
      <c r="F2488" s="420">
        <v>102</v>
      </c>
      <c r="G2488" s="419">
        <v>0</v>
      </c>
      <c r="H2488" s="420">
        <v>0</v>
      </c>
      <c r="I2488" s="420">
        <v>0</v>
      </c>
      <c r="J2488" s="419">
        <v>74</v>
      </c>
      <c r="K2488" s="419">
        <v>2</v>
      </c>
      <c r="L2488" s="420">
        <v>2</v>
      </c>
      <c r="M2488" s="420">
        <v>0</v>
      </c>
      <c r="N2488" s="420">
        <v>81</v>
      </c>
      <c r="O2488" s="420">
        <v>0</v>
      </c>
      <c r="P2488" s="420">
        <v>193</v>
      </c>
      <c r="Q2488" s="420">
        <v>0</v>
      </c>
      <c r="R2488" s="311">
        <f t="shared" si="286"/>
        <v>450</v>
      </c>
      <c r="S2488" s="363">
        <f t="shared" si="287"/>
        <v>2</v>
      </c>
      <c r="T2488" s="411">
        <f>SUM(G2487:G2488)</f>
        <v>0</v>
      </c>
      <c r="U2488" s="411">
        <f>SUM(K2487:K2488)</f>
        <v>3</v>
      </c>
      <c r="V2488" s="411">
        <f>SUM(O2487:O2488)</f>
        <v>2</v>
      </c>
      <c r="W2488" s="411">
        <f>SUM(Q2487:Q2488)</f>
        <v>0</v>
      </c>
      <c r="X2488" s="411">
        <f>T2488+U2488+V2488+W2488</f>
        <v>5</v>
      </c>
    </row>
    <row r="2489" spans="1:24" ht="12.75">
      <c r="A2489" s="422" t="s">
        <v>728</v>
      </c>
      <c r="B2489" s="423" t="s">
        <v>200</v>
      </c>
      <c r="C2489" s="423" t="s">
        <v>784</v>
      </c>
      <c r="D2489" s="423">
        <v>2015</v>
      </c>
      <c r="E2489" s="423" t="s">
        <v>775</v>
      </c>
      <c r="F2489" s="424">
        <v>23</v>
      </c>
      <c r="G2489" s="424">
        <v>0</v>
      </c>
      <c r="H2489" s="425">
        <v>0</v>
      </c>
      <c r="I2489" s="424">
        <v>0</v>
      </c>
      <c r="J2489" s="424">
        <v>16</v>
      </c>
      <c r="K2489" s="424">
        <v>1</v>
      </c>
      <c r="L2489" s="424">
        <v>0</v>
      </c>
      <c r="M2489" s="424">
        <v>1</v>
      </c>
      <c r="N2489" s="424">
        <v>19</v>
      </c>
      <c r="O2489" s="424">
        <v>2</v>
      </c>
      <c r="P2489" s="424">
        <v>42</v>
      </c>
      <c r="Q2489" s="425">
        <v>0</v>
      </c>
      <c r="R2489" s="319">
        <f t="shared" si="286"/>
        <v>100</v>
      </c>
      <c r="S2489" s="364">
        <f t="shared" si="287"/>
        <v>3</v>
      </c>
      <c r="T2489" s="426"/>
      <c r="U2489" s="426"/>
      <c r="V2489" s="426"/>
      <c r="W2489" s="426"/>
      <c r="X2489" s="426"/>
    </row>
    <row r="2490" spans="1:24" ht="12.75">
      <c r="A2490" s="457" t="s">
        <v>729</v>
      </c>
      <c r="B2490" s="458" t="s">
        <v>200</v>
      </c>
      <c r="C2490" s="458" t="s">
        <v>784</v>
      </c>
      <c r="D2490" s="458">
        <v>2015</v>
      </c>
      <c r="E2490" s="458" t="s">
        <v>775</v>
      </c>
      <c r="F2490" s="425">
        <v>102</v>
      </c>
      <c r="G2490" s="424">
        <v>0</v>
      </c>
      <c r="H2490" s="425">
        <v>0</v>
      </c>
      <c r="I2490" s="425">
        <v>0</v>
      </c>
      <c r="J2490" s="424">
        <v>74</v>
      </c>
      <c r="K2490" s="424">
        <v>0</v>
      </c>
      <c r="L2490" s="425">
        <v>0</v>
      </c>
      <c r="M2490" s="425">
        <v>0</v>
      </c>
      <c r="N2490" s="425">
        <v>81</v>
      </c>
      <c r="O2490" s="425">
        <v>0</v>
      </c>
      <c r="P2490" s="425">
        <v>193</v>
      </c>
      <c r="Q2490" s="425">
        <v>33</v>
      </c>
      <c r="R2490" s="319">
        <f t="shared" si="286"/>
        <v>450</v>
      </c>
      <c r="S2490" s="364">
        <f t="shared" si="287"/>
        <v>33</v>
      </c>
      <c r="T2490" s="427">
        <f>SUM(G2489:G2490)</f>
        <v>0</v>
      </c>
      <c r="U2490" s="427">
        <f>SUM(K2489:K2490)</f>
        <v>1</v>
      </c>
      <c r="V2490" s="427">
        <f>SUM(O2489:O2490)</f>
        <v>2</v>
      </c>
      <c r="W2490" s="427">
        <f>SUM(Q2489:Q2490)</f>
        <v>33</v>
      </c>
      <c r="X2490" s="427">
        <f>T2490+U2490+V2490+W2490</f>
        <v>36</v>
      </c>
    </row>
    <row r="2491" spans="1:24" ht="12.75">
      <c r="A2491" s="428" t="s">
        <v>728</v>
      </c>
      <c r="B2491" s="429" t="s">
        <v>200</v>
      </c>
      <c r="C2491" s="429" t="s">
        <v>784</v>
      </c>
      <c r="D2491" s="429">
        <v>2016</v>
      </c>
      <c r="E2491" s="429" t="s">
        <v>775</v>
      </c>
      <c r="F2491" s="430">
        <v>23</v>
      </c>
      <c r="G2491" s="430">
        <v>0</v>
      </c>
      <c r="H2491" s="431">
        <v>0</v>
      </c>
      <c r="I2491" s="430">
        <v>0</v>
      </c>
      <c r="J2491" s="430">
        <v>16</v>
      </c>
      <c r="K2491" s="430">
        <v>8</v>
      </c>
      <c r="L2491" s="430">
        <v>8</v>
      </c>
      <c r="M2491" s="430">
        <v>0</v>
      </c>
      <c r="N2491" s="430">
        <v>19</v>
      </c>
      <c r="O2491" s="430">
        <v>2</v>
      </c>
      <c r="P2491" s="430">
        <v>42</v>
      </c>
      <c r="Q2491" s="431">
        <v>4</v>
      </c>
      <c r="R2491" s="328">
        <f t="shared" si="286"/>
        <v>100</v>
      </c>
      <c r="S2491" s="365">
        <f t="shared" si="287"/>
        <v>14</v>
      </c>
      <c r="T2491" s="432"/>
      <c r="U2491" s="432"/>
      <c r="V2491" s="432"/>
      <c r="W2491" s="432"/>
      <c r="X2491" s="432"/>
    </row>
    <row r="2492" spans="1:24" ht="12.75">
      <c r="A2492" s="459" t="s">
        <v>729</v>
      </c>
      <c r="B2492" s="460" t="s">
        <v>200</v>
      </c>
      <c r="C2492" s="460" t="s">
        <v>784</v>
      </c>
      <c r="D2492" s="460">
        <v>2016</v>
      </c>
      <c r="E2492" s="460" t="s">
        <v>775</v>
      </c>
      <c r="F2492" s="431">
        <v>102</v>
      </c>
      <c r="G2492" s="430">
        <v>0</v>
      </c>
      <c r="H2492" s="431">
        <v>0</v>
      </c>
      <c r="I2492" s="431">
        <v>0</v>
      </c>
      <c r="J2492" s="430">
        <v>74</v>
      </c>
      <c r="K2492" s="430">
        <v>2</v>
      </c>
      <c r="L2492" s="431">
        <v>2</v>
      </c>
      <c r="M2492" s="431">
        <v>0</v>
      </c>
      <c r="N2492" s="431">
        <v>81</v>
      </c>
      <c r="O2492" s="431">
        <v>0</v>
      </c>
      <c r="P2492" s="431">
        <v>193</v>
      </c>
      <c r="Q2492" s="431">
        <v>0</v>
      </c>
      <c r="R2492" s="328">
        <f t="shared" si="286"/>
        <v>450</v>
      </c>
      <c r="S2492" s="365">
        <f t="shared" si="287"/>
        <v>2</v>
      </c>
      <c r="T2492" s="413">
        <f>SUM(G2491:G2492)</f>
        <v>0</v>
      </c>
      <c r="U2492" s="413">
        <f>SUM(K2491:K2492)</f>
        <v>10</v>
      </c>
      <c r="V2492" s="413">
        <f>SUM(O2491:O2492)</f>
        <v>2</v>
      </c>
      <c r="W2492" s="413">
        <f>SUM(Q2491:Q2492)</f>
        <v>4</v>
      </c>
      <c r="X2492" s="413">
        <f>T2492+U2492+V2492+W2492</f>
        <v>16</v>
      </c>
    </row>
    <row r="2493" spans="1:24" ht="12.75">
      <c r="A2493" s="433" t="s">
        <v>728</v>
      </c>
      <c r="B2493" s="434" t="s">
        <v>200</v>
      </c>
      <c r="C2493" s="434" t="s">
        <v>784</v>
      </c>
      <c r="D2493" s="434">
        <v>2017</v>
      </c>
      <c r="E2493" s="434" t="s">
        <v>775</v>
      </c>
      <c r="F2493" s="435">
        <v>23</v>
      </c>
      <c r="G2493" s="435">
        <v>0</v>
      </c>
      <c r="H2493" s="436">
        <v>0</v>
      </c>
      <c r="I2493" s="435">
        <v>0</v>
      </c>
      <c r="J2493" s="435">
        <v>16</v>
      </c>
      <c r="K2493" s="435">
        <v>0</v>
      </c>
      <c r="L2493" s="435">
        <v>0</v>
      </c>
      <c r="M2493" s="435">
        <v>0</v>
      </c>
      <c r="N2493" s="435">
        <v>19</v>
      </c>
      <c r="O2493" s="435">
        <v>1</v>
      </c>
      <c r="P2493" s="435">
        <v>42</v>
      </c>
      <c r="Q2493" s="436">
        <v>0</v>
      </c>
      <c r="R2493" s="336">
        <f t="shared" si="286"/>
        <v>100</v>
      </c>
      <c r="S2493" s="366">
        <f t="shared" si="287"/>
        <v>1</v>
      </c>
      <c r="T2493" s="437"/>
      <c r="U2493" s="437"/>
      <c r="V2493" s="437"/>
      <c r="W2493" s="437"/>
      <c r="X2493" s="437"/>
    </row>
    <row r="2494" spans="1:24" ht="12.75">
      <c r="A2494" s="461" t="s">
        <v>729</v>
      </c>
      <c r="B2494" s="462" t="s">
        <v>200</v>
      </c>
      <c r="C2494" s="462" t="s">
        <v>784</v>
      </c>
      <c r="D2494" s="462">
        <v>2017</v>
      </c>
      <c r="E2494" s="462" t="s">
        <v>775</v>
      </c>
      <c r="F2494" s="436">
        <v>102</v>
      </c>
      <c r="G2494" s="435">
        <v>0</v>
      </c>
      <c r="H2494" s="436">
        <v>0</v>
      </c>
      <c r="I2494" s="436">
        <v>0</v>
      </c>
      <c r="J2494" s="435">
        <v>74</v>
      </c>
      <c r="K2494" s="435">
        <v>2</v>
      </c>
      <c r="L2494" s="436">
        <v>2</v>
      </c>
      <c r="M2494" s="436">
        <v>0</v>
      </c>
      <c r="N2494" s="436">
        <v>81</v>
      </c>
      <c r="O2494" s="436">
        <v>0</v>
      </c>
      <c r="P2494" s="436">
        <v>193</v>
      </c>
      <c r="Q2494" s="436">
        <v>71</v>
      </c>
      <c r="R2494" s="336">
        <f t="shared" si="286"/>
        <v>450</v>
      </c>
      <c r="S2494" s="366">
        <f t="shared" si="287"/>
        <v>73</v>
      </c>
      <c r="T2494" s="414">
        <f>SUM(G2493:G2494)</f>
        <v>0</v>
      </c>
      <c r="U2494" s="414">
        <f>SUM(K2493:K2494)</f>
        <v>2</v>
      </c>
      <c r="V2494" s="414">
        <f>SUM(O2493:O2494)</f>
        <v>1</v>
      </c>
      <c r="W2494" s="414">
        <f>SUM(Q2493:Q2494)</f>
        <v>71</v>
      </c>
      <c r="X2494" s="414">
        <f>T2494+U2494+V2494+W2494</f>
        <v>74</v>
      </c>
    </row>
    <row r="2495" spans="1:24" ht="12.75">
      <c r="A2495" s="438" t="s">
        <v>728</v>
      </c>
      <c r="B2495" s="439" t="s">
        <v>200</v>
      </c>
      <c r="C2495" s="439" t="s">
        <v>784</v>
      </c>
      <c r="D2495" s="439">
        <v>2018</v>
      </c>
      <c r="E2495" s="439" t="s">
        <v>775</v>
      </c>
      <c r="F2495" s="440">
        <v>23</v>
      </c>
      <c r="G2495" s="441">
        <v>0</v>
      </c>
      <c r="H2495" s="440">
        <v>0</v>
      </c>
      <c r="I2495" s="440">
        <v>0</v>
      </c>
      <c r="J2495" s="440">
        <v>16</v>
      </c>
      <c r="K2495" s="441">
        <v>0</v>
      </c>
      <c r="L2495" s="440">
        <v>0</v>
      </c>
      <c r="M2495" s="440">
        <v>0</v>
      </c>
      <c r="N2495" s="440">
        <v>19</v>
      </c>
      <c r="O2495" s="440">
        <v>1</v>
      </c>
      <c r="P2495" s="440">
        <v>42</v>
      </c>
      <c r="Q2495" s="440">
        <v>1</v>
      </c>
      <c r="R2495" s="344">
        <f t="shared" si="286"/>
        <v>100</v>
      </c>
      <c r="S2495" s="367">
        <f t="shared" si="287"/>
        <v>2</v>
      </c>
      <c r="T2495" s="442"/>
      <c r="U2495" s="442"/>
      <c r="V2495" s="442"/>
      <c r="W2495" s="442"/>
      <c r="X2495" s="442"/>
    </row>
    <row r="2496" spans="1:24" ht="12.75">
      <c r="A2496" s="438" t="s">
        <v>729</v>
      </c>
      <c r="B2496" s="439" t="s">
        <v>200</v>
      </c>
      <c r="C2496" s="439" t="s">
        <v>784</v>
      </c>
      <c r="D2496" s="439">
        <v>2018</v>
      </c>
      <c r="E2496" s="439" t="s">
        <v>775</v>
      </c>
      <c r="F2496" s="440">
        <v>102</v>
      </c>
      <c r="G2496" s="441">
        <v>0</v>
      </c>
      <c r="H2496" s="440">
        <v>0</v>
      </c>
      <c r="I2496" s="440">
        <v>0</v>
      </c>
      <c r="J2496" s="440">
        <v>74</v>
      </c>
      <c r="K2496" s="441">
        <v>0</v>
      </c>
      <c r="L2496" s="440">
        <v>0</v>
      </c>
      <c r="M2496" s="440">
        <v>0</v>
      </c>
      <c r="N2496" s="440">
        <v>81</v>
      </c>
      <c r="O2496" s="440">
        <v>0</v>
      </c>
      <c r="P2496" s="440">
        <v>193</v>
      </c>
      <c r="Q2496" s="440">
        <v>9</v>
      </c>
      <c r="R2496" s="344">
        <f t="shared" si="286"/>
        <v>450</v>
      </c>
      <c r="S2496" s="367">
        <f t="shared" si="287"/>
        <v>9</v>
      </c>
      <c r="T2496" s="443">
        <f>SUM(G2495:G2496)</f>
        <v>0</v>
      </c>
      <c r="U2496" s="443">
        <f>SUM(K2495:K2496)</f>
        <v>0</v>
      </c>
      <c r="V2496" s="443">
        <f>SUM(O2495:O2496)</f>
        <v>1</v>
      </c>
      <c r="W2496" s="443">
        <f>SUM(Q2495:Q2496)</f>
        <v>10</v>
      </c>
      <c r="X2496" s="443">
        <f>T2496+U2496+V2496+W2496</f>
        <v>11</v>
      </c>
    </row>
    <row r="2497" spans="1:24" ht="12.75">
      <c r="A2497" s="346" t="s">
        <v>728</v>
      </c>
      <c r="B2497" s="347" t="s">
        <v>200</v>
      </c>
      <c r="C2497" s="347" t="s">
        <v>785</v>
      </c>
      <c r="D2497" s="347">
        <v>2019</v>
      </c>
      <c r="E2497" s="347" t="s">
        <v>775</v>
      </c>
      <c r="F2497" s="348">
        <v>23</v>
      </c>
      <c r="G2497" s="348">
        <v>0</v>
      </c>
      <c r="H2497" s="348">
        <v>0</v>
      </c>
      <c r="I2497" s="348">
        <v>0</v>
      </c>
      <c r="J2497" s="348">
        <v>16</v>
      </c>
      <c r="K2497" s="348">
        <v>0</v>
      </c>
      <c r="L2497" s="348">
        <v>0</v>
      </c>
      <c r="M2497" s="348">
        <v>0</v>
      </c>
      <c r="N2497" s="348">
        <v>19</v>
      </c>
      <c r="O2497" s="348">
        <v>1</v>
      </c>
      <c r="P2497" s="348">
        <v>42</v>
      </c>
      <c r="Q2497" s="348">
        <v>1</v>
      </c>
      <c r="R2497" s="350">
        <f t="shared" si="286"/>
        <v>100</v>
      </c>
      <c r="S2497" s="348">
        <f t="shared" si="287"/>
        <v>2</v>
      </c>
      <c r="T2497" s="348"/>
      <c r="U2497" s="348"/>
      <c r="V2497" s="348"/>
      <c r="W2497" s="349"/>
      <c r="X2497" s="349"/>
    </row>
    <row r="2498" spans="1:24" ht="12.75">
      <c r="A2498" s="346" t="s">
        <v>729</v>
      </c>
      <c r="B2498" s="347" t="s">
        <v>200</v>
      </c>
      <c r="C2498" s="347" t="s">
        <v>785</v>
      </c>
      <c r="D2498" s="347">
        <v>2019</v>
      </c>
      <c r="E2498" s="347" t="s">
        <v>775</v>
      </c>
      <c r="F2498" s="348">
        <v>102</v>
      </c>
      <c r="G2498" s="348">
        <v>0</v>
      </c>
      <c r="H2498" s="348">
        <v>0</v>
      </c>
      <c r="I2498" s="348">
        <v>0</v>
      </c>
      <c r="J2498" s="348">
        <v>74</v>
      </c>
      <c r="K2498" s="348">
        <v>0</v>
      </c>
      <c r="L2498" s="348">
        <v>0</v>
      </c>
      <c r="M2498" s="348">
        <v>0</v>
      </c>
      <c r="N2498" s="348">
        <v>81</v>
      </c>
      <c r="O2498" s="348">
        <v>0</v>
      </c>
      <c r="P2498" s="348">
        <v>193</v>
      </c>
      <c r="Q2498" s="348">
        <v>17</v>
      </c>
      <c r="R2498" s="350">
        <f t="shared" si="286"/>
        <v>450</v>
      </c>
      <c r="S2498" s="348">
        <f t="shared" si="287"/>
        <v>17</v>
      </c>
      <c r="T2498" s="410">
        <f>SUM(G2497:G2498)</f>
        <v>0</v>
      </c>
      <c r="U2498" s="410">
        <f>SUM(K2497:K2498)</f>
        <v>0</v>
      </c>
      <c r="V2498" s="410">
        <f>SUM(O2497:O2498)</f>
        <v>1</v>
      </c>
      <c r="W2498" s="410">
        <f>SUM(Q2497:Q2498)</f>
        <v>18</v>
      </c>
      <c r="X2498" s="410">
        <f>T2498+U2498+V2498+W2498</f>
        <v>19</v>
      </c>
    </row>
    <row r="2499" spans="1:24" ht="12.75">
      <c r="A2499" s="501"/>
      <c r="B2499" s="502"/>
      <c r="C2499" s="502"/>
      <c r="D2499" s="502"/>
      <c r="E2499" s="502"/>
      <c r="F2499" s="503"/>
      <c r="G2499" s="503"/>
      <c r="H2499" s="504"/>
      <c r="I2499" s="503"/>
      <c r="J2499" s="503"/>
      <c r="K2499" s="503"/>
      <c r="L2499" s="503"/>
      <c r="M2499" s="503"/>
      <c r="N2499" s="503"/>
      <c r="O2499" s="503"/>
      <c r="P2499" s="503"/>
      <c r="Q2499" s="511"/>
      <c r="R2499" s="398"/>
      <c r="S2499" s="361" t="s">
        <v>783</v>
      </c>
      <c r="T2499" s="448">
        <f t="shared" ref="T2499:X2499" si="288">SUM(T2487:T2498)</f>
        <v>0</v>
      </c>
      <c r="U2499" s="448">
        <f t="shared" si="288"/>
        <v>16</v>
      </c>
      <c r="V2499" s="448">
        <f t="shared" si="288"/>
        <v>9</v>
      </c>
      <c r="W2499" s="448">
        <f t="shared" si="288"/>
        <v>136</v>
      </c>
      <c r="X2499" s="448">
        <f t="shared" si="288"/>
        <v>161</v>
      </c>
    </row>
    <row r="2500" spans="1:24" ht="12.75">
      <c r="A2500" s="449"/>
      <c r="B2500" s="450"/>
      <c r="C2500" s="450"/>
      <c r="D2500" s="450"/>
      <c r="E2500" s="450"/>
      <c r="F2500" s="451"/>
      <c r="G2500" s="451"/>
      <c r="H2500" s="452"/>
      <c r="I2500" s="451"/>
      <c r="J2500" s="451"/>
      <c r="K2500" s="451"/>
      <c r="L2500" s="451"/>
      <c r="M2500" s="451"/>
      <c r="N2500" s="451"/>
      <c r="O2500" s="451"/>
      <c r="P2500" s="451"/>
      <c r="Q2500" s="477"/>
      <c r="R2500" s="182"/>
      <c r="S2500" s="362"/>
      <c r="T2500" s="97"/>
      <c r="U2500" s="97"/>
      <c r="V2500" s="97"/>
      <c r="W2500" s="97"/>
      <c r="X2500" s="97"/>
    </row>
    <row r="2501" spans="1:24" ht="12.75">
      <c r="A2501" s="417" t="s">
        <v>730</v>
      </c>
      <c r="B2501" s="418" t="s">
        <v>201</v>
      </c>
      <c r="C2501" s="418" t="s">
        <v>812</v>
      </c>
      <c r="D2501" s="418">
        <v>2014</v>
      </c>
      <c r="E2501" s="418" t="s">
        <v>775</v>
      </c>
      <c r="F2501" s="419">
        <v>539</v>
      </c>
      <c r="G2501" s="419">
        <v>20</v>
      </c>
      <c r="H2501" s="420">
        <v>20</v>
      </c>
      <c r="I2501" s="419">
        <v>0</v>
      </c>
      <c r="J2501" s="419">
        <v>366</v>
      </c>
      <c r="K2501" s="419">
        <v>21</v>
      </c>
      <c r="L2501" s="419">
        <v>21</v>
      </c>
      <c r="M2501" s="419">
        <v>0</v>
      </c>
      <c r="N2501" s="419">
        <v>411</v>
      </c>
      <c r="O2501" s="419">
        <v>155</v>
      </c>
      <c r="P2501" s="419">
        <v>908</v>
      </c>
      <c r="Q2501" s="420">
        <v>102</v>
      </c>
      <c r="R2501" s="311">
        <f t="shared" ref="R2501:R2552" si="289">F2501+J2501+N2501+P2501</f>
        <v>2224</v>
      </c>
      <c r="S2501" s="363">
        <f t="shared" ref="S2501:S2552" si="290">K2501+O2501+G2501+Q2501</f>
        <v>298</v>
      </c>
      <c r="T2501" s="421"/>
      <c r="U2501" s="421"/>
      <c r="V2501" s="421"/>
      <c r="W2501" s="421"/>
      <c r="X2501" s="421"/>
    </row>
    <row r="2502" spans="1:24" ht="12.75">
      <c r="A2502" s="417" t="s">
        <v>732</v>
      </c>
      <c r="B2502" s="418" t="s">
        <v>201</v>
      </c>
      <c r="C2502" s="418" t="s">
        <v>812</v>
      </c>
      <c r="D2502" s="418">
        <v>2014</v>
      </c>
      <c r="E2502" s="418" t="s">
        <v>775</v>
      </c>
      <c r="F2502" s="419">
        <v>289</v>
      </c>
      <c r="G2502" s="419">
        <v>0</v>
      </c>
      <c r="H2502" s="420">
        <v>0</v>
      </c>
      <c r="I2502" s="419">
        <v>0</v>
      </c>
      <c r="J2502" s="419">
        <v>197</v>
      </c>
      <c r="K2502" s="419">
        <v>3</v>
      </c>
      <c r="L2502" s="419">
        <v>3</v>
      </c>
      <c r="M2502" s="419">
        <v>0</v>
      </c>
      <c r="N2502" s="419">
        <v>216</v>
      </c>
      <c r="O2502" s="419">
        <v>0</v>
      </c>
      <c r="P2502" s="419">
        <v>462</v>
      </c>
      <c r="Q2502" s="420">
        <v>159</v>
      </c>
      <c r="R2502" s="311">
        <f t="shared" si="289"/>
        <v>1164</v>
      </c>
      <c r="S2502" s="363">
        <f t="shared" si="290"/>
        <v>162</v>
      </c>
      <c r="T2502" s="421"/>
      <c r="U2502" s="421"/>
      <c r="V2502" s="421"/>
      <c r="W2502" s="421"/>
      <c r="X2502" s="421"/>
    </row>
    <row r="2503" spans="1:24" ht="12.75">
      <c r="A2503" s="417" t="s">
        <v>734</v>
      </c>
      <c r="B2503" s="418" t="s">
        <v>201</v>
      </c>
      <c r="C2503" s="418" t="s">
        <v>812</v>
      </c>
      <c r="D2503" s="418">
        <v>2014</v>
      </c>
      <c r="E2503" s="418" t="s">
        <v>775</v>
      </c>
      <c r="F2503" s="419">
        <v>1688</v>
      </c>
      <c r="G2503" s="419">
        <v>48</v>
      </c>
      <c r="H2503" s="420">
        <v>48</v>
      </c>
      <c r="I2503" s="419">
        <v>0</v>
      </c>
      <c r="J2503" s="419">
        <v>1160</v>
      </c>
      <c r="K2503" s="419">
        <v>67</v>
      </c>
      <c r="L2503" s="419">
        <v>67</v>
      </c>
      <c r="M2503" s="419">
        <v>0</v>
      </c>
      <c r="N2503" s="419">
        <v>1351</v>
      </c>
      <c r="O2503" s="419">
        <v>2</v>
      </c>
      <c r="P2503" s="419">
        <v>3102</v>
      </c>
      <c r="Q2503" s="420">
        <v>39</v>
      </c>
      <c r="R2503" s="311">
        <f t="shared" si="289"/>
        <v>7301</v>
      </c>
      <c r="S2503" s="363">
        <f t="shared" si="290"/>
        <v>156</v>
      </c>
      <c r="T2503" s="421"/>
      <c r="U2503" s="421"/>
      <c r="V2503" s="421"/>
      <c r="W2503" s="421"/>
      <c r="X2503" s="421"/>
    </row>
    <row r="2504" spans="1:24" ht="12.75">
      <c r="A2504" s="417" t="s">
        <v>736</v>
      </c>
      <c r="B2504" s="418" t="s">
        <v>201</v>
      </c>
      <c r="C2504" s="418" t="s">
        <v>812</v>
      </c>
      <c r="D2504" s="418">
        <v>2014</v>
      </c>
      <c r="E2504" s="418" t="s">
        <v>775</v>
      </c>
      <c r="F2504" s="419">
        <v>861</v>
      </c>
      <c r="G2504" s="419">
        <v>28</v>
      </c>
      <c r="H2504" s="420">
        <v>28</v>
      </c>
      <c r="I2504" s="419">
        <v>0</v>
      </c>
      <c r="J2504" s="419">
        <v>591</v>
      </c>
      <c r="K2504" s="419">
        <v>0</v>
      </c>
      <c r="L2504" s="419">
        <v>0</v>
      </c>
      <c r="M2504" s="419">
        <v>0</v>
      </c>
      <c r="N2504" s="419">
        <v>673</v>
      </c>
      <c r="O2504" s="419">
        <v>2</v>
      </c>
      <c r="P2504" s="419">
        <v>1529</v>
      </c>
      <c r="Q2504" s="420">
        <v>89</v>
      </c>
      <c r="R2504" s="311">
        <f t="shared" si="289"/>
        <v>3654</v>
      </c>
      <c r="S2504" s="363">
        <f t="shared" si="290"/>
        <v>119</v>
      </c>
      <c r="T2504" s="421"/>
      <c r="U2504" s="421"/>
      <c r="V2504" s="421"/>
      <c r="W2504" s="421"/>
      <c r="X2504" s="421"/>
    </row>
    <row r="2505" spans="1:24" ht="12.75">
      <c r="A2505" s="417" t="s">
        <v>738</v>
      </c>
      <c r="B2505" s="418" t="s">
        <v>201</v>
      </c>
      <c r="C2505" s="418" t="s">
        <v>812</v>
      </c>
      <c r="D2505" s="418">
        <v>2014</v>
      </c>
      <c r="E2505" s="418" t="s">
        <v>775</v>
      </c>
      <c r="F2505" s="419">
        <v>310</v>
      </c>
      <c r="G2505" s="419">
        <v>0</v>
      </c>
      <c r="H2505" s="420">
        <v>0</v>
      </c>
      <c r="I2505" s="419">
        <v>0</v>
      </c>
      <c r="J2505" s="419">
        <v>208</v>
      </c>
      <c r="K2505" s="419">
        <v>0</v>
      </c>
      <c r="L2505" s="419">
        <v>0</v>
      </c>
      <c r="M2505" s="419">
        <v>0</v>
      </c>
      <c r="N2505" s="419">
        <v>229</v>
      </c>
      <c r="O2505" s="419">
        <v>0</v>
      </c>
      <c r="P2505" s="419">
        <v>509</v>
      </c>
      <c r="Q2505" s="420">
        <v>42</v>
      </c>
      <c r="R2505" s="311">
        <f t="shared" si="289"/>
        <v>1256</v>
      </c>
      <c r="S2505" s="363">
        <f t="shared" si="290"/>
        <v>42</v>
      </c>
      <c r="T2505" s="421"/>
      <c r="U2505" s="421"/>
      <c r="V2505" s="421"/>
      <c r="W2505" s="421"/>
      <c r="X2505" s="421"/>
    </row>
    <row r="2506" spans="1:24" ht="12.75">
      <c r="A2506" s="464" t="s">
        <v>739</v>
      </c>
      <c r="B2506" s="465" t="s">
        <v>201</v>
      </c>
      <c r="C2506" s="465" t="s">
        <v>812</v>
      </c>
      <c r="D2506" s="465">
        <v>2014</v>
      </c>
      <c r="E2506" s="465" t="s">
        <v>775</v>
      </c>
      <c r="F2506" s="420">
        <v>47</v>
      </c>
      <c r="G2506" s="419">
        <v>17</v>
      </c>
      <c r="H2506" s="420">
        <v>17</v>
      </c>
      <c r="I2506" s="420">
        <v>0</v>
      </c>
      <c r="J2506" s="419">
        <v>32</v>
      </c>
      <c r="K2506" s="419">
        <v>2</v>
      </c>
      <c r="L2506" s="420">
        <v>2</v>
      </c>
      <c r="M2506" s="420">
        <v>0</v>
      </c>
      <c r="N2506" s="420">
        <v>36</v>
      </c>
      <c r="O2506" s="420">
        <v>1</v>
      </c>
      <c r="P2506" s="420">
        <v>77</v>
      </c>
      <c r="Q2506" s="420">
        <v>27</v>
      </c>
      <c r="R2506" s="311">
        <f t="shared" si="289"/>
        <v>192</v>
      </c>
      <c r="S2506" s="363">
        <f t="shared" si="290"/>
        <v>47</v>
      </c>
      <c r="T2506" s="421"/>
      <c r="U2506" s="421"/>
      <c r="V2506" s="421"/>
      <c r="W2506" s="421"/>
      <c r="X2506" s="421"/>
    </row>
    <row r="2507" spans="1:24" ht="12.75">
      <c r="A2507" s="464" t="s">
        <v>740</v>
      </c>
      <c r="B2507" s="465" t="s">
        <v>201</v>
      </c>
      <c r="C2507" s="465" t="s">
        <v>812</v>
      </c>
      <c r="D2507" s="465">
        <v>2014</v>
      </c>
      <c r="E2507" s="465" t="s">
        <v>775</v>
      </c>
      <c r="F2507" s="420">
        <v>246</v>
      </c>
      <c r="G2507" s="419">
        <v>44</v>
      </c>
      <c r="H2507" s="420">
        <v>0</v>
      </c>
      <c r="I2507" s="420">
        <v>44</v>
      </c>
      <c r="J2507" s="419">
        <v>168</v>
      </c>
      <c r="K2507" s="419">
        <v>37</v>
      </c>
      <c r="L2507" s="420">
        <v>0</v>
      </c>
      <c r="M2507" s="420">
        <v>37</v>
      </c>
      <c r="N2507" s="420">
        <v>189</v>
      </c>
      <c r="O2507" s="420">
        <v>12</v>
      </c>
      <c r="P2507" s="420">
        <v>412</v>
      </c>
      <c r="Q2507" s="420">
        <v>58</v>
      </c>
      <c r="R2507" s="311">
        <f t="shared" si="289"/>
        <v>1015</v>
      </c>
      <c r="S2507" s="363">
        <f t="shared" si="290"/>
        <v>151</v>
      </c>
      <c r="T2507" s="411">
        <f>SUM(G2501:G2507)</f>
        <v>157</v>
      </c>
      <c r="U2507" s="411">
        <f>SUM(K2501:K2507)</f>
        <v>130</v>
      </c>
      <c r="V2507" s="411">
        <f>SUM(O2501:O2507)</f>
        <v>172</v>
      </c>
      <c r="W2507" s="411">
        <f>SUM(Q2501:Q2507)</f>
        <v>516</v>
      </c>
      <c r="X2507" s="411">
        <f>T2507+U2507+V2507+W2507</f>
        <v>975</v>
      </c>
    </row>
    <row r="2508" spans="1:24" ht="12.75">
      <c r="A2508" s="422" t="s">
        <v>730</v>
      </c>
      <c r="B2508" s="423" t="s">
        <v>201</v>
      </c>
      <c r="C2508" s="423" t="s">
        <v>812</v>
      </c>
      <c r="D2508" s="423">
        <v>2015</v>
      </c>
      <c r="E2508" s="423" t="s">
        <v>775</v>
      </c>
      <c r="F2508" s="424">
        <v>539</v>
      </c>
      <c r="G2508" s="424">
        <v>0</v>
      </c>
      <c r="H2508" s="425">
        <v>0</v>
      </c>
      <c r="I2508" s="424">
        <v>0</v>
      </c>
      <c r="J2508" s="424">
        <v>366</v>
      </c>
      <c r="K2508" s="424">
        <v>0</v>
      </c>
      <c r="L2508" s="424">
        <v>0</v>
      </c>
      <c r="M2508" s="424">
        <v>0</v>
      </c>
      <c r="N2508" s="424">
        <v>411</v>
      </c>
      <c r="O2508" s="424">
        <v>2</v>
      </c>
      <c r="P2508" s="424">
        <v>908</v>
      </c>
      <c r="Q2508" s="425">
        <v>94</v>
      </c>
      <c r="R2508" s="319">
        <f t="shared" si="289"/>
        <v>2224</v>
      </c>
      <c r="S2508" s="364">
        <f t="shared" si="290"/>
        <v>96</v>
      </c>
      <c r="T2508" s="426"/>
      <c r="U2508" s="426"/>
      <c r="V2508" s="426"/>
      <c r="W2508" s="426"/>
      <c r="X2508" s="426"/>
    </row>
    <row r="2509" spans="1:24" ht="12.75">
      <c r="A2509" s="422" t="s">
        <v>732</v>
      </c>
      <c r="B2509" s="423" t="s">
        <v>201</v>
      </c>
      <c r="C2509" s="423" t="s">
        <v>812</v>
      </c>
      <c r="D2509" s="423">
        <v>2015</v>
      </c>
      <c r="E2509" s="423" t="s">
        <v>775</v>
      </c>
      <c r="F2509" s="424">
        <v>289</v>
      </c>
      <c r="G2509" s="424">
        <v>5</v>
      </c>
      <c r="H2509" s="425">
        <v>5</v>
      </c>
      <c r="I2509" s="424">
        <v>0</v>
      </c>
      <c r="J2509" s="424">
        <v>197</v>
      </c>
      <c r="K2509" s="424">
        <v>15</v>
      </c>
      <c r="L2509" s="424">
        <v>15</v>
      </c>
      <c r="M2509" s="424">
        <v>0</v>
      </c>
      <c r="N2509" s="424">
        <v>216</v>
      </c>
      <c r="O2509" s="424">
        <v>9</v>
      </c>
      <c r="P2509" s="424">
        <v>462</v>
      </c>
      <c r="Q2509" s="425">
        <v>144</v>
      </c>
      <c r="R2509" s="319">
        <f t="shared" si="289"/>
        <v>1164</v>
      </c>
      <c r="S2509" s="364">
        <f t="shared" si="290"/>
        <v>173</v>
      </c>
      <c r="T2509" s="426"/>
      <c r="U2509" s="426"/>
      <c r="V2509" s="426"/>
      <c r="W2509" s="426"/>
      <c r="X2509" s="426"/>
    </row>
    <row r="2510" spans="1:24" ht="12.75">
      <c r="A2510" s="422" t="s">
        <v>733</v>
      </c>
      <c r="B2510" s="423" t="s">
        <v>201</v>
      </c>
      <c r="C2510" s="423" t="s">
        <v>812</v>
      </c>
      <c r="D2510" s="423">
        <v>2015</v>
      </c>
      <c r="E2510" s="423" t="s">
        <v>775</v>
      </c>
      <c r="F2510" s="424">
        <v>87</v>
      </c>
      <c r="G2510" s="424">
        <v>0</v>
      </c>
      <c r="H2510" s="425">
        <v>0</v>
      </c>
      <c r="I2510" s="424">
        <v>0</v>
      </c>
      <c r="J2510" s="424">
        <v>59</v>
      </c>
      <c r="K2510" s="424">
        <v>0</v>
      </c>
      <c r="L2510" s="424">
        <v>0</v>
      </c>
      <c r="M2510" s="424">
        <v>0</v>
      </c>
      <c r="N2510" s="424">
        <v>70</v>
      </c>
      <c r="O2510" s="424">
        <v>3</v>
      </c>
      <c r="P2510" s="424">
        <v>155</v>
      </c>
      <c r="Q2510" s="425">
        <v>1</v>
      </c>
      <c r="R2510" s="319">
        <f t="shared" si="289"/>
        <v>371</v>
      </c>
      <c r="S2510" s="364">
        <f t="shared" si="290"/>
        <v>4</v>
      </c>
      <c r="T2510" s="426"/>
      <c r="U2510" s="426"/>
      <c r="V2510" s="426"/>
      <c r="W2510" s="426"/>
      <c r="X2510" s="426"/>
    </row>
    <row r="2511" spans="1:24" ht="12.75">
      <c r="A2511" s="422" t="s">
        <v>734</v>
      </c>
      <c r="B2511" s="423" t="s">
        <v>201</v>
      </c>
      <c r="C2511" s="423" t="s">
        <v>812</v>
      </c>
      <c r="D2511" s="423">
        <v>2015</v>
      </c>
      <c r="E2511" s="423" t="s">
        <v>775</v>
      </c>
      <c r="F2511" s="424">
        <v>1688</v>
      </c>
      <c r="G2511" s="424">
        <v>0</v>
      </c>
      <c r="H2511" s="425">
        <v>0</v>
      </c>
      <c r="I2511" s="424">
        <v>0</v>
      </c>
      <c r="J2511" s="424">
        <v>1160</v>
      </c>
      <c r="K2511" s="424">
        <v>0</v>
      </c>
      <c r="L2511" s="424">
        <v>0</v>
      </c>
      <c r="M2511" s="424">
        <v>0</v>
      </c>
      <c r="N2511" s="424">
        <v>1351</v>
      </c>
      <c r="O2511" s="424">
        <v>0</v>
      </c>
      <c r="P2511" s="424">
        <v>3102</v>
      </c>
      <c r="Q2511" s="425">
        <v>5</v>
      </c>
      <c r="R2511" s="319">
        <f t="shared" si="289"/>
        <v>7301</v>
      </c>
      <c r="S2511" s="364">
        <f t="shared" si="290"/>
        <v>5</v>
      </c>
      <c r="T2511" s="426"/>
      <c r="U2511" s="426"/>
      <c r="V2511" s="426"/>
      <c r="W2511" s="426"/>
      <c r="X2511" s="426"/>
    </row>
    <row r="2512" spans="1:24" ht="12.75">
      <c r="A2512" s="422" t="s">
        <v>736</v>
      </c>
      <c r="B2512" s="423" t="s">
        <v>201</v>
      </c>
      <c r="C2512" s="423" t="s">
        <v>812</v>
      </c>
      <c r="D2512" s="423">
        <v>2015</v>
      </c>
      <c r="E2512" s="423" t="s">
        <v>775</v>
      </c>
      <c r="F2512" s="424">
        <v>861</v>
      </c>
      <c r="G2512" s="424">
        <v>49</v>
      </c>
      <c r="H2512" s="425">
        <v>49</v>
      </c>
      <c r="I2512" s="424">
        <v>0</v>
      </c>
      <c r="J2512" s="424">
        <v>591</v>
      </c>
      <c r="K2512" s="424">
        <v>0</v>
      </c>
      <c r="L2512" s="424">
        <v>0</v>
      </c>
      <c r="M2512" s="424">
        <v>0</v>
      </c>
      <c r="N2512" s="424">
        <v>673</v>
      </c>
      <c r="O2512" s="424">
        <v>41</v>
      </c>
      <c r="P2512" s="424">
        <v>1529</v>
      </c>
      <c r="Q2512" s="425">
        <v>55</v>
      </c>
      <c r="R2512" s="319">
        <f t="shared" si="289"/>
        <v>3654</v>
      </c>
      <c r="S2512" s="364">
        <f t="shared" si="290"/>
        <v>145</v>
      </c>
      <c r="T2512" s="426"/>
      <c r="U2512" s="426"/>
      <c r="V2512" s="426"/>
      <c r="W2512" s="426"/>
      <c r="X2512" s="426"/>
    </row>
    <row r="2513" spans="1:24" ht="12.75">
      <c r="A2513" s="422" t="s">
        <v>738</v>
      </c>
      <c r="B2513" s="423" t="s">
        <v>201</v>
      </c>
      <c r="C2513" s="423" t="s">
        <v>812</v>
      </c>
      <c r="D2513" s="423">
        <v>2015</v>
      </c>
      <c r="E2513" s="423" t="s">
        <v>775</v>
      </c>
      <c r="F2513" s="424">
        <v>310</v>
      </c>
      <c r="G2513" s="424">
        <v>0</v>
      </c>
      <c r="H2513" s="425">
        <v>0</v>
      </c>
      <c r="I2513" s="424">
        <v>0</v>
      </c>
      <c r="J2513" s="424">
        <v>208</v>
      </c>
      <c r="K2513" s="424">
        <v>0</v>
      </c>
      <c r="L2513" s="424">
        <v>0</v>
      </c>
      <c r="M2513" s="424">
        <v>0</v>
      </c>
      <c r="N2513" s="424">
        <v>229</v>
      </c>
      <c r="O2513" s="424">
        <v>15</v>
      </c>
      <c r="P2513" s="424">
        <v>509</v>
      </c>
      <c r="Q2513" s="425">
        <v>11</v>
      </c>
      <c r="R2513" s="319">
        <f t="shared" si="289"/>
        <v>1256</v>
      </c>
      <c r="S2513" s="364">
        <f t="shared" si="290"/>
        <v>26</v>
      </c>
      <c r="T2513" s="426"/>
      <c r="U2513" s="426"/>
      <c r="V2513" s="426"/>
      <c r="W2513" s="426"/>
      <c r="X2513" s="426"/>
    </row>
    <row r="2514" spans="1:24" ht="12.75">
      <c r="A2514" s="457" t="s">
        <v>739</v>
      </c>
      <c r="B2514" s="458" t="s">
        <v>201</v>
      </c>
      <c r="C2514" s="458" t="s">
        <v>812</v>
      </c>
      <c r="D2514" s="458">
        <v>2015</v>
      </c>
      <c r="E2514" s="458" t="s">
        <v>775</v>
      </c>
      <c r="F2514" s="425">
        <v>47</v>
      </c>
      <c r="G2514" s="424">
        <v>0</v>
      </c>
      <c r="H2514" s="425">
        <v>0</v>
      </c>
      <c r="I2514" s="425">
        <v>0</v>
      </c>
      <c r="J2514" s="424">
        <v>32</v>
      </c>
      <c r="K2514" s="424">
        <v>0</v>
      </c>
      <c r="L2514" s="425">
        <v>0</v>
      </c>
      <c r="M2514" s="425">
        <v>0</v>
      </c>
      <c r="N2514" s="425">
        <v>36</v>
      </c>
      <c r="O2514" s="425">
        <v>0</v>
      </c>
      <c r="P2514" s="425">
        <v>77</v>
      </c>
      <c r="Q2514" s="425">
        <v>115</v>
      </c>
      <c r="R2514" s="319">
        <f t="shared" si="289"/>
        <v>192</v>
      </c>
      <c r="S2514" s="364">
        <f t="shared" si="290"/>
        <v>115</v>
      </c>
      <c r="T2514" s="426"/>
      <c r="U2514" s="426"/>
      <c r="V2514" s="426"/>
      <c r="W2514" s="426"/>
      <c r="X2514" s="426"/>
    </row>
    <row r="2515" spans="1:24" ht="12.75">
      <c r="A2515" s="457" t="s">
        <v>740</v>
      </c>
      <c r="B2515" s="458" t="s">
        <v>201</v>
      </c>
      <c r="C2515" s="458" t="s">
        <v>812</v>
      </c>
      <c r="D2515" s="458">
        <v>2015</v>
      </c>
      <c r="E2515" s="458" t="s">
        <v>775</v>
      </c>
      <c r="F2515" s="425">
        <v>246</v>
      </c>
      <c r="G2515" s="424">
        <v>8</v>
      </c>
      <c r="H2515" s="425">
        <v>0</v>
      </c>
      <c r="I2515" s="425">
        <v>8</v>
      </c>
      <c r="J2515" s="424">
        <v>168</v>
      </c>
      <c r="K2515" s="424">
        <v>12</v>
      </c>
      <c r="L2515" s="425">
        <v>0</v>
      </c>
      <c r="M2515" s="425">
        <v>12</v>
      </c>
      <c r="N2515" s="425">
        <v>189</v>
      </c>
      <c r="O2515" s="425">
        <v>13</v>
      </c>
      <c r="P2515" s="425">
        <v>412</v>
      </c>
      <c r="Q2515" s="425">
        <v>46</v>
      </c>
      <c r="R2515" s="319">
        <f t="shared" si="289"/>
        <v>1015</v>
      </c>
      <c r="S2515" s="364">
        <f t="shared" si="290"/>
        <v>79</v>
      </c>
      <c r="T2515" s="427">
        <f>SUM(G2508:G2515)</f>
        <v>62</v>
      </c>
      <c r="U2515" s="427">
        <f>SUM(K2508:K2515)</f>
        <v>27</v>
      </c>
      <c r="V2515" s="427">
        <f>SUM(O2508:O2515)</f>
        <v>83</v>
      </c>
      <c r="W2515" s="427">
        <f>SUM(Q2508:Q2515)</f>
        <v>471</v>
      </c>
      <c r="X2515" s="427">
        <f>T2515+U2515+V2515+W2515</f>
        <v>643</v>
      </c>
    </row>
    <row r="2516" spans="1:24" ht="12.75">
      <c r="A2516" s="428" t="s">
        <v>730</v>
      </c>
      <c r="B2516" s="429" t="s">
        <v>201</v>
      </c>
      <c r="C2516" s="429" t="s">
        <v>812</v>
      </c>
      <c r="D2516" s="429">
        <v>2016</v>
      </c>
      <c r="E2516" s="429" t="s">
        <v>775</v>
      </c>
      <c r="F2516" s="430">
        <v>539</v>
      </c>
      <c r="G2516" s="430">
        <v>34</v>
      </c>
      <c r="H2516" s="431">
        <v>34</v>
      </c>
      <c r="I2516" s="430">
        <v>0</v>
      </c>
      <c r="J2516" s="430">
        <v>366</v>
      </c>
      <c r="K2516" s="430">
        <v>30</v>
      </c>
      <c r="L2516" s="430">
        <v>30</v>
      </c>
      <c r="M2516" s="430">
        <v>0</v>
      </c>
      <c r="N2516" s="430">
        <v>411</v>
      </c>
      <c r="O2516" s="430">
        <v>52</v>
      </c>
      <c r="P2516" s="430">
        <v>908</v>
      </c>
      <c r="Q2516" s="431">
        <v>121</v>
      </c>
      <c r="R2516" s="328">
        <f t="shared" si="289"/>
        <v>2224</v>
      </c>
      <c r="S2516" s="365">
        <f t="shared" si="290"/>
        <v>237</v>
      </c>
      <c r="T2516" s="432"/>
      <c r="U2516" s="432"/>
      <c r="V2516" s="432"/>
      <c r="W2516" s="432"/>
      <c r="X2516" s="432"/>
    </row>
    <row r="2517" spans="1:24" ht="12.75">
      <c r="A2517" s="428" t="s">
        <v>732</v>
      </c>
      <c r="B2517" s="429" t="s">
        <v>201</v>
      </c>
      <c r="C2517" s="429" t="s">
        <v>812</v>
      </c>
      <c r="D2517" s="429">
        <v>2016</v>
      </c>
      <c r="E2517" s="429" t="s">
        <v>775</v>
      </c>
      <c r="F2517" s="430">
        <v>289</v>
      </c>
      <c r="G2517" s="430">
        <v>0</v>
      </c>
      <c r="H2517" s="431">
        <v>0</v>
      </c>
      <c r="I2517" s="430">
        <v>0</v>
      </c>
      <c r="J2517" s="430">
        <v>197</v>
      </c>
      <c r="K2517" s="430">
        <v>0</v>
      </c>
      <c r="L2517" s="430">
        <v>0</v>
      </c>
      <c r="M2517" s="430">
        <v>0</v>
      </c>
      <c r="N2517" s="430">
        <v>216</v>
      </c>
      <c r="O2517" s="430">
        <v>0</v>
      </c>
      <c r="P2517" s="430">
        <v>462</v>
      </c>
      <c r="Q2517" s="431">
        <v>88</v>
      </c>
      <c r="R2517" s="328">
        <f t="shared" si="289"/>
        <v>1164</v>
      </c>
      <c r="S2517" s="365">
        <f t="shared" si="290"/>
        <v>88</v>
      </c>
      <c r="T2517" s="432"/>
      <c r="U2517" s="432"/>
      <c r="V2517" s="432"/>
      <c r="W2517" s="432"/>
      <c r="X2517" s="432"/>
    </row>
    <row r="2518" spans="1:24" ht="12.75">
      <c r="A2518" s="428" t="s">
        <v>733</v>
      </c>
      <c r="B2518" s="429" t="s">
        <v>201</v>
      </c>
      <c r="C2518" s="429" t="s">
        <v>812</v>
      </c>
      <c r="D2518" s="429">
        <v>2016</v>
      </c>
      <c r="E2518" s="429" t="s">
        <v>775</v>
      </c>
      <c r="F2518" s="430">
        <v>87</v>
      </c>
      <c r="G2518" s="430">
        <v>0</v>
      </c>
      <c r="H2518" s="431">
        <v>0</v>
      </c>
      <c r="I2518" s="430">
        <v>0</v>
      </c>
      <c r="J2518" s="430">
        <v>59</v>
      </c>
      <c r="K2518" s="430">
        <v>0</v>
      </c>
      <c r="L2518" s="430">
        <v>0</v>
      </c>
      <c r="M2518" s="430">
        <v>0</v>
      </c>
      <c r="N2518" s="430">
        <v>70</v>
      </c>
      <c r="O2518" s="430">
        <v>8</v>
      </c>
      <c r="P2518" s="430">
        <v>155</v>
      </c>
      <c r="Q2518" s="431">
        <v>0</v>
      </c>
      <c r="R2518" s="328">
        <f t="shared" si="289"/>
        <v>371</v>
      </c>
      <c r="S2518" s="365">
        <f t="shared" si="290"/>
        <v>8</v>
      </c>
      <c r="T2518" s="432"/>
      <c r="U2518" s="432"/>
      <c r="V2518" s="432"/>
      <c r="W2518" s="432"/>
      <c r="X2518" s="432"/>
    </row>
    <row r="2519" spans="1:24" ht="12.75">
      <c r="A2519" s="428" t="s">
        <v>734</v>
      </c>
      <c r="B2519" s="429" t="s">
        <v>201</v>
      </c>
      <c r="C2519" s="429" t="s">
        <v>812</v>
      </c>
      <c r="D2519" s="429">
        <v>2016</v>
      </c>
      <c r="E2519" s="429" t="s">
        <v>775</v>
      </c>
      <c r="F2519" s="430">
        <v>1688</v>
      </c>
      <c r="G2519" s="430">
        <v>50</v>
      </c>
      <c r="H2519" s="431">
        <v>50</v>
      </c>
      <c r="I2519" s="430">
        <v>0</v>
      </c>
      <c r="J2519" s="430">
        <v>1160</v>
      </c>
      <c r="K2519" s="430">
        <v>207</v>
      </c>
      <c r="L2519" s="430">
        <v>118</v>
      </c>
      <c r="M2519" s="430">
        <v>89</v>
      </c>
      <c r="N2519" s="430">
        <v>1351</v>
      </c>
      <c r="O2519" s="430">
        <v>2</v>
      </c>
      <c r="P2519" s="430">
        <v>3102</v>
      </c>
      <c r="Q2519" s="431">
        <v>80</v>
      </c>
      <c r="R2519" s="328">
        <f t="shared" si="289"/>
        <v>7301</v>
      </c>
      <c r="S2519" s="365">
        <f t="shared" si="290"/>
        <v>339</v>
      </c>
      <c r="T2519" s="432"/>
      <c r="U2519" s="432"/>
      <c r="V2519" s="432"/>
      <c r="W2519" s="432"/>
      <c r="X2519" s="432"/>
    </row>
    <row r="2520" spans="1:24" ht="12.75">
      <c r="A2520" s="428" t="s">
        <v>736</v>
      </c>
      <c r="B2520" s="429" t="s">
        <v>201</v>
      </c>
      <c r="C2520" s="429" t="s">
        <v>812</v>
      </c>
      <c r="D2520" s="429">
        <v>2016</v>
      </c>
      <c r="E2520" s="429" t="s">
        <v>775</v>
      </c>
      <c r="F2520" s="430">
        <v>861</v>
      </c>
      <c r="G2520" s="430">
        <v>0</v>
      </c>
      <c r="H2520" s="431">
        <v>0</v>
      </c>
      <c r="I2520" s="430">
        <v>0</v>
      </c>
      <c r="J2520" s="430">
        <v>591</v>
      </c>
      <c r="K2520" s="430">
        <v>12</v>
      </c>
      <c r="L2520" s="430">
        <v>12</v>
      </c>
      <c r="M2520" s="430">
        <v>0</v>
      </c>
      <c r="N2520" s="430">
        <v>673</v>
      </c>
      <c r="O2520" s="430">
        <v>0</v>
      </c>
      <c r="P2520" s="430">
        <v>1529</v>
      </c>
      <c r="Q2520" s="431">
        <v>223</v>
      </c>
      <c r="R2520" s="328">
        <f t="shared" si="289"/>
        <v>3654</v>
      </c>
      <c r="S2520" s="365">
        <f t="shared" si="290"/>
        <v>235</v>
      </c>
      <c r="T2520" s="432"/>
      <c r="U2520" s="432"/>
      <c r="V2520" s="432"/>
      <c r="W2520" s="432"/>
      <c r="X2520" s="432"/>
    </row>
    <row r="2521" spans="1:24" ht="12.75">
      <c r="A2521" s="428" t="s">
        <v>738</v>
      </c>
      <c r="B2521" s="429" t="s">
        <v>201</v>
      </c>
      <c r="C2521" s="429" t="s">
        <v>812</v>
      </c>
      <c r="D2521" s="429">
        <v>2016</v>
      </c>
      <c r="E2521" s="429" t="s">
        <v>775</v>
      </c>
      <c r="F2521" s="430">
        <v>310</v>
      </c>
      <c r="G2521" s="430">
        <v>0</v>
      </c>
      <c r="H2521" s="431">
        <v>0</v>
      </c>
      <c r="I2521" s="430">
        <v>0</v>
      </c>
      <c r="J2521" s="430">
        <v>208</v>
      </c>
      <c r="K2521" s="430">
        <v>1</v>
      </c>
      <c r="L2521" s="430">
        <v>1</v>
      </c>
      <c r="M2521" s="430">
        <v>0</v>
      </c>
      <c r="N2521" s="430">
        <v>229</v>
      </c>
      <c r="O2521" s="430">
        <v>0</v>
      </c>
      <c r="P2521" s="430">
        <v>509</v>
      </c>
      <c r="Q2521" s="431">
        <v>152</v>
      </c>
      <c r="R2521" s="328">
        <f t="shared" si="289"/>
        <v>1256</v>
      </c>
      <c r="S2521" s="365">
        <f t="shared" si="290"/>
        <v>153</v>
      </c>
      <c r="T2521" s="432"/>
      <c r="U2521" s="432"/>
      <c r="V2521" s="432"/>
      <c r="W2521" s="432"/>
      <c r="X2521" s="432"/>
    </row>
    <row r="2522" spans="1:24" ht="12.75">
      <c r="A2522" s="459" t="s">
        <v>739</v>
      </c>
      <c r="B2522" s="460" t="s">
        <v>201</v>
      </c>
      <c r="C2522" s="460" t="s">
        <v>812</v>
      </c>
      <c r="D2522" s="460">
        <v>2016</v>
      </c>
      <c r="E2522" s="460" t="s">
        <v>775</v>
      </c>
      <c r="F2522" s="431">
        <v>47</v>
      </c>
      <c r="G2522" s="430">
        <v>0</v>
      </c>
      <c r="H2522" s="431">
        <v>0</v>
      </c>
      <c r="I2522" s="431">
        <v>0</v>
      </c>
      <c r="J2522" s="430">
        <v>32</v>
      </c>
      <c r="K2522" s="430">
        <v>0</v>
      </c>
      <c r="L2522" s="431">
        <v>0</v>
      </c>
      <c r="M2522" s="431">
        <v>0</v>
      </c>
      <c r="N2522" s="431">
        <v>36</v>
      </c>
      <c r="O2522" s="431">
        <v>38</v>
      </c>
      <c r="P2522" s="431">
        <v>77</v>
      </c>
      <c r="Q2522" s="431">
        <v>62</v>
      </c>
      <c r="R2522" s="328">
        <f t="shared" si="289"/>
        <v>192</v>
      </c>
      <c r="S2522" s="365">
        <f t="shared" si="290"/>
        <v>100</v>
      </c>
      <c r="T2522" s="432"/>
      <c r="U2522" s="432"/>
      <c r="V2522" s="432"/>
      <c r="W2522" s="432"/>
      <c r="X2522" s="432"/>
    </row>
    <row r="2523" spans="1:24" ht="12.75">
      <c r="A2523" s="459" t="s">
        <v>740</v>
      </c>
      <c r="B2523" s="460" t="s">
        <v>201</v>
      </c>
      <c r="C2523" s="460" t="s">
        <v>812</v>
      </c>
      <c r="D2523" s="460">
        <v>2016</v>
      </c>
      <c r="E2523" s="460" t="s">
        <v>775</v>
      </c>
      <c r="F2523" s="431">
        <v>246</v>
      </c>
      <c r="G2523" s="430">
        <v>4</v>
      </c>
      <c r="H2523" s="431">
        <v>0</v>
      </c>
      <c r="I2523" s="431">
        <v>4</v>
      </c>
      <c r="J2523" s="430">
        <v>168</v>
      </c>
      <c r="K2523" s="430">
        <v>8</v>
      </c>
      <c r="L2523" s="431">
        <v>0</v>
      </c>
      <c r="M2523" s="431">
        <v>8</v>
      </c>
      <c r="N2523" s="431">
        <v>189</v>
      </c>
      <c r="O2523" s="431">
        <v>7</v>
      </c>
      <c r="P2523" s="431">
        <v>412</v>
      </c>
      <c r="Q2523" s="431">
        <v>44</v>
      </c>
      <c r="R2523" s="328">
        <f t="shared" si="289"/>
        <v>1015</v>
      </c>
      <c r="S2523" s="365">
        <f t="shared" si="290"/>
        <v>63</v>
      </c>
      <c r="T2523" s="413">
        <f>SUM(G2516:G2523)</f>
        <v>88</v>
      </c>
      <c r="U2523" s="413">
        <f>SUM(K2516:K2523)</f>
        <v>258</v>
      </c>
      <c r="V2523" s="413">
        <f>SUM(O2516:O2523)</f>
        <v>107</v>
      </c>
      <c r="W2523" s="413">
        <f>SUM(Q2516:Q2523)</f>
        <v>770</v>
      </c>
      <c r="X2523" s="413">
        <f>T2523+U2523+V2523+W2523</f>
        <v>1223</v>
      </c>
    </row>
    <row r="2524" spans="1:24" ht="12.75">
      <c r="A2524" s="433" t="s">
        <v>730</v>
      </c>
      <c r="B2524" s="434" t="s">
        <v>201</v>
      </c>
      <c r="C2524" s="434" t="s">
        <v>812</v>
      </c>
      <c r="D2524" s="434">
        <v>2017</v>
      </c>
      <c r="E2524" s="434" t="s">
        <v>775</v>
      </c>
      <c r="F2524" s="435">
        <v>539</v>
      </c>
      <c r="G2524" s="435">
        <v>72</v>
      </c>
      <c r="H2524" s="436">
        <v>72</v>
      </c>
      <c r="I2524" s="435">
        <v>0</v>
      </c>
      <c r="J2524" s="435">
        <v>366</v>
      </c>
      <c r="K2524" s="435">
        <v>54</v>
      </c>
      <c r="L2524" s="435">
        <v>54</v>
      </c>
      <c r="M2524" s="435">
        <v>0</v>
      </c>
      <c r="N2524" s="435">
        <v>411</v>
      </c>
      <c r="O2524" s="435">
        <v>407</v>
      </c>
      <c r="P2524" s="435">
        <v>908</v>
      </c>
      <c r="Q2524" s="436">
        <v>200</v>
      </c>
      <c r="R2524" s="336">
        <f t="shared" si="289"/>
        <v>2224</v>
      </c>
      <c r="S2524" s="366">
        <f t="shared" si="290"/>
        <v>733</v>
      </c>
      <c r="T2524" s="437"/>
      <c r="U2524" s="437"/>
      <c r="V2524" s="437"/>
      <c r="W2524" s="437"/>
      <c r="X2524" s="437"/>
    </row>
    <row r="2525" spans="1:24" ht="12.75">
      <c r="A2525" s="433" t="s">
        <v>732</v>
      </c>
      <c r="B2525" s="434" t="s">
        <v>201</v>
      </c>
      <c r="C2525" s="434" t="s">
        <v>812</v>
      </c>
      <c r="D2525" s="434">
        <v>2017</v>
      </c>
      <c r="E2525" s="434" t="s">
        <v>775</v>
      </c>
      <c r="F2525" s="435">
        <v>289</v>
      </c>
      <c r="G2525" s="435">
        <v>0</v>
      </c>
      <c r="H2525" s="436">
        <v>0</v>
      </c>
      <c r="I2525" s="435">
        <v>0</v>
      </c>
      <c r="J2525" s="435">
        <v>197</v>
      </c>
      <c r="K2525" s="435">
        <v>0</v>
      </c>
      <c r="L2525" s="435">
        <v>0</v>
      </c>
      <c r="M2525" s="435">
        <v>0</v>
      </c>
      <c r="N2525" s="435">
        <v>216</v>
      </c>
      <c r="O2525" s="435">
        <v>0</v>
      </c>
      <c r="P2525" s="435">
        <v>462</v>
      </c>
      <c r="Q2525" s="436">
        <v>88</v>
      </c>
      <c r="R2525" s="336">
        <f t="shared" si="289"/>
        <v>1164</v>
      </c>
      <c r="S2525" s="366">
        <f t="shared" si="290"/>
        <v>88</v>
      </c>
      <c r="T2525" s="437"/>
      <c r="U2525" s="437"/>
      <c r="V2525" s="437"/>
      <c r="W2525" s="437"/>
      <c r="X2525" s="437"/>
    </row>
    <row r="2526" spans="1:24" ht="12.75">
      <c r="A2526" s="433" t="s">
        <v>733</v>
      </c>
      <c r="B2526" s="434" t="s">
        <v>201</v>
      </c>
      <c r="C2526" s="434" t="s">
        <v>812</v>
      </c>
      <c r="D2526" s="434">
        <v>2017</v>
      </c>
      <c r="E2526" s="434" t="s">
        <v>775</v>
      </c>
      <c r="F2526" s="435">
        <v>87</v>
      </c>
      <c r="G2526" s="435">
        <v>0</v>
      </c>
      <c r="H2526" s="436">
        <v>0</v>
      </c>
      <c r="I2526" s="435">
        <v>0</v>
      </c>
      <c r="J2526" s="435">
        <v>59</v>
      </c>
      <c r="K2526" s="435">
        <v>0</v>
      </c>
      <c r="L2526" s="435">
        <v>0</v>
      </c>
      <c r="M2526" s="435">
        <v>0</v>
      </c>
      <c r="N2526" s="435">
        <v>70</v>
      </c>
      <c r="O2526" s="435">
        <v>2</v>
      </c>
      <c r="P2526" s="435">
        <v>155</v>
      </c>
      <c r="Q2526" s="436">
        <v>9</v>
      </c>
      <c r="R2526" s="336">
        <f t="shared" si="289"/>
        <v>371</v>
      </c>
      <c r="S2526" s="366">
        <f t="shared" si="290"/>
        <v>11</v>
      </c>
      <c r="T2526" s="437"/>
      <c r="U2526" s="437"/>
      <c r="V2526" s="437"/>
      <c r="W2526" s="437"/>
      <c r="X2526" s="437"/>
    </row>
    <row r="2527" spans="1:24" ht="12.75">
      <c r="A2527" s="433" t="s">
        <v>734</v>
      </c>
      <c r="B2527" s="434" t="s">
        <v>201</v>
      </c>
      <c r="C2527" s="434" t="s">
        <v>812</v>
      </c>
      <c r="D2527" s="434">
        <v>2017</v>
      </c>
      <c r="E2527" s="434" t="s">
        <v>775</v>
      </c>
      <c r="F2527" s="435">
        <v>1688</v>
      </c>
      <c r="G2527" s="435">
        <v>30</v>
      </c>
      <c r="H2527" s="436">
        <v>30</v>
      </c>
      <c r="I2527" s="435">
        <v>0</v>
      </c>
      <c r="J2527" s="435">
        <v>1160</v>
      </c>
      <c r="K2527" s="435">
        <v>234</v>
      </c>
      <c r="L2527" s="435">
        <v>234</v>
      </c>
      <c r="M2527" s="435">
        <v>0</v>
      </c>
      <c r="N2527" s="435">
        <v>1351</v>
      </c>
      <c r="O2527" s="435">
        <v>371</v>
      </c>
      <c r="P2527" s="435">
        <v>3102</v>
      </c>
      <c r="Q2527" s="436">
        <v>138</v>
      </c>
      <c r="R2527" s="336">
        <f t="shared" si="289"/>
        <v>7301</v>
      </c>
      <c r="S2527" s="366">
        <f t="shared" si="290"/>
        <v>773</v>
      </c>
      <c r="T2527" s="437"/>
      <c r="U2527" s="437"/>
      <c r="V2527" s="437"/>
      <c r="W2527" s="437"/>
      <c r="X2527" s="437"/>
    </row>
    <row r="2528" spans="1:24" ht="12.75">
      <c r="A2528" s="433" t="s">
        <v>735</v>
      </c>
      <c r="B2528" s="434" t="s">
        <v>201</v>
      </c>
      <c r="C2528" s="434" t="s">
        <v>812</v>
      </c>
      <c r="D2528" s="434">
        <v>2017</v>
      </c>
      <c r="E2528" s="434" t="s">
        <v>775</v>
      </c>
      <c r="F2528" s="435">
        <v>1</v>
      </c>
      <c r="G2528" s="435">
        <v>0</v>
      </c>
      <c r="H2528" s="436">
        <v>0</v>
      </c>
      <c r="I2528" s="435">
        <v>0</v>
      </c>
      <c r="J2528" s="435">
        <v>1</v>
      </c>
      <c r="K2528" s="435">
        <v>0</v>
      </c>
      <c r="L2528" s="435">
        <v>0</v>
      </c>
      <c r="M2528" s="435">
        <v>0</v>
      </c>
      <c r="N2528" s="435">
        <v>0</v>
      </c>
      <c r="O2528" s="435">
        <v>0</v>
      </c>
      <c r="P2528" s="435">
        <v>0</v>
      </c>
      <c r="Q2528" s="436">
        <v>0</v>
      </c>
      <c r="R2528" s="336">
        <f t="shared" si="289"/>
        <v>2</v>
      </c>
      <c r="S2528" s="366">
        <f t="shared" si="290"/>
        <v>0</v>
      </c>
      <c r="T2528" s="437"/>
      <c r="U2528" s="437"/>
      <c r="V2528" s="437"/>
      <c r="W2528" s="437"/>
      <c r="X2528" s="437"/>
    </row>
    <row r="2529" spans="1:24" ht="12.75">
      <c r="A2529" s="433" t="s">
        <v>736</v>
      </c>
      <c r="B2529" s="434" t="s">
        <v>201</v>
      </c>
      <c r="C2529" s="434" t="s">
        <v>812</v>
      </c>
      <c r="D2529" s="434">
        <v>2017</v>
      </c>
      <c r="E2529" s="434" t="s">
        <v>775</v>
      </c>
      <c r="F2529" s="435">
        <v>861</v>
      </c>
      <c r="G2529" s="435">
        <v>36</v>
      </c>
      <c r="H2529" s="436">
        <v>36</v>
      </c>
      <c r="I2529" s="435">
        <v>0</v>
      </c>
      <c r="J2529" s="435">
        <v>591</v>
      </c>
      <c r="K2529" s="435">
        <v>34</v>
      </c>
      <c r="L2529" s="435">
        <v>34</v>
      </c>
      <c r="M2529" s="435">
        <v>0</v>
      </c>
      <c r="N2529" s="435">
        <v>673</v>
      </c>
      <c r="O2529" s="435">
        <v>19</v>
      </c>
      <c r="P2529" s="435">
        <v>1529</v>
      </c>
      <c r="Q2529" s="436">
        <v>646</v>
      </c>
      <c r="R2529" s="336">
        <f t="shared" si="289"/>
        <v>3654</v>
      </c>
      <c r="S2529" s="366">
        <f t="shared" si="290"/>
        <v>735</v>
      </c>
      <c r="T2529" s="437"/>
      <c r="U2529" s="437"/>
      <c r="V2529" s="437"/>
      <c r="W2529" s="437"/>
      <c r="X2529" s="437"/>
    </row>
    <row r="2530" spans="1:24" ht="12.75">
      <c r="A2530" s="433" t="s">
        <v>737</v>
      </c>
      <c r="B2530" s="434" t="s">
        <v>201</v>
      </c>
      <c r="C2530" s="434" t="s">
        <v>812</v>
      </c>
      <c r="D2530" s="434">
        <v>2017</v>
      </c>
      <c r="E2530" s="434" t="s">
        <v>775</v>
      </c>
      <c r="F2530" s="435">
        <v>288</v>
      </c>
      <c r="G2530" s="435">
        <v>0</v>
      </c>
      <c r="H2530" s="436">
        <v>0</v>
      </c>
      <c r="I2530" s="435">
        <v>0</v>
      </c>
      <c r="J2530" s="435">
        <v>201</v>
      </c>
      <c r="K2530" s="435">
        <v>10</v>
      </c>
      <c r="L2530" s="435">
        <v>10</v>
      </c>
      <c r="M2530" s="435">
        <v>0</v>
      </c>
      <c r="N2530" s="435">
        <v>241</v>
      </c>
      <c r="O2530" s="435">
        <v>6</v>
      </c>
      <c r="P2530" s="435">
        <v>555</v>
      </c>
      <c r="Q2530" s="436">
        <v>1</v>
      </c>
      <c r="R2530" s="336">
        <f t="shared" si="289"/>
        <v>1285</v>
      </c>
      <c r="S2530" s="366">
        <f t="shared" si="290"/>
        <v>17</v>
      </c>
      <c r="T2530" s="437"/>
      <c r="U2530" s="437"/>
      <c r="V2530" s="437"/>
      <c r="W2530" s="437"/>
      <c r="X2530" s="437"/>
    </row>
    <row r="2531" spans="1:24" ht="12.75">
      <c r="A2531" s="433" t="s">
        <v>738</v>
      </c>
      <c r="B2531" s="434" t="s">
        <v>201</v>
      </c>
      <c r="C2531" s="434" t="s">
        <v>812</v>
      </c>
      <c r="D2531" s="434">
        <v>2017</v>
      </c>
      <c r="E2531" s="434" t="s">
        <v>775</v>
      </c>
      <c r="F2531" s="435">
        <v>310</v>
      </c>
      <c r="G2531" s="435">
        <v>30</v>
      </c>
      <c r="H2531" s="436">
        <v>30</v>
      </c>
      <c r="I2531" s="435">
        <v>0</v>
      </c>
      <c r="J2531" s="435">
        <v>208</v>
      </c>
      <c r="K2531" s="435">
        <v>0</v>
      </c>
      <c r="L2531" s="435">
        <v>0</v>
      </c>
      <c r="M2531" s="435">
        <v>0</v>
      </c>
      <c r="N2531" s="435">
        <v>229</v>
      </c>
      <c r="O2531" s="435">
        <v>12</v>
      </c>
      <c r="P2531" s="435">
        <v>509</v>
      </c>
      <c r="Q2531" s="436">
        <v>59</v>
      </c>
      <c r="R2531" s="336">
        <f t="shared" si="289"/>
        <v>1256</v>
      </c>
      <c r="S2531" s="366">
        <f t="shared" si="290"/>
        <v>101</v>
      </c>
      <c r="T2531" s="437"/>
      <c r="U2531" s="437"/>
      <c r="V2531" s="437"/>
      <c r="W2531" s="437"/>
      <c r="X2531" s="437"/>
    </row>
    <row r="2532" spans="1:24" ht="12.75">
      <c r="A2532" s="461" t="s">
        <v>739</v>
      </c>
      <c r="B2532" s="462" t="s">
        <v>201</v>
      </c>
      <c r="C2532" s="462" t="s">
        <v>812</v>
      </c>
      <c r="D2532" s="462">
        <v>2017</v>
      </c>
      <c r="E2532" s="462" t="s">
        <v>775</v>
      </c>
      <c r="F2532" s="436">
        <v>47</v>
      </c>
      <c r="G2532" s="435">
        <v>0</v>
      </c>
      <c r="H2532" s="436">
        <v>0</v>
      </c>
      <c r="I2532" s="436">
        <v>0</v>
      </c>
      <c r="J2532" s="435">
        <v>32</v>
      </c>
      <c r="K2532" s="435">
        <v>0</v>
      </c>
      <c r="L2532" s="436">
        <v>0</v>
      </c>
      <c r="M2532" s="436">
        <v>0</v>
      </c>
      <c r="N2532" s="436">
        <v>36</v>
      </c>
      <c r="O2532" s="436">
        <v>50</v>
      </c>
      <c r="P2532" s="436">
        <v>77</v>
      </c>
      <c r="Q2532" s="436">
        <v>16</v>
      </c>
      <c r="R2532" s="336">
        <f t="shared" si="289"/>
        <v>192</v>
      </c>
      <c r="S2532" s="366">
        <f t="shared" si="290"/>
        <v>66</v>
      </c>
      <c r="T2532" s="437"/>
      <c r="U2532" s="437"/>
      <c r="V2532" s="437"/>
      <c r="W2532" s="437"/>
      <c r="X2532" s="437"/>
    </row>
    <row r="2533" spans="1:24" ht="12.75">
      <c r="A2533" s="461" t="s">
        <v>740</v>
      </c>
      <c r="B2533" s="462" t="s">
        <v>201</v>
      </c>
      <c r="C2533" s="462" t="s">
        <v>812</v>
      </c>
      <c r="D2533" s="462">
        <v>2017</v>
      </c>
      <c r="E2533" s="462" t="s">
        <v>775</v>
      </c>
      <c r="F2533" s="436">
        <v>246</v>
      </c>
      <c r="G2533" s="435">
        <v>7</v>
      </c>
      <c r="H2533" s="436">
        <v>0</v>
      </c>
      <c r="I2533" s="436">
        <v>7</v>
      </c>
      <c r="J2533" s="435">
        <v>168</v>
      </c>
      <c r="K2533" s="435">
        <v>14</v>
      </c>
      <c r="L2533" s="436">
        <v>0</v>
      </c>
      <c r="M2533" s="436">
        <v>14</v>
      </c>
      <c r="N2533" s="436">
        <v>189</v>
      </c>
      <c r="O2533" s="436">
        <v>15</v>
      </c>
      <c r="P2533" s="436">
        <v>412</v>
      </c>
      <c r="Q2533" s="436">
        <v>45</v>
      </c>
      <c r="R2533" s="336">
        <f t="shared" si="289"/>
        <v>1015</v>
      </c>
      <c r="S2533" s="366">
        <f t="shared" si="290"/>
        <v>81</v>
      </c>
      <c r="T2533" s="414">
        <f>SUM(G2524:G2533)</f>
        <v>175</v>
      </c>
      <c r="U2533" s="414">
        <f>SUM(K2524:K2533)</f>
        <v>346</v>
      </c>
      <c r="V2533" s="414">
        <f>SUM(O2524:O2533)</f>
        <v>882</v>
      </c>
      <c r="W2533" s="414">
        <f>SUM(Q2524:Q2533)</f>
        <v>1202</v>
      </c>
      <c r="X2533" s="414">
        <f>T2533+U2533+V2533+W2533</f>
        <v>2605</v>
      </c>
    </row>
    <row r="2534" spans="1:24" ht="12.75">
      <c r="A2534" s="438" t="s">
        <v>730</v>
      </c>
      <c r="B2534" s="439" t="s">
        <v>201</v>
      </c>
      <c r="C2534" s="439" t="s">
        <v>812</v>
      </c>
      <c r="D2534" s="439">
        <v>2018</v>
      </c>
      <c r="E2534" s="439" t="s">
        <v>775</v>
      </c>
      <c r="F2534" s="440">
        <v>539</v>
      </c>
      <c r="G2534" s="441">
        <v>1</v>
      </c>
      <c r="H2534" s="440">
        <v>1</v>
      </c>
      <c r="I2534" s="440">
        <v>0</v>
      </c>
      <c r="J2534" s="440">
        <v>366</v>
      </c>
      <c r="K2534" s="441">
        <v>0</v>
      </c>
      <c r="L2534" s="440">
        <v>0</v>
      </c>
      <c r="M2534" s="440">
        <v>0</v>
      </c>
      <c r="N2534" s="440">
        <v>411</v>
      </c>
      <c r="O2534" s="440">
        <v>228</v>
      </c>
      <c r="P2534" s="440">
        <v>908</v>
      </c>
      <c r="Q2534" s="440">
        <v>238</v>
      </c>
      <c r="R2534" s="344">
        <f t="shared" si="289"/>
        <v>2224</v>
      </c>
      <c r="S2534" s="367">
        <f t="shared" si="290"/>
        <v>467</v>
      </c>
      <c r="T2534" s="442"/>
      <c r="U2534" s="442"/>
      <c r="V2534" s="442"/>
      <c r="W2534" s="442"/>
      <c r="X2534" s="442"/>
    </row>
    <row r="2535" spans="1:24" ht="12.75">
      <c r="A2535" s="438" t="s">
        <v>732</v>
      </c>
      <c r="B2535" s="439" t="s">
        <v>201</v>
      </c>
      <c r="C2535" s="439" t="s">
        <v>812</v>
      </c>
      <c r="D2535" s="439">
        <v>2018</v>
      </c>
      <c r="E2535" s="439" t="s">
        <v>775</v>
      </c>
      <c r="F2535" s="440">
        <v>289</v>
      </c>
      <c r="G2535" s="441">
        <v>0</v>
      </c>
      <c r="H2535" s="440">
        <v>0</v>
      </c>
      <c r="I2535" s="440">
        <v>0</v>
      </c>
      <c r="J2535" s="440">
        <v>197</v>
      </c>
      <c r="K2535" s="441">
        <v>3</v>
      </c>
      <c r="L2535" s="440">
        <v>0</v>
      </c>
      <c r="M2535" s="440">
        <v>3</v>
      </c>
      <c r="N2535" s="440">
        <v>216</v>
      </c>
      <c r="O2535" s="440">
        <v>0</v>
      </c>
      <c r="P2535" s="440">
        <v>462</v>
      </c>
      <c r="Q2535" s="440">
        <v>16</v>
      </c>
      <c r="R2535" s="344">
        <f t="shared" si="289"/>
        <v>1164</v>
      </c>
      <c r="S2535" s="367">
        <f t="shared" si="290"/>
        <v>19</v>
      </c>
      <c r="T2535" s="442"/>
      <c r="U2535" s="442"/>
      <c r="V2535" s="442"/>
      <c r="W2535" s="442"/>
      <c r="X2535" s="442"/>
    </row>
    <row r="2536" spans="1:24" ht="12.75">
      <c r="A2536" s="438" t="s">
        <v>734</v>
      </c>
      <c r="B2536" s="439" t="s">
        <v>201</v>
      </c>
      <c r="C2536" s="439" t="s">
        <v>812</v>
      </c>
      <c r="D2536" s="439">
        <v>2018</v>
      </c>
      <c r="E2536" s="439" t="s">
        <v>775</v>
      </c>
      <c r="F2536" s="440">
        <v>1688</v>
      </c>
      <c r="G2536" s="441">
        <v>51</v>
      </c>
      <c r="H2536" s="440">
        <v>51</v>
      </c>
      <c r="I2536" s="440">
        <v>0</v>
      </c>
      <c r="J2536" s="440">
        <v>1160</v>
      </c>
      <c r="K2536" s="441">
        <v>230</v>
      </c>
      <c r="L2536" s="440">
        <v>229</v>
      </c>
      <c r="M2536" s="440">
        <v>1</v>
      </c>
      <c r="N2536" s="440">
        <v>1351</v>
      </c>
      <c r="O2536" s="440">
        <v>0</v>
      </c>
      <c r="P2536" s="440">
        <v>3102</v>
      </c>
      <c r="Q2536" s="440">
        <v>146</v>
      </c>
      <c r="R2536" s="344">
        <f t="shared" si="289"/>
        <v>7301</v>
      </c>
      <c r="S2536" s="367">
        <f t="shared" si="290"/>
        <v>427</v>
      </c>
      <c r="T2536" s="442"/>
      <c r="U2536" s="442"/>
      <c r="V2536" s="442"/>
      <c r="W2536" s="442"/>
      <c r="X2536" s="442"/>
    </row>
    <row r="2537" spans="1:24" ht="12.75">
      <c r="A2537" s="438" t="s">
        <v>735</v>
      </c>
      <c r="B2537" s="439" t="s">
        <v>201</v>
      </c>
      <c r="C2537" s="439" t="s">
        <v>812</v>
      </c>
      <c r="D2537" s="439">
        <v>2018</v>
      </c>
      <c r="E2537" s="439" t="s">
        <v>775</v>
      </c>
      <c r="F2537" s="440">
        <v>1</v>
      </c>
      <c r="G2537" s="454"/>
      <c r="H2537" s="455"/>
      <c r="I2537" s="455"/>
      <c r="J2537" s="440">
        <v>1</v>
      </c>
      <c r="K2537" s="454"/>
      <c r="L2537" s="455"/>
      <c r="M2537" s="455"/>
      <c r="N2537" s="440">
        <v>0</v>
      </c>
      <c r="O2537" s="455"/>
      <c r="P2537" s="440">
        <v>0</v>
      </c>
      <c r="Q2537" s="455"/>
      <c r="R2537" s="344">
        <f t="shared" si="289"/>
        <v>2</v>
      </c>
      <c r="S2537" s="367">
        <f t="shared" si="290"/>
        <v>0</v>
      </c>
      <c r="T2537" s="442"/>
      <c r="U2537" s="442"/>
      <c r="V2537" s="442"/>
      <c r="W2537" s="442"/>
      <c r="X2537" s="442"/>
    </row>
    <row r="2538" spans="1:24" ht="12.75">
      <c r="A2538" s="438" t="s">
        <v>736</v>
      </c>
      <c r="B2538" s="439" t="s">
        <v>201</v>
      </c>
      <c r="C2538" s="439" t="s">
        <v>812</v>
      </c>
      <c r="D2538" s="439">
        <v>2018</v>
      </c>
      <c r="E2538" s="439" t="s">
        <v>775</v>
      </c>
      <c r="F2538" s="440">
        <v>861</v>
      </c>
      <c r="G2538" s="441">
        <v>24</v>
      </c>
      <c r="H2538" s="440">
        <v>24</v>
      </c>
      <c r="I2538" s="440">
        <v>0</v>
      </c>
      <c r="J2538" s="440">
        <v>591</v>
      </c>
      <c r="K2538" s="441">
        <v>12</v>
      </c>
      <c r="L2538" s="440">
        <v>12</v>
      </c>
      <c r="M2538" s="440">
        <v>0</v>
      </c>
      <c r="N2538" s="440">
        <v>673</v>
      </c>
      <c r="O2538" s="440">
        <v>15</v>
      </c>
      <c r="P2538" s="440">
        <v>1529</v>
      </c>
      <c r="Q2538" s="440">
        <v>291</v>
      </c>
      <c r="R2538" s="344">
        <f t="shared" si="289"/>
        <v>3654</v>
      </c>
      <c r="S2538" s="367">
        <f t="shared" si="290"/>
        <v>342</v>
      </c>
      <c r="T2538" s="442"/>
      <c r="U2538" s="442"/>
      <c r="V2538" s="442"/>
      <c r="W2538" s="442"/>
      <c r="X2538" s="442"/>
    </row>
    <row r="2539" spans="1:24" ht="12.75">
      <c r="A2539" s="438" t="s">
        <v>737</v>
      </c>
      <c r="B2539" s="439" t="s">
        <v>201</v>
      </c>
      <c r="C2539" s="439" t="s">
        <v>812</v>
      </c>
      <c r="D2539" s="439">
        <v>2018</v>
      </c>
      <c r="E2539" s="439" t="s">
        <v>775</v>
      </c>
      <c r="F2539" s="440">
        <v>288</v>
      </c>
      <c r="G2539" s="454"/>
      <c r="H2539" s="455"/>
      <c r="I2539" s="455"/>
      <c r="J2539" s="440">
        <v>201</v>
      </c>
      <c r="K2539" s="454"/>
      <c r="L2539" s="455"/>
      <c r="M2539" s="455"/>
      <c r="N2539" s="440">
        <v>241</v>
      </c>
      <c r="O2539" s="455"/>
      <c r="P2539" s="440">
        <v>555</v>
      </c>
      <c r="Q2539" s="455"/>
      <c r="R2539" s="344">
        <f t="shared" si="289"/>
        <v>1285</v>
      </c>
      <c r="S2539" s="367">
        <f t="shared" si="290"/>
        <v>0</v>
      </c>
      <c r="T2539" s="442"/>
      <c r="U2539" s="442"/>
      <c r="V2539" s="442"/>
      <c r="W2539" s="442"/>
      <c r="X2539" s="442"/>
    </row>
    <row r="2540" spans="1:24" ht="12.75">
      <c r="A2540" s="438" t="s">
        <v>738</v>
      </c>
      <c r="B2540" s="439" t="s">
        <v>201</v>
      </c>
      <c r="C2540" s="439" t="s">
        <v>812</v>
      </c>
      <c r="D2540" s="439">
        <v>2018</v>
      </c>
      <c r="E2540" s="439" t="s">
        <v>775</v>
      </c>
      <c r="F2540" s="440">
        <v>310</v>
      </c>
      <c r="G2540" s="441">
        <v>5</v>
      </c>
      <c r="H2540" s="440">
        <v>5</v>
      </c>
      <c r="I2540" s="440">
        <v>0</v>
      </c>
      <c r="J2540" s="440">
        <v>208</v>
      </c>
      <c r="K2540" s="441">
        <v>2</v>
      </c>
      <c r="L2540" s="440">
        <v>2</v>
      </c>
      <c r="M2540" s="440">
        <v>0</v>
      </c>
      <c r="N2540" s="440">
        <v>229</v>
      </c>
      <c r="O2540" s="440">
        <v>27</v>
      </c>
      <c r="P2540" s="440">
        <v>509</v>
      </c>
      <c r="Q2540" s="440">
        <v>174</v>
      </c>
      <c r="R2540" s="344">
        <f t="shared" si="289"/>
        <v>1256</v>
      </c>
      <c r="S2540" s="367">
        <f t="shared" si="290"/>
        <v>208</v>
      </c>
      <c r="T2540" s="442"/>
      <c r="U2540" s="442"/>
      <c r="V2540" s="442"/>
      <c r="W2540" s="442"/>
      <c r="X2540" s="442"/>
    </row>
    <row r="2541" spans="1:24" ht="12.75">
      <c r="A2541" s="438" t="s">
        <v>739</v>
      </c>
      <c r="B2541" s="439" t="s">
        <v>201</v>
      </c>
      <c r="C2541" s="439" t="s">
        <v>812</v>
      </c>
      <c r="D2541" s="439">
        <v>2018</v>
      </c>
      <c r="E2541" s="439" t="s">
        <v>775</v>
      </c>
      <c r="F2541" s="440">
        <v>47</v>
      </c>
      <c r="G2541" s="441">
        <v>3</v>
      </c>
      <c r="H2541" s="440">
        <v>3</v>
      </c>
      <c r="I2541" s="440">
        <v>0</v>
      </c>
      <c r="J2541" s="440">
        <v>32</v>
      </c>
      <c r="K2541" s="441">
        <v>0</v>
      </c>
      <c r="L2541" s="440">
        <v>0</v>
      </c>
      <c r="M2541" s="440">
        <v>0</v>
      </c>
      <c r="N2541" s="440">
        <v>36</v>
      </c>
      <c r="O2541" s="440">
        <v>47</v>
      </c>
      <c r="P2541" s="440">
        <v>77</v>
      </c>
      <c r="Q2541" s="440">
        <v>32</v>
      </c>
      <c r="R2541" s="344">
        <f t="shared" si="289"/>
        <v>192</v>
      </c>
      <c r="S2541" s="367">
        <f t="shared" si="290"/>
        <v>82</v>
      </c>
      <c r="T2541" s="442"/>
      <c r="U2541" s="442"/>
      <c r="V2541" s="442"/>
      <c r="W2541" s="442"/>
      <c r="X2541" s="442"/>
    </row>
    <row r="2542" spans="1:24" ht="12.75">
      <c r="A2542" s="438" t="s">
        <v>740</v>
      </c>
      <c r="B2542" s="439" t="s">
        <v>201</v>
      </c>
      <c r="C2542" s="439" t="s">
        <v>812</v>
      </c>
      <c r="D2542" s="439">
        <v>2018</v>
      </c>
      <c r="E2542" s="439" t="s">
        <v>775</v>
      </c>
      <c r="F2542" s="440">
        <v>246</v>
      </c>
      <c r="G2542" s="441">
        <v>11</v>
      </c>
      <c r="H2542" s="440">
        <v>0</v>
      </c>
      <c r="I2542" s="440">
        <v>11</v>
      </c>
      <c r="J2542" s="440">
        <v>168</v>
      </c>
      <c r="K2542" s="441">
        <v>43</v>
      </c>
      <c r="L2542" s="440">
        <v>0</v>
      </c>
      <c r="M2542" s="440">
        <v>43</v>
      </c>
      <c r="N2542" s="440">
        <v>189</v>
      </c>
      <c r="O2542" s="440">
        <v>20</v>
      </c>
      <c r="P2542" s="440">
        <v>412</v>
      </c>
      <c r="Q2542" s="440">
        <v>38</v>
      </c>
      <c r="R2542" s="344">
        <f t="shared" si="289"/>
        <v>1015</v>
      </c>
      <c r="S2542" s="367">
        <f t="shared" si="290"/>
        <v>112</v>
      </c>
      <c r="T2542" s="443">
        <f>SUM(G2534:G2542)</f>
        <v>95</v>
      </c>
      <c r="U2542" s="443">
        <f>SUM(K2534:K2542)</f>
        <v>290</v>
      </c>
      <c r="V2542" s="443">
        <f>SUM(O2534:O2542)</f>
        <v>337</v>
      </c>
      <c r="W2542" s="443">
        <f>SUM(Q2534:Q2542)</f>
        <v>935</v>
      </c>
      <c r="X2542" s="443">
        <f>T2542+U2542+V2542+W2542</f>
        <v>1657</v>
      </c>
    </row>
    <row r="2543" spans="1:24" ht="12.75">
      <c r="A2543" s="346" t="s">
        <v>730</v>
      </c>
      <c r="B2543" s="347" t="s">
        <v>201</v>
      </c>
      <c r="C2543" s="347" t="s">
        <v>813</v>
      </c>
      <c r="D2543" s="347">
        <v>2019</v>
      </c>
      <c r="E2543" s="347" t="s">
        <v>775</v>
      </c>
      <c r="F2543" s="348">
        <v>539</v>
      </c>
      <c r="G2543" s="348">
        <v>0</v>
      </c>
      <c r="H2543" s="348">
        <v>0</v>
      </c>
      <c r="I2543" s="348">
        <v>0</v>
      </c>
      <c r="J2543" s="348">
        <v>366</v>
      </c>
      <c r="K2543" s="348">
        <v>2</v>
      </c>
      <c r="L2543" s="348">
        <v>2</v>
      </c>
      <c r="M2543" s="348">
        <v>0</v>
      </c>
      <c r="N2543" s="348">
        <v>411</v>
      </c>
      <c r="O2543" s="348">
        <v>14</v>
      </c>
      <c r="P2543" s="348">
        <v>908</v>
      </c>
      <c r="Q2543" s="348">
        <v>72</v>
      </c>
      <c r="R2543" s="350">
        <f t="shared" si="289"/>
        <v>2224</v>
      </c>
      <c r="S2543" s="348">
        <f t="shared" si="290"/>
        <v>88</v>
      </c>
      <c r="T2543" s="348"/>
      <c r="U2543" s="348"/>
      <c r="V2543" s="348"/>
      <c r="W2543" s="349"/>
      <c r="X2543" s="349"/>
    </row>
    <row r="2544" spans="1:24" ht="12.75">
      <c r="A2544" s="346" t="s">
        <v>732</v>
      </c>
      <c r="B2544" s="347" t="s">
        <v>201</v>
      </c>
      <c r="C2544" s="347" t="s">
        <v>813</v>
      </c>
      <c r="D2544" s="347">
        <v>2019</v>
      </c>
      <c r="E2544" s="347" t="s">
        <v>775</v>
      </c>
      <c r="F2544" s="348">
        <v>289</v>
      </c>
      <c r="G2544" s="348">
        <v>0</v>
      </c>
      <c r="H2544" s="348">
        <v>0</v>
      </c>
      <c r="I2544" s="348">
        <v>0</v>
      </c>
      <c r="J2544" s="348">
        <v>197</v>
      </c>
      <c r="K2544" s="348">
        <v>3</v>
      </c>
      <c r="L2544" s="348">
        <v>0</v>
      </c>
      <c r="M2544" s="348">
        <v>3</v>
      </c>
      <c r="N2544" s="348">
        <v>216</v>
      </c>
      <c r="O2544" s="348">
        <v>1</v>
      </c>
      <c r="P2544" s="348">
        <v>462</v>
      </c>
      <c r="Q2544" s="348">
        <v>0</v>
      </c>
      <c r="R2544" s="350">
        <f t="shared" si="289"/>
        <v>1164</v>
      </c>
      <c r="S2544" s="348">
        <f t="shared" si="290"/>
        <v>4</v>
      </c>
      <c r="T2544" s="348"/>
      <c r="U2544" s="348"/>
      <c r="V2544" s="348"/>
      <c r="W2544" s="349"/>
      <c r="X2544" s="349"/>
    </row>
    <row r="2545" spans="1:24" ht="12.75">
      <c r="A2545" s="346" t="s">
        <v>733</v>
      </c>
      <c r="B2545" s="347" t="s">
        <v>201</v>
      </c>
      <c r="C2545" s="347" t="s">
        <v>813</v>
      </c>
      <c r="D2545" s="347">
        <v>2019</v>
      </c>
      <c r="E2545" s="347" t="s">
        <v>775</v>
      </c>
      <c r="F2545" s="348">
        <v>87</v>
      </c>
      <c r="G2545" s="348">
        <v>0</v>
      </c>
      <c r="H2545" s="348">
        <v>0</v>
      </c>
      <c r="I2545" s="348">
        <v>0</v>
      </c>
      <c r="J2545" s="348">
        <v>59</v>
      </c>
      <c r="K2545" s="348">
        <v>0</v>
      </c>
      <c r="L2545" s="348">
        <v>0</v>
      </c>
      <c r="M2545" s="348">
        <v>0</v>
      </c>
      <c r="N2545" s="348">
        <v>70</v>
      </c>
      <c r="O2545" s="348">
        <v>16</v>
      </c>
      <c r="P2545" s="348">
        <v>155</v>
      </c>
      <c r="Q2545" s="348">
        <v>1</v>
      </c>
      <c r="R2545" s="350">
        <f t="shared" si="289"/>
        <v>371</v>
      </c>
      <c r="S2545" s="348">
        <f t="shared" si="290"/>
        <v>17</v>
      </c>
      <c r="T2545" s="348"/>
      <c r="U2545" s="348"/>
      <c r="V2545" s="348"/>
      <c r="W2545" s="349"/>
      <c r="X2545" s="349"/>
    </row>
    <row r="2546" spans="1:24" ht="12.75">
      <c r="A2546" s="346" t="s">
        <v>734</v>
      </c>
      <c r="B2546" s="347" t="s">
        <v>201</v>
      </c>
      <c r="C2546" s="347" t="s">
        <v>813</v>
      </c>
      <c r="D2546" s="347">
        <v>2019</v>
      </c>
      <c r="E2546" s="347" t="s">
        <v>775</v>
      </c>
      <c r="F2546" s="348">
        <v>1688</v>
      </c>
      <c r="G2546" s="348">
        <v>0</v>
      </c>
      <c r="H2546" s="348">
        <v>0</v>
      </c>
      <c r="I2546" s="348">
        <v>0</v>
      </c>
      <c r="J2546" s="348">
        <v>1160</v>
      </c>
      <c r="K2546" s="348">
        <v>0</v>
      </c>
      <c r="L2546" s="348">
        <v>0</v>
      </c>
      <c r="M2546" s="348">
        <v>0</v>
      </c>
      <c r="N2546" s="348">
        <v>1351</v>
      </c>
      <c r="O2546" s="348">
        <v>0</v>
      </c>
      <c r="P2546" s="348">
        <v>3102</v>
      </c>
      <c r="Q2546" s="348">
        <v>137</v>
      </c>
      <c r="R2546" s="350">
        <f t="shared" si="289"/>
        <v>7301</v>
      </c>
      <c r="S2546" s="348">
        <f t="shared" si="290"/>
        <v>137</v>
      </c>
      <c r="T2546" s="348"/>
      <c r="U2546" s="348"/>
      <c r="V2546" s="348"/>
      <c r="W2546" s="349"/>
      <c r="X2546" s="349"/>
    </row>
    <row r="2547" spans="1:24" ht="12.75">
      <c r="A2547" s="346" t="s">
        <v>735</v>
      </c>
      <c r="B2547" s="347" t="s">
        <v>201</v>
      </c>
      <c r="C2547" s="347" t="s">
        <v>813</v>
      </c>
      <c r="D2547" s="347">
        <v>2019</v>
      </c>
      <c r="E2547" s="347" t="s">
        <v>775</v>
      </c>
      <c r="F2547" s="348">
        <v>1</v>
      </c>
      <c r="G2547" s="348">
        <v>0</v>
      </c>
      <c r="H2547" s="348">
        <v>0</v>
      </c>
      <c r="I2547" s="348">
        <v>0</v>
      </c>
      <c r="J2547" s="348">
        <v>1</v>
      </c>
      <c r="K2547" s="348">
        <v>0</v>
      </c>
      <c r="L2547" s="348">
        <v>0</v>
      </c>
      <c r="M2547" s="348">
        <v>0</v>
      </c>
      <c r="N2547" s="348">
        <v>0</v>
      </c>
      <c r="O2547" s="348">
        <v>0</v>
      </c>
      <c r="P2547" s="348">
        <v>0</v>
      </c>
      <c r="Q2547" s="348">
        <v>4</v>
      </c>
      <c r="R2547" s="350">
        <f t="shared" si="289"/>
        <v>2</v>
      </c>
      <c r="S2547" s="348">
        <f t="shared" si="290"/>
        <v>4</v>
      </c>
      <c r="T2547" s="348"/>
      <c r="U2547" s="348"/>
      <c r="V2547" s="348"/>
      <c r="W2547" s="349"/>
      <c r="X2547" s="349"/>
    </row>
    <row r="2548" spans="1:24" ht="12.75">
      <c r="A2548" s="346" t="s">
        <v>736</v>
      </c>
      <c r="B2548" s="347" t="s">
        <v>201</v>
      </c>
      <c r="C2548" s="347" t="s">
        <v>813</v>
      </c>
      <c r="D2548" s="347">
        <v>2019</v>
      </c>
      <c r="E2548" s="347" t="s">
        <v>775</v>
      </c>
      <c r="F2548" s="348">
        <v>861</v>
      </c>
      <c r="G2548" s="348">
        <v>0</v>
      </c>
      <c r="H2548" s="348">
        <v>0</v>
      </c>
      <c r="I2548" s="348">
        <v>0</v>
      </c>
      <c r="J2548" s="348">
        <v>591</v>
      </c>
      <c r="K2548" s="348">
        <v>0</v>
      </c>
      <c r="L2548" s="348">
        <v>0</v>
      </c>
      <c r="M2548" s="348">
        <v>0</v>
      </c>
      <c r="N2548" s="348">
        <v>673</v>
      </c>
      <c r="O2548" s="348">
        <v>0</v>
      </c>
      <c r="P2548" s="348">
        <v>1529</v>
      </c>
      <c r="Q2548" s="348">
        <v>280</v>
      </c>
      <c r="R2548" s="350">
        <f t="shared" si="289"/>
        <v>3654</v>
      </c>
      <c r="S2548" s="348">
        <f t="shared" si="290"/>
        <v>280</v>
      </c>
      <c r="T2548" s="348"/>
      <c r="U2548" s="348"/>
      <c r="V2548" s="348"/>
      <c r="W2548" s="349"/>
      <c r="X2548" s="349"/>
    </row>
    <row r="2549" spans="1:24" ht="12.75">
      <c r="A2549" s="346" t="s">
        <v>737</v>
      </c>
      <c r="B2549" s="347" t="s">
        <v>201</v>
      </c>
      <c r="C2549" s="347" t="s">
        <v>813</v>
      </c>
      <c r="D2549" s="347">
        <v>2019</v>
      </c>
      <c r="E2549" s="347" t="s">
        <v>775</v>
      </c>
      <c r="F2549" s="348">
        <v>288</v>
      </c>
      <c r="G2549" s="348">
        <v>0</v>
      </c>
      <c r="H2549" s="348">
        <v>0</v>
      </c>
      <c r="I2549" s="348">
        <v>0</v>
      </c>
      <c r="J2549" s="348">
        <v>201</v>
      </c>
      <c r="K2549" s="348">
        <v>0</v>
      </c>
      <c r="L2549" s="348">
        <v>0</v>
      </c>
      <c r="M2549" s="348">
        <v>0</v>
      </c>
      <c r="N2549" s="348">
        <v>241</v>
      </c>
      <c r="O2549" s="348">
        <v>0</v>
      </c>
      <c r="P2549" s="348">
        <v>555</v>
      </c>
      <c r="Q2549" s="348">
        <v>0</v>
      </c>
      <c r="R2549" s="350">
        <f t="shared" si="289"/>
        <v>1285</v>
      </c>
      <c r="S2549" s="348">
        <f t="shared" si="290"/>
        <v>0</v>
      </c>
      <c r="T2549" s="348"/>
      <c r="U2549" s="348"/>
      <c r="V2549" s="348"/>
      <c r="W2549" s="349"/>
      <c r="X2549" s="349"/>
    </row>
    <row r="2550" spans="1:24" ht="12.75">
      <c r="A2550" s="346" t="s">
        <v>738</v>
      </c>
      <c r="B2550" s="347" t="s">
        <v>201</v>
      </c>
      <c r="C2550" s="347" t="s">
        <v>813</v>
      </c>
      <c r="D2550" s="347">
        <v>2019</v>
      </c>
      <c r="E2550" s="347" t="s">
        <v>775</v>
      </c>
      <c r="F2550" s="348">
        <v>310</v>
      </c>
      <c r="G2550" s="348">
        <v>0</v>
      </c>
      <c r="H2550" s="348">
        <v>0</v>
      </c>
      <c r="I2550" s="348">
        <v>0</v>
      </c>
      <c r="J2550" s="348">
        <v>208</v>
      </c>
      <c r="K2550" s="348">
        <v>0</v>
      </c>
      <c r="L2550" s="348">
        <v>0</v>
      </c>
      <c r="M2550" s="348">
        <v>0</v>
      </c>
      <c r="N2550" s="348">
        <v>229</v>
      </c>
      <c r="O2550" s="348">
        <v>0</v>
      </c>
      <c r="P2550" s="348">
        <v>509</v>
      </c>
      <c r="Q2550" s="348">
        <v>0</v>
      </c>
      <c r="R2550" s="350">
        <f t="shared" si="289"/>
        <v>1256</v>
      </c>
      <c r="S2550" s="348">
        <f t="shared" si="290"/>
        <v>0</v>
      </c>
      <c r="T2550" s="348"/>
      <c r="U2550" s="348"/>
      <c r="V2550" s="348"/>
      <c r="W2550" s="349"/>
      <c r="X2550" s="349"/>
    </row>
    <row r="2551" spans="1:24" ht="12.75">
      <c r="A2551" s="346" t="s">
        <v>739</v>
      </c>
      <c r="B2551" s="347" t="s">
        <v>201</v>
      </c>
      <c r="C2551" s="347" t="s">
        <v>813</v>
      </c>
      <c r="D2551" s="347">
        <v>2019</v>
      </c>
      <c r="E2551" s="347" t="s">
        <v>775</v>
      </c>
      <c r="F2551" s="348">
        <v>47</v>
      </c>
      <c r="G2551" s="348">
        <v>0</v>
      </c>
      <c r="H2551" s="348">
        <v>0</v>
      </c>
      <c r="I2551" s="348">
        <v>0</v>
      </c>
      <c r="J2551" s="348">
        <v>32</v>
      </c>
      <c r="K2551" s="348">
        <v>0</v>
      </c>
      <c r="L2551" s="348">
        <v>0</v>
      </c>
      <c r="M2551" s="348">
        <v>0</v>
      </c>
      <c r="N2551" s="348">
        <v>36</v>
      </c>
      <c r="O2551" s="348">
        <v>0</v>
      </c>
      <c r="P2551" s="348">
        <v>77</v>
      </c>
      <c r="Q2551" s="348">
        <v>67</v>
      </c>
      <c r="R2551" s="350">
        <f t="shared" si="289"/>
        <v>192</v>
      </c>
      <c r="S2551" s="348">
        <f t="shared" si="290"/>
        <v>67</v>
      </c>
      <c r="T2551" s="348"/>
      <c r="U2551" s="348"/>
      <c r="V2551" s="348"/>
      <c r="W2551" s="349"/>
      <c r="X2551" s="349"/>
    </row>
    <row r="2552" spans="1:24" ht="12.75">
      <c r="A2552" s="346" t="s">
        <v>740</v>
      </c>
      <c r="B2552" s="347" t="s">
        <v>201</v>
      </c>
      <c r="C2552" s="347" t="s">
        <v>813</v>
      </c>
      <c r="D2552" s="347">
        <v>2019</v>
      </c>
      <c r="E2552" s="347" t="s">
        <v>775</v>
      </c>
      <c r="F2552" s="348">
        <v>246</v>
      </c>
      <c r="G2552" s="348">
        <v>11</v>
      </c>
      <c r="H2552" s="348">
        <v>0</v>
      </c>
      <c r="I2552" s="348">
        <v>11</v>
      </c>
      <c r="J2552" s="348">
        <v>168</v>
      </c>
      <c r="K2552" s="348">
        <v>30</v>
      </c>
      <c r="L2552" s="348">
        <v>0</v>
      </c>
      <c r="M2552" s="348">
        <v>30</v>
      </c>
      <c r="N2552" s="348">
        <v>189</v>
      </c>
      <c r="O2552" s="348">
        <v>28</v>
      </c>
      <c r="P2552" s="348">
        <v>412</v>
      </c>
      <c r="Q2552" s="348">
        <v>39</v>
      </c>
      <c r="R2552" s="350">
        <f t="shared" si="289"/>
        <v>1015</v>
      </c>
      <c r="S2552" s="348">
        <f t="shared" si="290"/>
        <v>108</v>
      </c>
      <c r="T2552" s="410">
        <f>SUM(G2543:G2552)</f>
        <v>11</v>
      </c>
      <c r="U2552" s="410">
        <f>SUM(K2543:K2552)</f>
        <v>35</v>
      </c>
      <c r="V2552" s="410">
        <f>SUM(O2543:O2552)</f>
        <v>59</v>
      </c>
      <c r="W2552" s="410">
        <f>SUM(Q2543:Q2552)</f>
        <v>600</v>
      </c>
      <c r="X2552" s="410">
        <f>T2552+U2552+V2552+W2552</f>
        <v>705</v>
      </c>
    </row>
    <row r="2553" spans="1:24" ht="12.75">
      <c r="A2553" s="501"/>
      <c r="B2553" s="502"/>
      <c r="C2553" s="502"/>
      <c r="D2553" s="502"/>
      <c r="E2553" s="502"/>
      <c r="F2553" s="503"/>
      <c r="G2553" s="503"/>
      <c r="H2553" s="504"/>
      <c r="I2553" s="503"/>
      <c r="J2553" s="503"/>
      <c r="K2553" s="503"/>
      <c r="L2553" s="503"/>
      <c r="M2553" s="503"/>
      <c r="N2553" s="503"/>
      <c r="O2553" s="503"/>
      <c r="P2553" s="503"/>
      <c r="Q2553" s="504"/>
      <c r="R2553" s="398"/>
      <c r="S2553" s="361" t="s">
        <v>783</v>
      </c>
      <c r="T2553" s="448">
        <f t="shared" ref="T2553:X2553" si="291">SUM(T2501:T2552)</f>
        <v>588</v>
      </c>
      <c r="U2553" s="448">
        <f t="shared" si="291"/>
        <v>1086</v>
      </c>
      <c r="V2553" s="448">
        <f t="shared" si="291"/>
        <v>1640</v>
      </c>
      <c r="W2553" s="448">
        <f t="shared" si="291"/>
        <v>4494</v>
      </c>
      <c r="X2553" s="448">
        <f t="shared" si="291"/>
        <v>7808</v>
      </c>
    </row>
    <row r="2554" spans="1:24" ht="12.75">
      <c r="A2554" s="449"/>
      <c r="B2554" s="450"/>
      <c r="C2554" s="450"/>
      <c r="D2554" s="450"/>
      <c r="E2554" s="450"/>
      <c r="F2554" s="451"/>
      <c r="G2554" s="451"/>
      <c r="H2554" s="452"/>
      <c r="I2554" s="451"/>
      <c r="J2554" s="451"/>
      <c r="K2554" s="451"/>
      <c r="L2554" s="451"/>
      <c r="M2554" s="451"/>
      <c r="N2554" s="451"/>
      <c r="O2554" s="451"/>
      <c r="P2554" s="451"/>
      <c r="Q2554" s="452"/>
      <c r="R2554" s="182"/>
      <c r="S2554" s="362"/>
      <c r="T2554" s="97"/>
      <c r="U2554" s="97"/>
      <c r="V2554" s="97"/>
      <c r="W2554" s="97"/>
      <c r="X2554" s="97"/>
    </row>
    <row r="2555" spans="1:24" ht="12.75">
      <c r="A2555" s="467" t="s">
        <v>910</v>
      </c>
      <c r="B2555" s="468" t="s">
        <v>202</v>
      </c>
      <c r="C2555" s="468" t="s">
        <v>799</v>
      </c>
      <c r="D2555" s="468">
        <v>2013</v>
      </c>
      <c r="E2555" s="468" t="s">
        <v>775</v>
      </c>
      <c r="F2555" s="469">
        <v>248</v>
      </c>
      <c r="G2555" s="469">
        <v>0</v>
      </c>
      <c r="H2555" s="470">
        <v>0</v>
      </c>
      <c r="I2555" s="469">
        <v>0</v>
      </c>
      <c r="J2555" s="469">
        <v>174</v>
      </c>
      <c r="K2555" s="469">
        <v>3</v>
      </c>
      <c r="L2555" s="469">
        <v>0</v>
      </c>
      <c r="M2555" s="469">
        <v>3</v>
      </c>
      <c r="N2555" s="469">
        <v>198</v>
      </c>
      <c r="O2555" s="469">
        <v>13</v>
      </c>
      <c r="P2555" s="469">
        <v>446</v>
      </c>
      <c r="Q2555" s="470">
        <v>38</v>
      </c>
      <c r="R2555" s="381">
        <f t="shared" ref="R2555:R2588" si="292">F2555+J2555+N2555+P2555</f>
        <v>1066</v>
      </c>
      <c r="S2555" s="382">
        <f t="shared" ref="S2555:S2588" si="293">K2555+O2555+G2555+Q2555</f>
        <v>54</v>
      </c>
      <c r="T2555" s="471"/>
      <c r="U2555" s="471"/>
      <c r="V2555" s="471"/>
      <c r="W2555" s="471"/>
      <c r="X2555" s="471"/>
    </row>
    <row r="2556" spans="1:24" ht="12.75">
      <c r="A2556" s="488" t="s">
        <v>911</v>
      </c>
      <c r="B2556" s="489" t="s">
        <v>202</v>
      </c>
      <c r="C2556" s="489" t="s">
        <v>799</v>
      </c>
      <c r="D2556" s="489">
        <v>2013</v>
      </c>
      <c r="E2556" s="489" t="s">
        <v>775</v>
      </c>
      <c r="F2556" s="470">
        <v>1316</v>
      </c>
      <c r="G2556" s="469">
        <v>69</v>
      </c>
      <c r="H2556" s="470">
        <v>69</v>
      </c>
      <c r="I2556" s="470">
        <v>0</v>
      </c>
      <c r="J2556" s="470">
        <v>923</v>
      </c>
      <c r="K2556" s="469">
        <v>0</v>
      </c>
      <c r="L2556" s="470">
        <v>0</v>
      </c>
      <c r="M2556" s="470">
        <v>0</v>
      </c>
      <c r="N2556" s="470">
        <v>1111</v>
      </c>
      <c r="O2556" s="470">
        <v>437</v>
      </c>
      <c r="P2556" s="470">
        <v>2627</v>
      </c>
      <c r="Q2556" s="470">
        <v>76</v>
      </c>
      <c r="R2556" s="381">
        <f t="shared" si="292"/>
        <v>5977</v>
      </c>
      <c r="S2556" s="382">
        <f t="shared" si="293"/>
        <v>582</v>
      </c>
      <c r="T2556" s="471"/>
      <c r="U2556" s="471"/>
      <c r="V2556" s="471"/>
      <c r="W2556" s="471"/>
      <c r="X2556" s="471"/>
    </row>
    <row r="2557" spans="1:24" ht="12.75">
      <c r="A2557" s="488" t="s">
        <v>912</v>
      </c>
      <c r="B2557" s="489" t="s">
        <v>202</v>
      </c>
      <c r="C2557" s="489" t="s">
        <v>799</v>
      </c>
      <c r="D2557" s="489">
        <v>2013</v>
      </c>
      <c r="E2557" s="489" t="s">
        <v>775</v>
      </c>
      <c r="F2557" s="470">
        <v>76</v>
      </c>
      <c r="G2557" s="469">
        <v>0</v>
      </c>
      <c r="H2557" s="470">
        <v>0</v>
      </c>
      <c r="I2557" s="470">
        <v>0</v>
      </c>
      <c r="J2557" s="470">
        <v>54</v>
      </c>
      <c r="K2557" s="469">
        <v>0</v>
      </c>
      <c r="L2557" s="470">
        <v>0</v>
      </c>
      <c r="M2557" s="470">
        <v>0</v>
      </c>
      <c r="N2557" s="470">
        <v>59</v>
      </c>
      <c r="O2557" s="470">
        <v>1</v>
      </c>
      <c r="P2557" s="470">
        <v>130</v>
      </c>
      <c r="Q2557" s="470">
        <v>0</v>
      </c>
      <c r="R2557" s="381">
        <f t="shared" si="292"/>
        <v>319</v>
      </c>
      <c r="S2557" s="382">
        <f t="shared" si="293"/>
        <v>1</v>
      </c>
      <c r="T2557" s="471"/>
      <c r="U2557" s="471"/>
      <c r="V2557" s="471"/>
      <c r="W2557" s="471"/>
      <c r="X2557" s="471"/>
    </row>
    <row r="2558" spans="1:24" ht="12.75">
      <c r="A2558" s="488" t="s">
        <v>913</v>
      </c>
      <c r="B2558" s="489" t="s">
        <v>202</v>
      </c>
      <c r="C2558" s="489" t="s">
        <v>799</v>
      </c>
      <c r="D2558" s="489">
        <v>2013</v>
      </c>
      <c r="E2558" s="489" t="s">
        <v>775</v>
      </c>
      <c r="F2558" s="470">
        <v>390</v>
      </c>
      <c r="G2558" s="469">
        <v>46</v>
      </c>
      <c r="H2558" s="470">
        <v>46</v>
      </c>
      <c r="I2558" s="470">
        <v>0</v>
      </c>
      <c r="J2558" s="470">
        <v>274</v>
      </c>
      <c r="K2558" s="469">
        <v>16</v>
      </c>
      <c r="L2558" s="470">
        <v>16</v>
      </c>
      <c r="M2558" s="470">
        <v>0</v>
      </c>
      <c r="N2558" s="470">
        <v>349</v>
      </c>
      <c r="O2558" s="470">
        <v>1</v>
      </c>
      <c r="P2558" s="470">
        <v>864</v>
      </c>
      <c r="Q2558" s="470">
        <v>97</v>
      </c>
      <c r="R2558" s="381">
        <f t="shared" si="292"/>
        <v>1877</v>
      </c>
      <c r="S2558" s="382">
        <f t="shared" si="293"/>
        <v>160</v>
      </c>
      <c r="T2558" s="506">
        <f>SUM(G2555:G2558)</f>
        <v>115</v>
      </c>
      <c r="U2558" s="506">
        <f>SUM(K2555:K2558)</f>
        <v>19</v>
      </c>
      <c r="V2558" s="506">
        <f>SUM(O2555:O2558)</f>
        <v>452</v>
      </c>
      <c r="W2558" s="506">
        <f>SUM(Q2555:Q2558)</f>
        <v>211</v>
      </c>
      <c r="X2558" s="506">
        <f>T2558+U2558+V2558+W2558</f>
        <v>797</v>
      </c>
    </row>
    <row r="2559" spans="1:24" ht="12.75">
      <c r="A2559" s="417" t="s">
        <v>741</v>
      </c>
      <c r="B2559" s="418" t="s">
        <v>202</v>
      </c>
      <c r="C2559" s="418" t="s">
        <v>799</v>
      </c>
      <c r="D2559" s="418">
        <v>2014</v>
      </c>
      <c r="E2559" s="418" t="s">
        <v>775</v>
      </c>
      <c r="F2559" s="419">
        <v>248</v>
      </c>
      <c r="G2559" s="419">
        <v>0</v>
      </c>
      <c r="H2559" s="420">
        <v>0</v>
      </c>
      <c r="I2559" s="419">
        <v>0</v>
      </c>
      <c r="J2559" s="419">
        <v>174</v>
      </c>
      <c r="K2559" s="419">
        <v>2</v>
      </c>
      <c r="L2559" s="419">
        <v>0</v>
      </c>
      <c r="M2559" s="419">
        <v>2</v>
      </c>
      <c r="N2559" s="419">
        <v>198</v>
      </c>
      <c r="O2559" s="419">
        <v>5</v>
      </c>
      <c r="P2559" s="419">
        <v>446</v>
      </c>
      <c r="Q2559" s="420">
        <v>6</v>
      </c>
      <c r="R2559" s="311">
        <f t="shared" si="292"/>
        <v>1066</v>
      </c>
      <c r="S2559" s="363">
        <f t="shared" si="293"/>
        <v>13</v>
      </c>
      <c r="T2559" s="421"/>
      <c r="U2559" s="421"/>
      <c r="V2559" s="421"/>
      <c r="W2559" s="421"/>
      <c r="X2559" s="421"/>
    </row>
    <row r="2560" spans="1:24" ht="12.75">
      <c r="A2560" s="464" t="s">
        <v>742</v>
      </c>
      <c r="B2560" s="465" t="s">
        <v>202</v>
      </c>
      <c r="C2560" s="465" t="s">
        <v>799</v>
      </c>
      <c r="D2560" s="465">
        <v>2014</v>
      </c>
      <c r="E2560" s="465" t="s">
        <v>775</v>
      </c>
      <c r="F2560" s="420">
        <v>1316</v>
      </c>
      <c r="G2560" s="419">
        <v>0</v>
      </c>
      <c r="H2560" s="420">
        <v>0</v>
      </c>
      <c r="I2560" s="420">
        <v>0</v>
      </c>
      <c r="J2560" s="420">
        <v>923</v>
      </c>
      <c r="K2560" s="419">
        <v>0</v>
      </c>
      <c r="L2560" s="420">
        <v>0</v>
      </c>
      <c r="M2560" s="420">
        <v>0</v>
      </c>
      <c r="N2560" s="420">
        <v>1111</v>
      </c>
      <c r="O2560" s="420">
        <v>42</v>
      </c>
      <c r="P2560" s="420">
        <v>2627</v>
      </c>
      <c r="Q2560" s="420">
        <v>20</v>
      </c>
      <c r="R2560" s="311">
        <f t="shared" si="292"/>
        <v>5977</v>
      </c>
      <c r="S2560" s="363">
        <f t="shared" si="293"/>
        <v>62</v>
      </c>
      <c r="T2560" s="421"/>
      <c r="U2560" s="421"/>
      <c r="V2560" s="421"/>
      <c r="W2560" s="421"/>
      <c r="X2560" s="421"/>
    </row>
    <row r="2561" spans="1:24" ht="12.75">
      <c r="A2561" s="464" t="s">
        <v>743</v>
      </c>
      <c r="B2561" s="465" t="s">
        <v>202</v>
      </c>
      <c r="C2561" s="465" t="s">
        <v>799</v>
      </c>
      <c r="D2561" s="465">
        <v>2014</v>
      </c>
      <c r="E2561" s="465" t="s">
        <v>775</v>
      </c>
      <c r="F2561" s="420">
        <v>76</v>
      </c>
      <c r="G2561" s="419">
        <v>0</v>
      </c>
      <c r="H2561" s="420">
        <v>0</v>
      </c>
      <c r="I2561" s="420">
        <v>0</v>
      </c>
      <c r="J2561" s="420">
        <v>54</v>
      </c>
      <c r="K2561" s="419">
        <v>0</v>
      </c>
      <c r="L2561" s="420">
        <v>0</v>
      </c>
      <c r="M2561" s="420">
        <v>0</v>
      </c>
      <c r="N2561" s="420">
        <v>59</v>
      </c>
      <c r="O2561" s="420">
        <v>0</v>
      </c>
      <c r="P2561" s="420">
        <v>130</v>
      </c>
      <c r="Q2561" s="420">
        <v>0</v>
      </c>
      <c r="R2561" s="311">
        <f t="shared" si="292"/>
        <v>319</v>
      </c>
      <c r="S2561" s="363">
        <f t="shared" si="293"/>
        <v>0</v>
      </c>
      <c r="T2561" s="421"/>
      <c r="U2561" s="421"/>
      <c r="V2561" s="421"/>
      <c r="W2561" s="421"/>
      <c r="X2561" s="421"/>
    </row>
    <row r="2562" spans="1:24" ht="12.75">
      <c r="A2562" s="464" t="s">
        <v>744</v>
      </c>
      <c r="B2562" s="465" t="s">
        <v>202</v>
      </c>
      <c r="C2562" s="465" t="s">
        <v>799</v>
      </c>
      <c r="D2562" s="465">
        <v>2014</v>
      </c>
      <c r="E2562" s="465" t="s">
        <v>775</v>
      </c>
      <c r="F2562" s="420">
        <v>390</v>
      </c>
      <c r="G2562" s="419">
        <v>0</v>
      </c>
      <c r="H2562" s="420">
        <v>0</v>
      </c>
      <c r="I2562" s="420">
        <v>0</v>
      </c>
      <c r="J2562" s="420">
        <v>274</v>
      </c>
      <c r="K2562" s="419">
        <v>0</v>
      </c>
      <c r="L2562" s="420">
        <v>0</v>
      </c>
      <c r="M2562" s="420">
        <v>0</v>
      </c>
      <c r="N2562" s="420">
        <v>349</v>
      </c>
      <c r="O2562" s="420">
        <v>32</v>
      </c>
      <c r="P2562" s="420">
        <v>864</v>
      </c>
      <c r="Q2562" s="420">
        <v>96</v>
      </c>
      <c r="R2562" s="311">
        <f t="shared" si="292"/>
        <v>1877</v>
      </c>
      <c r="S2562" s="363">
        <f t="shared" si="293"/>
        <v>128</v>
      </c>
      <c r="T2562" s="421"/>
      <c r="U2562" s="421"/>
      <c r="V2562" s="421"/>
      <c r="W2562" s="421"/>
      <c r="X2562" s="421"/>
    </row>
    <row r="2563" spans="1:24" ht="12.75">
      <c r="A2563" s="464" t="s">
        <v>745</v>
      </c>
      <c r="B2563" s="465" t="s">
        <v>202</v>
      </c>
      <c r="C2563" s="465" t="s">
        <v>799</v>
      </c>
      <c r="D2563" s="465">
        <v>2014</v>
      </c>
      <c r="E2563" s="465" t="s">
        <v>775</v>
      </c>
      <c r="F2563" s="420">
        <v>427</v>
      </c>
      <c r="G2563" s="419">
        <v>6</v>
      </c>
      <c r="H2563" s="420">
        <v>6</v>
      </c>
      <c r="I2563" s="420">
        <v>0</v>
      </c>
      <c r="J2563" s="420">
        <v>299</v>
      </c>
      <c r="K2563" s="419">
        <v>3</v>
      </c>
      <c r="L2563" s="420">
        <v>3</v>
      </c>
      <c r="M2563" s="420">
        <v>0</v>
      </c>
      <c r="N2563" s="420">
        <v>351</v>
      </c>
      <c r="O2563" s="420">
        <v>4</v>
      </c>
      <c r="P2563" s="420">
        <v>813</v>
      </c>
      <c r="Q2563" s="420">
        <v>10</v>
      </c>
      <c r="R2563" s="311">
        <f t="shared" si="292"/>
        <v>1890</v>
      </c>
      <c r="S2563" s="363">
        <f t="shared" si="293"/>
        <v>23</v>
      </c>
      <c r="T2563" s="490">
        <f>SUM(G2559:G2563)</f>
        <v>6</v>
      </c>
      <c r="U2563" s="490">
        <f>SUM(K2559:K2563)</f>
        <v>5</v>
      </c>
      <c r="V2563" s="490">
        <f>SUM(O2559:O2563)</f>
        <v>83</v>
      </c>
      <c r="W2563" s="490">
        <f>SUM(Q2559:Q2563)</f>
        <v>132</v>
      </c>
      <c r="X2563" s="490">
        <f>T2563+U2563+V2563+W2563</f>
        <v>226</v>
      </c>
    </row>
    <row r="2564" spans="1:24" ht="12.75">
      <c r="A2564" s="422" t="s">
        <v>741</v>
      </c>
      <c r="B2564" s="423" t="s">
        <v>202</v>
      </c>
      <c r="C2564" s="423" t="s">
        <v>799</v>
      </c>
      <c r="D2564" s="423">
        <v>2015</v>
      </c>
      <c r="E2564" s="423" t="s">
        <v>775</v>
      </c>
      <c r="F2564" s="424">
        <v>248</v>
      </c>
      <c r="G2564" s="424">
        <v>0</v>
      </c>
      <c r="H2564" s="425">
        <v>0</v>
      </c>
      <c r="I2564" s="424">
        <v>0</v>
      </c>
      <c r="J2564" s="424">
        <v>174</v>
      </c>
      <c r="K2564" s="424">
        <v>8</v>
      </c>
      <c r="L2564" s="424">
        <v>0</v>
      </c>
      <c r="M2564" s="424">
        <v>8</v>
      </c>
      <c r="N2564" s="424">
        <v>198</v>
      </c>
      <c r="O2564" s="424">
        <v>3</v>
      </c>
      <c r="P2564" s="424">
        <v>446</v>
      </c>
      <c r="Q2564" s="425">
        <v>94</v>
      </c>
      <c r="R2564" s="319">
        <f t="shared" si="292"/>
        <v>1066</v>
      </c>
      <c r="S2564" s="364">
        <f t="shared" si="293"/>
        <v>105</v>
      </c>
      <c r="T2564" s="426"/>
      <c r="U2564" s="426"/>
      <c r="V2564" s="426"/>
      <c r="W2564" s="426"/>
      <c r="X2564" s="426"/>
    </row>
    <row r="2565" spans="1:24" ht="12.75">
      <c r="A2565" s="457" t="s">
        <v>742</v>
      </c>
      <c r="B2565" s="458" t="s">
        <v>202</v>
      </c>
      <c r="C2565" s="458" t="s">
        <v>799</v>
      </c>
      <c r="D2565" s="458">
        <v>2015</v>
      </c>
      <c r="E2565" s="458" t="s">
        <v>775</v>
      </c>
      <c r="F2565" s="425">
        <v>1316</v>
      </c>
      <c r="G2565" s="424">
        <v>58</v>
      </c>
      <c r="H2565" s="425">
        <v>58</v>
      </c>
      <c r="I2565" s="425">
        <v>0</v>
      </c>
      <c r="J2565" s="425">
        <v>923</v>
      </c>
      <c r="K2565" s="424">
        <v>18</v>
      </c>
      <c r="L2565" s="425">
        <v>18</v>
      </c>
      <c r="M2565" s="425">
        <v>0</v>
      </c>
      <c r="N2565" s="425">
        <v>1111</v>
      </c>
      <c r="O2565" s="425">
        <v>42</v>
      </c>
      <c r="P2565" s="425">
        <v>2627</v>
      </c>
      <c r="Q2565" s="425">
        <v>19</v>
      </c>
      <c r="R2565" s="319">
        <f t="shared" si="292"/>
        <v>5977</v>
      </c>
      <c r="S2565" s="364">
        <f t="shared" si="293"/>
        <v>137</v>
      </c>
      <c r="T2565" s="426"/>
      <c r="U2565" s="426"/>
      <c r="V2565" s="426"/>
      <c r="W2565" s="426"/>
      <c r="X2565" s="426"/>
    </row>
    <row r="2566" spans="1:24" ht="12.75">
      <c r="A2566" s="457" t="s">
        <v>743</v>
      </c>
      <c r="B2566" s="458" t="s">
        <v>202</v>
      </c>
      <c r="C2566" s="458" t="s">
        <v>799</v>
      </c>
      <c r="D2566" s="458">
        <v>2015</v>
      </c>
      <c r="E2566" s="458" t="s">
        <v>775</v>
      </c>
      <c r="F2566" s="425">
        <v>76</v>
      </c>
      <c r="G2566" s="424">
        <v>0</v>
      </c>
      <c r="H2566" s="425">
        <v>0</v>
      </c>
      <c r="I2566" s="425">
        <v>0</v>
      </c>
      <c r="J2566" s="425">
        <v>54</v>
      </c>
      <c r="K2566" s="424">
        <v>0</v>
      </c>
      <c r="L2566" s="425">
        <v>0</v>
      </c>
      <c r="M2566" s="425">
        <v>0</v>
      </c>
      <c r="N2566" s="425">
        <v>59</v>
      </c>
      <c r="O2566" s="425">
        <v>0</v>
      </c>
      <c r="P2566" s="425">
        <v>130</v>
      </c>
      <c r="Q2566" s="425">
        <v>32</v>
      </c>
      <c r="R2566" s="319">
        <f t="shared" si="292"/>
        <v>319</v>
      </c>
      <c r="S2566" s="364">
        <f t="shared" si="293"/>
        <v>32</v>
      </c>
      <c r="T2566" s="426"/>
      <c r="U2566" s="426"/>
      <c r="V2566" s="426"/>
      <c r="W2566" s="426"/>
      <c r="X2566" s="426"/>
    </row>
    <row r="2567" spans="1:24" ht="12.75">
      <c r="A2567" s="457" t="s">
        <v>744</v>
      </c>
      <c r="B2567" s="458" t="s">
        <v>202</v>
      </c>
      <c r="C2567" s="458" t="s">
        <v>799</v>
      </c>
      <c r="D2567" s="458">
        <v>2015</v>
      </c>
      <c r="E2567" s="458" t="s">
        <v>775</v>
      </c>
      <c r="F2567" s="425">
        <v>390</v>
      </c>
      <c r="G2567" s="424">
        <v>0</v>
      </c>
      <c r="H2567" s="425">
        <v>0</v>
      </c>
      <c r="I2567" s="425">
        <v>0</v>
      </c>
      <c r="J2567" s="425">
        <v>274</v>
      </c>
      <c r="K2567" s="424">
        <v>1</v>
      </c>
      <c r="L2567" s="425">
        <v>1</v>
      </c>
      <c r="M2567" s="425">
        <v>0</v>
      </c>
      <c r="N2567" s="425">
        <v>349</v>
      </c>
      <c r="O2567" s="425">
        <v>37</v>
      </c>
      <c r="P2567" s="425">
        <v>864</v>
      </c>
      <c r="Q2567" s="425">
        <v>114</v>
      </c>
      <c r="R2567" s="319">
        <f t="shared" si="292"/>
        <v>1877</v>
      </c>
      <c r="S2567" s="364">
        <f t="shared" si="293"/>
        <v>152</v>
      </c>
      <c r="T2567" s="426"/>
      <c r="U2567" s="426"/>
      <c r="V2567" s="426"/>
      <c r="W2567" s="426"/>
      <c r="X2567" s="426"/>
    </row>
    <row r="2568" spans="1:24" ht="12.75">
      <c r="A2568" s="457" t="s">
        <v>745</v>
      </c>
      <c r="B2568" s="458" t="s">
        <v>202</v>
      </c>
      <c r="C2568" s="458" t="s">
        <v>799</v>
      </c>
      <c r="D2568" s="458">
        <v>2015</v>
      </c>
      <c r="E2568" s="458" t="s">
        <v>775</v>
      </c>
      <c r="F2568" s="425">
        <v>427</v>
      </c>
      <c r="G2568" s="424">
        <v>0</v>
      </c>
      <c r="H2568" s="425">
        <v>0</v>
      </c>
      <c r="I2568" s="425">
        <v>0</v>
      </c>
      <c r="J2568" s="425">
        <v>299</v>
      </c>
      <c r="K2568" s="424">
        <v>1</v>
      </c>
      <c r="L2568" s="425">
        <v>0</v>
      </c>
      <c r="M2568" s="425">
        <v>1</v>
      </c>
      <c r="N2568" s="425">
        <v>351</v>
      </c>
      <c r="O2568" s="425">
        <v>2</v>
      </c>
      <c r="P2568" s="425">
        <v>813</v>
      </c>
      <c r="Q2568" s="425">
        <v>8</v>
      </c>
      <c r="R2568" s="319">
        <f t="shared" si="292"/>
        <v>1890</v>
      </c>
      <c r="S2568" s="364">
        <f t="shared" si="293"/>
        <v>11</v>
      </c>
      <c r="T2568" s="491">
        <f>SUM(G2564:G2568)</f>
        <v>58</v>
      </c>
      <c r="U2568" s="491">
        <f>SUM(K2564:K2568)</f>
        <v>28</v>
      </c>
      <c r="V2568" s="491">
        <f>SUM(O2564:O2568)</f>
        <v>84</v>
      </c>
      <c r="W2568" s="491">
        <f>SUM(Q2564:Q2568)</f>
        <v>267</v>
      </c>
      <c r="X2568" s="491">
        <f>T2568+U2568+V2568+W2568</f>
        <v>437</v>
      </c>
    </row>
    <row r="2569" spans="1:24" ht="12.75">
      <c r="A2569" s="428" t="s">
        <v>741</v>
      </c>
      <c r="B2569" s="429" t="s">
        <v>202</v>
      </c>
      <c r="C2569" s="429" t="s">
        <v>799</v>
      </c>
      <c r="D2569" s="429">
        <v>2016</v>
      </c>
      <c r="E2569" s="429" t="s">
        <v>775</v>
      </c>
      <c r="F2569" s="430">
        <v>248</v>
      </c>
      <c r="G2569" s="430">
        <v>42</v>
      </c>
      <c r="H2569" s="431">
        <v>42</v>
      </c>
      <c r="I2569" s="430">
        <v>0</v>
      </c>
      <c r="J2569" s="430">
        <v>174</v>
      </c>
      <c r="K2569" s="430">
        <v>27</v>
      </c>
      <c r="L2569" s="430">
        <v>19</v>
      </c>
      <c r="M2569" s="430">
        <v>8</v>
      </c>
      <c r="N2569" s="430">
        <v>198</v>
      </c>
      <c r="O2569" s="430">
        <v>16</v>
      </c>
      <c r="P2569" s="430">
        <v>446</v>
      </c>
      <c r="Q2569" s="431">
        <v>183</v>
      </c>
      <c r="R2569" s="328">
        <f t="shared" si="292"/>
        <v>1066</v>
      </c>
      <c r="S2569" s="365">
        <f t="shared" si="293"/>
        <v>268</v>
      </c>
      <c r="T2569" s="432"/>
      <c r="U2569" s="432"/>
      <c r="V2569" s="432"/>
      <c r="W2569" s="432"/>
      <c r="X2569" s="432"/>
    </row>
    <row r="2570" spans="1:24" ht="12.75">
      <c r="A2570" s="459" t="s">
        <v>742</v>
      </c>
      <c r="B2570" s="460" t="s">
        <v>202</v>
      </c>
      <c r="C2570" s="460" t="s">
        <v>799</v>
      </c>
      <c r="D2570" s="460">
        <v>2016</v>
      </c>
      <c r="E2570" s="460" t="s">
        <v>775</v>
      </c>
      <c r="F2570" s="431">
        <v>1316</v>
      </c>
      <c r="G2570" s="430">
        <v>0</v>
      </c>
      <c r="H2570" s="431">
        <v>0</v>
      </c>
      <c r="I2570" s="431">
        <v>0</v>
      </c>
      <c r="J2570" s="431">
        <v>923</v>
      </c>
      <c r="K2570" s="430">
        <v>0</v>
      </c>
      <c r="L2570" s="431">
        <v>0</v>
      </c>
      <c r="M2570" s="431">
        <v>0</v>
      </c>
      <c r="N2570" s="431">
        <v>1111</v>
      </c>
      <c r="O2570" s="431">
        <v>83</v>
      </c>
      <c r="P2570" s="431">
        <v>2627</v>
      </c>
      <c r="Q2570" s="431">
        <v>20</v>
      </c>
      <c r="R2570" s="328">
        <f t="shared" si="292"/>
        <v>5977</v>
      </c>
      <c r="S2570" s="365">
        <f t="shared" si="293"/>
        <v>103</v>
      </c>
      <c r="T2570" s="432"/>
      <c r="U2570" s="432"/>
      <c r="V2570" s="432"/>
      <c r="W2570" s="432"/>
      <c r="X2570" s="432"/>
    </row>
    <row r="2571" spans="1:24" ht="12.75">
      <c r="A2571" s="459" t="s">
        <v>743</v>
      </c>
      <c r="B2571" s="460" t="s">
        <v>202</v>
      </c>
      <c r="C2571" s="460" t="s">
        <v>799</v>
      </c>
      <c r="D2571" s="460">
        <v>2016</v>
      </c>
      <c r="E2571" s="460" t="s">
        <v>775</v>
      </c>
      <c r="F2571" s="431">
        <v>76</v>
      </c>
      <c r="G2571" s="430">
        <v>0</v>
      </c>
      <c r="H2571" s="431">
        <v>0</v>
      </c>
      <c r="I2571" s="431">
        <v>0</v>
      </c>
      <c r="J2571" s="431">
        <v>54</v>
      </c>
      <c r="K2571" s="430">
        <v>0</v>
      </c>
      <c r="L2571" s="431">
        <v>0</v>
      </c>
      <c r="M2571" s="431">
        <v>0</v>
      </c>
      <c r="N2571" s="431">
        <v>59</v>
      </c>
      <c r="O2571" s="431">
        <v>7</v>
      </c>
      <c r="P2571" s="431">
        <v>130</v>
      </c>
      <c r="Q2571" s="431">
        <v>26</v>
      </c>
      <c r="R2571" s="328">
        <f t="shared" si="292"/>
        <v>319</v>
      </c>
      <c r="S2571" s="365">
        <f t="shared" si="293"/>
        <v>33</v>
      </c>
      <c r="T2571" s="432"/>
      <c r="U2571" s="432"/>
      <c r="V2571" s="432"/>
      <c r="W2571" s="432"/>
      <c r="X2571" s="432"/>
    </row>
    <row r="2572" spans="1:24" ht="12.75">
      <c r="A2572" s="459" t="s">
        <v>744</v>
      </c>
      <c r="B2572" s="460" t="s">
        <v>202</v>
      </c>
      <c r="C2572" s="460" t="s">
        <v>799</v>
      </c>
      <c r="D2572" s="460">
        <v>2016</v>
      </c>
      <c r="E2572" s="460" t="s">
        <v>775</v>
      </c>
      <c r="F2572" s="431">
        <v>390</v>
      </c>
      <c r="G2572" s="430">
        <v>0</v>
      </c>
      <c r="H2572" s="431">
        <v>0</v>
      </c>
      <c r="I2572" s="431">
        <v>0</v>
      </c>
      <c r="J2572" s="431">
        <v>274</v>
      </c>
      <c r="K2572" s="430">
        <v>1</v>
      </c>
      <c r="L2572" s="431">
        <v>1</v>
      </c>
      <c r="M2572" s="431">
        <v>0</v>
      </c>
      <c r="N2572" s="431">
        <v>349</v>
      </c>
      <c r="O2572" s="431">
        <v>67</v>
      </c>
      <c r="P2572" s="431">
        <v>864</v>
      </c>
      <c r="Q2572" s="431">
        <v>199</v>
      </c>
      <c r="R2572" s="328">
        <f t="shared" si="292"/>
        <v>1877</v>
      </c>
      <c r="S2572" s="365">
        <f t="shared" si="293"/>
        <v>267</v>
      </c>
      <c r="T2572" s="432"/>
      <c r="U2572" s="432"/>
      <c r="V2572" s="432"/>
      <c r="W2572" s="432"/>
      <c r="X2572" s="432"/>
    </row>
    <row r="2573" spans="1:24" ht="12.75">
      <c r="A2573" s="459" t="s">
        <v>745</v>
      </c>
      <c r="B2573" s="460" t="s">
        <v>202</v>
      </c>
      <c r="C2573" s="460" t="s">
        <v>799</v>
      </c>
      <c r="D2573" s="460">
        <v>2016</v>
      </c>
      <c r="E2573" s="460" t="s">
        <v>775</v>
      </c>
      <c r="F2573" s="431">
        <v>427</v>
      </c>
      <c r="G2573" s="430">
        <v>40</v>
      </c>
      <c r="H2573" s="431">
        <v>40</v>
      </c>
      <c r="I2573" s="431">
        <v>0</v>
      </c>
      <c r="J2573" s="431">
        <v>299</v>
      </c>
      <c r="K2573" s="430">
        <v>4</v>
      </c>
      <c r="L2573" s="431">
        <v>0</v>
      </c>
      <c r="M2573" s="431">
        <v>4</v>
      </c>
      <c r="N2573" s="431">
        <v>351</v>
      </c>
      <c r="O2573" s="431">
        <v>7</v>
      </c>
      <c r="P2573" s="431">
        <v>813</v>
      </c>
      <c r="Q2573" s="431">
        <v>3</v>
      </c>
      <c r="R2573" s="328">
        <f t="shared" si="292"/>
        <v>1890</v>
      </c>
      <c r="S2573" s="365">
        <f t="shared" si="293"/>
        <v>54</v>
      </c>
      <c r="T2573" s="492">
        <f>SUM(G2569:G2573)</f>
        <v>82</v>
      </c>
      <c r="U2573" s="492">
        <f>SUM(K2569:K2573)</f>
        <v>32</v>
      </c>
      <c r="V2573" s="492">
        <f>SUM(O2569:O2573)</f>
        <v>180</v>
      </c>
      <c r="W2573" s="492">
        <f>SUM(Q2569:Q2573)</f>
        <v>431</v>
      </c>
      <c r="X2573" s="492">
        <f>T2573+U2573+V2573+W2573</f>
        <v>725</v>
      </c>
    </row>
    <row r="2574" spans="1:24" ht="12.75">
      <c r="A2574" s="433" t="s">
        <v>741</v>
      </c>
      <c r="B2574" s="434" t="s">
        <v>202</v>
      </c>
      <c r="C2574" s="434" t="s">
        <v>799</v>
      </c>
      <c r="D2574" s="434">
        <v>2017</v>
      </c>
      <c r="E2574" s="434" t="s">
        <v>775</v>
      </c>
      <c r="F2574" s="435">
        <v>248</v>
      </c>
      <c r="G2574" s="435">
        <v>1</v>
      </c>
      <c r="H2574" s="436">
        <v>1</v>
      </c>
      <c r="I2574" s="435">
        <v>0</v>
      </c>
      <c r="J2574" s="435">
        <v>174</v>
      </c>
      <c r="K2574" s="435">
        <v>10</v>
      </c>
      <c r="L2574" s="435">
        <v>10</v>
      </c>
      <c r="M2574" s="435">
        <v>0</v>
      </c>
      <c r="N2574" s="435">
        <v>198</v>
      </c>
      <c r="O2574" s="435">
        <v>15</v>
      </c>
      <c r="P2574" s="435">
        <v>446</v>
      </c>
      <c r="Q2574" s="436">
        <v>188</v>
      </c>
      <c r="R2574" s="336">
        <f t="shared" si="292"/>
        <v>1066</v>
      </c>
      <c r="S2574" s="366">
        <f t="shared" si="293"/>
        <v>214</v>
      </c>
      <c r="T2574" s="437"/>
      <c r="U2574" s="437"/>
      <c r="V2574" s="437"/>
      <c r="W2574" s="437"/>
      <c r="X2574" s="437"/>
    </row>
    <row r="2575" spans="1:24" ht="12.75">
      <c r="A2575" s="461" t="s">
        <v>742</v>
      </c>
      <c r="B2575" s="462" t="s">
        <v>202</v>
      </c>
      <c r="C2575" s="462" t="s">
        <v>799</v>
      </c>
      <c r="D2575" s="462">
        <v>2017</v>
      </c>
      <c r="E2575" s="462" t="s">
        <v>775</v>
      </c>
      <c r="F2575" s="436">
        <v>1316</v>
      </c>
      <c r="G2575" s="435">
        <v>0</v>
      </c>
      <c r="H2575" s="436">
        <v>0</v>
      </c>
      <c r="I2575" s="436">
        <v>0</v>
      </c>
      <c r="J2575" s="436">
        <v>923</v>
      </c>
      <c r="K2575" s="435">
        <v>0</v>
      </c>
      <c r="L2575" s="436">
        <v>0</v>
      </c>
      <c r="M2575" s="436">
        <v>0</v>
      </c>
      <c r="N2575" s="436">
        <v>1111</v>
      </c>
      <c r="O2575" s="436">
        <v>125</v>
      </c>
      <c r="P2575" s="436">
        <v>2627</v>
      </c>
      <c r="Q2575" s="436">
        <v>12</v>
      </c>
      <c r="R2575" s="336">
        <f t="shared" si="292"/>
        <v>5977</v>
      </c>
      <c r="S2575" s="366">
        <f t="shared" si="293"/>
        <v>137</v>
      </c>
      <c r="T2575" s="437"/>
      <c r="U2575" s="437"/>
      <c r="V2575" s="437"/>
      <c r="W2575" s="437"/>
      <c r="X2575" s="437"/>
    </row>
    <row r="2576" spans="1:24" ht="12.75">
      <c r="A2576" s="461" t="s">
        <v>743</v>
      </c>
      <c r="B2576" s="462" t="s">
        <v>202</v>
      </c>
      <c r="C2576" s="462" t="s">
        <v>799</v>
      </c>
      <c r="D2576" s="462">
        <v>2017</v>
      </c>
      <c r="E2576" s="462" t="s">
        <v>775</v>
      </c>
      <c r="F2576" s="436">
        <v>76</v>
      </c>
      <c r="G2576" s="435">
        <v>0</v>
      </c>
      <c r="H2576" s="436">
        <v>0</v>
      </c>
      <c r="I2576" s="436">
        <v>0</v>
      </c>
      <c r="J2576" s="436">
        <v>54</v>
      </c>
      <c r="K2576" s="435">
        <v>0</v>
      </c>
      <c r="L2576" s="436">
        <v>0</v>
      </c>
      <c r="M2576" s="436">
        <v>0</v>
      </c>
      <c r="N2576" s="436">
        <v>59</v>
      </c>
      <c r="O2576" s="436">
        <v>0</v>
      </c>
      <c r="P2576" s="436">
        <v>130</v>
      </c>
      <c r="Q2576" s="436">
        <v>11</v>
      </c>
      <c r="R2576" s="336">
        <f t="shared" si="292"/>
        <v>319</v>
      </c>
      <c r="S2576" s="366">
        <f t="shared" si="293"/>
        <v>11</v>
      </c>
      <c r="T2576" s="437"/>
      <c r="U2576" s="437"/>
      <c r="V2576" s="437"/>
      <c r="W2576" s="437"/>
      <c r="X2576" s="437"/>
    </row>
    <row r="2577" spans="1:24" ht="12.75">
      <c r="A2577" s="461" t="s">
        <v>744</v>
      </c>
      <c r="B2577" s="462" t="s">
        <v>202</v>
      </c>
      <c r="C2577" s="462" t="s">
        <v>799</v>
      </c>
      <c r="D2577" s="462">
        <v>2017</v>
      </c>
      <c r="E2577" s="462" t="s">
        <v>775</v>
      </c>
      <c r="F2577" s="436">
        <v>390</v>
      </c>
      <c r="G2577" s="435">
        <v>79</v>
      </c>
      <c r="H2577" s="436">
        <v>79</v>
      </c>
      <c r="I2577" s="436">
        <v>0</v>
      </c>
      <c r="J2577" s="436">
        <v>274</v>
      </c>
      <c r="K2577" s="435">
        <v>0</v>
      </c>
      <c r="L2577" s="436">
        <v>0</v>
      </c>
      <c r="M2577" s="436">
        <v>0</v>
      </c>
      <c r="N2577" s="436">
        <v>349</v>
      </c>
      <c r="O2577" s="436">
        <v>32</v>
      </c>
      <c r="P2577" s="436">
        <v>864</v>
      </c>
      <c r="Q2577" s="436">
        <v>99</v>
      </c>
      <c r="R2577" s="336">
        <f t="shared" si="292"/>
        <v>1877</v>
      </c>
      <c r="S2577" s="366">
        <f t="shared" si="293"/>
        <v>210</v>
      </c>
      <c r="T2577" s="437"/>
      <c r="U2577" s="437"/>
      <c r="V2577" s="437"/>
      <c r="W2577" s="437"/>
      <c r="X2577" s="437"/>
    </row>
    <row r="2578" spans="1:24" ht="12.75">
      <c r="A2578" s="461" t="s">
        <v>745</v>
      </c>
      <c r="B2578" s="462" t="s">
        <v>202</v>
      </c>
      <c r="C2578" s="462" t="s">
        <v>799</v>
      </c>
      <c r="D2578" s="462">
        <v>2017</v>
      </c>
      <c r="E2578" s="462" t="s">
        <v>775</v>
      </c>
      <c r="F2578" s="436">
        <v>427</v>
      </c>
      <c r="G2578" s="435">
        <v>3</v>
      </c>
      <c r="H2578" s="436">
        <v>0</v>
      </c>
      <c r="I2578" s="436">
        <v>3</v>
      </c>
      <c r="J2578" s="436">
        <v>299</v>
      </c>
      <c r="K2578" s="435">
        <v>4</v>
      </c>
      <c r="L2578" s="436">
        <v>0</v>
      </c>
      <c r="M2578" s="436">
        <v>4</v>
      </c>
      <c r="N2578" s="436">
        <v>351</v>
      </c>
      <c r="O2578" s="436">
        <v>3</v>
      </c>
      <c r="P2578" s="436">
        <v>813</v>
      </c>
      <c r="Q2578" s="436">
        <v>0</v>
      </c>
      <c r="R2578" s="336">
        <f t="shared" si="292"/>
        <v>1890</v>
      </c>
      <c r="S2578" s="366">
        <f t="shared" si="293"/>
        <v>10</v>
      </c>
      <c r="T2578" s="493">
        <f>SUM(G2574:G2578)</f>
        <v>83</v>
      </c>
      <c r="U2578" s="493">
        <f>SUM(K2574:K2578)</f>
        <v>14</v>
      </c>
      <c r="V2578" s="493">
        <f>SUM(O2574:O2578)</f>
        <v>175</v>
      </c>
      <c r="W2578" s="493">
        <f>SUM(Q2574:Q2578)</f>
        <v>310</v>
      </c>
      <c r="X2578" s="493">
        <f>T2578+U2578+V2578+W2578</f>
        <v>582</v>
      </c>
    </row>
    <row r="2579" spans="1:24" ht="12.75">
      <c r="A2579" s="438" t="s">
        <v>741</v>
      </c>
      <c r="B2579" s="439" t="s">
        <v>202</v>
      </c>
      <c r="C2579" s="439" t="s">
        <v>799</v>
      </c>
      <c r="D2579" s="439">
        <v>2018</v>
      </c>
      <c r="E2579" s="439" t="s">
        <v>775</v>
      </c>
      <c r="F2579" s="440">
        <v>248</v>
      </c>
      <c r="G2579" s="441">
        <v>58</v>
      </c>
      <c r="H2579" s="440">
        <v>58</v>
      </c>
      <c r="I2579" s="440">
        <v>0</v>
      </c>
      <c r="J2579" s="440">
        <v>174</v>
      </c>
      <c r="K2579" s="441">
        <v>32</v>
      </c>
      <c r="L2579" s="440">
        <v>32</v>
      </c>
      <c r="M2579" s="440">
        <v>0</v>
      </c>
      <c r="N2579" s="440">
        <v>198</v>
      </c>
      <c r="O2579" s="440">
        <v>16</v>
      </c>
      <c r="P2579" s="440">
        <v>446</v>
      </c>
      <c r="Q2579" s="440">
        <v>263</v>
      </c>
      <c r="R2579" s="344">
        <f t="shared" si="292"/>
        <v>1066</v>
      </c>
      <c r="S2579" s="367">
        <f t="shared" si="293"/>
        <v>369</v>
      </c>
      <c r="T2579" s="442"/>
      <c r="U2579" s="442"/>
      <c r="V2579" s="442"/>
      <c r="W2579" s="442"/>
      <c r="X2579" s="442"/>
    </row>
    <row r="2580" spans="1:24" ht="12.75">
      <c r="A2580" s="438" t="s">
        <v>742</v>
      </c>
      <c r="B2580" s="439" t="s">
        <v>202</v>
      </c>
      <c r="C2580" s="439" t="s">
        <v>799</v>
      </c>
      <c r="D2580" s="439">
        <v>2018</v>
      </c>
      <c r="E2580" s="439" t="s">
        <v>775</v>
      </c>
      <c r="F2580" s="440">
        <v>1316</v>
      </c>
      <c r="G2580" s="441">
        <v>0</v>
      </c>
      <c r="H2580" s="440">
        <v>0</v>
      </c>
      <c r="I2580" s="440">
        <v>0</v>
      </c>
      <c r="J2580" s="440">
        <v>923</v>
      </c>
      <c r="K2580" s="441">
        <v>4</v>
      </c>
      <c r="L2580" s="440">
        <v>0</v>
      </c>
      <c r="M2580" s="440">
        <v>4</v>
      </c>
      <c r="N2580" s="440">
        <v>1111</v>
      </c>
      <c r="O2580" s="440">
        <v>106</v>
      </c>
      <c r="P2580" s="440">
        <v>2627</v>
      </c>
      <c r="Q2580" s="440">
        <v>44</v>
      </c>
      <c r="R2580" s="344">
        <f t="shared" si="292"/>
        <v>5977</v>
      </c>
      <c r="S2580" s="367">
        <f t="shared" si="293"/>
        <v>154</v>
      </c>
      <c r="T2580" s="442"/>
      <c r="U2580" s="442"/>
      <c r="V2580" s="442"/>
      <c r="W2580" s="442"/>
      <c r="X2580" s="442"/>
    </row>
    <row r="2581" spans="1:24" ht="12.75">
      <c r="A2581" s="438" t="s">
        <v>743</v>
      </c>
      <c r="B2581" s="439" t="s">
        <v>202</v>
      </c>
      <c r="C2581" s="439" t="s">
        <v>799</v>
      </c>
      <c r="D2581" s="439">
        <v>2018</v>
      </c>
      <c r="E2581" s="439" t="s">
        <v>775</v>
      </c>
      <c r="F2581" s="440">
        <v>76</v>
      </c>
      <c r="G2581" s="441">
        <v>0</v>
      </c>
      <c r="H2581" s="440">
        <v>0</v>
      </c>
      <c r="I2581" s="440">
        <v>0</v>
      </c>
      <c r="J2581" s="440">
        <v>54</v>
      </c>
      <c r="K2581" s="441">
        <v>0</v>
      </c>
      <c r="L2581" s="440">
        <v>0</v>
      </c>
      <c r="M2581" s="440">
        <v>0</v>
      </c>
      <c r="N2581" s="440">
        <v>59</v>
      </c>
      <c r="O2581" s="440">
        <v>0</v>
      </c>
      <c r="P2581" s="440">
        <v>130</v>
      </c>
      <c r="Q2581" s="440">
        <v>36</v>
      </c>
      <c r="R2581" s="344">
        <f t="shared" si="292"/>
        <v>319</v>
      </c>
      <c r="S2581" s="367">
        <f t="shared" si="293"/>
        <v>36</v>
      </c>
      <c r="T2581" s="442"/>
      <c r="U2581" s="442"/>
      <c r="V2581" s="442"/>
      <c r="W2581" s="442"/>
      <c r="X2581" s="442"/>
    </row>
    <row r="2582" spans="1:24" ht="12.75">
      <c r="A2582" s="438" t="s">
        <v>744</v>
      </c>
      <c r="B2582" s="439" t="s">
        <v>202</v>
      </c>
      <c r="C2582" s="439" t="s">
        <v>799</v>
      </c>
      <c r="D2582" s="439">
        <v>2018</v>
      </c>
      <c r="E2582" s="439" t="s">
        <v>775</v>
      </c>
      <c r="F2582" s="440">
        <v>390</v>
      </c>
      <c r="G2582" s="441">
        <v>0</v>
      </c>
      <c r="H2582" s="440">
        <v>0</v>
      </c>
      <c r="I2582" s="440">
        <v>0</v>
      </c>
      <c r="J2582" s="440">
        <v>274</v>
      </c>
      <c r="K2582" s="441">
        <v>39</v>
      </c>
      <c r="L2582" s="440">
        <v>39</v>
      </c>
      <c r="M2582" s="440">
        <v>0</v>
      </c>
      <c r="N2582" s="440">
        <v>349</v>
      </c>
      <c r="O2582" s="440">
        <v>38</v>
      </c>
      <c r="P2582" s="440">
        <v>864</v>
      </c>
      <c r="Q2582" s="440">
        <v>174</v>
      </c>
      <c r="R2582" s="344">
        <f t="shared" si="292"/>
        <v>1877</v>
      </c>
      <c r="S2582" s="367">
        <f t="shared" si="293"/>
        <v>251</v>
      </c>
      <c r="T2582" s="442"/>
      <c r="U2582" s="442"/>
      <c r="V2582" s="442"/>
      <c r="W2582" s="442"/>
      <c r="X2582" s="442"/>
    </row>
    <row r="2583" spans="1:24" ht="12.75">
      <c r="A2583" s="438" t="s">
        <v>745</v>
      </c>
      <c r="B2583" s="439" t="s">
        <v>202</v>
      </c>
      <c r="C2583" s="439" t="s">
        <v>799</v>
      </c>
      <c r="D2583" s="439">
        <v>2018</v>
      </c>
      <c r="E2583" s="439" t="s">
        <v>775</v>
      </c>
      <c r="F2583" s="440">
        <v>427</v>
      </c>
      <c r="G2583" s="441">
        <v>2</v>
      </c>
      <c r="H2583" s="440">
        <v>0</v>
      </c>
      <c r="I2583" s="440">
        <v>2</v>
      </c>
      <c r="J2583" s="440">
        <v>299</v>
      </c>
      <c r="K2583" s="441">
        <v>1</v>
      </c>
      <c r="L2583" s="440">
        <v>0</v>
      </c>
      <c r="M2583" s="440">
        <v>1</v>
      </c>
      <c r="N2583" s="440">
        <v>351</v>
      </c>
      <c r="O2583" s="440">
        <v>8</v>
      </c>
      <c r="P2583" s="440">
        <v>813</v>
      </c>
      <c r="Q2583" s="440">
        <v>4</v>
      </c>
      <c r="R2583" s="344">
        <f t="shared" si="292"/>
        <v>1890</v>
      </c>
      <c r="S2583" s="367">
        <f t="shared" si="293"/>
        <v>15</v>
      </c>
      <c r="T2583" s="494">
        <f>SUM(G2579:G2583)</f>
        <v>60</v>
      </c>
      <c r="U2583" s="494">
        <f>SUM(K2579:K2583)</f>
        <v>76</v>
      </c>
      <c r="V2583" s="494">
        <f>SUM(O2579:O2583)</f>
        <v>168</v>
      </c>
      <c r="W2583" s="494">
        <f>SUM(Q2579:Q2583)</f>
        <v>521</v>
      </c>
      <c r="X2583" s="494">
        <f>T2583+U2583+V2583+W2583</f>
        <v>825</v>
      </c>
    </row>
    <row r="2584" spans="1:24" ht="12.75">
      <c r="A2584" s="346" t="s">
        <v>741</v>
      </c>
      <c r="B2584" s="347" t="s">
        <v>202</v>
      </c>
      <c r="C2584" s="347" t="s">
        <v>801</v>
      </c>
      <c r="D2584" s="347">
        <v>2019</v>
      </c>
      <c r="E2584" s="347" t="s">
        <v>775</v>
      </c>
      <c r="F2584" s="348">
        <v>248</v>
      </c>
      <c r="G2584" s="348">
        <v>8</v>
      </c>
      <c r="H2584" s="348">
        <v>8</v>
      </c>
      <c r="I2584" s="348">
        <v>0</v>
      </c>
      <c r="J2584" s="348">
        <v>174</v>
      </c>
      <c r="K2584" s="348">
        <v>69</v>
      </c>
      <c r="L2584" s="348">
        <v>47</v>
      </c>
      <c r="M2584" s="348">
        <v>22</v>
      </c>
      <c r="N2584" s="348">
        <v>198</v>
      </c>
      <c r="O2584" s="348">
        <v>169</v>
      </c>
      <c r="P2584" s="348">
        <v>446</v>
      </c>
      <c r="Q2584" s="348">
        <v>36</v>
      </c>
      <c r="R2584" s="350">
        <f t="shared" si="292"/>
        <v>1066</v>
      </c>
      <c r="S2584" s="348">
        <f t="shared" si="293"/>
        <v>282</v>
      </c>
      <c r="T2584" s="348"/>
      <c r="U2584" s="348"/>
      <c r="V2584" s="348"/>
      <c r="W2584" s="349"/>
      <c r="X2584" s="349"/>
    </row>
    <row r="2585" spans="1:24" ht="12.75">
      <c r="A2585" s="346" t="s">
        <v>742</v>
      </c>
      <c r="B2585" s="347" t="s">
        <v>202</v>
      </c>
      <c r="C2585" s="347" t="s">
        <v>801</v>
      </c>
      <c r="D2585" s="347">
        <v>2019</v>
      </c>
      <c r="E2585" s="347" t="s">
        <v>775</v>
      </c>
      <c r="F2585" s="348">
        <v>1316</v>
      </c>
      <c r="G2585" s="348">
        <v>0</v>
      </c>
      <c r="H2585" s="348">
        <v>0</v>
      </c>
      <c r="I2585" s="348">
        <v>0</v>
      </c>
      <c r="J2585" s="348">
        <v>923</v>
      </c>
      <c r="K2585" s="348">
        <v>0</v>
      </c>
      <c r="L2585" s="348">
        <v>0</v>
      </c>
      <c r="M2585" s="348">
        <v>0</v>
      </c>
      <c r="N2585" s="348">
        <v>1111</v>
      </c>
      <c r="O2585" s="348">
        <v>59</v>
      </c>
      <c r="P2585" s="348">
        <v>2627</v>
      </c>
      <c r="Q2585" s="348">
        <v>260</v>
      </c>
      <c r="R2585" s="350">
        <f t="shared" si="292"/>
        <v>5977</v>
      </c>
      <c r="S2585" s="348">
        <f t="shared" si="293"/>
        <v>319</v>
      </c>
      <c r="T2585" s="348"/>
      <c r="U2585" s="348"/>
      <c r="V2585" s="348"/>
      <c r="W2585" s="349"/>
      <c r="X2585" s="349"/>
    </row>
    <row r="2586" spans="1:24" ht="12.75">
      <c r="A2586" s="346" t="s">
        <v>743</v>
      </c>
      <c r="B2586" s="347" t="s">
        <v>202</v>
      </c>
      <c r="C2586" s="347" t="s">
        <v>801</v>
      </c>
      <c r="D2586" s="347">
        <v>2019</v>
      </c>
      <c r="E2586" s="347" t="s">
        <v>775</v>
      </c>
      <c r="F2586" s="348">
        <v>76</v>
      </c>
      <c r="G2586" s="348">
        <v>47</v>
      </c>
      <c r="H2586" s="348">
        <v>47</v>
      </c>
      <c r="I2586" s="348">
        <v>0</v>
      </c>
      <c r="J2586" s="348">
        <v>54</v>
      </c>
      <c r="K2586" s="348">
        <v>15</v>
      </c>
      <c r="L2586" s="348">
        <v>15</v>
      </c>
      <c r="M2586" s="348">
        <v>0</v>
      </c>
      <c r="N2586" s="348">
        <v>59</v>
      </c>
      <c r="O2586" s="348">
        <v>2</v>
      </c>
      <c r="P2586" s="348">
        <v>130</v>
      </c>
      <c r="Q2586" s="348">
        <v>69</v>
      </c>
      <c r="R2586" s="350">
        <f t="shared" si="292"/>
        <v>319</v>
      </c>
      <c r="S2586" s="348">
        <f t="shared" si="293"/>
        <v>133</v>
      </c>
      <c r="T2586" s="348"/>
      <c r="U2586" s="348"/>
      <c r="V2586" s="348"/>
      <c r="W2586" s="349"/>
      <c r="X2586" s="349"/>
    </row>
    <row r="2587" spans="1:24" ht="12.75">
      <c r="A2587" s="346" t="s">
        <v>744</v>
      </c>
      <c r="B2587" s="347" t="s">
        <v>202</v>
      </c>
      <c r="C2587" s="347" t="s">
        <v>801</v>
      </c>
      <c r="D2587" s="347">
        <v>2019</v>
      </c>
      <c r="E2587" s="347" t="s">
        <v>775</v>
      </c>
      <c r="F2587" s="348">
        <v>390</v>
      </c>
      <c r="G2587" s="348">
        <v>0</v>
      </c>
      <c r="H2587" s="348">
        <v>0</v>
      </c>
      <c r="I2587" s="348">
        <v>0</v>
      </c>
      <c r="J2587" s="348">
        <v>274</v>
      </c>
      <c r="K2587" s="348">
        <v>0</v>
      </c>
      <c r="L2587" s="348">
        <v>0</v>
      </c>
      <c r="M2587" s="348">
        <v>0</v>
      </c>
      <c r="N2587" s="348">
        <v>349</v>
      </c>
      <c r="O2587" s="348">
        <v>3</v>
      </c>
      <c r="P2587" s="348">
        <v>864</v>
      </c>
      <c r="Q2587" s="348">
        <v>14</v>
      </c>
      <c r="R2587" s="350">
        <f t="shared" si="292"/>
        <v>1877</v>
      </c>
      <c r="S2587" s="348">
        <f t="shared" si="293"/>
        <v>17</v>
      </c>
      <c r="T2587" s="348"/>
      <c r="U2587" s="348"/>
      <c r="V2587" s="348"/>
      <c r="W2587" s="349"/>
      <c r="X2587" s="349"/>
    </row>
    <row r="2588" spans="1:24" ht="12.75">
      <c r="A2588" s="346" t="s">
        <v>745</v>
      </c>
      <c r="B2588" s="347" t="s">
        <v>202</v>
      </c>
      <c r="C2588" s="347" t="s">
        <v>801</v>
      </c>
      <c r="D2588" s="347">
        <v>2019</v>
      </c>
      <c r="E2588" s="347" t="s">
        <v>775</v>
      </c>
      <c r="F2588" s="348">
        <v>427</v>
      </c>
      <c r="G2588" s="348">
        <v>3</v>
      </c>
      <c r="H2588" s="348">
        <v>0</v>
      </c>
      <c r="I2588" s="348">
        <v>3</v>
      </c>
      <c r="J2588" s="348">
        <v>299</v>
      </c>
      <c r="K2588" s="348">
        <v>7</v>
      </c>
      <c r="L2588" s="348">
        <v>0</v>
      </c>
      <c r="M2588" s="348">
        <v>7</v>
      </c>
      <c r="N2588" s="348">
        <v>351</v>
      </c>
      <c r="O2588" s="348">
        <v>0</v>
      </c>
      <c r="P2588" s="348">
        <v>813</v>
      </c>
      <c r="Q2588" s="348">
        <v>0</v>
      </c>
      <c r="R2588" s="350">
        <f t="shared" si="292"/>
        <v>1890</v>
      </c>
      <c r="S2588" s="348">
        <f t="shared" si="293"/>
        <v>10</v>
      </c>
      <c r="T2588" s="498">
        <f>SUM(G2584:G2588)</f>
        <v>58</v>
      </c>
      <c r="U2588" s="498">
        <f>SUM(K2584:K2588)</f>
        <v>91</v>
      </c>
      <c r="V2588" s="498">
        <f>SUM(O2584:O2588)</f>
        <v>233</v>
      </c>
      <c r="W2588" s="498">
        <f>SUM(Q2584:Q2588)</f>
        <v>379</v>
      </c>
      <c r="X2588" s="498">
        <f>T2588+U2588+V2588+W2588</f>
        <v>761</v>
      </c>
    </row>
    <row r="2589" spans="1:24" ht="12.75">
      <c r="A2589" s="512"/>
      <c r="B2589" s="513"/>
      <c r="C2589" s="513"/>
      <c r="D2589" s="513"/>
      <c r="E2589" s="513"/>
      <c r="F2589" s="511"/>
      <c r="G2589" s="514"/>
      <c r="H2589" s="511"/>
      <c r="I2589" s="511"/>
      <c r="J2589" s="511"/>
      <c r="K2589" s="514"/>
      <c r="L2589" s="511"/>
      <c r="M2589" s="511"/>
      <c r="N2589" s="511"/>
      <c r="O2589" s="511"/>
      <c r="P2589" s="511"/>
      <c r="Q2589" s="511"/>
      <c r="R2589" s="398"/>
      <c r="S2589" s="361" t="s">
        <v>783</v>
      </c>
      <c r="T2589" s="505">
        <f t="shared" ref="T2589:X2589" si="294">SUM(T2555:T2588)</f>
        <v>462</v>
      </c>
      <c r="U2589" s="505">
        <f t="shared" si="294"/>
        <v>265</v>
      </c>
      <c r="V2589" s="505">
        <f t="shared" si="294"/>
        <v>1375</v>
      </c>
      <c r="W2589" s="505">
        <f t="shared" si="294"/>
        <v>2251</v>
      </c>
      <c r="X2589" s="505">
        <f t="shared" si="294"/>
        <v>4353</v>
      </c>
    </row>
    <row r="2590" spans="1:24" ht="12.75">
      <c r="A2590" s="515"/>
      <c r="B2590" s="516"/>
      <c r="C2590" s="516"/>
      <c r="D2590" s="516"/>
      <c r="E2590" s="516"/>
      <c r="F2590" s="477"/>
      <c r="G2590" s="476"/>
      <c r="H2590" s="477"/>
      <c r="I2590" s="477"/>
      <c r="J2590" s="477"/>
      <c r="K2590" s="476"/>
      <c r="L2590" s="477"/>
      <c r="M2590" s="477"/>
      <c r="N2590" s="477"/>
      <c r="O2590" s="477"/>
      <c r="P2590" s="477"/>
      <c r="Q2590" s="477"/>
      <c r="R2590" s="182"/>
      <c r="S2590" s="362"/>
      <c r="T2590" s="184"/>
      <c r="U2590" s="184"/>
      <c r="V2590" s="184"/>
      <c r="W2590" s="184"/>
      <c r="X2590" s="184"/>
    </row>
    <row r="2591" spans="1:24" ht="12.75">
      <c r="A2591" s="488" t="s">
        <v>914</v>
      </c>
      <c r="B2591" s="489" t="s">
        <v>204</v>
      </c>
      <c r="C2591" s="489" t="s">
        <v>799</v>
      </c>
      <c r="D2591" s="489">
        <v>2013</v>
      </c>
      <c r="E2591" s="489" t="s">
        <v>775</v>
      </c>
      <c r="F2591" s="470">
        <v>1036</v>
      </c>
      <c r="G2591" s="469">
        <v>0</v>
      </c>
      <c r="H2591" s="470">
        <v>0</v>
      </c>
      <c r="I2591" s="470">
        <v>0</v>
      </c>
      <c r="J2591" s="470">
        <v>727</v>
      </c>
      <c r="K2591" s="469">
        <v>0</v>
      </c>
      <c r="L2591" s="470">
        <v>0</v>
      </c>
      <c r="M2591" s="470">
        <v>0</v>
      </c>
      <c r="N2591" s="470">
        <v>870</v>
      </c>
      <c r="O2591" s="470">
        <v>1</v>
      </c>
      <c r="P2591" s="470">
        <v>2043</v>
      </c>
      <c r="Q2591" s="470">
        <v>85</v>
      </c>
      <c r="R2591" s="381">
        <f t="shared" ref="R2591:R2597" si="295">F2591+J2591+N2591+P2591</f>
        <v>4676</v>
      </c>
      <c r="S2591" s="382">
        <f t="shared" ref="S2591:S2597" si="296">K2591+O2591+G2591+Q2591</f>
        <v>86</v>
      </c>
      <c r="T2591" s="506">
        <f>G2591</f>
        <v>0</v>
      </c>
      <c r="U2591" s="506">
        <f>K2591</f>
        <v>0</v>
      </c>
      <c r="V2591" s="506">
        <f>O2591</f>
        <v>1</v>
      </c>
      <c r="W2591" s="506">
        <f>Q2591</f>
        <v>85</v>
      </c>
      <c r="X2591" s="506">
        <f>T2591+U2591+V2591+W2591</f>
        <v>86</v>
      </c>
    </row>
    <row r="2592" spans="1:24" ht="12.75">
      <c r="A2592" s="433" t="s">
        <v>746</v>
      </c>
      <c r="B2592" s="434" t="s">
        <v>204</v>
      </c>
      <c r="C2592" s="434" t="s">
        <v>799</v>
      </c>
      <c r="D2592" s="434">
        <v>2017</v>
      </c>
      <c r="E2592" s="434" t="s">
        <v>775</v>
      </c>
      <c r="F2592" s="435">
        <v>12</v>
      </c>
      <c r="G2592" s="435">
        <v>0</v>
      </c>
      <c r="H2592" s="436">
        <v>0</v>
      </c>
      <c r="I2592" s="435">
        <v>0</v>
      </c>
      <c r="J2592" s="435">
        <v>8</v>
      </c>
      <c r="K2592" s="435">
        <v>0</v>
      </c>
      <c r="L2592" s="435">
        <v>0</v>
      </c>
      <c r="M2592" s="435">
        <v>0</v>
      </c>
      <c r="N2592" s="435">
        <v>13</v>
      </c>
      <c r="O2592" s="435">
        <v>0</v>
      </c>
      <c r="P2592" s="435">
        <v>39</v>
      </c>
      <c r="Q2592" s="436">
        <v>1</v>
      </c>
      <c r="R2592" s="336">
        <f t="shared" si="295"/>
        <v>72</v>
      </c>
      <c r="S2592" s="366">
        <f t="shared" si="296"/>
        <v>1</v>
      </c>
      <c r="T2592" s="437"/>
      <c r="U2592" s="437"/>
      <c r="V2592" s="437"/>
      <c r="W2592" s="437"/>
      <c r="X2592" s="437"/>
    </row>
    <row r="2593" spans="1:24" ht="12.75">
      <c r="A2593" s="461" t="s">
        <v>747</v>
      </c>
      <c r="B2593" s="462" t="s">
        <v>204</v>
      </c>
      <c r="C2593" s="462" t="s">
        <v>799</v>
      </c>
      <c r="D2593" s="462">
        <v>2017</v>
      </c>
      <c r="E2593" s="462" t="s">
        <v>775</v>
      </c>
      <c r="F2593" s="436">
        <v>109</v>
      </c>
      <c r="G2593" s="435">
        <v>0</v>
      </c>
      <c r="H2593" s="436">
        <v>0</v>
      </c>
      <c r="I2593" s="436">
        <v>0</v>
      </c>
      <c r="J2593" s="436">
        <v>76</v>
      </c>
      <c r="K2593" s="435">
        <v>0</v>
      </c>
      <c r="L2593" s="436">
        <v>0</v>
      </c>
      <c r="M2593" s="436">
        <v>0</v>
      </c>
      <c r="N2593" s="436">
        <v>90</v>
      </c>
      <c r="O2593" s="436">
        <v>0</v>
      </c>
      <c r="P2593" s="436">
        <v>208</v>
      </c>
      <c r="Q2593" s="436">
        <v>0</v>
      </c>
      <c r="R2593" s="336">
        <f t="shared" si="295"/>
        <v>483</v>
      </c>
      <c r="S2593" s="366">
        <f t="shared" si="296"/>
        <v>0</v>
      </c>
      <c r="T2593" s="414">
        <f>SUM(G2592:G2593)</f>
        <v>0</v>
      </c>
      <c r="U2593" s="414">
        <f>SUM(K2592:K2593)</f>
        <v>0</v>
      </c>
      <c r="V2593" s="414">
        <f>SUM(O2592:O2593)</f>
        <v>0</v>
      </c>
      <c r="W2593" s="414">
        <f>SUM(Q2592:Q2593)</f>
        <v>1</v>
      </c>
      <c r="X2593" s="414">
        <f t="shared" ref="X2593:X2594" si="297">T2593+U2593+V2593+W2593</f>
        <v>1</v>
      </c>
    </row>
    <row r="2594" spans="1:24" ht="12.75">
      <c r="A2594" s="438" t="s">
        <v>746</v>
      </c>
      <c r="B2594" s="439" t="s">
        <v>204</v>
      </c>
      <c r="C2594" s="439" t="s">
        <v>799</v>
      </c>
      <c r="D2594" s="439">
        <v>2018</v>
      </c>
      <c r="E2594" s="439" t="s">
        <v>775</v>
      </c>
      <c r="F2594" s="440">
        <v>12</v>
      </c>
      <c r="G2594" s="441">
        <v>0</v>
      </c>
      <c r="H2594" s="440">
        <v>0</v>
      </c>
      <c r="I2594" s="440">
        <v>0</v>
      </c>
      <c r="J2594" s="440">
        <v>8</v>
      </c>
      <c r="K2594" s="441">
        <v>0</v>
      </c>
      <c r="L2594" s="440">
        <v>0</v>
      </c>
      <c r="M2594" s="440">
        <v>0</v>
      </c>
      <c r="N2594" s="440">
        <v>13</v>
      </c>
      <c r="O2594" s="440">
        <v>0</v>
      </c>
      <c r="P2594" s="440">
        <v>39</v>
      </c>
      <c r="Q2594" s="440">
        <v>4</v>
      </c>
      <c r="R2594" s="344">
        <f t="shared" si="295"/>
        <v>72</v>
      </c>
      <c r="S2594" s="367">
        <f t="shared" si="296"/>
        <v>4</v>
      </c>
      <c r="T2594" s="494">
        <f>G2594</f>
        <v>0</v>
      </c>
      <c r="U2594" s="494">
        <f>K2594</f>
        <v>0</v>
      </c>
      <c r="V2594" s="494">
        <f>O2594</f>
        <v>0</v>
      </c>
      <c r="W2594" s="494">
        <f>Q2594</f>
        <v>4</v>
      </c>
      <c r="X2594" s="494">
        <f t="shared" si="297"/>
        <v>4</v>
      </c>
    </row>
    <row r="2595" spans="1:24" ht="12.75">
      <c r="A2595" s="346" t="s">
        <v>746</v>
      </c>
      <c r="B2595" s="347" t="s">
        <v>204</v>
      </c>
      <c r="C2595" s="347" t="s">
        <v>801</v>
      </c>
      <c r="D2595" s="347">
        <v>2019</v>
      </c>
      <c r="E2595" s="347" t="s">
        <v>775</v>
      </c>
      <c r="F2595" s="348">
        <v>12</v>
      </c>
      <c r="G2595" s="348">
        <v>0</v>
      </c>
      <c r="H2595" s="348">
        <v>0</v>
      </c>
      <c r="I2595" s="348">
        <v>0</v>
      </c>
      <c r="J2595" s="348">
        <v>8</v>
      </c>
      <c r="K2595" s="348">
        <v>0</v>
      </c>
      <c r="L2595" s="348">
        <v>0</v>
      </c>
      <c r="M2595" s="348">
        <v>0</v>
      </c>
      <c r="N2595" s="348">
        <v>13</v>
      </c>
      <c r="O2595" s="348">
        <v>0</v>
      </c>
      <c r="P2595" s="348">
        <v>39</v>
      </c>
      <c r="Q2595" s="348">
        <v>0</v>
      </c>
      <c r="R2595" s="350">
        <f t="shared" si="295"/>
        <v>72</v>
      </c>
      <c r="S2595" s="348">
        <f t="shared" si="296"/>
        <v>0</v>
      </c>
      <c r="T2595" s="348"/>
      <c r="U2595" s="348"/>
      <c r="V2595" s="348"/>
      <c r="W2595" s="349"/>
      <c r="X2595" s="349"/>
    </row>
    <row r="2596" spans="1:24" ht="12.75">
      <c r="A2596" s="346" t="s">
        <v>747</v>
      </c>
      <c r="B2596" s="347" t="s">
        <v>204</v>
      </c>
      <c r="C2596" s="347" t="s">
        <v>801</v>
      </c>
      <c r="D2596" s="347">
        <v>2019</v>
      </c>
      <c r="E2596" s="347" t="s">
        <v>775</v>
      </c>
      <c r="F2596" s="348">
        <v>109</v>
      </c>
      <c r="G2596" s="348">
        <v>0</v>
      </c>
      <c r="H2596" s="348">
        <v>0</v>
      </c>
      <c r="I2596" s="348">
        <v>0</v>
      </c>
      <c r="J2596" s="348">
        <v>76</v>
      </c>
      <c r="K2596" s="348">
        <v>0</v>
      </c>
      <c r="L2596" s="348">
        <v>0</v>
      </c>
      <c r="M2596" s="348">
        <v>0</v>
      </c>
      <c r="N2596" s="348">
        <v>90</v>
      </c>
      <c r="O2596" s="348">
        <v>0</v>
      </c>
      <c r="P2596" s="348">
        <v>208</v>
      </c>
      <c r="Q2596" s="348">
        <v>0</v>
      </c>
      <c r="R2596" s="350">
        <f t="shared" si="295"/>
        <v>483</v>
      </c>
      <c r="S2596" s="348">
        <f t="shared" si="296"/>
        <v>0</v>
      </c>
      <c r="T2596" s="348"/>
      <c r="U2596" s="348"/>
      <c r="V2596" s="348"/>
      <c r="W2596" s="349"/>
      <c r="X2596" s="349"/>
    </row>
    <row r="2597" spans="1:24" ht="12.75">
      <c r="A2597" s="346" t="s">
        <v>748</v>
      </c>
      <c r="B2597" s="347" t="s">
        <v>204</v>
      </c>
      <c r="C2597" s="347" t="s">
        <v>801</v>
      </c>
      <c r="D2597" s="347">
        <v>2019</v>
      </c>
      <c r="E2597" s="347" t="s">
        <v>775</v>
      </c>
      <c r="F2597" s="348">
        <v>1036</v>
      </c>
      <c r="G2597" s="348">
        <v>14</v>
      </c>
      <c r="H2597" s="348">
        <v>14</v>
      </c>
      <c r="I2597" s="348">
        <v>0</v>
      </c>
      <c r="J2597" s="348">
        <v>727</v>
      </c>
      <c r="K2597" s="348">
        <v>0</v>
      </c>
      <c r="L2597" s="348">
        <v>0</v>
      </c>
      <c r="M2597" s="348">
        <v>0</v>
      </c>
      <c r="N2597" s="348">
        <v>870</v>
      </c>
      <c r="O2597" s="348">
        <v>0</v>
      </c>
      <c r="P2597" s="348">
        <v>2043</v>
      </c>
      <c r="Q2597" s="348">
        <v>689</v>
      </c>
      <c r="R2597" s="350">
        <f t="shared" si="295"/>
        <v>4676</v>
      </c>
      <c r="S2597" s="348">
        <f t="shared" si="296"/>
        <v>703</v>
      </c>
      <c r="T2597" s="517">
        <f>SUM(G2595:G2597)</f>
        <v>14</v>
      </c>
      <c r="U2597" s="517">
        <f>SUM(K2595:K2597)</f>
        <v>0</v>
      </c>
      <c r="V2597" s="517">
        <f>SUM(O2595:O2597)</f>
        <v>0</v>
      </c>
      <c r="W2597" s="517">
        <f>SUM(Q2595:Q2597)</f>
        <v>689</v>
      </c>
      <c r="X2597" s="517">
        <f>T2597+U2597+V2597+W2597</f>
        <v>703</v>
      </c>
    </row>
    <row r="2598" spans="1:24" ht="12.75">
      <c r="A2598" s="518"/>
      <c r="B2598" s="519"/>
      <c r="C2598" s="520"/>
      <c r="D2598" s="520"/>
      <c r="E2598" s="520"/>
      <c r="F2598" s="521"/>
      <c r="G2598" s="521"/>
      <c r="H2598" s="521"/>
      <c r="I2598" s="521"/>
      <c r="J2598" s="521"/>
      <c r="K2598" s="521"/>
      <c r="L2598" s="521"/>
      <c r="M2598" s="521"/>
      <c r="N2598" s="521"/>
      <c r="O2598" s="521"/>
      <c r="P2598" s="521"/>
      <c r="Q2598" s="521"/>
      <c r="R2598" s="521"/>
      <c r="S2598" s="522" t="s">
        <v>783</v>
      </c>
      <c r="T2598" s="522">
        <f t="shared" ref="T2598:X2598" si="298">SUM(T2591:T2597)</f>
        <v>14</v>
      </c>
      <c r="U2598" s="522">
        <f t="shared" si="298"/>
        <v>0</v>
      </c>
      <c r="V2598" s="522">
        <f t="shared" si="298"/>
        <v>1</v>
      </c>
      <c r="W2598" s="522">
        <f t="shared" si="298"/>
        <v>779</v>
      </c>
      <c r="X2598" s="522">
        <f t="shared" si="298"/>
        <v>794</v>
      </c>
    </row>
    <row r="2599" spans="1:24" ht="15">
      <c r="A2599" s="523" t="s">
        <v>72</v>
      </c>
      <c r="B2599" s="524"/>
      <c r="C2599" s="525"/>
      <c r="D2599" s="525"/>
      <c r="E2599" s="525"/>
      <c r="F2599" s="526"/>
      <c r="G2599" s="526"/>
      <c r="H2599" s="526"/>
      <c r="I2599" s="526"/>
      <c r="J2599" s="526"/>
      <c r="K2599" s="526"/>
      <c r="L2599" s="526"/>
      <c r="M2599" s="526"/>
      <c r="N2599" s="526"/>
      <c r="O2599" s="526"/>
      <c r="P2599" s="526"/>
      <c r="Q2599" s="526"/>
      <c r="R2599" s="526"/>
      <c r="S2599" s="526" t="s">
        <v>783</v>
      </c>
      <c r="T2599" s="526">
        <f t="shared" ref="T2599:X2599" si="299">T2598+T2589+T2553+T2499+T2485+T2443+T2441+T2423+T2400+T2363+T2307+T2262+T2230+T2209+T2183+T2097+T2049+T1937+T1894+T1869+T1861+T1726+T1605+T1591+T1538+T1393+T1386+T1343+T1152+T1130+T1097+T1048+T1034+T1031+T1010+T989+T981+T912+T897+T513+T510+T500+T488+T452+T439+T403+T378+T360+T307+T288+T279+T173+T164+T154+T123+T99+T91</f>
        <v>31062</v>
      </c>
      <c r="U2599" s="526">
        <f t="shared" si="299"/>
        <v>30720</v>
      </c>
      <c r="V2599" s="526">
        <f t="shared" si="299"/>
        <v>81532</v>
      </c>
      <c r="W2599" s="526">
        <f t="shared" si="299"/>
        <v>486977</v>
      </c>
      <c r="X2599" s="526">
        <f t="shared" si="299"/>
        <v>630291</v>
      </c>
    </row>
    <row r="2600" spans="1:24" ht="15">
      <c r="A2600" s="152"/>
      <c r="B2600" s="527" t="s">
        <v>915</v>
      </c>
      <c r="C2600" s="528"/>
      <c r="D2600" s="528"/>
      <c r="E2600" s="528"/>
      <c r="F2600" s="529"/>
      <c r="G2600" s="529"/>
      <c r="H2600" s="529"/>
      <c r="I2600" s="529"/>
      <c r="J2600" s="529"/>
      <c r="K2600" s="529"/>
      <c r="L2600" s="529"/>
      <c r="M2600" s="529"/>
      <c r="N2600" s="529"/>
      <c r="O2600" s="529"/>
      <c r="P2600" s="529"/>
      <c r="Q2600" s="529"/>
      <c r="R2600" s="529"/>
      <c r="S2600" s="529"/>
      <c r="T2600" s="529"/>
      <c r="U2600" s="529"/>
      <c r="V2600" s="529"/>
      <c r="W2600" s="182"/>
      <c r="X2600" s="182"/>
    </row>
    <row r="2601" spans="1:24" ht="15">
      <c r="A2601" s="152"/>
      <c r="B2601" s="528"/>
      <c r="C2601" s="528"/>
      <c r="D2601" s="528"/>
      <c r="E2601" s="528"/>
      <c r="F2601" s="529"/>
      <c r="G2601" s="529"/>
      <c r="H2601" s="529"/>
      <c r="I2601" s="529"/>
      <c r="J2601" s="529"/>
      <c r="K2601" s="529"/>
      <c r="L2601" s="529"/>
      <c r="M2601" s="529"/>
      <c r="N2601" s="529"/>
      <c r="O2601" s="529"/>
      <c r="P2601" s="529"/>
      <c r="Q2601" s="529"/>
      <c r="R2601" s="529"/>
      <c r="S2601" s="529"/>
      <c r="T2601" s="529"/>
      <c r="U2601" s="529"/>
      <c r="V2601" s="529"/>
      <c r="W2601" s="182"/>
      <c r="X2601" s="182"/>
    </row>
  </sheetData>
  <mergeCells count="1">
    <mergeCell ref="A9:Q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DEBF7"/>
    <outlinePr summaryBelow="0" summaryRight="0"/>
  </sheetPr>
  <dimension ref="A1:AB2562"/>
  <sheetViews>
    <sheetView workbookViewId="0"/>
  </sheetViews>
  <sheetFormatPr defaultColWidth="14.42578125" defaultRowHeight="15.75" customHeight="1"/>
  <cols>
    <col min="1" max="1" width="31.140625" customWidth="1"/>
    <col min="2" max="2" width="21.42578125" customWidth="1"/>
    <col min="3" max="3" width="25.85546875" customWidth="1"/>
    <col min="4" max="4" width="18.85546875" customWidth="1"/>
    <col min="5" max="5" width="9.28515625" customWidth="1"/>
    <col min="18" max="18" width="20" customWidth="1"/>
  </cols>
  <sheetData>
    <row r="1" spans="1:28" ht="23.25">
      <c r="A1" s="530" t="s">
        <v>916</v>
      </c>
      <c r="B1" s="531"/>
      <c r="C1" s="532"/>
      <c r="D1" s="531"/>
      <c r="E1" s="531"/>
      <c r="F1" s="533"/>
      <c r="G1" s="533"/>
      <c r="H1" s="533"/>
      <c r="I1" s="533"/>
      <c r="J1" s="533"/>
      <c r="K1" s="533"/>
      <c r="L1" s="533"/>
      <c r="M1" s="533"/>
      <c r="N1" s="533"/>
      <c r="O1" s="533"/>
      <c r="P1" s="533"/>
      <c r="Q1" s="533"/>
      <c r="R1" s="534"/>
      <c r="S1" s="535"/>
      <c r="T1" s="535"/>
      <c r="U1" s="535"/>
      <c r="V1" s="535"/>
      <c r="W1" s="535"/>
      <c r="X1" s="535"/>
      <c r="Y1" s="535"/>
      <c r="Z1" s="535"/>
    </row>
    <row r="2" spans="1:28" ht="23.25">
      <c r="A2" s="531"/>
      <c r="B2" s="531"/>
      <c r="C2" s="532"/>
      <c r="D2" s="531"/>
      <c r="E2" s="531"/>
      <c r="F2" s="533"/>
      <c r="G2" s="533"/>
      <c r="H2" s="533"/>
      <c r="I2" s="533"/>
      <c r="J2" s="533"/>
      <c r="K2" s="533"/>
      <c r="L2" s="533"/>
      <c r="M2" s="533"/>
      <c r="N2" s="533"/>
      <c r="O2" s="533"/>
      <c r="P2" s="533"/>
      <c r="Q2" s="533"/>
      <c r="R2" s="534"/>
      <c r="S2" s="535"/>
      <c r="T2" s="535"/>
      <c r="U2" s="535"/>
      <c r="V2" s="535"/>
      <c r="W2" s="535"/>
      <c r="X2" s="535"/>
      <c r="Y2" s="535"/>
      <c r="Z2" s="535"/>
    </row>
    <row r="3" spans="1:28" ht="23.25">
      <c r="A3" s="714" t="s">
        <v>750</v>
      </c>
      <c r="B3" s="709"/>
      <c r="C3" s="709"/>
      <c r="D3" s="709"/>
      <c r="E3" s="709"/>
      <c r="F3" s="709"/>
      <c r="G3" s="709"/>
      <c r="H3" s="709"/>
      <c r="I3" s="709"/>
      <c r="J3" s="709"/>
      <c r="K3" s="709"/>
      <c r="L3" s="709"/>
      <c r="M3" s="709"/>
      <c r="N3" s="709"/>
      <c r="O3" s="709"/>
      <c r="P3" s="709"/>
      <c r="Q3" s="709"/>
      <c r="R3" s="534"/>
      <c r="S3" s="536"/>
      <c r="T3" s="536"/>
      <c r="U3" s="536"/>
      <c r="V3" s="536"/>
      <c r="W3" s="536"/>
      <c r="X3" s="536"/>
      <c r="Y3" s="536"/>
      <c r="Z3" s="536"/>
      <c r="AA3" s="537"/>
      <c r="AB3" s="537"/>
    </row>
    <row r="4" spans="1:28" ht="36">
      <c r="A4" s="538" t="s">
        <v>33</v>
      </c>
      <c r="B4" s="539" t="s">
        <v>26</v>
      </c>
      <c r="C4" s="540" t="s">
        <v>751</v>
      </c>
      <c r="D4" s="539" t="s">
        <v>752</v>
      </c>
      <c r="E4" s="538" t="s">
        <v>753</v>
      </c>
      <c r="F4" s="541" t="s">
        <v>754</v>
      </c>
      <c r="G4" s="541" t="s">
        <v>755</v>
      </c>
      <c r="H4" s="541" t="s">
        <v>756</v>
      </c>
      <c r="I4" s="541" t="s">
        <v>757</v>
      </c>
      <c r="J4" s="542" t="s">
        <v>758</v>
      </c>
      <c r="K4" s="542" t="s">
        <v>759</v>
      </c>
      <c r="L4" s="542" t="s">
        <v>760</v>
      </c>
      <c r="M4" s="542" t="s">
        <v>761</v>
      </c>
      <c r="N4" s="543" t="s">
        <v>762</v>
      </c>
      <c r="O4" s="543" t="s">
        <v>763</v>
      </c>
      <c r="P4" s="544" t="s">
        <v>764</v>
      </c>
      <c r="Q4" s="544" t="s">
        <v>765</v>
      </c>
      <c r="R4" s="534"/>
      <c r="S4" s="545" t="s">
        <v>917</v>
      </c>
      <c r="T4" s="545" t="s">
        <v>918</v>
      </c>
      <c r="U4" s="545" t="s">
        <v>919</v>
      </c>
      <c r="V4" s="545" t="s">
        <v>920</v>
      </c>
      <c r="W4" s="545" t="s">
        <v>921</v>
      </c>
      <c r="X4" s="545" t="s">
        <v>922</v>
      </c>
      <c r="Y4" s="545" t="s">
        <v>923</v>
      </c>
      <c r="Z4" s="545" t="s">
        <v>924</v>
      </c>
      <c r="AA4" s="546"/>
      <c r="AB4" s="546"/>
    </row>
    <row r="5" spans="1:28" ht="12.75">
      <c r="A5" s="547" t="s">
        <v>125</v>
      </c>
      <c r="B5" s="547" t="s">
        <v>125</v>
      </c>
      <c r="C5" s="548" t="s">
        <v>774</v>
      </c>
      <c r="D5" s="549">
        <v>2015</v>
      </c>
      <c r="E5" s="549" t="s">
        <v>775</v>
      </c>
      <c r="F5" s="550">
        <v>444</v>
      </c>
      <c r="G5" s="550">
        <v>19</v>
      </c>
      <c r="H5" s="550">
        <v>19</v>
      </c>
      <c r="I5" s="550">
        <v>0</v>
      </c>
      <c r="J5" s="550">
        <v>248</v>
      </c>
      <c r="K5" s="550">
        <v>22</v>
      </c>
      <c r="L5" s="550">
        <v>22</v>
      </c>
      <c r="M5" s="550">
        <v>0</v>
      </c>
      <c r="N5" s="550">
        <v>283</v>
      </c>
      <c r="O5" s="550">
        <v>14</v>
      </c>
      <c r="P5" s="550">
        <v>748</v>
      </c>
      <c r="Q5" s="550">
        <v>192</v>
      </c>
      <c r="R5" s="551" t="str">
        <f t="shared" ref="R5:R91" si="0">A5</f>
        <v>ALAMEDA</v>
      </c>
      <c r="S5" s="552"/>
      <c r="T5" s="552"/>
      <c r="U5" s="552"/>
      <c r="V5" s="552"/>
      <c r="W5" s="552"/>
      <c r="X5" s="552"/>
      <c r="Y5" s="552"/>
      <c r="Z5" s="552"/>
      <c r="AA5" s="553"/>
      <c r="AB5" s="553"/>
    </row>
    <row r="6" spans="1:28" ht="12.75">
      <c r="A6" s="547" t="s">
        <v>125</v>
      </c>
      <c r="B6" s="547" t="s">
        <v>125</v>
      </c>
      <c r="C6" s="548" t="s">
        <v>774</v>
      </c>
      <c r="D6" s="549">
        <v>2016</v>
      </c>
      <c r="E6" s="549" t="s">
        <v>775</v>
      </c>
      <c r="F6" s="550">
        <v>444</v>
      </c>
      <c r="G6" s="550">
        <v>17</v>
      </c>
      <c r="H6" s="550">
        <v>17</v>
      </c>
      <c r="I6" s="550">
        <v>0</v>
      </c>
      <c r="J6" s="550">
        <v>248</v>
      </c>
      <c r="K6" s="550">
        <v>14</v>
      </c>
      <c r="L6" s="550">
        <v>14</v>
      </c>
      <c r="M6" s="550">
        <v>0</v>
      </c>
      <c r="N6" s="550">
        <v>283</v>
      </c>
      <c r="O6" s="550">
        <v>7</v>
      </c>
      <c r="P6" s="550">
        <v>748</v>
      </c>
      <c r="Q6" s="550">
        <v>61</v>
      </c>
      <c r="R6" s="551" t="str">
        <f t="shared" si="0"/>
        <v>ALAMEDA</v>
      </c>
      <c r="S6" s="552"/>
      <c r="T6" s="552"/>
      <c r="U6" s="552"/>
      <c r="V6" s="552"/>
      <c r="W6" s="552"/>
      <c r="X6" s="552"/>
      <c r="Y6" s="552"/>
      <c r="Z6" s="552"/>
      <c r="AA6" s="553"/>
      <c r="AB6" s="553"/>
    </row>
    <row r="7" spans="1:28" ht="12.75">
      <c r="A7" s="547" t="s">
        <v>125</v>
      </c>
      <c r="B7" s="547" t="s">
        <v>125</v>
      </c>
      <c r="C7" s="548" t="s">
        <v>774</v>
      </c>
      <c r="D7" s="549">
        <v>2017</v>
      </c>
      <c r="E7" s="549" t="s">
        <v>775</v>
      </c>
      <c r="F7" s="550">
        <v>444</v>
      </c>
      <c r="G7" s="550">
        <v>18</v>
      </c>
      <c r="H7" s="550">
        <v>18</v>
      </c>
      <c r="I7" s="550">
        <v>0</v>
      </c>
      <c r="J7" s="550">
        <v>248</v>
      </c>
      <c r="K7" s="550">
        <v>4</v>
      </c>
      <c r="L7" s="550">
        <v>4</v>
      </c>
      <c r="M7" s="550">
        <v>0</v>
      </c>
      <c r="N7" s="550">
        <v>283</v>
      </c>
      <c r="O7" s="550">
        <v>5</v>
      </c>
      <c r="P7" s="550">
        <v>748</v>
      </c>
      <c r="Q7" s="550">
        <v>66</v>
      </c>
      <c r="R7" s="551" t="str">
        <f t="shared" si="0"/>
        <v>ALAMEDA</v>
      </c>
      <c r="S7" s="552"/>
      <c r="T7" s="552"/>
      <c r="U7" s="552"/>
      <c r="V7" s="552"/>
      <c r="W7" s="552"/>
      <c r="X7" s="552"/>
      <c r="Y7" s="552"/>
      <c r="Z7" s="552"/>
      <c r="AA7" s="553"/>
      <c r="AB7" s="553"/>
    </row>
    <row r="8" spans="1:28" ht="12.75">
      <c r="A8" s="547" t="s">
        <v>125</v>
      </c>
      <c r="B8" s="547" t="s">
        <v>125</v>
      </c>
      <c r="C8" s="548" t="s">
        <v>774</v>
      </c>
      <c r="D8" s="549">
        <v>2018</v>
      </c>
      <c r="E8" s="549" t="s">
        <v>775</v>
      </c>
      <c r="F8" s="550">
        <v>444</v>
      </c>
      <c r="G8" s="550">
        <v>1</v>
      </c>
      <c r="H8" s="550">
        <v>1</v>
      </c>
      <c r="I8" s="550">
        <v>0</v>
      </c>
      <c r="J8" s="550">
        <v>248</v>
      </c>
      <c r="K8" s="550">
        <v>0</v>
      </c>
      <c r="L8" s="550">
        <v>0</v>
      </c>
      <c r="M8" s="550">
        <v>0</v>
      </c>
      <c r="N8" s="550">
        <v>283</v>
      </c>
      <c r="O8" s="550">
        <v>0</v>
      </c>
      <c r="P8" s="550">
        <v>748</v>
      </c>
      <c r="Q8" s="550">
        <v>180</v>
      </c>
      <c r="R8" s="551" t="str">
        <f t="shared" si="0"/>
        <v>ALAMEDA</v>
      </c>
      <c r="S8" s="552"/>
      <c r="T8" s="552"/>
      <c r="U8" s="552"/>
      <c r="V8" s="552"/>
      <c r="W8" s="552"/>
      <c r="X8" s="552"/>
      <c r="Y8" s="552"/>
      <c r="Z8" s="552"/>
      <c r="AA8" s="553"/>
      <c r="AB8" s="553"/>
    </row>
    <row r="9" spans="1:28" ht="12.75">
      <c r="A9" s="547" t="s">
        <v>125</v>
      </c>
      <c r="B9" s="547" t="s">
        <v>125</v>
      </c>
      <c r="C9" s="548" t="s">
        <v>782</v>
      </c>
      <c r="D9" s="549">
        <v>2019</v>
      </c>
      <c r="E9" s="549" t="s">
        <v>775</v>
      </c>
      <c r="F9" s="550">
        <v>444</v>
      </c>
      <c r="G9" s="550">
        <v>31</v>
      </c>
      <c r="H9" s="550">
        <v>31</v>
      </c>
      <c r="I9" s="550">
        <v>0</v>
      </c>
      <c r="J9" s="550">
        <v>248</v>
      </c>
      <c r="K9" s="550">
        <v>28</v>
      </c>
      <c r="L9" s="550">
        <v>28</v>
      </c>
      <c r="M9" s="550">
        <v>0</v>
      </c>
      <c r="N9" s="550">
        <v>283</v>
      </c>
      <c r="O9" s="550">
        <v>24</v>
      </c>
      <c r="P9" s="550">
        <v>748</v>
      </c>
      <c r="Q9" s="550">
        <v>598</v>
      </c>
      <c r="R9" s="551" t="str">
        <f t="shared" si="0"/>
        <v>ALAMEDA</v>
      </c>
      <c r="S9" s="552">
        <f>SUM(G5:G9) +SUM(K5:K9)</f>
        <v>154</v>
      </c>
      <c r="T9" s="552">
        <f>F9+J9</f>
        <v>692</v>
      </c>
      <c r="U9" s="552">
        <f>SUM(O5:O9)</f>
        <v>50</v>
      </c>
      <c r="V9" s="552">
        <f>N9</f>
        <v>283</v>
      </c>
      <c r="W9" s="554">
        <f>SUM(Q5:Q9)</f>
        <v>1097</v>
      </c>
      <c r="X9" s="552">
        <f>P9</f>
        <v>748</v>
      </c>
      <c r="Y9" s="552">
        <f>S9+U9+SUM(Q5:Q9)</f>
        <v>1301</v>
      </c>
      <c r="Z9" s="552">
        <f>F9+J9+N9+P9</f>
        <v>1723</v>
      </c>
      <c r="AA9" s="553"/>
      <c r="AB9" s="553"/>
    </row>
    <row r="10" spans="1:28" ht="12.75">
      <c r="A10" s="547" t="s">
        <v>233</v>
      </c>
      <c r="B10" s="547" t="s">
        <v>125</v>
      </c>
      <c r="C10" s="548" t="s">
        <v>774</v>
      </c>
      <c r="D10" s="549">
        <v>2014</v>
      </c>
      <c r="E10" s="549" t="s">
        <v>775</v>
      </c>
      <c r="F10" s="550">
        <v>430</v>
      </c>
      <c r="G10" s="550">
        <v>0</v>
      </c>
      <c r="H10" s="550">
        <v>0</v>
      </c>
      <c r="I10" s="550">
        <v>0</v>
      </c>
      <c r="J10" s="550">
        <v>227</v>
      </c>
      <c r="K10" s="550">
        <v>3</v>
      </c>
      <c r="L10" s="550">
        <v>0</v>
      </c>
      <c r="M10" s="550">
        <v>3</v>
      </c>
      <c r="N10" s="550">
        <v>295</v>
      </c>
      <c r="O10" s="550">
        <v>14</v>
      </c>
      <c r="P10" s="550">
        <v>817</v>
      </c>
      <c r="Q10" s="550">
        <v>12</v>
      </c>
      <c r="R10" s="551" t="str">
        <f t="shared" si="0"/>
        <v>ALAMEDA COUNTY</v>
      </c>
      <c r="S10" s="552"/>
      <c r="T10" s="552"/>
      <c r="U10" s="552"/>
      <c r="V10" s="552"/>
      <c r="W10" s="552"/>
      <c r="X10" s="552"/>
      <c r="Y10" s="552"/>
      <c r="Z10" s="552"/>
      <c r="AA10" s="553"/>
      <c r="AB10" s="553"/>
    </row>
    <row r="11" spans="1:28" ht="12.75">
      <c r="A11" s="547" t="s">
        <v>233</v>
      </c>
      <c r="B11" s="547" t="s">
        <v>125</v>
      </c>
      <c r="C11" s="548" t="s">
        <v>774</v>
      </c>
      <c r="D11" s="549">
        <v>2015</v>
      </c>
      <c r="E11" s="549" t="s">
        <v>775</v>
      </c>
      <c r="F11" s="550">
        <v>430</v>
      </c>
      <c r="G11" s="550">
        <v>35</v>
      </c>
      <c r="H11" s="550">
        <v>35</v>
      </c>
      <c r="I11" s="550">
        <v>0</v>
      </c>
      <c r="J11" s="550">
        <v>227</v>
      </c>
      <c r="K11" s="550">
        <v>65</v>
      </c>
      <c r="L11" s="550">
        <v>65</v>
      </c>
      <c r="M11" s="550">
        <v>0</v>
      </c>
      <c r="N11" s="550">
        <v>295</v>
      </c>
      <c r="O11" s="550">
        <v>21</v>
      </c>
      <c r="P11" s="550">
        <v>817</v>
      </c>
      <c r="Q11" s="550">
        <v>17</v>
      </c>
      <c r="R11" s="551" t="str">
        <f t="shared" si="0"/>
        <v>ALAMEDA COUNTY</v>
      </c>
      <c r="S11" s="552"/>
      <c r="T11" s="552"/>
      <c r="U11" s="552"/>
      <c r="V11" s="552"/>
      <c r="W11" s="552"/>
      <c r="X11" s="552"/>
      <c r="Y11" s="552"/>
      <c r="Z11" s="552"/>
      <c r="AA11" s="553"/>
      <c r="AB11" s="553"/>
    </row>
    <row r="12" spans="1:28" ht="12.75">
      <c r="A12" s="547" t="s">
        <v>233</v>
      </c>
      <c r="B12" s="547" t="s">
        <v>125</v>
      </c>
      <c r="C12" s="548" t="s">
        <v>774</v>
      </c>
      <c r="D12" s="549">
        <v>2016</v>
      </c>
      <c r="E12" s="549" t="s">
        <v>775</v>
      </c>
      <c r="F12" s="550">
        <v>430</v>
      </c>
      <c r="G12" s="550">
        <v>85</v>
      </c>
      <c r="H12" s="550">
        <v>85</v>
      </c>
      <c r="I12" s="550">
        <v>0</v>
      </c>
      <c r="J12" s="550">
        <v>227</v>
      </c>
      <c r="K12" s="550">
        <v>8</v>
      </c>
      <c r="L12" s="550">
        <v>8</v>
      </c>
      <c r="M12" s="550">
        <v>0</v>
      </c>
      <c r="N12" s="550">
        <v>295</v>
      </c>
      <c r="O12" s="550">
        <v>0</v>
      </c>
      <c r="P12" s="550">
        <v>817</v>
      </c>
      <c r="Q12" s="550">
        <v>9</v>
      </c>
      <c r="R12" s="551" t="str">
        <f t="shared" si="0"/>
        <v>ALAMEDA COUNTY</v>
      </c>
      <c r="S12" s="552"/>
      <c r="T12" s="552"/>
      <c r="U12" s="552"/>
      <c r="V12" s="552"/>
      <c r="W12" s="552"/>
      <c r="X12" s="552"/>
      <c r="Y12" s="552"/>
      <c r="Z12" s="552"/>
      <c r="AA12" s="553"/>
      <c r="AB12" s="553"/>
    </row>
    <row r="13" spans="1:28" ht="12.75">
      <c r="A13" s="547" t="s">
        <v>233</v>
      </c>
      <c r="B13" s="547" t="s">
        <v>125</v>
      </c>
      <c r="C13" s="548" t="s">
        <v>774</v>
      </c>
      <c r="D13" s="549">
        <v>2017</v>
      </c>
      <c r="E13" s="549" t="s">
        <v>775</v>
      </c>
      <c r="F13" s="550">
        <v>430</v>
      </c>
      <c r="G13" s="550">
        <v>0</v>
      </c>
      <c r="H13" s="550">
        <v>0</v>
      </c>
      <c r="I13" s="550">
        <v>0</v>
      </c>
      <c r="J13" s="550">
        <v>227</v>
      </c>
      <c r="K13" s="550">
        <v>3</v>
      </c>
      <c r="L13" s="550">
        <v>0</v>
      </c>
      <c r="M13" s="550">
        <v>3</v>
      </c>
      <c r="N13" s="550">
        <v>295</v>
      </c>
      <c r="O13" s="550">
        <v>0</v>
      </c>
      <c r="P13" s="550">
        <v>817</v>
      </c>
      <c r="Q13" s="550">
        <v>32</v>
      </c>
      <c r="R13" s="551" t="str">
        <f t="shared" si="0"/>
        <v>ALAMEDA COUNTY</v>
      </c>
      <c r="S13" s="552"/>
      <c r="T13" s="552"/>
      <c r="U13" s="552"/>
      <c r="V13" s="552"/>
      <c r="W13" s="552"/>
      <c r="X13" s="552"/>
      <c r="Y13" s="552"/>
      <c r="Z13" s="552"/>
      <c r="AA13" s="553"/>
      <c r="AB13" s="553"/>
    </row>
    <row r="14" spans="1:28" ht="12.75">
      <c r="A14" s="547" t="s">
        <v>233</v>
      </c>
      <c r="B14" s="547" t="s">
        <v>125</v>
      </c>
      <c r="C14" s="548" t="s">
        <v>774</v>
      </c>
      <c r="D14" s="549">
        <v>2018</v>
      </c>
      <c r="E14" s="549" t="s">
        <v>775</v>
      </c>
      <c r="F14" s="550">
        <v>430</v>
      </c>
      <c r="G14" s="550">
        <v>0</v>
      </c>
      <c r="H14" s="550">
        <v>0</v>
      </c>
      <c r="I14" s="550">
        <v>0</v>
      </c>
      <c r="J14" s="550">
        <v>227</v>
      </c>
      <c r="K14" s="550">
        <v>11</v>
      </c>
      <c r="L14" s="550">
        <v>0</v>
      </c>
      <c r="M14" s="550">
        <v>11</v>
      </c>
      <c r="N14" s="550">
        <v>295</v>
      </c>
      <c r="O14" s="550">
        <v>0</v>
      </c>
      <c r="P14" s="550">
        <v>817</v>
      </c>
      <c r="Q14" s="550">
        <v>108</v>
      </c>
      <c r="R14" s="551" t="str">
        <f t="shared" si="0"/>
        <v>ALAMEDA COUNTY</v>
      </c>
      <c r="S14" s="552"/>
      <c r="T14" s="552"/>
      <c r="U14" s="552"/>
      <c r="V14" s="552"/>
      <c r="W14" s="552"/>
      <c r="X14" s="552"/>
      <c r="Y14" s="552"/>
      <c r="Z14" s="552"/>
      <c r="AA14" s="553"/>
      <c r="AB14" s="553"/>
    </row>
    <row r="15" spans="1:28" ht="12.75">
      <c r="A15" s="547" t="s">
        <v>233</v>
      </c>
      <c r="B15" s="547" t="s">
        <v>125</v>
      </c>
      <c r="C15" s="548" t="s">
        <v>782</v>
      </c>
      <c r="D15" s="549">
        <v>2019</v>
      </c>
      <c r="E15" s="549" t="s">
        <v>775</v>
      </c>
      <c r="F15" s="550">
        <v>430</v>
      </c>
      <c r="G15" s="550">
        <v>0</v>
      </c>
      <c r="H15" s="550">
        <v>0</v>
      </c>
      <c r="I15" s="550">
        <v>0</v>
      </c>
      <c r="J15" s="550">
        <v>227</v>
      </c>
      <c r="K15" s="550">
        <v>26</v>
      </c>
      <c r="L15" s="550">
        <v>0</v>
      </c>
      <c r="M15" s="550">
        <v>26</v>
      </c>
      <c r="N15" s="550">
        <v>295</v>
      </c>
      <c r="O15" s="550">
        <v>0</v>
      </c>
      <c r="P15" s="550">
        <v>817</v>
      </c>
      <c r="Q15" s="550">
        <v>63</v>
      </c>
      <c r="R15" s="551" t="str">
        <f t="shared" si="0"/>
        <v>ALAMEDA COUNTY</v>
      </c>
      <c r="S15" s="552">
        <f>SUM(G10:G15) +SUM(K10:K15)</f>
        <v>236</v>
      </c>
      <c r="T15" s="552">
        <f>F15+J15</f>
        <v>657</v>
      </c>
      <c r="U15" s="552">
        <f>SUM(O10:O15)</f>
        <v>35</v>
      </c>
      <c r="V15" s="552">
        <f>N15</f>
        <v>295</v>
      </c>
      <c r="W15" s="554">
        <f>SUM(Q10:Q15)</f>
        <v>241</v>
      </c>
      <c r="X15" s="552">
        <f>P15</f>
        <v>817</v>
      </c>
      <c r="Y15" s="552">
        <f>S15+U15+SUM(Q10:Q15)</f>
        <v>512</v>
      </c>
      <c r="Z15" s="552">
        <f>F15+J15+N15+P15</f>
        <v>1769</v>
      </c>
      <c r="AA15" s="553"/>
      <c r="AB15" s="553"/>
    </row>
    <row r="16" spans="1:28" ht="12.75">
      <c r="A16" s="547" t="s">
        <v>234</v>
      </c>
      <c r="B16" s="547" t="s">
        <v>125</v>
      </c>
      <c r="C16" s="548" t="s">
        <v>774</v>
      </c>
      <c r="D16" s="549">
        <v>2016</v>
      </c>
      <c r="E16" s="549" t="s">
        <v>775</v>
      </c>
      <c r="F16" s="550">
        <v>80</v>
      </c>
      <c r="G16" s="550">
        <v>0</v>
      </c>
      <c r="H16" s="550">
        <v>0</v>
      </c>
      <c r="I16" s="550">
        <v>0</v>
      </c>
      <c r="J16" s="550">
        <v>53</v>
      </c>
      <c r="K16" s="550">
        <v>0</v>
      </c>
      <c r="L16" s="550">
        <v>0</v>
      </c>
      <c r="M16" s="550">
        <v>0</v>
      </c>
      <c r="N16" s="550">
        <v>57</v>
      </c>
      <c r="O16" s="550">
        <v>0</v>
      </c>
      <c r="P16" s="550">
        <v>145</v>
      </c>
      <c r="Q16" s="550">
        <v>186</v>
      </c>
      <c r="R16" s="551" t="str">
        <f t="shared" si="0"/>
        <v>ALBANY</v>
      </c>
      <c r="S16" s="552"/>
      <c r="T16" s="552"/>
      <c r="U16" s="552"/>
      <c r="V16" s="552"/>
      <c r="W16" s="552"/>
      <c r="X16" s="552"/>
      <c r="Y16" s="552"/>
      <c r="Z16" s="552"/>
      <c r="AA16" s="553"/>
      <c r="AB16" s="553"/>
    </row>
    <row r="17" spans="1:28" ht="12.75">
      <c r="A17" s="547" t="s">
        <v>234</v>
      </c>
      <c r="B17" s="547" t="s">
        <v>125</v>
      </c>
      <c r="C17" s="548" t="s">
        <v>774</v>
      </c>
      <c r="D17" s="549">
        <v>2017</v>
      </c>
      <c r="E17" s="549" t="s">
        <v>775</v>
      </c>
      <c r="F17" s="550">
        <v>80</v>
      </c>
      <c r="G17" s="550">
        <v>0</v>
      </c>
      <c r="H17" s="550">
        <v>0</v>
      </c>
      <c r="I17" s="550">
        <v>0</v>
      </c>
      <c r="J17" s="550">
        <v>53</v>
      </c>
      <c r="K17" s="550">
        <v>0</v>
      </c>
      <c r="L17" s="550">
        <v>0</v>
      </c>
      <c r="M17" s="550">
        <v>0</v>
      </c>
      <c r="N17" s="550">
        <v>57</v>
      </c>
      <c r="O17" s="550">
        <v>4</v>
      </c>
      <c r="P17" s="550">
        <v>145</v>
      </c>
      <c r="Q17" s="550">
        <v>8</v>
      </c>
      <c r="R17" s="551" t="str">
        <f t="shared" si="0"/>
        <v>ALBANY</v>
      </c>
      <c r="S17" s="552"/>
      <c r="T17" s="552"/>
      <c r="U17" s="552"/>
      <c r="V17" s="552"/>
      <c r="W17" s="552"/>
      <c r="X17" s="552"/>
      <c r="Y17" s="552"/>
      <c r="Z17" s="552"/>
      <c r="AA17" s="553"/>
      <c r="AB17" s="553"/>
    </row>
    <row r="18" spans="1:28" ht="12.75">
      <c r="A18" s="547" t="s">
        <v>234</v>
      </c>
      <c r="B18" s="547" t="s">
        <v>125</v>
      </c>
      <c r="C18" s="548" t="s">
        <v>774</v>
      </c>
      <c r="D18" s="549">
        <v>2018</v>
      </c>
      <c r="E18" s="549" t="s">
        <v>775</v>
      </c>
      <c r="F18" s="550">
        <v>80</v>
      </c>
      <c r="G18" s="550">
        <v>0</v>
      </c>
      <c r="H18" s="550">
        <v>0</v>
      </c>
      <c r="I18" s="550">
        <v>0</v>
      </c>
      <c r="J18" s="550">
        <v>53</v>
      </c>
      <c r="K18" s="550">
        <v>0</v>
      </c>
      <c r="L18" s="550">
        <v>0</v>
      </c>
      <c r="M18" s="550">
        <v>0</v>
      </c>
      <c r="N18" s="550">
        <v>57</v>
      </c>
      <c r="O18" s="550">
        <v>17</v>
      </c>
      <c r="P18" s="550">
        <v>145</v>
      </c>
      <c r="Q18" s="550">
        <v>0</v>
      </c>
      <c r="R18" s="551" t="str">
        <f t="shared" si="0"/>
        <v>ALBANY</v>
      </c>
      <c r="S18" s="552"/>
      <c r="T18" s="552"/>
      <c r="U18" s="552"/>
      <c r="V18" s="552"/>
      <c r="W18" s="552"/>
      <c r="X18" s="552"/>
      <c r="Y18" s="552"/>
      <c r="Z18" s="552"/>
      <c r="AA18" s="553"/>
      <c r="AB18" s="553"/>
    </row>
    <row r="19" spans="1:28" ht="12.75">
      <c r="A19" s="547" t="s">
        <v>234</v>
      </c>
      <c r="B19" s="547" t="s">
        <v>125</v>
      </c>
      <c r="C19" s="548" t="s">
        <v>782</v>
      </c>
      <c r="D19" s="549">
        <v>2019</v>
      </c>
      <c r="E19" s="549" t="s">
        <v>775</v>
      </c>
      <c r="F19" s="550">
        <v>80</v>
      </c>
      <c r="G19" s="550">
        <v>0</v>
      </c>
      <c r="H19" s="550">
        <v>0</v>
      </c>
      <c r="I19" s="550">
        <v>0</v>
      </c>
      <c r="J19" s="550">
        <v>53</v>
      </c>
      <c r="K19" s="550">
        <v>0</v>
      </c>
      <c r="L19" s="550">
        <v>0</v>
      </c>
      <c r="M19" s="550">
        <v>0</v>
      </c>
      <c r="N19" s="550">
        <v>57</v>
      </c>
      <c r="O19" s="550">
        <v>12</v>
      </c>
      <c r="P19" s="550">
        <v>145</v>
      </c>
      <c r="Q19" s="550">
        <v>7</v>
      </c>
      <c r="R19" s="551" t="str">
        <f t="shared" si="0"/>
        <v>ALBANY</v>
      </c>
      <c r="S19" s="552">
        <f>SUM(G16:G19) +SUM(K16:K19)</f>
        <v>0</v>
      </c>
      <c r="T19" s="552">
        <f>F19+J19</f>
        <v>133</v>
      </c>
      <c r="U19" s="552">
        <f>SUM(O16:O19)</f>
        <v>33</v>
      </c>
      <c r="V19" s="552">
        <f>N19</f>
        <v>57</v>
      </c>
      <c r="W19" s="554">
        <f>SUM(Q16:Q19)</f>
        <v>201</v>
      </c>
      <c r="X19" s="552">
        <f>P19</f>
        <v>145</v>
      </c>
      <c r="Y19" s="552">
        <f>S19+U19+SUM(Q16:Q19)</f>
        <v>234</v>
      </c>
      <c r="Z19" s="552">
        <f>F19+J19+N19+P19</f>
        <v>335</v>
      </c>
      <c r="AA19" s="553"/>
      <c r="AB19" s="553"/>
    </row>
    <row r="20" spans="1:28" ht="12.75">
      <c r="A20" s="547" t="s">
        <v>235</v>
      </c>
      <c r="B20" s="547" t="s">
        <v>125</v>
      </c>
      <c r="C20" s="548" t="s">
        <v>774</v>
      </c>
      <c r="D20" s="549">
        <v>2015</v>
      </c>
      <c r="E20" s="549" t="s">
        <v>775</v>
      </c>
      <c r="F20" s="550">
        <v>532</v>
      </c>
      <c r="G20" s="550">
        <v>59</v>
      </c>
      <c r="H20" s="550">
        <v>59</v>
      </c>
      <c r="I20" s="550">
        <v>0</v>
      </c>
      <c r="J20" s="550">
        <v>442</v>
      </c>
      <c r="K20" s="550">
        <v>17</v>
      </c>
      <c r="L20" s="550">
        <v>17</v>
      </c>
      <c r="M20" s="550">
        <v>0</v>
      </c>
      <c r="N20" s="550">
        <v>584</v>
      </c>
      <c r="O20" s="550">
        <v>132</v>
      </c>
      <c r="P20" s="550">
        <v>1401</v>
      </c>
      <c r="Q20" s="550">
        <v>326</v>
      </c>
      <c r="R20" s="551" t="str">
        <f t="shared" si="0"/>
        <v>BERKELEY</v>
      </c>
      <c r="S20" s="552"/>
      <c r="T20" s="552"/>
      <c r="U20" s="552"/>
      <c r="V20" s="552"/>
      <c r="W20" s="552"/>
      <c r="X20" s="552"/>
      <c r="Y20" s="552"/>
      <c r="Z20" s="552"/>
      <c r="AA20" s="553"/>
      <c r="AB20" s="553"/>
    </row>
    <row r="21" spans="1:28" ht="12.75">
      <c r="A21" s="547" t="s">
        <v>235</v>
      </c>
      <c r="B21" s="547" t="s">
        <v>125</v>
      </c>
      <c r="C21" s="548" t="s">
        <v>774</v>
      </c>
      <c r="D21" s="549">
        <v>2016</v>
      </c>
      <c r="E21" s="549" t="s">
        <v>775</v>
      </c>
      <c r="F21" s="550">
        <v>532</v>
      </c>
      <c r="G21" s="550">
        <v>16</v>
      </c>
      <c r="H21" s="550">
        <v>16</v>
      </c>
      <c r="I21" s="550">
        <v>0</v>
      </c>
      <c r="J21" s="550">
        <v>442</v>
      </c>
      <c r="K21" s="550">
        <v>0</v>
      </c>
      <c r="L21" s="550">
        <v>0</v>
      </c>
      <c r="M21" s="550">
        <v>0</v>
      </c>
      <c r="N21" s="550">
        <v>584</v>
      </c>
      <c r="O21" s="550">
        <v>0</v>
      </c>
      <c r="P21" s="550">
        <v>1401</v>
      </c>
      <c r="Q21" s="550">
        <v>212</v>
      </c>
      <c r="R21" s="551" t="str">
        <f t="shared" si="0"/>
        <v>BERKELEY</v>
      </c>
      <c r="S21" s="552"/>
      <c r="T21" s="552"/>
      <c r="U21" s="552"/>
      <c r="V21" s="552"/>
      <c r="W21" s="552"/>
      <c r="X21" s="552"/>
      <c r="Y21" s="552"/>
      <c r="Z21" s="552"/>
      <c r="AA21" s="553"/>
      <c r="AB21" s="553"/>
    </row>
    <row r="22" spans="1:28" ht="12.75">
      <c r="A22" s="547" t="s">
        <v>235</v>
      </c>
      <c r="B22" s="547" t="s">
        <v>125</v>
      </c>
      <c r="C22" s="548" t="s">
        <v>774</v>
      </c>
      <c r="D22" s="549">
        <v>2017</v>
      </c>
      <c r="E22" s="549" t="s">
        <v>775</v>
      </c>
      <c r="F22" s="550">
        <v>532</v>
      </c>
      <c r="G22" s="550">
        <v>10</v>
      </c>
      <c r="H22" s="550">
        <v>10</v>
      </c>
      <c r="I22" s="550">
        <v>0</v>
      </c>
      <c r="J22" s="550">
        <v>442</v>
      </c>
      <c r="K22" s="550">
        <v>0</v>
      </c>
      <c r="L22" s="550">
        <v>0</v>
      </c>
      <c r="M22" s="550">
        <v>0</v>
      </c>
      <c r="N22" s="550">
        <v>584</v>
      </c>
      <c r="O22" s="550">
        <v>0</v>
      </c>
      <c r="P22" s="550">
        <v>1401</v>
      </c>
      <c r="Q22" s="550">
        <v>262</v>
      </c>
      <c r="R22" s="551" t="str">
        <f t="shared" si="0"/>
        <v>BERKELEY</v>
      </c>
      <c r="S22" s="552"/>
      <c r="T22" s="552"/>
      <c r="U22" s="552"/>
      <c r="V22" s="552"/>
      <c r="W22" s="552"/>
      <c r="X22" s="552"/>
      <c r="Y22" s="552"/>
      <c r="Z22" s="552"/>
      <c r="AA22" s="553"/>
      <c r="AB22" s="553"/>
    </row>
    <row r="23" spans="1:28" ht="12.75">
      <c r="A23" s="547" t="s">
        <v>235</v>
      </c>
      <c r="B23" s="547" t="s">
        <v>125</v>
      </c>
      <c r="C23" s="548" t="s">
        <v>774</v>
      </c>
      <c r="D23" s="549">
        <v>2018</v>
      </c>
      <c r="E23" s="549" t="s">
        <v>775</v>
      </c>
      <c r="F23" s="550">
        <v>532</v>
      </c>
      <c r="G23" s="550">
        <v>1</v>
      </c>
      <c r="H23" s="550">
        <v>1</v>
      </c>
      <c r="I23" s="550">
        <v>0</v>
      </c>
      <c r="J23" s="550">
        <v>442</v>
      </c>
      <c r="K23" s="550">
        <v>0</v>
      </c>
      <c r="L23" s="550">
        <v>0</v>
      </c>
      <c r="M23" s="550">
        <v>0</v>
      </c>
      <c r="N23" s="550">
        <v>584</v>
      </c>
      <c r="O23" s="550">
        <v>0</v>
      </c>
      <c r="P23" s="550">
        <v>1401</v>
      </c>
      <c r="Q23" s="550">
        <v>332</v>
      </c>
      <c r="R23" s="551" t="str">
        <f t="shared" si="0"/>
        <v>BERKELEY</v>
      </c>
      <c r="S23" s="552"/>
      <c r="T23" s="552"/>
      <c r="U23" s="552"/>
      <c r="V23" s="552"/>
      <c r="W23" s="552"/>
      <c r="X23" s="552"/>
      <c r="Y23" s="552"/>
      <c r="Z23" s="552"/>
      <c r="AA23" s="553"/>
      <c r="AB23" s="553"/>
    </row>
    <row r="24" spans="1:28" ht="12.75">
      <c r="A24" s="547" t="s">
        <v>235</v>
      </c>
      <c r="B24" s="547" t="s">
        <v>125</v>
      </c>
      <c r="C24" s="548" t="s">
        <v>782</v>
      </c>
      <c r="D24" s="549">
        <v>2019</v>
      </c>
      <c r="E24" s="549" t="s">
        <v>775</v>
      </c>
      <c r="F24" s="550">
        <v>532</v>
      </c>
      <c r="G24" s="550">
        <v>11</v>
      </c>
      <c r="H24" s="550">
        <v>11</v>
      </c>
      <c r="I24" s="550">
        <v>0</v>
      </c>
      <c r="J24" s="550">
        <v>442</v>
      </c>
      <c r="K24" s="550">
        <v>0</v>
      </c>
      <c r="L24" s="550">
        <v>0</v>
      </c>
      <c r="M24" s="550">
        <v>0</v>
      </c>
      <c r="N24" s="550">
        <v>584</v>
      </c>
      <c r="O24" s="550">
        <v>0</v>
      </c>
      <c r="P24" s="550">
        <v>1401</v>
      </c>
      <c r="Q24" s="550">
        <v>233</v>
      </c>
      <c r="R24" s="551" t="str">
        <f t="shared" si="0"/>
        <v>BERKELEY</v>
      </c>
      <c r="S24" s="552">
        <f>SUM(G20:G24) +SUM(K20:K24)</f>
        <v>114</v>
      </c>
      <c r="T24" s="552">
        <f>F24+J24</f>
        <v>974</v>
      </c>
      <c r="U24" s="552">
        <f>SUM(O20:O24)</f>
        <v>132</v>
      </c>
      <c r="V24" s="552">
        <f>N24</f>
        <v>584</v>
      </c>
      <c r="W24" s="554">
        <f>SUM(Q20:Q24)</f>
        <v>1365</v>
      </c>
      <c r="X24" s="552">
        <f>P24</f>
        <v>1401</v>
      </c>
      <c r="Y24" s="552">
        <f>S24+U24+SUM(Q20:Q24)</f>
        <v>1611</v>
      </c>
      <c r="Z24" s="552">
        <f>F24+J24+N24+P24</f>
        <v>2959</v>
      </c>
      <c r="AA24" s="553"/>
      <c r="AB24" s="553"/>
    </row>
    <row r="25" spans="1:28" ht="12.75">
      <c r="A25" s="547" t="s">
        <v>236</v>
      </c>
      <c r="B25" s="547" t="s">
        <v>125</v>
      </c>
      <c r="C25" s="548" t="s">
        <v>774</v>
      </c>
      <c r="D25" s="549">
        <v>2015</v>
      </c>
      <c r="E25" s="549" t="s">
        <v>775</v>
      </c>
      <c r="F25" s="550">
        <v>796</v>
      </c>
      <c r="G25" s="550">
        <v>26</v>
      </c>
      <c r="H25" s="550">
        <v>26</v>
      </c>
      <c r="I25" s="550">
        <v>0</v>
      </c>
      <c r="J25" s="550">
        <v>446</v>
      </c>
      <c r="K25" s="550">
        <v>39</v>
      </c>
      <c r="L25" s="550">
        <v>39</v>
      </c>
      <c r="M25" s="550">
        <v>0</v>
      </c>
      <c r="N25" s="550">
        <v>425</v>
      </c>
      <c r="O25" s="550">
        <v>4</v>
      </c>
      <c r="P25" s="550">
        <v>618</v>
      </c>
      <c r="Q25" s="550">
        <v>839</v>
      </c>
      <c r="R25" s="551" t="str">
        <f t="shared" si="0"/>
        <v>DUBLIN</v>
      </c>
      <c r="S25" s="552"/>
      <c r="T25" s="552"/>
      <c r="U25" s="552"/>
      <c r="V25" s="552"/>
      <c r="W25" s="552"/>
      <c r="X25" s="552"/>
      <c r="Y25" s="552"/>
      <c r="Z25" s="552"/>
      <c r="AA25" s="553"/>
      <c r="AB25" s="553"/>
    </row>
    <row r="26" spans="1:28" ht="12.75">
      <c r="A26" s="547" t="s">
        <v>236</v>
      </c>
      <c r="B26" s="547" t="s">
        <v>125</v>
      </c>
      <c r="C26" s="548" t="s">
        <v>774</v>
      </c>
      <c r="D26" s="549">
        <v>2016</v>
      </c>
      <c r="E26" s="549" t="s">
        <v>775</v>
      </c>
      <c r="F26" s="550">
        <v>796</v>
      </c>
      <c r="G26" s="550">
        <v>0</v>
      </c>
      <c r="H26" s="550">
        <v>0</v>
      </c>
      <c r="I26" s="550">
        <v>0</v>
      </c>
      <c r="J26" s="550">
        <v>446</v>
      </c>
      <c r="K26" s="550">
        <v>0</v>
      </c>
      <c r="L26" s="550">
        <v>0</v>
      </c>
      <c r="M26" s="550">
        <v>0</v>
      </c>
      <c r="N26" s="550">
        <v>425</v>
      </c>
      <c r="O26" s="550">
        <v>2</v>
      </c>
      <c r="P26" s="550">
        <v>618</v>
      </c>
      <c r="Q26" s="550">
        <v>612</v>
      </c>
      <c r="R26" s="551" t="str">
        <f t="shared" si="0"/>
        <v>DUBLIN</v>
      </c>
      <c r="S26" s="552"/>
      <c r="T26" s="552"/>
      <c r="U26" s="552"/>
      <c r="V26" s="552"/>
      <c r="W26" s="552"/>
      <c r="X26" s="552"/>
      <c r="Y26" s="552"/>
      <c r="Z26" s="552"/>
      <c r="AA26" s="553"/>
      <c r="AB26" s="553"/>
    </row>
    <row r="27" spans="1:28" ht="12.75">
      <c r="A27" s="547" t="s">
        <v>236</v>
      </c>
      <c r="B27" s="547" t="s">
        <v>125</v>
      </c>
      <c r="C27" s="548" t="s">
        <v>774</v>
      </c>
      <c r="D27" s="549">
        <v>2017</v>
      </c>
      <c r="E27" s="549" t="s">
        <v>775</v>
      </c>
      <c r="F27" s="550">
        <v>796</v>
      </c>
      <c r="G27" s="550">
        <v>0</v>
      </c>
      <c r="H27" s="550">
        <v>0</v>
      </c>
      <c r="I27" s="550">
        <v>0</v>
      </c>
      <c r="J27" s="550">
        <v>446</v>
      </c>
      <c r="K27" s="550">
        <v>0</v>
      </c>
      <c r="L27" s="550">
        <v>0</v>
      </c>
      <c r="M27" s="550">
        <v>0</v>
      </c>
      <c r="N27" s="550">
        <v>425</v>
      </c>
      <c r="O27" s="550">
        <v>8</v>
      </c>
      <c r="P27" s="550">
        <v>618</v>
      </c>
      <c r="Q27" s="550">
        <v>1187</v>
      </c>
      <c r="R27" s="551" t="str">
        <f t="shared" si="0"/>
        <v>DUBLIN</v>
      </c>
      <c r="S27" s="552"/>
      <c r="T27" s="552"/>
      <c r="U27" s="552"/>
      <c r="V27" s="552"/>
      <c r="W27" s="552"/>
      <c r="X27" s="552"/>
      <c r="Y27" s="552"/>
      <c r="Z27" s="552"/>
      <c r="AA27" s="553"/>
      <c r="AB27" s="553"/>
    </row>
    <row r="28" spans="1:28" ht="12.75">
      <c r="A28" s="547" t="s">
        <v>236</v>
      </c>
      <c r="B28" s="547" t="s">
        <v>125</v>
      </c>
      <c r="C28" s="548" t="s">
        <v>774</v>
      </c>
      <c r="D28" s="549">
        <v>2018</v>
      </c>
      <c r="E28" s="549" t="s">
        <v>775</v>
      </c>
      <c r="F28" s="550">
        <v>796</v>
      </c>
      <c r="G28" s="550">
        <v>0</v>
      </c>
      <c r="H28" s="550">
        <v>0</v>
      </c>
      <c r="I28" s="550">
        <v>0</v>
      </c>
      <c r="J28" s="550">
        <v>446</v>
      </c>
      <c r="K28" s="550">
        <v>0</v>
      </c>
      <c r="L28" s="550">
        <v>0</v>
      </c>
      <c r="M28" s="550">
        <v>0</v>
      </c>
      <c r="N28" s="550">
        <v>425</v>
      </c>
      <c r="O28" s="550">
        <v>17</v>
      </c>
      <c r="P28" s="550">
        <v>618</v>
      </c>
      <c r="Q28" s="550">
        <v>770</v>
      </c>
      <c r="R28" s="551" t="str">
        <f t="shared" si="0"/>
        <v>DUBLIN</v>
      </c>
      <c r="S28" s="552"/>
      <c r="T28" s="552"/>
      <c r="U28" s="552"/>
      <c r="V28" s="552"/>
      <c r="W28" s="552"/>
      <c r="X28" s="552"/>
      <c r="Y28" s="552"/>
      <c r="Z28" s="552"/>
      <c r="AA28" s="553"/>
      <c r="AB28" s="553"/>
    </row>
    <row r="29" spans="1:28" ht="12.75">
      <c r="A29" s="547" t="s">
        <v>236</v>
      </c>
      <c r="B29" s="547" t="s">
        <v>125</v>
      </c>
      <c r="C29" s="548" t="s">
        <v>782</v>
      </c>
      <c r="D29" s="549">
        <v>2019</v>
      </c>
      <c r="E29" s="549" t="s">
        <v>775</v>
      </c>
      <c r="F29" s="550">
        <v>796</v>
      </c>
      <c r="G29" s="550">
        <v>0</v>
      </c>
      <c r="H29" s="550">
        <v>0</v>
      </c>
      <c r="I29" s="550">
        <v>0</v>
      </c>
      <c r="J29" s="550">
        <v>446</v>
      </c>
      <c r="K29" s="550">
        <v>0</v>
      </c>
      <c r="L29" s="550">
        <v>0</v>
      </c>
      <c r="M29" s="550">
        <v>0</v>
      </c>
      <c r="N29" s="550">
        <v>425</v>
      </c>
      <c r="O29" s="550">
        <v>8</v>
      </c>
      <c r="P29" s="550">
        <v>618</v>
      </c>
      <c r="Q29" s="550">
        <v>233</v>
      </c>
      <c r="R29" s="551" t="str">
        <f t="shared" si="0"/>
        <v>DUBLIN</v>
      </c>
      <c r="S29" s="552">
        <f>SUM(G25:G29) +SUM(K25:K29)</f>
        <v>65</v>
      </c>
      <c r="T29" s="552">
        <f>F29+J29</f>
        <v>1242</v>
      </c>
      <c r="U29" s="552">
        <f>SUM(O25:O29)</f>
        <v>39</v>
      </c>
      <c r="V29" s="552">
        <f>N29</f>
        <v>425</v>
      </c>
      <c r="W29" s="554">
        <f>SUM(Q25:Q29)</f>
        <v>3641</v>
      </c>
      <c r="X29" s="552">
        <f>P29</f>
        <v>618</v>
      </c>
      <c r="Y29" s="552">
        <f>S29+U29+SUM(Q25:Q29)</f>
        <v>3745</v>
      </c>
      <c r="Z29" s="552">
        <f>F29+J29+N29+P29</f>
        <v>2285</v>
      </c>
      <c r="AA29" s="553"/>
      <c r="AB29" s="553"/>
    </row>
    <row r="30" spans="1:28" ht="12.75">
      <c r="A30" s="547" t="s">
        <v>237</v>
      </c>
      <c r="B30" s="547" t="s">
        <v>125</v>
      </c>
      <c r="C30" s="548" t="s">
        <v>774</v>
      </c>
      <c r="D30" s="549">
        <v>2015</v>
      </c>
      <c r="E30" s="549" t="s">
        <v>775</v>
      </c>
      <c r="F30" s="550">
        <v>276</v>
      </c>
      <c r="G30" s="550">
        <v>5</v>
      </c>
      <c r="H30" s="550">
        <v>5</v>
      </c>
      <c r="I30" s="550">
        <v>0</v>
      </c>
      <c r="J30" s="550">
        <v>211</v>
      </c>
      <c r="K30" s="550">
        <v>0</v>
      </c>
      <c r="L30" s="550">
        <v>0</v>
      </c>
      <c r="M30" s="550">
        <v>0</v>
      </c>
      <c r="N30" s="550">
        <v>259</v>
      </c>
      <c r="O30" s="550">
        <v>7</v>
      </c>
      <c r="P30" s="550">
        <v>752</v>
      </c>
      <c r="Q30" s="550">
        <v>178</v>
      </c>
      <c r="R30" s="551" t="str">
        <f t="shared" si="0"/>
        <v>EMERYVILLE</v>
      </c>
      <c r="S30" s="552"/>
      <c r="T30" s="552"/>
      <c r="U30" s="552"/>
      <c r="V30" s="552"/>
      <c r="W30" s="552"/>
      <c r="X30" s="552"/>
      <c r="Y30" s="552"/>
      <c r="Z30" s="552"/>
      <c r="AA30" s="553"/>
      <c r="AB30" s="553"/>
    </row>
    <row r="31" spans="1:28" ht="12.75">
      <c r="A31" s="547" t="s">
        <v>237</v>
      </c>
      <c r="B31" s="547" t="s">
        <v>125</v>
      </c>
      <c r="C31" s="548" t="s">
        <v>774</v>
      </c>
      <c r="D31" s="549">
        <v>2016</v>
      </c>
      <c r="E31" s="549" t="s">
        <v>775</v>
      </c>
      <c r="F31" s="550">
        <v>276</v>
      </c>
      <c r="G31" s="550">
        <v>0</v>
      </c>
      <c r="H31" s="550">
        <v>0</v>
      </c>
      <c r="I31" s="550">
        <v>0</v>
      </c>
      <c r="J31" s="550">
        <v>211</v>
      </c>
      <c r="K31" s="550">
        <v>0</v>
      </c>
      <c r="L31" s="550">
        <v>0</v>
      </c>
      <c r="M31" s="550">
        <v>0</v>
      </c>
      <c r="N31" s="550">
        <v>259</v>
      </c>
      <c r="O31" s="550">
        <v>0</v>
      </c>
      <c r="P31" s="550">
        <v>752</v>
      </c>
      <c r="Q31" s="550">
        <v>1</v>
      </c>
      <c r="R31" s="551" t="str">
        <f t="shared" si="0"/>
        <v>EMERYVILLE</v>
      </c>
      <c r="S31" s="552"/>
      <c r="T31" s="552"/>
      <c r="U31" s="552"/>
      <c r="V31" s="552"/>
      <c r="W31" s="552"/>
      <c r="X31" s="552"/>
      <c r="Y31" s="552"/>
      <c r="Z31" s="552"/>
      <c r="AA31" s="553"/>
      <c r="AB31" s="553"/>
    </row>
    <row r="32" spans="1:28" ht="12.75">
      <c r="A32" s="547" t="s">
        <v>237</v>
      </c>
      <c r="B32" s="547" t="s">
        <v>125</v>
      </c>
      <c r="C32" s="548" t="s">
        <v>774</v>
      </c>
      <c r="D32" s="549">
        <v>2017</v>
      </c>
      <c r="E32" s="549" t="s">
        <v>775</v>
      </c>
      <c r="F32" s="550">
        <v>276</v>
      </c>
      <c r="G32" s="550">
        <v>81</v>
      </c>
      <c r="H32" s="550">
        <v>81</v>
      </c>
      <c r="I32" s="550">
        <v>0</v>
      </c>
      <c r="J32" s="550">
        <v>211</v>
      </c>
      <c r="K32" s="550">
        <v>16</v>
      </c>
      <c r="L32" s="550">
        <v>16</v>
      </c>
      <c r="M32" s="550">
        <v>0</v>
      </c>
      <c r="N32" s="550">
        <v>259</v>
      </c>
      <c r="O32" s="550">
        <v>14</v>
      </c>
      <c r="P32" s="550">
        <v>752</v>
      </c>
      <c r="Q32" s="550">
        <v>201</v>
      </c>
      <c r="R32" s="551" t="str">
        <f t="shared" si="0"/>
        <v>EMERYVILLE</v>
      </c>
      <c r="S32" s="552"/>
      <c r="T32" s="552"/>
      <c r="U32" s="552"/>
      <c r="V32" s="552"/>
      <c r="W32" s="552"/>
      <c r="X32" s="552"/>
      <c r="Y32" s="552"/>
      <c r="Z32" s="552"/>
      <c r="AA32" s="553"/>
      <c r="AB32" s="553"/>
    </row>
    <row r="33" spans="1:28" ht="12.75">
      <c r="A33" s="547" t="s">
        <v>237</v>
      </c>
      <c r="B33" s="547" t="s">
        <v>125</v>
      </c>
      <c r="C33" s="548" t="s">
        <v>774</v>
      </c>
      <c r="D33" s="549">
        <v>2018</v>
      </c>
      <c r="E33" s="549" t="s">
        <v>775</v>
      </c>
      <c r="F33" s="550">
        <v>276</v>
      </c>
      <c r="G33" s="550">
        <v>1</v>
      </c>
      <c r="H33" s="550">
        <v>1</v>
      </c>
      <c r="I33" s="550">
        <v>0</v>
      </c>
      <c r="J33" s="550">
        <v>211</v>
      </c>
      <c r="K33" s="550">
        <v>3</v>
      </c>
      <c r="L33" s="550">
        <v>3</v>
      </c>
      <c r="M33" s="550">
        <v>0</v>
      </c>
      <c r="N33" s="550">
        <v>259</v>
      </c>
      <c r="O33" s="550">
        <v>4</v>
      </c>
      <c r="P33" s="550">
        <v>752</v>
      </c>
      <c r="Q33" s="550">
        <v>70</v>
      </c>
      <c r="R33" s="551" t="str">
        <f t="shared" si="0"/>
        <v>EMERYVILLE</v>
      </c>
      <c r="S33" s="552"/>
      <c r="T33" s="552"/>
      <c r="U33" s="552"/>
      <c r="V33" s="552"/>
      <c r="W33" s="552"/>
      <c r="X33" s="552"/>
      <c r="Y33" s="552"/>
      <c r="Z33" s="552"/>
      <c r="AA33" s="553"/>
      <c r="AB33" s="553"/>
    </row>
    <row r="34" spans="1:28" ht="12.75">
      <c r="A34" s="547" t="s">
        <v>237</v>
      </c>
      <c r="B34" s="547" t="s">
        <v>125</v>
      </c>
      <c r="C34" s="548" t="s">
        <v>782</v>
      </c>
      <c r="D34" s="549">
        <v>2019</v>
      </c>
      <c r="E34" s="549" t="s">
        <v>775</v>
      </c>
      <c r="F34" s="550">
        <v>276</v>
      </c>
      <c r="G34" s="550">
        <v>0</v>
      </c>
      <c r="H34" s="550">
        <v>0</v>
      </c>
      <c r="I34" s="550">
        <v>0</v>
      </c>
      <c r="J34" s="550">
        <v>211</v>
      </c>
      <c r="K34" s="550">
        <v>0</v>
      </c>
      <c r="L34" s="550">
        <v>0</v>
      </c>
      <c r="M34" s="550">
        <v>0</v>
      </c>
      <c r="N34" s="550">
        <v>259</v>
      </c>
      <c r="O34" s="550">
        <v>0</v>
      </c>
      <c r="P34" s="550">
        <v>752</v>
      </c>
      <c r="Q34" s="550">
        <v>0</v>
      </c>
      <c r="R34" s="551" t="str">
        <f t="shared" si="0"/>
        <v>EMERYVILLE</v>
      </c>
      <c r="S34" s="552">
        <f>SUM(G30:G34) +SUM(K30:K34)</f>
        <v>106</v>
      </c>
      <c r="T34" s="552">
        <f>F34+J34</f>
        <v>487</v>
      </c>
      <c r="U34" s="552">
        <f>SUM(O30:O34)</f>
        <v>25</v>
      </c>
      <c r="V34" s="552">
        <f>N34</f>
        <v>259</v>
      </c>
      <c r="W34" s="554">
        <f>SUM(Q30:Q34)</f>
        <v>450</v>
      </c>
      <c r="X34" s="552">
        <f>P34</f>
        <v>752</v>
      </c>
      <c r="Y34" s="552">
        <f>S34+U34+SUM(Q30:Q34)</f>
        <v>581</v>
      </c>
      <c r="Z34" s="552">
        <f>F34+J34+N34+P34</f>
        <v>1498</v>
      </c>
      <c r="AA34" s="553"/>
      <c r="AB34" s="553"/>
    </row>
    <row r="35" spans="1:28" ht="12.75">
      <c r="A35" s="547" t="s">
        <v>238</v>
      </c>
      <c r="B35" s="547" t="s">
        <v>125</v>
      </c>
      <c r="C35" s="548" t="s">
        <v>774</v>
      </c>
      <c r="D35" s="549">
        <v>2014</v>
      </c>
      <c r="E35" s="549" t="s">
        <v>775</v>
      </c>
      <c r="F35" s="550">
        <v>1714</v>
      </c>
      <c r="G35" s="550">
        <v>0</v>
      </c>
      <c r="H35" s="550">
        <v>0</v>
      </c>
      <c r="I35" s="550">
        <v>0</v>
      </c>
      <c r="J35" s="550">
        <v>926</v>
      </c>
      <c r="K35" s="550">
        <v>0</v>
      </c>
      <c r="L35" s="550">
        <v>0</v>
      </c>
      <c r="M35" s="550">
        <v>0</v>
      </c>
      <c r="N35" s="550">
        <v>978</v>
      </c>
      <c r="O35" s="550">
        <v>0</v>
      </c>
      <c r="P35" s="550">
        <v>1837</v>
      </c>
      <c r="Q35" s="550">
        <v>137</v>
      </c>
      <c r="R35" s="551" t="str">
        <f t="shared" si="0"/>
        <v>FREMONT</v>
      </c>
      <c r="S35" s="552"/>
      <c r="T35" s="552"/>
      <c r="U35" s="552"/>
      <c r="V35" s="552"/>
      <c r="W35" s="552"/>
      <c r="X35" s="552"/>
      <c r="Y35" s="552"/>
      <c r="Z35" s="552"/>
      <c r="AA35" s="553"/>
      <c r="AB35" s="553"/>
    </row>
    <row r="36" spans="1:28" ht="12.75">
      <c r="A36" s="547" t="s">
        <v>238</v>
      </c>
      <c r="B36" s="547" t="s">
        <v>125</v>
      </c>
      <c r="C36" s="548" t="s">
        <v>774</v>
      </c>
      <c r="D36" s="549">
        <v>2015</v>
      </c>
      <c r="E36" s="549" t="s">
        <v>775</v>
      </c>
      <c r="F36" s="550">
        <v>1714</v>
      </c>
      <c r="G36" s="550">
        <v>64</v>
      </c>
      <c r="H36" s="550">
        <v>64</v>
      </c>
      <c r="I36" s="550">
        <v>0</v>
      </c>
      <c r="J36" s="550">
        <v>926</v>
      </c>
      <c r="K36" s="550">
        <v>0</v>
      </c>
      <c r="L36" s="550">
        <v>0</v>
      </c>
      <c r="M36" s="550">
        <v>0</v>
      </c>
      <c r="N36" s="550">
        <v>978</v>
      </c>
      <c r="O36" s="550">
        <v>0</v>
      </c>
      <c r="P36" s="550">
        <v>1837</v>
      </c>
      <c r="Q36" s="550">
        <v>383</v>
      </c>
      <c r="R36" s="551" t="str">
        <f t="shared" si="0"/>
        <v>FREMONT</v>
      </c>
      <c r="S36" s="552"/>
      <c r="T36" s="552"/>
      <c r="U36" s="552"/>
      <c r="V36" s="552"/>
      <c r="W36" s="552"/>
      <c r="X36" s="552"/>
      <c r="Y36" s="552"/>
      <c r="Z36" s="552"/>
      <c r="AA36" s="553"/>
      <c r="AB36" s="553"/>
    </row>
    <row r="37" spans="1:28" ht="12.75">
      <c r="A37" s="547" t="s">
        <v>238</v>
      </c>
      <c r="B37" s="547" t="s">
        <v>125</v>
      </c>
      <c r="C37" s="548" t="s">
        <v>774</v>
      </c>
      <c r="D37" s="549">
        <v>2016</v>
      </c>
      <c r="E37" s="549" t="s">
        <v>775</v>
      </c>
      <c r="F37" s="550">
        <v>1714</v>
      </c>
      <c r="G37" s="550">
        <v>2</v>
      </c>
      <c r="H37" s="550">
        <v>2</v>
      </c>
      <c r="I37" s="550">
        <v>0</v>
      </c>
      <c r="J37" s="550">
        <v>926</v>
      </c>
      <c r="K37" s="550">
        <v>0</v>
      </c>
      <c r="L37" s="550">
        <v>0</v>
      </c>
      <c r="M37" s="550">
        <v>0</v>
      </c>
      <c r="N37" s="550">
        <v>978</v>
      </c>
      <c r="O37" s="550">
        <v>0</v>
      </c>
      <c r="P37" s="550">
        <v>1837</v>
      </c>
      <c r="Q37" s="550">
        <v>452</v>
      </c>
      <c r="R37" s="551" t="str">
        <f t="shared" si="0"/>
        <v>FREMONT</v>
      </c>
      <c r="S37" s="552"/>
      <c r="T37" s="552"/>
      <c r="U37" s="552"/>
      <c r="V37" s="552"/>
      <c r="W37" s="552"/>
      <c r="X37" s="552"/>
      <c r="Y37" s="552"/>
      <c r="Z37" s="552"/>
      <c r="AA37" s="553"/>
      <c r="AB37" s="553"/>
    </row>
    <row r="38" spans="1:28" ht="12.75">
      <c r="A38" s="547" t="s">
        <v>238</v>
      </c>
      <c r="B38" s="547" t="s">
        <v>125</v>
      </c>
      <c r="C38" s="548" t="s">
        <v>774</v>
      </c>
      <c r="D38" s="549">
        <v>2017</v>
      </c>
      <c r="E38" s="549" t="s">
        <v>775</v>
      </c>
      <c r="F38" s="550">
        <v>1714</v>
      </c>
      <c r="G38" s="550">
        <v>217</v>
      </c>
      <c r="H38" s="550">
        <v>217</v>
      </c>
      <c r="I38" s="550">
        <v>0</v>
      </c>
      <c r="J38" s="550">
        <v>926</v>
      </c>
      <c r="K38" s="550">
        <v>249</v>
      </c>
      <c r="L38" s="550">
        <v>249</v>
      </c>
      <c r="M38" s="550">
        <v>0</v>
      </c>
      <c r="N38" s="550">
        <v>978</v>
      </c>
      <c r="O38" s="550">
        <v>0</v>
      </c>
      <c r="P38" s="550">
        <v>1837</v>
      </c>
      <c r="Q38" s="550">
        <v>1601</v>
      </c>
      <c r="R38" s="551" t="str">
        <f t="shared" si="0"/>
        <v>FREMONT</v>
      </c>
      <c r="S38" s="552"/>
      <c r="T38" s="552"/>
      <c r="U38" s="552"/>
      <c r="V38" s="552"/>
      <c r="W38" s="552"/>
      <c r="X38" s="552"/>
      <c r="Y38" s="552"/>
      <c r="Z38" s="552"/>
      <c r="AA38" s="553"/>
      <c r="AB38" s="553"/>
    </row>
    <row r="39" spans="1:28" ht="12.75">
      <c r="A39" s="547" t="s">
        <v>238</v>
      </c>
      <c r="B39" s="547" t="s">
        <v>125</v>
      </c>
      <c r="C39" s="548" t="s">
        <v>774</v>
      </c>
      <c r="D39" s="549">
        <v>2018</v>
      </c>
      <c r="E39" s="549" t="s">
        <v>775</v>
      </c>
      <c r="F39" s="550">
        <v>1714</v>
      </c>
      <c r="G39" s="550">
        <v>34</v>
      </c>
      <c r="H39" s="550">
        <v>34</v>
      </c>
      <c r="I39" s="550">
        <v>0</v>
      </c>
      <c r="J39" s="550">
        <v>926</v>
      </c>
      <c r="K39" s="550">
        <v>68</v>
      </c>
      <c r="L39" s="550">
        <v>68</v>
      </c>
      <c r="M39" s="550">
        <v>0</v>
      </c>
      <c r="N39" s="550">
        <v>978</v>
      </c>
      <c r="O39" s="550">
        <v>19</v>
      </c>
      <c r="P39" s="550">
        <v>1837</v>
      </c>
      <c r="Q39" s="550">
        <v>1742</v>
      </c>
      <c r="R39" s="551" t="str">
        <f t="shared" si="0"/>
        <v>FREMONT</v>
      </c>
      <c r="S39" s="552"/>
      <c r="T39" s="552"/>
      <c r="U39" s="552"/>
      <c r="V39" s="552"/>
      <c r="W39" s="552"/>
      <c r="X39" s="552"/>
      <c r="Y39" s="552"/>
      <c r="Z39" s="552"/>
      <c r="AA39" s="553"/>
      <c r="AB39" s="553"/>
    </row>
    <row r="40" spans="1:28" ht="12.75">
      <c r="A40" s="547" t="s">
        <v>238</v>
      </c>
      <c r="B40" s="547" t="s">
        <v>125</v>
      </c>
      <c r="C40" s="548" t="s">
        <v>782</v>
      </c>
      <c r="D40" s="549">
        <v>2019</v>
      </c>
      <c r="E40" s="549" t="s">
        <v>775</v>
      </c>
      <c r="F40" s="550">
        <v>1714</v>
      </c>
      <c r="G40" s="550">
        <v>78</v>
      </c>
      <c r="H40" s="550">
        <v>78</v>
      </c>
      <c r="I40" s="550">
        <v>0</v>
      </c>
      <c r="J40" s="550">
        <v>926</v>
      </c>
      <c r="K40" s="550">
        <v>52</v>
      </c>
      <c r="L40" s="550">
        <v>52</v>
      </c>
      <c r="M40" s="550">
        <v>0</v>
      </c>
      <c r="N40" s="550">
        <v>978</v>
      </c>
      <c r="O40" s="550">
        <v>2</v>
      </c>
      <c r="P40" s="550">
        <v>1837</v>
      </c>
      <c r="Q40" s="550">
        <v>955</v>
      </c>
      <c r="R40" s="551" t="str">
        <f t="shared" si="0"/>
        <v>FREMONT</v>
      </c>
      <c r="S40" s="552">
        <f>SUM(G35:G40) +SUM(K35:K40)</f>
        <v>764</v>
      </c>
      <c r="T40" s="552">
        <f>F40+J40</f>
        <v>2640</v>
      </c>
      <c r="U40" s="552">
        <f>SUM(O35:O40)</f>
        <v>21</v>
      </c>
      <c r="V40" s="552">
        <f>N40</f>
        <v>978</v>
      </c>
      <c r="W40" s="554">
        <f>SUM(Q35:Q40)</f>
        <v>5270</v>
      </c>
      <c r="X40" s="552">
        <f>P40</f>
        <v>1837</v>
      </c>
      <c r="Y40" s="552">
        <f>S40+U40+SUM(Q35:Q40)</f>
        <v>6055</v>
      </c>
      <c r="Z40" s="552">
        <f>F40+J40+N40+P40</f>
        <v>5455</v>
      </c>
      <c r="AA40" s="553"/>
      <c r="AB40" s="553"/>
    </row>
    <row r="41" spans="1:28" ht="12.75">
      <c r="A41" s="547" t="s">
        <v>239</v>
      </c>
      <c r="B41" s="547" t="s">
        <v>125</v>
      </c>
      <c r="C41" s="548" t="s">
        <v>774</v>
      </c>
      <c r="D41" s="549">
        <v>2015</v>
      </c>
      <c r="E41" s="549" t="s">
        <v>775</v>
      </c>
      <c r="F41" s="550">
        <v>851</v>
      </c>
      <c r="G41" s="550">
        <v>0</v>
      </c>
      <c r="H41" s="550">
        <v>0</v>
      </c>
      <c r="I41" s="550">
        <v>0</v>
      </c>
      <c r="J41" s="550">
        <v>480</v>
      </c>
      <c r="K41" s="550">
        <v>0</v>
      </c>
      <c r="L41" s="550">
        <v>0</v>
      </c>
      <c r="M41" s="550">
        <v>0</v>
      </c>
      <c r="N41" s="550">
        <v>608</v>
      </c>
      <c r="O41" s="550">
        <v>0</v>
      </c>
      <c r="P41" s="550">
        <v>1981</v>
      </c>
      <c r="Q41" s="550">
        <v>108</v>
      </c>
      <c r="R41" s="551" t="str">
        <f t="shared" si="0"/>
        <v>HAYWARD</v>
      </c>
      <c r="S41" s="552"/>
      <c r="T41" s="552"/>
      <c r="U41" s="552"/>
      <c r="V41" s="552"/>
      <c r="W41" s="552"/>
      <c r="X41" s="552"/>
      <c r="Y41" s="552"/>
      <c r="Z41" s="552"/>
      <c r="AA41" s="553"/>
      <c r="AB41" s="553"/>
    </row>
    <row r="42" spans="1:28" ht="12.75">
      <c r="A42" s="547" t="s">
        <v>239</v>
      </c>
      <c r="B42" s="547" t="s">
        <v>125</v>
      </c>
      <c r="C42" s="548" t="s">
        <v>774</v>
      </c>
      <c r="D42" s="549">
        <v>2016</v>
      </c>
      <c r="E42" s="549" t="s">
        <v>775</v>
      </c>
      <c r="F42" s="550">
        <v>851</v>
      </c>
      <c r="G42" s="550">
        <v>0</v>
      </c>
      <c r="H42" s="550">
        <v>0</v>
      </c>
      <c r="I42" s="550">
        <v>0</v>
      </c>
      <c r="J42" s="550">
        <v>480</v>
      </c>
      <c r="K42" s="550">
        <v>0</v>
      </c>
      <c r="L42" s="550">
        <v>0</v>
      </c>
      <c r="M42" s="550">
        <v>0</v>
      </c>
      <c r="N42" s="550">
        <v>608</v>
      </c>
      <c r="O42" s="550">
        <v>0</v>
      </c>
      <c r="P42" s="550">
        <v>1981</v>
      </c>
      <c r="Q42" s="550">
        <v>225</v>
      </c>
      <c r="R42" s="551" t="str">
        <f t="shared" si="0"/>
        <v>HAYWARD</v>
      </c>
      <c r="S42" s="552"/>
      <c r="T42" s="552"/>
      <c r="U42" s="552"/>
      <c r="V42" s="552"/>
      <c r="W42" s="552"/>
      <c r="X42" s="552"/>
      <c r="Y42" s="552"/>
      <c r="Z42" s="552"/>
      <c r="AA42" s="553"/>
      <c r="AB42" s="553"/>
    </row>
    <row r="43" spans="1:28" ht="12.75">
      <c r="A43" s="547" t="s">
        <v>239</v>
      </c>
      <c r="B43" s="547" t="s">
        <v>125</v>
      </c>
      <c r="C43" s="548" t="s">
        <v>774</v>
      </c>
      <c r="D43" s="549">
        <v>2017</v>
      </c>
      <c r="E43" s="549" t="s">
        <v>775</v>
      </c>
      <c r="F43" s="550">
        <v>851</v>
      </c>
      <c r="G43" s="550">
        <v>40</v>
      </c>
      <c r="H43" s="550">
        <v>40</v>
      </c>
      <c r="I43" s="550">
        <v>0</v>
      </c>
      <c r="J43" s="550">
        <v>480</v>
      </c>
      <c r="K43" s="550">
        <v>19</v>
      </c>
      <c r="L43" s="550">
        <v>19</v>
      </c>
      <c r="M43" s="550">
        <v>0</v>
      </c>
      <c r="N43" s="550">
        <v>608</v>
      </c>
      <c r="O43" s="550">
        <v>0</v>
      </c>
      <c r="P43" s="550">
        <v>1981</v>
      </c>
      <c r="Q43" s="550">
        <v>395</v>
      </c>
      <c r="R43" s="551" t="str">
        <f t="shared" si="0"/>
        <v>HAYWARD</v>
      </c>
      <c r="S43" s="552"/>
      <c r="T43" s="552"/>
      <c r="U43" s="552"/>
      <c r="V43" s="552"/>
      <c r="W43" s="552"/>
      <c r="X43" s="552"/>
      <c r="Y43" s="552"/>
      <c r="Z43" s="552"/>
      <c r="AA43" s="553"/>
      <c r="AB43" s="553"/>
    </row>
    <row r="44" spans="1:28" ht="12.75">
      <c r="A44" s="547" t="s">
        <v>239</v>
      </c>
      <c r="B44" s="547" t="s">
        <v>125</v>
      </c>
      <c r="C44" s="548" t="s">
        <v>774</v>
      </c>
      <c r="D44" s="549">
        <v>2018</v>
      </c>
      <c r="E44" s="549" t="s">
        <v>775</v>
      </c>
      <c r="F44" s="550">
        <v>851</v>
      </c>
      <c r="G44" s="550">
        <v>0</v>
      </c>
      <c r="H44" s="550">
        <v>0</v>
      </c>
      <c r="I44" s="550">
        <v>0</v>
      </c>
      <c r="J44" s="550">
        <v>480</v>
      </c>
      <c r="K44" s="550">
        <v>0</v>
      </c>
      <c r="L44" s="550">
        <v>0</v>
      </c>
      <c r="M44" s="550">
        <v>0</v>
      </c>
      <c r="N44" s="550">
        <v>608</v>
      </c>
      <c r="O44" s="550">
        <v>0</v>
      </c>
      <c r="P44" s="550">
        <v>1981</v>
      </c>
      <c r="Q44" s="550">
        <v>145</v>
      </c>
      <c r="R44" s="551" t="str">
        <f t="shared" si="0"/>
        <v>HAYWARD</v>
      </c>
      <c r="S44" s="552"/>
      <c r="T44" s="552"/>
      <c r="U44" s="552"/>
      <c r="V44" s="552"/>
      <c r="W44" s="552"/>
      <c r="X44" s="552"/>
      <c r="Y44" s="552"/>
      <c r="Z44" s="552"/>
      <c r="AA44" s="553"/>
      <c r="AB44" s="553"/>
    </row>
    <row r="45" spans="1:28" ht="12.75">
      <c r="A45" s="547" t="s">
        <v>239</v>
      </c>
      <c r="B45" s="547" t="s">
        <v>125</v>
      </c>
      <c r="C45" s="548" t="s">
        <v>782</v>
      </c>
      <c r="D45" s="549">
        <v>2019</v>
      </c>
      <c r="E45" s="549" t="s">
        <v>775</v>
      </c>
      <c r="F45" s="550">
        <v>851</v>
      </c>
      <c r="G45" s="550">
        <v>0</v>
      </c>
      <c r="H45" s="550">
        <v>0</v>
      </c>
      <c r="I45" s="550">
        <v>0</v>
      </c>
      <c r="J45" s="550">
        <v>480</v>
      </c>
      <c r="K45" s="550">
        <v>20</v>
      </c>
      <c r="L45" s="550">
        <v>20</v>
      </c>
      <c r="M45" s="550">
        <v>0</v>
      </c>
      <c r="N45" s="550">
        <v>608</v>
      </c>
      <c r="O45" s="550">
        <v>27</v>
      </c>
      <c r="P45" s="550">
        <v>1981</v>
      </c>
      <c r="Q45" s="550">
        <v>1029</v>
      </c>
      <c r="R45" s="551" t="str">
        <f t="shared" si="0"/>
        <v>HAYWARD</v>
      </c>
      <c r="S45" s="552">
        <f>SUM(G41:G45) +SUM(K41:K45)</f>
        <v>79</v>
      </c>
      <c r="T45" s="552">
        <f>F45+J45</f>
        <v>1331</v>
      </c>
      <c r="U45" s="552">
        <f>SUM(O41:O45)</f>
        <v>27</v>
      </c>
      <c r="V45" s="552">
        <f>N45</f>
        <v>608</v>
      </c>
      <c r="W45" s="554">
        <f>SUM(Q41:Q45)</f>
        <v>1902</v>
      </c>
      <c r="X45" s="552">
        <f>P45</f>
        <v>1981</v>
      </c>
      <c r="Y45" s="552">
        <f>S45+U45+SUM(Q41:Q45)</f>
        <v>2008</v>
      </c>
      <c r="Z45" s="552">
        <f>F45+J45+N45+P45</f>
        <v>3920</v>
      </c>
      <c r="AA45" s="553"/>
      <c r="AB45" s="553"/>
    </row>
    <row r="46" spans="1:28" ht="12.75">
      <c r="A46" s="547" t="s">
        <v>240</v>
      </c>
      <c r="B46" s="547" t="s">
        <v>125</v>
      </c>
      <c r="C46" s="548" t="s">
        <v>774</v>
      </c>
      <c r="D46" s="549">
        <v>2014</v>
      </c>
      <c r="E46" s="549" t="s">
        <v>775</v>
      </c>
      <c r="F46" s="550">
        <v>839</v>
      </c>
      <c r="G46" s="550">
        <v>0</v>
      </c>
      <c r="H46" s="550">
        <v>0</v>
      </c>
      <c r="I46" s="550">
        <v>0</v>
      </c>
      <c r="J46" s="550">
        <v>474</v>
      </c>
      <c r="K46" s="550">
        <v>1</v>
      </c>
      <c r="L46" s="550">
        <v>1</v>
      </c>
      <c r="M46" s="550">
        <v>0</v>
      </c>
      <c r="N46" s="550">
        <v>496</v>
      </c>
      <c r="O46" s="550">
        <v>15</v>
      </c>
      <c r="P46" s="550">
        <v>920</v>
      </c>
      <c r="Q46" s="550">
        <v>80</v>
      </c>
      <c r="R46" s="551" t="str">
        <f t="shared" si="0"/>
        <v>LIVERMORE</v>
      </c>
      <c r="S46" s="552"/>
      <c r="T46" s="552"/>
      <c r="U46" s="552"/>
      <c r="V46" s="552"/>
      <c r="W46" s="552"/>
      <c r="X46" s="552"/>
      <c r="Y46" s="552"/>
      <c r="Z46" s="552"/>
      <c r="AA46" s="553"/>
      <c r="AB46" s="553"/>
    </row>
    <row r="47" spans="1:28" ht="12.75">
      <c r="A47" s="547" t="s">
        <v>240</v>
      </c>
      <c r="B47" s="555" t="s">
        <v>125</v>
      </c>
      <c r="C47" s="548" t="s">
        <v>774</v>
      </c>
      <c r="D47" s="549">
        <v>2015</v>
      </c>
      <c r="E47" s="549" t="s">
        <v>775</v>
      </c>
      <c r="F47" s="550">
        <v>839</v>
      </c>
      <c r="G47" s="550">
        <v>0</v>
      </c>
      <c r="H47" s="550">
        <v>0</v>
      </c>
      <c r="I47" s="550">
        <v>0</v>
      </c>
      <c r="J47" s="550">
        <v>474</v>
      </c>
      <c r="K47" s="550">
        <v>2</v>
      </c>
      <c r="L47" s="550">
        <v>2</v>
      </c>
      <c r="M47" s="550">
        <v>0</v>
      </c>
      <c r="N47" s="550">
        <v>496</v>
      </c>
      <c r="O47" s="550">
        <v>14</v>
      </c>
      <c r="P47" s="550">
        <v>920</v>
      </c>
      <c r="Q47" s="550">
        <v>420</v>
      </c>
      <c r="R47" s="551" t="str">
        <f t="shared" si="0"/>
        <v>LIVERMORE</v>
      </c>
      <c r="S47" s="552"/>
      <c r="T47" s="552"/>
      <c r="U47" s="552"/>
      <c r="V47" s="552"/>
      <c r="W47" s="552"/>
      <c r="X47" s="552"/>
      <c r="Y47" s="552"/>
      <c r="Z47" s="552"/>
      <c r="AA47" s="553"/>
      <c r="AB47" s="553"/>
    </row>
    <row r="48" spans="1:28" ht="12.75">
      <c r="A48" s="547" t="s">
        <v>240</v>
      </c>
      <c r="B48" s="547" t="s">
        <v>125</v>
      </c>
      <c r="C48" s="548" t="s">
        <v>774</v>
      </c>
      <c r="D48" s="549">
        <v>2016</v>
      </c>
      <c r="E48" s="549" t="s">
        <v>775</v>
      </c>
      <c r="F48" s="550">
        <v>839</v>
      </c>
      <c r="G48" s="550">
        <v>0</v>
      </c>
      <c r="H48" s="550">
        <v>0</v>
      </c>
      <c r="I48" s="550">
        <v>0</v>
      </c>
      <c r="J48" s="550">
        <v>474</v>
      </c>
      <c r="K48" s="550">
        <v>16</v>
      </c>
      <c r="L48" s="550">
        <v>4</v>
      </c>
      <c r="M48" s="550">
        <v>12</v>
      </c>
      <c r="N48" s="550">
        <v>496</v>
      </c>
      <c r="O48" s="550">
        <v>395</v>
      </c>
      <c r="P48" s="550">
        <v>920</v>
      </c>
      <c r="Q48" s="550">
        <v>15</v>
      </c>
      <c r="R48" s="551" t="str">
        <f t="shared" si="0"/>
        <v>LIVERMORE</v>
      </c>
      <c r="S48" s="552"/>
      <c r="T48" s="552"/>
      <c r="U48" s="552"/>
      <c r="V48" s="552"/>
      <c r="W48" s="552"/>
      <c r="X48" s="552"/>
      <c r="Y48" s="552"/>
      <c r="Z48" s="552"/>
      <c r="AA48" s="553"/>
      <c r="AB48" s="553"/>
    </row>
    <row r="49" spans="1:28" ht="12.75">
      <c r="A49" s="547" t="s">
        <v>240</v>
      </c>
      <c r="B49" s="547" t="s">
        <v>125</v>
      </c>
      <c r="C49" s="548" t="s">
        <v>774</v>
      </c>
      <c r="D49" s="549">
        <v>2017</v>
      </c>
      <c r="E49" s="549" t="s">
        <v>775</v>
      </c>
      <c r="F49" s="550">
        <v>839</v>
      </c>
      <c r="G49" s="550">
        <v>52</v>
      </c>
      <c r="H49" s="550">
        <v>52</v>
      </c>
      <c r="I49" s="550">
        <v>0</v>
      </c>
      <c r="J49" s="550">
        <v>474</v>
      </c>
      <c r="K49" s="550">
        <v>24</v>
      </c>
      <c r="L49" s="550">
        <v>24</v>
      </c>
      <c r="M49" s="550">
        <v>0</v>
      </c>
      <c r="N49" s="550">
        <v>496</v>
      </c>
      <c r="O49" s="550">
        <v>15</v>
      </c>
      <c r="P49" s="550">
        <v>920</v>
      </c>
      <c r="Q49" s="550">
        <v>311</v>
      </c>
      <c r="R49" s="551" t="str">
        <f t="shared" si="0"/>
        <v>LIVERMORE</v>
      </c>
      <c r="S49" s="552"/>
      <c r="T49" s="552"/>
      <c r="U49" s="552"/>
      <c r="V49" s="552"/>
      <c r="W49" s="552"/>
      <c r="X49" s="552"/>
      <c r="Y49" s="552"/>
      <c r="Z49" s="552"/>
      <c r="AA49" s="553"/>
      <c r="AB49" s="553"/>
    </row>
    <row r="50" spans="1:28" ht="12.75">
      <c r="A50" s="547" t="s">
        <v>240</v>
      </c>
      <c r="B50" s="547" t="s">
        <v>125</v>
      </c>
      <c r="C50" s="548" t="s">
        <v>774</v>
      </c>
      <c r="D50" s="549">
        <v>2018</v>
      </c>
      <c r="E50" s="549" t="s">
        <v>775</v>
      </c>
      <c r="F50" s="550">
        <v>839</v>
      </c>
      <c r="G50" s="550">
        <v>34</v>
      </c>
      <c r="H50" s="550">
        <v>34</v>
      </c>
      <c r="I50" s="550">
        <v>0</v>
      </c>
      <c r="J50" s="550">
        <v>474</v>
      </c>
      <c r="K50" s="550">
        <v>10</v>
      </c>
      <c r="L50" s="550">
        <v>10</v>
      </c>
      <c r="M50" s="550">
        <v>0</v>
      </c>
      <c r="N50" s="550">
        <v>496</v>
      </c>
      <c r="O50" s="550">
        <v>26</v>
      </c>
      <c r="P50" s="550">
        <v>920</v>
      </c>
      <c r="Q50" s="550">
        <v>235</v>
      </c>
      <c r="R50" s="551" t="str">
        <f t="shared" si="0"/>
        <v>LIVERMORE</v>
      </c>
      <c r="S50" s="552"/>
      <c r="T50" s="552"/>
      <c r="U50" s="552"/>
      <c r="V50" s="552"/>
      <c r="W50" s="552"/>
      <c r="X50" s="552"/>
      <c r="Y50" s="552"/>
      <c r="Z50" s="552"/>
      <c r="AA50" s="553"/>
      <c r="AB50" s="553"/>
    </row>
    <row r="51" spans="1:28" ht="12.75">
      <c r="A51" s="547" t="s">
        <v>240</v>
      </c>
      <c r="B51" s="547" t="s">
        <v>125</v>
      </c>
      <c r="C51" s="548" t="s">
        <v>782</v>
      </c>
      <c r="D51" s="549">
        <v>2019</v>
      </c>
      <c r="E51" s="549" t="s">
        <v>775</v>
      </c>
      <c r="F51" s="550">
        <v>839</v>
      </c>
      <c r="G51" s="550">
        <v>42</v>
      </c>
      <c r="H51" s="550">
        <v>42</v>
      </c>
      <c r="I51" s="550">
        <v>0</v>
      </c>
      <c r="J51" s="550">
        <v>474</v>
      </c>
      <c r="K51" s="550">
        <v>1</v>
      </c>
      <c r="L51" s="550">
        <v>1</v>
      </c>
      <c r="M51" s="550">
        <v>0</v>
      </c>
      <c r="N51" s="550">
        <v>496</v>
      </c>
      <c r="O51" s="550">
        <v>38</v>
      </c>
      <c r="P51" s="550">
        <v>920</v>
      </c>
      <c r="Q51" s="550">
        <v>260</v>
      </c>
      <c r="R51" s="551" t="str">
        <f t="shared" si="0"/>
        <v>LIVERMORE</v>
      </c>
      <c r="S51" s="552">
        <f>SUM(G46:G51) +SUM(K46:K51)</f>
        <v>182</v>
      </c>
      <c r="T51" s="552">
        <f>F51+J51</f>
        <v>1313</v>
      </c>
      <c r="U51" s="552">
        <f>SUM(O46:O51)</f>
        <v>503</v>
      </c>
      <c r="V51" s="552">
        <f>N51</f>
        <v>496</v>
      </c>
      <c r="W51" s="554">
        <f>SUM(Q46:Q51)</f>
        <v>1321</v>
      </c>
      <c r="X51" s="552">
        <f>P51</f>
        <v>920</v>
      </c>
      <c r="Y51" s="552">
        <f>S51+U51+SUM(Q46:Q51)</f>
        <v>2006</v>
      </c>
      <c r="Z51" s="552">
        <f>F51+J51+N51+P51</f>
        <v>2729</v>
      </c>
      <c r="AA51" s="553"/>
      <c r="AB51" s="553"/>
    </row>
    <row r="52" spans="1:28" ht="12.75">
      <c r="A52" s="547" t="s">
        <v>241</v>
      </c>
      <c r="B52" s="547" t="s">
        <v>125</v>
      </c>
      <c r="C52" s="548" t="s">
        <v>774</v>
      </c>
      <c r="D52" s="549">
        <v>2014</v>
      </c>
      <c r="E52" s="549" t="s">
        <v>775</v>
      </c>
      <c r="F52" s="550">
        <v>330</v>
      </c>
      <c r="G52" s="550">
        <v>0</v>
      </c>
      <c r="H52" s="550">
        <v>0</v>
      </c>
      <c r="I52" s="550">
        <v>0</v>
      </c>
      <c r="J52" s="550">
        <v>167</v>
      </c>
      <c r="K52" s="550">
        <v>0</v>
      </c>
      <c r="L52" s="550">
        <v>0</v>
      </c>
      <c r="M52" s="550">
        <v>0</v>
      </c>
      <c r="N52" s="550">
        <v>158</v>
      </c>
      <c r="O52" s="550">
        <v>0</v>
      </c>
      <c r="P52" s="550">
        <v>423</v>
      </c>
      <c r="Q52" s="550">
        <v>14</v>
      </c>
      <c r="R52" s="551" t="str">
        <f t="shared" si="0"/>
        <v>NEWARK</v>
      </c>
      <c r="S52" s="552"/>
      <c r="T52" s="552"/>
      <c r="U52" s="552"/>
      <c r="V52" s="552"/>
      <c r="W52" s="552"/>
      <c r="X52" s="552"/>
      <c r="Y52" s="552"/>
      <c r="Z52" s="552"/>
      <c r="AA52" s="553"/>
      <c r="AB52" s="553"/>
    </row>
    <row r="53" spans="1:28" ht="12.75">
      <c r="A53" s="547" t="s">
        <v>241</v>
      </c>
      <c r="B53" s="547" t="s">
        <v>125</v>
      </c>
      <c r="C53" s="548" t="s">
        <v>774</v>
      </c>
      <c r="D53" s="549">
        <v>2015</v>
      </c>
      <c r="E53" s="549" t="s">
        <v>775</v>
      </c>
      <c r="F53" s="550">
        <v>330</v>
      </c>
      <c r="G53" s="550">
        <v>0</v>
      </c>
      <c r="H53" s="550">
        <v>0</v>
      </c>
      <c r="I53" s="550">
        <v>0</v>
      </c>
      <c r="J53" s="550">
        <v>167</v>
      </c>
      <c r="K53" s="550">
        <v>0</v>
      </c>
      <c r="L53" s="550">
        <v>0</v>
      </c>
      <c r="M53" s="550">
        <v>0</v>
      </c>
      <c r="N53" s="550">
        <v>158</v>
      </c>
      <c r="O53" s="550">
        <v>36</v>
      </c>
      <c r="P53" s="550">
        <v>423</v>
      </c>
      <c r="Q53" s="550">
        <v>40</v>
      </c>
      <c r="R53" s="551" t="str">
        <f t="shared" si="0"/>
        <v>NEWARK</v>
      </c>
      <c r="S53" s="552"/>
      <c r="T53" s="552"/>
      <c r="U53" s="552"/>
      <c r="V53" s="552"/>
      <c r="W53" s="552"/>
      <c r="X53" s="552"/>
      <c r="Y53" s="552"/>
      <c r="Z53" s="552"/>
      <c r="AA53" s="553"/>
      <c r="AB53" s="553"/>
    </row>
    <row r="54" spans="1:28" ht="12.75">
      <c r="A54" s="547" t="s">
        <v>241</v>
      </c>
      <c r="B54" s="547" t="s">
        <v>125</v>
      </c>
      <c r="C54" s="548" t="s">
        <v>774</v>
      </c>
      <c r="D54" s="549">
        <v>2016</v>
      </c>
      <c r="E54" s="549" t="s">
        <v>775</v>
      </c>
      <c r="F54" s="550">
        <v>330</v>
      </c>
      <c r="G54" s="550">
        <v>0</v>
      </c>
      <c r="H54" s="550">
        <v>0</v>
      </c>
      <c r="I54" s="550">
        <v>0</v>
      </c>
      <c r="J54" s="550">
        <v>167</v>
      </c>
      <c r="K54" s="550">
        <v>0</v>
      </c>
      <c r="L54" s="550">
        <v>0</v>
      </c>
      <c r="M54" s="550">
        <v>0</v>
      </c>
      <c r="N54" s="550">
        <v>158</v>
      </c>
      <c r="O54" s="550">
        <v>0</v>
      </c>
      <c r="P54" s="550">
        <v>423</v>
      </c>
      <c r="Q54" s="550">
        <v>0</v>
      </c>
      <c r="R54" s="551" t="str">
        <f t="shared" si="0"/>
        <v>NEWARK</v>
      </c>
      <c r="S54" s="552"/>
      <c r="T54" s="552"/>
      <c r="U54" s="552"/>
      <c r="V54" s="552"/>
      <c r="W54" s="552"/>
      <c r="X54" s="552"/>
      <c r="Y54" s="552"/>
      <c r="Z54" s="552"/>
      <c r="AA54" s="553"/>
      <c r="AB54" s="553"/>
    </row>
    <row r="55" spans="1:28" ht="12.75">
      <c r="A55" s="547" t="s">
        <v>241</v>
      </c>
      <c r="B55" s="547" t="s">
        <v>125</v>
      </c>
      <c r="C55" s="548" t="s">
        <v>774</v>
      </c>
      <c r="D55" s="549">
        <v>2017</v>
      </c>
      <c r="E55" s="549" t="s">
        <v>775</v>
      </c>
      <c r="F55" s="550">
        <v>330</v>
      </c>
      <c r="G55" s="550">
        <v>0</v>
      </c>
      <c r="H55" s="550">
        <v>0</v>
      </c>
      <c r="I55" s="550">
        <v>0</v>
      </c>
      <c r="J55" s="550">
        <v>167</v>
      </c>
      <c r="K55" s="550">
        <v>0</v>
      </c>
      <c r="L55" s="550">
        <v>0</v>
      </c>
      <c r="M55" s="550">
        <v>0</v>
      </c>
      <c r="N55" s="550">
        <v>158</v>
      </c>
      <c r="O55" s="550">
        <v>0</v>
      </c>
      <c r="P55" s="550">
        <v>423</v>
      </c>
      <c r="Q55" s="550">
        <v>0</v>
      </c>
      <c r="R55" s="551" t="str">
        <f t="shared" si="0"/>
        <v>NEWARK</v>
      </c>
      <c r="S55" s="552"/>
      <c r="T55" s="552"/>
      <c r="U55" s="552"/>
      <c r="V55" s="552"/>
      <c r="W55" s="552"/>
      <c r="X55" s="552"/>
      <c r="Y55" s="552"/>
      <c r="Z55" s="552"/>
      <c r="AA55" s="553"/>
      <c r="AB55" s="553"/>
    </row>
    <row r="56" spans="1:28" ht="12.75">
      <c r="A56" s="547" t="s">
        <v>241</v>
      </c>
      <c r="B56" s="547" t="s">
        <v>125</v>
      </c>
      <c r="C56" s="548" t="s">
        <v>774</v>
      </c>
      <c r="D56" s="549">
        <v>2018</v>
      </c>
      <c r="E56" s="549" t="s">
        <v>775</v>
      </c>
      <c r="F56" s="550">
        <v>330</v>
      </c>
      <c r="G56" s="550">
        <v>0</v>
      </c>
      <c r="H56" s="550">
        <v>0</v>
      </c>
      <c r="I56" s="550">
        <v>0</v>
      </c>
      <c r="J56" s="550">
        <v>167</v>
      </c>
      <c r="K56" s="550">
        <v>0</v>
      </c>
      <c r="L56" s="550">
        <v>0</v>
      </c>
      <c r="M56" s="550">
        <v>0</v>
      </c>
      <c r="N56" s="550">
        <v>158</v>
      </c>
      <c r="O56" s="550">
        <v>0</v>
      </c>
      <c r="P56" s="550">
        <v>423</v>
      </c>
      <c r="Q56" s="550">
        <v>460</v>
      </c>
      <c r="R56" s="551" t="str">
        <f t="shared" si="0"/>
        <v>NEWARK</v>
      </c>
      <c r="S56" s="552"/>
      <c r="T56" s="552"/>
      <c r="U56" s="552"/>
      <c r="V56" s="552"/>
      <c r="W56" s="552"/>
      <c r="X56" s="552"/>
      <c r="Y56" s="552"/>
      <c r="Z56" s="552"/>
      <c r="AA56" s="553"/>
      <c r="AB56" s="553"/>
    </row>
    <row r="57" spans="1:28" ht="12.75">
      <c r="A57" s="547" t="s">
        <v>241</v>
      </c>
      <c r="B57" s="547" t="s">
        <v>125</v>
      </c>
      <c r="C57" s="548" t="s">
        <v>782</v>
      </c>
      <c r="D57" s="549">
        <v>2019</v>
      </c>
      <c r="E57" s="549" t="s">
        <v>775</v>
      </c>
      <c r="F57" s="550">
        <v>330</v>
      </c>
      <c r="G57" s="550">
        <v>0</v>
      </c>
      <c r="H57" s="550">
        <v>0</v>
      </c>
      <c r="I57" s="550">
        <v>0</v>
      </c>
      <c r="J57" s="550">
        <v>167</v>
      </c>
      <c r="K57" s="550">
        <v>0</v>
      </c>
      <c r="L57" s="550">
        <v>0</v>
      </c>
      <c r="M57" s="550">
        <v>0</v>
      </c>
      <c r="N57" s="550">
        <v>158</v>
      </c>
      <c r="O57" s="550">
        <v>0</v>
      </c>
      <c r="P57" s="550">
        <v>423</v>
      </c>
      <c r="Q57" s="550">
        <v>279</v>
      </c>
      <c r="R57" s="551" t="str">
        <f t="shared" si="0"/>
        <v>NEWARK</v>
      </c>
      <c r="S57" s="552">
        <f>SUM(G52:G57) +SUM(K52:K57)</f>
        <v>0</v>
      </c>
      <c r="T57" s="552">
        <f>F57+J57</f>
        <v>497</v>
      </c>
      <c r="U57" s="552">
        <f>SUM(O52:O57)</f>
        <v>36</v>
      </c>
      <c r="V57" s="552">
        <f>N57</f>
        <v>158</v>
      </c>
      <c r="W57" s="554">
        <f>SUM(Q52:Q57)</f>
        <v>793</v>
      </c>
      <c r="X57" s="552">
        <f>P57</f>
        <v>423</v>
      </c>
      <c r="Y57" s="552">
        <f>S57+U57+SUM(Q52:Q57)</f>
        <v>829</v>
      </c>
      <c r="Z57" s="552">
        <f>F57+J57+N57+P57</f>
        <v>1078</v>
      </c>
      <c r="AA57" s="553"/>
      <c r="AB57" s="553"/>
    </row>
    <row r="58" spans="1:28" ht="12.75">
      <c r="A58" s="547" t="s">
        <v>242</v>
      </c>
      <c r="B58" s="547" t="s">
        <v>125</v>
      </c>
      <c r="C58" s="548" t="s">
        <v>774</v>
      </c>
      <c r="D58" s="549">
        <v>2015</v>
      </c>
      <c r="E58" s="549" t="s">
        <v>775</v>
      </c>
      <c r="F58" s="550">
        <v>2059</v>
      </c>
      <c r="G58" s="550">
        <v>98</v>
      </c>
      <c r="H58" s="550">
        <v>98</v>
      </c>
      <c r="I58" s="550">
        <v>0</v>
      </c>
      <c r="J58" s="550">
        <v>2075</v>
      </c>
      <c r="K58" s="550">
        <v>30</v>
      </c>
      <c r="L58" s="550">
        <v>30</v>
      </c>
      <c r="M58" s="550">
        <v>0</v>
      </c>
      <c r="N58" s="550">
        <v>2815</v>
      </c>
      <c r="O58" s="550">
        <v>0</v>
      </c>
      <c r="P58" s="550">
        <v>7816</v>
      </c>
      <c r="Q58" s="550">
        <v>643</v>
      </c>
      <c r="R58" s="551" t="str">
        <f t="shared" si="0"/>
        <v>OAKLAND</v>
      </c>
      <c r="S58" s="552"/>
      <c r="T58" s="552"/>
      <c r="U58" s="552"/>
      <c r="V58" s="552"/>
      <c r="W58" s="552"/>
      <c r="X58" s="552"/>
      <c r="Y58" s="552"/>
      <c r="Z58" s="552"/>
      <c r="AA58" s="553"/>
      <c r="AB58" s="553"/>
    </row>
    <row r="59" spans="1:28" ht="12.75">
      <c r="A59" s="547" t="s">
        <v>242</v>
      </c>
      <c r="B59" s="547" t="s">
        <v>125</v>
      </c>
      <c r="C59" s="548" t="s">
        <v>774</v>
      </c>
      <c r="D59" s="549">
        <v>2016</v>
      </c>
      <c r="E59" s="549" t="s">
        <v>775</v>
      </c>
      <c r="F59" s="550">
        <v>2059</v>
      </c>
      <c r="G59" s="550">
        <v>26</v>
      </c>
      <c r="H59" s="550">
        <v>26</v>
      </c>
      <c r="I59" s="550">
        <v>0</v>
      </c>
      <c r="J59" s="550">
        <v>2075</v>
      </c>
      <c r="K59" s="550">
        <v>13</v>
      </c>
      <c r="L59" s="550">
        <v>13</v>
      </c>
      <c r="M59" s="550">
        <v>0</v>
      </c>
      <c r="N59" s="550">
        <v>2815</v>
      </c>
      <c r="O59" s="550">
        <v>0</v>
      </c>
      <c r="P59" s="550">
        <v>7816</v>
      </c>
      <c r="Q59" s="550">
        <v>2082</v>
      </c>
      <c r="R59" s="551" t="str">
        <f t="shared" si="0"/>
        <v>OAKLAND</v>
      </c>
      <c r="S59" s="552"/>
      <c r="T59" s="552"/>
      <c r="U59" s="552"/>
      <c r="V59" s="552"/>
      <c r="W59" s="552"/>
      <c r="X59" s="552"/>
      <c r="Y59" s="552"/>
      <c r="Z59" s="552"/>
      <c r="AA59" s="553"/>
      <c r="AB59" s="553"/>
    </row>
    <row r="60" spans="1:28" ht="12.75">
      <c r="A60" s="547" t="s">
        <v>242</v>
      </c>
      <c r="B60" s="547" t="s">
        <v>125</v>
      </c>
      <c r="C60" s="548" t="s">
        <v>774</v>
      </c>
      <c r="D60" s="549">
        <v>2017</v>
      </c>
      <c r="E60" s="549" t="s">
        <v>775</v>
      </c>
      <c r="F60" s="550">
        <v>2059</v>
      </c>
      <c r="G60" s="550">
        <v>247</v>
      </c>
      <c r="H60" s="550">
        <v>247</v>
      </c>
      <c r="I60" s="550">
        <v>0</v>
      </c>
      <c r="J60" s="550">
        <v>2075</v>
      </c>
      <c r="K60" s="550">
        <v>66</v>
      </c>
      <c r="L60" s="550">
        <v>66</v>
      </c>
      <c r="M60" s="550">
        <v>0</v>
      </c>
      <c r="N60" s="550">
        <v>2815</v>
      </c>
      <c r="O60" s="550">
        <v>11</v>
      </c>
      <c r="P60" s="550">
        <v>7816</v>
      </c>
      <c r="Q60" s="550">
        <v>4019</v>
      </c>
      <c r="R60" s="551" t="str">
        <f t="shared" si="0"/>
        <v>OAKLAND</v>
      </c>
      <c r="S60" s="552"/>
      <c r="T60" s="552"/>
      <c r="U60" s="552"/>
      <c r="V60" s="552"/>
      <c r="W60" s="552"/>
      <c r="X60" s="552"/>
      <c r="Y60" s="552"/>
      <c r="Z60" s="552"/>
      <c r="AA60" s="553"/>
      <c r="AB60" s="553"/>
    </row>
    <row r="61" spans="1:28" ht="12.75">
      <c r="A61" s="547" t="s">
        <v>242</v>
      </c>
      <c r="B61" s="547" t="s">
        <v>125</v>
      </c>
      <c r="C61" s="548" t="s">
        <v>774</v>
      </c>
      <c r="D61" s="549">
        <v>2018</v>
      </c>
      <c r="E61" s="549" t="s">
        <v>775</v>
      </c>
      <c r="F61" s="550">
        <v>2059</v>
      </c>
      <c r="G61" s="550">
        <v>370</v>
      </c>
      <c r="H61" s="550">
        <v>370</v>
      </c>
      <c r="I61" s="550">
        <v>0</v>
      </c>
      <c r="J61" s="550">
        <v>2075</v>
      </c>
      <c r="K61" s="550">
        <v>403</v>
      </c>
      <c r="L61" s="550">
        <v>403</v>
      </c>
      <c r="M61" s="550">
        <v>0</v>
      </c>
      <c r="N61" s="550">
        <v>2815</v>
      </c>
      <c r="O61" s="550">
        <v>55</v>
      </c>
      <c r="P61" s="550">
        <v>7816</v>
      </c>
      <c r="Q61" s="550">
        <v>8878</v>
      </c>
      <c r="R61" s="551" t="str">
        <f t="shared" si="0"/>
        <v>OAKLAND</v>
      </c>
      <c r="S61" s="552"/>
      <c r="T61" s="552"/>
      <c r="U61" s="552"/>
      <c r="V61" s="552"/>
      <c r="W61" s="552"/>
      <c r="X61" s="552"/>
      <c r="Y61" s="552"/>
      <c r="Z61" s="552"/>
      <c r="AA61" s="553"/>
      <c r="AB61" s="553"/>
    </row>
    <row r="62" spans="1:28" ht="12.75">
      <c r="A62" s="547" t="s">
        <v>242</v>
      </c>
      <c r="B62" s="547" t="s">
        <v>125</v>
      </c>
      <c r="C62" s="548" t="s">
        <v>782</v>
      </c>
      <c r="D62" s="549">
        <v>2019</v>
      </c>
      <c r="E62" s="549" t="s">
        <v>775</v>
      </c>
      <c r="F62" s="550">
        <v>2059</v>
      </c>
      <c r="G62" s="550">
        <v>87</v>
      </c>
      <c r="H62" s="550">
        <v>87</v>
      </c>
      <c r="I62" s="550">
        <v>0</v>
      </c>
      <c r="J62" s="550">
        <v>2075</v>
      </c>
      <c r="K62" s="550">
        <v>19</v>
      </c>
      <c r="L62" s="550">
        <v>19</v>
      </c>
      <c r="M62" s="550">
        <v>0</v>
      </c>
      <c r="N62" s="550">
        <v>2815</v>
      </c>
      <c r="O62" s="550">
        <v>11</v>
      </c>
      <c r="P62" s="550">
        <v>7816</v>
      </c>
      <c r="Q62" s="550">
        <v>2111</v>
      </c>
      <c r="R62" s="551" t="str">
        <f t="shared" si="0"/>
        <v>OAKLAND</v>
      </c>
      <c r="S62" s="552">
        <f>SUM(G58:G62) +SUM(K58:K62)</f>
        <v>1359</v>
      </c>
      <c r="T62" s="552">
        <f>F62+J62</f>
        <v>4134</v>
      </c>
      <c r="U62" s="552">
        <f>SUM(O58:O62)</f>
        <v>77</v>
      </c>
      <c r="V62" s="552">
        <f>N62</f>
        <v>2815</v>
      </c>
      <c r="W62" s="554">
        <f>SUM(Q58:Q62)</f>
        <v>17733</v>
      </c>
      <c r="X62" s="552">
        <f>P62</f>
        <v>7816</v>
      </c>
      <c r="Y62" s="552">
        <f>S62+U62+SUM(Q58:Q62)</f>
        <v>19169</v>
      </c>
      <c r="Z62" s="552">
        <f>F62+J62+N62+P62</f>
        <v>14765</v>
      </c>
      <c r="AA62" s="553"/>
      <c r="AB62" s="553"/>
    </row>
    <row r="63" spans="1:28" ht="12.75">
      <c r="A63" s="547" t="s">
        <v>243</v>
      </c>
      <c r="B63" s="547" t="s">
        <v>125</v>
      </c>
      <c r="C63" s="548" t="s">
        <v>774</v>
      </c>
      <c r="D63" s="549">
        <v>2016</v>
      </c>
      <c r="E63" s="549" t="s">
        <v>775</v>
      </c>
      <c r="F63" s="550">
        <v>24</v>
      </c>
      <c r="G63" s="550">
        <v>2</v>
      </c>
      <c r="H63" s="550">
        <v>2</v>
      </c>
      <c r="I63" s="550">
        <v>0</v>
      </c>
      <c r="J63" s="550">
        <v>14</v>
      </c>
      <c r="K63" s="550">
        <v>0</v>
      </c>
      <c r="L63" s="550">
        <v>0</v>
      </c>
      <c r="M63" s="550">
        <v>0</v>
      </c>
      <c r="N63" s="550">
        <v>15</v>
      </c>
      <c r="O63" s="550">
        <v>0</v>
      </c>
      <c r="P63" s="550">
        <v>7</v>
      </c>
      <c r="Q63" s="550">
        <v>3</v>
      </c>
      <c r="R63" s="551" t="str">
        <f t="shared" si="0"/>
        <v>PIEDMONT</v>
      </c>
      <c r="S63" s="552"/>
      <c r="T63" s="552"/>
      <c r="U63" s="552"/>
      <c r="V63" s="552"/>
      <c r="W63" s="552"/>
      <c r="X63" s="552"/>
      <c r="Y63" s="552"/>
      <c r="Z63" s="552"/>
      <c r="AA63" s="553"/>
      <c r="AB63" s="553"/>
    </row>
    <row r="64" spans="1:28" ht="12.75">
      <c r="A64" s="547" t="s">
        <v>243</v>
      </c>
      <c r="B64" s="547" t="s">
        <v>125</v>
      </c>
      <c r="C64" s="548" t="s">
        <v>774</v>
      </c>
      <c r="D64" s="549">
        <v>2017</v>
      </c>
      <c r="E64" s="549" t="s">
        <v>775</v>
      </c>
      <c r="F64" s="550">
        <v>24</v>
      </c>
      <c r="G64" s="550">
        <v>1</v>
      </c>
      <c r="H64" s="550">
        <v>1</v>
      </c>
      <c r="I64" s="550">
        <v>0</v>
      </c>
      <c r="J64" s="550">
        <v>14</v>
      </c>
      <c r="K64" s="550">
        <v>2</v>
      </c>
      <c r="L64" s="550">
        <v>0</v>
      </c>
      <c r="M64" s="550">
        <v>2</v>
      </c>
      <c r="N64" s="550">
        <v>15</v>
      </c>
      <c r="O64" s="550">
        <v>3</v>
      </c>
      <c r="P64" s="550">
        <v>7</v>
      </c>
      <c r="Q64" s="550">
        <v>1</v>
      </c>
      <c r="R64" s="551" t="str">
        <f t="shared" si="0"/>
        <v>PIEDMONT</v>
      </c>
      <c r="S64" s="552"/>
      <c r="T64" s="552"/>
      <c r="U64" s="552"/>
      <c r="V64" s="552"/>
      <c r="W64" s="552"/>
      <c r="X64" s="552"/>
      <c r="Y64" s="552"/>
      <c r="Z64" s="552"/>
      <c r="AA64" s="553"/>
      <c r="AB64" s="553"/>
    </row>
    <row r="65" spans="1:28" ht="12.75">
      <c r="A65" s="547" t="s">
        <v>243</v>
      </c>
      <c r="B65" s="547" t="s">
        <v>125</v>
      </c>
      <c r="C65" s="548" t="s">
        <v>774</v>
      </c>
      <c r="D65" s="549">
        <v>2018</v>
      </c>
      <c r="E65" s="549" t="s">
        <v>775</v>
      </c>
      <c r="F65" s="550">
        <v>24</v>
      </c>
      <c r="G65" s="550">
        <v>0</v>
      </c>
      <c r="H65" s="550">
        <v>0</v>
      </c>
      <c r="I65" s="550">
        <v>0</v>
      </c>
      <c r="J65" s="550">
        <v>14</v>
      </c>
      <c r="K65" s="550">
        <v>4</v>
      </c>
      <c r="L65" s="550">
        <v>0</v>
      </c>
      <c r="M65" s="550">
        <v>4</v>
      </c>
      <c r="N65" s="550">
        <v>15</v>
      </c>
      <c r="O65" s="550">
        <v>2</v>
      </c>
      <c r="P65" s="550">
        <v>7</v>
      </c>
      <c r="Q65" s="550">
        <v>8</v>
      </c>
      <c r="R65" s="551" t="str">
        <f t="shared" si="0"/>
        <v>PIEDMONT</v>
      </c>
      <c r="S65" s="552"/>
      <c r="T65" s="552"/>
      <c r="U65" s="552"/>
      <c r="V65" s="552"/>
      <c r="W65" s="552"/>
      <c r="X65" s="552"/>
      <c r="Y65" s="552"/>
      <c r="Z65" s="552"/>
      <c r="AA65" s="553"/>
      <c r="AB65" s="553"/>
    </row>
    <row r="66" spans="1:28" ht="12.75">
      <c r="A66" s="547" t="s">
        <v>243</v>
      </c>
      <c r="B66" s="547" t="s">
        <v>125</v>
      </c>
      <c r="C66" s="548" t="s">
        <v>782</v>
      </c>
      <c r="D66" s="549">
        <v>2019</v>
      </c>
      <c r="E66" s="549" t="s">
        <v>775</v>
      </c>
      <c r="F66" s="550">
        <v>24</v>
      </c>
      <c r="G66" s="550">
        <v>2</v>
      </c>
      <c r="H66" s="550">
        <v>0</v>
      </c>
      <c r="I66" s="550">
        <v>2</v>
      </c>
      <c r="J66" s="550">
        <v>14</v>
      </c>
      <c r="K66" s="550">
        <v>2</v>
      </c>
      <c r="L66" s="550">
        <v>0</v>
      </c>
      <c r="M66" s="550">
        <v>2</v>
      </c>
      <c r="N66" s="550">
        <v>15</v>
      </c>
      <c r="O66" s="550">
        <v>4</v>
      </c>
      <c r="P66" s="550">
        <v>7</v>
      </c>
      <c r="Q66" s="550">
        <v>3</v>
      </c>
      <c r="R66" s="551" t="str">
        <f t="shared" si="0"/>
        <v>PIEDMONT</v>
      </c>
      <c r="S66" s="552">
        <f>SUM(G63:G66) +SUM(K63:K66)</f>
        <v>13</v>
      </c>
      <c r="T66" s="552">
        <f>F66+J66</f>
        <v>38</v>
      </c>
      <c r="U66" s="552">
        <f>SUM(O63:O66)</f>
        <v>9</v>
      </c>
      <c r="V66" s="552">
        <f>N66</f>
        <v>15</v>
      </c>
      <c r="W66" s="554">
        <f>SUM(Q63:Q66)</f>
        <v>15</v>
      </c>
      <c r="X66" s="552">
        <f>P66</f>
        <v>7</v>
      </c>
      <c r="Y66" s="552">
        <f>S66+U66+SUM(Q63:Q66)</f>
        <v>37</v>
      </c>
      <c r="Z66" s="552">
        <f>F66+J66+N66+P66</f>
        <v>60</v>
      </c>
      <c r="AA66" s="553"/>
      <c r="AB66" s="553"/>
    </row>
    <row r="67" spans="1:28" ht="12.75">
      <c r="A67" s="547" t="s">
        <v>244</v>
      </c>
      <c r="B67" s="547" t="s">
        <v>125</v>
      </c>
      <c r="C67" s="548" t="s">
        <v>774</v>
      </c>
      <c r="D67" s="549">
        <v>2014</v>
      </c>
      <c r="E67" s="549" t="s">
        <v>775</v>
      </c>
      <c r="F67" s="550">
        <v>716</v>
      </c>
      <c r="G67" s="550">
        <v>38</v>
      </c>
      <c r="H67" s="550">
        <v>38</v>
      </c>
      <c r="I67" s="550">
        <v>0</v>
      </c>
      <c r="J67" s="550">
        <v>391</v>
      </c>
      <c r="K67" s="550">
        <v>0</v>
      </c>
      <c r="L67" s="550">
        <v>0</v>
      </c>
      <c r="M67" s="550">
        <v>0</v>
      </c>
      <c r="N67" s="550">
        <v>407</v>
      </c>
      <c r="O67" s="550">
        <v>2</v>
      </c>
      <c r="P67" s="550">
        <v>553</v>
      </c>
      <c r="Q67" s="550">
        <v>283</v>
      </c>
      <c r="R67" s="551" t="str">
        <f t="shared" si="0"/>
        <v>PLEASANTON</v>
      </c>
      <c r="S67" s="552"/>
      <c r="T67" s="552"/>
      <c r="U67" s="552"/>
      <c r="V67" s="552"/>
      <c r="W67" s="552"/>
      <c r="X67" s="552"/>
      <c r="Y67" s="552"/>
      <c r="Z67" s="552"/>
      <c r="AA67" s="553"/>
      <c r="AB67" s="553"/>
    </row>
    <row r="68" spans="1:28" ht="12.75">
      <c r="A68" s="547" t="s">
        <v>244</v>
      </c>
      <c r="B68" s="547" t="s">
        <v>125</v>
      </c>
      <c r="C68" s="548" t="s">
        <v>774</v>
      </c>
      <c r="D68" s="549">
        <v>2015</v>
      </c>
      <c r="E68" s="549" t="s">
        <v>775</v>
      </c>
      <c r="F68" s="550">
        <v>716</v>
      </c>
      <c r="G68" s="550">
        <v>54</v>
      </c>
      <c r="H68" s="550">
        <v>54</v>
      </c>
      <c r="I68" s="550">
        <v>0</v>
      </c>
      <c r="J68" s="550">
        <v>391</v>
      </c>
      <c r="K68" s="550">
        <v>16</v>
      </c>
      <c r="L68" s="550">
        <v>16</v>
      </c>
      <c r="M68" s="550">
        <v>0</v>
      </c>
      <c r="N68" s="550">
        <v>407</v>
      </c>
      <c r="O68" s="550">
        <v>2</v>
      </c>
      <c r="P68" s="550">
        <v>553</v>
      </c>
      <c r="Q68" s="550">
        <v>819</v>
      </c>
      <c r="R68" s="551" t="str">
        <f t="shared" si="0"/>
        <v>PLEASANTON</v>
      </c>
      <c r="S68" s="552"/>
      <c r="T68" s="552"/>
      <c r="U68" s="552"/>
      <c r="V68" s="552"/>
      <c r="W68" s="552"/>
      <c r="X68" s="552"/>
      <c r="Y68" s="552"/>
      <c r="Z68" s="552"/>
      <c r="AA68" s="553"/>
      <c r="AB68" s="553"/>
    </row>
    <row r="69" spans="1:28" ht="12.75">
      <c r="A69" s="547" t="s">
        <v>244</v>
      </c>
      <c r="B69" s="547" t="s">
        <v>125</v>
      </c>
      <c r="C69" s="548" t="s">
        <v>774</v>
      </c>
      <c r="D69" s="549">
        <v>2016</v>
      </c>
      <c r="E69" s="549" t="s">
        <v>775</v>
      </c>
      <c r="F69" s="550">
        <v>716</v>
      </c>
      <c r="G69" s="550">
        <v>128</v>
      </c>
      <c r="H69" s="550">
        <v>128</v>
      </c>
      <c r="I69" s="550">
        <v>0</v>
      </c>
      <c r="J69" s="550">
        <v>391</v>
      </c>
      <c r="K69" s="550">
        <v>21</v>
      </c>
      <c r="L69" s="550">
        <v>21</v>
      </c>
      <c r="M69" s="550">
        <v>0</v>
      </c>
      <c r="N69" s="550">
        <v>407</v>
      </c>
      <c r="O69" s="550">
        <v>10</v>
      </c>
      <c r="P69" s="550">
        <v>553</v>
      </c>
      <c r="Q69" s="550">
        <v>228</v>
      </c>
      <c r="R69" s="551" t="str">
        <f t="shared" si="0"/>
        <v>PLEASANTON</v>
      </c>
      <c r="S69" s="552"/>
      <c r="T69" s="552"/>
      <c r="U69" s="552"/>
      <c r="V69" s="552"/>
      <c r="W69" s="552"/>
      <c r="X69" s="552"/>
      <c r="Y69" s="552"/>
      <c r="Z69" s="552"/>
      <c r="AA69" s="553"/>
      <c r="AB69" s="553"/>
    </row>
    <row r="70" spans="1:28" ht="12.75">
      <c r="A70" s="547" t="s">
        <v>244</v>
      </c>
      <c r="B70" s="547" t="s">
        <v>125</v>
      </c>
      <c r="C70" s="548" t="s">
        <v>774</v>
      </c>
      <c r="D70" s="549">
        <v>2017</v>
      </c>
      <c r="E70" s="549" t="s">
        <v>775</v>
      </c>
      <c r="F70" s="550">
        <v>716</v>
      </c>
      <c r="G70" s="550">
        <v>0</v>
      </c>
      <c r="H70" s="550">
        <v>0</v>
      </c>
      <c r="I70" s="550">
        <v>0</v>
      </c>
      <c r="J70" s="550">
        <v>391</v>
      </c>
      <c r="K70" s="550">
        <v>7</v>
      </c>
      <c r="L70" s="550">
        <v>6</v>
      </c>
      <c r="M70" s="550">
        <v>1</v>
      </c>
      <c r="N70" s="550">
        <v>407</v>
      </c>
      <c r="O70" s="550">
        <v>6</v>
      </c>
      <c r="P70" s="550">
        <v>553</v>
      </c>
      <c r="Q70" s="550">
        <v>102</v>
      </c>
      <c r="R70" s="551" t="str">
        <f t="shared" si="0"/>
        <v>PLEASANTON</v>
      </c>
      <c r="S70" s="552"/>
      <c r="T70" s="552"/>
      <c r="U70" s="552"/>
      <c r="V70" s="552"/>
      <c r="W70" s="552"/>
      <c r="X70" s="552"/>
      <c r="Y70" s="552"/>
      <c r="Z70" s="552"/>
      <c r="AA70" s="553"/>
      <c r="AB70" s="553"/>
    </row>
    <row r="71" spans="1:28" ht="12.75">
      <c r="A71" s="547" t="s">
        <v>244</v>
      </c>
      <c r="B71" s="547" t="s">
        <v>125</v>
      </c>
      <c r="C71" s="548" t="s">
        <v>774</v>
      </c>
      <c r="D71" s="549">
        <v>2018</v>
      </c>
      <c r="E71" s="549" t="s">
        <v>775</v>
      </c>
      <c r="F71" s="550">
        <v>716</v>
      </c>
      <c r="G71" s="550">
        <v>25</v>
      </c>
      <c r="H71" s="550">
        <v>25</v>
      </c>
      <c r="I71" s="550">
        <v>0</v>
      </c>
      <c r="J71" s="550">
        <v>391</v>
      </c>
      <c r="K71" s="550">
        <v>28</v>
      </c>
      <c r="L71" s="550">
        <v>28</v>
      </c>
      <c r="M71" s="550">
        <v>0</v>
      </c>
      <c r="N71" s="550">
        <v>407</v>
      </c>
      <c r="O71" s="550">
        <v>7</v>
      </c>
      <c r="P71" s="550">
        <v>553</v>
      </c>
      <c r="Q71" s="550">
        <v>38</v>
      </c>
      <c r="R71" s="551" t="str">
        <f t="shared" si="0"/>
        <v>PLEASANTON</v>
      </c>
      <c r="S71" s="552"/>
      <c r="T71" s="552"/>
      <c r="U71" s="552"/>
      <c r="V71" s="552"/>
      <c r="W71" s="552"/>
      <c r="X71" s="552"/>
      <c r="Y71" s="552"/>
      <c r="Z71" s="552"/>
      <c r="AA71" s="553"/>
      <c r="AB71" s="553"/>
    </row>
    <row r="72" spans="1:28" ht="12.75">
      <c r="A72" s="547" t="s">
        <v>244</v>
      </c>
      <c r="B72" s="547" t="s">
        <v>125</v>
      </c>
      <c r="C72" s="548" t="s">
        <v>782</v>
      </c>
      <c r="D72" s="549">
        <v>2019</v>
      </c>
      <c r="E72" s="549" t="s">
        <v>775</v>
      </c>
      <c r="F72" s="550">
        <v>716</v>
      </c>
      <c r="G72" s="550">
        <v>23</v>
      </c>
      <c r="H72" s="550">
        <v>23</v>
      </c>
      <c r="I72" s="550">
        <v>0</v>
      </c>
      <c r="J72" s="550">
        <v>391</v>
      </c>
      <c r="K72" s="550">
        <v>6</v>
      </c>
      <c r="L72" s="550">
        <v>6</v>
      </c>
      <c r="M72" s="550">
        <v>0</v>
      </c>
      <c r="N72" s="550">
        <v>407</v>
      </c>
      <c r="O72" s="550">
        <v>11</v>
      </c>
      <c r="P72" s="550">
        <v>553</v>
      </c>
      <c r="Q72" s="550">
        <v>87</v>
      </c>
      <c r="R72" s="551" t="str">
        <f t="shared" si="0"/>
        <v>PLEASANTON</v>
      </c>
      <c r="S72" s="552">
        <f>SUM(G67:G72) +SUM(K67:K72)</f>
        <v>346</v>
      </c>
      <c r="T72" s="552">
        <f>F72+J72</f>
        <v>1107</v>
      </c>
      <c r="U72" s="552">
        <f>SUM(O67:O72)</f>
        <v>38</v>
      </c>
      <c r="V72" s="552">
        <f>N72</f>
        <v>407</v>
      </c>
      <c r="W72" s="554">
        <f>SUM(Q67:Q72)</f>
        <v>1557</v>
      </c>
      <c r="X72" s="552">
        <f>P72</f>
        <v>553</v>
      </c>
      <c r="Y72" s="552">
        <f>S72+U72+SUM(Q67:Q72)</f>
        <v>1941</v>
      </c>
      <c r="Z72" s="552">
        <f>F72+J72+N72+P72</f>
        <v>2067</v>
      </c>
      <c r="AA72" s="553"/>
      <c r="AB72" s="553"/>
    </row>
    <row r="73" spans="1:28" ht="12.75">
      <c r="A73" s="547" t="s">
        <v>245</v>
      </c>
      <c r="B73" s="547" t="s">
        <v>125</v>
      </c>
      <c r="C73" s="548" t="s">
        <v>774</v>
      </c>
      <c r="D73" s="549">
        <v>2014</v>
      </c>
      <c r="E73" s="549" t="s">
        <v>775</v>
      </c>
      <c r="F73" s="550">
        <v>504</v>
      </c>
      <c r="G73" s="550">
        <v>0</v>
      </c>
      <c r="H73" s="550">
        <v>0</v>
      </c>
      <c r="I73" s="550">
        <v>0</v>
      </c>
      <c r="J73" s="550">
        <v>270</v>
      </c>
      <c r="K73" s="550">
        <v>0</v>
      </c>
      <c r="L73" s="550">
        <v>0</v>
      </c>
      <c r="M73" s="550">
        <v>0</v>
      </c>
      <c r="N73" s="550">
        <v>352</v>
      </c>
      <c r="O73" s="550">
        <v>0</v>
      </c>
      <c r="P73" s="550">
        <v>1161</v>
      </c>
      <c r="Q73" s="550">
        <v>0</v>
      </c>
      <c r="R73" s="551" t="str">
        <f t="shared" si="0"/>
        <v>SAN LEANDRO</v>
      </c>
      <c r="S73" s="552"/>
      <c r="T73" s="552"/>
      <c r="U73" s="552"/>
      <c r="V73" s="552"/>
      <c r="W73" s="552"/>
      <c r="X73" s="552"/>
      <c r="Y73" s="552"/>
      <c r="Z73" s="552"/>
      <c r="AA73" s="553"/>
      <c r="AB73" s="553"/>
    </row>
    <row r="74" spans="1:28" ht="12.75">
      <c r="A74" s="547" t="s">
        <v>245</v>
      </c>
      <c r="B74" s="547" t="s">
        <v>125</v>
      </c>
      <c r="C74" s="548" t="s">
        <v>774</v>
      </c>
      <c r="D74" s="549">
        <v>2015</v>
      </c>
      <c r="E74" s="549" t="s">
        <v>775</v>
      </c>
      <c r="F74" s="550">
        <v>504</v>
      </c>
      <c r="G74" s="550">
        <v>82</v>
      </c>
      <c r="H74" s="550">
        <v>82</v>
      </c>
      <c r="I74" s="550">
        <v>0</v>
      </c>
      <c r="J74" s="550">
        <v>270</v>
      </c>
      <c r="K74" s="550">
        <v>31</v>
      </c>
      <c r="L74" s="550">
        <v>31</v>
      </c>
      <c r="M74" s="550">
        <v>0</v>
      </c>
      <c r="N74" s="550">
        <v>352</v>
      </c>
      <c r="O74" s="550">
        <v>0</v>
      </c>
      <c r="P74" s="550">
        <v>1161</v>
      </c>
      <c r="Q74" s="550">
        <v>5</v>
      </c>
      <c r="R74" s="551" t="str">
        <f t="shared" si="0"/>
        <v>SAN LEANDRO</v>
      </c>
      <c r="S74" s="552"/>
      <c r="T74" s="552"/>
      <c r="U74" s="552"/>
      <c r="V74" s="552"/>
      <c r="W74" s="552"/>
      <c r="X74" s="552"/>
      <c r="Y74" s="552"/>
      <c r="Z74" s="552"/>
      <c r="AA74" s="553"/>
      <c r="AB74" s="553"/>
    </row>
    <row r="75" spans="1:28" ht="12.75">
      <c r="A75" s="547" t="s">
        <v>245</v>
      </c>
      <c r="B75" s="547" t="s">
        <v>125</v>
      </c>
      <c r="C75" s="548" t="s">
        <v>774</v>
      </c>
      <c r="D75" s="549">
        <v>2016</v>
      </c>
      <c r="E75" s="549" t="s">
        <v>775</v>
      </c>
      <c r="F75" s="550">
        <v>504</v>
      </c>
      <c r="G75" s="550">
        <v>0</v>
      </c>
      <c r="H75" s="550">
        <v>0</v>
      </c>
      <c r="I75" s="550">
        <v>0</v>
      </c>
      <c r="J75" s="550">
        <v>270</v>
      </c>
      <c r="K75" s="550">
        <v>0</v>
      </c>
      <c r="L75" s="550">
        <v>0</v>
      </c>
      <c r="M75" s="550">
        <v>0</v>
      </c>
      <c r="N75" s="550">
        <v>352</v>
      </c>
      <c r="O75" s="550">
        <v>0</v>
      </c>
      <c r="P75" s="550">
        <v>1161</v>
      </c>
      <c r="Q75" s="550">
        <v>3</v>
      </c>
      <c r="R75" s="551" t="str">
        <f t="shared" si="0"/>
        <v>SAN LEANDRO</v>
      </c>
      <c r="S75" s="552"/>
      <c r="T75" s="552"/>
      <c r="U75" s="552"/>
      <c r="V75" s="552"/>
      <c r="W75" s="552"/>
      <c r="X75" s="552"/>
      <c r="Y75" s="552"/>
      <c r="Z75" s="552"/>
      <c r="AA75" s="553"/>
      <c r="AB75" s="553"/>
    </row>
    <row r="76" spans="1:28" ht="12.75">
      <c r="A76" s="547" t="s">
        <v>245</v>
      </c>
      <c r="B76" s="547" t="s">
        <v>125</v>
      </c>
      <c r="C76" s="548" t="s">
        <v>774</v>
      </c>
      <c r="D76" s="549">
        <v>2017</v>
      </c>
      <c r="E76" s="549" t="s">
        <v>775</v>
      </c>
      <c r="F76" s="550">
        <v>504</v>
      </c>
      <c r="G76" s="550">
        <v>27</v>
      </c>
      <c r="H76" s="550">
        <v>27</v>
      </c>
      <c r="I76" s="550">
        <v>0</v>
      </c>
      <c r="J76" s="550">
        <v>270</v>
      </c>
      <c r="K76" s="550">
        <v>57</v>
      </c>
      <c r="L76" s="550">
        <v>57</v>
      </c>
      <c r="M76" s="550">
        <v>0</v>
      </c>
      <c r="N76" s="550">
        <v>352</v>
      </c>
      <c r="O76" s="550">
        <v>0</v>
      </c>
      <c r="P76" s="550">
        <v>1161</v>
      </c>
      <c r="Q76" s="550">
        <v>8</v>
      </c>
      <c r="R76" s="551" t="str">
        <f t="shared" si="0"/>
        <v>SAN LEANDRO</v>
      </c>
      <c r="S76" s="552"/>
      <c r="T76" s="552"/>
      <c r="U76" s="552"/>
      <c r="V76" s="552"/>
      <c r="W76" s="552"/>
      <c r="X76" s="552"/>
      <c r="Y76" s="552"/>
      <c r="Z76" s="552"/>
      <c r="AA76" s="553"/>
      <c r="AB76" s="553"/>
    </row>
    <row r="77" spans="1:28" ht="12.75">
      <c r="A77" s="547" t="s">
        <v>245</v>
      </c>
      <c r="B77" s="547" t="s">
        <v>125</v>
      </c>
      <c r="C77" s="548" t="s">
        <v>774</v>
      </c>
      <c r="D77" s="549">
        <v>2018</v>
      </c>
      <c r="E77" s="549" t="s">
        <v>775</v>
      </c>
      <c r="F77" s="550">
        <v>504</v>
      </c>
      <c r="G77" s="550">
        <v>0</v>
      </c>
      <c r="H77" s="550">
        <v>0</v>
      </c>
      <c r="I77" s="550">
        <v>0</v>
      </c>
      <c r="J77" s="550">
        <v>270</v>
      </c>
      <c r="K77" s="550">
        <v>0</v>
      </c>
      <c r="L77" s="550">
        <v>0</v>
      </c>
      <c r="M77" s="550">
        <v>0</v>
      </c>
      <c r="N77" s="550">
        <v>352</v>
      </c>
      <c r="O77" s="550">
        <v>0</v>
      </c>
      <c r="P77" s="550">
        <v>1161</v>
      </c>
      <c r="Q77" s="550">
        <v>7</v>
      </c>
      <c r="R77" s="551" t="str">
        <f t="shared" si="0"/>
        <v>SAN LEANDRO</v>
      </c>
      <c r="S77" s="552"/>
      <c r="T77" s="552"/>
      <c r="U77" s="552"/>
      <c r="V77" s="552"/>
      <c r="W77" s="552"/>
      <c r="X77" s="552"/>
      <c r="Y77" s="552"/>
      <c r="Z77" s="552"/>
      <c r="AA77" s="553"/>
      <c r="AB77" s="553"/>
    </row>
    <row r="78" spans="1:28" ht="12.75">
      <c r="A78" s="547" t="s">
        <v>245</v>
      </c>
      <c r="B78" s="547" t="s">
        <v>125</v>
      </c>
      <c r="C78" s="548" t="s">
        <v>782</v>
      </c>
      <c r="D78" s="549">
        <v>2019</v>
      </c>
      <c r="E78" s="549" t="s">
        <v>775</v>
      </c>
      <c r="F78" s="550">
        <v>504</v>
      </c>
      <c r="G78" s="550">
        <v>0</v>
      </c>
      <c r="H78" s="550">
        <v>0</v>
      </c>
      <c r="I78" s="550">
        <v>0</v>
      </c>
      <c r="J78" s="550">
        <v>270</v>
      </c>
      <c r="K78" s="550">
        <v>0</v>
      </c>
      <c r="L78" s="550">
        <v>0</v>
      </c>
      <c r="M78" s="550">
        <v>0</v>
      </c>
      <c r="N78" s="550">
        <v>352</v>
      </c>
      <c r="O78" s="550">
        <v>0</v>
      </c>
      <c r="P78" s="550">
        <v>1161</v>
      </c>
      <c r="Q78" s="550">
        <v>33</v>
      </c>
      <c r="R78" s="551" t="str">
        <f t="shared" si="0"/>
        <v>SAN LEANDRO</v>
      </c>
      <c r="S78" s="552">
        <f>SUM(G73:G78) +SUM(K73:K78)</f>
        <v>197</v>
      </c>
      <c r="T78" s="552">
        <f>F78+J78</f>
        <v>774</v>
      </c>
      <c r="U78" s="552">
        <f>SUM(O73:O78)</f>
        <v>0</v>
      </c>
      <c r="V78" s="552">
        <f>N78</f>
        <v>352</v>
      </c>
      <c r="W78" s="554">
        <f>SUM(Q73:Q78)</f>
        <v>56</v>
      </c>
      <c r="X78" s="552">
        <f>P78</f>
        <v>1161</v>
      </c>
      <c r="Y78" s="552">
        <f>S78+U78+SUM(Q73:Q78)</f>
        <v>253</v>
      </c>
      <c r="Z78" s="552">
        <f>F78+J78+N78+P78</f>
        <v>2287</v>
      </c>
      <c r="AA78" s="553"/>
      <c r="AB78" s="553"/>
    </row>
    <row r="79" spans="1:28" ht="12.75">
      <c r="A79" s="547" t="s">
        <v>246</v>
      </c>
      <c r="B79" s="547" t="s">
        <v>125</v>
      </c>
      <c r="C79" s="548" t="s">
        <v>774</v>
      </c>
      <c r="D79" s="549">
        <v>2014</v>
      </c>
      <c r="E79" s="549" t="s">
        <v>775</v>
      </c>
      <c r="F79" s="550">
        <v>317</v>
      </c>
      <c r="G79" s="550">
        <v>0</v>
      </c>
      <c r="H79" s="550">
        <v>0</v>
      </c>
      <c r="I79" s="550">
        <v>0</v>
      </c>
      <c r="J79" s="550">
        <v>180</v>
      </c>
      <c r="K79" s="550">
        <v>0</v>
      </c>
      <c r="L79" s="550">
        <v>0</v>
      </c>
      <c r="M79" s="550">
        <v>0</v>
      </c>
      <c r="N79" s="550">
        <v>192</v>
      </c>
      <c r="O79" s="550">
        <v>4</v>
      </c>
      <c r="P79" s="550">
        <v>417</v>
      </c>
      <c r="Q79" s="550">
        <v>2</v>
      </c>
      <c r="R79" s="551" t="str">
        <f t="shared" si="0"/>
        <v>UNION CITY</v>
      </c>
      <c r="S79" s="552"/>
      <c r="T79" s="552"/>
      <c r="U79" s="552"/>
      <c r="V79" s="552"/>
      <c r="W79" s="552"/>
      <c r="X79" s="552"/>
      <c r="Y79" s="552"/>
      <c r="Z79" s="552"/>
      <c r="AA79" s="553"/>
      <c r="AB79" s="553"/>
    </row>
    <row r="80" spans="1:28" ht="12.75">
      <c r="A80" s="547" t="s">
        <v>246</v>
      </c>
      <c r="B80" s="547" t="s">
        <v>125</v>
      </c>
      <c r="C80" s="548" t="s">
        <v>774</v>
      </c>
      <c r="D80" s="549">
        <v>2015</v>
      </c>
      <c r="E80" s="549" t="s">
        <v>775</v>
      </c>
      <c r="F80" s="550">
        <v>317</v>
      </c>
      <c r="G80" s="550">
        <v>0</v>
      </c>
      <c r="H80" s="550">
        <v>0</v>
      </c>
      <c r="I80" s="550">
        <v>0</v>
      </c>
      <c r="J80" s="550">
        <v>180</v>
      </c>
      <c r="K80" s="550">
        <v>0</v>
      </c>
      <c r="L80" s="550">
        <v>0</v>
      </c>
      <c r="M80" s="550">
        <v>0</v>
      </c>
      <c r="N80" s="550">
        <v>192</v>
      </c>
      <c r="O80" s="550">
        <v>2</v>
      </c>
      <c r="P80" s="550">
        <v>417</v>
      </c>
      <c r="Q80" s="550">
        <v>288</v>
      </c>
      <c r="R80" s="551" t="str">
        <f t="shared" si="0"/>
        <v>UNION CITY</v>
      </c>
      <c r="S80" s="552"/>
      <c r="T80" s="552"/>
      <c r="U80" s="552"/>
      <c r="V80" s="552"/>
      <c r="W80" s="552"/>
      <c r="X80" s="552"/>
      <c r="Y80" s="552"/>
      <c r="Z80" s="552"/>
      <c r="AA80" s="553"/>
      <c r="AB80" s="553"/>
    </row>
    <row r="81" spans="1:28" ht="12.75">
      <c r="A81" s="547" t="s">
        <v>246</v>
      </c>
      <c r="B81" s="547" t="s">
        <v>125</v>
      </c>
      <c r="C81" s="548" t="s">
        <v>774</v>
      </c>
      <c r="D81" s="549">
        <v>2016</v>
      </c>
      <c r="E81" s="549" t="s">
        <v>775</v>
      </c>
      <c r="F81" s="550">
        <v>317</v>
      </c>
      <c r="G81" s="550">
        <v>0</v>
      </c>
      <c r="H81" s="550">
        <v>0</v>
      </c>
      <c r="I81" s="550">
        <v>0</v>
      </c>
      <c r="J81" s="550">
        <v>180</v>
      </c>
      <c r="K81" s="550">
        <v>0</v>
      </c>
      <c r="L81" s="550">
        <v>0</v>
      </c>
      <c r="M81" s="550">
        <v>0</v>
      </c>
      <c r="N81" s="550">
        <v>192</v>
      </c>
      <c r="O81" s="550">
        <v>1</v>
      </c>
      <c r="P81" s="550">
        <v>417</v>
      </c>
      <c r="Q81" s="550">
        <v>1</v>
      </c>
      <c r="R81" s="551" t="str">
        <f t="shared" si="0"/>
        <v>UNION CITY</v>
      </c>
      <c r="S81" s="552"/>
      <c r="T81" s="552"/>
      <c r="U81" s="552"/>
      <c r="V81" s="552"/>
      <c r="W81" s="552"/>
      <c r="X81" s="552"/>
      <c r="Y81" s="552"/>
      <c r="Z81" s="552"/>
      <c r="AA81" s="553"/>
      <c r="AB81" s="553"/>
    </row>
    <row r="82" spans="1:28" ht="12.75">
      <c r="A82" s="547" t="s">
        <v>246</v>
      </c>
      <c r="B82" s="547" t="s">
        <v>125</v>
      </c>
      <c r="C82" s="548" t="s">
        <v>774</v>
      </c>
      <c r="D82" s="549">
        <v>2017</v>
      </c>
      <c r="E82" s="549" t="s">
        <v>775</v>
      </c>
      <c r="F82" s="550">
        <v>317</v>
      </c>
      <c r="G82" s="550">
        <v>0</v>
      </c>
      <c r="H82" s="550">
        <v>0</v>
      </c>
      <c r="I82" s="550">
        <v>0</v>
      </c>
      <c r="J82" s="550">
        <v>180</v>
      </c>
      <c r="K82" s="550">
        <v>0</v>
      </c>
      <c r="L82" s="550">
        <v>0</v>
      </c>
      <c r="M82" s="550">
        <v>0</v>
      </c>
      <c r="N82" s="550">
        <v>192</v>
      </c>
      <c r="O82" s="550">
        <v>3</v>
      </c>
      <c r="P82" s="550">
        <v>417</v>
      </c>
      <c r="Q82" s="550">
        <v>27</v>
      </c>
      <c r="R82" s="551" t="str">
        <f t="shared" si="0"/>
        <v>UNION CITY</v>
      </c>
      <c r="S82" s="552"/>
      <c r="T82" s="552"/>
      <c r="U82" s="552"/>
      <c r="V82" s="552"/>
      <c r="W82" s="552"/>
      <c r="X82" s="552"/>
      <c r="Y82" s="552"/>
      <c r="Z82" s="552"/>
      <c r="AA82" s="553"/>
      <c r="AB82" s="553"/>
    </row>
    <row r="83" spans="1:28" ht="12.75">
      <c r="A83" s="547" t="s">
        <v>246</v>
      </c>
      <c r="B83" s="547" t="s">
        <v>125</v>
      </c>
      <c r="C83" s="548" t="s">
        <v>774</v>
      </c>
      <c r="D83" s="549">
        <v>2018</v>
      </c>
      <c r="E83" s="549" t="s">
        <v>775</v>
      </c>
      <c r="F83" s="550">
        <v>317</v>
      </c>
      <c r="G83" s="550">
        <v>0</v>
      </c>
      <c r="H83" s="550">
        <v>0</v>
      </c>
      <c r="I83" s="550">
        <v>0</v>
      </c>
      <c r="J83" s="550">
        <v>180</v>
      </c>
      <c r="K83" s="550">
        <v>0</v>
      </c>
      <c r="L83" s="550">
        <v>0</v>
      </c>
      <c r="M83" s="550">
        <v>0</v>
      </c>
      <c r="N83" s="550">
        <v>192</v>
      </c>
      <c r="O83" s="550">
        <v>8</v>
      </c>
      <c r="P83" s="550">
        <v>417</v>
      </c>
      <c r="Q83" s="550">
        <v>77</v>
      </c>
      <c r="R83" s="551" t="str">
        <f t="shared" si="0"/>
        <v>UNION CITY</v>
      </c>
      <c r="S83" s="552"/>
      <c r="T83" s="552"/>
      <c r="U83" s="552"/>
      <c r="V83" s="552"/>
      <c r="W83" s="552"/>
      <c r="X83" s="552"/>
      <c r="Y83" s="552"/>
      <c r="Z83" s="552"/>
      <c r="AA83" s="553"/>
      <c r="AB83" s="553"/>
    </row>
    <row r="84" spans="1:28" ht="12.75">
      <c r="A84" s="547" t="s">
        <v>246</v>
      </c>
      <c r="B84" s="547" t="s">
        <v>125</v>
      </c>
      <c r="C84" s="548" t="s">
        <v>782</v>
      </c>
      <c r="D84" s="549">
        <v>2019</v>
      </c>
      <c r="E84" s="549" t="s">
        <v>775</v>
      </c>
      <c r="F84" s="550">
        <v>317</v>
      </c>
      <c r="G84" s="550">
        <v>0</v>
      </c>
      <c r="H84" s="550">
        <v>0</v>
      </c>
      <c r="I84" s="550">
        <v>0</v>
      </c>
      <c r="J84" s="550">
        <v>180</v>
      </c>
      <c r="K84" s="550">
        <v>0</v>
      </c>
      <c r="L84" s="550">
        <v>0</v>
      </c>
      <c r="M84" s="550">
        <v>0</v>
      </c>
      <c r="N84" s="550">
        <v>192</v>
      </c>
      <c r="O84" s="550">
        <v>12</v>
      </c>
      <c r="P84" s="550">
        <v>417</v>
      </c>
      <c r="Q84" s="550">
        <v>8</v>
      </c>
      <c r="R84" s="551" t="str">
        <f t="shared" si="0"/>
        <v>UNION CITY</v>
      </c>
      <c r="S84" s="556">
        <f>SUM(G79:G84) +SUM(K79:K84)</f>
        <v>0</v>
      </c>
      <c r="T84" s="556">
        <f>F84+J84</f>
        <v>497</v>
      </c>
      <c r="U84" s="556">
        <f>SUM(O79:O84)</f>
        <v>30</v>
      </c>
      <c r="V84" s="556">
        <f>N84</f>
        <v>192</v>
      </c>
      <c r="W84" s="557">
        <f>SUM(Q79:Q84)</f>
        <v>403</v>
      </c>
      <c r="X84" s="556">
        <f>P84</f>
        <v>417</v>
      </c>
      <c r="Y84" s="556">
        <f>S84+U84+SUM(Q79:Q84)</f>
        <v>433</v>
      </c>
      <c r="Z84" s="556">
        <f>F84+J84+N84+P84</f>
        <v>1106</v>
      </c>
      <c r="AA84" s="553"/>
      <c r="AB84" s="553"/>
    </row>
    <row r="85" spans="1:28" ht="12.75">
      <c r="A85" s="547"/>
      <c r="B85" s="547"/>
      <c r="C85" s="548"/>
      <c r="D85" s="549"/>
      <c r="E85" s="549"/>
      <c r="F85" s="550"/>
      <c r="G85" s="550"/>
      <c r="H85" s="550"/>
      <c r="I85" s="550"/>
      <c r="J85" s="550"/>
      <c r="K85" s="550"/>
      <c r="L85" s="550"/>
      <c r="M85" s="550"/>
      <c r="N85" s="550"/>
      <c r="O85" s="550"/>
      <c r="P85" s="550"/>
      <c r="Q85" s="550"/>
      <c r="R85" s="551">
        <f t="shared" si="0"/>
        <v>0</v>
      </c>
      <c r="S85" s="558">
        <f t="shared" ref="S85:Z85" si="1">SUM(S5:S84)</f>
        <v>3615</v>
      </c>
      <c r="T85" s="558">
        <f t="shared" si="1"/>
        <v>16516</v>
      </c>
      <c r="U85" s="558">
        <f t="shared" si="1"/>
        <v>1055</v>
      </c>
      <c r="V85" s="558">
        <f t="shared" si="1"/>
        <v>7924</v>
      </c>
      <c r="W85" s="558">
        <f t="shared" si="1"/>
        <v>36045</v>
      </c>
      <c r="X85" s="558">
        <f t="shared" si="1"/>
        <v>19596</v>
      </c>
      <c r="Y85" s="558">
        <f t="shared" si="1"/>
        <v>40715</v>
      </c>
      <c r="Z85" s="558">
        <f t="shared" si="1"/>
        <v>44036</v>
      </c>
      <c r="AA85" s="553"/>
      <c r="AB85" s="553"/>
    </row>
    <row r="86" spans="1:28" ht="12.75">
      <c r="A86" s="547" t="s">
        <v>247</v>
      </c>
      <c r="B86" s="547" t="s">
        <v>127</v>
      </c>
      <c r="C86" s="548" t="s">
        <v>784</v>
      </c>
      <c r="D86" s="549">
        <v>2014</v>
      </c>
      <c r="E86" s="549" t="s">
        <v>775</v>
      </c>
      <c r="F86" s="550">
        <v>7</v>
      </c>
      <c r="G86" s="550">
        <v>0</v>
      </c>
      <c r="H86" s="550">
        <v>0</v>
      </c>
      <c r="I86" s="550">
        <v>0</v>
      </c>
      <c r="J86" s="550">
        <v>6</v>
      </c>
      <c r="K86" s="550">
        <v>0</v>
      </c>
      <c r="L86" s="550">
        <v>0</v>
      </c>
      <c r="M86" s="550">
        <v>0</v>
      </c>
      <c r="N86" s="550">
        <v>6</v>
      </c>
      <c r="O86" s="550">
        <v>1</v>
      </c>
      <c r="P86" s="550">
        <v>11</v>
      </c>
      <c r="Q86" s="550">
        <v>1</v>
      </c>
      <c r="R86" s="551" t="str">
        <f t="shared" si="0"/>
        <v>ALPINE COUNTY</v>
      </c>
      <c r="S86" s="552"/>
      <c r="T86" s="552"/>
      <c r="U86" s="552"/>
      <c r="V86" s="552"/>
      <c r="W86" s="552"/>
      <c r="X86" s="552"/>
      <c r="Y86" s="552"/>
      <c r="Z86" s="552"/>
      <c r="AA86" s="553"/>
      <c r="AB86" s="553"/>
    </row>
    <row r="87" spans="1:28" ht="12.75">
      <c r="A87" s="547" t="s">
        <v>247</v>
      </c>
      <c r="B87" s="547" t="s">
        <v>127</v>
      </c>
      <c r="C87" s="548" t="s">
        <v>784</v>
      </c>
      <c r="D87" s="549">
        <v>2015</v>
      </c>
      <c r="E87" s="549" t="s">
        <v>775</v>
      </c>
      <c r="F87" s="550">
        <v>7</v>
      </c>
      <c r="G87" s="550">
        <v>0</v>
      </c>
      <c r="H87" s="550">
        <v>0</v>
      </c>
      <c r="I87" s="550">
        <v>0</v>
      </c>
      <c r="J87" s="550">
        <v>6</v>
      </c>
      <c r="K87" s="550">
        <v>0</v>
      </c>
      <c r="L87" s="550">
        <v>0</v>
      </c>
      <c r="M87" s="550">
        <v>0</v>
      </c>
      <c r="N87" s="550">
        <v>6</v>
      </c>
      <c r="O87" s="550">
        <v>0</v>
      </c>
      <c r="P87" s="550">
        <v>11</v>
      </c>
      <c r="Q87" s="550">
        <v>4</v>
      </c>
      <c r="R87" s="551" t="str">
        <f t="shared" si="0"/>
        <v>ALPINE COUNTY</v>
      </c>
      <c r="S87" s="552"/>
      <c r="T87" s="552"/>
      <c r="U87" s="552"/>
      <c r="V87" s="552"/>
      <c r="W87" s="552"/>
      <c r="X87" s="552"/>
      <c r="Y87" s="552"/>
      <c r="Z87" s="552"/>
      <c r="AA87" s="553"/>
      <c r="AB87" s="553"/>
    </row>
    <row r="88" spans="1:28" ht="12.75">
      <c r="A88" s="547" t="s">
        <v>247</v>
      </c>
      <c r="B88" s="547" t="s">
        <v>127</v>
      </c>
      <c r="C88" s="548" t="s">
        <v>784</v>
      </c>
      <c r="D88" s="549">
        <v>2016</v>
      </c>
      <c r="E88" s="549" t="s">
        <v>775</v>
      </c>
      <c r="F88" s="550">
        <v>7</v>
      </c>
      <c r="G88" s="550">
        <v>0</v>
      </c>
      <c r="H88" s="550">
        <v>0</v>
      </c>
      <c r="I88" s="550">
        <v>0</v>
      </c>
      <c r="J88" s="550">
        <v>6</v>
      </c>
      <c r="K88" s="550">
        <v>0</v>
      </c>
      <c r="L88" s="550">
        <v>0</v>
      </c>
      <c r="M88" s="550">
        <v>0</v>
      </c>
      <c r="N88" s="550">
        <v>6</v>
      </c>
      <c r="O88" s="550">
        <v>0</v>
      </c>
      <c r="P88" s="550">
        <v>11</v>
      </c>
      <c r="Q88" s="550">
        <v>2</v>
      </c>
      <c r="R88" s="551" t="str">
        <f t="shared" si="0"/>
        <v>ALPINE COUNTY</v>
      </c>
      <c r="S88" s="552"/>
      <c r="T88" s="552"/>
      <c r="U88" s="552"/>
      <c r="V88" s="552"/>
      <c r="W88" s="552"/>
      <c r="X88" s="552"/>
      <c r="Y88" s="552"/>
      <c r="Z88" s="552"/>
      <c r="AA88" s="553"/>
      <c r="AB88" s="553"/>
    </row>
    <row r="89" spans="1:28" ht="12.75">
      <c r="A89" s="547" t="s">
        <v>247</v>
      </c>
      <c r="B89" s="547" t="s">
        <v>127</v>
      </c>
      <c r="C89" s="548" t="s">
        <v>784</v>
      </c>
      <c r="D89" s="549">
        <v>2017</v>
      </c>
      <c r="E89" s="549" t="s">
        <v>775</v>
      </c>
      <c r="F89" s="550">
        <v>7</v>
      </c>
      <c r="G89" s="550">
        <v>0</v>
      </c>
      <c r="H89" s="550">
        <v>0</v>
      </c>
      <c r="I89" s="550">
        <v>0</v>
      </c>
      <c r="J89" s="550">
        <v>6</v>
      </c>
      <c r="K89" s="550">
        <v>2</v>
      </c>
      <c r="L89" s="550">
        <v>0</v>
      </c>
      <c r="M89" s="550">
        <v>2</v>
      </c>
      <c r="N89" s="550">
        <v>6</v>
      </c>
      <c r="O89" s="550">
        <v>3</v>
      </c>
      <c r="P89" s="550">
        <v>11</v>
      </c>
      <c r="Q89" s="550">
        <v>3</v>
      </c>
      <c r="R89" s="551" t="str">
        <f t="shared" si="0"/>
        <v>ALPINE COUNTY</v>
      </c>
      <c r="S89" s="552"/>
      <c r="T89" s="552"/>
      <c r="U89" s="552"/>
      <c r="V89" s="552"/>
      <c r="W89" s="552"/>
      <c r="X89" s="552"/>
      <c r="Y89" s="552"/>
      <c r="Z89" s="552"/>
      <c r="AA89" s="553"/>
      <c r="AB89" s="553"/>
    </row>
    <row r="90" spans="1:28" ht="12.75">
      <c r="A90" s="547" t="s">
        <v>247</v>
      </c>
      <c r="B90" s="547" t="s">
        <v>127</v>
      </c>
      <c r="C90" s="548" t="s">
        <v>784</v>
      </c>
      <c r="D90" s="549">
        <v>2018</v>
      </c>
      <c r="E90" s="549" t="s">
        <v>775</v>
      </c>
      <c r="F90" s="550">
        <v>7</v>
      </c>
      <c r="G90" s="550">
        <v>0</v>
      </c>
      <c r="H90" s="550">
        <v>0</v>
      </c>
      <c r="I90" s="550">
        <v>0</v>
      </c>
      <c r="J90" s="550">
        <v>6</v>
      </c>
      <c r="K90" s="550">
        <v>1</v>
      </c>
      <c r="L90" s="550">
        <v>0</v>
      </c>
      <c r="M90" s="550">
        <v>1</v>
      </c>
      <c r="N90" s="550">
        <v>6</v>
      </c>
      <c r="O90" s="550">
        <v>0</v>
      </c>
      <c r="P90" s="550">
        <v>11</v>
      </c>
      <c r="Q90" s="550">
        <v>0</v>
      </c>
      <c r="R90" s="551" t="str">
        <f t="shared" si="0"/>
        <v>ALPINE COUNTY</v>
      </c>
      <c r="S90" s="552"/>
      <c r="T90" s="552"/>
      <c r="U90" s="552"/>
      <c r="V90" s="552"/>
      <c r="W90" s="552"/>
      <c r="X90" s="552"/>
      <c r="Y90" s="552"/>
      <c r="Z90" s="552"/>
      <c r="AA90" s="553"/>
      <c r="AB90" s="553"/>
    </row>
    <row r="91" spans="1:28" ht="12.75">
      <c r="A91" s="547" t="s">
        <v>247</v>
      </c>
      <c r="B91" s="547" t="s">
        <v>127</v>
      </c>
      <c r="C91" s="548" t="s">
        <v>785</v>
      </c>
      <c r="D91" s="549">
        <v>2019</v>
      </c>
      <c r="E91" s="549" t="s">
        <v>775</v>
      </c>
      <c r="F91" s="550">
        <v>7</v>
      </c>
      <c r="G91" s="550">
        <v>0</v>
      </c>
      <c r="H91" s="550">
        <v>0</v>
      </c>
      <c r="I91" s="550">
        <v>0</v>
      </c>
      <c r="J91" s="550">
        <v>6</v>
      </c>
      <c r="K91" s="550">
        <v>2</v>
      </c>
      <c r="L91" s="550">
        <v>0</v>
      </c>
      <c r="M91" s="550">
        <v>2</v>
      </c>
      <c r="N91" s="550">
        <v>6</v>
      </c>
      <c r="O91" s="550">
        <v>0</v>
      </c>
      <c r="P91" s="550">
        <v>11</v>
      </c>
      <c r="Q91" s="550">
        <v>0</v>
      </c>
      <c r="R91" s="551" t="str">
        <f t="shared" si="0"/>
        <v>ALPINE COUNTY</v>
      </c>
      <c r="S91" s="559">
        <f>SUM(G86:G91)+SUM(K86:K91)</f>
        <v>5</v>
      </c>
      <c r="T91" s="558">
        <f>F91+J91</f>
        <v>13</v>
      </c>
      <c r="U91" s="558">
        <f>SUM(O86:O91)</f>
        <v>4</v>
      </c>
      <c r="V91" s="558">
        <f>N91</f>
        <v>6</v>
      </c>
      <c r="W91" s="560">
        <f>SUM(Q86:Q91)</f>
        <v>10</v>
      </c>
      <c r="X91" s="558">
        <f>P91</f>
        <v>11</v>
      </c>
      <c r="Y91" s="558">
        <f>S91+U91+SUM(Q86:Q91)</f>
        <v>19</v>
      </c>
      <c r="Z91" s="558">
        <f>F91+J91+N91+P91</f>
        <v>30</v>
      </c>
      <c r="AA91" s="553"/>
      <c r="AB91" s="553"/>
    </row>
    <row r="92" spans="1:28" ht="12.75">
      <c r="A92" s="547"/>
      <c r="B92" s="547"/>
      <c r="C92" s="548"/>
      <c r="D92" s="549"/>
      <c r="E92" s="549"/>
      <c r="F92" s="550"/>
      <c r="G92" s="550"/>
      <c r="H92" s="550"/>
      <c r="I92" s="550"/>
      <c r="J92" s="550"/>
      <c r="K92" s="550"/>
      <c r="L92" s="550"/>
      <c r="M92" s="550"/>
      <c r="N92" s="550"/>
      <c r="O92" s="550"/>
      <c r="P92" s="550"/>
      <c r="Q92" s="550"/>
      <c r="R92" s="551"/>
      <c r="S92" s="552"/>
      <c r="T92" s="552"/>
      <c r="U92" s="552"/>
      <c r="V92" s="552"/>
      <c r="W92" s="552"/>
      <c r="X92" s="552"/>
      <c r="Y92" s="552"/>
      <c r="Z92" s="552"/>
      <c r="AA92" s="553"/>
      <c r="AB92" s="553"/>
    </row>
    <row r="93" spans="1:28" ht="12.75">
      <c r="A93" s="547" t="s">
        <v>250</v>
      </c>
      <c r="B93" s="547" t="s">
        <v>130</v>
      </c>
      <c r="C93" s="548" t="s">
        <v>784</v>
      </c>
      <c r="D93" s="549">
        <v>2017</v>
      </c>
      <c r="E93" s="549" t="s">
        <v>775</v>
      </c>
      <c r="F93" s="550">
        <v>10</v>
      </c>
      <c r="G93" s="550">
        <v>0</v>
      </c>
      <c r="H93" s="550">
        <v>0</v>
      </c>
      <c r="I93" s="550">
        <v>0</v>
      </c>
      <c r="J93" s="550">
        <v>7</v>
      </c>
      <c r="K93" s="550">
        <v>2</v>
      </c>
      <c r="L93" s="550">
        <v>1</v>
      </c>
      <c r="M93" s="550">
        <v>1</v>
      </c>
      <c r="N93" s="550">
        <v>9</v>
      </c>
      <c r="O93" s="550">
        <v>13</v>
      </c>
      <c r="P93" s="550">
        <v>23</v>
      </c>
      <c r="Q93" s="550">
        <v>17</v>
      </c>
      <c r="R93" s="551" t="str">
        <f t="shared" ref="R93:R114" si="2">A93</f>
        <v>AMADOR COUNTY</v>
      </c>
      <c r="S93" s="552"/>
      <c r="T93" s="552"/>
      <c r="U93" s="552"/>
      <c r="V93" s="552"/>
      <c r="W93" s="552"/>
      <c r="X93" s="552"/>
      <c r="Y93" s="552"/>
      <c r="Z93" s="552"/>
      <c r="AA93" s="553"/>
      <c r="AB93" s="553"/>
    </row>
    <row r="94" spans="1:28" ht="12.75">
      <c r="A94" s="547" t="s">
        <v>250</v>
      </c>
      <c r="B94" s="547" t="s">
        <v>130</v>
      </c>
      <c r="C94" s="548" t="s">
        <v>784</v>
      </c>
      <c r="D94" s="549">
        <v>2018</v>
      </c>
      <c r="E94" s="549" t="s">
        <v>775</v>
      </c>
      <c r="F94" s="550">
        <v>10</v>
      </c>
      <c r="G94" s="550">
        <v>1</v>
      </c>
      <c r="H94" s="550">
        <v>0</v>
      </c>
      <c r="I94" s="550">
        <v>1</v>
      </c>
      <c r="J94" s="550">
        <v>7</v>
      </c>
      <c r="K94" s="550">
        <v>4</v>
      </c>
      <c r="L94" s="550">
        <v>0</v>
      </c>
      <c r="M94" s="550">
        <v>4</v>
      </c>
      <c r="N94" s="550">
        <v>9</v>
      </c>
      <c r="O94" s="550">
        <v>21</v>
      </c>
      <c r="P94" s="550">
        <v>23</v>
      </c>
      <c r="Q94" s="550">
        <v>7</v>
      </c>
      <c r="R94" s="551" t="str">
        <f t="shared" si="2"/>
        <v>AMADOR COUNTY</v>
      </c>
      <c r="S94" s="552"/>
      <c r="T94" s="552"/>
      <c r="U94" s="552"/>
      <c r="V94" s="552"/>
      <c r="W94" s="552"/>
      <c r="X94" s="552"/>
      <c r="Y94" s="552"/>
      <c r="Z94" s="552"/>
      <c r="AA94" s="553"/>
      <c r="AB94" s="553"/>
    </row>
    <row r="95" spans="1:28" ht="12.75">
      <c r="A95" s="547" t="s">
        <v>250</v>
      </c>
      <c r="B95" s="547" t="s">
        <v>130</v>
      </c>
      <c r="C95" s="548" t="s">
        <v>785</v>
      </c>
      <c r="D95" s="549">
        <v>2019</v>
      </c>
      <c r="E95" s="549" t="s">
        <v>775</v>
      </c>
      <c r="F95" s="550">
        <v>10</v>
      </c>
      <c r="G95" s="550">
        <v>0</v>
      </c>
      <c r="H95" s="550">
        <v>0</v>
      </c>
      <c r="I95" s="550">
        <v>0</v>
      </c>
      <c r="J95" s="550">
        <v>7</v>
      </c>
      <c r="K95" s="550">
        <v>1</v>
      </c>
      <c r="L95" s="550">
        <v>0</v>
      </c>
      <c r="M95" s="550">
        <v>1</v>
      </c>
      <c r="N95" s="550">
        <v>9</v>
      </c>
      <c r="O95" s="550">
        <v>13</v>
      </c>
      <c r="P95" s="550">
        <v>23</v>
      </c>
      <c r="Q95" s="550">
        <v>14</v>
      </c>
      <c r="R95" s="551" t="str">
        <f t="shared" si="2"/>
        <v>AMADOR COUNTY</v>
      </c>
      <c r="S95" s="552">
        <f>SUM(G93:G95) +SUM(K93:K95)</f>
        <v>8</v>
      </c>
      <c r="T95" s="552">
        <f>F95+J95</f>
        <v>17</v>
      </c>
      <c r="U95" s="552">
        <f>SUM(O93:O95)</f>
        <v>47</v>
      </c>
      <c r="V95" s="552">
        <f>N95</f>
        <v>9</v>
      </c>
      <c r="W95" s="554">
        <f>SUM(Q93:Q95)</f>
        <v>38</v>
      </c>
      <c r="X95" s="552">
        <f>P95</f>
        <v>23</v>
      </c>
      <c r="Y95" s="552">
        <f>S95+U95+SUM(Q93:Q95)</f>
        <v>93</v>
      </c>
      <c r="Z95" s="552">
        <f>F95+J95+N95+P95</f>
        <v>49</v>
      </c>
      <c r="AA95" s="553"/>
      <c r="AB95" s="553"/>
    </row>
    <row r="96" spans="1:28" ht="12.75">
      <c r="A96" s="547" t="s">
        <v>251</v>
      </c>
      <c r="B96" s="547" t="s">
        <v>130</v>
      </c>
      <c r="C96" s="548" t="s">
        <v>784</v>
      </c>
      <c r="D96" s="549">
        <v>2016</v>
      </c>
      <c r="E96" s="549" t="s">
        <v>775</v>
      </c>
      <c r="F96" s="550">
        <v>3</v>
      </c>
      <c r="G96" s="550">
        <v>0</v>
      </c>
      <c r="H96" s="550">
        <v>0</v>
      </c>
      <c r="I96" s="550">
        <v>0</v>
      </c>
      <c r="J96" s="550">
        <v>3</v>
      </c>
      <c r="K96" s="550">
        <v>0</v>
      </c>
      <c r="L96" s="550">
        <v>0</v>
      </c>
      <c r="M96" s="550">
        <v>0</v>
      </c>
      <c r="N96" s="550">
        <v>3</v>
      </c>
      <c r="O96" s="550">
        <v>0</v>
      </c>
      <c r="P96" s="550">
        <v>7</v>
      </c>
      <c r="Q96" s="550">
        <v>3</v>
      </c>
      <c r="R96" s="551" t="str">
        <f t="shared" si="2"/>
        <v>IONE</v>
      </c>
      <c r="S96" s="552"/>
      <c r="T96" s="552"/>
      <c r="U96" s="552"/>
      <c r="V96" s="552"/>
      <c r="W96" s="552"/>
      <c r="X96" s="552"/>
      <c r="Y96" s="552"/>
      <c r="Z96" s="552"/>
      <c r="AA96" s="553"/>
      <c r="AB96" s="553"/>
    </row>
    <row r="97" spans="1:28" ht="12.75">
      <c r="A97" s="547" t="s">
        <v>251</v>
      </c>
      <c r="B97" s="547" t="s">
        <v>130</v>
      </c>
      <c r="C97" s="548" t="s">
        <v>784</v>
      </c>
      <c r="D97" s="549">
        <v>2017</v>
      </c>
      <c r="E97" s="549" t="s">
        <v>775</v>
      </c>
      <c r="F97" s="550">
        <v>3</v>
      </c>
      <c r="G97" s="550">
        <v>0</v>
      </c>
      <c r="H97" s="550">
        <v>0</v>
      </c>
      <c r="I97" s="550">
        <v>0</v>
      </c>
      <c r="J97" s="550">
        <v>3</v>
      </c>
      <c r="K97" s="550">
        <v>0</v>
      </c>
      <c r="L97" s="550">
        <v>0</v>
      </c>
      <c r="M97" s="550">
        <v>0</v>
      </c>
      <c r="N97" s="550">
        <v>3</v>
      </c>
      <c r="O97" s="550">
        <v>1</v>
      </c>
      <c r="P97" s="550">
        <v>7</v>
      </c>
      <c r="Q97" s="550">
        <v>31</v>
      </c>
      <c r="R97" s="551" t="str">
        <f t="shared" si="2"/>
        <v>IONE</v>
      </c>
      <c r="S97" s="552"/>
      <c r="T97" s="552"/>
      <c r="U97" s="552"/>
      <c r="V97" s="552"/>
      <c r="W97" s="552"/>
      <c r="X97" s="552"/>
      <c r="Y97" s="552"/>
      <c r="Z97" s="552"/>
      <c r="AA97" s="553"/>
      <c r="AB97" s="553"/>
    </row>
    <row r="98" spans="1:28" ht="12.75">
      <c r="A98" s="547" t="s">
        <v>251</v>
      </c>
      <c r="B98" s="547" t="s">
        <v>130</v>
      </c>
      <c r="C98" s="548" t="s">
        <v>784</v>
      </c>
      <c r="D98" s="549">
        <v>2018</v>
      </c>
      <c r="E98" s="549" t="s">
        <v>775</v>
      </c>
      <c r="F98" s="550">
        <v>3</v>
      </c>
      <c r="G98" s="550">
        <v>0</v>
      </c>
      <c r="H98" s="550">
        <v>0</v>
      </c>
      <c r="I98" s="550">
        <v>0</v>
      </c>
      <c r="J98" s="550">
        <v>3</v>
      </c>
      <c r="K98" s="550">
        <v>0</v>
      </c>
      <c r="L98" s="550">
        <v>0</v>
      </c>
      <c r="M98" s="550">
        <v>0</v>
      </c>
      <c r="N98" s="550">
        <v>3</v>
      </c>
      <c r="O98" s="550">
        <v>65</v>
      </c>
      <c r="P98" s="550">
        <v>7</v>
      </c>
      <c r="Q98" s="550">
        <v>41</v>
      </c>
      <c r="R98" s="551" t="str">
        <f t="shared" si="2"/>
        <v>IONE</v>
      </c>
      <c r="S98" s="552"/>
      <c r="T98" s="552"/>
      <c r="U98" s="552"/>
      <c r="V98" s="552"/>
      <c r="W98" s="552"/>
      <c r="X98" s="552"/>
      <c r="Y98" s="552"/>
      <c r="Z98" s="552"/>
      <c r="AA98" s="553"/>
      <c r="AB98" s="553"/>
    </row>
    <row r="99" spans="1:28" ht="12.75">
      <c r="A99" s="547" t="s">
        <v>251</v>
      </c>
      <c r="B99" s="547" t="s">
        <v>130</v>
      </c>
      <c r="C99" s="548" t="s">
        <v>785</v>
      </c>
      <c r="D99" s="549">
        <v>2019</v>
      </c>
      <c r="E99" s="549" t="s">
        <v>775</v>
      </c>
      <c r="F99" s="550">
        <v>3</v>
      </c>
      <c r="G99" s="550">
        <v>0</v>
      </c>
      <c r="H99" s="550">
        <v>0</v>
      </c>
      <c r="I99" s="550">
        <v>0</v>
      </c>
      <c r="J99" s="550">
        <v>3</v>
      </c>
      <c r="K99" s="550">
        <v>0</v>
      </c>
      <c r="L99" s="550">
        <v>0</v>
      </c>
      <c r="M99" s="550">
        <v>0</v>
      </c>
      <c r="N99" s="550">
        <v>3</v>
      </c>
      <c r="O99" s="550">
        <v>38</v>
      </c>
      <c r="P99" s="550">
        <v>7</v>
      </c>
      <c r="Q99" s="550">
        <v>0</v>
      </c>
      <c r="R99" s="551" t="str">
        <f t="shared" si="2"/>
        <v>IONE</v>
      </c>
      <c r="S99" s="552">
        <f>SUM(G96:G99) +SUM(K96:K99)</f>
        <v>0</v>
      </c>
      <c r="T99" s="552">
        <f>F99+J99</f>
        <v>6</v>
      </c>
      <c r="U99" s="552">
        <f>SUM(O96:O99)</f>
        <v>104</v>
      </c>
      <c r="V99" s="552">
        <f>N99</f>
        <v>3</v>
      </c>
      <c r="W99" s="554">
        <f>SUM(Q96:Q99)</f>
        <v>75</v>
      </c>
      <c r="X99" s="552">
        <f>P99</f>
        <v>7</v>
      </c>
      <c r="Y99" s="552">
        <f>S99+U99+SUM(Q96:Q99)</f>
        <v>179</v>
      </c>
      <c r="Z99" s="552">
        <f>F99+J99+N99+P99</f>
        <v>16</v>
      </c>
      <c r="AA99" s="553"/>
      <c r="AB99" s="553"/>
    </row>
    <row r="100" spans="1:28" ht="12.75">
      <c r="A100" s="547" t="s">
        <v>252</v>
      </c>
      <c r="B100" s="547" t="s">
        <v>130</v>
      </c>
      <c r="C100" s="548" t="s">
        <v>784</v>
      </c>
      <c r="D100" s="549">
        <v>2014</v>
      </c>
      <c r="E100" s="549" t="s">
        <v>775</v>
      </c>
      <c r="F100" s="550">
        <v>4</v>
      </c>
      <c r="G100" s="550">
        <v>0</v>
      </c>
      <c r="H100" s="550">
        <v>0</v>
      </c>
      <c r="I100" s="550">
        <v>0</v>
      </c>
      <c r="J100" s="550">
        <v>3</v>
      </c>
      <c r="K100" s="550">
        <v>0</v>
      </c>
      <c r="L100" s="550">
        <v>0</v>
      </c>
      <c r="M100" s="550">
        <v>0</v>
      </c>
      <c r="N100" s="550">
        <v>4</v>
      </c>
      <c r="O100" s="550">
        <v>1</v>
      </c>
      <c r="P100" s="550">
        <v>8</v>
      </c>
      <c r="Q100" s="550">
        <v>0</v>
      </c>
      <c r="R100" s="551" t="str">
        <f t="shared" si="2"/>
        <v>JACKSON</v>
      </c>
      <c r="S100" s="552"/>
      <c r="T100" s="552"/>
      <c r="U100" s="552"/>
      <c r="V100" s="552"/>
      <c r="W100" s="552"/>
      <c r="X100" s="552"/>
      <c r="Y100" s="552"/>
      <c r="Z100" s="552"/>
      <c r="AA100" s="553"/>
      <c r="AB100" s="553"/>
    </row>
    <row r="101" spans="1:28" ht="12.75">
      <c r="A101" s="547" t="s">
        <v>252</v>
      </c>
      <c r="B101" s="547" t="s">
        <v>130</v>
      </c>
      <c r="C101" s="548" t="s">
        <v>784</v>
      </c>
      <c r="D101" s="549">
        <v>2015</v>
      </c>
      <c r="E101" s="549" t="s">
        <v>775</v>
      </c>
      <c r="F101" s="550">
        <v>4</v>
      </c>
      <c r="G101" s="550">
        <v>0</v>
      </c>
      <c r="H101" s="550">
        <v>0</v>
      </c>
      <c r="I101" s="550">
        <v>0</v>
      </c>
      <c r="J101" s="550">
        <v>3</v>
      </c>
      <c r="K101" s="550">
        <v>0</v>
      </c>
      <c r="L101" s="550">
        <v>0</v>
      </c>
      <c r="M101" s="550">
        <v>0</v>
      </c>
      <c r="N101" s="550">
        <v>4</v>
      </c>
      <c r="O101" s="550">
        <v>11</v>
      </c>
      <c r="P101" s="550">
        <v>8</v>
      </c>
      <c r="Q101" s="550">
        <v>0</v>
      </c>
      <c r="R101" s="551" t="str">
        <f t="shared" si="2"/>
        <v>JACKSON</v>
      </c>
      <c r="S101" s="552"/>
      <c r="T101" s="552"/>
      <c r="U101" s="552"/>
      <c r="V101" s="552"/>
      <c r="W101" s="552"/>
      <c r="X101" s="552"/>
      <c r="Y101" s="552"/>
      <c r="Z101" s="552"/>
      <c r="AA101" s="553"/>
      <c r="AB101" s="553"/>
    </row>
    <row r="102" spans="1:28" ht="12.75">
      <c r="A102" s="547" t="s">
        <v>252</v>
      </c>
      <c r="B102" s="547" t="s">
        <v>130</v>
      </c>
      <c r="C102" s="548" t="s">
        <v>784</v>
      </c>
      <c r="D102" s="549">
        <v>2016</v>
      </c>
      <c r="E102" s="549" t="s">
        <v>775</v>
      </c>
      <c r="F102" s="550">
        <v>4</v>
      </c>
      <c r="G102" s="550">
        <v>0</v>
      </c>
      <c r="H102" s="550">
        <v>0</v>
      </c>
      <c r="I102" s="550">
        <v>0</v>
      </c>
      <c r="J102" s="550">
        <v>3</v>
      </c>
      <c r="K102" s="550">
        <v>0</v>
      </c>
      <c r="L102" s="550">
        <v>0</v>
      </c>
      <c r="M102" s="550">
        <v>0</v>
      </c>
      <c r="N102" s="550">
        <v>4</v>
      </c>
      <c r="O102" s="550">
        <v>4</v>
      </c>
      <c r="P102" s="550">
        <v>8</v>
      </c>
      <c r="Q102" s="550">
        <v>0</v>
      </c>
      <c r="R102" s="551" t="str">
        <f t="shared" si="2"/>
        <v>JACKSON</v>
      </c>
      <c r="S102" s="552"/>
      <c r="T102" s="552"/>
      <c r="U102" s="552"/>
      <c r="V102" s="552"/>
      <c r="W102" s="552"/>
      <c r="X102" s="552"/>
      <c r="Y102" s="552"/>
      <c r="Z102" s="552"/>
      <c r="AA102" s="553"/>
      <c r="AB102" s="553"/>
    </row>
    <row r="103" spans="1:28" ht="12.75">
      <c r="A103" s="547" t="s">
        <v>252</v>
      </c>
      <c r="B103" s="547" t="s">
        <v>130</v>
      </c>
      <c r="C103" s="548" t="s">
        <v>784</v>
      </c>
      <c r="D103" s="549">
        <v>2017</v>
      </c>
      <c r="E103" s="549" t="s">
        <v>775</v>
      </c>
      <c r="F103" s="550">
        <v>4</v>
      </c>
      <c r="G103" s="550">
        <v>0</v>
      </c>
      <c r="H103" s="550">
        <v>0</v>
      </c>
      <c r="I103" s="550">
        <v>0</v>
      </c>
      <c r="J103" s="550">
        <v>3</v>
      </c>
      <c r="K103" s="550">
        <v>0</v>
      </c>
      <c r="L103" s="550">
        <v>0</v>
      </c>
      <c r="M103" s="550">
        <v>0</v>
      </c>
      <c r="N103" s="550">
        <v>4</v>
      </c>
      <c r="O103" s="550">
        <v>13</v>
      </c>
      <c r="P103" s="550">
        <v>8</v>
      </c>
      <c r="Q103" s="550">
        <v>0</v>
      </c>
      <c r="R103" s="551" t="str">
        <f t="shared" si="2"/>
        <v>JACKSON</v>
      </c>
      <c r="S103" s="552"/>
      <c r="T103" s="552"/>
      <c r="U103" s="552"/>
      <c r="V103" s="552"/>
      <c r="W103" s="552"/>
      <c r="X103" s="552"/>
      <c r="Y103" s="552"/>
      <c r="Z103" s="552"/>
      <c r="AA103" s="553"/>
      <c r="AB103" s="553"/>
    </row>
    <row r="104" spans="1:28" ht="12.75">
      <c r="A104" s="547" t="s">
        <v>252</v>
      </c>
      <c r="B104" s="547" t="s">
        <v>130</v>
      </c>
      <c r="C104" s="548" t="s">
        <v>784</v>
      </c>
      <c r="D104" s="549">
        <v>2018</v>
      </c>
      <c r="E104" s="549" t="s">
        <v>775</v>
      </c>
      <c r="F104" s="550">
        <v>4</v>
      </c>
      <c r="G104" s="550">
        <v>0</v>
      </c>
      <c r="H104" s="550">
        <v>0</v>
      </c>
      <c r="I104" s="550">
        <v>0</v>
      </c>
      <c r="J104" s="550">
        <v>3</v>
      </c>
      <c r="K104" s="550">
        <v>0</v>
      </c>
      <c r="L104" s="550">
        <v>0</v>
      </c>
      <c r="M104" s="550">
        <v>0</v>
      </c>
      <c r="N104" s="550">
        <v>4</v>
      </c>
      <c r="O104" s="550">
        <v>0</v>
      </c>
      <c r="P104" s="550">
        <v>8</v>
      </c>
      <c r="Q104" s="550">
        <v>18</v>
      </c>
      <c r="R104" s="551" t="str">
        <f t="shared" si="2"/>
        <v>JACKSON</v>
      </c>
      <c r="S104" s="552"/>
      <c r="T104" s="552"/>
      <c r="U104" s="552"/>
      <c r="V104" s="552"/>
      <c r="W104" s="552"/>
      <c r="X104" s="552"/>
      <c r="Y104" s="552"/>
      <c r="Z104" s="552"/>
      <c r="AA104" s="553"/>
      <c r="AB104" s="553"/>
    </row>
    <row r="105" spans="1:28" ht="12.75">
      <c r="A105" s="547" t="s">
        <v>252</v>
      </c>
      <c r="B105" s="547" t="s">
        <v>130</v>
      </c>
      <c r="C105" s="548" t="s">
        <v>785</v>
      </c>
      <c r="D105" s="549">
        <v>2019</v>
      </c>
      <c r="E105" s="549" t="s">
        <v>775</v>
      </c>
      <c r="F105" s="550">
        <v>4</v>
      </c>
      <c r="G105" s="550">
        <v>0</v>
      </c>
      <c r="H105" s="550">
        <v>0</v>
      </c>
      <c r="I105" s="550">
        <v>0</v>
      </c>
      <c r="J105" s="550">
        <v>3</v>
      </c>
      <c r="K105" s="550">
        <v>0</v>
      </c>
      <c r="L105" s="550">
        <v>0</v>
      </c>
      <c r="M105" s="550">
        <v>0</v>
      </c>
      <c r="N105" s="550">
        <v>4</v>
      </c>
      <c r="O105" s="550">
        <v>0</v>
      </c>
      <c r="P105" s="550">
        <v>8</v>
      </c>
      <c r="Q105" s="550">
        <v>23</v>
      </c>
      <c r="R105" s="551" t="str">
        <f t="shared" si="2"/>
        <v>JACKSON</v>
      </c>
      <c r="S105" s="552">
        <f>SUM(G100:G105) +SUM(K100:K105)</f>
        <v>0</v>
      </c>
      <c r="T105" s="552">
        <f>F105+J105</f>
        <v>7</v>
      </c>
      <c r="U105" s="552">
        <f>SUM(O100:O105)</f>
        <v>29</v>
      </c>
      <c r="V105" s="552">
        <f>N105</f>
        <v>4</v>
      </c>
      <c r="W105" s="554">
        <f>SUM(Q100:Q105)</f>
        <v>41</v>
      </c>
      <c r="X105" s="552">
        <f>P105</f>
        <v>8</v>
      </c>
      <c r="Y105" s="552">
        <f>S105+U105+SUM(Q100:Q105)</f>
        <v>70</v>
      </c>
      <c r="Z105" s="552">
        <f>F105+J105+N105+P105</f>
        <v>19</v>
      </c>
      <c r="AA105" s="553"/>
      <c r="AB105" s="553"/>
    </row>
    <row r="106" spans="1:28" ht="12.75">
      <c r="A106" s="547" t="s">
        <v>253</v>
      </c>
      <c r="B106" s="547" t="s">
        <v>130</v>
      </c>
      <c r="C106" s="548" t="s">
        <v>784</v>
      </c>
      <c r="D106" s="549">
        <v>2017</v>
      </c>
      <c r="E106" s="549" t="s">
        <v>775</v>
      </c>
      <c r="F106" s="550">
        <v>1</v>
      </c>
      <c r="G106" s="550">
        <v>0</v>
      </c>
      <c r="H106" s="550">
        <v>0</v>
      </c>
      <c r="I106" s="550">
        <v>0</v>
      </c>
      <c r="J106" s="550">
        <v>1</v>
      </c>
      <c r="K106" s="550">
        <v>0</v>
      </c>
      <c r="L106" s="550">
        <v>0</v>
      </c>
      <c r="M106" s="550">
        <v>0</v>
      </c>
      <c r="N106" s="550">
        <v>1</v>
      </c>
      <c r="O106" s="550">
        <v>0</v>
      </c>
      <c r="P106" s="550">
        <v>1</v>
      </c>
      <c r="Q106" s="550">
        <v>18</v>
      </c>
      <c r="R106" s="551" t="str">
        <f t="shared" si="2"/>
        <v>PLYMOUTH</v>
      </c>
      <c r="S106" s="552"/>
      <c r="T106" s="552"/>
      <c r="U106" s="552"/>
      <c r="V106" s="552"/>
      <c r="W106" s="552"/>
      <c r="X106" s="552"/>
      <c r="Y106" s="552"/>
      <c r="Z106" s="552"/>
      <c r="AA106" s="553"/>
      <c r="AB106" s="553"/>
    </row>
    <row r="107" spans="1:28" ht="12.75">
      <c r="A107" s="547" t="s">
        <v>253</v>
      </c>
      <c r="B107" s="547" t="s">
        <v>130</v>
      </c>
      <c r="C107" s="548" t="s">
        <v>784</v>
      </c>
      <c r="D107" s="549">
        <v>2018</v>
      </c>
      <c r="E107" s="549" t="s">
        <v>775</v>
      </c>
      <c r="F107" s="550">
        <v>1</v>
      </c>
      <c r="G107" s="550">
        <v>0</v>
      </c>
      <c r="H107" s="550">
        <v>0</v>
      </c>
      <c r="I107" s="550">
        <v>0</v>
      </c>
      <c r="J107" s="550">
        <v>1</v>
      </c>
      <c r="K107" s="550">
        <v>0</v>
      </c>
      <c r="L107" s="550">
        <v>0</v>
      </c>
      <c r="M107" s="550">
        <v>0</v>
      </c>
      <c r="N107" s="550">
        <v>1</v>
      </c>
      <c r="O107" s="550">
        <v>0</v>
      </c>
      <c r="P107" s="550">
        <v>1</v>
      </c>
      <c r="Q107" s="550">
        <v>19</v>
      </c>
      <c r="R107" s="551" t="str">
        <f t="shared" si="2"/>
        <v>PLYMOUTH</v>
      </c>
      <c r="S107" s="552"/>
      <c r="T107" s="552"/>
      <c r="U107" s="552"/>
      <c r="V107" s="552"/>
      <c r="W107" s="554"/>
      <c r="X107" s="552"/>
      <c r="Y107" s="552"/>
      <c r="Z107" s="552"/>
      <c r="AA107" s="553"/>
      <c r="AB107" s="553"/>
    </row>
    <row r="108" spans="1:28" ht="12.75">
      <c r="A108" s="547" t="s">
        <v>253</v>
      </c>
      <c r="B108" s="547" t="s">
        <v>130</v>
      </c>
      <c r="C108" s="548" t="s">
        <v>785</v>
      </c>
      <c r="D108" s="549">
        <v>2019</v>
      </c>
      <c r="E108" s="549" t="s">
        <v>775</v>
      </c>
      <c r="F108" s="550">
        <v>1</v>
      </c>
      <c r="G108" s="550">
        <v>0</v>
      </c>
      <c r="H108" s="550">
        <v>0</v>
      </c>
      <c r="I108" s="550">
        <v>0</v>
      </c>
      <c r="J108" s="550">
        <v>1</v>
      </c>
      <c r="K108" s="550">
        <v>0</v>
      </c>
      <c r="L108" s="550">
        <v>0</v>
      </c>
      <c r="M108" s="550">
        <v>0</v>
      </c>
      <c r="N108" s="550">
        <v>1</v>
      </c>
      <c r="O108" s="550">
        <v>0</v>
      </c>
      <c r="P108" s="550">
        <v>1</v>
      </c>
      <c r="Q108" s="550">
        <v>9</v>
      </c>
      <c r="R108" s="551" t="str">
        <f t="shared" si="2"/>
        <v>PLYMOUTH</v>
      </c>
      <c r="S108" s="552">
        <f>SUM(G106:G108) +SUM(K106:K108)</f>
        <v>0</v>
      </c>
      <c r="T108" s="552">
        <f>F108+J108</f>
        <v>2</v>
      </c>
      <c r="U108" s="552">
        <f>SUM(O106:O108)</f>
        <v>0</v>
      </c>
      <c r="V108" s="552">
        <f>N108</f>
        <v>1</v>
      </c>
      <c r="W108" s="554">
        <f>SUM(Q106:Q108)</f>
        <v>46</v>
      </c>
      <c r="X108" s="552">
        <f>P108</f>
        <v>1</v>
      </c>
      <c r="Y108" s="552">
        <f>S108+U108+SUM(Q106:Q108)</f>
        <v>46</v>
      </c>
      <c r="Z108" s="552">
        <f>F108+J108+N108+P108</f>
        <v>4</v>
      </c>
      <c r="AA108" s="553"/>
      <c r="AB108" s="553"/>
    </row>
    <row r="109" spans="1:28" ht="12.75">
      <c r="A109" s="547" t="s">
        <v>254</v>
      </c>
      <c r="B109" s="547" t="s">
        <v>130</v>
      </c>
      <c r="C109" s="548" t="s">
        <v>784</v>
      </c>
      <c r="D109" s="549">
        <v>2014</v>
      </c>
      <c r="E109" s="549" t="s">
        <v>775</v>
      </c>
      <c r="F109" s="550">
        <v>2</v>
      </c>
      <c r="G109" s="550">
        <v>0</v>
      </c>
      <c r="H109" s="550">
        <v>0</v>
      </c>
      <c r="I109" s="550">
        <v>0</v>
      </c>
      <c r="J109" s="550">
        <v>2</v>
      </c>
      <c r="K109" s="550">
        <v>0</v>
      </c>
      <c r="L109" s="550">
        <v>0</v>
      </c>
      <c r="M109" s="550">
        <v>0</v>
      </c>
      <c r="N109" s="550">
        <v>2</v>
      </c>
      <c r="O109" s="550">
        <v>1</v>
      </c>
      <c r="P109" s="550">
        <v>4</v>
      </c>
      <c r="Q109" s="550">
        <v>0</v>
      </c>
      <c r="R109" s="551" t="str">
        <f t="shared" si="2"/>
        <v>SUTTER CREEK</v>
      </c>
      <c r="S109" s="552"/>
      <c r="T109" s="552"/>
      <c r="U109" s="552"/>
      <c r="V109" s="552"/>
      <c r="W109" s="552"/>
      <c r="X109" s="552"/>
      <c r="Y109" s="552"/>
      <c r="Z109" s="552"/>
      <c r="AA109" s="553"/>
      <c r="AB109" s="553"/>
    </row>
    <row r="110" spans="1:28" ht="12.75">
      <c r="A110" s="547" t="s">
        <v>254</v>
      </c>
      <c r="B110" s="547" t="s">
        <v>130</v>
      </c>
      <c r="C110" s="548" t="s">
        <v>784</v>
      </c>
      <c r="D110" s="549">
        <v>2015</v>
      </c>
      <c r="E110" s="549" t="s">
        <v>775</v>
      </c>
      <c r="F110" s="550">
        <v>2</v>
      </c>
      <c r="G110" s="550">
        <v>0</v>
      </c>
      <c r="H110" s="550">
        <v>0</v>
      </c>
      <c r="I110" s="550">
        <v>0</v>
      </c>
      <c r="J110" s="550">
        <v>2</v>
      </c>
      <c r="K110" s="550">
        <v>0</v>
      </c>
      <c r="L110" s="550">
        <v>0</v>
      </c>
      <c r="M110" s="550">
        <v>0</v>
      </c>
      <c r="N110" s="550">
        <v>2</v>
      </c>
      <c r="O110" s="550">
        <v>1</v>
      </c>
      <c r="P110" s="550">
        <v>4</v>
      </c>
      <c r="Q110" s="550">
        <v>0</v>
      </c>
      <c r="R110" s="551" t="str">
        <f t="shared" si="2"/>
        <v>SUTTER CREEK</v>
      </c>
      <c r="S110" s="552"/>
      <c r="T110" s="552"/>
      <c r="U110" s="552"/>
      <c r="V110" s="552"/>
      <c r="W110" s="552"/>
      <c r="X110" s="552"/>
      <c r="Y110" s="552"/>
      <c r="Z110" s="552"/>
      <c r="AA110" s="553"/>
      <c r="AB110" s="553"/>
    </row>
    <row r="111" spans="1:28" ht="12.75">
      <c r="A111" s="547" t="s">
        <v>254</v>
      </c>
      <c r="B111" s="547" t="s">
        <v>130</v>
      </c>
      <c r="C111" s="548" t="s">
        <v>784</v>
      </c>
      <c r="D111" s="549">
        <v>2016</v>
      </c>
      <c r="E111" s="549" t="s">
        <v>775</v>
      </c>
      <c r="F111" s="550">
        <v>2</v>
      </c>
      <c r="G111" s="550">
        <v>0</v>
      </c>
      <c r="H111" s="550">
        <v>0</v>
      </c>
      <c r="I111" s="550">
        <v>0</v>
      </c>
      <c r="J111" s="550">
        <v>2</v>
      </c>
      <c r="K111" s="550">
        <v>0</v>
      </c>
      <c r="L111" s="550">
        <v>0</v>
      </c>
      <c r="M111" s="550">
        <v>0</v>
      </c>
      <c r="N111" s="550">
        <v>2</v>
      </c>
      <c r="O111" s="550">
        <v>1</v>
      </c>
      <c r="P111" s="550">
        <v>4</v>
      </c>
      <c r="Q111" s="550">
        <v>10</v>
      </c>
      <c r="R111" s="551" t="str">
        <f t="shared" si="2"/>
        <v>SUTTER CREEK</v>
      </c>
      <c r="S111" s="552"/>
      <c r="T111" s="552"/>
      <c r="U111" s="552"/>
      <c r="V111" s="552"/>
      <c r="W111" s="552"/>
      <c r="X111" s="552"/>
      <c r="Y111" s="552"/>
      <c r="Z111" s="552"/>
      <c r="AA111" s="553"/>
      <c r="AB111" s="553"/>
    </row>
    <row r="112" spans="1:28" ht="12.75">
      <c r="A112" s="547" t="s">
        <v>254</v>
      </c>
      <c r="B112" s="547" t="s">
        <v>130</v>
      </c>
      <c r="C112" s="548" t="s">
        <v>784</v>
      </c>
      <c r="D112" s="549">
        <v>2017</v>
      </c>
      <c r="E112" s="549" t="s">
        <v>775</v>
      </c>
      <c r="F112" s="550">
        <v>2</v>
      </c>
      <c r="G112" s="550">
        <v>0</v>
      </c>
      <c r="H112" s="550">
        <v>0</v>
      </c>
      <c r="I112" s="550">
        <v>0</v>
      </c>
      <c r="J112" s="550">
        <v>2</v>
      </c>
      <c r="K112" s="550">
        <v>0</v>
      </c>
      <c r="L112" s="550">
        <v>0</v>
      </c>
      <c r="M112" s="550">
        <v>0</v>
      </c>
      <c r="N112" s="550">
        <v>2</v>
      </c>
      <c r="O112" s="550">
        <v>17</v>
      </c>
      <c r="P112" s="550">
        <v>4</v>
      </c>
      <c r="Q112" s="550">
        <v>2</v>
      </c>
      <c r="R112" s="551" t="str">
        <f t="shared" si="2"/>
        <v>SUTTER CREEK</v>
      </c>
      <c r="S112" s="552"/>
      <c r="T112" s="552"/>
      <c r="U112" s="552"/>
      <c r="V112" s="552"/>
      <c r="W112" s="552"/>
      <c r="X112" s="552"/>
      <c r="Y112" s="552"/>
      <c r="Z112" s="552"/>
      <c r="AA112" s="553"/>
      <c r="AB112" s="553"/>
    </row>
    <row r="113" spans="1:28" ht="12.75">
      <c r="A113" s="547" t="s">
        <v>254</v>
      </c>
      <c r="B113" s="547" t="s">
        <v>130</v>
      </c>
      <c r="C113" s="548" t="s">
        <v>784</v>
      </c>
      <c r="D113" s="549">
        <v>2018</v>
      </c>
      <c r="E113" s="549" t="s">
        <v>775</v>
      </c>
      <c r="F113" s="550">
        <v>2</v>
      </c>
      <c r="G113" s="550">
        <v>0</v>
      </c>
      <c r="H113" s="550">
        <v>0</v>
      </c>
      <c r="I113" s="550">
        <v>0</v>
      </c>
      <c r="J113" s="550">
        <v>2</v>
      </c>
      <c r="K113" s="550">
        <v>0</v>
      </c>
      <c r="L113" s="550">
        <v>0</v>
      </c>
      <c r="M113" s="550">
        <v>0</v>
      </c>
      <c r="N113" s="550">
        <v>2</v>
      </c>
      <c r="O113" s="550">
        <v>0</v>
      </c>
      <c r="P113" s="550">
        <v>4</v>
      </c>
      <c r="Q113" s="550">
        <v>1</v>
      </c>
      <c r="R113" s="551" t="str">
        <f t="shared" si="2"/>
        <v>SUTTER CREEK</v>
      </c>
      <c r="S113" s="255"/>
      <c r="T113" s="255"/>
      <c r="U113" s="255"/>
      <c r="V113" s="255"/>
      <c r="W113" s="83"/>
      <c r="X113" s="255"/>
      <c r="Y113" s="255"/>
      <c r="Z113" s="255"/>
      <c r="AA113" s="553"/>
      <c r="AB113" s="553"/>
    </row>
    <row r="114" spans="1:28" ht="12.75">
      <c r="A114" s="547" t="s">
        <v>254</v>
      </c>
      <c r="B114" s="547" t="s">
        <v>130</v>
      </c>
      <c r="C114" s="548" t="s">
        <v>785</v>
      </c>
      <c r="D114" s="549">
        <v>2019</v>
      </c>
      <c r="E114" s="549" t="s">
        <v>775</v>
      </c>
      <c r="F114" s="550">
        <v>2</v>
      </c>
      <c r="G114" s="550">
        <v>0</v>
      </c>
      <c r="H114" s="550">
        <v>0</v>
      </c>
      <c r="I114" s="550">
        <v>0</v>
      </c>
      <c r="J114" s="550">
        <v>2</v>
      </c>
      <c r="K114" s="550">
        <v>0</v>
      </c>
      <c r="L114" s="550">
        <v>0</v>
      </c>
      <c r="M114" s="550">
        <v>0</v>
      </c>
      <c r="N114" s="550">
        <v>2</v>
      </c>
      <c r="O114" s="550">
        <v>0</v>
      </c>
      <c r="P114" s="550">
        <v>4</v>
      </c>
      <c r="Q114" s="550">
        <v>3</v>
      </c>
      <c r="R114" s="551" t="str">
        <f t="shared" si="2"/>
        <v>SUTTER CREEK</v>
      </c>
      <c r="S114" s="561">
        <f>SUM(G109:G114) +SUM(K109:K114)</f>
        <v>0</v>
      </c>
      <c r="T114" s="561">
        <f>F114+J114</f>
        <v>4</v>
      </c>
      <c r="U114" s="561">
        <f>SUM(O109:O114)</f>
        <v>20</v>
      </c>
      <c r="V114" s="561">
        <f>N114</f>
        <v>2</v>
      </c>
      <c r="W114" s="562">
        <f>SUM(Q109:Q114)</f>
        <v>16</v>
      </c>
      <c r="X114" s="561">
        <f>P114</f>
        <v>4</v>
      </c>
      <c r="Y114" s="561">
        <f>S114+U114+SUM(Q109:Q114)</f>
        <v>36</v>
      </c>
      <c r="Z114" s="561">
        <f>F114+J114+N114+P114</f>
        <v>10</v>
      </c>
      <c r="AA114" s="553"/>
      <c r="AB114" s="553"/>
    </row>
    <row r="115" spans="1:28" ht="12.75">
      <c r="A115" s="547"/>
      <c r="B115" s="547"/>
      <c r="C115" s="548"/>
      <c r="D115" s="549"/>
      <c r="E115" s="549"/>
      <c r="F115" s="550"/>
      <c r="G115" s="550"/>
      <c r="H115" s="550"/>
      <c r="I115" s="550"/>
      <c r="J115" s="550"/>
      <c r="K115" s="550"/>
      <c r="L115" s="550"/>
      <c r="M115" s="550"/>
      <c r="N115" s="550"/>
      <c r="O115" s="550"/>
      <c r="P115" s="550"/>
      <c r="Q115" s="550"/>
      <c r="R115" s="551"/>
      <c r="S115" s="563">
        <f t="shared" ref="S115:Z115" si="3">SUM(S93:S114)</f>
        <v>8</v>
      </c>
      <c r="T115" s="563">
        <f t="shared" si="3"/>
        <v>36</v>
      </c>
      <c r="U115" s="563">
        <f t="shared" si="3"/>
        <v>200</v>
      </c>
      <c r="V115" s="563">
        <f t="shared" si="3"/>
        <v>19</v>
      </c>
      <c r="W115" s="563">
        <f t="shared" si="3"/>
        <v>216</v>
      </c>
      <c r="X115" s="563">
        <f t="shared" si="3"/>
        <v>43</v>
      </c>
      <c r="Y115" s="563">
        <f t="shared" si="3"/>
        <v>424</v>
      </c>
      <c r="Z115" s="563">
        <f t="shared" si="3"/>
        <v>98</v>
      </c>
      <c r="AA115" s="553"/>
      <c r="AB115" s="553"/>
    </row>
    <row r="116" spans="1:28" ht="12.75">
      <c r="A116" s="547" t="s">
        <v>255</v>
      </c>
      <c r="B116" s="547" t="s">
        <v>131</v>
      </c>
      <c r="C116" s="548" t="s">
        <v>786</v>
      </c>
      <c r="D116" s="549">
        <v>2014</v>
      </c>
      <c r="E116" s="549" t="s">
        <v>775</v>
      </c>
      <c r="F116" s="550">
        <v>48</v>
      </c>
      <c r="G116" s="550">
        <v>0</v>
      </c>
      <c r="H116" s="550">
        <v>0</v>
      </c>
      <c r="I116" s="550">
        <v>0</v>
      </c>
      <c r="J116" s="550">
        <v>30</v>
      </c>
      <c r="K116" s="550">
        <v>0</v>
      </c>
      <c r="L116" s="550">
        <v>0</v>
      </c>
      <c r="M116" s="550">
        <v>0</v>
      </c>
      <c r="N116" s="550">
        <v>24</v>
      </c>
      <c r="O116" s="550">
        <v>0</v>
      </c>
      <c r="P116" s="550">
        <v>82</v>
      </c>
      <c r="Q116" s="550">
        <v>0</v>
      </c>
      <c r="R116" s="551" t="str">
        <f t="shared" ref="R116:R153" si="4">A116</f>
        <v>BIGGS</v>
      </c>
      <c r="S116" s="552"/>
      <c r="T116" s="552"/>
      <c r="U116" s="552"/>
      <c r="V116" s="552"/>
      <c r="W116" s="552"/>
      <c r="X116" s="552"/>
      <c r="Y116" s="552"/>
      <c r="Z116" s="552"/>
      <c r="AA116" s="553"/>
      <c r="AB116" s="553"/>
    </row>
    <row r="117" spans="1:28" ht="12.75">
      <c r="A117" s="547" t="s">
        <v>255</v>
      </c>
      <c r="B117" s="547" t="s">
        <v>131</v>
      </c>
      <c r="C117" s="548" t="s">
        <v>786</v>
      </c>
      <c r="D117" s="549">
        <v>2015</v>
      </c>
      <c r="E117" s="549" t="s">
        <v>775</v>
      </c>
      <c r="F117" s="550">
        <v>48</v>
      </c>
      <c r="G117" s="550">
        <v>26</v>
      </c>
      <c r="H117" s="550">
        <v>26</v>
      </c>
      <c r="I117" s="550">
        <v>0</v>
      </c>
      <c r="J117" s="550">
        <v>30</v>
      </c>
      <c r="K117" s="550">
        <v>30</v>
      </c>
      <c r="L117" s="550">
        <v>30</v>
      </c>
      <c r="M117" s="550">
        <v>0</v>
      </c>
      <c r="N117" s="550">
        <v>24</v>
      </c>
      <c r="O117" s="550">
        <v>0</v>
      </c>
      <c r="P117" s="550">
        <v>82</v>
      </c>
      <c r="Q117" s="550">
        <v>0</v>
      </c>
      <c r="R117" s="551" t="str">
        <f t="shared" si="4"/>
        <v>BIGGS</v>
      </c>
      <c r="S117" s="552"/>
      <c r="T117" s="552"/>
      <c r="U117" s="552"/>
      <c r="V117" s="552"/>
      <c r="W117" s="552"/>
      <c r="X117" s="552"/>
      <c r="Y117" s="552"/>
      <c r="Z117" s="552"/>
      <c r="AA117" s="553"/>
      <c r="AB117" s="553"/>
    </row>
    <row r="118" spans="1:28" ht="12.75">
      <c r="A118" s="547" t="s">
        <v>255</v>
      </c>
      <c r="B118" s="547" t="s">
        <v>131</v>
      </c>
      <c r="C118" s="548" t="s">
        <v>786</v>
      </c>
      <c r="D118" s="549">
        <v>2017</v>
      </c>
      <c r="E118" s="549" t="s">
        <v>775</v>
      </c>
      <c r="F118" s="550">
        <v>48</v>
      </c>
      <c r="G118" s="550">
        <v>0</v>
      </c>
      <c r="H118" s="550">
        <v>0</v>
      </c>
      <c r="I118" s="550">
        <v>0</v>
      </c>
      <c r="J118" s="550">
        <v>30</v>
      </c>
      <c r="K118" s="550">
        <v>0</v>
      </c>
      <c r="L118" s="550">
        <v>0</v>
      </c>
      <c r="M118" s="550">
        <v>0</v>
      </c>
      <c r="N118" s="550">
        <v>24</v>
      </c>
      <c r="O118" s="550">
        <v>1</v>
      </c>
      <c r="P118" s="550">
        <v>82</v>
      </c>
      <c r="Q118" s="550">
        <v>0</v>
      </c>
      <c r="R118" s="551" t="str">
        <f t="shared" si="4"/>
        <v>BIGGS</v>
      </c>
      <c r="S118" s="552"/>
      <c r="T118" s="552"/>
      <c r="U118" s="552"/>
      <c r="V118" s="552"/>
      <c r="W118" s="552"/>
      <c r="X118" s="552"/>
      <c r="Y118" s="552"/>
      <c r="Z118" s="552"/>
      <c r="AA118" s="553"/>
      <c r="AB118" s="553"/>
    </row>
    <row r="119" spans="1:28" ht="12.75">
      <c r="A119" s="547" t="s">
        <v>255</v>
      </c>
      <c r="B119" s="547" t="s">
        <v>131</v>
      </c>
      <c r="C119" s="548" t="s">
        <v>786</v>
      </c>
      <c r="D119" s="549">
        <v>2018</v>
      </c>
      <c r="E119" s="549" t="s">
        <v>775</v>
      </c>
      <c r="F119" s="550">
        <v>48</v>
      </c>
      <c r="G119" s="564"/>
      <c r="H119" s="564"/>
      <c r="I119" s="564"/>
      <c r="J119" s="550">
        <v>30</v>
      </c>
      <c r="K119" s="564"/>
      <c r="L119" s="564"/>
      <c r="M119" s="564"/>
      <c r="N119" s="550">
        <v>24</v>
      </c>
      <c r="O119" s="564"/>
      <c r="P119" s="550">
        <v>82</v>
      </c>
      <c r="Q119" s="564"/>
      <c r="R119" s="551" t="str">
        <f t="shared" si="4"/>
        <v>BIGGS</v>
      </c>
      <c r="S119" s="552"/>
      <c r="T119" s="552"/>
      <c r="U119" s="552"/>
      <c r="V119" s="552"/>
      <c r="W119" s="552"/>
      <c r="X119" s="552"/>
      <c r="Y119" s="552"/>
      <c r="Z119" s="552"/>
      <c r="AA119" s="553"/>
      <c r="AB119" s="553"/>
    </row>
    <row r="120" spans="1:28" ht="12.75">
      <c r="A120" s="547" t="s">
        <v>255</v>
      </c>
      <c r="B120" s="547" t="s">
        <v>131</v>
      </c>
      <c r="C120" s="548" t="s">
        <v>787</v>
      </c>
      <c r="D120" s="549">
        <v>2019</v>
      </c>
      <c r="E120" s="549" t="s">
        <v>775</v>
      </c>
      <c r="F120" s="550">
        <v>48</v>
      </c>
      <c r="G120" s="550">
        <v>0</v>
      </c>
      <c r="H120" s="550">
        <v>0</v>
      </c>
      <c r="I120" s="550">
        <v>0</v>
      </c>
      <c r="J120" s="550">
        <v>30</v>
      </c>
      <c r="K120" s="550">
        <v>0</v>
      </c>
      <c r="L120" s="550">
        <v>0</v>
      </c>
      <c r="M120" s="550">
        <v>0</v>
      </c>
      <c r="N120" s="550">
        <v>24</v>
      </c>
      <c r="O120" s="550">
        <v>0</v>
      </c>
      <c r="P120" s="550">
        <v>82</v>
      </c>
      <c r="Q120" s="550">
        <v>0</v>
      </c>
      <c r="R120" s="551" t="str">
        <f t="shared" si="4"/>
        <v>BIGGS</v>
      </c>
      <c r="S120" s="255">
        <f>SUM(G116:G120) +SUM(K116:K120)</f>
        <v>56</v>
      </c>
      <c r="T120" s="255">
        <f>F120+J120</f>
        <v>78</v>
      </c>
      <c r="U120" s="255">
        <f>SUM(O116:O120)</f>
        <v>1</v>
      </c>
      <c r="V120" s="255">
        <f>N120</f>
        <v>24</v>
      </c>
      <c r="W120" s="83">
        <f>SUM(Q116:Q120)</f>
        <v>0</v>
      </c>
      <c r="X120" s="255">
        <f>P120</f>
        <v>82</v>
      </c>
      <c r="Y120" s="255">
        <f>S120+U120+SUM(Q116:Q120)</f>
        <v>57</v>
      </c>
      <c r="Z120" s="255">
        <f>F120+J120+N120+P120</f>
        <v>184</v>
      </c>
      <c r="AA120" s="553"/>
      <c r="AB120" s="553"/>
    </row>
    <row r="121" spans="1:28" ht="12.75">
      <c r="A121" s="547" t="s">
        <v>256</v>
      </c>
      <c r="B121" s="547" t="s">
        <v>131</v>
      </c>
      <c r="C121" s="548" t="s">
        <v>786</v>
      </c>
      <c r="D121" s="549">
        <v>2016</v>
      </c>
      <c r="E121" s="549" t="s">
        <v>775</v>
      </c>
      <c r="F121" s="550">
        <v>682</v>
      </c>
      <c r="G121" s="550">
        <v>0</v>
      </c>
      <c r="H121" s="550">
        <v>0</v>
      </c>
      <c r="I121" s="550">
        <v>0</v>
      </c>
      <c r="J121" s="550">
        <v>545</v>
      </c>
      <c r="K121" s="550">
        <v>0</v>
      </c>
      <c r="L121" s="550">
        <v>0</v>
      </c>
      <c r="M121" s="550">
        <v>0</v>
      </c>
      <c r="N121" s="550">
        <v>480</v>
      </c>
      <c r="O121" s="550">
        <v>8</v>
      </c>
      <c r="P121" s="550">
        <v>1267</v>
      </c>
      <c r="Q121" s="550">
        <v>90</v>
      </c>
      <c r="R121" s="551" t="str">
        <f t="shared" si="4"/>
        <v>BUTTE COUNTY</v>
      </c>
      <c r="S121" s="552"/>
      <c r="T121" s="552"/>
      <c r="U121" s="552"/>
      <c r="V121" s="552"/>
      <c r="W121" s="552"/>
      <c r="X121" s="552"/>
      <c r="Y121" s="552"/>
      <c r="Z121" s="552"/>
      <c r="AA121" s="553"/>
      <c r="AB121" s="553"/>
    </row>
    <row r="122" spans="1:28" ht="12.75">
      <c r="A122" s="547" t="s">
        <v>256</v>
      </c>
      <c r="B122" s="547" t="s">
        <v>131</v>
      </c>
      <c r="C122" s="548" t="s">
        <v>786</v>
      </c>
      <c r="D122" s="549">
        <v>2017</v>
      </c>
      <c r="E122" s="549" t="s">
        <v>775</v>
      </c>
      <c r="F122" s="550">
        <v>682</v>
      </c>
      <c r="G122" s="550">
        <v>0</v>
      </c>
      <c r="H122" s="550">
        <v>0</v>
      </c>
      <c r="I122" s="550">
        <v>0</v>
      </c>
      <c r="J122" s="550">
        <v>545</v>
      </c>
      <c r="K122" s="550">
        <v>8</v>
      </c>
      <c r="L122" s="550">
        <v>8</v>
      </c>
      <c r="M122" s="550">
        <v>0</v>
      </c>
      <c r="N122" s="550">
        <v>480</v>
      </c>
      <c r="O122" s="550">
        <v>25</v>
      </c>
      <c r="P122" s="550">
        <v>1267</v>
      </c>
      <c r="Q122" s="550">
        <v>117</v>
      </c>
      <c r="R122" s="551" t="str">
        <f t="shared" si="4"/>
        <v>BUTTE COUNTY</v>
      </c>
      <c r="S122" s="552"/>
      <c r="T122" s="552"/>
      <c r="U122" s="552"/>
      <c r="V122" s="552"/>
      <c r="W122" s="552"/>
      <c r="X122" s="552"/>
      <c r="Y122" s="552"/>
      <c r="Z122" s="552"/>
      <c r="AA122" s="553"/>
      <c r="AB122" s="553"/>
    </row>
    <row r="123" spans="1:28" ht="12.75">
      <c r="A123" s="547" t="s">
        <v>256</v>
      </c>
      <c r="B123" s="547" t="s">
        <v>131</v>
      </c>
      <c r="C123" s="548" t="s">
        <v>786</v>
      </c>
      <c r="D123" s="549">
        <v>2018</v>
      </c>
      <c r="E123" s="549" t="s">
        <v>775</v>
      </c>
      <c r="F123" s="550">
        <v>682</v>
      </c>
      <c r="G123" s="550">
        <v>0</v>
      </c>
      <c r="H123" s="550">
        <v>0</v>
      </c>
      <c r="I123" s="550">
        <v>0</v>
      </c>
      <c r="J123" s="550">
        <v>545</v>
      </c>
      <c r="K123" s="550">
        <v>9</v>
      </c>
      <c r="L123" s="550">
        <v>0</v>
      </c>
      <c r="M123" s="550">
        <v>9</v>
      </c>
      <c r="N123" s="550">
        <v>480</v>
      </c>
      <c r="O123" s="550">
        <v>72</v>
      </c>
      <c r="P123" s="550">
        <v>1267</v>
      </c>
      <c r="Q123" s="550">
        <v>73</v>
      </c>
      <c r="R123" s="551" t="str">
        <f t="shared" si="4"/>
        <v>BUTTE COUNTY</v>
      </c>
      <c r="S123" s="552"/>
      <c r="T123" s="552"/>
      <c r="U123" s="552"/>
      <c r="V123" s="552"/>
      <c r="W123" s="552"/>
      <c r="X123" s="552"/>
      <c r="Y123" s="552"/>
      <c r="Z123" s="552"/>
      <c r="AA123" s="553"/>
      <c r="AB123" s="553"/>
    </row>
    <row r="124" spans="1:28" ht="12.75">
      <c r="A124" s="547" t="s">
        <v>256</v>
      </c>
      <c r="B124" s="547" t="s">
        <v>131</v>
      </c>
      <c r="C124" s="548" t="s">
        <v>787</v>
      </c>
      <c r="D124" s="549">
        <v>2019</v>
      </c>
      <c r="E124" s="549" t="s">
        <v>775</v>
      </c>
      <c r="F124" s="550">
        <v>682</v>
      </c>
      <c r="G124" s="550">
        <v>0</v>
      </c>
      <c r="H124" s="550">
        <v>0</v>
      </c>
      <c r="I124" s="550">
        <v>0</v>
      </c>
      <c r="J124" s="550">
        <v>545</v>
      </c>
      <c r="K124" s="550">
        <v>0</v>
      </c>
      <c r="L124" s="550">
        <v>0</v>
      </c>
      <c r="M124" s="550">
        <v>0</v>
      </c>
      <c r="N124" s="550">
        <v>480</v>
      </c>
      <c r="O124" s="550">
        <v>56</v>
      </c>
      <c r="P124" s="550">
        <v>1267</v>
      </c>
      <c r="Q124" s="550">
        <v>95</v>
      </c>
      <c r="R124" s="551" t="str">
        <f t="shared" si="4"/>
        <v>BUTTE COUNTY</v>
      </c>
      <c r="S124" s="255">
        <f>SUM(G121:G124) +SUM(K121:K124)</f>
        <v>17</v>
      </c>
      <c r="T124" s="255">
        <f>F124+J124</f>
        <v>1227</v>
      </c>
      <c r="U124" s="255">
        <f>SUM(O121:O124)</f>
        <v>161</v>
      </c>
      <c r="V124" s="255">
        <f>N124</f>
        <v>480</v>
      </c>
      <c r="W124" s="83">
        <f>SUM(Q121:Q124)</f>
        <v>375</v>
      </c>
      <c r="X124" s="255">
        <f>P124</f>
        <v>1267</v>
      </c>
      <c r="Y124" s="255">
        <f>S124+U124+SUM(Q121:Q124)</f>
        <v>553</v>
      </c>
      <c r="Z124" s="255">
        <f>F124+J124+N124+P124</f>
        <v>2974</v>
      </c>
      <c r="AA124" s="553"/>
      <c r="AB124" s="553"/>
    </row>
    <row r="125" spans="1:28" ht="12.75">
      <c r="A125" s="547" t="s">
        <v>257</v>
      </c>
      <c r="B125" s="547" t="s">
        <v>131</v>
      </c>
      <c r="C125" s="548" t="s">
        <v>786</v>
      </c>
      <c r="D125" s="549">
        <v>2015</v>
      </c>
      <c r="E125" s="549" t="s">
        <v>775</v>
      </c>
      <c r="F125" s="550">
        <v>974</v>
      </c>
      <c r="G125" s="550">
        <v>0</v>
      </c>
      <c r="H125" s="550">
        <v>0</v>
      </c>
      <c r="I125" s="550">
        <v>0</v>
      </c>
      <c r="J125" s="550">
        <v>643</v>
      </c>
      <c r="K125" s="550">
        <v>2</v>
      </c>
      <c r="L125" s="550">
        <v>2</v>
      </c>
      <c r="M125" s="550">
        <v>0</v>
      </c>
      <c r="N125" s="550">
        <v>708</v>
      </c>
      <c r="O125" s="550">
        <v>0</v>
      </c>
      <c r="P125" s="550">
        <v>1638</v>
      </c>
      <c r="Q125" s="550">
        <v>522</v>
      </c>
      <c r="R125" s="551" t="str">
        <f t="shared" si="4"/>
        <v>CHICO</v>
      </c>
      <c r="S125" s="552"/>
      <c r="T125" s="552"/>
      <c r="U125" s="552"/>
      <c r="V125" s="552"/>
      <c r="W125" s="552"/>
      <c r="X125" s="552"/>
      <c r="Y125" s="552"/>
      <c r="Z125" s="552"/>
      <c r="AA125" s="553"/>
      <c r="AB125" s="553"/>
    </row>
    <row r="126" spans="1:28" ht="12.75">
      <c r="A126" s="547" t="s">
        <v>257</v>
      </c>
      <c r="B126" s="547" t="s">
        <v>131</v>
      </c>
      <c r="C126" s="548" t="s">
        <v>786</v>
      </c>
      <c r="D126" s="549">
        <v>2016</v>
      </c>
      <c r="E126" s="549" t="s">
        <v>775</v>
      </c>
      <c r="F126" s="550">
        <v>974</v>
      </c>
      <c r="G126" s="550">
        <v>15</v>
      </c>
      <c r="H126" s="550">
        <v>15</v>
      </c>
      <c r="I126" s="550">
        <v>0</v>
      </c>
      <c r="J126" s="550">
        <v>643</v>
      </c>
      <c r="K126" s="550">
        <v>1</v>
      </c>
      <c r="L126" s="550">
        <v>1</v>
      </c>
      <c r="M126" s="550">
        <v>0</v>
      </c>
      <c r="N126" s="550">
        <v>708</v>
      </c>
      <c r="O126" s="550">
        <v>64</v>
      </c>
      <c r="P126" s="550">
        <v>1638</v>
      </c>
      <c r="Q126" s="550">
        <v>435</v>
      </c>
      <c r="R126" s="551" t="str">
        <f t="shared" si="4"/>
        <v>CHICO</v>
      </c>
      <c r="S126" s="552"/>
      <c r="T126" s="552"/>
      <c r="U126" s="552"/>
      <c r="V126" s="552"/>
      <c r="W126" s="552"/>
      <c r="X126" s="552"/>
      <c r="Y126" s="552"/>
      <c r="Z126" s="552"/>
      <c r="AA126" s="553"/>
      <c r="AB126" s="553"/>
    </row>
    <row r="127" spans="1:28" ht="12.75">
      <c r="A127" s="547" t="s">
        <v>257</v>
      </c>
      <c r="B127" s="547" t="s">
        <v>131</v>
      </c>
      <c r="C127" s="548" t="s">
        <v>786</v>
      </c>
      <c r="D127" s="549">
        <v>2017</v>
      </c>
      <c r="E127" s="549" t="s">
        <v>775</v>
      </c>
      <c r="F127" s="550">
        <v>974</v>
      </c>
      <c r="G127" s="550">
        <v>0</v>
      </c>
      <c r="H127" s="550">
        <v>0</v>
      </c>
      <c r="I127" s="550">
        <v>0</v>
      </c>
      <c r="J127" s="550">
        <v>643</v>
      </c>
      <c r="K127" s="550">
        <v>2</v>
      </c>
      <c r="L127" s="550">
        <v>2</v>
      </c>
      <c r="M127" s="550">
        <v>0</v>
      </c>
      <c r="N127" s="550">
        <v>708</v>
      </c>
      <c r="O127" s="550">
        <v>260</v>
      </c>
      <c r="P127" s="550">
        <v>1638</v>
      </c>
      <c r="Q127" s="550">
        <v>376</v>
      </c>
      <c r="R127" s="551" t="str">
        <f t="shared" si="4"/>
        <v>CHICO</v>
      </c>
      <c r="S127" s="552"/>
      <c r="T127" s="552"/>
      <c r="U127" s="552"/>
      <c r="V127" s="552"/>
      <c r="W127" s="552"/>
      <c r="X127" s="552"/>
      <c r="Y127" s="552"/>
      <c r="Z127" s="552"/>
      <c r="AA127" s="553"/>
      <c r="AB127" s="553"/>
    </row>
    <row r="128" spans="1:28" ht="12.75">
      <c r="A128" s="547" t="s">
        <v>257</v>
      </c>
      <c r="B128" s="547" t="s">
        <v>131</v>
      </c>
      <c r="C128" s="548" t="s">
        <v>786</v>
      </c>
      <c r="D128" s="549">
        <v>2018</v>
      </c>
      <c r="E128" s="549" t="s">
        <v>775</v>
      </c>
      <c r="F128" s="550">
        <v>974</v>
      </c>
      <c r="G128" s="550">
        <v>0</v>
      </c>
      <c r="H128" s="550">
        <v>0</v>
      </c>
      <c r="I128" s="550">
        <v>0</v>
      </c>
      <c r="J128" s="550">
        <v>643</v>
      </c>
      <c r="K128" s="550">
        <v>2</v>
      </c>
      <c r="L128" s="550">
        <v>2</v>
      </c>
      <c r="M128" s="550">
        <v>0</v>
      </c>
      <c r="N128" s="550">
        <v>708</v>
      </c>
      <c r="O128" s="550">
        <v>0</v>
      </c>
      <c r="P128" s="550">
        <v>1638</v>
      </c>
      <c r="Q128" s="550">
        <v>115</v>
      </c>
      <c r="R128" s="551" t="str">
        <f t="shared" si="4"/>
        <v>CHICO</v>
      </c>
      <c r="S128" s="552"/>
      <c r="T128" s="552"/>
      <c r="U128" s="552"/>
      <c r="V128" s="552"/>
      <c r="W128" s="552"/>
      <c r="X128" s="552"/>
      <c r="Y128" s="552"/>
      <c r="Z128" s="552"/>
      <c r="AA128" s="553"/>
      <c r="AB128" s="553"/>
    </row>
    <row r="129" spans="1:28" ht="12.75">
      <c r="A129" s="547" t="s">
        <v>257</v>
      </c>
      <c r="B129" s="547" t="s">
        <v>131</v>
      </c>
      <c r="C129" s="548" t="s">
        <v>787</v>
      </c>
      <c r="D129" s="549">
        <v>2019</v>
      </c>
      <c r="E129" s="549" t="s">
        <v>775</v>
      </c>
      <c r="F129" s="550">
        <v>974</v>
      </c>
      <c r="G129" s="550">
        <v>0</v>
      </c>
      <c r="H129" s="550">
        <v>0</v>
      </c>
      <c r="I129" s="550">
        <v>0</v>
      </c>
      <c r="J129" s="550">
        <v>643</v>
      </c>
      <c r="K129" s="550">
        <v>0</v>
      </c>
      <c r="L129" s="550">
        <v>0</v>
      </c>
      <c r="M129" s="550">
        <v>0</v>
      </c>
      <c r="N129" s="550">
        <v>708</v>
      </c>
      <c r="O129" s="550">
        <v>0</v>
      </c>
      <c r="P129" s="550">
        <v>1638</v>
      </c>
      <c r="Q129" s="550">
        <v>714</v>
      </c>
      <c r="R129" s="551" t="str">
        <f t="shared" si="4"/>
        <v>CHICO</v>
      </c>
      <c r="S129" s="255">
        <f>SUM(G125:G129) +SUM(K125:K129)</f>
        <v>22</v>
      </c>
      <c r="T129" s="255">
        <f>F129+J129</f>
        <v>1617</v>
      </c>
      <c r="U129" s="255">
        <f>SUM(O125:O129)</f>
        <v>324</v>
      </c>
      <c r="V129" s="255">
        <f>N129</f>
        <v>708</v>
      </c>
      <c r="W129" s="83">
        <f>SUM(Q125:Q129)</f>
        <v>2162</v>
      </c>
      <c r="X129" s="255">
        <f>P129</f>
        <v>1638</v>
      </c>
      <c r="Y129" s="255">
        <f>S129+U129+SUM(Q125:Q129)</f>
        <v>2508</v>
      </c>
      <c r="Z129" s="255">
        <f>F129+J129+N129+P129</f>
        <v>3963</v>
      </c>
      <c r="AA129" s="553"/>
      <c r="AB129" s="553"/>
    </row>
    <row r="130" spans="1:28" ht="12.75">
      <c r="A130" s="547" t="s">
        <v>258</v>
      </c>
      <c r="B130" s="547" t="s">
        <v>131</v>
      </c>
      <c r="C130" s="548" t="s">
        <v>786</v>
      </c>
      <c r="D130" s="549">
        <v>2014</v>
      </c>
      <c r="E130" s="549" t="s">
        <v>775</v>
      </c>
      <c r="F130" s="550">
        <v>231</v>
      </c>
      <c r="G130" s="550">
        <v>0</v>
      </c>
      <c r="H130" s="550">
        <v>0</v>
      </c>
      <c r="I130" s="550">
        <v>0</v>
      </c>
      <c r="J130" s="550">
        <v>118</v>
      </c>
      <c r="K130" s="550">
        <v>0</v>
      </c>
      <c r="L130" s="550">
        <v>0</v>
      </c>
      <c r="M130" s="550">
        <v>0</v>
      </c>
      <c r="N130" s="550">
        <v>99</v>
      </c>
      <c r="O130" s="550">
        <v>0</v>
      </c>
      <c r="P130" s="550">
        <v>321</v>
      </c>
      <c r="Q130" s="550">
        <v>8</v>
      </c>
      <c r="R130" s="551" t="str">
        <f t="shared" si="4"/>
        <v>GRIDLEY</v>
      </c>
      <c r="S130" s="552"/>
      <c r="T130" s="552"/>
      <c r="U130" s="552"/>
      <c r="V130" s="552"/>
      <c r="W130" s="552"/>
      <c r="X130" s="552"/>
      <c r="Y130" s="552"/>
      <c r="Z130" s="552"/>
      <c r="AA130" s="553"/>
      <c r="AB130" s="553"/>
    </row>
    <row r="131" spans="1:28" ht="12.75">
      <c r="A131" s="547" t="s">
        <v>258</v>
      </c>
      <c r="B131" s="547" t="s">
        <v>131</v>
      </c>
      <c r="C131" s="548" t="s">
        <v>786</v>
      </c>
      <c r="D131" s="549">
        <v>2015</v>
      </c>
      <c r="E131" s="549" t="s">
        <v>775</v>
      </c>
      <c r="F131" s="550">
        <v>231</v>
      </c>
      <c r="G131" s="550">
        <v>0</v>
      </c>
      <c r="H131" s="550">
        <v>0</v>
      </c>
      <c r="I131" s="550">
        <v>0</v>
      </c>
      <c r="J131" s="550">
        <v>118</v>
      </c>
      <c r="K131" s="550">
        <v>0</v>
      </c>
      <c r="L131" s="550">
        <v>0</v>
      </c>
      <c r="M131" s="550">
        <v>0</v>
      </c>
      <c r="N131" s="550">
        <v>99</v>
      </c>
      <c r="O131" s="550">
        <v>0</v>
      </c>
      <c r="P131" s="550">
        <v>321</v>
      </c>
      <c r="Q131" s="550">
        <v>3</v>
      </c>
      <c r="R131" s="551" t="str">
        <f t="shared" si="4"/>
        <v>GRIDLEY</v>
      </c>
      <c r="S131" s="552"/>
      <c r="T131" s="552"/>
      <c r="U131" s="552"/>
      <c r="V131" s="552"/>
      <c r="W131" s="552"/>
      <c r="X131" s="552"/>
      <c r="Y131" s="552"/>
      <c r="Z131" s="552"/>
      <c r="AA131" s="553"/>
      <c r="AB131" s="553"/>
    </row>
    <row r="132" spans="1:28" ht="12.75">
      <c r="A132" s="547" t="s">
        <v>258</v>
      </c>
      <c r="B132" s="547" t="s">
        <v>131</v>
      </c>
      <c r="C132" s="548" t="s">
        <v>786</v>
      </c>
      <c r="D132" s="549">
        <v>2016</v>
      </c>
      <c r="E132" s="549" t="s">
        <v>775</v>
      </c>
      <c r="F132" s="550">
        <v>231</v>
      </c>
      <c r="G132" s="550">
        <v>0</v>
      </c>
      <c r="H132" s="550">
        <v>0</v>
      </c>
      <c r="I132" s="550">
        <v>0</v>
      </c>
      <c r="J132" s="550">
        <v>118</v>
      </c>
      <c r="K132" s="550">
        <v>0</v>
      </c>
      <c r="L132" s="550">
        <v>0</v>
      </c>
      <c r="M132" s="550">
        <v>0</v>
      </c>
      <c r="N132" s="550">
        <v>99</v>
      </c>
      <c r="O132" s="550">
        <v>0</v>
      </c>
      <c r="P132" s="550">
        <v>321</v>
      </c>
      <c r="Q132" s="550">
        <v>16</v>
      </c>
      <c r="R132" s="551" t="str">
        <f t="shared" si="4"/>
        <v>GRIDLEY</v>
      </c>
      <c r="S132" s="552"/>
      <c r="T132" s="552"/>
      <c r="U132" s="552"/>
      <c r="V132" s="552"/>
      <c r="W132" s="552"/>
      <c r="X132" s="552"/>
      <c r="Y132" s="552"/>
      <c r="Z132" s="552"/>
      <c r="AA132" s="553"/>
      <c r="AB132" s="553"/>
    </row>
    <row r="133" spans="1:28" ht="12.75">
      <c r="A133" s="547" t="s">
        <v>258</v>
      </c>
      <c r="B133" s="547" t="s">
        <v>131</v>
      </c>
      <c r="C133" s="548" t="s">
        <v>786</v>
      </c>
      <c r="D133" s="549">
        <v>2017</v>
      </c>
      <c r="E133" s="549" t="s">
        <v>775</v>
      </c>
      <c r="F133" s="550">
        <v>231</v>
      </c>
      <c r="G133" s="550">
        <v>0</v>
      </c>
      <c r="H133" s="550">
        <v>0</v>
      </c>
      <c r="I133" s="550">
        <v>0</v>
      </c>
      <c r="J133" s="550">
        <v>118</v>
      </c>
      <c r="K133" s="550">
        <v>0</v>
      </c>
      <c r="L133" s="550">
        <v>0</v>
      </c>
      <c r="M133" s="550">
        <v>0</v>
      </c>
      <c r="N133" s="550">
        <v>99</v>
      </c>
      <c r="O133" s="550">
        <v>0</v>
      </c>
      <c r="P133" s="550">
        <v>321</v>
      </c>
      <c r="Q133" s="550">
        <v>19</v>
      </c>
      <c r="R133" s="551" t="str">
        <f t="shared" si="4"/>
        <v>GRIDLEY</v>
      </c>
      <c r="S133" s="552"/>
      <c r="T133" s="552"/>
      <c r="U133" s="552"/>
      <c r="V133" s="552"/>
      <c r="W133" s="552"/>
      <c r="X133" s="552"/>
      <c r="Y133" s="552"/>
      <c r="Z133" s="552"/>
      <c r="AA133" s="553"/>
      <c r="AB133" s="553"/>
    </row>
    <row r="134" spans="1:28" ht="12.75">
      <c r="A134" s="547" t="s">
        <v>258</v>
      </c>
      <c r="B134" s="547" t="s">
        <v>131</v>
      </c>
      <c r="C134" s="548" t="s">
        <v>786</v>
      </c>
      <c r="D134" s="549">
        <v>2018</v>
      </c>
      <c r="E134" s="549" t="s">
        <v>775</v>
      </c>
      <c r="F134" s="550">
        <v>231</v>
      </c>
      <c r="G134" s="564"/>
      <c r="H134" s="564"/>
      <c r="I134" s="564"/>
      <c r="J134" s="550">
        <v>118</v>
      </c>
      <c r="K134" s="564"/>
      <c r="L134" s="564"/>
      <c r="M134" s="564"/>
      <c r="N134" s="550">
        <v>99</v>
      </c>
      <c r="O134" s="564"/>
      <c r="P134" s="550">
        <v>321</v>
      </c>
      <c r="Q134" s="564"/>
      <c r="R134" s="551" t="str">
        <f t="shared" si="4"/>
        <v>GRIDLEY</v>
      </c>
      <c r="S134" s="552"/>
      <c r="T134" s="552"/>
      <c r="U134" s="552"/>
      <c r="V134" s="552"/>
      <c r="W134" s="552"/>
      <c r="X134" s="552"/>
      <c r="Y134" s="552"/>
      <c r="Z134" s="552"/>
      <c r="AA134" s="553"/>
      <c r="AB134" s="553"/>
    </row>
    <row r="135" spans="1:28" ht="12.75">
      <c r="A135" s="547" t="s">
        <v>258</v>
      </c>
      <c r="B135" s="547" t="s">
        <v>131</v>
      </c>
      <c r="C135" s="548" t="s">
        <v>787</v>
      </c>
      <c r="D135" s="549">
        <v>2019</v>
      </c>
      <c r="E135" s="549" t="s">
        <v>775</v>
      </c>
      <c r="F135" s="550">
        <v>231</v>
      </c>
      <c r="G135" s="550">
        <v>0</v>
      </c>
      <c r="H135" s="550">
        <v>0</v>
      </c>
      <c r="I135" s="550">
        <v>0</v>
      </c>
      <c r="J135" s="550">
        <v>118</v>
      </c>
      <c r="K135" s="550">
        <v>0</v>
      </c>
      <c r="L135" s="550">
        <v>0</v>
      </c>
      <c r="M135" s="550">
        <v>0</v>
      </c>
      <c r="N135" s="550">
        <v>99</v>
      </c>
      <c r="O135" s="550">
        <v>0</v>
      </c>
      <c r="P135" s="550">
        <v>321</v>
      </c>
      <c r="Q135" s="550">
        <v>32</v>
      </c>
      <c r="R135" s="551" t="str">
        <f t="shared" si="4"/>
        <v>GRIDLEY</v>
      </c>
      <c r="S135" s="552">
        <f>SUM(G130:G135) +SUM(K130:K135)</f>
        <v>0</v>
      </c>
      <c r="T135" s="552">
        <f>F135+J135</f>
        <v>349</v>
      </c>
      <c r="U135" s="552">
        <f>SUM(O130:O135)</f>
        <v>0</v>
      </c>
      <c r="V135" s="552">
        <f>N135</f>
        <v>99</v>
      </c>
      <c r="W135" s="554">
        <f>SUM(Q130:Q135)</f>
        <v>78</v>
      </c>
      <c r="X135" s="552">
        <f>P135</f>
        <v>321</v>
      </c>
      <c r="Y135" s="552">
        <f>S135+U135+SUM(Q130:Q135)</f>
        <v>78</v>
      </c>
      <c r="Z135" s="552">
        <f>F135+J135+N135+P135</f>
        <v>769</v>
      </c>
      <c r="AA135" s="553"/>
      <c r="AB135" s="553"/>
    </row>
    <row r="136" spans="1:28" ht="12.75">
      <c r="A136" s="547" t="s">
        <v>259</v>
      </c>
      <c r="B136" s="547" t="s">
        <v>131</v>
      </c>
      <c r="C136" s="548" t="s">
        <v>786</v>
      </c>
      <c r="D136" s="549">
        <v>2014</v>
      </c>
      <c r="E136" s="549" t="s">
        <v>775</v>
      </c>
      <c r="F136" s="550">
        <v>419</v>
      </c>
      <c r="G136" s="550">
        <v>0</v>
      </c>
      <c r="H136" s="550">
        <v>0</v>
      </c>
      <c r="I136" s="550">
        <v>0</v>
      </c>
      <c r="J136" s="550">
        <v>284</v>
      </c>
      <c r="K136" s="550">
        <v>57</v>
      </c>
      <c r="L136" s="550">
        <v>50</v>
      </c>
      <c r="M136" s="550">
        <v>7</v>
      </c>
      <c r="N136" s="550">
        <v>306</v>
      </c>
      <c r="O136" s="550">
        <v>0</v>
      </c>
      <c r="P136" s="550">
        <v>784</v>
      </c>
      <c r="Q136" s="550">
        <v>14</v>
      </c>
      <c r="R136" s="551" t="str">
        <f t="shared" si="4"/>
        <v>OROVILLE</v>
      </c>
      <c r="S136" s="552"/>
      <c r="T136" s="552"/>
      <c r="U136" s="552"/>
      <c r="V136" s="552"/>
      <c r="W136" s="552"/>
      <c r="X136" s="552"/>
      <c r="Y136" s="552"/>
      <c r="Z136" s="552"/>
      <c r="AA136" s="553"/>
      <c r="AB136" s="553"/>
    </row>
    <row r="137" spans="1:28" ht="12.75">
      <c r="A137" s="547" t="s">
        <v>259</v>
      </c>
      <c r="B137" s="547" t="s">
        <v>131</v>
      </c>
      <c r="C137" s="548" t="s">
        <v>786</v>
      </c>
      <c r="D137" s="549">
        <v>2015</v>
      </c>
      <c r="E137" s="549" t="s">
        <v>775</v>
      </c>
      <c r="F137" s="550">
        <v>419</v>
      </c>
      <c r="G137" s="550">
        <v>2</v>
      </c>
      <c r="H137" s="550">
        <v>0</v>
      </c>
      <c r="I137" s="550">
        <v>2</v>
      </c>
      <c r="J137" s="550">
        <v>284</v>
      </c>
      <c r="K137" s="550">
        <v>4</v>
      </c>
      <c r="L137" s="550">
        <v>0</v>
      </c>
      <c r="M137" s="550">
        <v>4</v>
      </c>
      <c r="N137" s="550">
        <v>306</v>
      </c>
      <c r="O137" s="550">
        <v>0</v>
      </c>
      <c r="P137" s="550">
        <v>784</v>
      </c>
      <c r="Q137" s="550">
        <v>11</v>
      </c>
      <c r="R137" s="551" t="str">
        <f t="shared" si="4"/>
        <v>OROVILLE</v>
      </c>
      <c r="S137" s="552"/>
      <c r="T137" s="552"/>
      <c r="U137" s="552"/>
      <c r="V137" s="552"/>
      <c r="W137" s="552"/>
      <c r="X137" s="552"/>
      <c r="Y137" s="552"/>
      <c r="Z137" s="552"/>
      <c r="AA137" s="553"/>
      <c r="AB137" s="553"/>
    </row>
    <row r="138" spans="1:28" ht="12.75">
      <c r="A138" s="547" t="s">
        <v>259</v>
      </c>
      <c r="B138" s="547" t="s">
        <v>131</v>
      </c>
      <c r="C138" s="548" t="s">
        <v>786</v>
      </c>
      <c r="D138" s="549">
        <v>2016</v>
      </c>
      <c r="E138" s="549" t="s">
        <v>775</v>
      </c>
      <c r="F138" s="550">
        <v>419</v>
      </c>
      <c r="G138" s="550">
        <v>8</v>
      </c>
      <c r="H138" s="550">
        <v>0</v>
      </c>
      <c r="I138" s="550">
        <v>8</v>
      </c>
      <c r="J138" s="550">
        <v>284</v>
      </c>
      <c r="K138" s="550">
        <v>6</v>
      </c>
      <c r="L138" s="550">
        <v>0</v>
      </c>
      <c r="M138" s="550">
        <v>6</v>
      </c>
      <c r="N138" s="550">
        <v>306</v>
      </c>
      <c r="O138" s="550">
        <v>0</v>
      </c>
      <c r="P138" s="550">
        <v>784</v>
      </c>
      <c r="Q138" s="550">
        <v>1</v>
      </c>
      <c r="R138" s="551" t="str">
        <f t="shared" si="4"/>
        <v>OROVILLE</v>
      </c>
      <c r="S138" s="552"/>
      <c r="T138" s="552"/>
      <c r="U138" s="552"/>
      <c r="V138" s="552"/>
      <c r="W138" s="552"/>
      <c r="X138" s="552"/>
      <c r="Y138" s="552"/>
      <c r="Z138" s="552"/>
      <c r="AA138" s="553"/>
      <c r="AB138" s="553"/>
    </row>
    <row r="139" spans="1:28" ht="12.75">
      <c r="A139" s="547" t="s">
        <v>259</v>
      </c>
      <c r="B139" s="547" t="s">
        <v>131</v>
      </c>
      <c r="C139" s="548" t="s">
        <v>786</v>
      </c>
      <c r="D139" s="549">
        <v>2017</v>
      </c>
      <c r="E139" s="549" t="s">
        <v>775</v>
      </c>
      <c r="F139" s="550">
        <v>419</v>
      </c>
      <c r="G139" s="550">
        <v>0</v>
      </c>
      <c r="H139" s="550">
        <v>0</v>
      </c>
      <c r="I139" s="550">
        <v>0</v>
      </c>
      <c r="J139" s="550">
        <v>284</v>
      </c>
      <c r="K139" s="550">
        <v>0</v>
      </c>
      <c r="L139" s="550">
        <v>0</v>
      </c>
      <c r="M139" s="550">
        <v>0</v>
      </c>
      <c r="N139" s="550">
        <v>306</v>
      </c>
      <c r="O139" s="550">
        <v>0</v>
      </c>
      <c r="P139" s="550">
        <v>784</v>
      </c>
      <c r="Q139" s="550">
        <v>3</v>
      </c>
      <c r="R139" s="551" t="str">
        <f t="shared" si="4"/>
        <v>OROVILLE</v>
      </c>
      <c r="S139" s="552"/>
      <c r="T139" s="552"/>
      <c r="U139" s="552"/>
      <c r="V139" s="552"/>
      <c r="W139" s="552"/>
      <c r="X139" s="552"/>
      <c r="Y139" s="552"/>
      <c r="Z139" s="552"/>
      <c r="AA139" s="553"/>
      <c r="AB139" s="553"/>
    </row>
    <row r="140" spans="1:28" ht="12.75">
      <c r="A140" s="547" t="s">
        <v>259</v>
      </c>
      <c r="B140" s="547" t="s">
        <v>131</v>
      </c>
      <c r="C140" s="548" t="s">
        <v>786</v>
      </c>
      <c r="D140" s="549">
        <v>2018</v>
      </c>
      <c r="E140" s="549" t="s">
        <v>775</v>
      </c>
      <c r="F140" s="550">
        <v>419</v>
      </c>
      <c r="G140" s="550">
        <v>0</v>
      </c>
      <c r="H140" s="550">
        <v>0</v>
      </c>
      <c r="I140" s="550">
        <v>0</v>
      </c>
      <c r="J140" s="550">
        <v>284</v>
      </c>
      <c r="K140" s="550">
        <v>0</v>
      </c>
      <c r="L140" s="550">
        <v>0</v>
      </c>
      <c r="M140" s="550">
        <v>0</v>
      </c>
      <c r="N140" s="550">
        <v>306</v>
      </c>
      <c r="O140" s="550">
        <v>0</v>
      </c>
      <c r="P140" s="550">
        <v>784</v>
      </c>
      <c r="Q140" s="550">
        <v>9</v>
      </c>
      <c r="R140" s="551" t="str">
        <f t="shared" si="4"/>
        <v>OROVILLE</v>
      </c>
      <c r="S140" s="552"/>
      <c r="T140" s="552"/>
      <c r="U140" s="552"/>
      <c r="V140" s="552"/>
      <c r="W140" s="552"/>
      <c r="X140" s="552"/>
      <c r="Y140" s="552"/>
      <c r="Z140" s="552"/>
      <c r="AA140" s="553"/>
      <c r="AB140" s="553"/>
    </row>
    <row r="141" spans="1:28" ht="12.75">
      <c r="A141" s="547" t="s">
        <v>259</v>
      </c>
      <c r="B141" s="555" t="s">
        <v>131</v>
      </c>
      <c r="C141" s="548" t="s">
        <v>787</v>
      </c>
      <c r="D141" s="549">
        <v>2019</v>
      </c>
      <c r="E141" s="549" t="s">
        <v>775</v>
      </c>
      <c r="F141" s="550">
        <v>419</v>
      </c>
      <c r="G141" s="550">
        <v>0</v>
      </c>
      <c r="H141" s="550">
        <v>0</v>
      </c>
      <c r="I141" s="550">
        <v>0</v>
      </c>
      <c r="J141" s="550">
        <v>284</v>
      </c>
      <c r="K141" s="550">
        <v>1</v>
      </c>
      <c r="L141" s="550">
        <v>1</v>
      </c>
      <c r="M141" s="550">
        <v>0</v>
      </c>
      <c r="N141" s="550">
        <v>306</v>
      </c>
      <c r="O141" s="550">
        <v>0</v>
      </c>
      <c r="P141" s="550">
        <v>784</v>
      </c>
      <c r="Q141" s="550">
        <v>56</v>
      </c>
      <c r="R141" s="551" t="str">
        <f t="shared" si="4"/>
        <v>OROVILLE</v>
      </c>
      <c r="S141" s="552">
        <f>SUM(G136:G141) +SUM(K136:K141)</f>
        <v>78</v>
      </c>
      <c r="T141" s="552">
        <f>F141+J141</f>
        <v>703</v>
      </c>
      <c r="U141" s="552">
        <f>SUM(O136:O141)</f>
        <v>0</v>
      </c>
      <c r="V141" s="552">
        <f>N141</f>
        <v>306</v>
      </c>
      <c r="W141" s="554">
        <f>SUM(Q136:Q141)</f>
        <v>94</v>
      </c>
      <c r="X141" s="552">
        <f>P141</f>
        <v>784</v>
      </c>
      <c r="Y141" s="552">
        <f>S141+U141+SUM(Q136:Q141)</f>
        <v>172</v>
      </c>
      <c r="Z141" s="552">
        <f>F141+J141+N141+P141</f>
        <v>1793</v>
      </c>
      <c r="AA141" s="553"/>
      <c r="AB141" s="553"/>
    </row>
    <row r="142" spans="1:28" ht="12.75">
      <c r="A142" s="547" t="s">
        <v>260</v>
      </c>
      <c r="B142" s="555" t="s">
        <v>131</v>
      </c>
      <c r="C142" s="548" t="s">
        <v>786</v>
      </c>
      <c r="D142" s="549">
        <v>2014</v>
      </c>
      <c r="E142" s="549" t="s">
        <v>775</v>
      </c>
      <c r="F142" s="550">
        <v>141</v>
      </c>
      <c r="G142" s="550">
        <v>0</v>
      </c>
      <c r="H142" s="550">
        <v>0</v>
      </c>
      <c r="I142" s="550">
        <v>0</v>
      </c>
      <c r="J142" s="550">
        <v>100</v>
      </c>
      <c r="K142" s="550">
        <v>1</v>
      </c>
      <c r="L142" s="550">
        <v>1</v>
      </c>
      <c r="M142" s="550">
        <v>0</v>
      </c>
      <c r="N142" s="550">
        <v>93</v>
      </c>
      <c r="O142" s="550">
        <v>4</v>
      </c>
      <c r="P142" s="550">
        <v>303</v>
      </c>
      <c r="Q142" s="550">
        <v>9</v>
      </c>
      <c r="R142" s="551" t="str">
        <f t="shared" si="4"/>
        <v>PARADISE</v>
      </c>
      <c r="S142" s="552"/>
      <c r="T142" s="552"/>
      <c r="U142" s="552"/>
      <c r="V142" s="552"/>
      <c r="W142" s="552"/>
      <c r="X142" s="552"/>
      <c r="Y142" s="552"/>
      <c r="Z142" s="552"/>
      <c r="AA142" s="553"/>
      <c r="AB142" s="553"/>
    </row>
    <row r="143" spans="1:28" ht="12.75">
      <c r="A143" s="547" t="s">
        <v>260</v>
      </c>
      <c r="B143" s="547" t="s">
        <v>131</v>
      </c>
      <c r="C143" s="548" t="s">
        <v>786</v>
      </c>
      <c r="D143" s="549">
        <v>2016</v>
      </c>
      <c r="E143" s="549" t="s">
        <v>775</v>
      </c>
      <c r="F143" s="550">
        <v>141</v>
      </c>
      <c r="G143" s="550">
        <v>0</v>
      </c>
      <c r="H143" s="550">
        <v>0</v>
      </c>
      <c r="I143" s="550">
        <v>0</v>
      </c>
      <c r="J143" s="550">
        <v>100</v>
      </c>
      <c r="K143" s="550">
        <v>7</v>
      </c>
      <c r="L143" s="550">
        <v>7</v>
      </c>
      <c r="M143" s="550">
        <v>0</v>
      </c>
      <c r="N143" s="550">
        <v>93</v>
      </c>
      <c r="O143" s="550">
        <v>3</v>
      </c>
      <c r="P143" s="550">
        <v>303</v>
      </c>
      <c r="Q143" s="550">
        <v>17</v>
      </c>
      <c r="R143" s="551" t="str">
        <f t="shared" si="4"/>
        <v>PARADISE</v>
      </c>
      <c r="S143" s="552"/>
      <c r="T143" s="552"/>
      <c r="U143" s="552"/>
      <c r="V143" s="552"/>
      <c r="W143" s="552"/>
      <c r="X143" s="552"/>
      <c r="Y143" s="552"/>
      <c r="Z143" s="552"/>
      <c r="AA143" s="553"/>
      <c r="AB143" s="553"/>
    </row>
    <row r="144" spans="1:28" ht="12.75">
      <c r="A144" s="547" t="s">
        <v>260</v>
      </c>
      <c r="B144" s="547" t="s">
        <v>131</v>
      </c>
      <c r="C144" s="548" t="s">
        <v>786</v>
      </c>
      <c r="D144" s="549">
        <v>2017</v>
      </c>
      <c r="E144" s="549" t="s">
        <v>775</v>
      </c>
      <c r="F144" s="550">
        <v>141</v>
      </c>
      <c r="G144" s="550">
        <v>0</v>
      </c>
      <c r="H144" s="550">
        <v>0</v>
      </c>
      <c r="I144" s="550">
        <v>0</v>
      </c>
      <c r="J144" s="550">
        <v>100</v>
      </c>
      <c r="K144" s="550">
        <v>2</v>
      </c>
      <c r="L144" s="550">
        <v>2</v>
      </c>
      <c r="M144" s="550">
        <v>0</v>
      </c>
      <c r="N144" s="550">
        <v>93</v>
      </c>
      <c r="O144" s="550">
        <v>1</v>
      </c>
      <c r="P144" s="550">
        <v>303</v>
      </c>
      <c r="Q144" s="550">
        <v>16</v>
      </c>
      <c r="R144" s="551" t="str">
        <f t="shared" si="4"/>
        <v>PARADISE</v>
      </c>
      <c r="S144" s="556">
        <f>SUM(G142:G144) +SUM(K142:K144)</f>
        <v>10</v>
      </c>
      <c r="T144" s="556">
        <f>F144+J144</f>
        <v>241</v>
      </c>
      <c r="U144" s="556">
        <f>SUM(O142:O144)</f>
        <v>8</v>
      </c>
      <c r="V144" s="556">
        <f>N144</f>
        <v>93</v>
      </c>
      <c r="W144" s="557">
        <f>SUM(Q142:Q144)</f>
        <v>42</v>
      </c>
      <c r="X144" s="556">
        <f>P144</f>
        <v>303</v>
      </c>
      <c r="Y144" s="556">
        <f>S144+U144+SUM(Q142:Q144)</f>
        <v>60</v>
      </c>
      <c r="Z144" s="556">
        <f>F144+J144+N144+P144</f>
        <v>637</v>
      </c>
      <c r="AA144" s="553"/>
      <c r="AB144" s="553"/>
    </row>
    <row r="145" spans="1:28" ht="12.75">
      <c r="A145" s="547"/>
      <c r="B145" s="547"/>
      <c r="C145" s="548"/>
      <c r="D145" s="549"/>
      <c r="E145" s="549"/>
      <c r="F145" s="550"/>
      <c r="G145" s="550"/>
      <c r="H145" s="550"/>
      <c r="I145" s="550"/>
      <c r="J145" s="550"/>
      <c r="K145" s="550"/>
      <c r="L145" s="550"/>
      <c r="M145" s="550"/>
      <c r="N145" s="550"/>
      <c r="O145" s="550"/>
      <c r="P145" s="550"/>
      <c r="Q145" s="550"/>
      <c r="R145" s="551">
        <f t="shared" si="4"/>
        <v>0</v>
      </c>
      <c r="S145" s="563">
        <f t="shared" ref="S145:Z145" si="5">SUM(S116:S144)</f>
        <v>183</v>
      </c>
      <c r="T145" s="563">
        <f t="shared" si="5"/>
        <v>4215</v>
      </c>
      <c r="U145" s="563">
        <f t="shared" si="5"/>
        <v>494</v>
      </c>
      <c r="V145" s="563">
        <f t="shared" si="5"/>
        <v>1710</v>
      </c>
      <c r="W145" s="563">
        <f t="shared" si="5"/>
        <v>2751</v>
      </c>
      <c r="X145" s="563">
        <f t="shared" si="5"/>
        <v>4395</v>
      </c>
      <c r="Y145" s="563">
        <f t="shared" si="5"/>
        <v>3428</v>
      </c>
      <c r="Z145" s="563">
        <f t="shared" si="5"/>
        <v>10320</v>
      </c>
      <c r="AA145" s="553"/>
      <c r="AB145" s="553"/>
    </row>
    <row r="146" spans="1:28" ht="12.75">
      <c r="A146" s="547" t="s">
        <v>261</v>
      </c>
      <c r="B146" s="547" t="s">
        <v>134</v>
      </c>
      <c r="C146" s="548" t="s">
        <v>784</v>
      </c>
      <c r="D146" s="549">
        <v>2018</v>
      </c>
      <c r="E146" s="549" t="s">
        <v>775</v>
      </c>
      <c r="F146" s="550">
        <v>39</v>
      </c>
      <c r="G146" s="550">
        <v>1</v>
      </c>
      <c r="H146" s="550">
        <v>0</v>
      </c>
      <c r="I146" s="550">
        <v>1</v>
      </c>
      <c r="J146" s="550">
        <v>25</v>
      </c>
      <c r="K146" s="550">
        <v>0</v>
      </c>
      <c r="L146" s="550">
        <v>0</v>
      </c>
      <c r="M146" s="550">
        <v>0</v>
      </c>
      <c r="N146" s="550">
        <v>28</v>
      </c>
      <c r="O146" s="550">
        <v>1</v>
      </c>
      <c r="P146" s="550">
        <v>69</v>
      </c>
      <c r="Q146" s="550">
        <v>19</v>
      </c>
      <c r="R146" s="551" t="str">
        <f t="shared" si="4"/>
        <v>ANGELS CAMP</v>
      </c>
      <c r="S146" s="552"/>
      <c r="T146" s="552"/>
      <c r="U146" s="552"/>
      <c r="V146" s="552"/>
      <c r="W146" s="552"/>
      <c r="X146" s="552"/>
      <c r="Y146" s="552"/>
      <c r="Z146" s="552"/>
      <c r="AA146" s="553"/>
      <c r="AB146" s="553"/>
    </row>
    <row r="147" spans="1:28" ht="12.75">
      <c r="A147" s="547" t="s">
        <v>261</v>
      </c>
      <c r="B147" s="547" t="s">
        <v>134</v>
      </c>
      <c r="C147" s="548" t="s">
        <v>785</v>
      </c>
      <c r="D147" s="549">
        <v>2019</v>
      </c>
      <c r="E147" s="549" t="s">
        <v>775</v>
      </c>
      <c r="F147" s="550">
        <v>39</v>
      </c>
      <c r="G147" s="550">
        <v>0</v>
      </c>
      <c r="H147" s="550">
        <v>0</v>
      </c>
      <c r="I147" s="550">
        <v>0</v>
      </c>
      <c r="J147" s="550">
        <v>25</v>
      </c>
      <c r="K147" s="550">
        <v>1</v>
      </c>
      <c r="L147" s="550">
        <v>0</v>
      </c>
      <c r="M147" s="550">
        <v>1</v>
      </c>
      <c r="N147" s="550">
        <v>28</v>
      </c>
      <c r="O147" s="550">
        <v>4</v>
      </c>
      <c r="P147" s="550">
        <v>69</v>
      </c>
      <c r="Q147" s="550">
        <v>2</v>
      </c>
      <c r="R147" s="551" t="str">
        <f t="shared" si="4"/>
        <v>ANGELS CAMP</v>
      </c>
      <c r="S147" s="552">
        <f>SUM(G146:G147) +SUM(K146:K147)</f>
        <v>2</v>
      </c>
      <c r="T147" s="552">
        <f>F147+J147</f>
        <v>64</v>
      </c>
      <c r="U147" s="552">
        <f>SUM(O146:O147)</f>
        <v>5</v>
      </c>
      <c r="V147" s="552">
        <f>N147</f>
        <v>28</v>
      </c>
      <c r="W147" s="554">
        <f>SUM(Q146:Q147)</f>
        <v>21</v>
      </c>
      <c r="X147" s="552">
        <f>P147</f>
        <v>69</v>
      </c>
      <c r="Y147" s="552">
        <f>S147+U147+SUM(Q146:Q147)</f>
        <v>28</v>
      </c>
      <c r="Z147" s="552">
        <f>F147+J147+N147+P147</f>
        <v>161</v>
      </c>
      <c r="AA147" s="553"/>
      <c r="AB147" s="553"/>
    </row>
    <row r="148" spans="1:28" ht="12.75">
      <c r="A148" s="547" t="s">
        <v>262</v>
      </c>
      <c r="B148" s="547" t="s">
        <v>134</v>
      </c>
      <c r="C148" s="548" t="s">
        <v>784</v>
      </c>
      <c r="D148" s="549">
        <v>2014</v>
      </c>
      <c r="E148" s="549" t="s">
        <v>775</v>
      </c>
      <c r="F148" s="550">
        <v>241</v>
      </c>
      <c r="G148" s="550">
        <v>6</v>
      </c>
      <c r="H148" s="550">
        <v>0</v>
      </c>
      <c r="I148" s="550">
        <v>6</v>
      </c>
      <c r="J148" s="550">
        <v>175</v>
      </c>
      <c r="K148" s="550">
        <v>13</v>
      </c>
      <c r="L148" s="550">
        <v>0</v>
      </c>
      <c r="M148" s="550">
        <v>13</v>
      </c>
      <c r="N148" s="550">
        <v>192</v>
      </c>
      <c r="O148" s="550">
        <v>17</v>
      </c>
      <c r="P148" s="550">
        <v>471</v>
      </c>
      <c r="Q148" s="550">
        <v>38</v>
      </c>
      <c r="R148" s="551" t="str">
        <f t="shared" si="4"/>
        <v>CALAVERAS COUNTY</v>
      </c>
      <c r="S148" s="552"/>
      <c r="T148" s="552"/>
      <c r="U148" s="552"/>
      <c r="V148" s="552"/>
      <c r="W148" s="552"/>
      <c r="X148" s="552"/>
      <c r="Y148" s="552"/>
      <c r="Z148" s="552"/>
      <c r="AA148" s="553"/>
      <c r="AB148" s="553"/>
    </row>
    <row r="149" spans="1:28" ht="12.75">
      <c r="A149" s="547" t="s">
        <v>262</v>
      </c>
      <c r="B149" s="547" t="s">
        <v>134</v>
      </c>
      <c r="C149" s="548" t="s">
        <v>784</v>
      </c>
      <c r="D149" s="549">
        <v>2015</v>
      </c>
      <c r="E149" s="549" t="s">
        <v>775</v>
      </c>
      <c r="F149" s="550">
        <v>241</v>
      </c>
      <c r="G149" s="550">
        <v>8</v>
      </c>
      <c r="H149" s="550">
        <v>0</v>
      </c>
      <c r="I149" s="550">
        <v>8</v>
      </c>
      <c r="J149" s="550">
        <v>175</v>
      </c>
      <c r="K149" s="550">
        <v>15</v>
      </c>
      <c r="L149" s="550">
        <v>0</v>
      </c>
      <c r="M149" s="550">
        <v>15</v>
      </c>
      <c r="N149" s="550">
        <v>192</v>
      </c>
      <c r="O149" s="550">
        <v>45</v>
      </c>
      <c r="P149" s="550">
        <v>471</v>
      </c>
      <c r="Q149" s="550">
        <v>49</v>
      </c>
      <c r="R149" s="551" t="str">
        <f t="shared" si="4"/>
        <v>CALAVERAS COUNTY</v>
      </c>
      <c r="S149" s="552"/>
      <c r="T149" s="552"/>
      <c r="U149" s="552"/>
      <c r="V149" s="552"/>
      <c r="W149" s="552"/>
      <c r="X149" s="552"/>
      <c r="Y149" s="552"/>
      <c r="Z149" s="552"/>
      <c r="AA149" s="553"/>
      <c r="AB149" s="553"/>
    </row>
    <row r="150" spans="1:28" ht="12.75">
      <c r="A150" s="547" t="s">
        <v>262</v>
      </c>
      <c r="B150" s="547" t="s">
        <v>134</v>
      </c>
      <c r="C150" s="548" t="s">
        <v>784</v>
      </c>
      <c r="D150" s="549">
        <v>2016</v>
      </c>
      <c r="E150" s="549" t="s">
        <v>775</v>
      </c>
      <c r="F150" s="550">
        <v>241</v>
      </c>
      <c r="G150" s="550">
        <v>60</v>
      </c>
      <c r="H150" s="550">
        <v>0</v>
      </c>
      <c r="I150" s="550">
        <v>60</v>
      </c>
      <c r="J150" s="550">
        <v>175</v>
      </c>
      <c r="K150" s="550">
        <v>36</v>
      </c>
      <c r="L150" s="550">
        <v>0</v>
      </c>
      <c r="M150" s="550">
        <v>36</v>
      </c>
      <c r="N150" s="550">
        <v>192</v>
      </c>
      <c r="O150" s="550">
        <v>104</v>
      </c>
      <c r="P150" s="550">
        <v>471</v>
      </c>
      <c r="Q150" s="550">
        <v>48</v>
      </c>
      <c r="R150" s="551" t="str">
        <f t="shared" si="4"/>
        <v>CALAVERAS COUNTY</v>
      </c>
      <c r="S150" s="552"/>
      <c r="T150" s="552"/>
      <c r="U150" s="552"/>
      <c r="V150" s="552"/>
      <c r="W150" s="552"/>
      <c r="X150" s="552"/>
      <c r="Y150" s="552"/>
      <c r="Z150" s="552"/>
      <c r="AA150" s="553"/>
      <c r="AB150" s="553"/>
    </row>
    <row r="151" spans="1:28" ht="12.75">
      <c r="A151" s="547" t="s">
        <v>262</v>
      </c>
      <c r="B151" s="547" t="s">
        <v>134</v>
      </c>
      <c r="C151" s="548" t="s">
        <v>784</v>
      </c>
      <c r="D151" s="549">
        <v>2017</v>
      </c>
      <c r="E151" s="549" t="s">
        <v>775</v>
      </c>
      <c r="F151" s="550">
        <v>241</v>
      </c>
      <c r="G151" s="550">
        <v>25</v>
      </c>
      <c r="H151" s="550">
        <v>0</v>
      </c>
      <c r="I151" s="550">
        <v>25</v>
      </c>
      <c r="J151" s="550">
        <v>175</v>
      </c>
      <c r="K151" s="550">
        <v>27</v>
      </c>
      <c r="L151" s="550">
        <v>0</v>
      </c>
      <c r="M151" s="550">
        <v>27</v>
      </c>
      <c r="N151" s="550">
        <v>192</v>
      </c>
      <c r="O151" s="550">
        <v>29</v>
      </c>
      <c r="P151" s="550">
        <v>471</v>
      </c>
      <c r="Q151" s="550">
        <v>77</v>
      </c>
      <c r="R151" s="551" t="str">
        <f t="shared" si="4"/>
        <v>CALAVERAS COUNTY</v>
      </c>
      <c r="S151" s="552"/>
      <c r="T151" s="552"/>
      <c r="U151" s="552"/>
      <c r="V151" s="552"/>
      <c r="W151" s="552"/>
      <c r="X151" s="552"/>
      <c r="Y151" s="552"/>
      <c r="Z151" s="552"/>
      <c r="AA151" s="553"/>
      <c r="AB151" s="553"/>
    </row>
    <row r="152" spans="1:28" ht="12.75">
      <c r="A152" s="547" t="s">
        <v>262</v>
      </c>
      <c r="B152" s="547" t="s">
        <v>134</v>
      </c>
      <c r="C152" s="548" t="s">
        <v>784</v>
      </c>
      <c r="D152" s="549">
        <v>2018</v>
      </c>
      <c r="E152" s="549" t="s">
        <v>775</v>
      </c>
      <c r="F152" s="550">
        <v>241</v>
      </c>
      <c r="G152" s="550">
        <v>1</v>
      </c>
      <c r="H152" s="550">
        <v>0</v>
      </c>
      <c r="I152" s="550">
        <v>1</v>
      </c>
      <c r="J152" s="550">
        <v>175</v>
      </c>
      <c r="K152" s="550">
        <v>0</v>
      </c>
      <c r="L152" s="550">
        <v>0</v>
      </c>
      <c r="M152" s="550">
        <v>0</v>
      </c>
      <c r="N152" s="550">
        <v>192</v>
      </c>
      <c r="O152" s="550">
        <v>23</v>
      </c>
      <c r="P152" s="550">
        <v>471</v>
      </c>
      <c r="Q152" s="550">
        <v>20</v>
      </c>
      <c r="R152" s="551" t="str">
        <f t="shared" si="4"/>
        <v>CALAVERAS COUNTY</v>
      </c>
      <c r="S152" s="552"/>
      <c r="T152" s="552"/>
      <c r="U152" s="552"/>
      <c r="V152" s="552"/>
      <c r="W152" s="552"/>
      <c r="X152" s="552"/>
      <c r="Y152" s="552"/>
      <c r="Z152" s="552"/>
      <c r="AA152" s="553"/>
      <c r="AB152" s="553"/>
    </row>
    <row r="153" spans="1:28" ht="12.75">
      <c r="A153" s="547" t="s">
        <v>262</v>
      </c>
      <c r="B153" s="547" t="s">
        <v>134</v>
      </c>
      <c r="C153" s="548" t="s">
        <v>785</v>
      </c>
      <c r="D153" s="549">
        <v>2019</v>
      </c>
      <c r="E153" s="549" t="s">
        <v>775</v>
      </c>
      <c r="F153" s="550">
        <v>241</v>
      </c>
      <c r="G153" s="550">
        <v>0</v>
      </c>
      <c r="H153" s="550">
        <v>0</v>
      </c>
      <c r="I153" s="550">
        <v>0</v>
      </c>
      <c r="J153" s="550">
        <v>175</v>
      </c>
      <c r="K153" s="550">
        <v>0</v>
      </c>
      <c r="L153" s="550">
        <v>0</v>
      </c>
      <c r="M153" s="550">
        <v>0</v>
      </c>
      <c r="N153" s="550">
        <v>192</v>
      </c>
      <c r="O153" s="550">
        <v>0</v>
      </c>
      <c r="P153" s="550">
        <v>471</v>
      </c>
      <c r="Q153" s="550">
        <v>63</v>
      </c>
      <c r="R153" s="551" t="str">
        <f t="shared" si="4"/>
        <v>CALAVERAS COUNTY</v>
      </c>
      <c r="S153" s="556">
        <f>SUM(G148:G153) +SUM(K148:K153)</f>
        <v>191</v>
      </c>
      <c r="T153" s="556">
        <f>F153+J153</f>
        <v>416</v>
      </c>
      <c r="U153" s="556">
        <f>SUM(O148:O153)</f>
        <v>218</v>
      </c>
      <c r="V153" s="556">
        <f>N153</f>
        <v>192</v>
      </c>
      <c r="W153" s="557">
        <f>SUM(Q148:Q153)</f>
        <v>295</v>
      </c>
      <c r="X153" s="556">
        <f>P153</f>
        <v>471</v>
      </c>
      <c r="Y153" s="556">
        <f>S153+U153+SUM(Q148:Q153)</f>
        <v>704</v>
      </c>
      <c r="Z153" s="556">
        <f>F153+J153+N153+P153</f>
        <v>1079</v>
      </c>
      <c r="AA153" s="553"/>
      <c r="AB153" s="553"/>
    </row>
    <row r="154" spans="1:28" ht="12.75">
      <c r="A154" s="547"/>
      <c r="B154" s="547"/>
      <c r="C154" s="548"/>
      <c r="D154" s="549"/>
      <c r="E154" s="549"/>
      <c r="F154" s="550"/>
      <c r="G154" s="550"/>
      <c r="H154" s="550"/>
      <c r="I154" s="550"/>
      <c r="J154" s="550"/>
      <c r="K154" s="550"/>
      <c r="L154" s="550"/>
      <c r="M154" s="550"/>
      <c r="N154" s="550"/>
      <c r="O154" s="550"/>
      <c r="P154" s="550"/>
      <c r="Q154" s="550"/>
      <c r="R154" s="551"/>
      <c r="S154" s="563">
        <f t="shared" ref="S154:Z154" si="6">S147+S153</f>
        <v>193</v>
      </c>
      <c r="T154" s="563">
        <f t="shared" si="6"/>
        <v>480</v>
      </c>
      <c r="U154" s="563">
        <f t="shared" si="6"/>
        <v>223</v>
      </c>
      <c r="V154" s="563">
        <f t="shared" si="6"/>
        <v>220</v>
      </c>
      <c r="W154" s="563">
        <f t="shared" si="6"/>
        <v>316</v>
      </c>
      <c r="X154" s="563">
        <f t="shared" si="6"/>
        <v>540</v>
      </c>
      <c r="Y154" s="563">
        <f t="shared" si="6"/>
        <v>732</v>
      </c>
      <c r="Z154" s="563">
        <f t="shared" si="6"/>
        <v>1240</v>
      </c>
      <c r="AA154" s="553"/>
      <c r="AB154" s="553"/>
    </row>
    <row r="155" spans="1:28" ht="12.75">
      <c r="A155" s="547" t="s">
        <v>263</v>
      </c>
      <c r="B155" s="547" t="s">
        <v>135</v>
      </c>
      <c r="C155" s="548" t="s">
        <v>784</v>
      </c>
      <c r="D155" s="549">
        <v>2014</v>
      </c>
      <c r="E155" s="549" t="s">
        <v>775</v>
      </c>
      <c r="F155" s="550">
        <v>107</v>
      </c>
      <c r="G155" s="550">
        <v>2</v>
      </c>
      <c r="H155" s="550">
        <v>0</v>
      </c>
      <c r="I155" s="550">
        <v>2</v>
      </c>
      <c r="J155" s="550">
        <v>91</v>
      </c>
      <c r="K155" s="550">
        <v>1</v>
      </c>
      <c r="L155" s="550">
        <v>0</v>
      </c>
      <c r="M155" s="550">
        <v>1</v>
      </c>
      <c r="N155" s="550">
        <v>91</v>
      </c>
      <c r="O155" s="550">
        <v>32</v>
      </c>
      <c r="P155" s="550">
        <v>210</v>
      </c>
      <c r="Q155" s="550">
        <v>25</v>
      </c>
      <c r="R155" s="551" t="str">
        <f t="shared" ref="R155:R161" si="7">A155</f>
        <v>COLUSA COUNTY</v>
      </c>
      <c r="S155" s="552"/>
      <c r="T155" s="552"/>
      <c r="U155" s="552"/>
      <c r="V155" s="552"/>
      <c r="W155" s="552"/>
      <c r="X155" s="552"/>
      <c r="Y155" s="552"/>
      <c r="Z155" s="552"/>
      <c r="AA155" s="553"/>
      <c r="AB155" s="553"/>
    </row>
    <row r="156" spans="1:28" ht="12.75">
      <c r="A156" s="547" t="s">
        <v>263</v>
      </c>
      <c r="B156" s="547" t="s">
        <v>135</v>
      </c>
      <c r="C156" s="548" t="s">
        <v>784</v>
      </c>
      <c r="D156" s="549">
        <v>2015</v>
      </c>
      <c r="E156" s="549" t="s">
        <v>775</v>
      </c>
      <c r="F156" s="550">
        <v>107</v>
      </c>
      <c r="G156" s="550">
        <v>1</v>
      </c>
      <c r="H156" s="550">
        <v>1</v>
      </c>
      <c r="I156" s="550">
        <v>0</v>
      </c>
      <c r="J156" s="550">
        <v>91</v>
      </c>
      <c r="K156" s="550">
        <v>1</v>
      </c>
      <c r="L156" s="550">
        <v>0</v>
      </c>
      <c r="M156" s="550">
        <v>1</v>
      </c>
      <c r="N156" s="550">
        <v>91</v>
      </c>
      <c r="O156" s="550">
        <v>30</v>
      </c>
      <c r="P156" s="550">
        <v>210</v>
      </c>
      <c r="Q156" s="550">
        <v>13</v>
      </c>
      <c r="R156" s="551" t="str">
        <f t="shared" si="7"/>
        <v>COLUSA COUNTY</v>
      </c>
      <c r="S156" s="552"/>
      <c r="T156" s="552"/>
      <c r="U156" s="552"/>
      <c r="V156" s="552"/>
      <c r="W156" s="552"/>
      <c r="X156" s="552"/>
      <c r="Y156" s="552"/>
      <c r="Z156" s="552"/>
      <c r="AA156" s="553"/>
      <c r="AB156" s="553"/>
    </row>
    <row r="157" spans="1:28" ht="12.75">
      <c r="A157" s="547" t="s">
        <v>263</v>
      </c>
      <c r="B157" s="547" t="s">
        <v>135</v>
      </c>
      <c r="C157" s="548" t="s">
        <v>784</v>
      </c>
      <c r="D157" s="549">
        <v>2016</v>
      </c>
      <c r="E157" s="549" t="s">
        <v>775</v>
      </c>
      <c r="F157" s="550">
        <v>107</v>
      </c>
      <c r="G157" s="550">
        <v>0</v>
      </c>
      <c r="H157" s="550">
        <v>0</v>
      </c>
      <c r="I157" s="550">
        <v>0</v>
      </c>
      <c r="J157" s="550">
        <v>91</v>
      </c>
      <c r="K157" s="550">
        <v>2</v>
      </c>
      <c r="L157" s="550">
        <v>0</v>
      </c>
      <c r="M157" s="550">
        <v>2</v>
      </c>
      <c r="N157" s="550">
        <v>91</v>
      </c>
      <c r="O157" s="550">
        <v>7</v>
      </c>
      <c r="P157" s="550">
        <v>210</v>
      </c>
      <c r="Q157" s="550">
        <v>2</v>
      </c>
      <c r="R157" s="551" t="str">
        <f t="shared" si="7"/>
        <v>COLUSA COUNTY</v>
      </c>
      <c r="S157" s="552"/>
      <c r="T157" s="552"/>
      <c r="U157" s="552"/>
      <c r="V157" s="552"/>
      <c r="W157" s="552"/>
      <c r="X157" s="552"/>
      <c r="Y157" s="552"/>
      <c r="Z157" s="552"/>
      <c r="AA157" s="553"/>
      <c r="AB157" s="553"/>
    </row>
    <row r="158" spans="1:28" ht="12.75">
      <c r="A158" s="547" t="s">
        <v>263</v>
      </c>
      <c r="B158" s="547" t="s">
        <v>135</v>
      </c>
      <c r="C158" s="548" t="s">
        <v>784</v>
      </c>
      <c r="D158" s="549">
        <v>2017</v>
      </c>
      <c r="E158" s="549" t="s">
        <v>775</v>
      </c>
      <c r="F158" s="550">
        <v>107</v>
      </c>
      <c r="G158" s="550">
        <v>2</v>
      </c>
      <c r="H158" s="550">
        <v>0</v>
      </c>
      <c r="I158" s="550">
        <v>2</v>
      </c>
      <c r="J158" s="550">
        <v>91</v>
      </c>
      <c r="K158" s="550">
        <v>1</v>
      </c>
      <c r="L158" s="550">
        <v>0</v>
      </c>
      <c r="M158" s="550">
        <v>1</v>
      </c>
      <c r="N158" s="550">
        <v>91</v>
      </c>
      <c r="O158" s="550">
        <v>0</v>
      </c>
      <c r="P158" s="550">
        <v>210</v>
      </c>
      <c r="Q158" s="550">
        <v>6</v>
      </c>
      <c r="R158" s="551" t="str">
        <f t="shared" si="7"/>
        <v>COLUSA COUNTY</v>
      </c>
      <c r="S158" s="552"/>
      <c r="T158" s="552"/>
      <c r="U158" s="552"/>
      <c r="V158" s="552"/>
      <c r="W158" s="552"/>
      <c r="X158" s="552"/>
      <c r="Y158" s="552"/>
      <c r="Z158" s="552"/>
      <c r="AA158" s="553"/>
      <c r="AB158" s="553"/>
    </row>
    <row r="159" spans="1:28" ht="12.75">
      <c r="A159" s="547" t="s">
        <v>263</v>
      </c>
      <c r="B159" s="547" t="s">
        <v>135</v>
      </c>
      <c r="C159" s="548" t="s">
        <v>784</v>
      </c>
      <c r="D159" s="549">
        <v>2018</v>
      </c>
      <c r="E159" s="549" t="s">
        <v>775</v>
      </c>
      <c r="F159" s="550">
        <v>107</v>
      </c>
      <c r="G159" s="550">
        <v>3</v>
      </c>
      <c r="H159" s="550">
        <v>0</v>
      </c>
      <c r="I159" s="550">
        <v>3</v>
      </c>
      <c r="J159" s="550">
        <v>91</v>
      </c>
      <c r="K159" s="550">
        <v>0</v>
      </c>
      <c r="L159" s="550">
        <v>0</v>
      </c>
      <c r="M159" s="550">
        <v>0</v>
      </c>
      <c r="N159" s="550">
        <v>91</v>
      </c>
      <c r="O159" s="550">
        <v>2</v>
      </c>
      <c r="P159" s="550">
        <v>210</v>
      </c>
      <c r="Q159" s="550">
        <v>6</v>
      </c>
      <c r="R159" s="551" t="str">
        <f t="shared" si="7"/>
        <v>COLUSA COUNTY</v>
      </c>
      <c r="S159" s="552"/>
      <c r="T159" s="552"/>
      <c r="U159" s="552"/>
      <c r="V159" s="552"/>
      <c r="W159" s="552"/>
      <c r="X159" s="552"/>
      <c r="Y159" s="552"/>
      <c r="Z159" s="552"/>
      <c r="AA159" s="553"/>
      <c r="AB159" s="553"/>
    </row>
    <row r="160" spans="1:28" ht="12.75">
      <c r="A160" s="547" t="s">
        <v>263</v>
      </c>
      <c r="B160" s="547" t="s">
        <v>135</v>
      </c>
      <c r="C160" s="548" t="s">
        <v>785</v>
      </c>
      <c r="D160" s="549">
        <v>2019</v>
      </c>
      <c r="E160" s="549" t="s">
        <v>775</v>
      </c>
      <c r="F160" s="550">
        <v>107</v>
      </c>
      <c r="G160" s="550">
        <v>2</v>
      </c>
      <c r="H160" s="550">
        <v>0</v>
      </c>
      <c r="I160" s="550">
        <v>2</v>
      </c>
      <c r="J160" s="550">
        <v>91</v>
      </c>
      <c r="K160" s="550">
        <v>1</v>
      </c>
      <c r="L160" s="550">
        <v>0</v>
      </c>
      <c r="M160" s="550">
        <v>1</v>
      </c>
      <c r="N160" s="550">
        <v>91</v>
      </c>
      <c r="O160" s="550">
        <v>1</v>
      </c>
      <c r="P160" s="550">
        <v>210</v>
      </c>
      <c r="Q160" s="550">
        <v>0</v>
      </c>
      <c r="R160" s="551" t="str">
        <f t="shared" si="7"/>
        <v>COLUSA COUNTY</v>
      </c>
      <c r="S160" s="552">
        <f>SUM(G155:G160) +SUM(K155:K160)</f>
        <v>16</v>
      </c>
      <c r="T160" s="552">
        <f t="shared" ref="T160:T161" si="8">F160+J160</f>
        <v>198</v>
      </c>
      <c r="U160" s="552">
        <f>SUM(O155:O160)</f>
        <v>72</v>
      </c>
      <c r="V160" s="552">
        <f t="shared" ref="V160:V161" si="9">N160</f>
        <v>91</v>
      </c>
      <c r="W160" s="554">
        <f>SUM(Q155:Q160)</f>
        <v>52</v>
      </c>
      <c r="X160" s="552">
        <f t="shared" ref="X160:X161" si="10">P160</f>
        <v>210</v>
      </c>
      <c r="Y160" s="552">
        <f>S160+U160+SUM(Q155:Q160)</f>
        <v>140</v>
      </c>
      <c r="Z160" s="552">
        <f t="shared" ref="Z160:Z161" si="11">F160+J160+N160+P160</f>
        <v>499</v>
      </c>
      <c r="AA160" s="553"/>
      <c r="AB160" s="553"/>
    </row>
    <row r="161" spans="1:28" ht="12.75">
      <c r="A161" s="547" t="s">
        <v>264</v>
      </c>
      <c r="B161" s="547" t="s">
        <v>135</v>
      </c>
      <c r="C161" s="548" t="s">
        <v>785</v>
      </c>
      <c r="D161" s="549">
        <v>2019</v>
      </c>
      <c r="E161" s="549" t="s">
        <v>775</v>
      </c>
      <c r="F161" s="550">
        <v>69</v>
      </c>
      <c r="G161" s="550">
        <v>0</v>
      </c>
      <c r="H161" s="550">
        <v>0</v>
      </c>
      <c r="I161" s="550">
        <v>0</v>
      </c>
      <c r="J161" s="550">
        <v>50</v>
      </c>
      <c r="K161" s="550">
        <v>0</v>
      </c>
      <c r="L161" s="550">
        <v>0</v>
      </c>
      <c r="M161" s="550">
        <v>0</v>
      </c>
      <c r="N161" s="550">
        <v>58</v>
      </c>
      <c r="O161" s="550">
        <v>0</v>
      </c>
      <c r="P161" s="550">
        <v>130</v>
      </c>
      <c r="Q161" s="550">
        <v>0</v>
      </c>
      <c r="R161" s="551" t="str">
        <f t="shared" si="7"/>
        <v>WILLIAMS</v>
      </c>
      <c r="S161" s="556">
        <f>G161+K161</f>
        <v>0</v>
      </c>
      <c r="T161" s="556">
        <f t="shared" si="8"/>
        <v>119</v>
      </c>
      <c r="U161" s="556">
        <f>O161</f>
        <v>0</v>
      </c>
      <c r="V161" s="556">
        <f t="shared" si="9"/>
        <v>58</v>
      </c>
      <c r="W161" s="556">
        <f>Q161</f>
        <v>0</v>
      </c>
      <c r="X161" s="556">
        <f t="shared" si="10"/>
        <v>130</v>
      </c>
      <c r="Y161" s="556">
        <f>S161+U161+Q161</f>
        <v>0</v>
      </c>
      <c r="Z161" s="556">
        <f t="shared" si="11"/>
        <v>307</v>
      </c>
      <c r="AA161" s="553"/>
      <c r="AB161" s="553"/>
    </row>
    <row r="162" spans="1:28" ht="12.75">
      <c r="A162" s="547"/>
      <c r="B162" s="547"/>
      <c r="C162" s="548"/>
      <c r="D162" s="549"/>
      <c r="E162" s="549"/>
      <c r="F162" s="550"/>
      <c r="G162" s="550"/>
      <c r="H162" s="550"/>
      <c r="I162" s="550"/>
      <c r="J162" s="550"/>
      <c r="K162" s="550"/>
      <c r="L162" s="550"/>
      <c r="M162" s="550"/>
      <c r="N162" s="550"/>
      <c r="O162" s="550"/>
      <c r="P162" s="550"/>
      <c r="Q162" s="550"/>
      <c r="R162" s="551"/>
      <c r="S162" s="563">
        <f t="shared" ref="S162:Z162" si="12">S160+S161</f>
        <v>16</v>
      </c>
      <c r="T162" s="563">
        <f t="shared" si="12"/>
        <v>317</v>
      </c>
      <c r="U162" s="563">
        <f t="shared" si="12"/>
        <v>72</v>
      </c>
      <c r="V162" s="563">
        <f t="shared" si="12"/>
        <v>149</v>
      </c>
      <c r="W162" s="563">
        <f t="shared" si="12"/>
        <v>52</v>
      </c>
      <c r="X162" s="563">
        <f t="shared" si="12"/>
        <v>340</v>
      </c>
      <c r="Y162" s="563">
        <f t="shared" si="12"/>
        <v>140</v>
      </c>
      <c r="Z162" s="563">
        <f t="shared" si="12"/>
        <v>806</v>
      </c>
      <c r="AA162" s="553"/>
      <c r="AB162" s="553"/>
    </row>
    <row r="163" spans="1:28" ht="12.75">
      <c r="A163" s="547" t="s">
        <v>265</v>
      </c>
      <c r="B163" s="547" t="s">
        <v>136</v>
      </c>
      <c r="C163" s="548" t="s">
        <v>774</v>
      </c>
      <c r="D163" s="549">
        <v>2014</v>
      </c>
      <c r="E163" s="549" t="s">
        <v>775</v>
      </c>
      <c r="F163" s="550">
        <v>349</v>
      </c>
      <c r="G163" s="550">
        <v>0</v>
      </c>
      <c r="H163" s="550">
        <v>0</v>
      </c>
      <c r="I163" s="550">
        <v>0</v>
      </c>
      <c r="J163" s="550">
        <v>205</v>
      </c>
      <c r="K163" s="550">
        <v>0</v>
      </c>
      <c r="L163" s="550">
        <v>0</v>
      </c>
      <c r="M163" s="550">
        <v>0</v>
      </c>
      <c r="N163" s="550">
        <v>214</v>
      </c>
      <c r="O163" s="550">
        <v>57</v>
      </c>
      <c r="P163" s="550">
        <v>680</v>
      </c>
      <c r="Q163" s="550">
        <v>174</v>
      </c>
      <c r="R163" s="551" t="str">
        <f t="shared" ref="R163:R266" si="13">A163</f>
        <v>ANTIOCH</v>
      </c>
      <c r="S163" s="552"/>
      <c r="T163" s="552"/>
      <c r="U163" s="552"/>
      <c r="V163" s="552"/>
      <c r="W163" s="552"/>
      <c r="X163" s="552"/>
      <c r="Y163" s="552"/>
      <c r="Z163" s="552"/>
      <c r="AA163" s="553"/>
      <c r="AB163" s="553"/>
    </row>
    <row r="164" spans="1:28" ht="12.75">
      <c r="A164" s="547" t="s">
        <v>265</v>
      </c>
      <c r="B164" s="547" t="s">
        <v>136</v>
      </c>
      <c r="C164" s="548" t="s">
        <v>774</v>
      </c>
      <c r="D164" s="549">
        <v>2015</v>
      </c>
      <c r="E164" s="549" t="s">
        <v>775</v>
      </c>
      <c r="F164" s="550">
        <v>349</v>
      </c>
      <c r="G164" s="550">
        <v>1</v>
      </c>
      <c r="H164" s="550">
        <v>0</v>
      </c>
      <c r="I164" s="550">
        <v>1</v>
      </c>
      <c r="J164" s="550">
        <v>205</v>
      </c>
      <c r="K164" s="550">
        <v>0</v>
      </c>
      <c r="L164" s="550">
        <v>0</v>
      </c>
      <c r="M164" s="550">
        <v>0</v>
      </c>
      <c r="N164" s="550">
        <v>214</v>
      </c>
      <c r="O164" s="550">
        <v>19</v>
      </c>
      <c r="P164" s="550">
        <v>680</v>
      </c>
      <c r="Q164" s="550">
        <v>47</v>
      </c>
      <c r="R164" s="551" t="str">
        <f t="shared" si="13"/>
        <v>ANTIOCH</v>
      </c>
      <c r="S164" s="552"/>
      <c r="T164" s="552"/>
      <c r="U164" s="552"/>
      <c r="V164" s="552"/>
      <c r="W164" s="552"/>
      <c r="X164" s="552"/>
      <c r="Y164" s="552"/>
      <c r="Z164" s="552"/>
      <c r="AA164" s="553"/>
      <c r="AB164" s="553"/>
    </row>
    <row r="165" spans="1:28" ht="12.75">
      <c r="A165" s="547" t="s">
        <v>265</v>
      </c>
      <c r="B165" s="547" t="s">
        <v>136</v>
      </c>
      <c r="C165" s="548" t="s">
        <v>774</v>
      </c>
      <c r="D165" s="549">
        <v>2016</v>
      </c>
      <c r="E165" s="549" t="s">
        <v>775</v>
      </c>
      <c r="F165" s="550">
        <v>349</v>
      </c>
      <c r="G165" s="550">
        <v>84</v>
      </c>
      <c r="H165" s="550">
        <v>84</v>
      </c>
      <c r="I165" s="550">
        <v>0</v>
      </c>
      <c r="J165" s="550">
        <v>205</v>
      </c>
      <c r="K165" s="550">
        <v>0</v>
      </c>
      <c r="L165" s="550">
        <v>0</v>
      </c>
      <c r="M165" s="550">
        <v>0</v>
      </c>
      <c r="N165" s="550">
        <v>214</v>
      </c>
      <c r="O165" s="550">
        <v>1</v>
      </c>
      <c r="P165" s="550">
        <v>680</v>
      </c>
      <c r="Q165" s="550">
        <v>42</v>
      </c>
      <c r="R165" s="551" t="str">
        <f t="shared" si="13"/>
        <v>ANTIOCH</v>
      </c>
      <c r="S165" s="552"/>
      <c r="T165" s="552"/>
      <c r="U165" s="552"/>
      <c r="V165" s="552"/>
      <c r="W165" s="552"/>
      <c r="X165" s="552"/>
      <c r="Y165" s="552"/>
      <c r="Z165" s="552"/>
      <c r="AA165" s="553"/>
      <c r="AB165" s="553"/>
    </row>
    <row r="166" spans="1:28" ht="12.75">
      <c r="A166" s="547" t="s">
        <v>265</v>
      </c>
      <c r="B166" s="547" t="s">
        <v>136</v>
      </c>
      <c r="C166" s="548" t="s">
        <v>774</v>
      </c>
      <c r="D166" s="549">
        <v>2017</v>
      </c>
      <c r="E166" s="549" t="s">
        <v>775</v>
      </c>
      <c r="F166" s="550">
        <v>349</v>
      </c>
      <c r="G166" s="550">
        <v>2</v>
      </c>
      <c r="H166" s="550">
        <v>2</v>
      </c>
      <c r="I166" s="550">
        <v>0</v>
      </c>
      <c r="J166" s="550">
        <v>205</v>
      </c>
      <c r="K166" s="550">
        <v>0</v>
      </c>
      <c r="L166" s="550">
        <v>0</v>
      </c>
      <c r="M166" s="550">
        <v>0</v>
      </c>
      <c r="N166" s="550">
        <v>214</v>
      </c>
      <c r="O166" s="550">
        <v>0</v>
      </c>
      <c r="P166" s="550">
        <v>680</v>
      </c>
      <c r="Q166" s="550">
        <v>41</v>
      </c>
      <c r="R166" s="551" t="str">
        <f t="shared" si="13"/>
        <v>ANTIOCH</v>
      </c>
      <c r="S166" s="552"/>
      <c r="T166" s="552"/>
      <c r="U166" s="552"/>
      <c r="V166" s="552"/>
      <c r="W166" s="552"/>
      <c r="X166" s="552"/>
      <c r="Y166" s="552"/>
      <c r="Z166" s="552"/>
      <c r="AA166" s="553"/>
      <c r="AB166" s="553"/>
    </row>
    <row r="167" spans="1:28" ht="12.75">
      <c r="A167" s="547" t="s">
        <v>265</v>
      </c>
      <c r="B167" s="547" t="s">
        <v>136</v>
      </c>
      <c r="C167" s="548" t="s">
        <v>774</v>
      </c>
      <c r="D167" s="549">
        <v>2018</v>
      </c>
      <c r="E167" s="549" t="s">
        <v>775</v>
      </c>
      <c r="F167" s="550">
        <v>349</v>
      </c>
      <c r="G167" s="550">
        <v>1</v>
      </c>
      <c r="H167" s="550">
        <v>0</v>
      </c>
      <c r="I167" s="550">
        <v>1</v>
      </c>
      <c r="J167" s="550">
        <v>205</v>
      </c>
      <c r="K167" s="550">
        <v>1</v>
      </c>
      <c r="L167" s="550">
        <v>0</v>
      </c>
      <c r="M167" s="550">
        <v>1</v>
      </c>
      <c r="N167" s="550">
        <v>214</v>
      </c>
      <c r="O167" s="550">
        <v>0</v>
      </c>
      <c r="P167" s="550">
        <v>680</v>
      </c>
      <c r="Q167" s="550">
        <v>119</v>
      </c>
      <c r="R167" s="551" t="str">
        <f t="shared" si="13"/>
        <v>ANTIOCH</v>
      </c>
      <c r="S167" s="552"/>
      <c r="T167" s="552"/>
      <c r="U167" s="552"/>
      <c r="V167" s="552"/>
      <c r="W167" s="552"/>
      <c r="X167" s="552"/>
      <c r="Y167" s="552"/>
      <c r="Z167" s="552"/>
      <c r="AA167" s="553"/>
      <c r="AB167" s="553"/>
    </row>
    <row r="168" spans="1:28" ht="12.75">
      <c r="A168" s="547" t="s">
        <v>265</v>
      </c>
      <c r="B168" s="547" t="s">
        <v>136</v>
      </c>
      <c r="C168" s="548" t="s">
        <v>782</v>
      </c>
      <c r="D168" s="549">
        <v>2019</v>
      </c>
      <c r="E168" s="549" t="s">
        <v>775</v>
      </c>
      <c r="F168" s="550">
        <v>349</v>
      </c>
      <c r="G168" s="550">
        <v>2</v>
      </c>
      <c r="H168" s="550">
        <v>0</v>
      </c>
      <c r="I168" s="550">
        <v>2</v>
      </c>
      <c r="J168" s="550">
        <v>205</v>
      </c>
      <c r="K168" s="550">
        <v>0</v>
      </c>
      <c r="L168" s="550">
        <v>0</v>
      </c>
      <c r="M168" s="550">
        <v>0</v>
      </c>
      <c r="N168" s="550">
        <v>214</v>
      </c>
      <c r="O168" s="550">
        <v>12</v>
      </c>
      <c r="P168" s="550">
        <v>680</v>
      </c>
      <c r="Q168" s="550">
        <v>279</v>
      </c>
      <c r="R168" s="551" t="str">
        <f t="shared" si="13"/>
        <v>ANTIOCH</v>
      </c>
      <c r="S168" s="552">
        <f>SUM(G163:G168) +SUM(K163:K168)</f>
        <v>91</v>
      </c>
      <c r="T168" s="552">
        <f>F168+J168</f>
        <v>554</v>
      </c>
      <c r="U168" s="552">
        <f>SUM(O163:O168)</f>
        <v>89</v>
      </c>
      <c r="V168" s="552">
        <f>N168</f>
        <v>214</v>
      </c>
      <c r="W168" s="554">
        <f>SUM(Q163:Q168)</f>
        <v>702</v>
      </c>
      <c r="X168" s="552">
        <f>P168</f>
        <v>680</v>
      </c>
      <c r="Y168" s="552">
        <f>S168+U168+SUM(Q163:Q168)</f>
        <v>882</v>
      </c>
      <c r="Z168" s="552">
        <f>F168+J168+N168+P168</f>
        <v>1448</v>
      </c>
      <c r="AA168" s="553"/>
      <c r="AB168" s="553"/>
    </row>
    <row r="169" spans="1:28" ht="12.75">
      <c r="A169" s="547" t="s">
        <v>266</v>
      </c>
      <c r="B169" s="547" t="s">
        <v>136</v>
      </c>
      <c r="C169" s="548" t="s">
        <v>774</v>
      </c>
      <c r="D169" s="549">
        <v>2014</v>
      </c>
      <c r="E169" s="549" t="s">
        <v>775</v>
      </c>
      <c r="F169" s="550">
        <v>234</v>
      </c>
      <c r="G169" s="550">
        <v>1</v>
      </c>
      <c r="H169" s="550">
        <v>1</v>
      </c>
      <c r="I169" s="550">
        <v>0</v>
      </c>
      <c r="J169" s="550">
        <v>124</v>
      </c>
      <c r="K169" s="550">
        <v>2</v>
      </c>
      <c r="L169" s="550">
        <v>2</v>
      </c>
      <c r="M169" s="550">
        <v>0</v>
      </c>
      <c r="N169" s="550">
        <v>123</v>
      </c>
      <c r="O169" s="550">
        <v>5</v>
      </c>
      <c r="P169" s="550">
        <v>279</v>
      </c>
      <c r="Q169" s="550">
        <v>415</v>
      </c>
      <c r="R169" s="551" t="str">
        <f t="shared" si="13"/>
        <v>BRENTWOOD</v>
      </c>
      <c r="S169" s="552"/>
      <c r="T169" s="552"/>
      <c r="U169" s="552"/>
      <c r="V169" s="552"/>
      <c r="W169" s="552"/>
      <c r="X169" s="552"/>
      <c r="Y169" s="552"/>
      <c r="Z169" s="552"/>
      <c r="AA169" s="553"/>
      <c r="AB169" s="553"/>
    </row>
    <row r="170" spans="1:28" ht="12.75">
      <c r="A170" s="547" t="s">
        <v>266</v>
      </c>
      <c r="B170" s="547" t="s">
        <v>136</v>
      </c>
      <c r="C170" s="548" t="s">
        <v>774</v>
      </c>
      <c r="D170" s="549">
        <v>2015</v>
      </c>
      <c r="E170" s="549" t="s">
        <v>775</v>
      </c>
      <c r="F170" s="550">
        <v>234</v>
      </c>
      <c r="G170" s="550">
        <v>0</v>
      </c>
      <c r="H170" s="550">
        <v>0</v>
      </c>
      <c r="I170" s="550">
        <v>0</v>
      </c>
      <c r="J170" s="550">
        <v>124</v>
      </c>
      <c r="K170" s="550">
        <v>5</v>
      </c>
      <c r="L170" s="550">
        <v>5</v>
      </c>
      <c r="M170" s="550">
        <v>0</v>
      </c>
      <c r="N170" s="550">
        <v>123</v>
      </c>
      <c r="O170" s="550">
        <v>0</v>
      </c>
      <c r="P170" s="550">
        <v>279</v>
      </c>
      <c r="Q170" s="550">
        <v>449</v>
      </c>
      <c r="R170" s="551" t="str">
        <f t="shared" si="13"/>
        <v>BRENTWOOD</v>
      </c>
      <c r="S170" s="552"/>
      <c r="T170" s="552"/>
      <c r="U170" s="552"/>
      <c r="V170" s="552"/>
      <c r="W170" s="552"/>
      <c r="X170" s="552"/>
      <c r="Y170" s="552"/>
      <c r="Z170" s="552"/>
      <c r="AA170" s="553"/>
      <c r="AB170" s="553"/>
    </row>
    <row r="171" spans="1:28" ht="12.75">
      <c r="A171" s="547" t="s">
        <v>266</v>
      </c>
      <c r="B171" s="547" t="s">
        <v>136</v>
      </c>
      <c r="C171" s="548" t="s">
        <v>774</v>
      </c>
      <c r="D171" s="549">
        <v>2016</v>
      </c>
      <c r="E171" s="549" t="s">
        <v>775</v>
      </c>
      <c r="F171" s="550">
        <v>234</v>
      </c>
      <c r="G171" s="550">
        <v>0</v>
      </c>
      <c r="H171" s="550">
        <v>0</v>
      </c>
      <c r="I171" s="550">
        <v>0</v>
      </c>
      <c r="J171" s="550">
        <v>124</v>
      </c>
      <c r="K171" s="550">
        <v>3</v>
      </c>
      <c r="L171" s="550">
        <v>3</v>
      </c>
      <c r="M171" s="550">
        <v>0</v>
      </c>
      <c r="N171" s="550">
        <v>123</v>
      </c>
      <c r="O171" s="550">
        <v>0</v>
      </c>
      <c r="P171" s="550">
        <v>279</v>
      </c>
      <c r="Q171" s="550">
        <v>540</v>
      </c>
      <c r="R171" s="551" t="str">
        <f t="shared" si="13"/>
        <v>BRENTWOOD</v>
      </c>
      <c r="S171" s="552"/>
      <c r="T171" s="552"/>
      <c r="U171" s="552"/>
      <c r="V171" s="552"/>
      <c r="W171" s="552"/>
      <c r="X171" s="552"/>
      <c r="Y171" s="552"/>
      <c r="Z171" s="552"/>
      <c r="AA171" s="553"/>
      <c r="AB171" s="553"/>
    </row>
    <row r="172" spans="1:28" ht="12.75">
      <c r="A172" s="547" t="s">
        <v>266</v>
      </c>
      <c r="B172" s="547" t="s">
        <v>136</v>
      </c>
      <c r="C172" s="548" t="s">
        <v>774</v>
      </c>
      <c r="D172" s="549">
        <v>2017</v>
      </c>
      <c r="E172" s="549" t="s">
        <v>775</v>
      </c>
      <c r="F172" s="550">
        <v>234</v>
      </c>
      <c r="G172" s="550">
        <v>2</v>
      </c>
      <c r="H172" s="550">
        <v>2</v>
      </c>
      <c r="I172" s="550">
        <v>0</v>
      </c>
      <c r="J172" s="550">
        <v>124</v>
      </c>
      <c r="K172" s="550">
        <v>0</v>
      </c>
      <c r="L172" s="550">
        <v>0</v>
      </c>
      <c r="M172" s="550">
        <v>0</v>
      </c>
      <c r="N172" s="550">
        <v>123</v>
      </c>
      <c r="O172" s="550">
        <v>1</v>
      </c>
      <c r="P172" s="550">
        <v>279</v>
      </c>
      <c r="Q172" s="550">
        <v>503</v>
      </c>
      <c r="R172" s="551" t="str">
        <f t="shared" si="13"/>
        <v>BRENTWOOD</v>
      </c>
      <c r="S172" s="552"/>
      <c r="T172" s="552"/>
      <c r="U172" s="552"/>
      <c r="V172" s="552"/>
      <c r="W172" s="552"/>
      <c r="X172" s="552"/>
      <c r="Y172" s="552"/>
      <c r="Z172" s="552"/>
      <c r="AA172" s="553"/>
      <c r="AB172" s="553"/>
    </row>
    <row r="173" spans="1:28" ht="12.75">
      <c r="A173" s="547" t="s">
        <v>266</v>
      </c>
      <c r="B173" s="547" t="s">
        <v>136</v>
      </c>
      <c r="C173" s="548" t="s">
        <v>782</v>
      </c>
      <c r="D173" s="549">
        <v>2019</v>
      </c>
      <c r="E173" s="549" t="s">
        <v>775</v>
      </c>
      <c r="F173" s="550">
        <v>234</v>
      </c>
      <c r="G173" s="550">
        <v>0</v>
      </c>
      <c r="H173" s="550">
        <v>0</v>
      </c>
      <c r="I173" s="550">
        <v>0</v>
      </c>
      <c r="J173" s="550">
        <v>124</v>
      </c>
      <c r="K173" s="550">
        <v>3</v>
      </c>
      <c r="L173" s="550">
        <v>0</v>
      </c>
      <c r="M173" s="550">
        <v>3</v>
      </c>
      <c r="N173" s="550">
        <v>123</v>
      </c>
      <c r="O173" s="550">
        <v>0</v>
      </c>
      <c r="P173" s="550">
        <v>279</v>
      </c>
      <c r="Q173" s="550">
        <v>321</v>
      </c>
      <c r="R173" s="551" t="str">
        <f t="shared" si="13"/>
        <v>BRENTWOOD</v>
      </c>
      <c r="S173" s="255">
        <f>SUM(G169:G173) +SUM(K169:K173)</f>
        <v>16</v>
      </c>
      <c r="T173" s="255">
        <f>F173+J173</f>
        <v>358</v>
      </c>
      <c r="U173" s="255">
        <f>SUM(O169:O173)</f>
        <v>6</v>
      </c>
      <c r="V173" s="255">
        <f>N173</f>
        <v>123</v>
      </c>
      <c r="W173" s="83">
        <f>SUM(Q169:Q173)</f>
        <v>2228</v>
      </c>
      <c r="X173" s="255">
        <f>P173</f>
        <v>279</v>
      </c>
      <c r="Y173" s="255">
        <f>S173+U173+SUM(Q169:Q173)</f>
        <v>2250</v>
      </c>
      <c r="Z173" s="255">
        <f>F173+J173+N173+P173</f>
        <v>760</v>
      </c>
      <c r="AA173" s="553"/>
      <c r="AB173" s="553"/>
    </row>
    <row r="174" spans="1:28" ht="12.75">
      <c r="A174" s="547" t="s">
        <v>267</v>
      </c>
      <c r="B174" s="547" t="s">
        <v>136</v>
      </c>
      <c r="C174" s="548" t="s">
        <v>774</v>
      </c>
      <c r="D174" s="549">
        <v>2015</v>
      </c>
      <c r="E174" s="549" t="s">
        <v>775</v>
      </c>
      <c r="F174" s="550">
        <v>51</v>
      </c>
      <c r="G174" s="550">
        <v>0</v>
      </c>
      <c r="H174" s="550">
        <v>0</v>
      </c>
      <c r="I174" s="550">
        <v>0</v>
      </c>
      <c r="J174" s="550">
        <v>25</v>
      </c>
      <c r="K174" s="550">
        <v>0</v>
      </c>
      <c r="L174" s="550">
        <v>0</v>
      </c>
      <c r="M174" s="550">
        <v>0</v>
      </c>
      <c r="N174" s="550">
        <v>31</v>
      </c>
      <c r="O174" s="550">
        <v>0</v>
      </c>
      <c r="P174" s="550">
        <v>34</v>
      </c>
      <c r="Q174" s="550">
        <v>0</v>
      </c>
      <c r="R174" s="551" t="str">
        <f t="shared" si="13"/>
        <v>CLAYTON</v>
      </c>
      <c r="S174" s="552"/>
      <c r="T174" s="552"/>
      <c r="U174" s="552"/>
      <c r="V174" s="552"/>
      <c r="W174" s="552"/>
      <c r="X174" s="552"/>
      <c r="Y174" s="552"/>
      <c r="Z174" s="552"/>
      <c r="AA174" s="553"/>
      <c r="AB174" s="553"/>
    </row>
    <row r="175" spans="1:28" ht="12.75">
      <c r="A175" s="547" t="s">
        <v>267</v>
      </c>
      <c r="B175" s="547" t="s">
        <v>136</v>
      </c>
      <c r="C175" s="548" t="s">
        <v>774</v>
      </c>
      <c r="D175" s="549">
        <v>2016</v>
      </c>
      <c r="E175" s="549" t="s">
        <v>775</v>
      </c>
      <c r="F175" s="550">
        <v>51</v>
      </c>
      <c r="G175" s="550">
        <v>0</v>
      </c>
      <c r="H175" s="550">
        <v>0</v>
      </c>
      <c r="I175" s="550">
        <v>0</v>
      </c>
      <c r="J175" s="550">
        <v>25</v>
      </c>
      <c r="K175" s="550">
        <v>1</v>
      </c>
      <c r="L175" s="550">
        <v>0</v>
      </c>
      <c r="M175" s="550">
        <v>1</v>
      </c>
      <c r="N175" s="550">
        <v>31</v>
      </c>
      <c r="O175" s="550">
        <v>0</v>
      </c>
      <c r="P175" s="550">
        <v>34</v>
      </c>
      <c r="Q175" s="550">
        <v>0</v>
      </c>
      <c r="R175" s="551" t="str">
        <f t="shared" si="13"/>
        <v>CLAYTON</v>
      </c>
      <c r="S175" s="552"/>
      <c r="T175" s="552"/>
      <c r="U175" s="552"/>
      <c r="V175" s="552"/>
      <c r="W175" s="552"/>
      <c r="X175" s="552"/>
      <c r="Y175" s="552"/>
      <c r="Z175" s="552"/>
      <c r="AA175" s="553"/>
      <c r="AB175" s="553"/>
    </row>
    <row r="176" spans="1:28" ht="12.75">
      <c r="A176" s="547" t="s">
        <v>267</v>
      </c>
      <c r="B176" s="547" t="s">
        <v>136</v>
      </c>
      <c r="C176" s="548" t="s">
        <v>774</v>
      </c>
      <c r="D176" s="549">
        <v>2017</v>
      </c>
      <c r="E176" s="549" t="s">
        <v>775</v>
      </c>
      <c r="F176" s="550">
        <v>51</v>
      </c>
      <c r="G176" s="550">
        <v>0</v>
      </c>
      <c r="H176" s="550">
        <v>0</v>
      </c>
      <c r="I176" s="550">
        <v>0</v>
      </c>
      <c r="J176" s="550">
        <v>25</v>
      </c>
      <c r="K176" s="550">
        <v>1</v>
      </c>
      <c r="L176" s="550">
        <v>0</v>
      </c>
      <c r="M176" s="550">
        <v>1</v>
      </c>
      <c r="N176" s="550">
        <v>31</v>
      </c>
      <c r="O176" s="550">
        <v>0</v>
      </c>
      <c r="P176" s="550">
        <v>34</v>
      </c>
      <c r="Q176" s="550">
        <v>8</v>
      </c>
      <c r="R176" s="551" t="str">
        <f t="shared" si="13"/>
        <v>CLAYTON</v>
      </c>
      <c r="S176" s="552"/>
      <c r="T176" s="552"/>
      <c r="U176" s="552"/>
      <c r="V176" s="552"/>
      <c r="W176" s="552"/>
      <c r="X176" s="552"/>
      <c r="Y176" s="552"/>
      <c r="Z176" s="552"/>
      <c r="AA176" s="553"/>
      <c r="AB176" s="553"/>
    </row>
    <row r="177" spans="1:28" ht="12.75">
      <c r="A177" s="547" t="s">
        <v>267</v>
      </c>
      <c r="B177" s="547" t="s">
        <v>136</v>
      </c>
      <c r="C177" s="548" t="s">
        <v>774</v>
      </c>
      <c r="D177" s="549">
        <v>2018</v>
      </c>
      <c r="E177" s="549" t="s">
        <v>775</v>
      </c>
      <c r="F177" s="550">
        <v>51</v>
      </c>
      <c r="G177" s="564"/>
      <c r="H177" s="564"/>
      <c r="I177" s="564"/>
      <c r="J177" s="550">
        <v>25</v>
      </c>
      <c r="K177" s="564"/>
      <c r="L177" s="564"/>
      <c r="M177" s="564"/>
      <c r="N177" s="550">
        <v>31</v>
      </c>
      <c r="O177" s="564"/>
      <c r="P177" s="550">
        <v>34</v>
      </c>
      <c r="Q177" s="564"/>
      <c r="R177" s="551" t="str">
        <f t="shared" si="13"/>
        <v>CLAYTON</v>
      </c>
      <c r="S177" s="552"/>
      <c r="T177" s="552"/>
      <c r="U177" s="552"/>
      <c r="V177" s="552"/>
      <c r="W177" s="552"/>
      <c r="X177" s="552"/>
      <c r="Y177" s="552"/>
      <c r="Z177" s="552"/>
      <c r="AA177" s="553"/>
      <c r="AB177" s="553"/>
    </row>
    <row r="178" spans="1:28" ht="12.75">
      <c r="A178" s="547" t="s">
        <v>267</v>
      </c>
      <c r="B178" s="547" t="s">
        <v>136</v>
      </c>
      <c r="C178" s="548" t="s">
        <v>782</v>
      </c>
      <c r="D178" s="549">
        <v>2019</v>
      </c>
      <c r="E178" s="549" t="s">
        <v>775</v>
      </c>
      <c r="F178" s="550">
        <v>51</v>
      </c>
      <c r="G178" s="550">
        <v>0</v>
      </c>
      <c r="H178" s="550">
        <v>0</v>
      </c>
      <c r="I178" s="550">
        <v>0</v>
      </c>
      <c r="J178" s="550">
        <v>25</v>
      </c>
      <c r="K178" s="550">
        <v>0</v>
      </c>
      <c r="L178" s="550">
        <v>0</v>
      </c>
      <c r="M178" s="550">
        <v>0</v>
      </c>
      <c r="N178" s="550">
        <v>31</v>
      </c>
      <c r="O178" s="550">
        <v>0</v>
      </c>
      <c r="P178" s="550">
        <v>34</v>
      </c>
      <c r="Q178" s="550">
        <v>0</v>
      </c>
      <c r="R178" s="551" t="str">
        <f t="shared" si="13"/>
        <v>CLAYTON</v>
      </c>
      <c r="S178" s="255">
        <f>SUM(G174:G178) +SUM(K174:K178)</f>
        <v>2</v>
      </c>
      <c r="T178" s="255">
        <f>F178+J178</f>
        <v>76</v>
      </c>
      <c r="U178" s="255">
        <f>SUM(O174:O178)</f>
        <v>0</v>
      </c>
      <c r="V178" s="255">
        <f>N178</f>
        <v>31</v>
      </c>
      <c r="W178" s="83">
        <f>SUM(Q174:Q178)</f>
        <v>8</v>
      </c>
      <c r="X178" s="255">
        <f>P178</f>
        <v>34</v>
      </c>
      <c r="Y178" s="255">
        <f>S178+U178+SUM(Q174:Q178)</f>
        <v>10</v>
      </c>
      <c r="Z178" s="255">
        <f>F178+J178+N178+P178</f>
        <v>141</v>
      </c>
      <c r="AA178" s="553"/>
      <c r="AB178" s="553"/>
    </row>
    <row r="179" spans="1:28" ht="12.75">
      <c r="A179" s="547" t="s">
        <v>268</v>
      </c>
      <c r="B179" s="547" t="s">
        <v>136</v>
      </c>
      <c r="C179" s="548" t="s">
        <v>774</v>
      </c>
      <c r="D179" s="549">
        <v>2014</v>
      </c>
      <c r="E179" s="549" t="s">
        <v>775</v>
      </c>
      <c r="F179" s="550">
        <v>798</v>
      </c>
      <c r="G179" s="550">
        <v>0</v>
      </c>
      <c r="H179" s="550">
        <v>0</v>
      </c>
      <c r="I179" s="550">
        <v>0</v>
      </c>
      <c r="J179" s="550">
        <v>444</v>
      </c>
      <c r="K179" s="550">
        <v>0</v>
      </c>
      <c r="L179" s="550">
        <v>0</v>
      </c>
      <c r="M179" s="550">
        <v>0</v>
      </c>
      <c r="N179" s="550">
        <v>559</v>
      </c>
      <c r="O179" s="550">
        <v>0</v>
      </c>
      <c r="P179" s="550">
        <v>1677</v>
      </c>
      <c r="Q179" s="550">
        <v>15</v>
      </c>
      <c r="R179" s="551" t="str">
        <f t="shared" si="13"/>
        <v>CONCORD</v>
      </c>
      <c r="S179" s="552"/>
      <c r="T179" s="552"/>
      <c r="U179" s="552"/>
      <c r="V179" s="552"/>
      <c r="W179" s="552"/>
      <c r="X179" s="552"/>
      <c r="Y179" s="552"/>
      <c r="Z179" s="552"/>
      <c r="AA179" s="553"/>
      <c r="AB179" s="553"/>
    </row>
    <row r="180" spans="1:28" ht="12.75">
      <c r="A180" s="547" t="s">
        <v>268</v>
      </c>
      <c r="B180" s="547" t="s">
        <v>136</v>
      </c>
      <c r="C180" s="548" t="s">
        <v>774</v>
      </c>
      <c r="D180" s="549">
        <v>2015</v>
      </c>
      <c r="E180" s="549" t="s">
        <v>775</v>
      </c>
      <c r="F180" s="550">
        <v>798</v>
      </c>
      <c r="G180" s="550">
        <v>0</v>
      </c>
      <c r="H180" s="550">
        <v>0</v>
      </c>
      <c r="I180" s="550">
        <v>0</v>
      </c>
      <c r="J180" s="550">
        <v>444</v>
      </c>
      <c r="K180" s="550">
        <v>0</v>
      </c>
      <c r="L180" s="550">
        <v>0</v>
      </c>
      <c r="M180" s="550">
        <v>0</v>
      </c>
      <c r="N180" s="550">
        <v>559</v>
      </c>
      <c r="O180" s="550">
        <v>4</v>
      </c>
      <c r="P180" s="550">
        <v>1677</v>
      </c>
      <c r="Q180" s="550">
        <v>33</v>
      </c>
      <c r="R180" s="551" t="str">
        <f t="shared" si="13"/>
        <v>CONCORD</v>
      </c>
      <c r="S180" s="552"/>
      <c r="T180" s="552"/>
      <c r="U180" s="552"/>
      <c r="V180" s="552"/>
      <c r="W180" s="552"/>
      <c r="X180" s="552"/>
      <c r="Y180" s="552"/>
      <c r="Z180" s="552"/>
      <c r="AA180" s="553"/>
      <c r="AB180" s="553"/>
    </row>
    <row r="181" spans="1:28" ht="12.75">
      <c r="A181" s="547" t="s">
        <v>268</v>
      </c>
      <c r="B181" s="547" t="s">
        <v>136</v>
      </c>
      <c r="C181" s="548" t="s">
        <v>774</v>
      </c>
      <c r="D181" s="549">
        <v>2016</v>
      </c>
      <c r="E181" s="549" t="s">
        <v>775</v>
      </c>
      <c r="F181" s="550">
        <v>798</v>
      </c>
      <c r="G181" s="550">
        <v>19</v>
      </c>
      <c r="H181" s="550">
        <v>19</v>
      </c>
      <c r="I181" s="550">
        <v>0</v>
      </c>
      <c r="J181" s="550">
        <v>444</v>
      </c>
      <c r="K181" s="550">
        <v>3</v>
      </c>
      <c r="L181" s="550">
        <v>3</v>
      </c>
      <c r="M181" s="550">
        <v>0</v>
      </c>
      <c r="N181" s="550">
        <v>559</v>
      </c>
      <c r="O181" s="550">
        <v>0</v>
      </c>
      <c r="P181" s="550">
        <v>1677</v>
      </c>
      <c r="Q181" s="550">
        <v>55</v>
      </c>
      <c r="R181" s="551" t="str">
        <f t="shared" si="13"/>
        <v>CONCORD</v>
      </c>
      <c r="S181" s="552"/>
      <c r="T181" s="552"/>
      <c r="U181" s="552"/>
      <c r="V181" s="552"/>
      <c r="W181" s="552"/>
      <c r="X181" s="552"/>
      <c r="Y181" s="552"/>
      <c r="Z181" s="552"/>
      <c r="AA181" s="553"/>
      <c r="AB181" s="553"/>
    </row>
    <row r="182" spans="1:28" ht="12.75">
      <c r="A182" s="547" t="s">
        <v>268</v>
      </c>
      <c r="B182" s="547" t="s">
        <v>136</v>
      </c>
      <c r="C182" s="548" t="s">
        <v>774</v>
      </c>
      <c r="D182" s="549">
        <v>2017</v>
      </c>
      <c r="E182" s="549" t="s">
        <v>775</v>
      </c>
      <c r="F182" s="550">
        <v>798</v>
      </c>
      <c r="G182" s="550">
        <v>0</v>
      </c>
      <c r="H182" s="550">
        <v>0</v>
      </c>
      <c r="I182" s="550">
        <v>0</v>
      </c>
      <c r="J182" s="550">
        <v>444</v>
      </c>
      <c r="K182" s="550">
        <v>0</v>
      </c>
      <c r="L182" s="550">
        <v>0</v>
      </c>
      <c r="M182" s="550">
        <v>0</v>
      </c>
      <c r="N182" s="550">
        <v>559</v>
      </c>
      <c r="O182" s="550">
        <v>0</v>
      </c>
      <c r="P182" s="550">
        <v>1677</v>
      </c>
      <c r="Q182" s="550">
        <v>53</v>
      </c>
      <c r="R182" s="551" t="str">
        <f t="shared" si="13"/>
        <v>CONCORD</v>
      </c>
      <c r="S182" s="552"/>
      <c r="T182" s="552"/>
      <c r="U182" s="552"/>
      <c r="V182" s="552"/>
      <c r="W182" s="552"/>
      <c r="X182" s="552"/>
      <c r="Y182" s="552"/>
      <c r="Z182" s="552"/>
      <c r="AA182" s="553"/>
      <c r="AB182" s="553"/>
    </row>
    <row r="183" spans="1:28" ht="12.75">
      <c r="A183" s="547" t="s">
        <v>268</v>
      </c>
      <c r="B183" s="547" t="s">
        <v>136</v>
      </c>
      <c r="C183" s="548" t="s">
        <v>774</v>
      </c>
      <c r="D183" s="549">
        <v>2018</v>
      </c>
      <c r="E183" s="549" t="s">
        <v>775</v>
      </c>
      <c r="F183" s="550">
        <v>798</v>
      </c>
      <c r="G183" s="550">
        <v>0</v>
      </c>
      <c r="H183" s="550">
        <v>0</v>
      </c>
      <c r="I183" s="550">
        <v>0</v>
      </c>
      <c r="J183" s="550">
        <v>444</v>
      </c>
      <c r="K183" s="550">
        <v>0</v>
      </c>
      <c r="L183" s="550">
        <v>0</v>
      </c>
      <c r="M183" s="550">
        <v>0</v>
      </c>
      <c r="N183" s="550">
        <v>559</v>
      </c>
      <c r="O183" s="550">
        <v>0</v>
      </c>
      <c r="P183" s="550">
        <v>1677</v>
      </c>
      <c r="Q183" s="550">
        <v>24</v>
      </c>
      <c r="R183" s="551" t="str">
        <f t="shared" si="13"/>
        <v>CONCORD</v>
      </c>
      <c r="S183" s="552"/>
      <c r="T183" s="552"/>
      <c r="U183" s="552"/>
      <c r="V183" s="552"/>
      <c r="W183" s="552"/>
      <c r="X183" s="552"/>
      <c r="Y183" s="552"/>
      <c r="Z183" s="552"/>
      <c r="AA183" s="553"/>
      <c r="AB183" s="553"/>
    </row>
    <row r="184" spans="1:28" ht="12.75">
      <c r="A184" s="547" t="s">
        <v>268</v>
      </c>
      <c r="B184" s="555" t="s">
        <v>136</v>
      </c>
      <c r="C184" s="548" t="s">
        <v>782</v>
      </c>
      <c r="D184" s="549">
        <v>2019</v>
      </c>
      <c r="E184" s="549" t="s">
        <v>775</v>
      </c>
      <c r="F184" s="550">
        <v>798</v>
      </c>
      <c r="G184" s="550">
        <v>0</v>
      </c>
      <c r="H184" s="550">
        <v>0</v>
      </c>
      <c r="I184" s="550">
        <v>0</v>
      </c>
      <c r="J184" s="550">
        <v>444</v>
      </c>
      <c r="K184" s="550">
        <v>0</v>
      </c>
      <c r="L184" s="550">
        <v>0</v>
      </c>
      <c r="M184" s="550">
        <v>0</v>
      </c>
      <c r="N184" s="550">
        <v>559</v>
      </c>
      <c r="O184" s="550">
        <v>1</v>
      </c>
      <c r="P184" s="550">
        <v>1677</v>
      </c>
      <c r="Q184" s="550">
        <v>34</v>
      </c>
      <c r="R184" s="551" t="str">
        <f t="shared" si="13"/>
        <v>CONCORD</v>
      </c>
      <c r="S184" s="552">
        <f>SUM(G179:G184) +SUM(K179:K184)</f>
        <v>22</v>
      </c>
      <c r="T184" s="552">
        <f>F184+J184</f>
        <v>1242</v>
      </c>
      <c r="U184" s="552">
        <f>SUM(O179:O184)</f>
        <v>5</v>
      </c>
      <c r="V184" s="552">
        <f>N184</f>
        <v>559</v>
      </c>
      <c r="W184" s="554">
        <f>SUM(Q179:Q184)</f>
        <v>214</v>
      </c>
      <c r="X184" s="552">
        <f>P184</f>
        <v>1677</v>
      </c>
      <c r="Y184" s="552">
        <f>S184+U184+SUM(Q179:Q184)</f>
        <v>241</v>
      </c>
      <c r="Z184" s="552">
        <f>F184+J184+N184+P184</f>
        <v>3478</v>
      </c>
      <c r="AA184" s="553"/>
      <c r="AB184" s="553"/>
    </row>
    <row r="185" spans="1:28" ht="12.75">
      <c r="A185" s="547" t="s">
        <v>269</v>
      </c>
      <c r="B185" s="555" t="s">
        <v>136</v>
      </c>
      <c r="C185" s="548" t="s">
        <v>774</v>
      </c>
      <c r="D185" s="549">
        <v>2015</v>
      </c>
      <c r="E185" s="549" t="s">
        <v>775</v>
      </c>
      <c r="F185" s="550">
        <v>374</v>
      </c>
      <c r="G185" s="550">
        <v>0</v>
      </c>
      <c r="H185" s="550">
        <v>0</v>
      </c>
      <c r="I185" s="550">
        <v>0</v>
      </c>
      <c r="J185" s="550">
        <v>218</v>
      </c>
      <c r="K185" s="550">
        <v>8</v>
      </c>
      <c r="L185" s="550">
        <v>0</v>
      </c>
      <c r="M185" s="550">
        <v>8</v>
      </c>
      <c r="N185" s="550">
        <v>243</v>
      </c>
      <c r="O185" s="550">
        <v>65</v>
      </c>
      <c r="P185" s="550">
        <v>532</v>
      </c>
      <c r="Q185" s="550">
        <v>276</v>
      </c>
      <c r="R185" s="551" t="str">
        <f t="shared" si="13"/>
        <v>CONTRA COSTA COUNTY</v>
      </c>
      <c r="S185" s="552"/>
      <c r="T185" s="552"/>
      <c r="U185" s="552"/>
      <c r="V185" s="552"/>
      <c r="W185" s="552"/>
      <c r="X185" s="552"/>
      <c r="Y185" s="552"/>
      <c r="Z185" s="552"/>
      <c r="AA185" s="553"/>
      <c r="AB185" s="553"/>
    </row>
    <row r="186" spans="1:28" ht="12.75">
      <c r="A186" s="547" t="s">
        <v>269</v>
      </c>
      <c r="B186" s="547" t="s">
        <v>136</v>
      </c>
      <c r="C186" s="548" t="s">
        <v>774</v>
      </c>
      <c r="D186" s="549">
        <v>2016</v>
      </c>
      <c r="E186" s="549" t="s">
        <v>775</v>
      </c>
      <c r="F186" s="550">
        <v>374</v>
      </c>
      <c r="G186" s="550">
        <v>0</v>
      </c>
      <c r="H186" s="550">
        <v>0</v>
      </c>
      <c r="I186" s="550">
        <v>0</v>
      </c>
      <c r="J186" s="550">
        <v>218</v>
      </c>
      <c r="K186" s="550">
        <v>0</v>
      </c>
      <c r="L186" s="550">
        <v>0</v>
      </c>
      <c r="M186" s="550">
        <v>0</v>
      </c>
      <c r="N186" s="550">
        <v>243</v>
      </c>
      <c r="O186" s="550">
        <v>28</v>
      </c>
      <c r="P186" s="550">
        <v>532</v>
      </c>
      <c r="Q186" s="550">
        <v>201</v>
      </c>
      <c r="R186" s="551" t="str">
        <f t="shared" si="13"/>
        <v>CONTRA COSTA COUNTY</v>
      </c>
      <c r="S186" s="552"/>
      <c r="T186" s="552"/>
      <c r="U186" s="552"/>
      <c r="V186" s="552"/>
      <c r="W186" s="552"/>
      <c r="X186" s="552"/>
      <c r="Y186" s="552"/>
      <c r="Z186" s="552"/>
      <c r="AA186" s="553"/>
      <c r="AB186" s="553"/>
    </row>
    <row r="187" spans="1:28" ht="12.75">
      <c r="A187" s="547" t="s">
        <v>269</v>
      </c>
      <c r="B187" s="547" t="s">
        <v>136</v>
      </c>
      <c r="C187" s="548" t="s">
        <v>774</v>
      </c>
      <c r="D187" s="549">
        <v>2017</v>
      </c>
      <c r="E187" s="549" t="s">
        <v>775</v>
      </c>
      <c r="F187" s="550">
        <v>374</v>
      </c>
      <c r="G187" s="550">
        <v>0</v>
      </c>
      <c r="H187" s="550">
        <v>0</v>
      </c>
      <c r="I187" s="550">
        <v>0</v>
      </c>
      <c r="J187" s="550">
        <v>218</v>
      </c>
      <c r="K187" s="550">
        <v>3</v>
      </c>
      <c r="L187" s="550">
        <v>3</v>
      </c>
      <c r="M187" s="550">
        <v>0</v>
      </c>
      <c r="N187" s="550">
        <v>243</v>
      </c>
      <c r="O187" s="550">
        <v>31</v>
      </c>
      <c r="P187" s="550">
        <v>532</v>
      </c>
      <c r="Q187" s="550">
        <v>244</v>
      </c>
      <c r="R187" s="551" t="str">
        <f t="shared" si="13"/>
        <v>CONTRA COSTA COUNTY</v>
      </c>
      <c r="S187" s="552"/>
      <c r="T187" s="552"/>
      <c r="U187" s="552"/>
      <c r="V187" s="552"/>
      <c r="W187" s="552"/>
      <c r="X187" s="552"/>
      <c r="Y187" s="552"/>
      <c r="Z187" s="552"/>
      <c r="AA187" s="553"/>
      <c r="AB187" s="553"/>
    </row>
    <row r="188" spans="1:28" ht="12.75">
      <c r="A188" s="547" t="s">
        <v>269</v>
      </c>
      <c r="B188" s="547" t="s">
        <v>136</v>
      </c>
      <c r="C188" s="548" t="s">
        <v>774</v>
      </c>
      <c r="D188" s="549">
        <v>2018</v>
      </c>
      <c r="E188" s="549" t="s">
        <v>775</v>
      </c>
      <c r="F188" s="550">
        <v>374</v>
      </c>
      <c r="G188" s="550">
        <v>63</v>
      </c>
      <c r="H188" s="550">
        <v>62</v>
      </c>
      <c r="I188" s="550">
        <v>1</v>
      </c>
      <c r="J188" s="550">
        <v>218</v>
      </c>
      <c r="K188" s="550">
        <v>171</v>
      </c>
      <c r="L188" s="550">
        <v>171</v>
      </c>
      <c r="M188" s="550">
        <v>0</v>
      </c>
      <c r="N188" s="550">
        <v>243</v>
      </c>
      <c r="O188" s="550">
        <v>1</v>
      </c>
      <c r="P188" s="550">
        <v>532</v>
      </c>
      <c r="Q188" s="550">
        <v>434</v>
      </c>
      <c r="R188" s="551" t="str">
        <f t="shared" si="13"/>
        <v>CONTRA COSTA COUNTY</v>
      </c>
      <c r="S188" s="552"/>
      <c r="T188" s="552"/>
      <c r="U188" s="552"/>
      <c r="V188" s="552"/>
      <c r="W188" s="552"/>
      <c r="X188" s="552"/>
      <c r="Y188" s="552"/>
      <c r="Z188" s="552"/>
      <c r="AA188" s="553"/>
      <c r="AB188" s="553"/>
    </row>
    <row r="189" spans="1:28" ht="12.75">
      <c r="A189" s="547" t="s">
        <v>269</v>
      </c>
      <c r="B189" s="555" t="s">
        <v>136</v>
      </c>
      <c r="C189" s="548" t="s">
        <v>782</v>
      </c>
      <c r="D189" s="549">
        <v>2019</v>
      </c>
      <c r="E189" s="549" t="s">
        <v>775</v>
      </c>
      <c r="F189" s="550">
        <v>374</v>
      </c>
      <c r="G189" s="550">
        <v>0</v>
      </c>
      <c r="H189" s="550">
        <v>0</v>
      </c>
      <c r="I189" s="550">
        <v>0</v>
      </c>
      <c r="J189" s="550">
        <v>218</v>
      </c>
      <c r="K189" s="550">
        <v>1</v>
      </c>
      <c r="L189" s="550">
        <v>0</v>
      </c>
      <c r="M189" s="550">
        <v>1</v>
      </c>
      <c r="N189" s="550">
        <v>243</v>
      </c>
      <c r="O189" s="550">
        <v>4</v>
      </c>
      <c r="P189" s="550">
        <v>532</v>
      </c>
      <c r="Q189" s="550">
        <v>214</v>
      </c>
      <c r="R189" s="551" t="str">
        <f t="shared" si="13"/>
        <v>CONTRA COSTA COUNTY</v>
      </c>
      <c r="S189" s="255">
        <f>SUM(G185:G189) +SUM(K185:K189)</f>
        <v>246</v>
      </c>
      <c r="T189" s="255">
        <f>F189+J189</f>
        <v>592</v>
      </c>
      <c r="U189" s="255">
        <f>SUM(O185:O189)</f>
        <v>129</v>
      </c>
      <c r="V189" s="255">
        <f>N189</f>
        <v>243</v>
      </c>
      <c r="W189" s="83">
        <f>SUM(Q185:Q189)</f>
        <v>1369</v>
      </c>
      <c r="X189" s="255">
        <f>P189</f>
        <v>532</v>
      </c>
      <c r="Y189" s="255">
        <f>S189+U189+SUM(Q185:Q189)</f>
        <v>1744</v>
      </c>
      <c r="Z189" s="255">
        <f>F189+J189+N189+P189</f>
        <v>1367</v>
      </c>
      <c r="AA189" s="553"/>
      <c r="AB189" s="553"/>
    </row>
    <row r="190" spans="1:28" ht="12.75">
      <c r="A190" s="547" t="s">
        <v>270</v>
      </c>
      <c r="B190" s="555" t="s">
        <v>136</v>
      </c>
      <c r="C190" s="548" t="s">
        <v>774</v>
      </c>
      <c r="D190" s="549">
        <v>2015</v>
      </c>
      <c r="E190" s="549" t="s">
        <v>775</v>
      </c>
      <c r="F190" s="550">
        <v>196</v>
      </c>
      <c r="G190" s="550">
        <v>0</v>
      </c>
      <c r="H190" s="550">
        <v>0</v>
      </c>
      <c r="I190" s="550">
        <v>0</v>
      </c>
      <c r="J190" s="550">
        <v>111</v>
      </c>
      <c r="K190" s="550">
        <v>1</v>
      </c>
      <c r="L190" s="550">
        <v>0</v>
      </c>
      <c r="M190" s="550">
        <v>1</v>
      </c>
      <c r="N190" s="550">
        <v>124</v>
      </c>
      <c r="O190" s="550">
        <v>13</v>
      </c>
      <c r="P190" s="550">
        <v>126</v>
      </c>
      <c r="Q190" s="550">
        <v>87</v>
      </c>
      <c r="R190" s="551" t="str">
        <f t="shared" si="13"/>
        <v>DANVILLE</v>
      </c>
      <c r="S190" s="552"/>
      <c r="T190" s="552"/>
      <c r="U190" s="552"/>
      <c r="V190" s="552"/>
      <c r="W190" s="552"/>
      <c r="X190" s="552"/>
      <c r="Y190" s="552"/>
      <c r="Z190" s="552"/>
      <c r="AA190" s="553"/>
      <c r="AB190" s="553"/>
    </row>
    <row r="191" spans="1:28" ht="12.75">
      <c r="A191" s="547" t="s">
        <v>270</v>
      </c>
      <c r="B191" s="547" t="s">
        <v>136</v>
      </c>
      <c r="C191" s="548" t="s">
        <v>774</v>
      </c>
      <c r="D191" s="549">
        <v>2016</v>
      </c>
      <c r="E191" s="549" t="s">
        <v>775</v>
      </c>
      <c r="F191" s="550">
        <v>196</v>
      </c>
      <c r="G191" s="550">
        <v>0</v>
      </c>
      <c r="H191" s="550">
        <v>0</v>
      </c>
      <c r="I191" s="550">
        <v>0</v>
      </c>
      <c r="J191" s="550">
        <v>111</v>
      </c>
      <c r="K191" s="550">
        <v>2</v>
      </c>
      <c r="L191" s="550">
        <v>2</v>
      </c>
      <c r="M191" s="550">
        <v>0</v>
      </c>
      <c r="N191" s="550">
        <v>124</v>
      </c>
      <c r="O191" s="550">
        <v>4</v>
      </c>
      <c r="P191" s="550">
        <v>126</v>
      </c>
      <c r="Q191" s="550">
        <v>50</v>
      </c>
      <c r="R191" s="551" t="str">
        <f t="shared" si="13"/>
        <v>DANVILLE</v>
      </c>
      <c r="S191" s="552"/>
      <c r="T191" s="552"/>
      <c r="U191" s="552"/>
      <c r="V191" s="552"/>
      <c r="W191" s="552"/>
      <c r="X191" s="552"/>
      <c r="Y191" s="552"/>
      <c r="Z191" s="552"/>
      <c r="AA191" s="553"/>
      <c r="AB191" s="553"/>
    </row>
    <row r="192" spans="1:28" ht="12.75">
      <c r="A192" s="547" t="s">
        <v>270</v>
      </c>
      <c r="B192" s="547" t="s">
        <v>136</v>
      </c>
      <c r="C192" s="548" t="s">
        <v>774</v>
      </c>
      <c r="D192" s="549">
        <v>2017</v>
      </c>
      <c r="E192" s="549" t="s">
        <v>775</v>
      </c>
      <c r="F192" s="550">
        <v>196</v>
      </c>
      <c r="G192" s="550">
        <v>0</v>
      </c>
      <c r="H192" s="550">
        <v>0</v>
      </c>
      <c r="I192" s="550">
        <v>0</v>
      </c>
      <c r="J192" s="550">
        <v>111</v>
      </c>
      <c r="K192" s="550">
        <v>5</v>
      </c>
      <c r="L192" s="550">
        <v>0</v>
      </c>
      <c r="M192" s="550">
        <v>5</v>
      </c>
      <c r="N192" s="550">
        <v>124</v>
      </c>
      <c r="O192" s="550">
        <v>7</v>
      </c>
      <c r="P192" s="550">
        <v>126</v>
      </c>
      <c r="Q192" s="550">
        <v>36</v>
      </c>
      <c r="R192" s="551" t="str">
        <f t="shared" si="13"/>
        <v>DANVILLE</v>
      </c>
      <c r="S192" s="552"/>
      <c r="T192" s="552"/>
      <c r="U192" s="552"/>
      <c r="V192" s="552"/>
      <c r="W192" s="552"/>
      <c r="X192" s="552"/>
      <c r="Y192" s="552"/>
      <c r="Z192" s="552"/>
      <c r="AA192" s="553"/>
      <c r="AB192" s="553"/>
    </row>
    <row r="193" spans="1:28" ht="12.75">
      <c r="A193" s="547" t="s">
        <v>270</v>
      </c>
      <c r="B193" s="547" t="s">
        <v>136</v>
      </c>
      <c r="C193" s="548" t="s">
        <v>774</v>
      </c>
      <c r="D193" s="549">
        <v>2018</v>
      </c>
      <c r="E193" s="549" t="s">
        <v>775</v>
      </c>
      <c r="F193" s="550">
        <v>196</v>
      </c>
      <c r="G193" s="550">
        <v>0</v>
      </c>
      <c r="H193" s="550">
        <v>0</v>
      </c>
      <c r="I193" s="550">
        <v>0</v>
      </c>
      <c r="J193" s="550">
        <v>111</v>
      </c>
      <c r="K193" s="550">
        <v>2</v>
      </c>
      <c r="L193" s="550">
        <v>0</v>
      </c>
      <c r="M193" s="550">
        <v>2</v>
      </c>
      <c r="N193" s="550">
        <v>124</v>
      </c>
      <c r="O193" s="550">
        <v>10</v>
      </c>
      <c r="P193" s="550">
        <v>126</v>
      </c>
      <c r="Q193" s="550">
        <v>34</v>
      </c>
      <c r="R193" s="551" t="str">
        <f t="shared" si="13"/>
        <v>DANVILLE</v>
      </c>
      <c r="S193" s="552"/>
      <c r="T193" s="552"/>
      <c r="U193" s="552"/>
      <c r="V193" s="552"/>
      <c r="W193" s="552"/>
      <c r="X193" s="552"/>
      <c r="Y193" s="552"/>
      <c r="Z193" s="552"/>
      <c r="AA193" s="553"/>
      <c r="AB193" s="553"/>
    </row>
    <row r="194" spans="1:28" ht="12.75">
      <c r="A194" s="547" t="s">
        <v>270</v>
      </c>
      <c r="B194" s="547" t="s">
        <v>136</v>
      </c>
      <c r="C194" s="548" t="s">
        <v>782</v>
      </c>
      <c r="D194" s="549">
        <v>2019</v>
      </c>
      <c r="E194" s="549" t="s">
        <v>775</v>
      </c>
      <c r="F194" s="550">
        <v>196</v>
      </c>
      <c r="G194" s="550">
        <v>10</v>
      </c>
      <c r="H194" s="550">
        <v>10</v>
      </c>
      <c r="I194" s="550">
        <v>0</v>
      </c>
      <c r="J194" s="550">
        <v>111</v>
      </c>
      <c r="K194" s="550">
        <v>13</v>
      </c>
      <c r="L194" s="550">
        <v>2</v>
      </c>
      <c r="M194" s="550">
        <v>11</v>
      </c>
      <c r="N194" s="550">
        <v>124</v>
      </c>
      <c r="O194" s="550">
        <v>8</v>
      </c>
      <c r="P194" s="550">
        <v>126</v>
      </c>
      <c r="Q194" s="550">
        <v>176</v>
      </c>
      <c r="R194" s="551" t="str">
        <f t="shared" si="13"/>
        <v>DANVILLE</v>
      </c>
      <c r="S194" s="255">
        <f>SUM(G190:G194) +SUM(K190:K194)</f>
        <v>33</v>
      </c>
      <c r="T194" s="255">
        <f>F194+J194</f>
        <v>307</v>
      </c>
      <c r="U194" s="255">
        <f>SUM(O190:O194)</f>
        <v>42</v>
      </c>
      <c r="V194" s="255">
        <f>N194</f>
        <v>124</v>
      </c>
      <c r="W194" s="83">
        <f>SUM(Q190:Q194)</f>
        <v>383</v>
      </c>
      <c r="X194" s="255">
        <f>P194</f>
        <v>126</v>
      </c>
      <c r="Y194" s="255">
        <f>S194+U194+SUM(Q190:Q194)</f>
        <v>458</v>
      </c>
      <c r="Z194" s="255">
        <f>F194+J194+N194+P194</f>
        <v>557</v>
      </c>
      <c r="AA194" s="553"/>
      <c r="AB194" s="553"/>
    </row>
    <row r="195" spans="1:28" ht="12.75">
      <c r="A195" s="547" t="s">
        <v>271</v>
      </c>
      <c r="B195" s="547" t="s">
        <v>136</v>
      </c>
      <c r="C195" s="548" t="s">
        <v>774</v>
      </c>
      <c r="D195" s="549">
        <v>2014</v>
      </c>
      <c r="E195" s="549" t="s">
        <v>775</v>
      </c>
      <c r="F195" s="550">
        <v>100</v>
      </c>
      <c r="G195" s="550">
        <v>56</v>
      </c>
      <c r="H195" s="550">
        <v>56</v>
      </c>
      <c r="I195" s="550">
        <v>0</v>
      </c>
      <c r="J195" s="550">
        <v>63</v>
      </c>
      <c r="K195" s="550">
        <v>0</v>
      </c>
      <c r="L195" s="550">
        <v>0</v>
      </c>
      <c r="M195" s="550">
        <v>0</v>
      </c>
      <c r="N195" s="550">
        <v>69</v>
      </c>
      <c r="O195" s="550">
        <v>0</v>
      </c>
      <c r="P195" s="550">
        <v>166</v>
      </c>
      <c r="Q195" s="550">
        <v>6</v>
      </c>
      <c r="R195" s="551" t="str">
        <f t="shared" si="13"/>
        <v>EL CERRITO</v>
      </c>
      <c r="S195" s="552"/>
      <c r="T195" s="552"/>
      <c r="U195" s="552"/>
      <c r="V195" s="552"/>
      <c r="W195" s="552"/>
      <c r="X195" s="552"/>
      <c r="Y195" s="552"/>
      <c r="Z195" s="552"/>
      <c r="AA195" s="553"/>
      <c r="AB195" s="553"/>
    </row>
    <row r="196" spans="1:28" ht="12.75">
      <c r="A196" s="547" t="s">
        <v>271</v>
      </c>
      <c r="B196" s="547" t="s">
        <v>136</v>
      </c>
      <c r="C196" s="548" t="s">
        <v>774</v>
      </c>
      <c r="D196" s="549">
        <v>2015</v>
      </c>
      <c r="E196" s="549" t="s">
        <v>775</v>
      </c>
      <c r="F196" s="550">
        <v>100</v>
      </c>
      <c r="G196" s="550">
        <v>0</v>
      </c>
      <c r="H196" s="550">
        <v>0</v>
      </c>
      <c r="I196" s="550">
        <v>0</v>
      </c>
      <c r="J196" s="550">
        <v>63</v>
      </c>
      <c r="K196" s="550">
        <v>6</v>
      </c>
      <c r="L196" s="550">
        <v>6</v>
      </c>
      <c r="M196" s="550">
        <v>0</v>
      </c>
      <c r="N196" s="550">
        <v>69</v>
      </c>
      <c r="O196" s="550">
        <v>26</v>
      </c>
      <c r="P196" s="550">
        <v>166</v>
      </c>
      <c r="Q196" s="550">
        <v>229</v>
      </c>
      <c r="R196" s="551" t="str">
        <f t="shared" si="13"/>
        <v>EL CERRITO</v>
      </c>
      <c r="S196" s="552"/>
      <c r="T196" s="552"/>
      <c r="U196" s="552"/>
      <c r="V196" s="552"/>
      <c r="W196" s="552"/>
      <c r="X196" s="552"/>
      <c r="Y196" s="552"/>
      <c r="Z196" s="552"/>
      <c r="AA196" s="553"/>
      <c r="AB196" s="553"/>
    </row>
    <row r="197" spans="1:28" ht="12.75">
      <c r="A197" s="547" t="s">
        <v>271</v>
      </c>
      <c r="B197" s="547" t="s">
        <v>136</v>
      </c>
      <c r="C197" s="548" t="s">
        <v>774</v>
      </c>
      <c r="D197" s="549">
        <v>2016</v>
      </c>
      <c r="E197" s="549" t="s">
        <v>775</v>
      </c>
      <c r="F197" s="550">
        <v>100</v>
      </c>
      <c r="G197" s="550">
        <v>0</v>
      </c>
      <c r="H197" s="550">
        <v>0</v>
      </c>
      <c r="I197" s="550">
        <v>0</v>
      </c>
      <c r="J197" s="550">
        <v>63</v>
      </c>
      <c r="K197" s="550">
        <v>0</v>
      </c>
      <c r="L197" s="550">
        <v>0</v>
      </c>
      <c r="M197" s="550">
        <v>0</v>
      </c>
      <c r="N197" s="550">
        <v>69</v>
      </c>
      <c r="O197" s="550">
        <v>0</v>
      </c>
      <c r="P197" s="550">
        <v>166</v>
      </c>
      <c r="Q197" s="550">
        <v>7</v>
      </c>
      <c r="R197" s="551" t="str">
        <f t="shared" si="13"/>
        <v>EL CERRITO</v>
      </c>
      <c r="S197" s="552"/>
      <c r="T197" s="552"/>
      <c r="U197" s="552"/>
      <c r="V197" s="552"/>
      <c r="W197" s="552"/>
      <c r="X197" s="552"/>
      <c r="Y197" s="552"/>
      <c r="Z197" s="552"/>
      <c r="AA197" s="553"/>
      <c r="AB197" s="553"/>
    </row>
    <row r="198" spans="1:28" ht="12.75">
      <c r="A198" s="547" t="s">
        <v>271</v>
      </c>
      <c r="B198" s="547" t="s">
        <v>136</v>
      </c>
      <c r="C198" s="548" t="s">
        <v>774</v>
      </c>
      <c r="D198" s="549">
        <v>2017</v>
      </c>
      <c r="E198" s="549" t="s">
        <v>775</v>
      </c>
      <c r="F198" s="550">
        <v>100</v>
      </c>
      <c r="G198" s="550">
        <v>62</v>
      </c>
      <c r="H198" s="550">
        <v>62</v>
      </c>
      <c r="I198" s="550">
        <v>0</v>
      </c>
      <c r="J198" s="550">
        <v>63</v>
      </c>
      <c r="K198" s="550">
        <v>0</v>
      </c>
      <c r="L198" s="550">
        <v>0</v>
      </c>
      <c r="M198" s="550">
        <v>0</v>
      </c>
      <c r="N198" s="550">
        <v>69</v>
      </c>
      <c r="O198" s="550">
        <v>0</v>
      </c>
      <c r="P198" s="550">
        <v>166</v>
      </c>
      <c r="Q198" s="550">
        <v>7</v>
      </c>
      <c r="R198" s="551" t="str">
        <f t="shared" si="13"/>
        <v>EL CERRITO</v>
      </c>
      <c r="S198" s="552"/>
      <c r="T198" s="552"/>
      <c r="U198" s="552"/>
      <c r="V198" s="552"/>
      <c r="W198" s="552"/>
      <c r="X198" s="552"/>
      <c r="Y198" s="552"/>
      <c r="Z198" s="552"/>
      <c r="AA198" s="553"/>
      <c r="AB198" s="553"/>
    </row>
    <row r="199" spans="1:28" ht="12.75">
      <c r="A199" s="547" t="s">
        <v>271</v>
      </c>
      <c r="B199" s="547" t="s">
        <v>136</v>
      </c>
      <c r="C199" s="548" t="s">
        <v>774</v>
      </c>
      <c r="D199" s="549">
        <v>2018</v>
      </c>
      <c r="E199" s="549" t="s">
        <v>775</v>
      </c>
      <c r="F199" s="550">
        <v>100</v>
      </c>
      <c r="G199" s="550">
        <v>0</v>
      </c>
      <c r="H199" s="550">
        <v>0</v>
      </c>
      <c r="I199" s="550">
        <v>0</v>
      </c>
      <c r="J199" s="550">
        <v>63</v>
      </c>
      <c r="K199" s="550">
        <v>0</v>
      </c>
      <c r="L199" s="550">
        <v>0</v>
      </c>
      <c r="M199" s="550">
        <v>0</v>
      </c>
      <c r="N199" s="550">
        <v>69</v>
      </c>
      <c r="O199" s="550">
        <v>0</v>
      </c>
      <c r="P199" s="550">
        <v>166</v>
      </c>
      <c r="Q199" s="550">
        <v>18</v>
      </c>
      <c r="R199" s="551" t="str">
        <f t="shared" si="13"/>
        <v>EL CERRITO</v>
      </c>
      <c r="S199" s="552"/>
      <c r="T199" s="552"/>
      <c r="U199" s="552"/>
      <c r="V199" s="552"/>
      <c r="W199" s="552"/>
      <c r="X199" s="552"/>
      <c r="Y199" s="552"/>
      <c r="Z199" s="552"/>
      <c r="AA199" s="553"/>
      <c r="AB199" s="553"/>
    </row>
    <row r="200" spans="1:28" ht="12.75">
      <c r="A200" s="547" t="s">
        <v>271</v>
      </c>
      <c r="B200" s="547" t="s">
        <v>136</v>
      </c>
      <c r="C200" s="548" t="s">
        <v>782</v>
      </c>
      <c r="D200" s="549">
        <v>2019</v>
      </c>
      <c r="E200" s="549" t="s">
        <v>775</v>
      </c>
      <c r="F200" s="550">
        <v>100</v>
      </c>
      <c r="G200" s="550">
        <v>0</v>
      </c>
      <c r="H200" s="550">
        <v>0</v>
      </c>
      <c r="I200" s="550">
        <v>0</v>
      </c>
      <c r="J200" s="550">
        <v>63</v>
      </c>
      <c r="K200" s="550">
        <v>0</v>
      </c>
      <c r="L200" s="550">
        <v>0</v>
      </c>
      <c r="M200" s="550">
        <v>0</v>
      </c>
      <c r="N200" s="550">
        <v>69</v>
      </c>
      <c r="O200" s="550">
        <v>0</v>
      </c>
      <c r="P200" s="550">
        <v>166</v>
      </c>
      <c r="Q200" s="550">
        <v>136</v>
      </c>
      <c r="R200" s="551" t="str">
        <f t="shared" si="13"/>
        <v>EL CERRITO</v>
      </c>
      <c r="S200" s="552">
        <f>SUM(G195:G200) +SUM(K195:K200)</f>
        <v>124</v>
      </c>
      <c r="T200" s="552">
        <f>F200+J200</f>
        <v>163</v>
      </c>
      <c r="U200" s="552">
        <f>SUM(O195:O200)</f>
        <v>26</v>
      </c>
      <c r="V200" s="552">
        <f>N200</f>
        <v>69</v>
      </c>
      <c r="W200" s="554">
        <f>SUM(Q195:Q200)</f>
        <v>403</v>
      </c>
      <c r="X200" s="552">
        <f>P200</f>
        <v>166</v>
      </c>
      <c r="Y200" s="552">
        <f>S200+U200+SUM(Q195:Q200)</f>
        <v>553</v>
      </c>
      <c r="Z200" s="552">
        <f>F200+J200+N200+P200</f>
        <v>398</v>
      </c>
      <c r="AA200" s="553"/>
      <c r="AB200" s="553"/>
    </row>
    <row r="201" spans="1:28" ht="12.75">
      <c r="A201" s="547" t="s">
        <v>272</v>
      </c>
      <c r="B201" s="547" t="s">
        <v>136</v>
      </c>
      <c r="C201" s="548" t="s">
        <v>774</v>
      </c>
      <c r="D201" s="549">
        <v>2015</v>
      </c>
      <c r="E201" s="549" t="s">
        <v>775</v>
      </c>
      <c r="F201" s="550">
        <v>220</v>
      </c>
      <c r="G201" s="550">
        <v>0</v>
      </c>
      <c r="H201" s="550">
        <v>0</v>
      </c>
      <c r="I201" s="550">
        <v>0</v>
      </c>
      <c r="J201" s="550">
        <v>118</v>
      </c>
      <c r="K201" s="550">
        <v>0</v>
      </c>
      <c r="L201" s="550">
        <v>0</v>
      </c>
      <c r="M201" s="550">
        <v>0</v>
      </c>
      <c r="N201" s="550">
        <v>100</v>
      </c>
      <c r="O201" s="550">
        <v>0</v>
      </c>
      <c r="P201" s="550">
        <v>244</v>
      </c>
      <c r="Q201" s="550">
        <v>190</v>
      </c>
      <c r="R201" s="551" t="str">
        <f t="shared" si="13"/>
        <v>HERCULES</v>
      </c>
      <c r="S201" s="552"/>
      <c r="T201" s="552"/>
      <c r="U201" s="552"/>
      <c r="V201" s="552"/>
      <c r="W201" s="552"/>
      <c r="X201" s="552"/>
      <c r="Y201" s="552"/>
      <c r="Z201" s="552"/>
      <c r="AA201" s="553"/>
      <c r="AB201" s="553"/>
    </row>
    <row r="202" spans="1:28" ht="12.75">
      <c r="A202" s="547" t="s">
        <v>272</v>
      </c>
      <c r="B202" s="547" t="s">
        <v>136</v>
      </c>
      <c r="C202" s="548" t="s">
        <v>774</v>
      </c>
      <c r="D202" s="549">
        <v>2016</v>
      </c>
      <c r="E202" s="549" t="s">
        <v>775</v>
      </c>
      <c r="F202" s="550">
        <v>220</v>
      </c>
      <c r="G202" s="550">
        <v>0</v>
      </c>
      <c r="H202" s="550">
        <v>0</v>
      </c>
      <c r="I202" s="550">
        <v>0</v>
      </c>
      <c r="J202" s="550">
        <v>118</v>
      </c>
      <c r="K202" s="550">
        <v>1</v>
      </c>
      <c r="L202" s="550">
        <v>0</v>
      </c>
      <c r="M202" s="550">
        <v>1</v>
      </c>
      <c r="N202" s="550">
        <v>100</v>
      </c>
      <c r="O202" s="550">
        <v>0</v>
      </c>
      <c r="P202" s="550">
        <v>244</v>
      </c>
      <c r="Q202" s="550">
        <v>30</v>
      </c>
      <c r="R202" s="551" t="str">
        <f t="shared" si="13"/>
        <v>HERCULES</v>
      </c>
      <c r="S202" s="552"/>
      <c r="T202" s="552"/>
      <c r="U202" s="552"/>
      <c r="V202" s="552"/>
      <c r="W202" s="552"/>
      <c r="X202" s="552"/>
      <c r="Y202" s="552"/>
      <c r="Z202" s="552"/>
      <c r="AA202" s="553"/>
      <c r="AB202" s="553"/>
    </row>
    <row r="203" spans="1:28" ht="12.75">
      <c r="A203" s="547" t="s">
        <v>272</v>
      </c>
      <c r="B203" s="547" t="s">
        <v>136</v>
      </c>
      <c r="C203" s="548" t="s">
        <v>774</v>
      </c>
      <c r="D203" s="549">
        <v>2017</v>
      </c>
      <c r="E203" s="549" t="s">
        <v>775</v>
      </c>
      <c r="F203" s="550">
        <v>220</v>
      </c>
      <c r="G203" s="550">
        <v>0</v>
      </c>
      <c r="H203" s="550">
        <v>0</v>
      </c>
      <c r="I203" s="550">
        <v>0</v>
      </c>
      <c r="J203" s="550">
        <v>118</v>
      </c>
      <c r="K203" s="550">
        <v>0</v>
      </c>
      <c r="L203" s="550">
        <v>0</v>
      </c>
      <c r="M203" s="550">
        <v>0</v>
      </c>
      <c r="N203" s="550">
        <v>100</v>
      </c>
      <c r="O203" s="550">
        <v>0</v>
      </c>
      <c r="P203" s="550">
        <v>244</v>
      </c>
      <c r="Q203" s="550">
        <v>41</v>
      </c>
      <c r="R203" s="551" t="str">
        <f t="shared" si="13"/>
        <v>HERCULES</v>
      </c>
      <c r="S203" s="552"/>
      <c r="T203" s="552"/>
      <c r="U203" s="552"/>
      <c r="V203" s="552"/>
      <c r="W203" s="552"/>
      <c r="X203" s="552"/>
      <c r="Y203" s="552"/>
      <c r="Z203" s="552"/>
      <c r="AA203" s="553"/>
      <c r="AB203" s="553"/>
    </row>
    <row r="204" spans="1:28" ht="12.75">
      <c r="A204" s="547" t="s">
        <v>272</v>
      </c>
      <c r="B204" s="547" t="s">
        <v>136</v>
      </c>
      <c r="C204" s="548" t="s">
        <v>774</v>
      </c>
      <c r="D204" s="549">
        <v>2018</v>
      </c>
      <c r="E204" s="549" t="s">
        <v>775</v>
      </c>
      <c r="F204" s="550">
        <v>220</v>
      </c>
      <c r="G204" s="550">
        <v>0</v>
      </c>
      <c r="H204" s="550">
        <v>0</v>
      </c>
      <c r="I204" s="550">
        <v>0</v>
      </c>
      <c r="J204" s="550">
        <v>118</v>
      </c>
      <c r="K204" s="550">
        <v>0</v>
      </c>
      <c r="L204" s="550">
        <v>0</v>
      </c>
      <c r="M204" s="550">
        <v>0</v>
      </c>
      <c r="N204" s="550">
        <v>100</v>
      </c>
      <c r="O204" s="550">
        <v>0</v>
      </c>
      <c r="P204" s="550">
        <v>244</v>
      </c>
      <c r="Q204" s="550">
        <v>227</v>
      </c>
      <c r="R204" s="551" t="str">
        <f t="shared" si="13"/>
        <v>HERCULES</v>
      </c>
      <c r="S204" s="552"/>
      <c r="T204" s="552"/>
      <c r="U204" s="552"/>
      <c r="V204" s="552"/>
      <c r="W204" s="552"/>
      <c r="X204" s="552"/>
      <c r="Y204" s="552"/>
      <c r="Z204" s="552"/>
      <c r="AA204" s="553"/>
      <c r="AB204" s="553"/>
    </row>
    <row r="205" spans="1:28" ht="12.75">
      <c r="A205" s="547" t="s">
        <v>272</v>
      </c>
      <c r="B205" s="547" t="s">
        <v>136</v>
      </c>
      <c r="C205" s="548" t="s">
        <v>782</v>
      </c>
      <c r="D205" s="549">
        <v>2019</v>
      </c>
      <c r="E205" s="549" t="s">
        <v>775</v>
      </c>
      <c r="F205" s="550">
        <v>220</v>
      </c>
      <c r="G205" s="550">
        <v>0</v>
      </c>
      <c r="H205" s="550">
        <v>0</v>
      </c>
      <c r="I205" s="550">
        <v>0</v>
      </c>
      <c r="J205" s="550">
        <v>118</v>
      </c>
      <c r="K205" s="550">
        <v>15</v>
      </c>
      <c r="L205" s="550">
        <v>0</v>
      </c>
      <c r="M205" s="550">
        <v>15</v>
      </c>
      <c r="N205" s="550">
        <v>100</v>
      </c>
      <c r="O205" s="550">
        <v>217</v>
      </c>
      <c r="P205" s="550">
        <v>244</v>
      </c>
      <c r="Q205" s="550">
        <v>17</v>
      </c>
      <c r="R205" s="551" t="str">
        <f t="shared" si="13"/>
        <v>HERCULES</v>
      </c>
      <c r="S205" s="255">
        <f>SUM(G201:G205) +SUM(K201:K205)</f>
        <v>16</v>
      </c>
      <c r="T205" s="255">
        <f>F205+J205</f>
        <v>338</v>
      </c>
      <c r="U205" s="255">
        <f>SUM(O201:O205)</f>
        <v>217</v>
      </c>
      <c r="V205" s="255">
        <f>N205</f>
        <v>100</v>
      </c>
      <c r="W205" s="83">
        <f>SUM(Q201:Q205)</f>
        <v>505</v>
      </c>
      <c r="X205" s="255">
        <f>P205</f>
        <v>244</v>
      </c>
      <c r="Y205" s="255">
        <f>S205+U205+SUM(Q201:Q205)</f>
        <v>738</v>
      </c>
      <c r="Z205" s="255">
        <f>F205+J205+N205+P205</f>
        <v>682</v>
      </c>
      <c r="AA205" s="553"/>
      <c r="AB205" s="553"/>
    </row>
    <row r="206" spans="1:28" ht="12.75">
      <c r="A206" s="547" t="s">
        <v>273</v>
      </c>
      <c r="B206" s="547" t="s">
        <v>136</v>
      </c>
      <c r="C206" s="548" t="s">
        <v>774</v>
      </c>
      <c r="D206" s="549">
        <v>2014</v>
      </c>
      <c r="E206" s="549" t="s">
        <v>775</v>
      </c>
      <c r="F206" s="550">
        <v>138</v>
      </c>
      <c r="G206" s="550">
        <v>0</v>
      </c>
      <c r="H206" s="550">
        <v>0</v>
      </c>
      <c r="I206" s="550">
        <v>0</v>
      </c>
      <c r="J206" s="550">
        <v>78</v>
      </c>
      <c r="K206" s="550">
        <v>0</v>
      </c>
      <c r="L206" s="550">
        <v>0</v>
      </c>
      <c r="M206" s="550">
        <v>0</v>
      </c>
      <c r="N206" s="550">
        <v>85</v>
      </c>
      <c r="O206" s="550">
        <v>21</v>
      </c>
      <c r="P206" s="550">
        <v>99</v>
      </c>
      <c r="Q206" s="550">
        <v>247</v>
      </c>
      <c r="R206" s="551" t="str">
        <f t="shared" si="13"/>
        <v>LAFAYETTE</v>
      </c>
      <c r="S206" s="552"/>
      <c r="T206" s="552"/>
      <c r="U206" s="552"/>
      <c r="V206" s="552"/>
      <c r="W206" s="552"/>
      <c r="X206" s="552"/>
      <c r="Y206" s="552"/>
      <c r="Z206" s="552"/>
      <c r="AA206" s="553"/>
      <c r="AB206" s="553"/>
    </row>
    <row r="207" spans="1:28" ht="12.75">
      <c r="A207" s="547" t="s">
        <v>273</v>
      </c>
      <c r="B207" s="547" t="s">
        <v>136</v>
      </c>
      <c r="C207" s="548" t="s">
        <v>774</v>
      </c>
      <c r="D207" s="549">
        <v>2015</v>
      </c>
      <c r="E207" s="549" t="s">
        <v>775</v>
      </c>
      <c r="F207" s="550">
        <v>138</v>
      </c>
      <c r="G207" s="550">
        <v>0</v>
      </c>
      <c r="H207" s="550">
        <v>0</v>
      </c>
      <c r="I207" s="550">
        <v>0</v>
      </c>
      <c r="J207" s="550">
        <v>78</v>
      </c>
      <c r="K207" s="550">
        <v>0</v>
      </c>
      <c r="L207" s="550">
        <v>0</v>
      </c>
      <c r="M207" s="550">
        <v>0</v>
      </c>
      <c r="N207" s="550">
        <v>85</v>
      </c>
      <c r="O207" s="550">
        <v>3</v>
      </c>
      <c r="P207" s="550">
        <v>99</v>
      </c>
      <c r="Q207" s="550">
        <v>13</v>
      </c>
      <c r="R207" s="551" t="str">
        <f t="shared" si="13"/>
        <v>LAFAYETTE</v>
      </c>
      <c r="S207" s="552"/>
      <c r="T207" s="552"/>
      <c r="U207" s="552"/>
      <c r="V207" s="552"/>
      <c r="W207" s="552"/>
      <c r="X207" s="552"/>
      <c r="Y207" s="552"/>
      <c r="Z207" s="552"/>
      <c r="AA207" s="553"/>
      <c r="AB207" s="553"/>
    </row>
    <row r="208" spans="1:28" ht="12.75">
      <c r="A208" s="547" t="s">
        <v>273</v>
      </c>
      <c r="B208" s="547" t="s">
        <v>136</v>
      </c>
      <c r="C208" s="548" t="s">
        <v>774</v>
      </c>
      <c r="D208" s="549">
        <v>2016</v>
      </c>
      <c r="E208" s="549" t="s">
        <v>775</v>
      </c>
      <c r="F208" s="550">
        <v>138</v>
      </c>
      <c r="G208" s="550">
        <v>2</v>
      </c>
      <c r="H208" s="550">
        <v>2</v>
      </c>
      <c r="I208" s="550">
        <v>0</v>
      </c>
      <c r="J208" s="550">
        <v>78</v>
      </c>
      <c r="K208" s="550">
        <v>2</v>
      </c>
      <c r="L208" s="550">
        <v>2</v>
      </c>
      <c r="M208" s="550">
        <v>0</v>
      </c>
      <c r="N208" s="550">
        <v>85</v>
      </c>
      <c r="O208" s="550">
        <v>10</v>
      </c>
      <c r="P208" s="550">
        <v>99</v>
      </c>
      <c r="Q208" s="550">
        <v>62</v>
      </c>
      <c r="R208" s="551" t="str">
        <f t="shared" si="13"/>
        <v>LAFAYETTE</v>
      </c>
      <c r="S208" s="552"/>
      <c r="T208" s="552"/>
      <c r="U208" s="552"/>
      <c r="V208" s="552"/>
      <c r="W208" s="552"/>
      <c r="X208" s="552"/>
      <c r="Y208" s="552"/>
      <c r="Z208" s="552"/>
      <c r="AA208" s="553"/>
      <c r="AB208" s="553"/>
    </row>
    <row r="209" spans="1:28" ht="12.75">
      <c r="A209" s="547" t="s">
        <v>273</v>
      </c>
      <c r="B209" s="547" t="s">
        <v>136</v>
      </c>
      <c r="C209" s="548" t="s">
        <v>774</v>
      </c>
      <c r="D209" s="549">
        <v>2017</v>
      </c>
      <c r="E209" s="549" t="s">
        <v>775</v>
      </c>
      <c r="F209" s="550">
        <v>138</v>
      </c>
      <c r="G209" s="550">
        <v>0</v>
      </c>
      <c r="H209" s="550">
        <v>0</v>
      </c>
      <c r="I209" s="550">
        <v>0</v>
      </c>
      <c r="J209" s="550">
        <v>78</v>
      </c>
      <c r="K209" s="550">
        <v>1</v>
      </c>
      <c r="L209" s="550">
        <v>1</v>
      </c>
      <c r="M209" s="550">
        <v>0</v>
      </c>
      <c r="N209" s="550">
        <v>85</v>
      </c>
      <c r="O209" s="550">
        <v>9</v>
      </c>
      <c r="P209" s="550">
        <v>99</v>
      </c>
      <c r="Q209" s="550">
        <v>25</v>
      </c>
      <c r="R209" s="551" t="str">
        <f t="shared" si="13"/>
        <v>LAFAYETTE</v>
      </c>
      <c r="S209" s="552"/>
      <c r="T209" s="552"/>
      <c r="U209" s="552"/>
      <c r="V209" s="552"/>
      <c r="W209" s="552"/>
      <c r="X209" s="552"/>
      <c r="Y209" s="552"/>
      <c r="Z209" s="552"/>
      <c r="AA209" s="553"/>
      <c r="AB209" s="553"/>
    </row>
    <row r="210" spans="1:28" ht="12.75">
      <c r="A210" s="547" t="s">
        <v>273</v>
      </c>
      <c r="B210" s="547" t="s">
        <v>136</v>
      </c>
      <c r="C210" s="548" t="s">
        <v>774</v>
      </c>
      <c r="D210" s="549">
        <v>2018</v>
      </c>
      <c r="E210" s="549" t="s">
        <v>775</v>
      </c>
      <c r="F210" s="550">
        <v>138</v>
      </c>
      <c r="G210" s="550">
        <v>0</v>
      </c>
      <c r="H210" s="550">
        <v>0</v>
      </c>
      <c r="I210" s="550">
        <v>0</v>
      </c>
      <c r="J210" s="550">
        <v>78</v>
      </c>
      <c r="K210" s="550">
        <v>0</v>
      </c>
      <c r="L210" s="550">
        <v>0</v>
      </c>
      <c r="M210" s="550">
        <v>0</v>
      </c>
      <c r="N210" s="550">
        <v>85</v>
      </c>
      <c r="O210" s="550">
        <v>2</v>
      </c>
      <c r="P210" s="550">
        <v>99</v>
      </c>
      <c r="Q210" s="550">
        <v>29</v>
      </c>
      <c r="R210" s="551" t="str">
        <f t="shared" si="13"/>
        <v>LAFAYETTE</v>
      </c>
      <c r="S210" s="552"/>
      <c r="T210" s="552"/>
      <c r="U210" s="552"/>
      <c r="V210" s="552"/>
      <c r="W210" s="552"/>
      <c r="X210" s="552"/>
      <c r="Y210" s="552"/>
      <c r="Z210" s="552"/>
      <c r="AA210" s="553"/>
      <c r="AB210" s="553"/>
    </row>
    <row r="211" spans="1:28" ht="12.75">
      <c r="A211" s="547" t="s">
        <v>273</v>
      </c>
      <c r="B211" s="547" t="s">
        <v>136</v>
      </c>
      <c r="C211" s="548" t="s">
        <v>782</v>
      </c>
      <c r="D211" s="549">
        <v>2019</v>
      </c>
      <c r="E211" s="549" t="s">
        <v>775</v>
      </c>
      <c r="F211" s="550">
        <v>138</v>
      </c>
      <c r="G211" s="550">
        <v>0</v>
      </c>
      <c r="H211" s="550">
        <v>0</v>
      </c>
      <c r="I211" s="550">
        <v>0</v>
      </c>
      <c r="J211" s="550">
        <v>78</v>
      </c>
      <c r="K211" s="550">
        <v>3</v>
      </c>
      <c r="L211" s="550">
        <v>3</v>
      </c>
      <c r="M211" s="550">
        <v>0</v>
      </c>
      <c r="N211" s="550">
        <v>85</v>
      </c>
      <c r="O211" s="550">
        <v>14</v>
      </c>
      <c r="P211" s="550">
        <v>99</v>
      </c>
      <c r="Q211" s="550">
        <v>70</v>
      </c>
      <c r="R211" s="551" t="str">
        <f t="shared" si="13"/>
        <v>LAFAYETTE</v>
      </c>
      <c r="S211" s="552">
        <f>SUM(G206:G211) +SUM(K206:K211)</f>
        <v>8</v>
      </c>
      <c r="T211" s="552">
        <f>F211+J211</f>
        <v>216</v>
      </c>
      <c r="U211" s="552">
        <f>SUM(O206:O211)</f>
        <v>59</v>
      </c>
      <c r="V211" s="552">
        <f>N211</f>
        <v>85</v>
      </c>
      <c r="W211" s="554">
        <f>SUM(Q206:Q211)</f>
        <v>446</v>
      </c>
      <c r="X211" s="552">
        <f>P211</f>
        <v>99</v>
      </c>
      <c r="Y211" s="552">
        <f>S211+U211+SUM(Q206:Q211)</f>
        <v>513</v>
      </c>
      <c r="Z211" s="552">
        <f>F211+J211+N211+P211</f>
        <v>400</v>
      </c>
      <c r="AA211" s="553"/>
      <c r="AB211" s="553"/>
    </row>
    <row r="212" spans="1:28" ht="12.75">
      <c r="A212" s="547" t="s">
        <v>274</v>
      </c>
      <c r="B212" s="547" t="s">
        <v>136</v>
      </c>
      <c r="C212" s="548" t="s">
        <v>774</v>
      </c>
      <c r="D212" s="549">
        <v>2016</v>
      </c>
      <c r="E212" s="549" t="s">
        <v>775</v>
      </c>
      <c r="F212" s="550">
        <v>124</v>
      </c>
      <c r="G212" s="550">
        <v>0</v>
      </c>
      <c r="H212" s="550">
        <v>0</v>
      </c>
      <c r="I212" s="550">
        <v>0</v>
      </c>
      <c r="J212" s="550">
        <v>72</v>
      </c>
      <c r="K212" s="550">
        <v>0</v>
      </c>
      <c r="L212" s="550">
        <v>0</v>
      </c>
      <c r="M212" s="550">
        <v>0</v>
      </c>
      <c r="N212" s="550">
        <v>78</v>
      </c>
      <c r="O212" s="550">
        <v>1</v>
      </c>
      <c r="P212" s="550">
        <v>195</v>
      </c>
      <c r="Q212" s="550">
        <v>40</v>
      </c>
      <c r="R212" s="551" t="str">
        <f t="shared" si="13"/>
        <v>MARTINEZ</v>
      </c>
      <c r="S212" s="552"/>
      <c r="T212" s="552"/>
      <c r="U212" s="552"/>
      <c r="V212" s="552"/>
      <c r="W212" s="552"/>
      <c r="X212" s="552"/>
      <c r="Y212" s="552"/>
      <c r="Z212" s="552"/>
      <c r="AA212" s="553"/>
      <c r="AB212" s="553"/>
    </row>
    <row r="213" spans="1:28" ht="12.75">
      <c r="A213" s="547" t="s">
        <v>274</v>
      </c>
      <c r="B213" s="547" t="s">
        <v>136</v>
      </c>
      <c r="C213" s="548" t="s">
        <v>774</v>
      </c>
      <c r="D213" s="549">
        <v>2017</v>
      </c>
      <c r="E213" s="549" t="s">
        <v>775</v>
      </c>
      <c r="F213" s="550">
        <v>124</v>
      </c>
      <c r="G213" s="550">
        <v>0</v>
      </c>
      <c r="H213" s="550">
        <v>0</v>
      </c>
      <c r="I213" s="550">
        <v>0</v>
      </c>
      <c r="J213" s="550">
        <v>72</v>
      </c>
      <c r="K213" s="550">
        <v>0</v>
      </c>
      <c r="L213" s="550">
        <v>0</v>
      </c>
      <c r="M213" s="550">
        <v>0</v>
      </c>
      <c r="N213" s="550">
        <v>78</v>
      </c>
      <c r="O213" s="550">
        <v>0</v>
      </c>
      <c r="P213" s="550">
        <v>195</v>
      </c>
      <c r="Q213" s="550">
        <v>4</v>
      </c>
      <c r="R213" s="551" t="str">
        <f t="shared" si="13"/>
        <v>MARTINEZ</v>
      </c>
      <c r="S213" s="552"/>
      <c r="T213" s="552"/>
      <c r="U213" s="552"/>
      <c r="V213" s="552"/>
      <c r="W213" s="552"/>
      <c r="X213" s="552"/>
      <c r="Y213" s="552"/>
      <c r="Z213" s="552"/>
      <c r="AA213" s="553"/>
      <c r="AB213" s="553"/>
    </row>
    <row r="214" spans="1:28" ht="12.75">
      <c r="A214" s="547" t="s">
        <v>274</v>
      </c>
      <c r="B214" s="547" t="s">
        <v>136</v>
      </c>
      <c r="C214" s="548" t="s">
        <v>774</v>
      </c>
      <c r="D214" s="549">
        <v>2018</v>
      </c>
      <c r="E214" s="549" t="s">
        <v>775</v>
      </c>
      <c r="F214" s="550">
        <v>124</v>
      </c>
      <c r="G214" s="550">
        <v>0</v>
      </c>
      <c r="H214" s="550">
        <v>0</v>
      </c>
      <c r="I214" s="550">
        <v>0</v>
      </c>
      <c r="J214" s="550">
        <v>72</v>
      </c>
      <c r="K214" s="550">
        <v>0</v>
      </c>
      <c r="L214" s="550">
        <v>0</v>
      </c>
      <c r="M214" s="550">
        <v>0</v>
      </c>
      <c r="N214" s="550">
        <v>78</v>
      </c>
      <c r="O214" s="550">
        <v>0</v>
      </c>
      <c r="P214" s="550">
        <v>195</v>
      </c>
      <c r="Q214" s="550">
        <v>5</v>
      </c>
      <c r="R214" s="551" t="str">
        <f t="shared" si="13"/>
        <v>MARTINEZ</v>
      </c>
      <c r="S214" s="552"/>
      <c r="T214" s="552"/>
      <c r="U214" s="552"/>
      <c r="V214" s="552"/>
      <c r="W214" s="552"/>
      <c r="X214" s="552"/>
      <c r="Y214" s="552"/>
      <c r="Z214" s="552"/>
      <c r="AA214" s="553"/>
      <c r="AB214" s="553"/>
    </row>
    <row r="215" spans="1:28" ht="12.75">
      <c r="A215" s="547" t="s">
        <v>274</v>
      </c>
      <c r="B215" s="547" t="s">
        <v>136</v>
      </c>
      <c r="C215" s="548" t="s">
        <v>782</v>
      </c>
      <c r="D215" s="549">
        <v>2019</v>
      </c>
      <c r="E215" s="549" t="s">
        <v>775</v>
      </c>
      <c r="F215" s="550">
        <v>124</v>
      </c>
      <c r="G215" s="550">
        <v>0</v>
      </c>
      <c r="H215" s="550">
        <v>0</v>
      </c>
      <c r="I215" s="550">
        <v>0</v>
      </c>
      <c r="J215" s="550">
        <v>72</v>
      </c>
      <c r="K215" s="550">
        <v>0</v>
      </c>
      <c r="L215" s="550">
        <v>0</v>
      </c>
      <c r="M215" s="550">
        <v>0</v>
      </c>
      <c r="N215" s="550">
        <v>78</v>
      </c>
      <c r="O215" s="550">
        <v>0</v>
      </c>
      <c r="P215" s="550">
        <v>195</v>
      </c>
      <c r="Q215" s="550">
        <v>2</v>
      </c>
      <c r="R215" s="551" t="str">
        <f t="shared" si="13"/>
        <v>MARTINEZ</v>
      </c>
      <c r="S215" s="255">
        <f>SUM(G212:G215) +SUM(K212:K215)</f>
        <v>0</v>
      </c>
      <c r="T215" s="255">
        <f>F215+J215</f>
        <v>196</v>
      </c>
      <c r="U215" s="255">
        <f>SUM(O212:O215)</f>
        <v>1</v>
      </c>
      <c r="V215" s="255">
        <f>N215</f>
        <v>78</v>
      </c>
      <c r="W215" s="83">
        <f>SUM(Q212:Q215)</f>
        <v>51</v>
      </c>
      <c r="X215" s="255">
        <f>P215</f>
        <v>195</v>
      </c>
      <c r="Y215" s="255">
        <f>S215+U215+SUM(Q212:Q215)</f>
        <v>52</v>
      </c>
      <c r="Z215" s="255">
        <f>F215+J215+N215+P215</f>
        <v>469</v>
      </c>
      <c r="AA215" s="553"/>
      <c r="AB215" s="553"/>
    </row>
    <row r="216" spans="1:28" ht="12.75">
      <c r="A216" s="547" t="s">
        <v>275</v>
      </c>
      <c r="B216" s="547" t="s">
        <v>136</v>
      </c>
      <c r="C216" s="548" t="s">
        <v>774</v>
      </c>
      <c r="D216" s="549">
        <v>2014</v>
      </c>
      <c r="E216" s="549" t="s">
        <v>775</v>
      </c>
      <c r="F216" s="550">
        <v>75</v>
      </c>
      <c r="G216" s="550">
        <v>0</v>
      </c>
      <c r="H216" s="550">
        <v>0</v>
      </c>
      <c r="I216" s="550">
        <v>0</v>
      </c>
      <c r="J216" s="550">
        <v>44</v>
      </c>
      <c r="K216" s="550">
        <v>0</v>
      </c>
      <c r="L216" s="550">
        <v>0</v>
      </c>
      <c r="M216" s="550">
        <v>0</v>
      </c>
      <c r="N216" s="550">
        <v>50</v>
      </c>
      <c r="O216" s="550">
        <v>0</v>
      </c>
      <c r="P216" s="550">
        <v>60</v>
      </c>
      <c r="Q216" s="550">
        <v>0</v>
      </c>
      <c r="R216" s="551" t="str">
        <f t="shared" si="13"/>
        <v>MORAGA</v>
      </c>
      <c r="S216" s="552"/>
      <c r="T216" s="552"/>
      <c r="U216" s="552"/>
      <c r="V216" s="552"/>
      <c r="W216" s="552"/>
      <c r="X216" s="552"/>
      <c r="Y216" s="552"/>
      <c r="Z216" s="552"/>
      <c r="AA216" s="553"/>
      <c r="AB216" s="553"/>
    </row>
    <row r="217" spans="1:28" ht="12.75">
      <c r="A217" s="547" t="s">
        <v>275</v>
      </c>
      <c r="B217" s="547" t="s">
        <v>136</v>
      </c>
      <c r="C217" s="548" t="s">
        <v>774</v>
      </c>
      <c r="D217" s="549">
        <v>2015</v>
      </c>
      <c r="E217" s="549" t="s">
        <v>775</v>
      </c>
      <c r="F217" s="550">
        <v>75</v>
      </c>
      <c r="G217" s="550">
        <v>0</v>
      </c>
      <c r="H217" s="550">
        <v>0</v>
      </c>
      <c r="I217" s="550">
        <v>0</v>
      </c>
      <c r="J217" s="550">
        <v>44</v>
      </c>
      <c r="K217" s="550">
        <v>0</v>
      </c>
      <c r="L217" s="550">
        <v>0</v>
      </c>
      <c r="M217" s="550">
        <v>0</v>
      </c>
      <c r="N217" s="550">
        <v>50</v>
      </c>
      <c r="O217" s="550">
        <v>0</v>
      </c>
      <c r="P217" s="550">
        <v>60</v>
      </c>
      <c r="Q217" s="550">
        <v>8</v>
      </c>
      <c r="R217" s="551" t="str">
        <f t="shared" si="13"/>
        <v>MORAGA</v>
      </c>
      <c r="S217" s="552"/>
      <c r="T217" s="552"/>
      <c r="U217" s="552"/>
      <c r="V217" s="552"/>
      <c r="W217" s="552"/>
      <c r="X217" s="552"/>
      <c r="Y217" s="552"/>
      <c r="Z217" s="552"/>
      <c r="AA217" s="553"/>
      <c r="AB217" s="553"/>
    </row>
    <row r="218" spans="1:28" ht="12.75">
      <c r="A218" s="547" t="s">
        <v>275</v>
      </c>
      <c r="B218" s="547" t="s">
        <v>136</v>
      </c>
      <c r="C218" s="548" t="s">
        <v>774</v>
      </c>
      <c r="D218" s="549">
        <v>2016</v>
      </c>
      <c r="E218" s="549" t="s">
        <v>775</v>
      </c>
      <c r="F218" s="550">
        <v>75</v>
      </c>
      <c r="G218" s="550">
        <v>0</v>
      </c>
      <c r="H218" s="550">
        <v>0</v>
      </c>
      <c r="I218" s="550">
        <v>0</v>
      </c>
      <c r="J218" s="550">
        <v>44</v>
      </c>
      <c r="K218" s="550">
        <v>0</v>
      </c>
      <c r="L218" s="550">
        <v>0</v>
      </c>
      <c r="M218" s="550">
        <v>0</v>
      </c>
      <c r="N218" s="550">
        <v>50</v>
      </c>
      <c r="O218" s="550">
        <v>0</v>
      </c>
      <c r="P218" s="550">
        <v>60</v>
      </c>
      <c r="Q218" s="550">
        <v>35</v>
      </c>
      <c r="R218" s="551" t="str">
        <f t="shared" si="13"/>
        <v>MORAGA</v>
      </c>
      <c r="S218" s="552"/>
      <c r="T218" s="552"/>
      <c r="U218" s="552"/>
      <c r="V218" s="552"/>
      <c r="W218" s="552"/>
      <c r="X218" s="552"/>
      <c r="Y218" s="552"/>
      <c r="Z218" s="552"/>
      <c r="AA218" s="553"/>
      <c r="AB218" s="553"/>
    </row>
    <row r="219" spans="1:28" ht="12.75">
      <c r="A219" s="547" t="s">
        <v>275</v>
      </c>
      <c r="B219" s="547" t="s">
        <v>136</v>
      </c>
      <c r="C219" s="548" t="s">
        <v>774</v>
      </c>
      <c r="D219" s="549">
        <v>2017</v>
      </c>
      <c r="E219" s="549" t="s">
        <v>775</v>
      </c>
      <c r="F219" s="550">
        <v>75</v>
      </c>
      <c r="G219" s="550">
        <v>0</v>
      </c>
      <c r="H219" s="550">
        <v>0</v>
      </c>
      <c r="I219" s="550">
        <v>0</v>
      </c>
      <c r="J219" s="550">
        <v>44</v>
      </c>
      <c r="K219" s="550">
        <v>0</v>
      </c>
      <c r="L219" s="550">
        <v>0</v>
      </c>
      <c r="M219" s="550">
        <v>0</v>
      </c>
      <c r="N219" s="550">
        <v>50</v>
      </c>
      <c r="O219" s="550">
        <v>0</v>
      </c>
      <c r="P219" s="550">
        <v>60</v>
      </c>
      <c r="Q219" s="550">
        <v>31</v>
      </c>
      <c r="R219" s="551" t="str">
        <f t="shared" si="13"/>
        <v>MORAGA</v>
      </c>
      <c r="S219" s="552"/>
      <c r="T219" s="552"/>
      <c r="U219" s="552"/>
      <c r="V219" s="552"/>
      <c r="W219" s="552"/>
      <c r="X219" s="552"/>
      <c r="Y219" s="552"/>
      <c r="Z219" s="552"/>
      <c r="AA219" s="553"/>
      <c r="AB219" s="553"/>
    </row>
    <row r="220" spans="1:28" ht="12.75">
      <c r="A220" s="547" t="s">
        <v>275</v>
      </c>
      <c r="B220" s="547" t="s">
        <v>136</v>
      </c>
      <c r="C220" s="548" t="s">
        <v>774</v>
      </c>
      <c r="D220" s="549">
        <v>2018</v>
      </c>
      <c r="E220" s="549" t="s">
        <v>775</v>
      </c>
      <c r="F220" s="550">
        <v>75</v>
      </c>
      <c r="G220" s="550">
        <v>0</v>
      </c>
      <c r="H220" s="550">
        <v>0</v>
      </c>
      <c r="I220" s="550">
        <v>0</v>
      </c>
      <c r="J220" s="550">
        <v>44</v>
      </c>
      <c r="K220" s="550">
        <v>0</v>
      </c>
      <c r="L220" s="550">
        <v>0</v>
      </c>
      <c r="M220" s="550">
        <v>0</v>
      </c>
      <c r="N220" s="550">
        <v>50</v>
      </c>
      <c r="O220" s="550">
        <v>1</v>
      </c>
      <c r="P220" s="550">
        <v>60</v>
      </c>
      <c r="Q220" s="550">
        <v>34</v>
      </c>
      <c r="R220" s="551" t="str">
        <f t="shared" si="13"/>
        <v>MORAGA</v>
      </c>
      <c r="S220" s="552"/>
      <c r="T220" s="552"/>
      <c r="U220" s="552"/>
      <c r="V220" s="552"/>
      <c r="W220" s="552"/>
      <c r="X220" s="552"/>
      <c r="Y220" s="552"/>
      <c r="Z220" s="552"/>
      <c r="AA220" s="553"/>
      <c r="AB220" s="553"/>
    </row>
    <row r="221" spans="1:28" ht="12.75">
      <c r="A221" s="547" t="s">
        <v>275</v>
      </c>
      <c r="B221" s="547" t="s">
        <v>136</v>
      </c>
      <c r="C221" s="548" t="s">
        <v>782</v>
      </c>
      <c r="D221" s="549">
        <v>2019</v>
      </c>
      <c r="E221" s="549" t="s">
        <v>775</v>
      </c>
      <c r="F221" s="550">
        <v>75</v>
      </c>
      <c r="G221" s="550">
        <v>0</v>
      </c>
      <c r="H221" s="550">
        <v>0</v>
      </c>
      <c r="I221" s="550">
        <v>0</v>
      </c>
      <c r="J221" s="550">
        <v>44</v>
      </c>
      <c r="K221" s="550">
        <v>0</v>
      </c>
      <c r="L221" s="550">
        <v>0</v>
      </c>
      <c r="M221" s="550">
        <v>0</v>
      </c>
      <c r="N221" s="550">
        <v>50</v>
      </c>
      <c r="O221" s="550">
        <v>1</v>
      </c>
      <c r="P221" s="550">
        <v>60</v>
      </c>
      <c r="Q221" s="550">
        <v>5</v>
      </c>
      <c r="R221" s="551" t="str">
        <f t="shared" si="13"/>
        <v>MORAGA</v>
      </c>
      <c r="S221" s="552">
        <f>SUM(G216:G221) +SUM(K216:K221)</f>
        <v>0</v>
      </c>
      <c r="T221" s="552">
        <f>F221+J221</f>
        <v>119</v>
      </c>
      <c r="U221" s="552">
        <f>SUM(O216:O221)</f>
        <v>2</v>
      </c>
      <c r="V221" s="552">
        <f>N221</f>
        <v>50</v>
      </c>
      <c r="W221" s="554">
        <f>SUM(Q216:Q221)</f>
        <v>113</v>
      </c>
      <c r="X221" s="552">
        <f>P221</f>
        <v>60</v>
      </c>
      <c r="Y221" s="552">
        <f>S221+U221+SUM(Q216:Q221)</f>
        <v>115</v>
      </c>
      <c r="Z221" s="552">
        <f>F221+J221+N221+P221</f>
        <v>229</v>
      </c>
      <c r="AA221" s="553"/>
      <c r="AB221" s="553"/>
    </row>
    <row r="222" spans="1:28" ht="12.75">
      <c r="A222" s="547" t="s">
        <v>276</v>
      </c>
      <c r="B222" s="547" t="s">
        <v>136</v>
      </c>
      <c r="C222" s="548" t="s">
        <v>774</v>
      </c>
      <c r="D222" s="549">
        <v>2015</v>
      </c>
      <c r="E222" s="549" t="s">
        <v>775</v>
      </c>
      <c r="F222" s="550">
        <v>317</v>
      </c>
      <c r="G222" s="550">
        <v>0</v>
      </c>
      <c r="H222" s="550">
        <v>0</v>
      </c>
      <c r="I222" s="550">
        <v>0</v>
      </c>
      <c r="J222" s="550">
        <v>174</v>
      </c>
      <c r="K222" s="550">
        <v>0</v>
      </c>
      <c r="L222" s="550">
        <v>0</v>
      </c>
      <c r="M222" s="550">
        <v>0</v>
      </c>
      <c r="N222" s="550">
        <v>175</v>
      </c>
      <c r="O222" s="550">
        <v>70</v>
      </c>
      <c r="P222" s="550">
        <v>502</v>
      </c>
      <c r="Q222" s="550">
        <v>164</v>
      </c>
      <c r="R222" s="551" t="str">
        <f t="shared" si="13"/>
        <v>OAKLEY</v>
      </c>
      <c r="S222" s="552"/>
      <c r="T222" s="552"/>
      <c r="U222" s="552"/>
      <c r="V222" s="552"/>
      <c r="W222" s="552"/>
      <c r="X222" s="552"/>
      <c r="Y222" s="552"/>
      <c r="Z222" s="552"/>
      <c r="AA222" s="553"/>
      <c r="AB222" s="553"/>
    </row>
    <row r="223" spans="1:28" ht="12.75">
      <c r="A223" s="547" t="s">
        <v>276</v>
      </c>
      <c r="B223" s="547" t="s">
        <v>136</v>
      </c>
      <c r="C223" s="548" t="s">
        <v>774</v>
      </c>
      <c r="D223" s="549">
        <v>2016</v>
      </c>
      <c r="E223" s="549" t="s">
        <v>775</v>
      </c>
      <c r="F223" s="550">
        <v>317</v>
      </c>
      <c r="G223" s="550">
        <v>0</v>
      </c>
      <c r="H223" s="550">
        <v>0</v>
      </c>
      <c r="I223" s="550">
        <v>0</v>
      </c>
      <c r="J223" s="550">
        <v>174</v>
      </c>
      <c r="K223" s="550">
        <v>0</v>
      </c>
      <c r="L223" s="550">
        <v>0</v>
      </c>
      <c r="M223" s="550">
        <v>0</v>
      </c>
      <c r="N223" s="550">
        <v>175</v>
      </c>
      <c r="O223" s="550">
        <v>88</v>
      </c>
      <c r="P223" s="550">
        <v>502</v>
      </c>
      <c r="Q223" s="550">
        <v>208</v>
      </c>
      <c r="R223" s="551" t="str">
        <f t="shared" si="13"/>
        <v>OAKLEY</v>
      </c>
      <c r="S223" s="552"/>
      <c r="T223" s="552"/>
      <c r="U223" s="552"/>
      <c r="V223" s="552"/>
      <c r="W223" s="552"/>
      <c r="X223" s="552"/>
      <c r="Y223" s="552"/>
      <c r="Z223" s="552"/>
      <c r="AA223" s="553"/>
      <c r="AB223" s="553"/>
    </row>
    <row r="224" spans="1:28" ht="12.75">
      <c r="A224" s="547" t="s">
        <v>276</v>
      </c>
      <c r="B224" s="547" t="s">
        <v>136</v>
      </c>
      <c r="C224" s="548" t="s">
        <v>774</v>
      </c>
      <c r="D224" s="549">
        <v>2017</v>
      </c>
      <c r="E224" s="549" t="s">
        <v>775</v>
      </c>
      <c r="F224" s="550">
        <v>317</v>
      </c>
      <c r="G224" s="550">
        <v>8</v>
      </c>
      <c r="H224" s="550">
        <v>8</v>
      </c>
      <c r="I224" s="550">
        <v>0</v>
      </c>
      <c r="J224" s="550">
        <v>174</v>
      </c>
      <c r="K224" s="550">
        <v>66</v>
      </c>
      <c r="L224" s="550">
        <v>66</v>
      </c>
      <c r="M224" s="550">
        <v>0</v>
      </c>
      <c r="N224" s="550">
        <v>175</v>
      </c>
      <c r="O224" s="550">
        <v>51</v>
      </c>
      <c r="P224" s="550">
        <v>502</v>
      </c>
      <c r="Q224" s="550">
        <v>117</v>
      </c>
      <c r="R224" s="551" t="str">
        <f t="shared" si="13"/>
        <v>OAKLEY</v>
      </c>
      <c r="S224" s="552"/>
      <c r="T224" s="552"/>
      <c r="U224" s="552"/>
      <c r="V224" s="552"/>
      <c r="W224" s="552"/>
      <c r="X224" s="552"/>
      <c r="Y224" s="552"/>
      <c r="Z224" s="552"/>
      <c r="AA224" s="553"/>
      <c r="AB224" s="553"/>
    </row>
    <row r="225" spans="1:28" ht="12.75">
      <c r="A225" s="547" t="s">
        <v>276</v>
      </c>
      <c r="B225" s="547" t="s">
        <v>136</v>
      </c>
      <c r="C225" s="548" t="s">
        <v>774</v>
      </c>
      <c r="D225" s="549">
        <v>2018</v>
      </c>
      <c r="E225" s="549" t="s">
        <v>775</v>
      </c>
      <c r="F225" s="550">
        <v>317</v>
      </c>
      <c r="G225" s="550">
        <v>0</v>
      </c>
      <c r="H225" s="550">
        <v>0</v>
      </c>
      <c r="I225" s="550">
        <v>0</v>
      </c>
      <c r="J225" s="550">
        <v>174</v>
      </c>
      <c r="K225" s="550">
        <v>0</v>
      </c>
      <c r="L225" s="550">
        <v>0</v>
      </c>
      <c r="M225" s="550">
        <v>0</v>
      </c>
      <c r="N225" s="550">
        <v>175</v>
      </c>
      <c r="O225" s="550">
        <v>0</v>
      </c>
      <c r="P225" s="550">
        <v>502</v>
      </c>
      <c r="Q225" s="550">
        <v>192</v>
      </c>
      <c r="R225" s="551" t="str">
        <f t="shared" si="13"/>
        <v>OAKLEY</v>
      </c>
      <c r="S225" s="552"/>
      <c r="T225" s="552"/>
      <c r="U225" s="552"/>
      <c r="V225" s="552"/>
      <c r="W225" s="552"/>
      <c r="X225" s="552"/>
      <c r="Y225" s="552"/>
      <c r="Z225" s="552"/>
      <c r="AA225" s="553"/>
      <c r="AB225" s="553"/>
    </row>
    <row r="226" spans="1:28" ht="12.75">
      <c r="A226" s="547" t="s">
        <v>276</v>
      </c>
      <c r="B226" s="547" t="s">
        <v>136</v>
      </c>
      <c r="C226" s="548" t="s">
        <v>782</v>
      </c>
      <c r="D226" s="549">
        <v>2019</v>
      </c>
      <c r="E226" s="549" t="s">
        <v>775</v>
      </c>
      <c r="F226" s="550">
        <v>317</v>
      </c>
      <c r="G226" s="550">
        <v>0</v>
      </c>
      <c r="H226" s="550">
        <v>0</v>
      </c>
      <c r="I226" s="550">
        <v>0</v>
      </c>
      <c r="J226" s="550">
        <v>174</v>
      </c>
      <c r="K226" s="550">
        <v>0</v>
      </c>
      <c r="L226" s="550">
        <v>0</v>
      </c>
      <c r="M226" s="550">
        <v>0</v>
      </c>
      <c r="N226" s="550">
        <v>175</v>
      </c>
      <c r="O226" s="550">
        <v>0</v>
      </c>
      <c r="P226" s="550">
        <v>502</v>
      </c>
      <c r="Q226" s="550">
        <v>262</v>
      </c>
      <c r="R226" s="551" t="str">
        <f t="shared" si="13"/>
        <v>OAKLEY</v>
      </c>
      <c r="S226" s="255">
        <f>SUM(G222:G226) +SUM(K222:K226)</f>
        <v>74</v>
      </c>
      <c r="T226" s="255">
        <f>F226+J226</f>
        <v>491</v>
      </c>
      <c r="U226" s="255">
        <f>SUM(O222:O226)</f>
        <v>209</v>
      </c>
      <c r="V226" s="255">
        <f>N226</f>
        <v>175</v>
      </c>
      <c r="W226" s="83">
        <f>SUM(Q222:Q226)</f>
        <v>943</v>
      </c>
      <c r="X226" s="255">
        <f>P226</f>
        <v>502</v>
      </c>
      <c r="Y226" s="255">
        <f>S226+U226+SUM(Q222:Q226)</f>
        <v>1226</v>
      </c>
      <c r="Z226" s="255">
        <f>F226+J226+N226+P226</f>
        <v>1168</v>
      </c>
      <c r="AA226" s="553"/>
      <c r="AB226" s="553"/>
    </row>
    <row r="227" spans="1:28" ht="12.75">
      <c r="A227" s="547" t="s">
        <v>277</v>
      </c>
      <c r="B227" s="547" t="s">
        <v>136</v>
      </c>
      <c r="C227" s="548" t="s">
        <v>774</v>
      </c>
      <c r="D227" s="549">
        <v>2014</v>
      </c>
      <c r="E227" s="549" t="s">
        <v>775</v>
      </c>
      <c r="F227" s="550">
        <v>84</v>
      </c>
      <c r="G227" s="550">
        <v>0</v>
      </c>
      <c r="H227" s="550">
        <v>0</v>
      </c>
      <c r="I227" s="550">
        <v>0</v>
      </c>
      <c r="J227" s="550">
        <v>47</v>
      </c>
      <c r="K227" s="550">
        <v>0</v>
      </c>
      <c r="L227" s="550">
        <v>0</v>
      </c>
      <c r="M227" s="550">
        <v>0</v>
      </c>
      <c r="N227" s="550">
        <v>54</v>
      </c>
      <c r="O227" s="550">
        <v>14</v>
      </c>
      <c r="P227" s="550">
        <v>42</v>
      </c>
      <c r="Q227" s="550">
        <v>41</v>
      </c>
      <c r="R227" s="551" t="str">
        <f t="shared" si="13"/>
        <v>ORINDA</v>
      </c>
      <c r="S227" s="552"/>
      <c r="T227" s="552"/>
      <c r="U227" s="552"/>
      <c r="V227" s="552"/>
      <c r="W227" s="552"/>
      <c r="X227" s="552"/>
      <c r="Y227" s="552"/>
      <c r="Z227" s="552"/>
      <c r="AA227" s="553"/>
      <c r="AB227" s="553"/>
    </row>
    <row r="228" spans="1:28" ht="12.75">
      <c r="A228" s="547" t="s">
        <v>277</v>
      </c>
      <c r="B228" s="547" t="s">
        <v>136</v>
      </c>
      <c r="C228" s="548" t="s">
        <v>774</v>
      </c>
      <c r="D228" s="549">
        <v>2015</v>
      </c>
      <c r="E228" s="549" t="s">
        <v>775</v>
      </c>
      <c r="F228" s="550">
        <v>84</v>
      </c>
      <c r="G228" s="550">
        <v>0</v>
      </c>
      <c r="H228" s="550">
        <v>0</v>
      </c>
      <c r="I228" s="550">
        <v>0</v>
      </c>
      <c r="J228" s="550">
        <v>47</v>
      </c>
      <c r="K228" s="550">
        <v>0</v>
      </c>
      <c r="L228" s="550">
        <v>0</v>
      </c>
      <c r="M228" s="550">
        <v>0</v>
      </c>
      <c r="N228" s="550">
        <v>54</v>
      </c>
      <c r="O228" s="550">
        <v>0</v>
      </c>
      <c r="P228" s="550">
        <v>42</v>
      </c>
      <c r="Q228" s="550">
        <v>44</v>
      </c>
      <c r="R228" s="551" t="str">
        <f t="shared" si="13"/>
        <v>ORINDA</v>
      </c>
      <c r="S228" s="552"/>
      <c r="T228" s="552"/>
      <c r="U228" s="552"/>
      <c r="V228" s="552"/>
      <c r="W228" s="552"/>
      <c r="X228" s="552"/>
      <c r="Y228" s="552"/>
      <c r="Z228" s="552"/>
      <c r="AA228" s="553"/>
      <c r="AB228" s="553"/>
    </row>
    <row r="229" spans="1:28" ht="12.75">
      <c r="A229" s="547" t="s">
        <v>277</v>
      </c>
      <c r="B229" s="547" t="s">
        <v>136</v>
      </c>
      <c r="C229" s="548" t="s">
        <v>774</v>
      </c>
      <c r="D229" s="549">
        <v>2016</v>
      </c>
      <c r="E229" s="549" t="s">
        <v>775</v>
      </c>
      <c r="F229" s="550">
        <v>84</v>
      </c>
      <c r="G229" s="550">
        <v>0</v>
      </c>
      <c r="H229" s="550">
        <v>0</v>
      </c>
      <c r="I229" s="550">
        <v>0</v>
      </c>
      <c r="J229" s="550">
        <v>47</v>
      </c>
      <c r="K229" s="550">
        <v>0</v>
      </c>
      <c r="L229" s="550">
        <v>0</v>
      </c>
      <c r="M229" s="550">
        <v>0</v>
      </c>
      <c r="N229" s="550">
        <v>54</v>
      </c>
      <c r="O229" s="550">
        <v>2</v>
      </c>
      <c r="P229" s="550">
        <v>42</v>
      </c>
      <c r="Q229" s="550">
        <v>53</v>
      </c>
      <c r="R229" s="551" t="str">
        <f t="shared" si="13"/>
        <v>ORINDA</v>
      </c>
      <c r="S229" s="552"/>
      <c r="T229" s="552"/>
      <c r="U229" s="552"/>
      <c r="V229" s="552"/>
      <c r="W229" s="552"/>
      <c r="X229" s="552"/>
      <c r="Y229" s="552"/>
      <c r="Z229" s="552"/>
      <c r="AA229" s="553"/>
      <c r="AB229" s="553"/>
    </row>
    <row r="230" spans="1:28" ht="12.75">
      <c r="A230" s="547" t="s">
        <v>277</v>
      </c>
      <c r="B230" s="547" t="s">
        <v>136</v>
      </c>
      <c r="C230" s="548" t="s">
        <v>774</v>
      </c>
      <c r="D230" s="549">
        <v>2017</v>
      </c>
      <c r="E230" s="549" t="s">
        <v>775</v>
      </c>
      <c r="F230" s="550">
        <v>84</v>
      </c>
      <c r="G230" s="550">
        <v>0</v>
      </c>
      <c r="H230" s="550">
        <v>0</v>
      </c>
      <c r="I230" s="550">
        <v>0</v>
      </c>
      <c r="J230" s="550">
        <v>47</v>
      </c>
      <c r="K230" s="550">
        <v>0</v>
      </c>
      <c r="L230" s="550">
        <v>0</v>
      </c>
      <c r="M230" s="550">
        <v>0</v>
      </c>
      <c r="N230" s="550">
        <v>54</v>
      </c>
      <c r="O230" s="550">
        <v>7</v>
      </c>
      <c r="P230" s="550">
        <v>42</v>
      </c>
      <c r="Q230" s="550">
        <v>37</v>
      </c>
      <c r="R230" s="551" t="str">
        <f t="shared" si="13"/>
        <v>ORINDA</v>
      </c>
      <c r="S230" s="552"/>
      <c r="T230" s="552"/>
      <c r="U230" s="552"/>
      <c r="V230" s="552"/>
      <c r="W230" s="552"/>
      <c r="X230" s="552"/>
      <c r="Y230" s="552"/>
      <c r="Z230" s="552"/>
      <c r="AA230" s="553"/>
      <c r="AB230" s="553"/>
    </row>
    <row r="231" spans="1:28" ht="12.75">
      <c r="A231" s="547" t="s">
        <v>277</v>
      </c>
      <c r="B231" s="547" t="s">
        <v>136</v>
      </c>
      <c r="C231" s="548" t="s">
        <v>774</v>
      </c>
      <c r="D231" s="549">
        <v>2018</v>
      </c>
      <c r="E231" s="549" t="s">
        <v>775</v>
      </c>
      <c r="F231" s="550">
        <v>84</v>
      </c>
      <c r="G231" s="550">
        <v>0</v>
      </c>
      <c r="H231" s="550">
        <v>0</v>
      </c>
      <c r="I231" s="550">
        <v>0</v>
      </c>
      <c r="J231" s="550">
        <v>47</v>
      </c>
      <c r="K231" s="550">
        <v>0</v>
      </c>
      <c r="L231" s="550">
        <v>0</v>
      </c>
      <c r="M231" s="550">
        <v>0</v>
      </c>
      <c r="N231" s="550">
        <v>54</v>
      </c>
      <c r="O231" s="550">
        <v>4</v>
      </c>
      <c r="P231" s="550">
        <v>42</v>
      </c>
      <c r="Q231" s="550">
        <v>51</v>
      </c>
      <c r="R231" s="551" t="str">
        <f t="shared" si="13"/>
        <v>ORINDA</v>
      </c>
      <c r="S231" s="552"/>
      <c r="T231" s="552"/>
      <c r="U231" s="552"/>
      <c r="V231" s="552"/>
      <c r="W231" s="552"/>
      <c r="X231" s="552"/>
      <c r="Y231" s="552"/>
      <c r="Z231" s="552"/>
      <c r="AA231" s="553"/>
      <c r="AB231" s="553"/>
    </row>
    <row r="232" spans="1:28" ht="12.75">
      <c r="A232" s="547" t="s">
        <v>277</v>
      </c>
      <c r="B232" s="547" t="s">
        <v>136</v>
      </c>
      <c r="C232" s="548" t="s">
        <v>782</v>
      </c>
      <c r="D232" s="549">
        <v>2019</v>
      </c>
      <c r="E232" s="549" t="s">
        <v>775</v>
      </c>
      <c r="F232" s="550">
        <v>84</v>
      </c>
      <c r="G232" s="550">
        <v>0</v>
      </c>
      <c r="H232" s="550">
        <v>0</v>
      </c>
      <c r="I232" s="550">
        <v>0</v>
      </c>
      <c r="J232" s="550">
        <v>47</v>
      </c>
      <c r="K232" s="550">
        <v>0</v>
      </c>
      <c r="L232" s="550">
        <v>0</v>
      </c>
      <c r="M232" s="550">
        <v>0</v>
      </c>
      <c r="N232" s="550">
        <v>54</v>
      </c>
      <c r="O232" s="550">
        <v>7</v>
      </c>
      <c r="P232" s="550">
        <v>42</v>
      </c>
      <c r="Q232" s="550">
        <v>33</v>
      </c>
      <c r="R232" s="551" t="str">
        <f t="shared" si="13"/>
        <v>ORINDA</v>
      </c>
      <c r="S232" s="552">
        <f>SUM(G227:G232) +SUM(K227:K232)</f>
        <v>0</v>
      </c>
      <c r="T232" s="552">
        <f>F232+J232</f>
        <v>131</v>
      </c>
      <c r="U232" s="552">
        <f>SUM(O227:O232)</f>
        <v>34</v>
      </c>
      <c r="V232" s="552">
        <f>N232</f>
        <v>54</v>
      </c>
      <c r="W232" s="554">
        <f>SUM(Q227:Q232)</f>
        <v>259</v>
      </c>
      <c r="X232" s="552">
        <f>P232</f>
        <v>42</v>
      </c>
      <c r="Y232" s="552">
        <f>S232+U232+SUM(Q227:Q232)</f>
        <v>293</v>
      </c>
      <c r="Z232" s="552">
        <f>F232+J232+N232+P232</f>
        <v>227</v>
      </c>
      <c r="AA232" s="553"/>
      <c r="AB232" s="553"/>
    </row>
    <row r="233" spans="1:28" ht="12.75">
      <c r="A233" s="547" t="s">
        <v>278</v>
      </c>
      <c r="B233" s="547" t="s">
        <v>136</v>
      </c>
      <c r="C233" s="548" t="s">
        <v>774</v>
      </c>
      <c r="D233" s="549">
        <v>2015</v>
      </c>
      <c r="E233" s="549" t="s">
        <v>775</v>
      </c>
      <c r="F233" s="550">
        <v>80</v>
      </c>
      <c r="G233" s="550">
        <v>0</v>
      </c>
      <c r="H233" s="550">
        <v>0</v>
      </c>
      <c r="I233" s="550">
        <v>0</v>
      </c>
      <c r="J233" s="550">
        <v>48</v>
      </c>
      <c r="K233" s="550">
        <v>0</v>
      </c>
      <c r="L233" s="550">
        <v>0</v>
      </c>
      <c r="M233" s="550">
        <v>0</v>
      </c>
      <c r="N233" s="550">
        <v>43</v>
      </c>
      <c r="O233" s="550">
        <v>0</v>
      </c>
      <c r="P233" s="550">
        <v>126</v>
      </c>
      <c r="Q233" s="550">
        <v>0</v>
      </c>
      <c r="R233" s="551" t="str">
        <f t="shared" si="13"/>
        <v>PINOLE</v>
      </c>
      <c r="S233" s="552"/>
      <c r="T233" s="552"/>
      <c r="U233" s="552"/>
      <c r="V233" s="552"/>
      <c r="W233" s="552"/>
      <c r="X233" s="552"/>
      <c r="Y233" s="552"/>
      <c r="Z233" s="552"/>
      <c r="AA233" s="553"/>
      <c r="AB233" s="553"/>
    </row>
    <row r="234" spans="1:28" ht="12.75">
      <c r="A234" s="547" t="s">
        <v>278</v>
      </c>
      <c r="B234" s="547" t="s">
        <v>136</v>
      </c>
      <c r="C234" s="548" t="s">
        <v>774</v>
      </c>
      <c r="D234" s="549">
        <v>2016</v>
      </c>
      <c r="E234" s="549" t="s">
        <v>775</v>
      </c>
      <c r="F234" s="550">
        <v>80</v>
      </c>
      <c r="G234" s="550">
        <v>0</v>
      </c>
      <c r="H234" s="550">
        <v>0</v>
      </c>
      <c r="I234" s="550">
        <v>0</v>
      </c>
      <c r="J234" s="550">
        <v>48</v>
      </c>
      <c r="K234" s="550">
        <v>0</v>
      </c>
      <c r="L234" s="550">
        <v>0</v>
      </c>
      <c r="M234" s="550">
        <v>0</v>
      </c>
      <c r="N234" s="550">
        <v>43</v>
      </c>
      <c r="O234" s="550">
        <v>1</v>
      </c>
      <c r="P234" s="550">
        <v>126</v>
      </c>
      <c r="Q234" s="550">
        <v>2</v>
      </c>
      <c r="R234" s="551" t="str">
        <f t="shared" si="13"/>
        <v>PINOLE</v>
      </c>
      <c r="S234" s="552"/>
      <c r="T234" s="552"/>
      <c r="U234" s="552"/>
      <c r="V234" s="552"/>
      <c r="W234" s="552"/>
      <c r="X234" s="552"/>
      <c r="Y234" s="552"/>
      <c r="Z234" s="552"/>
      <c r="AA234" s="553"/>
      <c r="AB234" s="553"/>
    </row>
    <row r="235" spans="1:28" ht="12.75">
      <c r="A235" s="547" t="s">
        <v>278</v>
      </c>
      <c r="B235" s="547" t="s">
        <v>136</v>
      </c>
      <c r="C235" s="548" t="s">
        <v>774</v>
      </c>
      <c r="D235" s="549">
        <v>2017</v>
      </c>
      <c r="E235" s="549" t="s">
        <v>775</v>
      </c>
      <c r="F235" s="550">
        <v>80</v>
      </c>
      <c r="G235" s="550">
        <v>0</v>
      </c>
      <c r="H235" s="550">
        <v>0</v>
      </c>
      <c r="I235" s="550">
        <v>0</v>
      </c>
      <c r="J235" s="550">
        <v>48</v>
      </c>
      <c r="K235" s="550">
        <v>0</v>
      </c>
      <c r="L235" s="550">
        <v>0</v>
      </c>
      <c r="M235" s="550">
        <v>0</v>
      </c>
      <c r="N235" s="550">
        <v>43</v>
      </c>
      <c r="O235" s="550">
        <v>0</v>
      </c>
      <c r="P235" s="550">
        <v>126</v>
      </c>
      <c r="Q235" s="550">
        <v>2</v>
      </c>
      <c r="R235" s="551" t="str">
        <f t="shared" si="13"/>
        <v>PINOLE</v>
      </c>
      <c r="S235" s="552"/>
      <c r="T235" s="552"/>
      <c r="U235" s="552"/>
      <c r="V235" s="552"/>
      <c r="W235" s="552"/>
      <c r="X235" s="552"/>
      <c r="Y235" s="552"/>
      <c r="Z235" s="552"/>
      <c r="AA235" s="553"/>
      <c r="AB235" s="553"/>
    </row>
    <row r="236" spans="1:28" ht="12.75">
      <c r="A236" s="547" t="s">
        <v>278</v>
      </c>
      <c r="B236" s="547" t="s">
        <v>136</v>
      </c>
      <c r="C236" s="548" t="s">
        <v>782</v>
      </c>
      <c r="D236" s="549">
        <v>2019</v>
      </c>
      <c r="E236" s="549" t="s">
        <v>775</v>
      </c>
      <c r="F236" s="550">
        <v>80</v>
      </c>
      <c r="G236" s="550">
        <v>0</v>
      </c>
      <c r="H236" s="550">
        <v>0</v>
      </c>
      <c r="I236" s="550">
        <v>0</v>
      </c>
      <c r="J236" s="550">
        <v>48</v>
      </c>
      <c r="K236" s="550">
        <v>0</v>
      </c>
      <c r="L236" s="550">
        <v>0</v>
      </c>
      <c r="M236" s="550">
        <v>0</v>
      </c>
      <c r="N236" s="550">
        <v>43</v>
      </c>
      <c r="O236" s="550">
        <v>0</v>
      </c>
      <c r="P236" s="550">
        <v>126</v>
      </c>
      <c r="Q236" s="550">
        <v>7</v>
      </c>
      <c r="R236" s="551" t="str">
        <f t="shared" si="13"/>
        <v>PINOLE</v>
      </c>
      <c r="S236" s="255">
        <f>SUM(G233:G236) +SUM(K233:K236)</f>
        <v>0</v>
      </c>
      <c r="T236" s="255">
        <f>F236+J236</f>
        <v>128</v>
      </c>
      <c r="U236" s="255">
        <f>SUM(O233:O236)</f>
        <v>1</v>
      </c>
      <c r="V236" s="255">
        <f>N236</f>
        <v>43</v>
      </c>
      <c r="W236" s="83">
        <f>SUM(Q233:Q236)</f>
        <v>11</v>
      </c>
      <c r="X236" s="255">
        <f>P236</f>
        <v>126</v>
      </c>
      <c r="Y236" s="255">
        <f>S236+U236+SUM(Q233:Q236)</f>
        <v>12</v>
      </c>
      <c r="Z236" s="255">
        <f>F236+J236+N236+P236</f>
        <v>297</v>
      </c>
      <c r="AA236" s="553"/>
      <c r="AB236" s="553"/>
    </row>
    <row r="237" spans="1:28" ht="12.75">
      <c r="A237" s="547" t="s">
        <v>279</v>
      </c>
      <c r="B237" s="547" t="s">
        <v>136</v>
      </c>
      <c r="C237" s="548" t="s">
        <v>774</v>
      </c>
      <c r="D237" s="549">
        <v>2014</v>
      </c>
      <c r="E237" s="549" t="s">
        <v>775</v>
      </c>
      <c r="F237" s="550">
        <v>392</v>
      </c>
      <c r="G237" s="550">
        <v>0</v>
      </c>
      <c r="H237" s="550">
        <v>0</v>
      </c>
      <c r="I237" s="550">
        <v>0</v>
      </c>
      <c r="J237" s="550">
        <v>254</v>
      </c>
      <c r="K237" s="550">
        <v>0</v>
      </c>
      <c r="L237" s="550">
        <v>0</v>
      </c>
      <c r="M237" s="550">
        <v>0</v>
      </c>
      <c r="N237" s="550">
        <v>316</v>
      </c>
      <c r="O237" s="550">
        <v>216</v>
      </c>
      <c r="P237" s="550">
        <v>1063</v>
      </c>
      <c r="Q237" s="550">
        <v>0</v>
      </c>
      <c r="R237" s="551" t="str">
        <f t="shared" si="13"/>
        <v>PITTSBURG</v>
      </c>
      <c r="S237" s="552"/>
      <c r="T237" s="552"/>
      <c r="U237" s="552"/>
      <c r="V237" s="552"/>
      <c r="W237" s="552"/>
      <c r="X237" s="552"/>
      <c r="Y237" s="552"/>
      <c r="Z237" s="552"/>
      <c r="AA237" s="553"/>
      <c r="AB237" s="553"/>
    </row>
    <row r="238" spans="1:28" ht="12.75">
      <c r="A238" s="547" t="s">
        <v>279</v>
      </c>
      <c r="B238" s="547" t="s">
        <v>136</v>
      </c>
      <c r="C238" s="548" t="s">
        <v>774</v>
      </c>
      <c r="D238" s="549">
        <v>2015</v>
      </c>
      <c r="E238" s="549" t="s">
        <v>775</v>
      </c>
      <c r="F238" s="550">
        <v>392</v>
      </c>
      <c r="G238" s="550">
        <v>0</v>
      </c>
      <c r="H238" s="550">
        <v>0</v>
      </c>
      <c r="I238" s="550">
        <v>0</v>
      </c>
      <c r="J238" s="550">
        <v>254</v>
      </c>
      <c r="K238" s="550">
        <v>2</v>
      </c>
      <c r="L238" s="550">
        <v>2</v>
      </c>
      <c r="M238" s="550">
        <v>0</v>
      </c>
      <c r="N238" s="550">
        <v>316</v>
      </c>
      <c r="O238" s="550">
        <v>150</v>
      </c>
      <c r="P238" s="550">
        <v>1063</v>
      </c>
      <c r="Q238" s="550">
        <v>252</v>
      </c>
      <c r="R238" s="551" t="str">
        <f t="shared" si="13"/>
        <v>PITTSBURG</v>
      </c>
      <c r="S238" s="552"/>
      <c r="T238" s="552"/>
      <c r="U238" s="552"/>
      <c r="V238" s="552"/>
      <c r="W238" s="552"/>
      <c r="X238" s="552"/>
      <c r="Y238" s="552"/>
      <c r="Z238" s="552"/>
      <c r="AA238" s="553"/>
      <c r="AB238" s="553"/>
    </row>
    <row r="239" spans="1:28" ht="12.75">
      <c r="A239" s="547" t="s">
        <v>279</v>
      </c>
      <c r="B239" s="547" t="s">
        <v>136</v>
      </c>
      <c r="C239" s="548" t="s">
        <v>774</v>
      </c>
      <c r="D239" s="549">
        <v>2016</v>
      </c>
      <c r="E239" s="549" t="s">
        <v>775</v>
      </c>
      <c r="F239" s="550">
        <v>392</v>
      </c>
      <c r="G239" s="550">
        <v>23</v>
      </c>
      <c r="H239" s="550">
        <v>23</v>
      </c>
      <c r="I239" s="550">
        <v>0</v>
      </c>
      <c r="J239" s="550">
        <v>254</v>
      </c>
      <c r="K239" s="550">
        <v>209</v>
      </c>
      <c r="L239" s="550">
        <v>209</v>
      </c>
      <c r="M239" s="550">
        <v>0</v>
      </c>
      <c r="N239" s="550">
        <v>316</v>
      </c>
      <c r="O239" s="550">
        <v>0</v>
      </c>
      <c r="P239" s="550">
        <v>1063</v>
      </c>
      <c r="Q239" s="550">
        <v>171</v>
      </c>
      <c r="R239" s="551" t="str">
        <f t="shared" si="13"/>
        <v>PITTSBURG</v>
      </c>
      <c r="S239" s="552"/>
      <c r="T239" s="552"/>
      <c r="U239" s="552"/>
      <c r="V239" s="552"/>
      <c r="W239" s="552"/>
      <c r="X239" s="552"/>
      <c r="Y239" s="552"/>
      <c r="Z239" s="552"/>
      <c r="AA239" s="553"/>
      <c r="AB239" s="553"/>
    </row>
    <row r="240" spans="1:28" ht="12.75">
      <c r="A240" s="547" t="s">
        <v>279</v>
      </c>
      <c r="B240" s="547" t="s">
        <v>136</v>
      </c>
      <c r="C240" s="548" t="s">
        <v>774</v>
      </c>
      <c r="D240" s="549">
        <v>2017</v>
      </c>
      <c r="E240" s="549" t="s">
        <v>775</v>
      </c>
      <c r="F240" s="550">
        <v>392</v>
      </c>
      <c r="G240" s="550">
        <v>0</v>
      </c>
      <c r="H240" s="550">
        <v>0</v>
      </c>
      <c r="I240" s="550">
        <v>0</v>
      </c>
      <c r="J240" s="550">
        <v>254</v>
      </c>
      <c r="K240" s="550">
        <v>6</v>
      </c>
      <c r="L240" s="550">
        <v>6</v>
      </c>
      <c r="M240" s="550">
        <v>0</v>
      </c>
      <c r="N240" s="550">
        <v>316</v>
      </c>
      <c r="O240" s="550">
        <v>0</v>
      </c>
      <c r="P240" s="550">
        <v>1063</v>
      </c>
      <c r="Q240" s="550">
        <v>147</v>
      </c>
      <c r="R240" s="551" t="str">
        <f t="shared" si="13"/>
        <v>PITTSBURG</v>
      </c>
      <c r="S240" s="552"/>
      <c r="T240" s="552"/>
      <c r="U240" s="552"/>
      <c r="V240" s="552"/>
      <c r="W240" s="552"/>
      <c r="X240" s="552"/>
      <c r="Y240" s="552"/>
      <c r="Z240" s="552"/>
      <c r="AA240" s="553"/>
      <c r="AB240" s="553"/>
    </row>
    <row r="241" spans="1:28" ht="12.75">
      <c r="A241" s="547" t="s">
        <v>279</v>
      </c>
      <c r="B241" s="547" t="s">
        <v>136</v>
      </c>
      <c r="C241" s="548" t="s">
        <v>774</v>
      </c>
      <c r="D241" s="549">
        <v>2018</v>
      </c>
      <c r="E241" s="549" t="s">
        <v>775</v>
      </c>
      <c r="F241" s="550">
        <v>392</v>
      </c>
      <c r="G241" s="550">
        <v>23</v>
      </c>
      <c r="H241" s="550">
        <v>23</v>
      </c>
      <c r="I241" s="550">
        <v>0</v>
      </c>
      <c r="J241" s="550">
        <v>254</v>
      </c>
      <c r="K241" s="550">
        <v>208</v>
      </c>
      <c r="L241" s="550">
        <v>205</v>
      </c>
      <c r="M241" s="550">
        <v>3</v>
      </c>
      <c r="N241" s="550">
        <v>316</v>
      </c>
      <c r="O241" s="550">
        <v>48</v>
      </c>
      <c r="P241" s="550">
        <v>1063</v>
      </c>
      <c r="Q241" s="550">
        <v>68</v>
      </c>
      <c r="R241" s="551" t="str">
        <f t="shared" si="13"/>
        <v>PITTSBURG</v>
      </c>
      <c r="S241" s="552"/>
      <c r="T241" s="552"/>
      <c r="U241" s="552"/>
      <c r="V241" s="552"/>
      <c r="W241" s="552"/>
      <c r="X241" s="552"/>
      <c r="Y241" s="552"/>
      <c r="Z241" s="552"/>
      <c r="AA241" s="553"/>
      <c r="AB241" s="553"/>
    </row>
    <row r="242" spans="1:28" ht="12.75">
      <c r="A242" s="547" t="s">
        <v>279</v>
      </c>
      <c r="B242" s="547" t="s">
        <v>136</v>
      </c>
      <c r="C242" s="548" t="s">
        <v>782</v>
      </c>
      <c r="D242" s="549">
        <v>2019</v>
      </c>
      <c r="E242" s="549" t="s">
        <v>775</v>
      </c>
      <c r="F242" s="550">
        <v>392</v>
      </c>
      <c r="G242" s="550">
        <v>0</v>
      </c>
      <c r="H242" s="550">
        <v>0</v>
      </c>
      <c r="I242" s="550">
        <v>0</v>
      </c>
      <c r="J242" s="550">
        <v>254</v>
      </c>
      <c r="K242" s="550">
        <v>9</v>
      </c>
      <c r="L242" s="550">
        <v>3</v>
      </c>
      <c r="M242" s="550">
        <v>6</v>
      </c>
      <c r="N242" s="550">
        <v>316</v>
      </c>
      <c r="O242" s="550">
        <v>18</v>
      </c>
      <c r="P242" s="550">
        <v>1063</v>
      </c>
      <c r="Q242" s="550">
        <v>89</v>
      </c>
      <c r="R242" s="551" t="str">
        <f t="shared" si="13"/>
        <v>PITTSBURG</v>
      </c>
      <c r="S242" s="552">
        <f>SUM(G237:G242) +SUM(K237:K242)</f>
        <v>480</v>
      </c>
      <c r="T242" s="552">
        <f>F242+J242</f>
        <v>646</v>
      </c>
      <c r="U242" s="552">
        <f>SUM(O237:O242)</f>
        <v>432</v>
      </c>
      <c r="V242" s="552">
        <f>N242</f>
        <v>316</v>
      </c>
      <c r="W242" s="554">
        <f>SUM(Q237:Q242)</f>
        <v>727</v>
      </c>
      <c r="X242" s="552">
        <f>P242</f>
        <v>1063</v>
      </c>
      <c r="Y242" s="552">
        <f>S242+U242+SUM(Q237:Q242)</f>
        <v>1639</v>
      </c>
      <c r="Z242" s="552">
        <f>F242+J242+N242+P242</f>
        <v>2025</v>
      </c>
      <c r="AA242" s="553"/>
      <c r="AB242" s="553"/>
    </row>
    <row r="243" spans="1:28" ht="12.75">
      <c r="A243" s="547" t="s">
        <v>280</v>
      </c>
      <c r="B243" s="547" t="s">
        <v>136</v>
      </c>
      <c r="C243" s="548" t="s">
        <v>774</v>
      </c>
      <c r="D243" s="549">
        <v>2014</v>
      </c>
      <c r="E243" s="549" t="s">
        <v>775</v>
      </c>
      <c r="F243" s="550">
        <v>118</v>
      </c>
      <c r="G243" s="550">
        <v>0</v>
      </c>
      <c r="H243" s="550">
        <v>0</v>
      </c>
      <c r="I243" s="550">
        <v>0</v>
      </c>
      <c r="J243" s="550">
        <v>69</v>
      </c>
      <c r="K243" s="550">
        <v>0</v>
      </c>
      <c r="L243" s="550">
        <v>0</v>
      </c>
      <c r="M243" s="550">
        <v>0</v>
      </c>
      <c r="N243" s="550">
        <v>84</v>
      </c>
      <c r="O243" s="550">
        <v>0</v>
      </c>
      <c r="P243" s="550">
        <v>177</v>
      </c>
      <c r="Q243" s="550">
        <v>4</v>
      </c>
      <c r="R243" s="551" t="str">
        <f t="shared" si="13"/>
        <v>PLEASANT HILL</v>
      </c>
      <c r="S243" s="552"/>
      <c r="T243" s="552"/>
      <c r="U243" s="552"/>
      <c r="V243" s="552"/>
      <c r="W243" s="552"/>
      <c r="X243" s="552"/>
      <c r="Y243" s="552"/>
      <c r="Z243" s="552"/>
      <c r="AA243" s="553"/>
      <c r="AB243" s="553"/>
    </row>
    <row r="244" spans="1:28" ht="12.75">
      <c r="A244" s="547" t="s">
        <v>280</v>
      </c>
      <c r="B244" s="547" t="s">
        <v>136</v>
      </c>
      <c r="C244" s="548" t="s">
        <v>774</v>
      </c>
      <c r="D244" s="549">
        <v>2015</v>
      </c>
      <c r="E244" s="549" t="s">
        <v>775</v>
      </c>
      <c r="F244" s="550">
        <v>118</v>
      </c>
      <c r="G244" s="550">
        <v>0</v>
      </c>
      <c r="H244" s="550">
        <v>0</v>
      </c>
      <c r="I244" s="550">
        <v>0</v>
      </c>
      <c r="J244" s="550">
        <v>69</v>
      </c>
      <c r="K244" s="550">
        <v>0</v>
      </c>
      <c r="L244" s="550">
        <v>0</v>
      </c>
      <c r="M244" s="550">
        <v>0</v>
      </c>
      <c r="N244" s="550">
        <v>84</v>
      </c>
      <c r="O244" s="550">
        <v>2</v>
      </c>
      <c r="P244" s="550">
        <v>177</v>
      </c>
      <c r="Q244" s="550">
        <v>6</v>
      </c>
      <c r="R244" s="551" t="str">
        <f t="shared" si="13"/>
        <v>PLEASANT HILL</v>
      </c>
      <c r="S244" s="552"/>
      <c r="T244" s="552"/>
      <c r="U244" s="552"/>
      <c r="V244" s="552"/>
      <c r="W244" s="552"/>
      <c r="X244" s="552"/>
      <c r="Y244" s="552"/>
      <c r="Z244" s="552"/>
      <c r="AA244" s="553"/>
      <c r="AB244" s="553"/>
    </row>
    <row r="245" spans="1:28" ht="12.75">
      <c r="A245" s="547" t="s">
        <v>280</v>
      </c>
      <c r="B245" s="547" t="s">
        <v>136</v>
      </c>
      <c r="C245" s="548" t="s">
        <v>774</v>
      </c>
      <c r="D245" s="549">
        <v>2016</v>
      </c>
      <c r="E245" s="549" t="s">
        <v>775</v>
      </c>
      <c r="F245" s="550">
        <v>118</v>
      </c>
      <c r="G245" s="550">
        <v>0</v>
      </c>
      <c r="H245" s="550">
        <v>0</v>
      </c>
      <c r="I245" s="550">
        <v>0</v>
      </c>
      <c r="J245" s="550">
        <v>69</v>
      </c>
      <c r="K245" s="550">
        <v>0</v>
      </c>
      <c r="L245" s="550">
        <v>0</v>
      </c>
      <c r="M245" s="550">
        <v>0</v>
      </c>
      <c r="N245" s="550">
        <v>84</v>
      </c>
      <c r="O245" s="550">
        <v>0</v>
      </c>
      <c r="P245" s="550">
        <v>177</v>
      </c>
      <c r="Q245" s="550">
        <v>6</v>
      </c>
      <c r="R245" s="551" t="str">
        <f t="shared" si="13"/>
        <v>PLEASANT HILL</v>
      </c>
      <c r="S245" s="552"/>
      <c r="T245" s="552"/>
      <c r="U245" s="552"/>
      <c r="V245" s="552"/>
      <c r="W245" s="552"/>
      <c r="X245" s="552"/>
      <c r="Y245" s="552"/>
      <c r="Z245" s="552"/>
      <c r="AA245" s="553"/>
      <c r="AB245" s="553"/>
    </row>
    <row r="246" spans="1:28" ht="12.75">
      <c r="A246" s="547" t="s">
        <v>280</v>
      </c>
      <c r="B246" s="547" t="s">
        <v>136</v>
      </c>
      <c r="C246" s="548" t="s">
        <v>774</v>
      </c>
      <c r="D246" s="549">
        <v>2017</v>
      </c>
      <c r="E246" s="549" t="s">
        <v>775</v>
      </c>
      <c r="F246" s="550">
        <v>118</v>
      </c>
      <c r="G246" s="550">
        <v>0</v>
      </c>
      <c r="H246" s="550">
        <v>0</v>
      </c>
      <c r="I246" s="550">
        <v>0</v>
      </c>
      <c r="J246" s="550">
        <v>69</v>
      </c>
      <c r="K246" s="550">
        <v>0</v>
      </c>
      <c r="L246" s="550">
        <v>0</v>
      </c>
      <c r="M246" s="550">
        <v>0</v>
      </c>
      <c r="N246" s="550">
        <v>84</v>
      </c>
      <c r="O246" s="550">
        <v>2</v>
      </c>
      <c r="P246" s="550">
        <v>177</v>
      </c>
      <c r="Q246" s="550">
        <v>5</v>
      </c>
      <c r="R246" s="551" t="str">
        <f t="shared" si="13"/>
        <v>PLEASANT HILL</v>
      </c>
      <c r="S246" s="552"/>
      <c r="T246" s="552"/>
      <c r="U246" s="552"/>
      <c r="V246" s="552"/>
      <c r="W246" s="552"/>
      <c r="X246" s="552"/>
      <c r="Y246" s="552"/>
      <c r="Z246" s="552"/>
      <c r="AA246" s="553"/>
      <c r="AB246" s="553"/>
    </row>
    <row r="247" spans="1:28" ht="12.75">
      <c r="A247" s="547" t="s">
        <v>280</v>
      </c>
      <c r="B247" s="547" t="s">
        <v>136</v>
      </c>
      <c r="C247" s="548" t="s">
        <v>774</v>
      </c>
      <c r="D247" s="549">
        <v>2018</v>
      </c>
      <c r="E247" s="549" t="s">
        <v>775</v>
      </c>
      <c r="F247" s="550">
        <v>118</v>
      </c>
      <c r="G247" s="550">
        <v>0</v>
      </c>
      <c r="H247" s="550">
        <v>0</v>
      </c>
      <c r="I247" s="550">
        <v>0</v>
      </c>
      <c r="J247" s="550">
        <v>69</v>
      </c>
      <c r="K247" s="550">
        <v>0</v>
      </c>
      <c r="L247" s="550">
        <v>0</v>
      </c>
      <c r="M247" s="550">
        <v>0</v>
      </c>
      <c r="N247" s="550">
        <v>84</v>
      </c>
      <c r="O247" s="550">
        <v>9</v>
      </c>
      <c r="P247" s="550">
        <v>177</v>
      </c>
      <c r="Q247" s="550">
        <v>39</v>
      </c>
      <c r="R247" s="551" t="str">
        <f t="shared" si="13"/>
        <v>PLEASANT HILL</v>
      </c>
      <c r="S247" s="552"/>
      <c r="T247" s="552"/>
      <c r="U247" s="552"/>
      <c r="V247" s="552"/>
      <c r="W247" s="552"/>
      <c r="X247" s="552"/>
      <c r="Y247" s="552"/>
      <c r="Z247" s="552"/>
      <c r="AA247" s="553"/>
      <c r="AB247" s="553"/>
    </row>
    <row r="248" spans="1:28" ht="12.75">
      <c r="A248" s="547" t="s">
        <v>280</v>
      </c>
      <c r="B248" s="547" t="s">
        <v>136</v>
      </c>
      <c r="C248" s="548" t="s">
        <v>782</v>
      </c>
      <c r="D248" s="549">
        <v>2019</v>
      </c>
      <c r="E248" s="549" t="s">
        <v>775</v>
      </c>
      <c r="F248" s="550">
        <v>118</v>
      </c>
      <c r="G248" s="550">
        <v>0</v>
      </c>
      <c r="H248" s="550">
        <v>0</v>
      </c>
      <c r="I248" s="550">
        <v>0</v>
      </c>
      <c r="J248" s="550">
        <v>69</v>
      </c>
      <c r="K248" s="550">
        <v>0</v>
      </c>
      <c r="L248" s="550">
        <v>0</v>
      </c>
      <c r="M248" s="550">
        <v>0</v>
      </c>
      <c r="N248" s="550">
        <v>84</v>
      </c>
      <c r="O248" s="550">
        <v>14</v>
      </c>
      <c r="P248" s="550">
        <v>177</v>
      </c>
      <c r="Q248" s="550">
        <v>18</v>
      </c>
      <c r="R248" s="551" t="str">
        <f t="shared" si="13"/>
        <v>PLEASANT HILL</v>
      </c>
      <c r="S248" s="552">
        <f>SUM(G243:G248) +SUM(K243:K248)</f>
        <v>0</v>
      </c>
      <c r="T248" s="552">
        <f>F248+J248</f>
        <v>187</v>
      </c>
      <c r="U248" s="552">
        <f>SUM(O243:O248)</f>
        <v>27</v>
      </c>
      <c r="V248" s="552">
        <f>N248</f>
        <v>84</v>
      </c>
      <c r="W248" s="554">
        <f>SUM(Q243:Q248)</f>
        <v>78</v>
      </c>
      <c r="X248" s="552">
        <f>P248</f>
        <v>177</v>
      </c>
      <c r="Y248" s="552">
        <f>S248+U248+SUM(Q243:Q248)</f>
        <v>105</v>
      </c>
      <c r="Z248" s="552">
        <f>F248+J248+N248+P248</f>
        <v>448</v>
      </c>
      <c r="AA248" s="553"/>
      <c r="AB248" s="553"/>
    </row>
    <row r="249" spans="1:28" ht="12.75">
      <c r="A249" s="547" t="s">
        <v>281</v>
      </c>
      <c r="B249" s="547" t="s">
        <v>136</v>
      </c>
      <c r="C249" s="548" t="s">
        <v>774</v>
      </c>
      <c r="D249" s="549">
        <v>2015</v>
      </c>
      <c r="E249" s="549" t="s">
        <v>775</v>
      </c>
      <c r="F249" s="550">
        <v>438</v>
      </c>
      <c r="G249" s="550">
        <v>0</v>
      </c>
      <c r="H249" s="550">
        <v>0</v>
      </c>
      <c r="I249" s="550">
        <v>0</v>
      </c>
      <c r="J249" s="550">
        <v>305</v>
      </c>
      <c r="K249" s="550">
        <v>79</v>
      </c>
      <c r="L249" s="550">
        <v>79</v>
      </c>
      <c r="M249" s="550">
        <v>0</v>
      </c>
      <c r="N249" s="550">
        <v>410</v>
      </c>
      <c r="O249" s="550">
        <v>0</v>
      </c>
      <c r="P249" s="550">
        <v>1282</v>
      </c>
      <c r="Q249" s="550">
        <v>112</v>
      </c>
      <c r="R249" s="551" t="str">
        <f t="shared" si="13"/>
        <v>RICHMOND</v>
      </c>
      <c r="S249" s="552"/>
      <c r="T249" s="552"/>
      <c r="U249" s="552"/>
      <c r="V249" s="552"/>
      <c r="W249" s="552"/>
      <c r="X249" s="552"/>
      <c r="Y249" s="552"/>
      <c r="Z249" s="552"/>
      <c r="AA249" s="553"/>
      <c r="AB249" s="553"/>
    </row>
    <row r="250" spans="1:28" ht="12.75">
      <c r="A250" s="547" t="s">
        <v>281</v>
      </c>
      <c r="B250" s="547" t="s">
        <v>136</v>
      </c>
      <c r="C250" s="548" t="s">
        <v>774</v>
      </c>
      <c r="D250" s="549">
        <v>2016</v>
      </c>
      <c r="E250" s="549" t="s">
        <v>775</v>
      </c>
      <c r="F250" s="550">
        <v>438</v>
      </c>
      <c r="G250" s="550">
        <v>0</v>
      </c>
      <c r="H250" s="550">
        <v>0</v>
      </c>
      <c r="I250" s="550">
        <v>0</v>
      </c>
      <c r="J250" s="550">
        <v>305</v>
      </c>
      <c r="K250" s="550">
        <v>0</v>
      </c>
      <c r="L250" s="550">
        <v>0</v>
      </c>
      <c r="M250" s="550">
        <v>0</v>
      </c>
      <c r="N250" s="550">
        <v>410</v>
      </c>
      <c r="O250" s="550">
        <v>0</v>
      </c>
      <c r="P250" s="550">
        <v>1282</v>
      </c>
      <c r="Q250" s="550">
        <v>56</v>
      </c>
      <c r="R250" s="551" t="str">
        <f t="shared" si="13"/>
        <v>RICHMOND</v>
      </c>
      <c r="S250" s="552"/>
      <c r="T250" s="552"/>
      <c r="U250" s="552"/>
      <c r="V250" s="552"/>
      <c r="W250" s="552"/>
      <c r="X250" s="552"/>
      <c r="Y250" s="552"/>
      <c r="Z250" s="552"/>
      <c r="AA250" s="553"/>
      <c r="AB250" s="553"/>
    </row>
    <row r="251" spans="1:28" ht="12.75">
      <c r="A251" s="547" t="s">
        <v>281</v>
      </c>
      <c r="B251" s="547" t="s">
        <v>136</v>
      </c>
      <c r="C251" s="548" t="s">
        <v>774</v>
      </c>
      <c r="D251" s="549">
        <v>2017</v>
      </c>
      <c r="E251" s="549" t="s">
        <v>775</v>
      </c>
      <c r="F251" s="550">
        <v>438</v>
      </c>
      <c r="G251" s="550">
        <v>79</v>
      </c>
      <c r="H251" s="550">
        <v>79</v>
      </c>
      <c r="I251" s="550">
        <v>0</v>
      </c>
      <c r="J251" s="550">
        <v>305</v>
      </c>
      <c r="K251" s="550">
        <v>0</v>
      </c>
      <c r="L251" s="550">
        <v>0</v>
      </c>
      <c r="M251" s="550">
        <v>0</v>
      </c>
      <c r="N251" s="550">
        <v>410</v>
      </c>
      <c r="O251" s="550">
        <v>0</v>
      </c>
      <c r="P251" s="550">
        <v>1282</v>
      </c>
      <c r="Q251" s="550">
        <v>59</v>
      </c>
      <c r="R251" s="551" t="str">
        <f t="shared" si="13"/>
        <v>RICHMOND</v>
      </c>
      <c r="S251" s="552"/>
      <c r="T251" s="552"/>
      <c r="U251" s="552"/>
      <c r="V251" s="552"/>
      <c r="W251" s="552"/>
      <c r="X251" s="552"/>
      <c r="Y251" s="552"/>
      <c r="Z251" s="552"/>
      <c r="AA251" s="553"/>
      <c r="AB251" s="553"/>
    </row>
    <row r="252" spans="1:28" ht="12.75">
      <c r="A252" s="547" t="s">
        <v>281</v>
      </c>
      <c r="B252" s="547" t="s">
        <v>136</v>
      </c>
      <c r="C252" s="548" t="s">
        <v>782</v>
      </c>
      <c r="D252" s="549">
        <v>2019</v>
      </c>
      <c r="E252" s="549" t="s">
        <v>775</v>
      </c>
      <c r="F252" s="550">
        <v>438</v>
      </c>
      <c r="G252" s="550">
        <v>0</v>
      </c>
      <c r="H252" s="550">
        <v>0</v>
      </c>
      <c r="I252" s="550">
        <v>0</v>
      </c>
      <c r="J252" s="550">
        <v>305</v>
      </c>
      <c r="K252" s="550">
        <v>0</v>
      </c>
      <c r="L252" s="550">
        <v>0</v>
      </c>
      <c r="M252" s="550">
        <v>0</v>
      </c>
      <c r="N252" s="550">
        <v>410</v>
      </c>
      <c r="O252" s="550">
        <v>0</v>
      </c>
      <c r="P252" s="550">
        <v>1282</v>
      </c>
      <c r="Q252" s="550">
        <v>91</v>
      </c>
      <c r="R252" s="551" t="str">
        <f t="shared" si="13"/>
        <v>RICHMOND</v>
      </c>
      <c r="S252" s="255">
        <f>SUM(G249:G252) +SUM(K249:K252)</f>
        <v>158</v>
      </c>
      <c r="T252" s="255">
        <f>F252+J252</f>
        <v>743</v>
      </c>
      <c r="U252" s="255">
        <f>SUM(O249:O252)</f>
        <v>0</v>
      </c>
      <c r="V252" s="255">
        <f>N252</f>
        <v>410</v>
      </c>
      <c r="W252" s="83">
        <f>SUM(Q249:Q252)</f>
        <v>318</v>
      </c>
      <c r="X252" s="255">
        <f>P252</f>
        <v>1282</v>
      </c>
      <c r="Y252" s="255">
        <f>S252+U252+SUM(Q249:Q252)</f>
        <v>476</v>
      </c>
      <c r="Z252" s="255">
        <f>F252+J252+N252+P252</f>
        <v>2435</v>
      </c>
      <c r="AA252" s="553"/>
      <c r="AB252" s="553"/>
    </row>
    <row r="253" spans="1:28" ht="12.75">
      <c r="A253" s="547" t="s">
        <v>282</v>
      </c>
      <c r="B253" s="547" t="s">
        <v>136</v>
      </c>
      <c r="C253" s="548" t="s">
        <v>774</v>
      </c>
      <c r="D253" s="549">
        <v>2015</v>
      </c>
      <c r="E253" s="549" t="s">
        <v>775</v>
      </c>
      <c r="F253" s="550">
        <v>56</v>
      </c>
      <c r="G253" s="550">
        <v>0</v>
      </c>
      <c r="H253" s="550">
        <v>0</v>
      </c>
      <c r="I253" s="550">
        <v>0</v>
      </c>
      <c r="J253" s="550">
        <v>53</v>
      </c>
      <c r="K253" s="550">
        <v>0</v>
      </c>
      <c r="L253" s="550">
        <v>0</v>
      </c>
      <c r="M253" s="550">
        <v>0</v>
      </c>
      <c r="N253" s="550">
        <v>75</v>
      </c>
      <c r="O253" s="550">
        <v>1</v>
      </c>
      <c r="P253" s="550">
        <v>265</v>
      </c>
      <c r="Q253" s="550">
        <v>29</v>
      </c>
      <c r="R253" s="551" t="str">
        <f t="shared" si="13"/>
        <v>SAN PABLO</v>
      </c>
      <c r="S253" s="552"/>
      <c r="T253" s="552"/>
      <c r="U253" s="552"/>
      <c r="V253" s="552"/>
      <c r="W253" s="552"/>
      <c r="X253" s="552"/>
      <c r="Y253" s="552"/>
      <c r="Z253" s="552"/>
      <c r="AA253" s="553"/>
      <c r="AB253" s="553"/>
    </row>
    <row r="254" spans="1:28" ht="12.75">
      <c r="A254" s="547" t="s">
        <v>282</v>
      </c>
      <c r="B254" s="547" t="s">
        <v>136</v>
      </c>
      <c r="C254" s="548" t="s">
        <v>774</v>
      </c>
      <c r="D254" s="549">
        <v>2016</v>
      </c>
      <c r="E254" s="549" t="s">
        <v>775</v>
      </c>
      <c r="F254" s="550">
        <v>56</v>
      </c>
      <c r="G254" s="550">
        <v>0</v>
      </c>
      <c r="H254" s="550">
        <v>0</v>
      </c>
      <c r="I254" s="550">
        <v>0</v>
      </c>
      <c r="J254" s="550">
        <v>53</v>
      </c>
      <c r="K254" s="550">
        <v>2</v>
      </c>
      <c r="L254" s="550">
        <v>2</v>
      </c>
      <c r="M254" s="550">
        <v>0</v>
      </c>
      <c r="N254" s="550">
        <v>75</v>
      </c>
      <c r="O254" s="550">
        <v>5</v>
      </c>
      <c r="P254" s="550">
        <v>265</v>
      </c>
      <c r="Q254" s="550">
        <v>0</v>
      </c>
      <c r="R254" s="551" t="str">
        <f t="shared" si="13"/>
        <v>SAN PABLO</v>
      </c>
      <c r="S254" s="552"/>
      <c r="T254" s="552"/>
      <c r="U254" s="552"/>
      <c r="V254" s="552"/>
      <c r="W254" s="552"/>
      <c r="X254" s="552"/>
      <c r="Y254" s="552"/>
      <c r="Z254" s="552"/>
      <c r="AA254" s="553"/>
      <c r="AB254" s="553"/>
    </row>
    <row r="255" spans="1:28" ht="12.75">
      <c r="A255" s="547" t="s">
        <v>282</v>
      </c>
      <c r="B255" s="547" t="s">
        <v>136</v>
      </c>
      <c r="C255" s="548" t="s">
        <v>774</v>
      </c>
      <c r="D255" s="549">
        <v>2017</v>
      </c>
      <c r="E255" s="549" t="s">
        <v>775</v>
      </c>
      <c r="F255" s="550">
        <v>56</v>
      </c>
      <c r="G255" s="550">
        <v>0</v>
      </c>
      <c r="H255" s="550">
        <v>0</v>
      </c>
      <c r="I255" s="550">
        <v>0</v>
      </c>
      <c r="J255" s="550">
        <v>53</v>
      </c>
      <c r="K255" s="550">
        <v>0</v>
      </c>
      <c r="L255" s="550">
        <v>0</v>
      </c>
      <c r="M255" s="550">
        <v>0</v>
      </c>
      <c r="N255" s="550">
        <v>75</v>
      </c>
      <c r="O255" s="550">
        <v>7</v>
      </c>
      <c r="P255" s="550">
        <v>265</v>
      </c>
      <c r="Q255" s="550">
        <v>0</v>
      </c>
      <c r="R255" s="551" t="str">
        <f t="shared" si="13"/>
        <v>SAN PABLO</v>
      </c>
      <c r="S255" s="552"/>
      <c r="T255" s="552"/>
      <c r="U255" s="552"/>
      <c r="V255" s="552"/>
      <c r="W255" s="552"/>
      <c r="X255" s="552"/>
      <c r="Y255" s="552"/>
      <c r="Z255" s="552"/>
      <c r="AA255" s="553"/>
      <c r="AB255" s="553"/>
    </row>
    <row r="256" spans="1:28" ht="12.75">
      <c r="A256" s="547" t="s">
        <v>282</v>
      </c>
      <c r="B256" s="547" t="s">
        <v>136</v>
      </c>
      <c r="C256" s="548" t="s">
        <v>774</v>
      </c>
      <c r="D256" s="549">
        <v>2018</v>
      </c>
      <c r="E256" s="549" t="s">
        <v>775</v>
      </c>
      <c r="F256" s="550">
        <v>56</v>
      </c>
      <c r="G256" s="550">
        <v>0</v>
      </c>
      <c r="H256" s="550">
        <v>0</v>
      </c>
      <c r="I256" s="550">
        <v>0</v>
      </c>
      <c r="J256" s="550">
        <v>53</v>
      </c>
      <c r="K256" s="550">
        <v>2</v>
      </c>
      <c r="L256" s="550">
        <v>1</v>
      </c>
      <c r="M256" s="550">
        <v>1</v>
      </c>
      <c r="N256" s="550">
        <v>75</v>
      </c>
      <c r="O256" s="550">
        <v>0</v>
      </c>
      <c r="P256" s="550">
        <v>265</v>
      </c>
      <c r="Q256" s="550">
        <v>2</v>
      </c>
      <c r="R256" s="551" t="str">
        <f t="shared" si="13"/>
        <v>SAN PABLO</v>
      </c>
      <c r="S256" s="552"/>
      <c r="T256" s="552"/>
      <c r="U256" s="552"/>
      <c r="V256" s="552"/>
      <c r="W256" s="552"/>
      <c r="X256" s="552"/>
      <c r="Y256" s="552"/>
      <c r="Z256" s="552"/>
      <c r="AA256" s="553"/>
      <c r="AB256" s="553"/>
    </row>
    <row r="257" spans="1:28" ht="12.75">
      <c r="A257" s="547" t="s">
        <v>282</v>
      </c>
      <c r="B257" s="547" t="s">
        <v>136</v>
      </c>
      <c r="C257" s="548" t="s">
        <v>782</v>
      </c>
      <c r="D257" s="549">
        <v>2019</v>
      </c>
      <c r="E257" s="549" t="s">
        <v>775</v>
      </c>
      <c r="F257" s="550">
        <v>56</v>
      </c>
      <c r="G257" s="550">
        <v>0</v>
      </c>
      <c r="H257" s="550">
        <v>0</v>
      </c>
      <c r="I257" s="550">
        <v>0</v>
      </c>
      <c r="J257" s="550">
        <v>53</v>
      </c>
      <c r="K257" s="550">
        <v>0</v>
      </c>
      <c r="L257" s="550">
        <v>0</v>
      </c>
      <c r="M257" s="550">
        <v>0</v>
      </c>
      <c r="N257" s="550">
        <v>75</v>
      </c>
      <c r="O257" s="550">
        <v>6</v>
      </c>
      <c r="P257" s="550">
        <v>265</v>
      </c>
      <c r="Q257" s="550">
        <v>1</v>
      </c>
      <c r="R257" s="551" t="str">
        <f t="shared" si="13"/>
        <v>SAN PABLO</v>
      </c>
      <c r="S257" s="255">
        <f>SUM(G253:G257) +SUM(K253:K257)</f>
        <v>4</v>
      </c>
      <c r="T257" s="255">
        <f>F257+J257</f>
        <v>109</v>
      </c>
      <c r="U257" s="255">
        <f>SUM(O253:O257)</f>
        <v>19</v>
      </c>
      <c r="V257" s="255">
        <f>N257</f>
        <v>75</v>
      </c>
      <c r="W257" s="83">
        <f>SUM(Q253:Q257)</f>
        <v>32</v>
      </c>
      <c r="X257" s="255">
        <f>P257</f>
        <v>265</v>
      </c>
      <c r="Y257" s="255">
        <f>S257+U257+SUM(Q253:Q257)</f>
        <v>55</v>
      </c>
      <c r="Z257" s="255">
        <f>F257+J257+N257+P257</f>
        <v>449</v>
      </c>
      <c r="AA257" s="553"/>
      <c r="AB257" s="553"/>
    </row>
    <row r="258" spans="1:28" ht="12.75">
      <c r="A258" s="547" t="s">
        <v>283</v>
      </c>
      <c r="B258" s="547" t="s">
        <v>136</v>
      </c>
      <c r="C258" s="548" t="s">
        <v>774</v>
      </c>
      <c r="D258" s="549">
        <v>2014</v>
      </c>
      <c r="E258" s="549" t="s">
        <v>775</v>
      </c>
      <c r="F258" s="550">
        <v>516</v>
      </c>
      <c r="G258" s="550">
        <v>0</v>
      </c>
      <c r="H258" s="550">
        <v>0</v>
      </c>
      <c r="I258" s="550">
        <v>0</v>
      </c>
      <c r="J258" s="550">
        <v>279</v>
      </c>
      <c r="K258" s="550">
        <v>0</v>
      </c>
      <c r="L258" s="550">
        <v>0</v>
      </c>
      <c r="M258" s="550">
        <v>0</v>
      </c>
      <c r="N258" s="550">
        <v>282</v>
      </c>
      <c r="O258" s="550">
        <v>5</v>
      </c>
      <c r="P258" s="550">
        <v>340</v>
      </c>
      <c r="Q258" s="550">
        <v>216</v>
      </c>
      <c r="R258" s="551" t="str">
        <f t="shared" si="13"/>
        <v>SAN RAMON</v>
      </c>
      <c r="S258" s="552"/>
      <c r="T258" s="552"/>
      <c r="U258" s="552"/>
      <c r="V258" s="552"/>
      <c r="W258" s="552"/>
      <c r="X258" s="552"/>
      <c r="Y258" s="552"/>
      <c r="Z258" s="552"/>
      <c r="AA258" s="553"/>
      <c r="AB258" s="553"/>
    </row>
    <row r="259" spans="1:28" ht="12.75">
      <c r="A259" s="547" t="s">
        <v>283</v>
      </c>
      <c r="B259" s="547" t="s">
        <v>136</v>
      </c>
      <c r="C259" s="548" t="s">
        <v>774</v>
      </c>
      <c r="D259" s="549">
        <v>2015</v>
      </c>
      <c r="E259" s="549" t="s">
        <v>775</v>
      </c>
      <c r="F259" s="550">
        <v>516</v>
      </c>
      <c r="G259" s="550">
        <v>0</v>
      </c>
      <c r="H259" s="550">
        <v>0</v>
      </c>
      <c r="I259" s="550">
        <v>0</v>
      </c>
      <c r="J259" s="550">
        <v>279</v>
      </c>
      <c r="K259" s="550">
        <v>0</v>
      </c>
      <c r="L259" s="550">
        <v>0</v>
      </c>
      <c r="M259" s="550">
        <v>0</v>
      </c>
      <c r="N259" s="550">
        <v>282</v>
      </c>
      <c r="O259" s="550">
        <v>2</v>
      </c>
      <c r="P259" s="550">
        <v>340</v>
      </c>
      <c r="Q259" s="550">
        <v>386</v>
      </c>
      <c r="R259" s="551" t="str">
        <f t="shared" si="13"/>
        <v>SAN RAMON</v>
      </c>
      <c r="S259" s="552"/>
      <c r="T259" s="552"/>
      <c r="U259" s="552"/>
      <c r="V259" s="552"/>
      <c r="W259" s="552"/>
      <c r="X259" s="552"/>
      <c r="Y259" s="552"/>
      <c r="Z259" s="552"/>
      <c r="AA259" s="553"/>
      <c r="AB259" s="553"/>
    </row>
    <row r="260" spans="1:28" ht="12.75">
      <c r="A260" s="547" t="s">
        <v>283</v>
      </c>
      <c r="B260" s="547" t="s">
        <v>136</v>
      </c>
      <c r="C260" s="548" t="s">
        <v>774</v>
      </c>
      <c r="D260" s="549">
        <v>2016</v>
      </c>
      <c r="E260" s="549" t="s">
        <v>775</v>
      </c>
      <c r="F260" s="550">
        <v>516</v>
      </c>
      <c r="G260" s="550">
        <v>20</v>
      </c>
      <c r="H260" s="550">
        <v>20</v>
      </c>
      <c r="I260" s="550">
        <v>0</v>
      </c>
      <c r="J260" s="550">
        <v>279</v>
      </c>
      <c r="K260" s="550">
        <v>82</v>
      </c>
      <c r="L260" s="550">
        <v>82</v>
      </c>
      <c r="M260" s="550">
        <v>0</v>
      </c>
      <c r="N260" s="550">
        <v>282</v>
      </c>
      <c r="O260" s="550">
        <v>162</v>
      </c>
      <c r="P260" s="550">
        <v>340</v>
      </c>
      <c r="Q260" s="550">
        <v>618</v>
      </c>
      <c r="R260" s="551" t="str">
        <f t="shared" si="13"/>
        <v>SAN RAMON</v>
      </c>
      <c r="S260" s="552"/>
      <c r="T260" s="552"/>
      <c r="U260" s="552"/>
      <c r="V260" s="552"/>
      <c r="W260" s="552"/>
      <c r="X260" s="552"/>
      <c r="Y260" s="552"/>
      <c r="Z260" s="552"/>
      <c r="AA260" s="553"/>
      <c r="AB260" s="553"/>
    </row>
    <row r="261" spans="1:28" ht="12.75">
      <c r="A261" s="547" t="s">
        <v>283</v>
      </c>
      <c r="B261" s="547" t="s">
        <v>136</v>
      </c>
      <c r="C261" s="548" t="s">
        <v>774</v>
      </c>
      <c r="D261" s="549">
        <v>2017</v>
      </c>
      <c r="E261" s="549" t="s">
        <v>775</v>
      </c>
      <c r="F261" s="550">
        <v>516</v>
      </c>
      <c r="G261" s="550">
        <v>0</v>
      </c>
      <c r="H261" s="550">
        <v>0</v>
      </c>
      <c r="I261" s="550">
        <v>0</v>
      </c>
      <c r="J261" s="550">
        <v>279</v>
      </c>
      <c r="K261" s="550">
        <v>0</v>
      </c>
      <c r="L261" s="550">
        <v>0</v>
      </c>
      <c r="M261" s="550">
        <v>0</v>
      </c>
      <c r="N261" s="550">
        <v>282</v>
      </c>
      <c r="O261" s="550">
        <v>0</v>
      </c>
      <c r="P261" s="550">
        <v>340</v>
      </c>
      <c r="Q261" s="550">
        <v>188</v>
      </c>
      <c r="R261" s="551" t="str">
        <f t="shared" si="13"/>
        <v>SAN RAMON</v>
      </c>
      <c r="S261" s="552"/>
      <c r="T261" s="552"/>
      <c r="U261" s="552"/>
      <c r="V261" s="552"/>
      <c r="W261" s="552"/>
      <c r="X261" s="552"/>
      <c r="Y261" s="552"/>
      <c r="Z261" s="552"/>
      <c r="AA261" s="553"/>
      <c r="AB261" s="553"/>
    </row>
    <row r="262" spans="1:28" ht="12.75">
      <c r="A262" s="547" t="s">
        <v>283</v>
      </c>
      <c r="B262" s="547" t="s">
        <v>136</v>
      </c>
      <c r="C262" s="548" t="s">
        <v>774</v>
      </c>
      <c r="D262" s="549">
        <v>2018</v>
      </c>
      <c r="E262" s="549" t="s">
        <v>775</v>
      </c>
      <c r="F262" s="550">
        <v>516</v>
      </c>
      <c r="G262" s="550">
        <v>0</v>
      </c>
      <c r="H262" s="550">
        <v>0</v>
      </c>
      <c r="I262" s="550">
        <v>0</v>
      </c>
      <c r="J262" s="550">
        <v>279</v>
      </c>
      <c r="K262" s="550">
        <v>0</v>
      </c>
      <c r="L262" s="550">
        <v>0</v>
      </c>
      <c r="M262" s="550">
        <v>0</v>
      </c>
      <c r="N262" s="550">
        <v>282</v>
      </c>
      <c r="O262" s="550">
        <v>0</v>
      </c>
      <c r="P262" s="550">
        <v>340</v>
      </c>
      <c r="Q262" s="550">
        <v>275</v>
      </c>
      <c r="R262" s="551" t="str">
        <f t="shared" si="13"/>
        <v>SAN RAMON</v>
      </c>
      <c r="S262" s="552"/>
      <c r="T262" s="552"/>
      <c r="U262" s="552"/>
      <c r="V262" s="552"/>
      <c r="W262" s="552"/>
      <c r="X262" s="552"/>
      <c r="Y262" s="552"/>
      <c r="Z262" s="552"/>
      <c r="AA262" s="553"/>
      <c r="AB262" s="553"/>
    </row>
    <row r="263" spans="1:28" ht="12.75">
      <c r="A263" s="547" t="s">
        <v>283</v>
      </c>
      <c r="B263" s="547" t="s">
        <v>136</v>
      </c>
      <c r="C263" s="548" t="s">
        <v>782</v>
      </c>
      <c r="D263" s="549">
        <v>2019</v>
      </c>
      <c r="E263" s="549" t="s">
        <v>775</v>
      </c>
      <c r="F263" s="550">
        <v>516</v>
      </c>
      <c r="G263" s="550">
        <v>0</v>
      </c>
      <c r="H263" s="550">
        <v>0</v>
      </c>
      <c r="I263" s="550">
        <v>0</v>
      </c>
      <c r="J263" s="550">
        <v>279</v>
      </c>
      <c r="K263" s="550">
        <v>0</v>
      </c>
      <c r="L263" s="550">
        <v>0</v>
      </c>
      <c r="M263" s="550">
        <v>0</v>
      </c>
      <c r="N263" s="550">
        <v>282</v>
      </c>
      <c r="O263" s="550">
        <v>0</v>
      </c>
      <c r="P263" s="550">
        <v>340</v>
      </c>
      <c r="Q263" s="550">
        <v>252</v>
      </c>
      <c r="R263" s="551" t="str">
        <f t="shared" si="13"/>
        <v>SAN RAMON</v>
      </c>
      <c r="S263" s="552">
        <f>SUM(G258:G263) +SUM(K258:K263)</f>
        <v>102</v>
      </c>
      <c r="T263" s="552">
        <f>F263+J263</f>
        <v>795</v>
      </c>
      <c r="U263" s="552">
        <f>SUM(O258:O263)</f>
        <v>169</v>
      </c>
      <c r="V263" s="552">
        <f>N263</f>
        <v>282</v>
      </c>
      <c r="W263" s="554">
        <f>SUM(Q258:Q263)</f>
        <v>1935</v>
      </c>
      <c r="X263" s="552">
        <f>P263</f>
        <v>340</v>
      </c>
      <c r="Y263" s="552">
        <f>S263+U263+SUM(Q258:Q263)</f>
        <v>2206</v>
      </c>
      <c r="Z263" s="552">
        <f>F263+J263+N263+P263</f>
        <v>1417</v>
      </c>
      <c r="AA263" s="553"/>
      <c r="AB263" s="553"/>
    </row>
    <row r="264" spans="1:28" ht="12.75">
      <c r="A264" s="547" t="s">
        <v>284</v>
      </c>
      <c r="B264" s="547" t="s">
        <v>136</v>
      </c>
      <c r="C264" s="548" t="s">
        <v>774</v>
      </c>
      <c r="D264" s="549">
        <v>2016</v>
      </c>
      <c r="E264" s="549" t="s">
        <v>775</v>
      </c>
      <c r="F264" s="550">
        <v>604</v>
      </c>
      <c r="G264" s="550">
        <v>42</v>
      </c>
      <c r="H264" s="550">
        <v>42</v>
      </c>
      <c r="I264" s="550">
        <v>0</v>
      </c>
      <c r="J264" s="550">
        <v>355</v>
      </c>
      <c r="K264" s="550">
        <v>16</v>
      </c>
      <c r="L264" s="550">
        <v>16</v>
      </c>
      <c r="M264" s="550">
        <v>0</v>
      </c>
      <c r="N264" s="550">
        <v>381</v>
      </c>
      <c r="O264" s="550">
        <v>12</v>
      </c>
      <c r="P264" s="550">
        <v>895</v>
      </c>
      <c r="Q264" s="550">
        <v>392</v>
      </c>
      <c r="R264" s="551" t="str">
        <f t="shared" si="13"/>
        <v>WALNUT CREEK</v>
      </c>
      <c r="S264" s="552"/>
      <c r="T264" s="552"/>
      <c r="U264" s="552"/>
      <c r="V264" s="552"/>
      <c r="W264" s="552"/>
      <c r="X264" s="552"/>
      <c r="Y264" s="552"/>
      <c r="Z264" s="552"/>
      <c r="AA264" s="553"/>
      <c r="AB264" s="553"/>
    </row>
    <row r="265" spans="1:28" ht="12.75">
      <c r="A265" s="547" t="s">
        <v>284</v>
      </c>
      <c r="B265" s="547" t="s">
        <v>136</v>
      </c>
      <c r="C265" s="548" t="s">
        <v>774</v>
      </c>
      <c r="D265" s="549">
        <v>2017</v>
      </c>
      <c r="E265" s="549" t="s">
        <v>775</v>
      </c>
      <c r="F265" s="550">
        <v>604</v>
      </c>
      <c r="G265" s="550">
        <v>0</v>
      </c>
      <c r="H265" s="550">
        <v>0</v>
      </c>
      <c r="I265" s="550">
        <v>0</v>
      </c>
      <c r="J265" s="550">
        <v>355</v>
      </c>
      <c r="K265" s="550">
        <v>0</v>
      </c>
      <c r="L265" s="550">
        <v>0</v>
      </c>
      <c r="M265" s="550">
        <v>0</v>
      </c>
      <c r="N265" s="550">
        <v>381</v>
      </c>
      <c r="O265" s="550">
        <v>6</v>
      </c>
      <c r="P265" s="550">
        <v>895</v>
      </c>
      <c r="Q265" s="550">
        <v>119</v>
      </c>
      <c r="R265" s="551" t="str">
        <f t="shared" si="13"/>
        <v>WALNUT CREEK</v>
      </c>
      <c r="S265" s="552"/>
      <c r="T265" s="552"/>
      <c r="U265" s="552"/>
      <c r="V265" s="552"/>
      <c r="W265" s="552"/>
      <c r="X265" s="552"/>
      <c r="Y265" s="552"/>
      <c r="Z265" s="552"/>
      <c r="AA265" s="553"/>
      <c r="AB265" s="553"/>
    </row>
    <row r="266" spans="1:28" ht="12.75">
      <c r="A266" s="547" t="s">
        <v>284</v>
      </c>
      <c r="B266" s="547" t="s">
        <v>136</v>
      </c>
      <c r="C266" s="548" t="s">
        <v>782</v>
      </c>
      <c r="D266" s="549">
        <v>2019</v>
      </c>
      <c r="E266" s="549" t="s">
        <v>775</v>
      </c>
      <c r="F266" s="550">
        <v>604</v>
      </c>
      <c r="G266" s="550">
        <v>0</v>
      </c>
      <c r="H266" s="550">
        <v>0</v>
      </c>
      <c r="I266" s="550">
        <v>0</v>
      </c>
      <c r="J266" s="550">
        <v>355</v>
      </c>
      <c r="K266" s="550">
        <v>0</v>
      </c>
      <c r="L266" s="550">
        <v>0</v>
      </c>
      <c r="M266" s="550">
        <v>0</v>
      </c>
      <c r="N266" s="550">
        <v>381</v>
      </c>
      <c r="O266" s="550">
        <v>9</v>
      </c>
      <c r="P266" s="550">
        <v>895</v>
      </c>
      <c r="Q266" s="550">
        <v>368</v>
      </c>
      <c r="R266" s="551" t="str">
        <f t="shared" si="13"/>
        <v>WALNUT CREEK</v>
      </c>
      <c r="S266" s="561">
        <f>SUM(G264:G266) +SUM(K264:K266)</f>
        <v>58</v>
      </c>
      <c r="T266" s="561">
        <f>F266+J266</f>
        <v>959</v>
      </c>
      <c r="U266" s="561">
        <f>SUM(O264:O266)</f>
        <v>27</v>
      </c>
      <c r="V266" s="561">
        <f>N266</f>
        <v>381</v>
      </c>
      <c r="W266" s="562">
        <f>SUM(Q264:Q266)</f>
        <v>879</v>
      </c>
      <c r="X266" s="561">
        <f>P266</f>
        <v>895</v>
      </c>
      <c r="Y266" s="561">
        <f>S266+U266+SUM(Q264:Q266)</f>
        <v>964</v>
      </c>
      <c r="Z266" s="561">
        <f>F266+J266+N266+P266</f>
        <v>2235</v>
      </c>
      <c r="AA266" s="553"/>
      <c r="AB266" s="553"/>
    </row>
    <row r="267" spans="1:28" ht="12.75">
      <c r="A267" s="565"/>
      <c r="B267" s="565"/>
      <c r="C267" s="566"/>
      <c r="D267" s="567"/>
      <c r="E267" s="567"/>
      <c r="F267" s="568"/>
      <c r="G267" s="568"/>
      <c r="H267" s="568"/>
      <c r="I267" s="568"/>
      <c r="J267" s="568"/>
      <c r="K267" s="568"/>
      <c r="L267" s="568"/>
      <c r="M267" s="568"/>
      <c r="N267" s="568"/>
      <c r="O267" s="568"/>
      <c r="P267" s="568"/>
      <c r="Q267" s="568"/>
      <c r="R267" s="551"/>
      <c r="S267" s="563">
        <f t="shared" ref="S267:Z267" si="14">SUM(S163:S266)</f>
        <v>1434</v>
      </c>
      <c r="T267" s="563">
        <f t="shared" si="14"/>
        <v>8350</v>
      </c>
      <c r="U267" s="563">
        <f t="shared" si="14"/>
        <v>1494</v>
      </c>
      <c r="V267" s="563">
        <f t="shared" si="14"/>
        <v>3496</v>
      </c>
      <c r="W267" s="563">
        <f t="shared" si="14"/>
        <v>11604</v>
      </c>
      <c r="X267" s="563">
        <f t="shared" si="14"/>
        <v>8784</v>
      </c>
      <c r="Y267" s="563">
        <f t="shared" si="14"/>
        <v>14532</v>
      </c>
      <c r="Z267" s="563">
        <f t="shared" si="14"/>
        <v>20630</v>
      </c>
      <c r="AA267" s="553"/>
      <c r="AB267" s="553"/>
    </row>
    <row r="268" spans="1:28" ht="12.75">
      <c r="A268" s="565"/>
      <c r="B268" s="565"/>
      <c r="C268" s="566"/>
      <c r="D268" s="567"/>
      <c r="E268" s="567"/>
      <c r="F268" s="568"/>
      <c r="G268" s="568"/>
      <c r="H268" s="568"/>
      <c r="I268" s="568"/>
      <c r="J268" s="568"/>
      <c r="K268" s="568"/>
      <c r="L268" s="568"/>
      <c r="M268" s="568"/>
      <c r="N268" s="568"/>
      <c r="O268" s="568"/>
      <c r="P268" s="568"/>
      <c r="Q268" s="568"/>
      <c r="R268" s="569"/>
      <c r="S268" s="552"/>
      <c r="T268" s="552"/>
      <c r="U268" s="552"/>
      <c r="V268" s="552"/>
      <c r="W268" s="552"/>
      <c r="X268" s="552"/>
      <c r="Y268" s="552"/>
      <c r="Z268" s="255"/>
      <c r="AA268" s="553"/>
      <c r="AB268" s="553"/>
    </row>
    <row r="269" spans="1:28" ht="12.75">
      <c r="A269" s="565" t="s">
        <v>285</v>
      </c>
      <c r="B269" s="565" t="s">
        <v>138</v>
      </c>
      <c r="C269" s="566" t="s">
        <v>785</v>
      </c>
      <c r="D269" s="567">
        <v>2019</v>
      </c>
      <c r="E269" s="567" t="s">
        <v>775</v>
      </c>
      <c r="F269" s="568">
        <v>20</v>
      </c>
      <c r="G269" s="568">
        <v>0</v>
      </c>
      <c r="H269" s="568">
        <v>0</v>
      </c>
      <c r="I269" s="568">
        <v>0</v>
      </c>
      <c r="J269" s="568">
        <v>13</v>
      </c>
      <c r="K269" s="568">
        <v>0</v>
      </c>
      <c r="L269" s="568">
        <v>0</v>
      </c>
      <c r="M269" s="568">
        <v>0</v>
      </c>
      <c r="N269" s="568">
        <v>10</v>
      </c>
      <c r="O269" s="568">
        <v>2</v>
      </c>
      <c r="P269" s="568">
        <v>34</v>
      </c>
      <c r="Q269" s="568">
        <v>1</v>
      </c>
      <c r="R269" s="570" t="s">
        <v>285</v>
      </c>
      <c r="S269" s="552">
        <f>G269+K269</f>
        <v>0</v>
      </c>
      <c r="T269" s="552">
        <f>F269+J269</f>
        <v>33</v>
      </c>
      <c r="U269" s="552">
        <f>O269</f>
        <v>2</v>
      </c>
      <c r="V269" s="552">
        <f>N269</f>
        <v>10</v>
      </c>
      <c r="W269" s="552">
        <f>Q269</f>
        <v>1</v>
      </c>
      <c r="X269" s="552">
        <f>P269</f>
        <v>34</v>
      </c>
      <c r="Y269" s="552">
        <f>S269+U269+Q269</f>
        <v>3</v>
      </c>
      <c r="Z269" s="255">
        <f>F269+J269+N269+P269</f>
        <v>77</v>
      </c>
      <c r="AA269" s="553"/>
      <c r="AB269" s="553"/>
    </row>
    <row r="270" spans="1:28" ht="12.75">
      <c r="A270" s="547" t="s">
        <v>286</v>
      </c>
      <c r="B270" s="547" t="s">
        <v>138</v>
      </c>
      <c r="C270" s="548" t="s">
        <v>784</v>
      </c>
      <c r="D270" s="549">
        <v>2014</v>
      </c>
      <c r="E270" s="549" t="s">
        <v>775</v>
      </c>
      <c r="F270" s="550">
        <v>60</v>
      </c>
      <c r="G270" s="550">
        <v>3</v>
      </c>
      <c r="H270" s="550">
        <v>0</v>
      </c>
      <c r="I270" s="550">
        <v>3</v>
      </c>
      <c r="J270" s="550">
        <v>37</v>
      </c>
      <c r="K270" s="550">
        <v>1</v>
      </c>
      <c r="L270" s="550">
        <v>1</v>
      </c>
      <c r="M270" s="550">
        <v>0</v>
      </c>
      <c r="N270" s="550">
        <v>30</v>
      </c>
      <c r="O270" s="550">
        <v>3</v>
      </c>
      <c r="P270" s="550">
        <v>106</v>
      </c>
      <c r="Q270" s="550">
        <v>4</v>
      </c>
      <c r="R270" s="551" t="str">
        <f t="shared" ref="R270:R275" si="15">A270</f>
        <v>DEL NORTE COUNTY</v>
      </c>
      <c r="S270" s="552"/>
      <c r="T270" s="552"/>
      <c r="U270" s="552"/>
      <c r="V270" s="552"/>
      <c r="W270" s="552"/>
      <c r="X270" s="552"/>
      <c r="Y270" s="552"/>
      <c r="Z270" s="552"/>
      <c r="AA270" s="553"/>
      <c r="AB270" s="553"/>
    </row>
    <row r="271" spans="1:28" ht="12.75">
      <c r="A271" s="547" t="s">
        <v>286</v>
      </c>
      <c r="B271" s="547" t="s">
        <v>138</v>
      </c>
      <c r="C271" s="548" t="s">
        <v>784</v>
      </c>
      <c r="D271" s="549">
        <v>2015</v>
      </c>
      <c r="E271" s="549" t="s">
        <v>775</v>
      </c>
      <c r="F271" s="550">
        <v>60</v>
      </c>
      <c r="G271" s="550">
        <v>4</v>
      </c>
      <c r="H271" s="550">
        <v>0</v>
      </c>
      <c r="I271" s="550">
        <v>4</v>
      </c>
      <c r="J271" s="550">
        <v>37</v>
      </c>
      <c r="K271" s="550">
        <v>4</v>
      </c>
      <c r="L271" s="550">
        <v>0</v>
      </c>
      <c r="M271" s="550">
        <v>4</v>
      </c>
      <c r="N271" s="550">
        <v>30</v>
      </c>
      <c r="O271" s="550">
        <v>4</v>
      </c>
      <c r="P271" s="550">
        <v>106</v>
      </c>
      <c r="Q271" s="550">
        <v>17</v>
      </c>
      <c r="R271" s="551" t="str">
        <f t="shared" si="15"/>
        <v>DEL NORTE COUNTY</v>
      </c>
      <c r="S271" s="552"/>
      <c r="T271" s="552"/>
      <c r="U271" s="552"/>
      <c r="V271" s="552"/>
      <c r="W271" s="552"/>
      <c r="X271" s="552"/>
      <c r="Y271" s="552"/>
      <c r="Z271" s="552"/>
      <c r="AA271" s="553"/>
      <c r="AB271" s="553"/>
    </row>
    <row r="272" spans="1:28" ht="12.75">
      <c r="A272" s="547" t="s">
        <v>286</v>
      </c>
      <c r="B272" s="547" t="s">
        <v>138</v>
      </c>
      <c r="C272" s="548" t="s">
        <v>784</v>
      </c>
      <c r="D272" s="549">
        <v>2016</v>
      </c>
      <c r="E272" s="549" t="s">
        <v>775</v>
      </c>
      <c r="F272" s="550">
        <v>60</v>
      </c>
      <c r="G272" s="550">
        <v>3</v>
      </c>
      <c r="H272" s="550">
        <v>0</v>
      </c>
      <c r="I272" s="550">
        <v>3</v>
      </c>
      <c r="J272" s="550">
        <v>37</v>
      </c>
      <c r="K272" s="550">
        <v>0</v>
      </c>
      <c r="L272" s="550">
        <v>0</v>
      </c>
      <c r="M272" s="550">
        <v>0</v>
      </c>
      <c r="N272" s="550">
        <v>30</v>
      </c>
      <c r="O272" s="550">
        <v>4</v>
      </c>
      <c r="P272" s="550">
        <v>106</v>
      </c>
      <c r="Q272" s="550">
        <v>17</v>
      </c>
      <c r="R272" s="551" t="str">
        <f t="shared" si="15"/>
        <v>DEL NORTE COUNTY</v>
      </c>
      <c r="S272" s="552"/>
      <c r="T272" s="552"/>
      <c r="U272" s="552"/>
      <c r="V272" s="552"/>
      <c r="W272" s="552"/>
      <c r="X272" s="552"/>
      <c r="Y272" s="552"/>
      <c r="Z272" s="552"/>
      <c r="AA272" s="553"/>
      <c r="AB272" s="553"/>
    </row>
    <row r="273" spans="1:28" ht="12.75">
      <c r="A273" s="547" t="s">
        <v>286</v>
      </c>
      <c r="B273" s="547" t="s">
        <v>138</v>
      </c>
      <c r="C273" s="548" t="s">
        <v>784</v>
      </c>
      <c r="D273" s="549">
        <v>2017</v>
      </c>
      <c r="E273" s="549" t="s">
        <v>775</v>
      </c>
      <c r="F273" s="550">
        <v>60</v>
      </c>
      <c r="G273" s="550">
        <v>9</v>
      </c>
      <c r="H273" s="550">
        <v>0</v>
      </c>
      <c r="I273" s="550">
        <v>9</v>
      </c>
      <c r="J273" s="550">
        <v>37</v>
      </c>
      <c r="K273" s="550">
        <v>8</v>
      </c>
      <c r="L273" s="550">
        <v>0</v>
      </c>
      <c r="M273" s="550">
        <v>8</v>
      </c>
      <c r="N273" s="550">
        <v>30</v>
      </c>
      <c r="O273" s="550">
        <v>3</v>
      </c>
      <c r="P273" s="550">
        <v>106</v>
      </c>
      <c r="Q273" s="550">
        <v>14</v>
      </c>
      <c r="R273" s="551" t="str">
        <f t="shared" si="15"/>
        <v>DEL NORTE COUNTY</v>
      </c>
      <c r="S273" s="552"/>
      <c r="T273" s="552"/>
      <c r="U273" s="552"/>
      <c r="V273" s="552"/>
      <c r="W273" s="552"/>
      <c r="X273" s="552"/>
      <c r="Y273" s="552"/>
      <c r="Z273" s="552"/>
      <c r="AA273" s="553"/>
      <c r="AB273" s="553"/>
    </row>
    <row r="274" spans="1:28" ht="12.75">
      <c r="A274" s="547" t="s">
        <v>286</v>
      </c>
      <c r="B274" s="547" t="s">
        <v>138</v>
      </c>
      <c r="C274" s="548" t="s">
        <v>784</v>
      </c>
      <c r="D274" s="549">
        <v>2018</v>
      </c>
      <c r="E274" s="549" t="s">
        <v>775</v>
      </c>
      <c r="F274" s="550">
        <v>60</v>
      </c>
      <c r="G274" s="550">
        <v>3</v>
      </c>
      <c r="H274" s="550">
        <v>0</v>
      </c>
      <c r="I274" s="550">
        <v>3</v>
      </c>
      <c r="J274" s="550">
        <v>37</v>
      </c>
      <c r="K274" s="550">
        <v>9</v>
      </c>
      <c r="L274" s="550">
        <v>0</v>
      </c>
      <c r="M274" s="550">
        <v>9</v>
      </c>
      <c r="N274" s="550">
        <v>30</v>
      </c>
      <c r="O274" s="550">
        <v>8</v>
      </c>
      <c r="P274" s="550">
        <v>106</v>
      </c>
      <c r="Q274" s="550">
        <v>24</v>
      </c>
      <c r="R274" s="551" t="str">
        <f t="shared" si="15"/>
        <v>DEL NORTE COUNTY</v>
      </c>
      <c r="S274" s="255"/>
      <c r="T274" s="255"/>
      <c r="U274" s="255"/>
      <c r="V274" s="255"/>
      <c r="W274" s="83"/>
      <c r="X274" s="255"/>
      <c r="Y274" s="255"/>
      <c r="Z274" s="255"/>
      <c r="AA274" s="553"/>
      <c r="AB274" s="553"/>
    </row>
    <row r="275" spans="1:28" ht="12.75">
      <c r="A275" s="547" t="s">
        <v>286</v>
      </c>
      <c r="B275" s="547" t="s">
        <v>138</v>
      </c>
      <c r="C275" s="548" t="s">
        <v>785</v>
      </c>
      <c r="D275" s="549">
        <v>2019</v>
      </c>
      <c r="E275" s="549" t="s">
        <v>775</v>
      </c>
      <c r="F275" s="550">
        <v>60</v>
      </c>
      <c r="G275" s="550">
        <v>26</v>
      </c>
      <c r="H275" s="550">
        <v>20</v>
      </c>
      <c r="I275" s="550">
        <v>6</v>
      </c>
      <c r="J275" s="550">
        <v>37</v>
      </c>
      <c r="K275" s="550">
        <v>9</v>
      </c>
      <c r="L275" s="550">
        <v>0</v>
      </c>
      <c r="M275" s="550">
        <v>9</v>
      </c>
      <c r="N275" s="550">
        <v>30</v>
      </c>
      <c r="O275" s="550">
        <v>14</v>
      </c>
      <c r="P275" s="550">
        <v>106</v>
      </c>
      <c r="Q275" s="550">
        <v>31</v>
      </c>
      <c r="R275" s="551" t="str">
        <f t="shared" si="15"/>
        <v>DEL NORTE COUNTY</v>
      </c>
      <c r="S275" s="561">
        <f>SUM(G270:G275) +SUM(K270:K275)</f>
        <v>79</v>
      </c>
      <c r="T275" s="561">
        <f>F275+J275</f>
        <v>97</v>
      </c>
      <c r="U275" s="561">
        <f>SUM(O270:O275)</f>
        <v>36</v>
      </c>
      <c r="V275" s="561">
        <f>N275</f>
        <v>30</v>
      </c>
      <c r="W275" s="562">
        <f>SUM(Q270:Q275)</f>
        <v>107</v>
      </c>
      <c r="X275" s="561">
        <f>P275</f>
        <v>106</v>
      </c>
      <c r="Y275" s="561">
        <f>S275+U275+SUM(Q270:Q275)</f>
        <v>222</v>
      </c>
      <c r="Z275" s="561">
        <f>F275+J275+N275+P275</f>
        <v>233</v>
      </c>
      <c r="AA275" s="553"/>
      <c r="AB275" s="553"/>
    </row>
    <row r="276" spans="1:28" ht="12.75">
      <c r="A276" s="547"/>
      <c r="B276" s="547"/>
      <c r="C276" s="548"/>
      <c r="D276" s="549"/>
      <c r="E276" s="549"/>
      <c r="F276" s="550"/>
      <c r="G276" s="550"/>
      <c r="H276" s="550"/>
      <c r="I276" s="550"/>
      <c r="J276" s="550"/>
      <c r="K276" s="550"/>
      <c r="L276" s="550"/>
      <c r="M276" s="550"/>
      <c r="N276" s="550"/>
      <c r="O276" s="550"/>
      <c r="P276" s="550"/>
      <c r="Q276" s="550"/>
      <c r="R276" s="551"/>
      <c r="S276" s="563">
        <f t="shared" ref="S276:Z276" si="16">S269+S275</f>
        <v>79</v>
      </c>
      <c r="T276" s="563">
        <f t="shared" si="16"/>
        <v>130</v>
      </c>
      <c r="U276" s="563">
        <f t="shared" si="16"/>
        <v>38</v>
      </c>
      <c r="V276" s="563">
        <f t="shared" si="16"/>
        <v>40</v>
      </c>
      <c r="W276" s="563">
        <f t="shared" si="16"/>
        <v>108</v>
      </c>
      <c r="X276" s="563">
        <f t="shared" si="16"/>
        <v>140</v>
      </c>
      <c r="Y276" s="563">
        <f t="shared" si="16"/>
        <v>225</v>
      </c>
      <c r="Z276" s="563">
        <f t="shared" si="16"/>
        <v>310</v>
      </c>
      <c r="AA276" s="553"/>
      <c r="AB276" s="553"/>
    </row>
    <row r="277" spans="1:28" ht="12.75">
      <c r="A277" s="547" t="s">
        <v>287</v>
      </c>
      <c r="B277" s="547" t="s">
        <v>139</v>
      </c>
      <c r="C277" s="548" t="s">
        <v>799</v>
      </c>
      <c r="D277" s="549">
        <v>2013</v>
      </c>
      <c r="E277" s="549" t="s">
        <v>775</v>
      </c>
      <c r="F277" s="550">
        <v>1086</v>
      </c>
      <c r="G277" s="550">
        <v>42</v>
      </c>
      <c r="H277" s="550">
        <v>42</v>
      </c>
      <c r="I277" s="550">
        <v>0</v>
      </c>
      <c r="J277" s="550">
        <v>762</v>
      </c>
      <c r="K277" s="550">
        <v>29</v>
      </c>
      <c r="L277" s="550">
        <v>29</v>
      </c>
      <c r="M277" s="550">
        <v>0</v>
      </c>
      <c r="N277" s="550">
        <v>823</v>
      </c>
      <c r="O277" s="550">
        <v>7</v>
      </c>
      <c r="P277" s="550">
        <v>1757</v>
      </c>
      <c r="Q277" s="550">
        <v>685</v>
      </c>
      <c r="R277" s="551" t="str">
        <f t="shared" ref="R277:R293" si="17">A277</f>
        <v>EL DORADO COUNTY</v>
      </c>
      <c r="S277" s="552"/>
      <c r="T277" s="552"/>
      <c r="U277" s="552"/>
      <c r="V277" s="552"/>
      <c r="W277" s="552"/>
      <c r="X277" s="552"/>
      <c r="Y277" s="552"/>
      <c r="Z277" s="552"/>
      <c r="AA277" s="553"/>
      <c r="AB277" s="553"/>
    </row>
    <row r="278" spans="1:28" ht="12.75">
      <c r="A278" s="547" t="s">
        <v>287</v>
      </c>
      <c r="B278" s="547" t="s">
        <v>139</v>
      </c>
      <c r="C278" s="548" t="s">
        <v>799</v>
      </c>
      <c r="D278" s="549">
        <v>2014</v>
      </c>
      <c r="E278" s="549" t="s">
        <v>775</v>
      </c>
      <c r="F278" s="550">
        <v>1086</v>
      </c>
      <c r="G278" s="550">
        <v>1</v>
      </c>
      <c r="H278" s="550">
        <v>1</v>
      </c>
      <c r="I278" s="550">
        <v>0</v>
      </c>
      <c r="J278" s="550">
        <v>762</v>
      </c>
      <c r="K278" s="550">
        <v>55</v>
      </c>
      <c r="L278" s="550">
        <v>55</v>
      </c>
      <c r="M278" s="550">
        <v>0</v>
      </c>
      <c r="N278" s="550">
        <v>823</v>
      </c>
      <c r="O278" s="550">
        <v>13</v>
      </c>
      <c r="P278" s="550">
        <v>1757</v>
      </c>
      <c r="Q278" s="550">
        <v>343</v>
      </c>
      <c r="R278" s="551" t="str">
        <f t="shared" si="17"/>
        <v>EL DORADO COUNTY</v>
      </c>
      <c r="S278" s="552"/>
      <c r="T278" s="552"/>
      <c r="U278" s="552"/>
      <c r="V278" s="552"/>
      <c r="W278" s="552"/>
      <c r="X278" s="552"/>
      <c r="Y278" s="552"/>
      <c r="Z278" s="552"/>
      <c r="AA278" s="553"/>
      <c r="AB278" s="553"/>
    </row>
    <row r="279" spans="1:28" ht="12.75">
      <c r="A279" s="547" t="s">
        <v>287</v>
      </c>
      <c r="B279" s="547" t="s">
        <v>139</v>
      </c>
      <c r="C279" s="548" t="s">
        <v>799</v>
      </c>
      <c r="D279" s="549">
        <v>2015</v>
      </c>
      <c r="E279" s="549" t="s">
        <v>775</v>
      </c>
      <c r="F279" s="550">
        <v>1086</v>
      </c>
      <c r="G279" s="550">
        <v>0</v>
      </c>
      <c r="H279" s="550">
        <v>0</v>
      </c>
      <c r="I279" s="550">
        <v>0</v>
      </c>
      <c r="J279" s="550">
        <v>762</v>
      </c>
      <c r="K279" s="550">
        <v>53</v>
      </c>
      <c r="L279" s="550">
        <v>53</v>
      </c>
      <c r="M279" s="550">
        <v>0</v>
      </c>
      <c r="N279" s="550">
        <v>823</v>
      </c>
      <c r="O279" s="550">
        <v>0</v>
      </c>
      <c r="P279" s="550">
        <v>1757</v>
      </c>
      <c r="Q279" s="550">
        <v>512</v>
      </c>
      <c r="R279" s="551" t="str">
        <f t="shared" si="17"/>
        <v>EL DORADO COUNTY</v>
      </c>
      <c r="S279" s="552"/>
      <c r="T279" s="552"/>
      <c r="U279" s="552"/>
      <c r="V279" s="552"/>
      <c r="W279" s="552"/>
      <c r="X279" s="552"/>
      <c r="Y279" s="552"/>
      <c r="Z279" s="552"/>
      <c r="AA279" s="553"/>
      <c r="AB279" s="553"/>
    </row>
    <row r="280" spans="1:28" ht="12.75">
      <c r="A280" s="547" t="s">
        <v>287</v>
      </c>
      <c r="B280" s="547" t="s">
        <v>139</v>
      </c>
      <c r="C280" s="548" t="s">
        <v>799</v>
      </c>
      <c r="D280" s="549">
        <v>2016</v>
      </c>
      <c r="E280" s="549" t="s">
        <v>775</v>
      </c>
      <c r="F280" s="550">
        <v>1086</v>
      </c>
      <c r="G280" s="550">
        <v>0</v>
      </c>
      <c r="H280" s="550">
        <v>0</v>
      </c>
      <c r="I280" s="550">
        <v>0</v>
      </c>
      <c r="J280" s="550">
        <v>762</v>
      </c>
      <c r="K280" s="550">
        <v>57</v>
      </c>
      <c r="L280" s="550">
        <v>57</v>
      </c>
      <c r="M280" s="550">
        <v>0</v>
      </c>
      <c r="N280" s="550">
        <v>823</v>
      </c>
      <c r="O280" s="550">
        <v>12</v>
      </c>
      <c r="P280" s="550">
        <v>1757</v>
      </c>
      <c r="Q280" s="550">
        <v>656</v>
      </c>
      <c r="R280" s="551" t="str">
        <f t="shared" si="17"/>
        <v>EL DORADO COUNTY</v>
      </c>
      <c r="S280" s="552"/>
      <c r="T280" s="552"/>
      <c r="U280" s="552"/>
      <c r="V280" s="552"/>
      <c r="W280" s="552"/>
      <c r="X280" s="552"/>
      <c r="Y280" s="552"/>
      <c r="Z280" s="552"/>
      <c r="AA280" s="553"/>
      <c r="AB280" s="553"/>
    </row>
    <row r="281" spans="1:28" ht="12.75">
      <c r="A281" s="547" t="s">
        <v>287</v>
      </c>
      <c r="B281" s="547" t="s">
        <v>139</v>
      </c>
      <c r="C281" s="548" t="s">
        <v>799</v>
      </c>
      <c r="D281" s="549">
        <v>2017</v>
      </c>
      <c r="E281" s="549" t="s">
        <v>775</v>
      </c>
      <c r="F281" s="550">
        <v>1086</v>
      </c>
      <c r="G281" s="550">
        <v>16</v>
      </c>
      <c r="H281" s="550">
        <v>16</v>
      </c>
      <c r="I281" s="550">
        <v>0</v>
      </c>
      <c r="J281" s="550">
        <v>762</v>
      </c>
      <c r="K281" s="550">
        <v>59</v>
      </c>
      <c r="L281" s="550">
        <v>31</v>
      </c>
      <c r="M281" s="550">
        <v>28</v>
      </c>
      <c r="N281" s="550">
        <v>823</v>
      </c>
      <c r="O281" s="550">
        <v>15</v>
      </c>
      <c r="P281" s="550">
        <v>1757</v>
      </c>
      <c r="Q281" s="550">
        <v>697</v>
      </c>
      <c r="R281" s="551" t="str">
        <f t="shared" si="17"/>
        <v>EL DORADO COUNTY</v>
      </c>
      <c r="S281" s="552"/>
      <c r="T281" s="552"/>
      <c r="U281" s="552"/>
      <c r="V281" s="552"/>
      <c r="W281" s="552"/>
      <c r="X281" s="552"/>
      <c r="Y281" s="552"/>
      <c r="Z281" s="552"/>
      <c r="AA281" s="553"/>
      <c r="AB281" s="553"/>
    </row>
    <row r="282" spans="1:28" ht="12.75">
      <c r="A282" s="547" t="s">
        <v>287</v>
      </c>
      <c r="B282" s="547" t="s">
        <v>139</v>
      </c>
      <c r="C282" s="548" t="s">
        <v>799</v>
      </c>
      <c r="D282" s="549">
        <v>2018</v>
      </c>
      <c r="E282" s="549" t="s">
        <v>775</v>
      </c>
      <c r="F282" s="550">
        <v>1086</v>
      </c>
      <c r="G282" s="550">
        <v>0</v>
      </c>
      <c r="H282" s="550">
        <v>0</v>
      </c>
      <c r="I282" s="550">
        <v>0</v>
      </c>
      <c r="J282" s="550">
        <v>762</v>
      </c>
      <c r="K282" s="550">
        <v>0</v>
      </c>
      <c r="L282" s="550">
        <v>0</v>
      </c>
      <c r="M282" s="550">
        <v>0</v>
      </c>
      <c r="N282" s="550">
        <v>823</v>
      </c>
      <c r="O282" s="550">
        <v>0</v>
      </c>
      <c r="P282" s="550">
        <v>1757</v>
      </c>
      <c r="Q282" s="550">
        <v>452</v>
      </c>
      <c r="R282" s="551" t="str">
        <f t="shared" si="17"/>
        <v>EL DORADO COUNTY</v>
      </c>
      <c r="S282" s="552"/>
      <c r="T282" s="552"/>
      <c r="U282" s="552"/>
      <c r="V282" s="552"/>
      <c r="W282" s="552"/>
      <c r="X282" s="552"/>
      <c r="Y282" s="552"/>
      <c r="Z282" s="552"/>
      <c r="AA282" s="553"/>
      <c r="AB282" s="553"/>
    </row>
    <row r="283" spans="1:28" ht="12.75">
      <c r="A283" s="547" t="s">
        <v>287</v>
      </c>
      <c r="B283" s="547" t="s">
        <v>139</v>
      </c>
      <c r="C283" s="548" t="s">
        <v>801</v>
      </c>
      <c r="D283" s="549">
        <v>2019</v>
      </c>
      <c r="E283" s="549" t="s">
        <v>775</v>
      </c>
      <c r="F283" s="550">
        <v>1086</v>
      </c>
      <c r="G283" s="550">
        <v>0</v>
      </c>
      <c r="H283" s="550">
        <v>0</v>
      </c>
      <c r="I283" s="550">
        <v>0</v>
      </c>
      <c r="J283" s="550">
        <v>762</v>
      </c>
      <c r="K283" s="550">
        <v>1</v>
      </c>
      <c r="L283" s="550">
        <v>1</v>
      </c>
      <c r="M283" s="550">
        <v>0</v>
      </c>
      <c r="N283" s="550">
        <v>823</v>
      </c>
      <c r="O283" s="550">
        <v>59</v>
      </c>
      <c r="P283" s="550">
        <v>1757</v>
      </c>
      <c r="Q283" s="550">
        <v>476</v>
      </c>
      <c r="R283" s="551" t="str">
        <f t="shared" si="17"/>
        <v>EL DORADO COUNTY</v>
      </c>
      <c r="S283" s="552">
        <f>SUM(G277:G283) +SUM(K277:K283)</f>
        <v>313</v>
      </c>
      <c r="T283" s="552">
        <f>F283+J283</f>
        <v>1848</v>
      </c>
      <c r="U283" s="552">
        <f>SUM(O277:O283)</f>
        <v>106</v>
      </c>
      <c r="V283" s="552">
        <f>N283</f>
        <v>823</v>
      </c>
      <c r="W283" s="554">
        <f>SUM(Q277:Q283)</f>
        <v>3821</v>
      </c>
      <c r="X283" s="552">
        <f>P283</f>
        <v>1757</v>
      </c>
      <c r="Y283" s="552">
        <f>S283+U283+SUM(Q277:Q283)</f>
        <v>4240</v>
      </c>
      <c r="Z283" s="552">
        <f>F283+J283+N283+P283</f>
        <v>4428</v>
      </c>
      <c r="AA283" s="553"/>
      <c r="AB283" s="553"/>
    </row>
    <row r="284" spans="1:28" ht="12.75">
      <c r="A284" s="547" t="s">
        <v>288</v>
      </c>
      <c r="B284" s="547" t="s">
        <v>139</v>
      </c>
      <c r="C284" s="548" t="s">
        <v>799</v>
      </c>
      <c r="D284" s="549">
        <v>2013</v>
      </c>
      <c r="E284" s="549" t="s">
        <v>775</v>
      </c>
      <c r="F284" s="550">
        <v>78</v>
      </c>
      <c r="G284" s="550">
        <v>0</v>
      </c>
      <c r="H284" s="550">
        <v>0</v>
      </c>
      <c r="I284" s="550">
        <v>0</v>
      </c>
      <c r="J284" s="550">
        <v>55</v>
      </c>
      <c r="K284" s="550">
        <v>0</v>
      </c>
      <c r="L284" s="550">
        <v>0</v>
      </c>
      <c r="M284" s="550">
        <v>0</v>
      </c>
      <c r="N284" s="550">
        <v>69</v>
      </c>
      <c r="O284" s="550">
        <v>5</v>
      </c>
      <c r="P284" s="550">
        <v>170</v>
      </c>
      <c r="Q284" s="550">
        <v>47</v>
      </c>
      <c r="R284" s="551" t="str">
        <f t="shared" si="17"/>
        <v>PLACERVILLE</v>
      </c>
      <c r="S284" s="552"/>
      <c r="T284" s="552"/>
      <c r="U284" s="552"/>
      <c r="V284" s="552"/>
      <c r="W284" s="552"/>
      <c r="X284" s="552"/>
      <c r="Y284" s="552"/>
      <c r="Z284" s="552"/>
      <c r="AA284" s="553"/>
      <c r="AB284" s="553"/>
    </row>
    <row r="285" spans="1:28" ht="12.75">
      <c r="A285" s="547" t="s">
        <v>288</v>
      </c>
      <c r="B285" s="547" t="s">
        <v>139</v>
      </c>
      <c r="C285" s="548" t="s">
        <v>799</v>
      </c>
      <c r="D285" s="549">
        <v>2014</v>
      </c>
      <c r="E285" s="549" t="s">
        <v>775</v>
      </c>
      <c r="F285" s="550">
        <v>78</v>
      </c>
      <c r="G285" s="550">
        <v>0</v>
      </c>
      <c r="H285" s="550">
        <v>0</v>
      </c>
      <c r="I285" s="550">
        <v>0</v>
      </c>
      <c r="J285" s="550">
        <v>55</v>
      </c>
      <c r="K285" s="550">
        <v>0</v>
      </c>
      <c r="L285" s="550">
        <v>0</v>
      </c>
      <c r="M285" s="550">
        <v>0</v>
      </c>
      <c r="N285" s="550">
        <v>69</v>
      </c>
      <c r="O285" s="550">
        <v>9</v>
      </c>
      <c r="P285" s="550">
        <v>170</v>
      </c>
      <c r="Q285" s="550">
        <v>1</v>
      </c>
      <c r="R285" s="551" t="str">
        <f t="shared" si="17"/>
        <v>PLACERVILLE</v>
      </c>
      <c r="S285" s="552"/>
      <c r="T285" s="552"/>
      <c r="U285" s="552"/>
      <c r="V285" s="552"/>
      <c r="W285" s="552"/>
      <c r="X285" s="552"/>
      <c r="Y285" s="552"/>
      <c r="Z285" s="552"/>
      <c r="AA285" s="553"/>
      <c r="AB285" s="553"/>
    </row>
    <row r="286" spans="1:28" ht="12.75">
      <c r="A286" s="547" t="s">
        <v>288</v>
      </c>
      <c r="B286" s="547" t="s">
        <v>139</v>
      </c>
      <c r="C286" s="548" t="s">
        <v>799</v>
      </c>
      <c r="D286" s="549">
        <v>2015</v>
      </c>
      <c r="E286" s="549" t="s">
        <v>775</v>
      </c>
      <c r="F286" s="550">
        <v>78</v>
      </c>
      <c r="G286" s="550">
        <v>0</v>
      </c>
      <c r="H286" s="550">
        <v>0</v>
      </c>
      <c r="I286" s="550">
        <v>0</v>
      </c>
      <c r="J286" s="550">
        <v>55</v>
      </c>
      <c r="K286" s="550">
        <v>0</v>
      </c>
      <c r="L286" s="550">
        <v>0</v>
      </c>
      <c r="M286" s="550">
        <v>0</v>
      </c>
      <c r="N286" s="550">
        <v>69</v>
      </c>
      <c r="O286" s="550">
        <v>4</v>
      </c>
      <c r="P286" s="550">
        <v>170</v>
      </c>
      <c r="Q286" s="550">
        <v>20</v>
      </c>
      <c r="R286" s="551" t="str">
        <f t="shared" si="17"/>
        <v>PLACERVILLE</v>
      </c>
      <c r="S286" s="552"/>
      <c r="T286" s="552"/>
      <c r="U286" s="552"/>
      <c r="V286" s="552"/>
      <c r="W286" s="552"/>
      <c r="X286" s="552"/>
      <c r="Y286" s="552"/>
      <c r="Z286" s="552"/>
      <c r="AA286" s="553"/>
      <c r="AB286" s="553"/>
    </row>
    <row r="287" spans="1:28" ht="12.75">
      <c r="A287" s="547" t="s">
        <v>288</v>
      </c>
      <c r="B287" s="547" t="s">
        <v>139</v>
      </c>
      <c r="C287" s="548" t="s">
        <v>799</v>
      </c>
      <c r="D287" s="549">
        <v>2016</v>
      </c>
      <c r="E287" s="549" t="s">
        <v>775</v>
      </c>
      <c r="F287" s="550">
        <v>78</v>
      </c>
      <c r="G287" s="550">
        <v>0</v>
      </c>
      <c r="H287" s="550">
        <v>0</v>
      </c>
      <c r="I287" s="550">
        <v>0</v>
      </c>
      <c r="J287" s="550">
        <v>55</v>
      </c>
      <c r="K287" s="550">
        <v>0</v>
      </c>
      <c r="L287" s="550">
        <v>0</v>
      </c>
      <c r="M287" s="550">
        <v>0</v>
      </c>
      <c r="N287" s="550">
        <v>69</v>
      </c>
      <c r="O287" s="550">
        <v>15</v>
      </c>
      <c r="P287" s="550">
        <v>170</v>
      </c>
      <c r="Q287" s="550">
        <v>53</v>
      </c>
      <c r="R287" s="551" t="str">
        <f t="shared" si="17"/>
        <v>PLACERVILLE</v>
      </c>
      <c r="S287" s="552"/>
      <c r="T287" s="552"/>
      <c r="U287" s="552"/>
      <c r="V287" s="552"/>
      <c r="W287" s="552"/>
      <c r="X287" s="552"/>
      <c r="Y287" s="552"/>
      <c r="Z287" s="552"/>
      <c r="AA287" s="553"/>
      <c r="AB287" s="553"/>
    </row>
    <row r="288" spans="1:28" ht="12.75">
      <c r="A288" s="547" t="s">
        <v>288</v>
      </c>
      <c r="B288" s="547" t="s">
        <v>139</v>
      </c>
      <c r="C288" s="548" t="s">
        <v>799</v>
      </c>
      <c r="D288" s="549">
        <v>2017</v>
      </c>
      <c r="E288" s="549" t="s">
        <v>775</v>
      </c>
      <c r="F288" s="550">
        <v>78</v>
      </c>
      <c r="G288" s="550">
        <v>0</v>
      </c>
      <c r="H288" s="550">
        <v>0</v>
      </c>
      <c r="I288" s="550">
        <v>0</v>
      </c>
      <c r="J288" s="550">
        <v>55</v>
      </c>
      <c r="K288" s="550">
        <v>0</v>
      </c>
      <c r="L288" s="550">
        <v>0</v>
      </c>
      <c r="M288" s="550">
        <v>0</v>
      </c>
      <c r="N288" s="550">
        <v>69</v>
      </c>
      <c r="O288" s="550">
        <v>18</v>
      </c>
      <c r="P288" s="550">
        <v>170</v>
      </c>
      <c r="Q288" s="550">
        <v>1</v>
      </c>
      <c r="R288" s="551" t="str">
        <f t="shared" si="17"/>
        <v>PLACERVILLE</v>
      </c>
      <c r="S288" s="552"/>
      <c r="T288" s="552"/>
      <c r="U288" s="552"/>
      <c r="V288" s="552"/>
      <c r="W288" s="552"/>
      <c r="X288" s="552"/>
      <c r="Y288" s="552"/>
      <c r="Z288" s="552"/>
      <c r="AA288" s="553"/>
      <c r="AB288" s="553"/>
    </row>
    <row r="289" spans="1:28" ht="12.75">
      <c r="A289" s="547" t="s">
        <v>288</v>
      </c>
      <c r="B289" s="547" t="s">
        <v>139</v>
      </c>
      <c r="C289" s="548" t="s">
        <v>799</v>
      </c>
      <c r="D289" s="549">
        <v>2018</v>
      </c>
      <c r="E289" s="549" t="s">
        <v>775</v>
      </c>
      <c r="F289" s="550">
        <v>78</v>
      </c>
      <c r="G289" s="550">
        <v>0</v>
      </c>
      <c r="H289" s="550">
        <v>0</v>
      </c>
      <c r="I289" s="550">
        <v>0</v>
      </c>
      <c r="J289" s="550">
        <v>55</v>
      </c>
      <c r="K289" s="550">
        <v>0</v>
      </c>
      <c r="L289" s="550">
        <v>0</v>
      </c>
      <c r="M289" s="550">
        <v>0</v>
      </c>
      <c r="N289" s="550">
        <v>69</v>
      </c>
      <c r="O289" s="550">
        <v>7</v>
      </c>
      <c r="P289" s="550">
        <v>170</v>
      </c>
      <c r="Q289" s="550">
        <v>18</v>
      </c>
      <c r="R289" s="551" t="str">
        <f t="shared" si="17"/>
        <v>PLACERVILLE</v>
      </c>
      <c r="S289" s="552"/>
      <c r="T289" s="552"/>
      <c r="U289" s="552"/>
      <c r="V289" s="552"/>
      <c r="W289" s="552"/>
      <c r="X289" s="552"/>
      <c r="Y289" s="552"/>
      <c r="Z289" s="552"/>
      <c r="AA289" s="553"/>
      <c r="AB289" s="553"/>
    </row>
    <row r="290" spans="1:28" ht="12.75">
      <c r="A290" s="547" t="s">
        <v>288</v>
      </c>
      <c r="B290" s="547" t="s">
        <v>139</v>
      </c>
      <c r="C290" s="548" t="s">
        <v>801</v>
      </c>
      <c r="D290" s="549">
        <v>2019</v>
      </c>
      <c r="E290" s="549" t="s">
        <v>775</v>
      </c>
      <c r="F290" s="550">
        <v>78</v>
      </c>
      <c r="G290" s="550">
        <v>0</v>
      </c>
      <c r="H290" s="550">
        <v>0</v>
      </c>
      <c r="I290" s="550">
        <v>0</v>
      </c>
      <c r="J290" s="550">
        <v>55</v>
      </c>
      <c r="K290" s="550">
        <v>0</v>
      </c>
      <c r="L290" s="550">
        <v>0</v>
      </c>
      <c r="M290" s="550">
        <v>0</v>
      </c>
      <c r="N290" s="550">
        <v>69</v>
      </c>
      <c r="O290" s="550">
        <v>2</v>
      </c>
      <c r="P290" s="550">
        <v>170</v>
      </c>
      <c r="Q290" s="550">
        <v>4</v>
      </c>
      <c r="R290" s="551" t="str">
        <f t="shared" si="17"/>
        <v>PLACERVILLE</v>
      </c>
      <c r="S290" s="552">
        <f>SUM(G284:G290) +SUM(K284:K290)</f>
        <v>0</v>
      </c>
      <c r="T290" s="552">
        <f>F290+J290</f>
        <v>133</v>
      </c>
      <c r="U290" s="552">
        <f>SUM(O284:O290)</f>
        <v>60</v>
      </c>
      <c r="V290" s="552">
        <f>N290</f>
        <v>69</v>
      </c>
      <c r="W290" s="554">
        <f>SUM(Q284:Q290)</f>
        <v>144</v>
      </c>
      <c r="X290" s="552">
        <f>P290</f>
        <v>170</v>
      </c>
      <c r="Y290" s="552">
        <f>S290+U290+SUM(Q284:Q290)</f>
        <v>204</v>
      </c>
      <c r="Z290" s="552">
        <f>F290+J290+N290+P290</f>
        <v>372</v>
      </c>
      <c r="AA290" s="553"/>
      <c r="AB290" s="553"/>
    </row>
    <row r="291" spans="1:28" ht="12.75">
      <c r="A291" s="547" t="s">
        <v>289</v>
      </c>
      <c r="B291" s="547" t="s">
        <v>139</v>
      </c>
      <c r="C291" s="548" t="s">
        <v>786</v>
      </c>
      <c r="D291" s="549">
        <v>2017</v>
      </c>
      <c r="E291" s="549" t="s">
        <v>775</v>
      </c>
      <c r="F291" s="550">
        <v>54</v>
      </c>
      <c r="G291" s="550">
        <v>0</v>
      </c>
      <c r="H291" s="550">
        <v>0</v>
      </c>
      <c r="I291" s="550">
        <v>0</v>
      </c>
      <c r="J291" s="550">
        <v>38</v>
      </c>
      <c r="K291" s="550">
        <v>0</v>
      </c>
      <c r="L291" s="550">
        <v>0</v>
      </c>
      <c r="M291" s="550">
        <v>0</v>
      </c>
      <c r="N291" s="550">
        <v>63</v>
      </c>
      <c r="O291" s="550">
        <v>4</v>
      </c>
      <c r="P291" s="550">
        <v>181</v>
      </c>
      <c r="Q291" s="550">
        <v>35</v>
      </c>
      <c r="R291" s="551" t="str">
        <f t="shared" si="17"/>
        <v>SOUTH LAKE TAHOE</v>
      </c>
      <c r="S291" s="552"/>
      <c r="T291" s="552"/>
      <c r="U291" s="552"/>
      <c r="V291" s="552"/>
      <c r="W291" s="552"/>
      <c r="X291" s="552"/>
      <c r="Y291" s="552"/>
      <c r="Z291" s="552"/>
      <c r="AA291" s="553"/>
      <c r="AB291" s="553"/>
    </row>
    <row r="292" spans="1:28" ht="12.75">
      <c r="A292" s="547" t="s">
        <v>289</v>
      </c>
      <c r="B292" s="547" t="s">
        <v>139</v>
      </c>
      <c r="C292" s="548" t="s">
        <v>786</v>
      </c>
      <c r="D292" s="549">
        <v>2018</v>
      </c>
      <c r="E292" s="549" t="s">
        <v>775</v>
      </c>
      <c r="F292" s="550">
        <v>54</v>
      </c>
      <c r="G292" s="550">
        <v>0</v>
      </c>
      <c r="H292" s="550">
        <v>0</v>
      </c>
      <c r="I292" s="550">
        <v>0</v>
      </c>
      <c r="J292" s="550">
        <v>38</v>
      </c>
      <c r="K292" s="550">
        <v>0</v>
      </c>
      <c r="L292" s="550">
        <v>0</v>
      </c>
      <c r="M292" s="550">
        <v>0</v>
      </c>
      <c r="N292" s="550">
        <v>63</v>
      </c>
      <c r="O292" s="550">
        <v>0</v>
      </c>
      <c r="P292" s="550">
        <v>181</v>
      </c>
      <c r="Q292" s="550">
        <v>55</v>
      </c>
      <c r="R292" s="551" t="str">
        <f t="shared" si="17"/>
        <v>SOUTH LAKE TAHOE</v>
      </c>
      <c r="S292" s="552"/>
      <c r="T292" s="552"/>
      <c r="U292" s="552"/>
      <c r="V292" s="552"/>
      <c r="W292" s="552"/>
      <c r="X292" s="552"/>
      <c r="Y292" s="552"/>
      <c r="Z292" s="552"/>
      <c r="AA292" s="553"/>
      <c r="AB292" s="553"/>
    </row>
    <row r="293" spans="1:28" ht="12.75">
      <c r="A293" s="547" t="s">
        <v>289</v>
      </c>
      <c r="B293" s="547" t="s">
        <v>139</v>
      </c>
      <c r="C293" s="548" t="s">
        <v>787</v>
      </c>
      <c r="D293" s="549">
        <v>2019</v>
      </c>
      <c r="E293" s="549" t="s">
        <v>775</v>
      </c>
      <c r="F293" s="550">
        <v>54</v>
      </c>
      <c r="G293" s="550">
        <v>0</v>
      </c>
      <c r="H293" s="550">
        <v>0</v>
      </c>
      <c r="I293" s="550">
        <v>0</v>
      </c>
      <c r="J293" s="550">
        <v>38</v>
      </c>
      <c r="K293" s="550">
        <v>1</v>
      </c>
      <c r="L293" s="550">
        <v>1</v>
      </c>
      <c r="M293" s="550">
        <v>0</v>
      </c>
      <c r="N293" s="550">
        <v>63</v>
      </c>
      <c r="O293" s="550">
        <v>10</v>
      </c>
      <c r="P293" s="550">
        <v>181</v>
      </c>
      <c r="Q293" s="550">
        <v>27</v>
      </c>
      <c r="R293" s="551" t="str">
        <f t="shared" si="17"/>
        <v>SOUTH LAKE TAHOE</v>
      </c>
      <c r="S293" s="561">
        <f>SUM(G291:G293) +SUM(K291:K293)</f>
        <v>1</v>
      </c>
      <c r="T293" s="561">
        <f>F293+J293</f>
        <v>92</v>
      </c>
      <c r="U293" s="561">
        <f>SUM(O291:O293)</f>
        <v>14</v>
      </c>
      <c r="V293" s="561">
        <f>N293</f>
        <v>63</v>
      </c>
      <c r="W293" s="562">
        <f>SUM(Q291:Q293)</f>
        <v>117</v>
      </c>
      <c r="X293" s="561">
        <f>P293</f>
        <v>181</v>
      </c>
      <c r="Y293" s="561">
        <f>S293+U293+SUM(Q291:Q293)</f>
        <v>132</v>
      </c>
      <c r="Z293" s="561">
        <f>F293+J293+N293+P293</f>
        <v>336</v>
      </c>
      <c r="AA293" s="553"/>
      <c r="AB293" s="553"/>
    </row>
    <row r="294" spans="1:28" ht="12.75">
      <c r="A294" s="547"/>
      <c r="B294" s="547"/>
      <c r="C294" s="548"/>
      <c r="D294" s="549"/>
      <c r="E294" s="549"/>
      <c r="F294" s="550"/>
      <c r="G294" s="550"/>
      <c r="H294" s="550"/>
      <c r="I294" s="550"/>
      <c r="J294" s="550"/>
      <c r="K294" s="550"/>
      <c r="L294" s="550"/>
      <c r="M294" s="550"/>
      <c r="N294" s="550"/>
      <c r="O294" s="550"/>
      <c r="P294" s="550"/>
      <c r="Q294" s="550"/>
      <c r="R294" s="551"/>
      <c r="S294" s="563">
        <f t="shared" ref="S294:Z294" si="18">S283+S290+S293</f>
        <v>314</v>
      </c>
      <c r="T294" s="563">
        <f t="shared" si="18"/>
        <v>2073</v>
      </c>
      <c r="U294" s="563">
        <f t="shared" si="18"/>
        <v>180</v>
      </c>
      <c r="V294" s="563">
        <f t="shared" si="18"/>
        <v>955</v>
      </c>
      <c r="W294" s="563">
        <f t="shared" si="18"/>
        <v>4082</v>
      </c>
      <c r="X294" s="563">
        <f t="shared" si="18"/>
        <v>2108</v>
      </c>
      <c r="Y294" s="563">
        <f t="shared" si="18"/>
        <v>4576</v>
      </c>
      <c r="Z294" s="563">
        <f t="shared" si="18"/>
        <v>5136</v>
      </c>
      <c r="AA294" s="553"/>
      <c r="AB294" s="553"/>
    </row>
    <row r="295" spans="1:28" ht="12.75">
      <c r="A295" s="547" t="s">
        <v>290</v>
      </c>
      <c r="B295" s="547" t="s">
        <v>141</v>
      </c>
      <c r="C295" s="548" t="s">
        <v>177</v>
      </c>
      <c r="D295" s="549">
        <v>2015</v>
      </c>
      <c r="E295" s="549" t="s">
        <v>775</v>
      </c>
      <c r="F295" s="550">
        <v>2321</v>
      </c>
      <c r="G295" s="550">
        <v>0</v>
      </c>
      <c r="H295" s="550">
        <v>0</v>
      </c>
      <c r="I295" s="550">
        <v>0</v>
      </c>
      <c r="J295" s="550">
        <v>1145</v>
      </c>
      <c r="K295" s="550">
        <v>0</v>
      </c>
      <c r="L295" s="550">
        <v>0</v>
      </c>
      <c r="M295" s="550">
        <v>0</v>
      </c>
      <c r="N295" s="550">
        <v>1018</v>
      </c>
      <c r="O295" s="550">
        <v>456</v>
      </c>
      <c r="P295" s="550">
        <v>1844</v>
      </c>
      <c r="Q295" s="550">
        <v>1296</v>
      </c>
      <c r="R295" s="551" t="str">
        <f t="shared" ref="R295:R326" si="19">A295</f>
        <v>CLOVIS</v>
      </c>
      <c r="S295" s="552"/>
      <c r="T295" s="552"/>
      <c r="U295" s="552"/>
      <c r="V295" s="552"/>
      <c r="W295" s="552"/>
      <c r="X295" s="552"/>
      <c r="Y295" s="552"/>
      <c r="Z295" s="552"/>
      <c r="AA295" s="553"/>
      <c r="AB295" s="553"/>
    </row>
    <row r="296" spans="1:28" ht="12.75">
      <c r="A296" s="547" t="s">
        <v>290</v>
      </c>
      <c r="B296" s="547" t="s">
        <v>141</v>
      </c>
      <c r="C296" s="548" t="s">
        <v>177</v>
      </c>
      <c r="D296" s="549">
        <v>2016</v>
      </c>
      <c r="E296" s="549" t="s">
        <v>775</v>
      </c>
      <c r="F296" s="550">
        <v>2321</v>
      </c>
      <c r="G296" s="550">
        <v>0</v>
      </c>
      <c r="H296" s="550">
        <v>0</v>
      </c>
      <c r="I296" s="550">
        <v>0</v>
      </c>
      <c r="J296" s="550">
        <v>1145</v>
      </c>
      <c r="K296" s="550">
        <v>5</v>
      </c>
      <c r="L296" s="550">
        <v>5</v>
      </c>
      <c r="M296" s="550">
        <v>0</v>
      </c>
      <c r="N296" s="550">
        <v>1018</v>
      </c>
      <c r="O296" s="550">
        <v>395</v>
      </c>
      <c r="P296" s="550">
        <v>1844</v>
      </c>
      <c r="Q296" s="550">
        <v>689</v>
      </c>
      <c r="R296" s="551" t="str">
        <f t="shared" si="19"/>
        <v>CLOVIS</v>
      </c>
      <c r="S296" s="552"/>
      <c r="T296" s="552"/>
      <c r="U296" s="552"/>
      <c r="V296" s="552"/>
      <c r="W296" s="552"/>
      <c r="X296" s="552"/>
      <c r="Y296" s="552"/>
      <c r="Z296" s="552"/>
      <c r="AA296" s="553"/>
      <c r="AB296" s="553"/>
    </row>
    <row r="297" spans="1:28" ht="12.75">
      <c r="A297" s="547" t="s">
        <v>290</v>
      </c>
      <c r="B297" s="547" t="s">
        <v>141</v>
      </c>
      <c r="C297" s="548" t="s">
        <v>177</v>
      </c>
      <c r="D297" s="549">
        <v>2017</v>
      </c>
      <c r="E297" s="549" t="s">
        <v>775</v>
      </c>
      <c r="F297" s="550">
        <v>2321</v>
      </c>
      <c r="G297" s="550">
        <v>0</v>
      </c>
      <c r="H297" s="550">
        <v>0</v>
      </c>
      <c r="I297" s="550">
        <v>0</v>
      </c>
      <c r="J297" s="550">
        <v>1145</v>
      </c>
      <c r="K297" s="550">
        <v>20</v>
      </c>
      <c r="L297" s="550">
        <v>20</v>
      </c>
      <c r="M297" s="550">
        <v>0</v>
      </c>
      <c r="N297" s="550">
        <v>1018</v>
      </c>
      <c r="O297" s="550">
        <v>480</v>
      </c>
      <c r="P297" s="550">
        <v>1844</v>
      </c>
      <c r="Q297" s="550">
        <v>542</v>
      </c>
      <c r="R297" s="551" t="str">
        <f t="shared" si="19"/>
        <v>CLOVIS</v>
      </c>
      <c r="S297" s="552"/>
      <c r="T297" s="552"/>
      <c r="U297" s="552"/>
      <c r="V297" s="552"/>
      <c r="W297" s="552"/>
      <c r="X297" s="552"/>
      <c r="Y297" s="552"/>
      <c r="Z297" s="552"/>
      <c r="AA297" s="553"/>
      <c r="AB297" s="553"/>
    </row>
    <row r="298" spans="1:28" ht="12.75">
      <c r="A298" s="547" t="s">
        <v>290</v>
      </c>
      <c r="B298" s="547" t="s">
        <v>141</v>
      </c>
      <c r="C298" s="548" t="s">
        <v>177</v>
      </c>
      <c r="D298" s="549">
        <v>2018</v>
      </c>
      <c r="E298" s="549" t="s">
        <v>775</v>
      </c>
      <c r="F298" s="550">
        <v>2321</v>
      </c>
      <c r="G298" s="550">
        <v>0</v>
      </c>
      <c r="H298" s="550">
        <v>0</v>
      </c>
      <c r="I298" s="550">
        <v>0</v>
      </c>
      <c r="J298" s="550">
        <v>1145</v>
      </c>
      <c r="K298" s="550">
        <v>2</v>
      </c>
      <c r="L298" s="550">
        <v>2</v>
      </c>
      <c r="M298" s="550">
        <v>0</v>
      </c>
      <c r="N298" s="550">
        <v>1018</v>
      </c>
      <c r="O298" s="550">
        <v>411</v>
      </c>
      <c r="P298" s="550">
        <v>1844</v>
      </c>
      <c r="Q298" s="550">
        <v>694</v>
      </c>
      <c r="R298" s="551" t="str">
        <f t="shared" si="19"/>
        <v>CLOVIS</v>
      </c>
      <c r="S298" s="552"/>
      <c r="T298" s="552"/>
      <c r="U298" s="552"/>
      <c r="V298" s="552"/>
      <c r="W298" s="552"/>
      <c r="X298" s="552"/>
      <c r="Y298" s="552"/>
      <c r="Z298" s="552"/>
      <c r="AA298" s="553"/>
      <c r="AB298" s="553"/>
    </row>
    <row r="299" spans="1:28" ht="12.75">
      <c r="A299" s="547" t="s">
        <v>290</v>
      </c>
      <c r="B299" s="547" t="s">
        <v>141</v>
      </c>
      <c r="C299" s="548" t="s">
        <v>811</v>
      </c>
      <c r="D299" s="549">
        <v>2019</v>
      </c>
      <c r="E299" s="549" t="s">
        <v>775</v>
      </c>
      <c r="F299" s="550">
        <v>2321</v>
      </c>
      <c r="G299" s="550">
        <v>0</v>
      </c>
      <c r="H299" s="550">
        <v>0</v>
      </c>
      <c r="I299" s="550">
        <v>0</v>
      </c>
      <c r="J299" s="550">
        <v>1145</v>
      </c>
      <c r="K299" s="550">
        <v>60</v>
      </c>
      <c r="L299" s="550">
        <v>60</v>
      </c>
      <c r="M299" s="550">
        <v>0</v>
      </c>
      <c r="N299" s="550">
        <v>1018</v>
      </c>
      <c r="O299" s="550">
        <v>507</v>
      </c>
      <c r="P299" s="550">
        <v>1844</v>
      </c>
      <c r="Q299" s="550">
        <v>526</v>
      </c>
      <c r="R299" s="551" t="str">
        <f t="shared" si="19"/>
        <v>CLOVIS</v>
      </c>
      <c r="S299" s="255">
        <f>SUM(G295:G299) +SUM(K295:K299)</f>
        <v>87</v>
      </c>
      <c r="T299" s="255">
        <f>F299+J299</f>
        <v>3466</v>
      </c>
      <c r="U299" s="255">
        <f>SUM(O295:O299)</f>
        <v>2249</v>
      </c>
      <c r="V299" s="255">
        <f>N299</f>
        <v>1018</v>
      </c>
      <c r="W299" s="83">
        <f>SUM(Q295:Q299)</f>
        <v>3747</v>
      </c>
      <c r="X299" s="255">
        <f>P299</f>
        <v>1844</v>
      </c>
      <c r="Y299" s="255">
        <f>S299+U299+SUM(Q295:Q299)</f>
        <v>6083</v>
      </c>
      <c r="Z299" s="255">
        <f>F299+J299+N299+P299</f>
        <v>6328</v>
      </c>
      <c r="AA299" s="553"/>
      <c r="AB299" s="553"/>
    </row>
    <row r="300" spans="1:28" ht="12.75">
      <c r="A300" s="547" t="s">
        <v>291</v>
      </c>
      <c r="B300" s="547" t="s">
        <v>141</v>
      </c>
      <c r="C300" s="548" t="s">
        <v>177</v>
      </c>
      <c r="D300" s="549">
        <v>2015</v>
      </c>
      <c r="E300" s="549" t="s">
        <v>775</v>
      </c>
      <c r="F300" s="550">
        <v>150</v>
      </c>
      <c r="G300" s="550">
        <v>36</v>
      </c>
      <c r="H300" s="550">
        <v>36</v>
      </c>
      <c r="I300" s="550">
        <v>0</v>
      </c>
      <c r="J300" s="550">
        <v>115</v>
      </c>
      <c r="K300" s="550">
        <v>32</v>
      </c>
      <c r="L300" s="550">
        <v>32</v>
      </c>
      <c r="M300" s="550">
        <v>0</v>
      </c>
      <c r="N300" s="550">
        <v>123</v>
      </c>
      <c r="O300" s="550">
        <v>24</v>
      </c>
      <c r="P300" s="550">
        <v>201</v>
      </c>
      <c r="Q300" s="550">
        <v>15</v>
      </c>
      <c r="R300" s="551" t="str">
        <f t="shared" si="19"/>
        <v>COALINGA</v>
      </c>
      <c r="S300" s="552"/>
      <c r="T300" s="552"/>
      <c r="U300" s="552"/>
      <c r="V300" s="552"/>
      <c r="W300" s="552"/>
      <c r="X300" s="552"/>
      <c r="Y300" s="552"/>
      <c r="Z300" s="552"/>
      <c r="AA300" s="553"/>
      <c r="AB300" s="553"/>
    </row>
    <row r="301" spans="1:28" ht="12.75">
      <c r="A301" s="547" t="s">
        <v>291</v>
      </c>
      <c r="B301" s="547" t="s">
        <v>141</v>
      </c>
      <c r="C301" s="548" t="s">
        <v>177</v>
      </c>
      <c r="D301" s="549">
        <v>2016</v>
      </c>
      <c r="E301" s="549" t="s">
        <v>775</v>
      </c>
      <c r="F301" s="550">
        <v>150</v>
      </c>
      <c r="G301" s="550">
        <v>0</v>
      </c>
      <c r="H301" s="550">
        <v>0</v>
      </c>
      <c r="I301" s="550">
        <v>0</v>
      </c>
      <c r="J301" s="550">
        <v>115</v>
      </c>
      <c r="K301" s="550">
        <v>0</v>
      </c>
      <c r="L301" s="550">
        <v>0</v>
      </c>
      <c r="M301" s="550">
        <v>0</v>
      </c>
      <c r="N301" s="550">
        <v>123</v>
      </c>
      <c r="O301" s="550">
        <v>0</v>
      </c>
      <c r="P301" s="550">
        <v>201</v>
      </c>
      <c r="Q301" s="550">
        <v>0</v>
      </c>
      <c r="R301" s="551" t="str">
        <f t="shared" si="19"/>
        <v>COALINGA</v>
      </c>
      <c r="S301" s="552"/>
      <c r="T301" s="552"/>
      <c r="U301" s="552"/>
      <c r="V301" s="552"/>
      <c r="W301" s="552"/>
      <c r="X301" s="552"/>
      <c r="Y301" s="552"/>
      <c r="Z301" s="552"/>
      <c r="AA301" s="553"/>
      <c r="AB301" s="553"/>
    </row>
    <row r="302" spans="1:28" ht="12.75">
      <c r="A302" s="547" t="s">
        <v>291</v>
      </c>
      <c r="B302" s="547" t="s">
        <v>141</v>
      </c>
      <c r="C302" s="548" t="s">
        <v>177</v>
      </c>
      <c r="D302" s="549">
        <v>2017</v>
      </c>
      <c r="E302" s="549" t="s">
        <v>775</v>
      </c>
      <c r="F302" s="550">
        <v>150</v>
      </c>
      <c r="G302" s="550">
        <v>0</v>
      </c>
      <c r="H302" s="550">
        <v>0</v>
      </c>
      <c r="I302" s="550">
        <v>0</v>
      </c>
      <c r="J302" s="550">
        <v>115</v>
      </c>
      <c r="K302" s="550">
        <v>0</v>
      </c>
      <c r="L302" s="550">
        <v>0</v>
      </c>
      <c r="M302" s="550">
        <v>0</v>
      </c>
      <c r="N302" s="550">
        <v>123</v>
      </c>
      <c r="O302" s="550">
        <v>3</v>
      </c>
      <c r="P302" s="550">
        <v>201</v>
      </c>
      <c r="Q302" s="550">
        <v>39</v>
      </c>
      <c r="R302" s="551" t="str">
        <f t="shared" si="19"/>
        <v>COALINGA</v>
      </c>
      <c r="S302" s="552"/>
      <c r="T302" s="552"/>
      <c r="U302" s="552"/>
      <c r="V302" s="552"/>
      <c r="W302" s="552"/>
      <c r="X302" s="552"/>
      <c r="Y302" s="552"/>
      <c r="Z302" s="552"/>
      <c r="AA302" s="553"/>
      <c r="AB302" s="553"/>
    </row>
    <row r="303" spans="1:28" ht="12.75">
      <c r="A303" s="547" t="s">
        <v>291</v>
      </c>
      <c r="B303" s="547" t="s">
        <v>141</v>
      </c>
      <c r="C303" s="548" t="s">
        <v>177</v>
      </c>
      <c r="D303" s="549">
        <v>2018</v>
      </c>
      <c r="E303" s="549" t="s">
        <v>775</v>
      </c>
      <c r="F303" s="550">
        <v>150</v>
      </c>
      <c r="G303" s="550">
        <v>0</v>
      </c>
      <c r="H303" s="550">
        <v>0</v>
      </c>
      <c r="I303" s="550">
        <v>0</v>
      </c>
      <c r="J303" s="550">
        <v>115</v>
      </c>
      <c r="K303" s="550">
        <v>0</v>
      </c>
      <c r="L303" s="550">
        <v>0</v>
      </c>
      <c r="M303" s="550">
        <v>0</v>
      </c>
      <c r="N303" s="550">
        <v>123</v>
      </c>
      <c r="O303" s="550">
        <v>14</v>
      </c>
      <c r="P303" s="550">
        <v>201</v>
      </c>
      <c r="Q303" s="550">
        <v>30</v>
      </c>
      <c r="R303" s="551" t="str">
        <f t="shared" si="19"/>
        <v>COALINGA</v>
      </c>
      <c r="S303" s="552"/>
      <c r="T303" s="552"/>
      <c r="U303" s="552"/>
      <c r="V303" s="552"/>
      <c r="W303" s="552"/>
      <c r="X303" s="552"/>
      <c r="Y303" s="552"/>
      <c r="Z303" s="552"/>
      <c r="AA303" s="553"/>
      <c r="AB303" s="553"/>
    </row>
    <row r="304" spans="1:28" ht="12.75">
      <c r="A304" s="547" t="s">
        <v>291</v>
      </c>
      <c r="B304" s="555" t="s">
        <v>141</v>
      </c>
      <c r="C304" s="548" t="s">
        <v>811</v>
      </c>
      <c r="D304" s="549">
        <v>2019</v>
      </c>
      <c r="E304" s="549" t="s">
        <v>775</v>
      </c>
      <c r="F304" s="550">
        <v>150</v>
      </c>
      <c r="G304" s="550">
        <v>0</v>
      </c>
      <c r="H304" s="550">
        <v>0</v>
      </c>
      <c r="I304" s="550">
        <v>0</v>
      </c>
      <c r="J304" s="550">
        <v>115</v>
      </c>
      <c r="K304" s="550">
        <v>0</v>
      </c>
      <c r="L304" s="550">
        <v>0</v>
      </c>
      <c r="M304" s="550">
        <v>0</v>
      </c>
      <c r="N304" s="550">
        <v>123</v>
      </c>
      <c r="O304" s="550">
        <v>0</v>
      </c>
      <c r="P304" s="550">
        <v>201</v>
      </c>
      <c r="Q304" s="550">
        <v>68</v>
      </c>
      <c r="R304" s="551" t="str">
        <f t="shared" si="19"/>
        <v>COALINGA</v>
      </c>
      <c r="S304" s="255">
        <f>SUM(G300:G304) +SUM(K300:K304)</f>
        <v>68</v>
      </c>
      <c r="T304" s="255">
        <f>F304+J304</f>
        <v>265</v>
      </c>
      <c r="U304" s="255">
        <f>SUM(O300:O304)</f>
        <v>41</v>
      </c>
      <c r="V304" s="255">
        <f>N304</f>
        <v>123</v>
      </c>
      <c r="W304" s="83">
        <f>SUM(Q300:Q304)</f>
        <v>152</v>
      </c>
      <c r="X304" s="255">
        <f>P304</f>
        <v>201</v>
      </c>
      <c r="Y304" s="255">
        <f>S304+U304+SUM(Q300:Q304)</f>
        <v>261</v>
      </c>
      <c r="Z304" s="255">
        <f>F304+J304+N304+P304</f>
        <v>589</v>
      </c>
      <c r="AA304" s="553"/>
      <c r="AB304" s="553"/>
    </row>
    <row r="305" spans="1:28" ht="12.75">
      <c r="A305" s="547" t="s">
        <v>292</v>
      </c>
      <c r="B305" s="555" t="s">
        <v>141</v>
      </c>
      <c r="C305" s="548" t="s">
        <v>177</v>
      </c>
      <c r="D305" s="549">
        <v>2017</v>
      </c>
      <c r="E305" s="549" t="s">
        <v>775</v>
      </c>
      <c r="F305" s="550">
        <v>128</v>
      </c>
      <c r="G305" s="550">
        <v>15</v>
      </c>
      <c r="H305" s="550">
        <v>15</v>
      </c>
      <c r="I305" s="550">
        <v>0</v>
      </c>
      <c r="J305" s="550">
        <v>169</v>
      </c>
      <c r="K305" s="550">
        <v>15</v>
      </c>
      <c r="L305" s="550">
        <v>15</v>
      </c>
      <c r="M305" s="550">
        <v>0</v>
      </c>
      <c r="N305" s="550">
        <v>204</v>
      </c>
      <c r="O305" s="550">
        <v>0</v>
      </c>
      <c r="P305" s="550">
        <v>211</v>
      </c>
      <c r="Q305" s="550">
        <v>0</v>
      </c>
      <c r="R305" s="551" t="str">
        <f t="shared" si="19"/>
        <v>FIREBAUGH</v>
      </c>
      <c r="S305" s="552"/>
      <c r="T305" s="552"/>
      <c r="U305" s="552"/>
      <c r="V305" s="552"/>
      <c r="W305" s="552"/>
      <c r="X305" s="552"/>
      <c r="Y305" s="552"/>
      <c r="Z305" s="552"/>
      <c r="AA305" s="553"/>
      <c r="AB305" s="553"/>
    </row>
    <row r="306" spans="1:28" ht="12.75">
      <c r="A306" s="547" t="s">
        <v>292</v>
      </c>
      <c r="B306" s="547" t="s">
        <v>141</v>
      </c>
      <c r="C306" s="548" t="s">
        <v>177</v>
      </c>
      <c r="D306" s="549">
        <v>2018</v>
      </c>
      <c r="E306" s="549" t="s">
        <v>775</v>
      </c>
      <c r="F306" s="550">
        <v>128</v>
      </c>
      <c r="G306" s="555">
        <v>0</v>
      </c>
      <c r="H306" s="555">
        <v>0</v>
      </c>
      <c r="I306" s="555">
        <v>0</v>
      </c>
      <c r="J306" s="550">
        <v>169</v>
      </c>
      <c r="K306" s="555">
        <v>0</v>
      </c>
      <c r="L306" s="555">
        <v>0</v>
      </c>
      <c r="M306" s="555">
        <v>0</v>
      </c>
      <c r="N306" s="550">
        <v>204</v>
      </c>
      <c r="O306" s="555">
        <v>0</v>
      </c>
      <c r="P306" s="550">
        <v>211</v>
      </c>
      <c r="Q306" s="555">
        <v>0</v>
      </c>
      <c r="R306" s="551" t="str">
        <f t="shared" si="19"/>
        <v>FIREBAUGH</v>
      </c>
      <c r="S306" s="552"/>
      <c r="T306" s="552"/>
      <c r="U306" s="552"/>
      <c r="V306" s="552"/>
      <c r="W306" s="552"/>
      <c r="X306" s="552"/>
      <c r="Y306" s="552"/>
      <c r="Z306" s="552"/>
      <c r="AA306" s="553"/>
      <c r="AB306" s="553"/>
    </row>
    <row r="307" spans="1:28" ht="12.75">
      <c r="A307" s="547" t="s">
        <v>292</v>
      </c>
      <c r="B307" s="547" t="s">
        <v>141</v>
      </c>
      <c r="C307" s="548" t="s">
        <v>811</v>
      </c>
      <c r="D307" s="549">
        <v>2019</v>
      </c>
      <c r="E307" s="549" t="s">
        <v>775</v>
      </c>
      <c r="F307" s="550">
        <v>128</v>
      </c>
      <c r="G307" s="550">
        <v>0</v>
      </c>
      <c r="H307" s="550">
        <v>0</v>
      </c>
      <c r="I307" s="550">
        <v>0</v>
      </c>
      <c r="J307" s="550">
        <v>169</v>
      </c>
      <c r="K307" s="550">
        <v>2</v>
      </c>
      <c r="L307" s="550">
        <v>0</v>
      </c>
      <c r="M307" s="550">
        <v>2</v>
      </c>
      <c r="N307" s="550">
        <v>204</v>
      </c>
      <c r="O307" s="550">
        <v>0</v>
      </c>
      <c r="P307" s="550">
        <v>211</v>
      </c>
      <c r="Q307" s="550">
        <v>0</v>
      </c>
      <c r="R307" s="551" t="str">
        <f t="shared" si="19"/>
        <v>FIREBAUGH</v>
      </c>
      <c r="S307" s="255">
        <f>SUM(G305:G307) +SUM(K305:K307)</f>
        <v>32</v>
      </c>
      <c r="T307" s="255">
        <f t="shared" ref="T307:T308" si="20">F307+J307</f>
        <v>297</v>
      </c>
      <c r="U307" s="255">
        <f>SUM(O305:O307)</f>
        <v>0</v>
      </c>
      <c r="V307" s="255">
        <f t="shared" ref="V307:V308" si="21">N307</f>
        <v>204</v>
      </c>
      <c r="W307" s="83">
        <f>SUM(Q305:Q307)</f>
        <v>0</v>
      </c>
      <c r="X307" s="255">
        <f t="shared" ref="X307:X308" si="22">P307</f>
        <v>211</v>
      </c>
      <c r="Y307" s="255">
        <f>S307+U307+SUM(Q305:Q307)</f>
        <v>32</v>
      </c>
      <c r="Z307" s="255">
        <f t="shared" ref="Z307:Z308" si="23">F307+J307+N307+P307</f>
        <v>712</v>
      </c>
      <c r="AA307" s="553"/>
      <c r="AB307" s="553"/>
    </row>
    <row r="308" spans="1:28" ht="12.75">
      <c r="A308" s="547" t="s">
        <v>293</v>
      </c>
      <c r="B308" s="547" t="s">
        <v>141</v>
      </c>
      <c r="C308" s="548" t="s">
        <v>811</v>
      </c>
      <c r="D308" s="549">
        <v>2019</v>
      </c>
      <c r="E308" s="549" t="s">
        <v>775</v>
      </c>
      <c r="F308" s="550">
        <v>123</v>
      </c>
      <c r="G308" s="550">
        <v>0</v>
      </c>
      <c r="H308" s="550">
        <v>0</v>
      </c>
      <c r="I308" s="550">
        <v>0</v>
      </c>
      <c r="J308" s="550">
        <v>83</v>
      </c>
      <c r="K308" s="550">
        <v>0</v>
      </c>
      <c r="L308" s="550">
        <v>0</v>
      </c>
      <c r="M308" s="550">
        <v>0</v>
      </c>
      <c r="N308" s="550">
        <v>75</v>
      </c>
      <c r="O308" s="550">
        <v>22</v>
      </c>
      <c r="P308" s="550">
        <v>243</v>
      </c>
      <c r="Q308" s="550">
        <v>29</v>
      </c>
      <c r="R308" s="551" t="str">
        <f t="shared" si="19"/>
        <v>FOWLER</v>
      </c>
      <c r="S308" s="552">
        <f>G308+K308</f>
        <v>0</v>
      </c>
      <c r="T308" s="255">
        <f t="shared" si="20"/>
        <v>206</v>
      </c>
      <c r="U308" s="552">
        <f>O308</f>
        <v>22</v>
      </c>
      <c r="V308" s="255">
        <f t="shared" si="21"/>
        <v>75</v>
      </c>
      <c r="W308" s="552">
        <f>Q308</f>
        <v>29</v>
      </c>
      <c r="X308" s="255">
        <f t="shared" si="22"/>
        <v>243</v>
      </c>
      <c r="Y308" s="552">
        <f>S308+U308+W308</f>
        <v>51</v>
      </c>
      <c r="Z308" s="255">
        <f t="shared" si="23"/>
        <v>524</v>
      </c>
      <c r="AA308" s="553"/>
      <c r="AB308" s="553"/>
    </row>
    <row r="309" spans="1:28" ht="12.75">
      <c r="A309" s="547" t="s">
        <v>141</v>
      </c>
      <c r="B309" s="547" t="s">
        <v>141</v>
      </c>
      <c r="C309" s="548" t="s">
        <v>177</v>
      </c>
      <c r="D309" s="549">
        <v>2015</v>
      </c>
      <c r="E309" s="549" t="s">
        <v>775</v>
      </c>
      <c r="F309" s="550">
        <v>5666</v>
      </c>
      <c r="G309" s="550">
        <v>290</v>
      </c>
      <c r="H309" s="550">
        <v>290</v>
      </c>
      <c r="I309" s="550">
        <v>0</v>
      </c>
      <c r="J309" s="550">
        <v>3289</v>
      </c>
      <c r="K309" s="550">
        <v>268</v>
      </c>
      <c r="L309" s="550">
        <v>268</v>
      </c>
      <c r="M309" s="550">
        <v>0</v>
      </c>
      <c r="N309" s="550">
        <v>3571</v>
      </c>
      <c r="O309" s="550">
        <v>384</v>
      </c>
      <c r="P309" s="550">
        <v>11039</v>
      </c>
      <c r="Q309" s="550">
        <v>2328</v>
      </c>
      <c r="R309" s="551" t="str">
        <f t="shared" si="19"/>
        <v>FRESNO</v>
      </c>
      <c r="S309" s="552"/>
      <c r="T309" s="552"/>
      <c r="U309" s="552"/>
      <c r="V309" s="552"/>
      <c r="W309" s="552"/>
      <c r="X309" s="552"/>
      <c r="Y309" s="552"/>
      <c r="Z309" s="552"/>
      <c r="AA309" s="553"/>
      <c r="AB309" s="553"/>
    </row>
    <row r="310" spans="1:28" ht="12.75">
      <c r="A310" s="547" t="s">
        <v>141</v>
      </c>
      <c r="B310" s="547" t="s">
        <v>141</v>
      </c>
      <c r="C310" s="548" t="s">
        <v>177</v>
      </c>
      <c r="D310" s="549">
        <v>2016</v>
      </c>
      <c r="E310" s="549" t="s">
        <v>775</v>
      </c>
      <c r="F310" s="550">
        <v>5666</v>
      </c>
      <c r="G310" s="550">
        <v>23</v>
      </c>
      <c r="H310" s="550">
        <v>23</v>
      </c>
      <c r="I310" s="550">
        <v>0</v>
      </c>
      <c r="J310" s="550">
        <v>3289</v>
      </c>
      <c r="K310" s="550">
        <v>8</v>
      </c>
      <c r="L310" s="550">
        <v>8</v>
      </c>
      <c r="M310" s="550">
        <v>0</v>
      </c>
      <c r="N310" s="550">
        <v>3571</v>
      </c>
      <c r="O310" s="550">
        <v>334</v>
      </c>
      <c r="P310" s="550">
        <v>11039</v>
      </c>
      <c r="Q310" s="550">
        <v>923</v>
      </c>
      <c r="R310" s="551" t="str">
        <f t="shared" si="19"/>
        <v>FRESNO</v>
      </c>
      <c r="S310" s="552"/>
      <c r="T310" s="552"/>
      <c r="U310" s="552"/>
      <c r="V310" s="552"/>
      <c r="W310" s="552"/>
      <c r="X310" s="552"/>
      <c r="Y310" s="552"/>
      <c r="Z310" s="552"/>
      <c r="AA310" s="553"/>
      <c r="AB310" s="553"/>
    </row>
    <row r="311" spans="1:28" ht="12.75">
      <c r="A311" s="547" t="s">
        <v>141</v>
      </c>
      <c r="B311" s="547" t="s">
        <v>141</v>
      </c>
      <c r="C311" s="548" t="s">
        <v>177</v>
      </c>
      <c r="D311" s="549">
        <v>2017</v>
      </c>
      <c r="E311" s="549" t="s">
        <v>775</v>
      </c>
      <c r="F311" s="550">
        <v>5666</v>
      </c>
      <c r="G311" s="550">
        <v>0</v>
      </c>
      <c r="H311" s="550">
        <v>0</v>
      </c>
      <c r="I311" s="550">
        <v>0</v>
      </c>
      <c r="J311" s="550">
        <v>3289</v>
      </c>
      <c r="K311" s="550">
        <v>4</v>
      </c>
      <c r="L311" s="550">
        <v>4</v>
      </c>
      <c r="M311" s="550">
        <v>0</v>
      </c>
      <c r="N311" s="550">
        <v>3571</v>
      </c>
      <c r="O311" s="550">
        <v>787</v>
      </c>
      <c r="P311" s="550">
        <v>11039</v>
      </c>
      <c r="Q311" s="550">
        <v>676</v>
      </c>
      <c r="R311" s="551" t="str">
        <f t="shared" si="19"/>
        <v>FRESNO</v>
      </c>
      <c r="S311" s="552"/>
      <c r="T311" s="552"/>
      <c r="U311" s="552"/>
      <c r="V311" s="552"/>
      <c r="W311" s="552"/>
      <c r="X311" s="552"/>
      <c r="Y311" s="552"/>
      <c r="Z311" s="552"/>
      <c r="AA311" s="553"/>
      <c r="AB311" s="553"/>
    </row>
    <row r="312" spans="1:28" ht="12.75">
      <c r="A312" s="547" t="s">
        <v>141</v>
      </c>
      <c r="B312" s="547" t="s">
        <v>141</v>
      </c>
      <c r="C312" s="548" t="s">
        <v>177</v>
      </c>
      <c r="D312" s="549">
        <v>2018</v>
      </c>
      <c r="E312" s="549" t="s">
        <v>775</v>
      </c>
      <c r="F312" s="550">
        <v>5666</v>
      </c>
      <c r="G312" s="550">
        <v>135</v>
      </c>
      <c r="H312" s="550">
        <v>135</v>
      </c>
      <c r="I312" s="550">
        <v>0</v>
      </c>
      <c r="J312" s="550">
        <v>3289</v>
      </c>
      <c r="K312" s="550">
        <v>0</v>
      </c>
      <c r="L312" s="550">
        <v>0</v>
      </c>
      <c r="M312" s="550">
        <v>0</v>
      </c>
      <c r="N312" s="550">
        <v>3571</v>
      </c>
      <c r="O312" s="550">
        <v>0</v>
      </c>
      <c r="P312" s="550">
        <v>11039</v>
      </c>
      <c r="Q312" s="550">
        <v>1202</v>
      </c>
      <c r="R312" s="551" t="str">
        <f t="shared" si="19"/>
        <v>FRESNO</v>
      </c>
      <c r="S312" s="552"/>
      <c r="T312" s="552"/>
      <c r="U312" s="552"/>
      <c r="V312" s="552"/>
      <c r="W312" s="552"/>
      <c r="X312" s="552"/>
      <c r="Y312" s="552"/>
      <c r="Z312" s="552"/>
      <c r="AA312" s="553"/>
      <c r="AB312" s="553"/>
    </row>
    <row r="313" spans="1:28" ht="12.75">
      <c r="A313" s="547" t="s">
        <v>141</v>
      </c>
      <c r="B313" s="547" t="s">
        <v>141</v>
      </c>
      <c r="C313" s="548" t="s">
        <v>811</v>
      </c>
      <c r="D313" s="549">
        <v>2019</v>
      </c>
      <c r="E313" s="549" t="s">
        <v>775</v>
      </c>
      <c r="F313" s="550">
        <v>5666</v>
      </c>
      <c r="G313" s="550">
        <v>41</v>
      </c>
      <c r="H313" s="550">
        <v>41</v>
      </c>
      <c r="I313" s="550">
        <v>0</v>
      </c>
      <c r="J313" s="550">
        <v>3289</v>
      </c>
      <c r="K313" s="550">
        <v>5</v>
      </c>
      <c r="L313" s="550">
        <v>5</v>
      </c>
      <c r="M313" s="550">
        <v>0</v>
      </c>
      <c r="N313" s="550">
        <v>3571</v>
      </c>
      <c r="O313" s="550">
        <v>0</v>
      </c>
      <c r="P313" s="550">
        <v>11039</v>
      </c>
      <c r="Q313" s="550">
        <v>1970</v>
      </c>
      <c r="R313" s="551" t="str">
        <f t="shared" si="19"/>
        <v>FRESNO</v>
      </c>
      <c r="S313" s="255">
        <f>SUM(G309:G313) +SUM(K309:K313)</f>
        <v>774</v>
      </c>
      <c r="T313" s="255">
        <f>F313+J313</f>
        <v>8955</v>
      </c>
      <c r="U313" s="255">
        <f>SUM(O309:O313)</f>
        <v>1505</v>
      </c>
      <c r="V313" s="255">
        <f>N313</f>
        <v>3571</v>
      </c>
      <c r="W313" s="83">
        <f>SUM(Q309:Q313)</f>
        <v>7099</v>
      </c>
      <c r="X313" s="255">
        <f>P313</f>
        <v>11039</v>
      </c>
      <c r="Y313" s="255">
        <f>S313+U313+SUM(Q309:Q313)</f>
        <v>9378</v>
      </c>
      <c r="Z313" s="255">
        <f>F313+J313+N313+P313</f>
        <v>23565</v>
      </c>
      <c r="AA313" s="553"/>
      <c r="AB313" s="553"/>
    </row>
    <row r="314" spans="1:28" ht="12.75">
      <c r="A314" s="547" t="s">
        <v>294</v>
      </c>
      <c r="B314" s="547" t="s">
        <v>141</v>
      </c>
      <c r="C314" s="548" t="s">
        <v>177</v>
      </c>
      <c r="D314" s="549">
        <v>2015</v>
      </c>
      <c r="E314" s="549" t="s">
        <v>775</v>
      </c>
      <c r="F314" s="550">
        <v>460</v>
      </c>
      <c r="G314" s="550">
        <v>0</v>
      </c>
      <c r="H314" s="550">
        <v>0</v>
      </c>
      <c r="I314" s="550">
        <v>0</v>
      </c>
      <c r="J314" s="550">
        <v>527</v>
      </c>
      <c r="K314" s="550">
        <v>0</v>
      </c>
      <c r="L314" s="550">
        <v>0</v>
      </c>
      <c r="M314" s="550">
        <v>0</v>
      </c>
      <c r="N314" s="550">
        <v>589</v>
      </c>
      <c r="O314" s="550">
        <v>102</v>
      </c>
      <c r="P314" s="550">
        <v>1146</v>
      </c>
      <c r="Q314" s="550">
        <v>162</v>
      </c>
      <c r="R314" s="551" t="str">
        <f t="shared" si="19"/>
        <v>FRESNO COUNTY</v>
      </c>
      <c r="S314" s="552"/>
      <c r="T314" s="552"/>
      <c r="U314" s="552"/>
      <c r="V314" s="552"/>
      <c r="W314" s="552"/>
      <c r="X314" s="552"/>
      <c r="Y314" s="552"/>
      <c r="Z314" s="552"/>
      <c r="AA314" s="553"/>
      <c r="AB314" s="553"/>
    </row>
    <row r="315" spans="1:28" ht="12.75">
      <c r="A315" s="547" t="s">
        <v>294</v>
      </c>
      <c r="B315" s="547" t="s">
        <v>141</v>
      </c>
      <c r="C315" s="548" t="s">
        <v>177</v>
      </c>
      <c r="D315" s="549">
        <v>2016</v>
      </c>
      <c r="E315" s="549" t="s">
        <v>775</v>
      </c>
      <c r="F315" s="550">
        <v>460</v>
      </c>
      <c r="G315" s="550">
        <v>0</v>
      </c>
      <c r="H315" s="550">
        <v>0</v>
      </c>
      <c r="I315" s="550">
        <v>0</v>
      </c>
      <c r="J315" s="550">
        <v>527</v>
      </c>
      <c r="K315" s="550">
        <v>0</v>
      </c>
      <c r="L315" s="550">
        <v>0</v>
      </c>
      <c r="M315" s="550">
        <v>0</v>
      </c>
      <c r="N315" s="550">
        <v>589</v>
      </c>
      <c r="O315" s="550">
        <v>63</v>
      </c>
      <c r="P315" s="550">
        <v>1146</v>
      </c>
      <c r="Q315" s="550">
        <v>38</v>
      </c>
      <c r="R315" s="551" t="str">
        <f t="shared" si="19"/>
        <v>FRESNO COUNTY</v>
      </c>
      <c r="S315" s="552"/>
      <c r="T315" s="552"/>
      <c r="U315" s="552"/>
      <c r="V315" s="552"/>
      <c r="W315" s="552"/>
      <c r="X315" s="552"/>
      <c r="Y315" s="552"/>
      <c r="Z315" s="552"/>
      <c r="AA315" s="553"/>
      <c r="AB315" s="553"/>
    </row>
    <row r="316" spans="1:28" ht="12.75">
      <c r="A316" s="547" t="s">
        <v>294</v>
      </c>
      <c r="B316" s="547" t="s">
        <v>141</v>
      </c>
      <c r="C316" s="548" t="s">
        <v>177</v>
      </c>
      <c r="D316" s="549">
        <v>2017</v>
      </c>
      <c r="E316" s="549" t="s">
        <v>775</v>
      </c>
      <c r="F316" s="550">
        <v>460</v>
      </c>
      <c r="G316" s="550">
        <v>0</v>
      </c>
      <c r="H316" s="550">
        <v>0</v>
      </c>
      <c r="I316" s="550">
        <v>0</v>
      </c>
      <c r="J316" s="550">
        <v>527</v>
      </c>
      <c r="K316" s="550">
        <v>0</v>
      </c>
      <c r="L316" s="550">
        <v>0</v>
      </c>
      <c r="M316" s="550">
        <v>0</v>
      </c>
      <c r="N316" s="550">
        <v>589</v>
      </c>
      <c r="O316" s="550">
        <v>54</v>
      </c>
      <c r="P316" s="550">
        <v>1146</v>
      </c>
      <c r="Q316" s="550">
        <v>71</v>
      </c>
      <c r="R316" s="551" t="str">
        <f t="shared" si="19"/>
        <v>FRESNO COUNTY</v>
      </c>
      <c r="S316" s="552"/>
      <c r="T316" s="552"/>
      <c r="U316" s="552"/>
      <c r="V316" s="552"/>
      <c r="W316" s="552"/>
      <c r="X316" s="552"/>
      <c r="Y316" s="552"/>
      <c r="Z316" s="552"/>
      <c r="AA316" s="553"/>
      <c r="AB316" s="553"/>
    </row>
    <row r="317" spans="1:28" ht="12.75">
      <c r="A317" s="547" t="s">
        <v>294</v>
      </c>
      <c r="B317" s="547" t="s">
        <v>141</v>
      </c>
      <c r="C317" s="548" t="s">
        <v>177</v>
      </c>
      <c r="D317" s="549">
        <v>2018</v>
      </c>
      <c r="E317" s="549" t="s">
        <v>775</v>
      </c>
      <c r="F317" s="550">
        <v>460</v>
      </c>
      <c r="G317" s="550">
        <v>28</v>
      </c>
      <c r="H317" s="550">
        <v>2</v>
      </c>
      <c r="I317" s="550">
        <v>26</v>
      </c>
      <c r="J317" s="550">
        <v>527</v>
      </c>
      <c r="K317" s="550">
        <v>9</v>
      </c>
      <c r="L317" s="550">
        <v>0</v>
      </c>
      <c r="M317" s="550">
        <v>9</v>
      </c>
      <c r="N317" s="550">
        <v>589</v>
      </c>
      <c r="O317" s="550">
        <v>18</v>
      </c>
      <c r="P317" s="550">
        <v>1146</v>
      </c>
      <c r="Q317" s="550">
        <v>0</v>
      </c>
      <c r="R317" s="551" t="str">
        <f t="shared" si="19"/>
        <v>FRESNO COUNTY</v>
      </c>
      <c r="S317" s="552"/>
      <c r="T317" s="552"/>
      <c r="U317" s="552"/>
      <c r="V317" s="552"/>
      <c r="W317" s="552"/>
      <c r="X317" s="552"/>
      <c r="Y317" s="552"/>
      <c r="Z317" s="552"/>
      <c r="AA317" s="553"/>
      <c r="AB317" s="553"/>
    </row>
    <row r="318" spans="1:28" ht="12.75">
      <c r="A318" s="547" t="s">
        <v>294</v>
      </c>
      <c r="B318" s="547" t="s">
        <v>141</v>
      </c>
      <c r="C318" s="548" t="s">
        <v>811</v>
      </c>
      <c r="D318" s="549">
        <v>2019</v>
      </c>
      <c r="E318" s="549" t="s">
        <v>775</v>
      </c>
      <c r="F318" s="550">
        <v>460</v>
      </c>
      <c r="G318" s="550">
        <v>20</v>
      </c>
      <c r="H318" s="550">
        <v>0</v>
      </c>
      <c r="I318" s="550">
        <v>20</v>
      </c>
      <c r="J318" s="550">
        <v>527</v>
      </c>
      <c r="K318" s="550">
        <v>40</v>
      </c>
      <c r="L318" s="550">
        <v>0</v>
      </c>
      <c r="M318" s="550">
        <v>40</v>
      </c>
      <c r="N318" s="550">
        <v>589</v>
      </c>
      <c r="O318" s="550">
        <v>20</v>
      </c>
      <c r="P318" s="550">
        <v>1146</v>
      </c>
      <c r="Q318" s="550">
        <v>56</v>
      </c>
      <c r="R318" s="551" t="str">
        <f t="shared" si="19"/>
        <v>FRESNO COUNTY</v>
      </c>
      <c r="S318" s="255">
        <f>SUM(G314:G318) +SUM(K314:K318)</f>
        <v>97</v>
      </c>
      <c r="T318" s="255">
        <f>F318+J318</f>
        <v>987</v>
      </c>
      <c r="U318" s="255">
        <f>SUM(O314:O318)</f>
        <v>257</v>
      </c>
      <c r="V318" s="255">
        <f>N318</f>
        <v>589</v>
      </c>
      <c r="W318" s="83">
        <f>SUM(Q314:Q318)</f>
        <v>327</v>
      </c>
      <c r="X318" s="255">
        <f>P318</f>
        <v>1146</v>
      </c>
      <c r="Y318" s="255">
        <f>S318+U318+SUM(Q314:Q318)</f>
        <v>681</v>
      </c>
      <c r="Z318" s="255">
        <f>F318+J318+N318+P318</f>
        <v>2722</v>
      </c>
      <c r="AA318" s="553"/>
      <c r="AB318" s="553"/>
    </row>
    <row r="319" spans="1:28" ht="12.75">
      <c r="A319" s="547" t="s">
        <v>295</v>
      </c>
      <c r="B319" s="547" t="s">
        <v>141</v>
      </c>
      <c r="C319" s="548" t="s">
        <v>177</v>
      </c>
      <c r="D319" s="549">
        <v>2015</v>
      </c>
      <c r="E319" s="549" t="s">
        <v>775</v>
      </c>
      <c r="F319" s="550">
        <v>87</v>
      </c>
      <c r="G319" s="550">
        <v>0</v>
      </c>
      <c r="H319" s="550">
        <v>0</v>
      </c>
      <c r="I319" s="550">
        <v>0</v>
      </c>
      <c r="J319" s="550">
        <v>107</v>
      </c>
      <c r="K319" s="550">
        <v>0</v>
      </c>
      <c r="L319" s="550">
        <v>0</v>
      </c>
      <c r="M319" s="550">
        <v>0</v>
      </c>
      <c r="N319" s="550">
        <v>106</v>
      </c>
      <c r="O319" s="550">
        <v>0</v>
      </c>
      <c r="P319" s="550">
        <v>124</v>
      </c>
      <c r="Q319" s="550">
        <v>0</v>
      </c>
      <c r="R319" s="551" t="str">
        <f t="shared" si="19"/>
        <v>HURON</v>
      </c>
      <c r="S319" s="552"/>
      <c r="T319" s="552"/>
      <c r="U319" s="552"/>
      <c r="V319" s="552"/>
      <c r="W319" s="552"/>
      <c r="X319" s="552"/>
      <c r="Y319" s="552"/>
      <c r="Z319" s="552"/>
      <c r="AA319" s="553"/>
      <c r="AB319" s="553"/>
    </row>
    <row r="320" spans="1:28" ht="12.75">
      <c r="A320" s="547" t="s">
        <v>295</v>
      </c>
      <c r="B320" s="547" t="s">
        <v>141</v>
      </c>
      <c r="C320" s="548" t="s">
        <v>177</v>
      </c>
      <c r="D320" s="549">
        <v>2016</v>
      </c>
      <c r="E320" s="549" t="s">
        <v>775</v>
      </c>
      <c r="F320" s="550">
        <v>87</v>
      </c>
      <c r="G320" s="550">
        <v>0</v>
      </c>
      <c r="H320" s="550">
        <v>0</v>
      </c>
      <c r="I320" s="550">
        <v>0</v>
      </c>
      <c r="J320" s="550">
        <v>107</v>
      </c>
      <c r="K320" s="550">
        <v>22</v>
      </c>
      <c r="L320" s="550">
        <v>22</v>
      </c>
      <c r="M320" s="550">
        <v>0</v>
      </c>
      <c r="N320" s="550">
        <v>106</v>
      </c>
      <c r="O320" s="550">
        <v>34</v>
      </c>
      <c r="P320" s="550">
        <v>124</v>
      </c>
      <c r="Q320" s="550">
        <v>0</v>
      </c>
      <c r="R320" s="551" t="str">
        <f t="shared" si="19"/>
        <v>HURON</v>
      </c>
      <c r="S320" s="552"/>
      <c r="T320" s="552"/>
      <c r="U320" s="552"/>
      <c r="V320" s="552"/>
      <c r="W320" s="552"/>
      <c r="X320" s="552"/>
      <c r="Y320" s="552"/>
      <c r="Z320" s="552"/>
      <c r="AA320" s="553"/>
      <c r="AB320" s="553"/>
    </row>
    <row r="321" spans="1:28" ht="12.75">
      <c r="A321" s="547" t="s">
        <v>295</v>
      </c>
      <c r="B321" s="547" t="s">
        <v>141</v>
      </c>
      <c r="C321" s="548" t="s">
        <v>177</v>
      </c>
      <c r="D321" s="549">
        <v>2017</v>
      </c>
      <c r="E321" s="549" t="s">
        <v>775</v>
      </c>
      <c r="F321" s="550">
        <v>87</v>
      </c>
      <c r="G321" s="550">
        <v>0</v>
      </c>
      <c r="H321" s="550">
        <v>0</v>
      </c>
      <c r="I321" s="550">
        <v>0</v>
      </c>
      <c r="J321" s="550">
        <v>107</v>
      </c>
      <c r="K321" s="550">
        <v>0</v>
      </c>
      <c r="L321" s="550">
        <v>0</v>
      </c>
      <c r="M321" s="550">
        <v>0</v>
      </c>
      <c r="N321" s="550">
        <v>106</v>
      </c>
      <c r="O321" s="550">
        <v>0</v>
      </c>
      <c r="P321" s="550">
        <v>124</v>
      </c>
      <c r="Q321" s="550">
        <v>0</v>
      </c>
      <c r="R321" s="551" t="str">
        <f t="shared" si="19"/>
        <v>HURON</v>
      </c>
      <c r="S321" s="255">
        <f>SUM(G319:G321) +SUM(K319:K321)</f>
        <v>22</v>
      </c>
      <c r="T321" s="255">
        <f>F321+J321</f>
        <v>194</v>
      </c>
      <c r="U321" s="255">
        <f>SUM(O319:O321)</f>
        <v>34</v>
      </c>
      <c r="V321" s="255">
        <f>N321</f>
        <v>106</v>
      </c>
      <c r="W321" s="83">
        <f>SUM(Q319:Q321)</f>
        <v>0</v>
      </c>
      <c r="X321" s="255">
        <f>P321</f>
        <v>124</v>
      </c>
      <c r="Y321" s="255">
        <f>S321+U321+SUM(Q319:Q321)</f>
        <v>56</v>
      </c>
      <c r="Z321" s="255">
        <f>F321+J321+N321+P321</f>
        <v>424</v>
      </c>
      <c r="AA321" s="553"/>
      <c r="AB321" s="553"/>
    </row>
    <row r="322" spans="1:28" ht="12.75">
      <c r="A322" s="547" t="s">
        <v>296</v>
      </c>
      <c r="B322" s="547" t="s">
        <v>141</v>
      </c>
      <c r="C322" s="548" t="s">
        <v>177</v>
      </c>
      <c r="D322" s="549">
        <v>2017</v>
      </c>
      <c r="E322" s="549" t="s">
        <v>775</v>
      </c>
      <c r="F322" s="550">
        <v>238</v>
      </c>
      <c r="G322" s="550">
        <v>0</v>
      </c>
      <c r="H322" s="550">
        <v>0</v>
      </c>
      <c r="I322" s="550">
        <v>0</v>
      </c>
      <c r="J322" s="550">
        <v>211</v>
      </c>
      <c r="K322" s="550">
        <v>5</v>
      </c>
      <c r="L322" s="550">
        <v>5</v>
      </c>
      <c r="M322" s="550">
        <v>0</v>
      </c>
      <c r="N322" s="550">
        <v>202</v>
      </c>
      <c r="O322" s="550">
        <v>34</v>
      </c>
      <c r="P322" s="550">
        <v>258</v>
      </c>
      <c r="Q322" s="550">
        <v>9</v>
      </c>
      <c r="R322" s="551" t="str">
        <f t="shared" si="19"/>
        <v>KERMAN</v>
      </c>
      <c r="S322" s="552"/>
      <c r="T322" s="552"/>
      <c r="U322" s="552"/>
      <c r="V322" s="552"/>
      <c r="W322" s="552"/>
      <c r="X322" s="552"/>
      <c r="Y322" s="552"/>
      <c r="Z322" s="552"/>
      <c r="AA322" s="553"/>
      <c r="AB322" s="553"/>
    </row>
    <row r="323" spans="1:28" ht="12.75">
      <c r="A323" s="547" t="s">
        <v>296</v>
      </c>
      <c r="B323" s="547" t="s">
        <v>141</v>
      </c>
      <c r="C323" s="548" t="s">
        <v>177</v>
      </c>
      <c r="D323" s="549">
        <v>2018</v>
      </c>
      <c r="E323" s="549" t="s">
        <v>775</v>
      </c>
      <c r="F323" s="550">
        <v>238</v>
      </c>
      <c r="G323" s="550">
        <v>0</v>
      </c>
      <c r="H323" s="550">
        <v>0</v>
      </c>
      <c r="I323" s="550">
        <v>0</v>
      </c>
      <c r="J323" s="550">
        <v>211</v>
      </c>
      <c r="K323" s="550">
        <v>1</v>
      </c>
      <c r="L323" s="550">
        <v>0</v>
      </c>
      <c r="M323" s="550">
        <v>1</v>
      </c>
      <c r="N323" s="550">
        <v>202</v>
      </c>
      <c r="O323" s="550">
        <v>37</v>
      </c>
      <c r="P323" s="550">
        <v>258</v>
      </c>
      <c r="Q323" s="550">
        <v>58</v>
      </c>
      <c r="R323" s="551" t="str">
        <f t="shared" si="19"/>
        <v>KERMAN</v>
      </c>
      <c r="S323" s="552"/>
      <c r="T323" s="552"/>
      <c r="U323" s="552"/>
      <c r="V323" s="552"/>
      <c r="W323" s="552"/>
      <c r="X323" s="552"/>
      <c r="Y323" s="552"/>
      <c r="Z323" s="552"/>
      <c r="AA323" s="553"/>
      <c r="AB323" s="553"/>
    </row>
    <row r="324" spans="1:28" ht="12.75">
      <c r="A324" s="547" t="s">
        <v>296</v>
      </c>
      <c r="B324" s="547" t="s">
        <v>141</v>
      </c>
      <c r="C324" s="548" t="s">
        <v>811</v>
      </c>
      <c r="D324" s="549">
        <v>2019</v>
      </c>
      <c r="E324" s="549" t="s">
        <v>775</v>
      </c>
      <c r="F324" s="550">
        <v>238</v>
      </c>
      <c r="G324" s="550">
        <v>1</v>
      </c>
      <c r="H324" s="550">
        <v>0</v>
      </c>
      <c r="I324" s="550">
        <v>1</v>
      </c>
      <c r="J324" s="550">
        <v>211</v>
      </c>
      <c r="K324" s="550">
        <v>7</v>
      </c>
      <c r="L324" s="550">
        <v>6</v>
      </c>
      <c r="M324" s="550">
        <v>1</v>
      </c>
      <c r="N324" s="550">
        <v>202</v>
      </c>
      <c r="O324" s="550">
        <v>58</v>
      </c>
      <c r="P324" s="550">
        <v>258</v>
      </c>
      <c r="Q324" s="550">
        <v>12</v>
      </c>
      <c r="R324" s="551" t="str">
        <f t="shared" si="19"/>
        <v>KERMAN</v>
      </c>
      <c r="S324" s="255">
        <f>SUM(G322:G324) +SUM(K322:K324)</f>
        <v>14</v>
      </c>
      <c r="T324" s="255">
        <f>F324+J324</f>
        <v>449</v>
      </c>
      <c r="U324" s="255">
        <f>SUM(O322:O324)</f>
        <v>129</v>
      </c>
      <c r="V324" s="255">
        <f>N324</f>
        <v>202</v>
      </c>
      <c r="W324" s="83">
        <f>SUM(Q322:Q324)</f>
        <v>79</v>
      </c>
      <c r="X324" s="255">
        <f>P324</f>
        <v>258</v>
      </c>
      <c r="Y324" s="255">
        <f>S324+U324+SUM(Q322:Q324)</f>
        <v>222</v>
      </c>
      <c r="Z324" s="255">
        <f>F324+J324+N324+P324</f>
        <v>909</v>
      </c>
      <c r="AA324" s="553"/>
      <c r="AB324" s="553"/>
    </row>
    <row r="325" spans="1:28" ht="12.75">
      <c r="A325" s="547" t="s">
        <v>297</v>
      </c>
      <c r="B325" s="547" t="s">
        <v>141</v>
      </c>
      <c r="C325" s="548" t="s">
        <v>177</v>
      </c>
      <c r="D325" s="549">
        <v>2017</v>
      </c>
      <c r="E325" s="549" t="s">
        <v>775</v>
      </c>
      <c r="F325" s="550">
        <v>113</v>
      </c>
      <c r="G325" s="550">
        <v>0</v>
      </c>
      <c r="H325" s="550">
        <v>0</v>
      </c>
      <c r="I325" s="550">
        <v>0</v>
      </c>
      <c r="J325" s="550">
        <v>70</v>
      </c>
      <c r="K325" s="550">
        <v>0</v>
      </c>
      <c r="L325" s="550">
        <v>0</v>
      </c>
      <c r="M325" s="550">
        <v>0</v>
      </c>
      <c r="N325" s="550">
        <v>60</v>
      </c>
      <c r="O325" s="550">
        <v>19</v>
      </c>
      <c r="P325" s="550">
        <v>131</v>
      </c>
      <c r="Q325" s="550">
        <v>0</v>
      </c>
      <c r="R325" s="551" t="str">
        <f t="shared" si="19"/>
        <v>KINGSBURG</v>
      </c>
      <c r="S325" s="552"/>
      <c r="T325" s="552"/>
      <c r="U325" s="552"/>
      <c r="V325" s="552"/>
      <c r="W325" s="552"/>
      <c r="X325" s="552"/>
      <c r="Y325" s="552"/>
      <c r="Z325" s="552"/>
      <c r="AA325" s="553"/>
      <c r="AB325" s="553"/>
    </row>
    <row r="326" spans="1:28" ht="12.75">
      <c r="A326" s="547" t="s">
        <v>297</v>
      </c>
      <c r="B326" s="547" t="s">
        <v>141</v>
      </c>
      <c r="C326" s="548" t="s">
        <v>811</v>
      </c>
      <c r="D326" s="549">
        <v>2019</v>
      </c>
      <c r="E326" s="549" t="s">
        <v>775</v>
      </c>
      <c r="F326" s="550">
        <v>113</v>
      </c>
      <c r="G326" s="550">
        <v>12</v>
      </c>
      <c r="H326" s="550">
        <v>0</v>
      </c>
      <c r="I326" s="550">
        <v>12</v>
      </c>
      <c r="J326" s="550">
        <v>70</v>
      </c>
      <c r="K326" s="550">
        <v>39</v>
      </c>
      <c r="L326" s="550">
        <v>35</v>
      </c>
      <c r="M326" s="550">
        <v>4</v>
      </c>
      <c r="N326" s="550">
        <v>60</v>
      </c>
      <c r="O326" s="550">
        <v>3</v>
      </c>
      <c r="P326" s="550">
        <v>131</v>
      </c>
      <c r="Q326" s="550">
        <v>62</v>
      </c>
      <c r="R326" s="551" t="str">
        <f t="shared" si="19"/>
        <v>KINGSBURG</v>
      </c>
      <c r="S326" s="255">
        <f>SUM(G325:G326) +SUM(K325:K326)</f>
        <v>51</v>
      </c>
      <c r="T326" s="255">
        <f t="shared" ref="T326:T327" si="24">F326+J326</f>
        <v>183</v>
      </c>
      <c r="U326" s="255">
        <f>SUM(O325:O326)</f>
        <v>22</v>
      </c>
      <c r="V326" s="255">
        <f t="shared" ref="V326:V327" si="25">N326</f>
        <v>60</v>
      </c>
      <c r="W326" s="83">
        <f>SUM(Q325:Q326)</f>
        <v>62</v>
      </c>
      <c r="X326" s="255">
        <f t="shared" ref="X326:X327" si="26">P326</f>
        <v>131</v>
      </c>
      <c r="Y326" s="255">
        <f>S326+U326+SUM(Q325:Q326)</f>
        <v>135</v>
      </c>
      <c r="Z326" s="255">
        <f t="shared" ref="Z326:Z327" si="27">F326+J326+N326+P326</f>
        <v>374</v>
      </c>
      <c r="AA326" s="553"/>
      <c r="AB326" s="553"/>
    </row>
    <row r="327" spans="1:28" ht="12.75">
      <c r="A327" s="547" t="s">
        <v>298</v>
      </c>
      <c r="B327" s="547" t="s">
        <v>141</v>
      </c>
      <c r="C327" s="548" t="s">
        <v>177</v>
      </c>
      <c r="D327" s="549">
        <v>2017</v>
      </c>
      <c r="E327" s="549" t="s">
        <v>775</v>
      </c>
      <c r="F327" s="550">
        <v>80</v>
      </c>
      <c r="G327" s="550">
        <v>0</v>
      </c>
      <c r="H327" s="550">
        <v>0</v>
      </c>
      <c r="I327" s="550">
        <v>0</v>
      </c>
      <c r="J327" s="550">
        <v>56</v>
      </c>
      <c r="K327" s="550">
        <v>0</v>
      </c>
      <c r="L327" s="550">
        <v>0</v>
      </c>
      <c r="M327" s="550">
        <v>0</v>
      </c>
      <c r="N327" s="550">
        <v>77</v>
      </c>
      <c r="O327" s="550">
        <v>61</v>
      </c>
      <c r="P327" s="550">
        <v>341</v>
      </c>
      <c r="Q327" s="550">
        <v>5</v>
      </c>
      <c r="R327" s="569" t="s">
        <v>298</v>
      </c>
      <c r="S327" s="552">
        <f>G327+K327</f>
        <v>0</v>
      </c>
      <c r="T327" s="255">
        <f t="shared" si="24"/>
        <v>136</v>
      </c>
      <c r="U327" s="552">
        <f>O327</f>
        <v>61</v>
      </c>
      <c r="V327" s="255">
        <f t="shared" si="25"/>
        <v>77</v>
      </c>
      <c r="W327" s="552">
        <f>Q327</f>
        <v>5</v>
      </c>
      <c r="X327" s="255">
        <f t="shared" si="26"/>
        <v>341</v>
      </c>
      <c r="Y327" s="552">
        <f>S327+U327+W327</f>
        <v>66</v>
      </c>
      <c r="Z327" s="255">
        <f t="shared" si="27"/>
        <v>554</v>
      </c>
      <c r="AA327" s="553"/>
      <c r="AB327" s="553"/>
    </row>
    <row r="328" spans="1:28" ht="12.75">
      <c r="A328" s="547" t="s">
        <v>299</v>
      </c>
      <c r="B328" s="547" t="s">
        <v>141</v>
      </c>
      <c r="C328" s="548" t="s">
        <v>177</v>
      </c>
      <c r="D328" s="549">
        <v>2018</v>
      </c>
      <c r="E328" s="549" t="s">
        <v>775</v>
      </c>
      <c r="F328" s="550">
        <v>111</v>
      </c>
      <c r="G328" s="550">
        <v>0</v>
      </c>
      <c r="H328" s="550">
        <v>0</v>
      </c>
      <c r="I328" s="550">
        <v>0</v>
      </c>
      <c r="J328" s="550">
        <v>86</v>
      </c>
      <c r="K328" s="550">
        <v>1</v>
      </c>
      <c r="L328" s="550">
        <v>0</v>
      </c>
      <c r="M328" s="550">
        <v>1</v>
      </c>
      <c r="N328" s="550">
        <v>105</v>
      </c>
      <c r="O328" s="550">
        <v>1</v>
      </c>
      <c r="P328" s="550">
        <v>367</v>
      </c>
      <c r="Q328" s="550">
        <v>0</v>
      </c>
      <c r="R328" s="551" t="str">
        <f t="shared" ref="R328:R345" si="28">A328</f>
        <v>ORANGE COVE</v>
      </c>
      <c r="S328" s="552"/>
      <c r="T328" s="552"/>
      <c r="U328" s="552"/>
      <c r="V328" s="552"/>
      <c r="W328" s="552"/>
      <c r="X328" s="552"/>
      <c r="Y328" s="552"/>
      <c r="Z328" s="552"/>
      <c r="AA328" s="553"/>
      <c r="AB328" s="553"/>
    </row>
    <row r="329" spans="1:28" ht="12.75">
      <c r="A329" s="547" t="s">
        <v>299</v>
      </c>
      <c r="B329" s="547" t="s">
        <v>141</v>
      </c>
      <c r="C329" s="548" t="s">
        <v>811</v>
      </c>
      <c r="D329" s="549">
        <v>2019</v>
      </c>
      <c r="E329" s="549" t="s">
        <v>775</v>
      </c>
      <c r="F329" s="550">
        <v>111</v>
      </c>
      <c r="G329" s="550">
        <v>0</v>
      </c>
      <c r="H329" s="550">
        <v>0</v>
      </c>
      <c r="I329" s="550">
        <v>0</v>
      </c>
      <c r="J329" s="550">
        <v>86</v>
      </c>
      <c r="K329" s="550">
        <v>0</v>
      </c>
      <c r="L329" s="550">
        <v>0</v>
      </c>
      <c r="M329" s="550">
        <v>0</v>
      </c>
      <c r="N329" s="550">
        <v>105</v>
      </c>
      <c r="O329" s="550">
        <v>0</v>
      </c>
      <c r="P329" s="550">
        <v>367</v>
      </c>
      <c r="Q329" s="550">
        <v>0</v>
      </c>
      <c r="R329" s="551" t="str">
        <f t="shared" si="28"/>
        <v>ORANGE COVE</v>
      </c>
      <c r="S329" s="255">
        <f>SUM(G328:G329) +SUM(K328:K329)</f>
        <v>1</v>
      </c>
      <c r="T329" s="255">
        <f>F329+J329</f>
        <v>197</v>
      </c>
      <c r="U329" s="255">
        <f>SUM(O328:O329)</f>
        <v>1</v>
      </c>
      <c r="V329" s="255">
        <f>N329</f>
        <v>105</v>
      </c>
      <c r="W329" s="83">
        <f>SUM(Q328:Q329)</f>
        <v>0</v>
      </c>
      <c r="X329" s="255">
        <f>P329</f>
        <v>367</v>
      </c>
      <c r="Y329" s="255">
        <f>S329+U329+SUM(Q328:Q329)</f>
        <v>2</v>
      </c>
      <c r="Z329" s="255">
        <f>F329+J329+N329+P329</f>
        <v>669</v>
      </c>
      <c r="AA329" s="553"/>
      <c r="AB329" s="553"/>
    </row>
    <row r="330" spans="1:28" ht="12.75">
      <c r="A330" s="547" t="s">
        <v>300</v>
      </c>
      <c r="B330" s="547" t="s">
        <v>141</v>
      </c>
      <c r="C330" s="548" t="s">
        <v>177</v>
      </c>
      <c r="D330" s="549">
        <v>2015</v>
      </c>
      <c r="E330" s="549" t="s">
        <v>775</v>
      </c>
      <c r="F330" s="550">
        <v>110</v>
      </c>
      <c r="G330" s="550">
        <v>53</v>
      </c>
      <c r="H330" s="550">
        <v>43</v>
      </c>
      <c r="I330" s="550">
        <v>10</v>
      </c>
      <c r="J330" s="550">
        <v>82</v>
      </c>
      <c r="K330" s="550">
        <v>2</v>
      </c>
      <c r="L330" s="550">
        <v>0</v>
      </c>
      <c r="M330" s="550">
        <v>2</v>
      </c>
      <c r="N330" s="550">
        <v>77</v>
      </c>
      <c r="O330" s="550">
        <v>0</v>
      </c>
      <c r="P330" s="550">
        <v>319</v>
      </c>
      <c r="Q330" s="550">
        <v>0</v>
      </c>
      <c r="R330" s="551" t="str">
        <f t="shared" si="28"/>
        <v>PARLIER</v>
      </c>
      <c r="S330" s="552"/>
      <c r="T330" s="552"/>
      <c r="U330" s="552"/>
      <c r="V330" s="552"/>
      <c r="W330" s="552"/>
      <c r="X330" s="552"/>
      <c r="Y330" s="552"/>
      <c r="Z330" s="552"/>
      <c r="AA330" s="553"/>
      <c r="AB330" s="553"/>
    </row>
    <row r="331" spans="1:28" ht="12.75">
      <c r="A331" s="547" t="s">
        <v>300</v>
      </c>
      <c r="B331" s="547" t="s">
        <v>141</v>
      </c>
      <c r="C331" s="548" t="s">
        <v>177</v>
      </c>
      <c r="D331" s="549">
        <v>2016</v>
      </c>
      <c r="E331" s="549" t="s">
        <v>775</v>
      </c>
      <c r="F331" s="550">
        <v>110</v>
      </c>
      <c r="G331" s="550">
        <v>56</v>
      </c>
      <c r="H331" s="550">
        <v>48</v>
      </c>
      <c r="I331" s="550">
        <v>8</v>
      </c>
      <c r="J331" s="550">
        <v>82</v>
      </c>
      <c r="K331" s="550">
        <v>4</v>
      </c>
      <c r="L331" s="550">
        <v>2</v>
      </c>
      <c r="M331" s="550">
        <v>2</v>
      </c>
      <c r="N331" s="550">
        <v>77</v>
      </c>
      <c r="O331" s="550">
        <v>3</v>
      </c>
      <c r="P331" s="550">
        <v>319</v>
      </c>
      <c r="Q331" s="550">
        <v>0</v>
      </c>
      <c r="R331" s="551" t="str">
        <f t="shared" si="28"/>
        <v>PARLIER</v>
      </c>
      <c r="S331" s="552"/>
      <c r="T331" s="552"/>
      <c r="U331" s="552"/>
      <c r="V331" s="552"/>
      <c r="W331" s="552"/>
      <c r="X331" s="552"/>
      <c r="Y331" s="552"/>
      <c r="Z331" s="552"/>
      <c r="AA331" s="553"/>
      <c r="AB331" s="553"/>
    </row>
    <row r="332" spans="1:28" ht="12.75">
      <c r="A332" s="547" t="s">
        <v>300</v>
      </c>
      <c r="B332" s="547" t="s">
        <v>141</v>
      </c>
      <c r="C332" s="548" t="s">
        <v>177</v>
      </c>
      <c r="D332" s="549">
        <v>2017</v>
      </c>
      <c r="E332" s="549" t="s">
        <v>775</v>
      </c>
      <c r="F332" s="550">
        <v>110</v>
      </c>
      <c r="G332" s="550">
        <v>7</v>
      </c>
      <c r="H332" s="550">
        <v>4</v>
      </c>
      <c r="I332" s="550">
        <v>3</v>
      </c>
      <c r="J332" s="550">
        <v>82</v>
      </c>
      <c r="K332" s="550">
        <v>27</v>
      </c>
      <c r="L332" s="550">
        <v>17</v>
      </c>
      <c r="M332" s="550">
        <v>10</v>
      </c>
      <c r="N332" s="550">
        <v>77</v>
      </c>
      <c r="O332" s="550">
        <v>0</v>
      </c>
      <c r="P332" s="550">
        <v>319</v>
      </c>
      <c r="Q332" s="550">
        <v>0</v>
      </c>
      <c r="R332" s="551" t="str">
        <f t="shared" si="28"/>
        <v>PARLIER</v>
      </c>
      <c r="S332" s="255">
        <f>SUM(G330:G332) +SUM(K330:K332)</f>
        <v>149</v>
      </c>
      <c r="T332" s="255">
        <f>F332+J332</f>
        <v>192</v>
      </c>
      <c r="U332" s="255">
        <f>SUM(O330:O332)</f>
        <v>3</v>
      </c>
      <c r="V332" s="255">
        <f>N332</f>
        <v>77</v>
      </c>
      <c r="W332" s="83">
        <f>SUM(Q330:Q332)</f>
        <v>0</v>
      </c>
      <c r="X332" s="255">
        <f>P332</f>
        <v>319</v>
      </c>
      <c r="Y332" s="255">
        <f>S332+U332+SUM(Q330:Q332)</f>
        <v>152</v>
      </c>
      <c r="Z332" s="255">
        <f>F332+J332+N332+P332</f>
        <v>588</v>
      </c>
      <c r="AA332" s="553"/>
      <c r="AB332" s="553"/>
    </row>
    <row r="333" spans="1:28" ht="12.75">
      <c r="A333" s="547" t="s">
        <v>301</v>
      </c>
      <c r="B333" s="555" t="s">
        <v>141</v>
      </c>
      <c r="C333" s="548" t="s">
        <v>177</v>
      </c>
      <c r="D333" s="549">
        <v>2015</v>
      </c>
      <c r="E333" s="549" t="s">
        <v>775</v>
      </c>
      <c r="F333" s="550">
        <v>393</v>
      </c>
      <c r="G333" s="550">
        <v>55</v>
      </c>
      <c r="H333" s="550">
        <v>55</v>
      </c>
      <c r="I333" s="550">
        <v>0</v>
      </c>
      <c r="J333" s="550">
        <v>204</v>
      </c>
      <c r="K333" s="550">
        <v>0</v>
      </c>
      <c r="L333" s="550">
        <v>0</v>
      </c>
      <c r="M333" s="550">
        <v>0</v>
      </c>
      <c r="N333" s="550">
        <v>161</v>
      </c>
      <c r="O333" s="550">
        <v>3</v>
      </c>
      <c r="P333" s="550">
        <v>553</v>
      </c>
      <c r="Q333" s="550">
        <v>5</v>
      </c>
      <c r="R333" s="551" t="str">
        <f t="shared" si="28"/>
        <v>REEDLEY</v>
      </c>
      <c r="S333" s="552"/>
      <c r="T333" s="552"/>
      <c r="U333" s="552"/>
      <c r="V333" s="552"/>
      <c r="W333" s="552"/>
      <c r="X333" s="552"/>
      <c r="Y333" s="552"/>
      <c r="Z333" s="552"/>
      <c r="AA333" s="553"/>
      <c r="AB333" s="553"/>
    </row>
    <row r="334" spans="1:28" ht="12.75">
      <c r="A334" s="547" t="s">
        <v>301</v>
      </c>
      <c r="B334" s="547" t="s">
        <v>141</v>
      </c>
      <c r="C334" s="548" t="s">
        <v>177</v>
      </c>
      <c r="D334" s="549">
        <v>2016</v>
      </c>
      <c r="E334" s="549" t="s">
        <v>775</v>
      </c>
      <c r="F334" s="550">
        <v>393</v>
      </c>
      <c r="G334" s="550">
        <v>0</v>
      </c>
      <c r="H334" s="550">
        <v>0</v>
      </c>
      <c r="I334" s="550">
        <v>0</v>
      </c>
      <c r="J334" s="550">
        <v>204</v>
      </c>
      <c r="K334" s="550">
        <v>0</v>
      </c>
      <c r="L334" s="550">
        <v>0</v>
      </c>
      <c r="M334" s="550">
        <v>0</v>
      </c>
      <c r="N334" s="550">
        <v>161</v>
      </c>
      <c r="O334" s="550">
        <v>9</v>
      </c>
      <c r="P334" s="550">
        <v>553</v>
      </c>
      <c r="Q334" s="550">
        <v>0</v>
      </c>
      <c r="R334" s="551" t="str">
        <f t="shared" si="28"/>
        <v>REEDLEY</v>
      </c>
      <c r="S334" s="552"/>
      <c r="T334" s="552"/>
      <c r="U334" s="552"/>
      <c r="V334" s="552"/>
      <c r="W334" s="552"/>
      <c r="X334" s="552"/>
      <c r="Y334" s="552"/>
      <c r="Z334" s="552"/>
      <c r="AA334" s="553"/>
      <c r="AB334" s="553"/>
    </row>
    <row r="335" spans="1:28" ht="12.75">
      <c r="A335" s="547" t="s">
        <v>301</v>
      </c>
      <c r="B335" s="547" t="s">
        <v>141</v>
      </c>
      <c r="C335" s="548" t="s">
        <v>177</v>
      </c>
      <c r="D335" s="549">
        <v>2017</v>
      </c>
      <c r="E335" s="549" t="s">
        <v>775</v>
      </c>
      <c r="F335" s="550">
        <v>393</v>
      </c>
      <c r="G335" s="550">
        <v>0</v>
      </c>
      <c r="H335" s="550">
        <v>0</v>
      </c>
      <c r="I335" s="550">
        <v>0</v>
      </c>
      <c r="J335" s="550">
        <v>204</v>
      </c>
      <c r="K335" s="550">
        <v>0</v>
      </c>
      <c r="L335" s="550">
        <v>0</v>
      </c>
      <c r="M335" s="550">
        <v>0</v>
      </c>
      <c r="N335" s="550">
        <v>161</v>
      </c>
      <c r="O335" s="550">
        <v>3</v>
      </c>
      <c r="P335" s="550">
        <v>553</v>
      </c>
      <c r="Q335" s="550">
        <v>1</v>
      </c>
      <c r="R335" s="551" t="str">
        <f t="shared" si="28"/>
        <v>REEDLEY</v>
      </c>
      <c r="S335" s="552"/>
      <c r="T335" s="552"/>
      <c r="U335" s="552"/>
      <c r="V335" s="552"/>
      <c r="W335" s="552"/>
      <c r="X335" s="552"/>
      <c r="Y335" s="552"/>
      <c r="Z335" s="552"/>
      <c r="AA335" s="553"/>
      <c r="AB335" s="553"/>
    </row>
    <row r="336" spans="1:28" ht="12.75">
      <c r="A336" s="547" t="s">
        <v>301</v>
      </c>
      <c r="B336" s="547" t="s">
        <v>141</v>
      </c>
      <c r="C336" s="548" t="s">
        <v>177</v>
      </c>
      <c r="D336" s="549">
        <v>2018</v>
      </c>
      <c r="E336" s="549" t="s">
        <v>775</v>
      </c>
      <c r="F336" s="550">
        <v>393</v>
      </c>
      <c r="G336" s="550">
        <v>0</v>
      </c>
      <c r="H336" s="550">
        <v>0</v>
      </c>
      <c r="I336" s="550">
        <v>0</v>
      </c>
      <c r="J336" s="550">
        <v>204</v>
      </c>
      <c r="K336" s="550">
        <v>1</v>
      </c>
      <c r="L336" s="550">
        <v>0</v>
      </c>
      <c r="M336" s="550">
        <v>1</v>
      </c>
      <c r="N336" s="550">
        <v>161</v>
      </c>
      <c r="O336" s="550">
        <v>21</v>
      </c>
      <c r="P336" s="550">
        <v>553</v>
      </c>
      <c r="Q336" s="550">
        <v>1</v>
      </c>
      <c r="R336" s="551" t="str">
        <f t="shared" si="28"/>
        <v>REEDLEY</v>
      </c>
      <c r="S336" s="552"/>
      <c r="T336" s="552"/>
      <c r="U336" s="552"/>
      <c r="V336" s="552"/>
      <c r="W336" s="552"/>
      <c r="X336" s="552"/>
      <c r="Y336" s="552"/>
      <c r="Z336" s="552"/>
      <c r="AA336" s="553"/>
      <c r="AB336" s="553"/>
    </row>
    <row r="337" spans="1:28" ht="12.75">
      <c r="A337" s="547" t="s">
        <v>301</v>
      </c>
      <c r="B337" s="547" t="s">
        <v>141</v>
      </c>
      <c r="C337" s="548" t="s">
        <v>811</v>
      </c>
      <c r="D337" s="549">
        <v>2019</v>
      </c>
      <c r="E337" s="549" t="s">
        <v>775</v>
      </c>
      <c r="F337" s="550">
        <v>393</v>
      </c>
      <c r="G337" s="550">
        <v>0</v>
      </c>
      <c r="H337" s="550">
        <v>0</v>
      </c>
      <c r="I337" s="550">
        <v>0</v>
      </c>
      <c r="J337" s="550">
        <v>204</v>
      </c>
      <c r="K337" s="550">
        <v>0</v>
      </c>
      <c r="L337" s="550">
        <v>0</v>
      </c>
      <c r="M337" s="550">
        <v>0</v>
      </c>
      <c r="N337" s="550">
        <v>161</v>
      </c>
      <c r="O337" s="550">
        <v>12</v>
      </c>
      <c r="P337" s="550">
        <v>553</v>
      </c>
      <c r="Q337" s="550">
        <v>0</v>
      </c>
      <c r="R337" s="551" t="str">
        <f t="shared" si="28"/>
        <v>REEDLEY</v>
      </c>
      <c r="S337" s="255">
        <f>SUM(G333:G337) +SUM(K333:K337)</f>
        <v>56</v>
      </c>
      <c r="T337" s="255">
        <f>F337+J337</f>
        <v>597</v>
      </c>
      <c r="U337" s="255">
        <f>SUM(O333:O337)</f>
        <v>48</v>
      </c>
      <c r="V337" s="255">
        <f>N337</f>
        <v>161</v>
      </c>
      <c r="W337" s="83">
        <f>SUM(Q333:Q337)</f>
        <v>7</v>
      </c>
      <c r="X337" s="255">
        <f>P337</f>
        <v>553</v>
      </c>
      <c r="Y337" s="255">
        <f>S337+U337+SUM(Q333:Q337)</f>
        <v>111</v>
      </c>
      <c r="Z337" s="255">
        <f>F337+J337+N337+P337</f>
        <v>1311</v>
      </c>
      <c r="AA337" s="553"/>
      <c r="AB337" s="553"/>
    </row>
    <row r="338" spans="1:28" ht="12.75">
      <c r="A338" s="547" t="s">
        <v>182</v>
      </c>
      <c r="B338" s="547" t="s">
        <v>141</v>
      </c>
      <c r="C338" s="548" t="s">
        <v>177</v>
      </c>
      <c r="D338" s="549">
        <v>2018</v>
      </c>
      <c r="E338" s="549" t="s">
        <v>775</v>
      </c>
      <c r="F338" s="550">
        <v>103</v>
      </c>
      <c r="G338" s="564"/>
      <c r="H338" s="564"/>
      <c r="I338" s="564"/>
      <c r="J338" s="550">
        <v>36</v>
      </c>
      <c r="K338" s="564"/>
      <c r="L338" s="564"/>
      <c r="M338" s="564"/>
      <c r="N338" s="550">
        <v>35</v>
      </c>
      <c r="O338" s="564"/>
      <c r="P338" s="550">
        <v>204</v>
      </c>
      <c r="Q338" s="564"/>
      <c r="R338" s="551" t="str">
        <f t="shared" si="28"/>
        <v>SAN JOAQUIN</v>
      </c>
      <c r="S338" s="552"/>
      <c r="T338" s="552"/>
      <c r="U338" s="552"/>
      <c r="V338" s="552"/>
      <c r="W338" s="552"/>
      <c r="X338" s="552"/>
      <c r="Y338" s="552"/>
      <c r="Z338" s="552"/>
      <c r="AA338" s="553"/>
      <c r="AB338" s="553"/>
    </row>
    <row r="339" spans="1:28" ht="12.75">
      <c r="A339" s="547" t="s">
        <v>182</v>
      </c>
      <c r="B339" s="547" t="s">
        <v>141</v>
      </c>
      <c r="C339" s="548" t="s">
        <v>811</v>
      </c>
      <c r="D339" s="549">
        <v>2019</v>
      </c>
      <c r="E339" s="549" t="s">
        <v>775</v>
      </c>
      <c r="F339" s="550">
        <v>103</v>
      </c>
      <c r="G339" s="550">
        <v>0</v>
      </c>
      <c r="H339" s="550">
        <v>0</v>
      </c>
      <c r="I339" s="550">
        <v>0</v>
      </c>
      <c r="J339" s="550">
        <v>36</v>
      </c>
      <c r="K339" s="550">
        <v>0</v>
      </c>
      <c r="L339" s="550">
        <v>0</v>
      </c>
      <c r="M339" s="550">
        <v>0</v>
      </c>
      <c r="N339" s="550">
        <v>35</v>
      </c>
      <c r="O339" s="550">
        <v>0</v>
      </c>
      <c r="P339" s="550">
        <v>204</v>
      </c>
      <c r="Q339" s="550">
        <v>0</v>
      </c>
      <c r="R339" s="551" t="str">
        <f t="shared" si="28"/>
        <v>SAN JOAQUIN</v>
      </c>
      <c r="S339" s="255">
        <f>SUM(G338:G339) +SUM(K338:K339)</f>
        <v>0</v>
      </c>
      <c r="T339" s="255">
        <f>F339+J339</f>
        <v>139</v>
      </c>
      <c r="U339" s="255">
        <f>SUM(O338:O339)</f>
        <v>0</v>
      </c>
      <c r="V339" s="255">
        <f>N339</f>
        <v>35</v>
      </c>
      <c r="W339" s="83">
        <f>SUM(Q338:Q339)</f>
        <v>0</v>
      </c>
      <c r="X339" s="255">
        <f>P339</f>
        <v>204</v>
      </c>
      <c r="Y339" s="255">
        <f>S339+U339+SUM(Q338:Q339)</f>
        <v>0</v>
      </c>
      <c r="Z339" s="255">
        <f>F339+J339+N339+P339</f>
        <v>378</v>
      </c>
      <c r="AA339" s="553"/>
      <c r="AB339" s="553"/>
    </row>
    <row r="340" spans="1:28" ht="12.75">
      <c r="A340" s="547" t="s">
        <v>302</v>
      </c>
      <c r="B340" s="547" t="s">
        <v>141</v>
      </c>
      <c r="C340" s="548" t="s">
        <v>177</v>
      </c>
      <c r="D340" s="549">
        <v>2016</v>
      </c>
      <c r="E340" s="549" t="s">
        <v>775</v>
      </c>
      <c r="F340" s="550">
        <v>312</v>
      </c>
      <c r="G340" s="550">
        <v>0</v>
      </c>
      <c r="H340" s="550">
        <v>0</v>
      </c>
      <c r="I340" s="550">
        <v>0</v>
      </c>
      <c r="J340" s="550">
        <v>175</v>
      </c>
      <c r="K340" s="550">
        <v>0</v>
      </c>
      <c r="L340" s="550">
        <v>0</v>
      </c>
      <c r="M340" s="550">
        <v>0</v>
      </c>
      <c r="N340" s="550">
        <v>163</v>
      </c>
      <c r="O340" s="550">
        <v>0</v>
      </c>
      <c r="P340" s="550">
        <v>568</v>
      </c>
      <c r="Q340" s="550">
        <v>0</v>
      </c>
      <c r="R340" s="551" t="str">
        <f t="shared" si="28"/>
        <v>SANGER</v>
      </c>
      <c r="S340" s="552"/>
      <c r="T340" s="552"/>
      <c r="U340" s="552"/>
      <c r="V340" s="552"/>
      <c r="W340" s="552"/>
      <c r="X340" s="552"/>
      <c r="Y340" s="552"/>
      <c r="Z340" s="552"/>
      <c r="AA340" s="553"/>
      <c r="AB340" s="553"/>
    </row>
    <row r="341" spans="1:28" ht="12.75">
      <c r="A341" s="547" t="s">
        <v>302</v>
      </c>
      <c r="B341" s="547" t="s">
        <v>141</v>
      </c>
      <c r="C341" s="548" t="s">
        <v>811</v>
      </c>
      <c r="D341" s="549">
        <v>2019</v>
      </c>
      <c r="E341" s="549" t="s">
        <v>775</v>
      </c>
      <c r="F341" s="550">
        <v>312</v>
      </c>
      <c r="G341" s="550">
        <v>0</v>
      </c>
      <c r="H341" s="550">
        <v>0</v>
      </c>
      <c r="I341" s="550">
        <v>0</v>
      </c>
      <c r="J341" s="550">
        <v>175</v>
      </c>
      <c r="K341" s="550">
        <v>0</v>
      </c>
      <c r="L341" s="550">
        <v>0</v>
      </c>
      <c r="M341" s="550">
        <v>0</v>
      </c>
      <c r="N341" s="550">
        <v>163</v>
      </c>
      <c r="O341" s="550">
        <v>33</v>
      </c>
      <c r="P341" s="550">
        <v>568</v>
      </c>
      <c r="Q341" s="550">
        <v>17</v>
      </c>
      <c r="R341" s="551" t="str">
        <f t="shared" si="28"/>
        <v>SANGER</v>
      </c>
      <c r="S341" s="255">
        <f>SUM(G340:G341) +SUM(K340:K341)</f>
        <v>0</v>
      </c>
      <c r="T341" s="255">
        <f>F341+J341</f>
        <v>487</v>
      </c>
      <c r="U341" s="255">
        <f>SUM(O340:O341)</f>
        <v>33</v>
      </c>
      <c r="V341" s="255">
        <f>N341</f>
        <v>163</v>
      </c>
      <c r="W341" s="83">
        <f>SUM(Q340:Q341)</f>
        <v>17</v>
      </c>
      <c r="X341" s="255">
        <f>P341</f>
        <v>568</v>
      </c>
      <c r="Y341" s="255">
        <f>S341+U341+SUM(Q340:Q341)</f>
        <v>50</v>
      </c>
      <c r="Z341" s="255">
        <f>F341+J341+N341+P341</f>
        <v>1218</v>
      </c>
      <c r="AA341" s="553"/>
      <c r="AB341" s="553"/>
    </row>
    <row r="342" spans="1:28" ht="12.75">
      <c r="A342" s="547" t="s">
        <v>303</v>
      </c>
      <c r="B342" s="547" t="s">
        <v>141</v>
      </c>
      <c r="C342" s="548" t="s">
        <v>177</v>
      </c>
      <c r="D342" s="549">
        <v>2015</v>
      </c>
      <c r="E342" s="549" t="s">
        <v>775</v>
      </c>
      <c r="F342" s="550">
        <v>140</v>
      </c>
      <c r="G342" s="550">
        <v>37</v>
      </c>
      <c r="H342" s="550">
        <v>37</v>
      </c>
      <c r="I342" s="550">
        <v>0</v>
      </c>
      <c r="J342" s="550">
        <v>115</v>
      </c>
      <c r="K342" s="550">
        <v>10</v>
      </c>
      <c r="L342" s="550">
        <v>10</v>
      </c>
      <c r="M342" s="550">
        <v>0</v>
      </c>
      <c r="N342" s="550">
        <v>69</v>
      </c>
      <c r="O342" s="550">
        <v>22</v>
      </c>
      <c r="P342" s="550">
        <v>281</v>
      </c>
      <c r="Q342" s="550">
        <v>0</v>
      </c>
      <c r="R342" s="551" t="str">
        <f t="shared" si="28"/>
        <v>SELMA</v>
      </c>
      <c r="S342" s="552"/>
      <c r="T342" s="552"/>
      <c r="U342" s="552"/>
      <c r="V342" s="552"/>
      <c r="W342" s="552"/>
      <c r="X342" s="552"/>
      <c r="Y342" s="552"/>
      <c r="Z342" s="552"/>
      <c r="AA342" s="553"/>
      <c r="AB342" s="553"/>
    </row>
    <row r="343" spans="1:28" ht="12.75">
      <c r="A343" s="547" t="s">
        <v>303</v>
      </c>
      <c r="B343" s="547" t="s">
        <v>141</v>
      </c>
      <c r="C343" s="548" t="s">
        <v>177</v>
      </c>
      <c r="D343" s="549">
        <v>2016</v>
      </c>
      <c r="E343" s="549" t="s">
        <v>775</v>
      </c>
      <c r="F343" s="550">
        <v>140</v>
      </c>
      <c r="G343" s="550">
        <v>18</v>
      </c>
      <c r="H343" s="550">
        <v>18</v>
      </c>
      <c r="I343" s="550">
        <v>0</v>
      </c>
      <c r="J343" s="550">
        <v>115</v>
      </c>
      <c r="K343" s="550">
        <v>29</v>
      </c>
      <c r="L343" s="550">
        <v>29</v>
      </c>
      <c r="M343" s="550">
        <v>0</v>
      </c>
      <c r="N343" s="550">
        <v>69</v>
      </c>
      <c r="O343" s="550">
        <v>0</v>
      </c>
      <c r="P343" s="550">
        <v>281</v>
      </c>
      <c r="Q343" s="550">
        <v>0</v>
      </c>
      <c r="R343" s="551" t="str">
        <f t="shared" si="28"/>
        <v>SELMA</v>
      </c>
      <c r="S343" s="552"/>
      <c r="T343" s="552"/>
      <c r="U343" s="552"/>
      <c r="V343" s="552"/>
      <c r="W343" s="552"/>
      <c r="X343" s="552"/>
      <c r="Y343" s="552"/>
      <c r="Z343" s="552"/>
      <c r="AA343" s="553"/>
      <c r="AB343" s="553"/>
    </row>
    <row r="344" spans="1:28" ht="12.75">
      <c r="A344" s="547" t="s">
        <v>303</v>
      </c>
      <c r="B344" s="547" t="s">
        <v>141</v>
      </c>
      <c r="C344" s="548" t="s">
        <v>177</v>
      </c>
      <c r="D344" s="549">
        <v>2017</v>
      </c>
      <c r="E344" s="549" t="s">
        <v>775</v>
      </c>
      <c r="F344" s="550">
        <v>140</v>
      </c>
      <c r="G344" s="550">
        <v>0</v>
      </c>
      <c r="H344" s="550">
        <v>0</v>
      </c>
      <c r="I344" s="550">
        <v>0</v>
      </c>
      <c r="J344" s="550">
        <v>115</v>
      </c>
      <c r="K344" s="550">
        <v>0</v>
      </c>
      <c r="L344" s="550">
        <v>0</v>
      </c>
      <c r="M344" s="550">
        <v>0</v>
      </c>
      <c r="N344" s="550">
        <v>69</v>
      </c>
      <c r="O344" s="550">
        <v>5</v>
      </c>
      <c r="P344" s="550">
        <v>281</v>
      </c>
      <c r="Q344" s="550">
        <v>2</v>
      </c>
      <c r="R344" s="551" t="str">
        <f t="shared" si="28"/>
        <v>SELMA</v>
      </c>
      <c r="S344" s="552"/>
      <c r="T344" s="552"/>
      <c r="U344" s="552"/>
      <c r="V344" s="552"/>
      <c r="W344" s="552"/>
      <c r="X344" s="552"/>
      <c r="Y344" s="552"/>
      <c r="Z344" s="552"/>
      <c r="AA344" s="553"/>
      <c r="AB344" s="553"/>
    </row>
    <row r="345" spans="1:28" ht="12.75">
      <c r="A345" s="547" t="s">
        <v>303</v>
      </c>
      <c r="B345" s="547" t="s">
        <v>141</v>
      </c>
      <c r="C345" s="548" t="s">
        <v>811</v>
      </c>
      <c r="D345" s="549">
        <v>2019</v>
      </c>
      <c r="E345" s="549" t="s">
        <v>775</v>
      </c>
      <c r="F345" s="550">
        <v>140</v>
      </c>
      <c r="G345" s="550">
        <v>0</v>
      </c>
      <c r="H345" s="550">
        <v>0</v>
      </c>
      <c r="I345" s="550">
        <v>0</v>
      </c>
      <c r="J345" s="550">
        <v>115</v>
      </c>
      <c r="K345" s="550">
        <v>0</v>
      </c>
      <c r="L345" s="550">
        <v>0</v>
      </c>
      <c r="M345" s="550">
        <v>0</v>
      </c>
      <c r="N345" s="550">
        <v>69</v>
      </c>
      <c r="O345" s="550">
        <v>13</v>
      </c>
      <c r="P345" s="550">
        <v>281</v>
      </c>
      <c r="Q345" s="550">
        <v>0</v>
      </c>
      <c r="R345" s="551" t="str">
        <f t="shared" si="28"/>
        <v>SELMA</v>
      </c>
      <c r="S345" s="561">
        <f>SUM(G342:G345) +SUM(K342:K345)</f>
        <v>94</v>
      </c>
      <c r="T345" s="561">
        <f>F345+J345</f>
        <v>255</v>
      </c>
      <c r="U345" s="561">
        <f>SUM(O342:O345)</f>
        <v>40</v>
      </c>
      <c r="V345" s="561">
        <f>N345</f>
        <v>69</v>
      </c>
      <c r="W345" s="562">
        <f>SUM(Q342:Q345)</f>
        <v>2</v>
      </c>
      <c r="X345" s="561">
        <f>P345</f>
        <v>281</v>
      </c>
      <c r="Y345" s="561">
        <f>S345+U345+SUM(Q342:Q345)</f>
        <v>136</v>
      </c>
      <c r="Z345" s="561">
        <f>F345+J345+N345+P345</f>
        <v>605</v>
      </c>
      <c r="AA345" s="553"/>
      <c r="AB345" s="553"/>
    </row>
    <row r="346" spans="1:28" ht="12.75">
      <c r="A346" s="547"/>
      <c r="B346" s="547"/>
      <c r="C346" s="548"/>
      <c r="D346" s="549"/>
      <c r="E346" s="549"/>
      <c r="F346" s="550"/>
      <c r="G346" s="550"/>
      <c r="H346" s="550"/>
      <c r="I346" s="550"/>
      <c r="J346" s="550"/>
      <c r="K346" s="550"/>
      <c r="L346" s="550"/>
      <c r="M346" s="550"/>
      <c r="N346" s="550"/>
      <c r="O346" s="550"/>
      <c r="P346" s="550"/>
      <c r="Q346" s="550"/>
      <c r="R346" s="551"/>
      <c r="S346" s="563">
        <f t="shared" ref="S346:X346" si="29">SUM(S298:S345)</f>
        <v>1445</v>
      </c>
      <c r="T346" s="563">
        <f t="shared" si="29"/>
        <v>17005</v>
      </c>
      <c r="U346" s="563">
        <f t="shared" si="29"/>
        <v>4445</v>
      </c>
      <c r="V346" s="563">
        <f t="shared" si="29"/>
        <v>6635</v>
      </c>
      <c r="W346" s="563">
        <f t="shared" si="29"/>
        <v>11526</v>
      </c>
      <c r="X346" s="563">
        <f t="shared" si="29"/>
        <v>17830</v>
      </c>
      <c r="Y346" s="563">
        <f>SUM(Y295:Y345)</f>
        <v>17416</v>
      </c>
      <c r="Z346" s="563">
        <f>SUM(Z298:Z345)</f>
        <v>41470</v>
      </c>
      <c r="AA346" s="553"/>
      <c r="AB346" s="553"/>
    </row>
    <row r="347" spans="1:28" ht="12.75">
      <c r="A347" s="547" t="s">
        <v>304</v>
      </c>
      <c r="B347" s="547" t="s">
        <v>144</v>
      </c>
      <c r="C347" s="548" t="s">
        <v>784</v>
      </c>
      <c r="D347" s="549">
        <v>2014</v>
      </c>
      <c r="E347" s="549" t="s">
        <v>775</v>
      </c>
      <c r="F347" s="550">
        <v>25</v>
      </c>
      <c r="G347" s="550">
        <v>1</v>
      </c>
      <c r="H347" s="550">
        <v>1</v>
      </c>
      <c r="I347" s="550">
        <v>0</v>
      </c>
      <c r="J347" s="550">
        <v>19</v>
      </c>
      <c r="K347" s="550">
        <v>3</v>
      </c>
      <c r="L347" s="550">
        <v>2</v>
      </c>
      <c r="M347" s="550">
        <v>1</v>
      </c>
      <c r="N347" s="550">
        <v>25</v>
      </c>
      <c r="O347" s="550">
        <v>1</v>
      </c>
      <c r="P347" s="550">
        <v>48</v>
      </c>
      <c r="Q347" s="550">
        <v>4</v>
      </c>
      <c r="R347" s="551" t="str">
        <f t="shared" ref="R347:R362" si="30">A347</f>
        <v>GLENN COUNTY</v>
      </c>
      <c r="S347" s="552"/>
      <c r="T347" s="552"/>
      <c r="U347" s="552"/>
      <c r="V347" s="552"/>
      <c r="W347" s="552"/>
      <c r="X347" s="552"/>
      <c r="Y347" s="552"/>
      <c r="Z347" s="552"/>
      <c r="AA347" s="553"/>
      <c r="AB347" s="553"/>
    </row>
    <row r="348" spans="1:28" ht="12.75">
      <c r="A348" s="547" t="s">
        <v>304</v>
      </c>
      <c r="B348" s="547" t="s">
        <v>144</v>
      </c>
      <c r="C348" s="548" t="s">
        <v>784</v>
      </c>
      <c r="D348" s="549">
        <v>2015</v>
      </c>
      <c r="E348" s="549" t="s">
        <v>775</v>
      </c>
      <c r="F348" s="550">
        <v>25</v>
      </c>
      <c r="G348" s="550">
        <v>4</v>
      </c>
      <c r="H348" s="550">
        <v>4</v>
      </c>
      <c r="I348" s="550">
        <v>0</v>
      </c>
      <c r="J348" s="550">
        <v>19</v>
      </c>
      <c r="K348" s="550">
        <v>1</v>
      </c>
      <c r="L348" s="550">
        <v>0</v>
      </c>
      <c r="M348" s="550">
        <v>1</v>
      </c>
      <c r="N348" s="550">
        <v>25</v>
      </c>
      <c r="O348" s="550">
        <v>1</v>
      </c>
      <c r="P348" s="550">
        <v>48</v>
      </c>
      <c r="Q348" s="550">
        <v>6</v>
      </c>
      <c r="R348" s="551" t="str">
        <f t="shared" si="30"/>
        <v>GLENN COUNTY</v>
      </c>
      <c r="S348" s="552"/>
      <c r="T348" s="552"/>
      <c r="U348" s="552"/>
      <c r="V348" s="552"/>
      <c r="W348" s="552"/>
      <c r="X348" s="552"/>
      <c r="Y348" s="552"/>
      <c r="Z348" s="552"/>
      <c r="AA348" s="553"/>
      <c r="AB348" s="553"/>
    </row>
    <row r="349" spans="1:28" ht="12.75">
      <c r="A349" s="547" t="s">
        <v>304</v>
      </c>
      <c r="B349" s="547" t="s">
        <v>144</v>
      </c>
      <c r="C349" s="548" t="s">
        <v>784</v>
      </c>
      <c r="D349" s="549">
        <v>2016</v>
      </c>
      <c r="E349" s="549" t="s">
        <v>775</v>
      </c>
      <c r="F349" s="550">
        <v>25</v>
      </c>
      <c r="G349" s="550">
        <v>1</v>
      </c>
      <c r="H349" s="550">
        <v>1</v>
      </c>
      <c r="I349" s="550">
        <v>0</v>
      </c>
      <c r="J349" s="550">
        <v>19</v>
      </c>
      <c r="K349" s="550">
        <v>3</v>
      </c>
      <c r="L349" s="550">
        <v>0</v>
      </c>
      <c r="M349" s="550">
        <v>3</v>
      </c>
      <c r="N349" s="550">
        <v>25</v>
      </c>
      <c r="O349" s="550">
        <v>2</v>
      </c>
      <c r="P349" s="550">
        <v>48</v>
      </c>
      <c r="Q349" s="550">
        <v>7</v>
      </c>
      <c r="R349" s="551" t="str">
        <f t="shared" si="30"/>
        <v>GLENN COUNTY</v>
      </c>
      <c r="S349" s="552"/>
      <c r="T349" s="552"/>
      <c r="U349" s="552"/>
      <c r="V349" s="552"/>
      <c r="W349" s="552"/>
      <c r="X349" s="552"/>
      <c r="Y349" s="552"/>
      <c r="Z349" s="552"/>
      <c r="AA349" s="553"/>
      <c r="AB349" s="553"/>
    </row>
    <row r="350" spans="1:28" ht="12.75">
      <c r="A350" s="547" t="s">
        <v>304</v>
      </c>
      <c r="B350" s="547" t="s">
        <v>144</v>
      </c>
      <c r="C350" s="548" t="s">
        <v>784</v>
      </c>
      <c r="D350" s="549">
        <v>2017</v>
      </c>
      <c r="E350" s="549" t="s">
        <v>775</v>
      </c>
      <c r="F350" s="550">
        <v>25</v>
      </c>
      <c r="G350" s="550">
        <v>4</v>
      </c>
      <c r="H350" s="550">
        <v>0</v>
      </c>
      <c r="I350" s="550">
        <v>4</v>
      </c>
      <c r="J350" s="550">
        <v>19</v>
      </c>
      <c r="K350" s="550">
        <v>3</v>
      </c>
      <c r="L350" s="550">
        <v>0</v>
      </c>
      <c r="M350" s="550">
        <v>3</v>
      </c>
      <c r="N350" s="550">
        <v>25</v>
      </c>
      <c r="O350" s="550">
        <v>5</v>
      </c>
      <c r="P350" s="550">
        <v>48</v>
      </c>
      <c r="Q350" s="550">
        <v>13</v>
      </c>
      <c r="R350" s="551" t="str">
        <f t="shared" si="30"/>
        <v>GLENN COUNTY</v>
      </c>
      <c r="S350" s="552"/>
      <c r="T350" s="552"/>
      <c r="U350" s="552"/>
      <c r="V350" s="552"/>
      <c r="W350" s="552"/>
      <c r="X350" s="552"/>
      <c r="Y350" s="552"/>
      <c r="Z350" s="552"/>
      <c r="AA350" s="553"/>
      <c r="AB350" s="553"/>
    </row>
    <row r="351" spans="1:28" ht="12.75">
      <c r="A351" s="547" t="s">
        <v>304</v>
      </c>
      <c r="B351" s="547" t="s">
        <v>144</v>
      </c>
      <c r="C351" s="548" t="s">
        <v>785</v>
      </c>
      <c r="D351" s="549">
        <v>2019</v>
      </c>
      <c r="E351" s="549" t="s">
        <v>775</v>
      </c>
      <c r="F351" s="550">
        <v>25</v>
      </c>
      <c r="G351" s="550">
        <v>0</v>
      </c>
      <c r="H351" s="550">
        <v>0</v>
      </c>
      <c r="I351" s="550">
        <v>0</v>
      </c>
      <c r="J351" s="550">
        <v>19</v>
      </c>
      <c r="K351" s="550">
        <v>8</v>
      </c>
      <c r="L351" s="550">
        <v>0</v>
      </c>
      <c r="M351" s="550">
        <v>8</v>
      </c>
      <c r="N351" s="550">
        <v>25</v>
      </c>
      <c r="O351" s="550">
        <v>11</v>
      </c>
      <c r="P351" s="550">
        <v>48</v>
      </c>
      <c r="Q351" s="550">
        <v>13</v>
      </c>
      <c r="R351" s="551" t="str">
        <f t="shared" si="30"/>
        <v>GLENN COUNTY</v>
      </c>
      <c r="S351" s="255">
        <f>SUM(G347:G351) +SUM(K347:K351)</f>
        <v>28</v>
      </c>
      <c r="T351" s="255">
        <f>F351+J351</f>
        <v>44</v>
      </c>
      <c r="U351" s="255">
        <f>SUM(O347:O351)</f>
        <v>20</v>
      </c>
      <c r="V351" s="255">
        <f>N351</f>
        <v>25</v>
      </c>
      <c r="W351" s="83">
        <f>SUM(Q347:Q351)</f>
        <v>43</v>
      </c>
      <c r="X351" s="255">
        <f>P351</f>
        <v>48</v>
      </c>
      <c r="Y351" s="255">
        <f>S351+U351+SUM(Q347:Q351)</f>
        <v>91</v>
      </c>
      <c r="Z351" s="255">
        <f>F351+J351+N351+P351</f>
        <v>117</v>
      </c>
      <c r="AA351" s="553"/>
      <c r="AB351" s="553"/>
    </row>
    <row r="352" spans="1:28" ht="12.75">
      <c r="A352" s="547" t="s">
        <v>305</v>
      </c>
      <c r="B352" s="547" t="s">
        <v>144</v>
      </c>
      <c r="C352" s="548" t="s">
        <v>784</v>
      </c>
      <c r="D352" s="549">
        <v>2014</v>
      </c>
      <c r="E352" s="549" t="s">
        <v>775</v>
      </c>
      <c r="F352" s="550">
        <v>20</v>
      </c>
      <c r="G352" s="550">
        <v>0</v>
      </c>
      <c r="H352" s="550">
        <v>0</v>
      </c>
      <c r="I352" s="550">
        <v>0</v>
      </c>
      <c r="J352" s="550">
        <v>10</v>
      </c>
      <c r="K352" s="550">
        <v>0</v>
      </c>
      <c r="L352" s="550">
        <v>0</v>
      </c>
      <c r="M352" s="550">
        <v>0</v>
      </c>
      <c r="N352" s="550">
        <v>14</v>
      </c>
      <c r="O352" s="550">
        <v>0</v>
      </c>
      <c r="P352" s="550">
        <v>36</v>
      </c>
      <c r="Q352" s="550">
        <v>0</v>
      </c>
      <c r="R352" s="551" t="str">
        <f t="shared" si="30"/>
        <v>ORLAND</v>
      </c>
      <c r="S352" s="552"/>
      <c r="T352" s="552"/>
      <c r="U352" s="552"/>
      <c r="V352" s="552"/>
      <c r="W352" s="552"/>
      <c r="X352" s="552"/>
      <c r="Y352" s="552"/>
      <c r="Z352" s="552"/>
      <c r="AA352" s="553"/>
      <c r="AB352" s="553"/>
    </row>
    <row r="353" spans="1:28" ht="12.75">
      <c r="A353" s="547" t="s">
        <v>305</v>
      </c>
      <c r="B353" s="547" t="s">
        <v>144</v>
      </c>
      <c r="C353" s="548" t="s">
        <v>784</v>
      </c>
      <c r="D353" s="549">
        <v>2015</v>
      </c>
      <c r="E353" s="549" t="s">
        <v>775</v>
      </c>
      <c r="F353" s="550">
        <v>20</v>
      </c>
      <c r="G353" s="550">
        <v>0</v>
      </c>
      <c r="H353" s="550">
        <v>0</v>
      </c>
      <c r="I353" s="550">
        <v>0</v>
      </c>
      <c r="J353" s="550">
        <v>10</v>
      </c>
      <c r="K353" s="550">
        <v>0</v>
      </c>
      <c r="L353" s="550">
        <v>0</v>
      </c>
      <c r="M353" s="550">
        <v>0</v>
      </c>
      <c r="N353" s="550">
        <v>14</v>
      </c>
      <c r="O353" s="550">
        <v>10</v>
      </c>
      <c r="P353" s="550">
        <v>36</v>
      </c>
      <c r="Q353" s="550">
        <v>0</v>
      </c>
      <c r="R353" s="551" t="str">
        <f t="shared" si="30"/>
        <v>ORLAND</v>
      </c>
      <c r="S353" s="552"/>
      <c r="T353" s="552"/>
      <c r="U353" s="552"/>
      <c r="V353" s="552"/>
      <c r="W353" s="552"/>
      <c r="X353" s="552"/>
      <c r="Y353" s="552"/>
      <c r="Z353" s="552"/>
      <c r="AA353" s="553"/>
      <c r="AB353" s="553"/>
    </row>
    <row r="354" spans="1:28" ht="12.75">
      <c r="A354" s="547" t="s">
        <v>305</v>
      </c>
      <c r="B354" s="547" t="s">
        <v>144</v>
      </c>
      <c r="C354" s="548" t="s">
        <v>784</v>
      </c>
      <c r="D354" s="549">
        <v>2016</v>
      </c>
      <c r="E354" s="549" t="s">
        <v>775</v>
      </c>
      <c r="F354" s="550">
        <v>20</v>
      </c>
      <c r="G354" s="550">
        <v>0</v>
      </c>
      <c r="H354" s="550">
        <v>0</v>
      </c>
      <c r="I354" s="550">
        <v>0</v>
      </c>
      <c r="J354" s="550">
        <v>10</v>
      </c>
      <c r="K354" s="550">
        <v>39</v>
      </c>
      <c r="L354" s="550">
        <v>39</v>
      </c>
      <c r="M354" s="550">
        <v>0</v>
      </c>
      <c r="N354" s="550">
        <v>14</v>
      </c>
      <c r="O354" s="550">
        <v>5</v>
      </c>
      <c r="P354" s="550">
        <v>36</v>
      </c>
      <c r="Q354" s="550">
        <v>0</v>
      </c>
      <c r="R354" s="551" t="str">
        <f t="shared" si="30"/>
        <v>ORLAND</v>
      </c>
      <c r="S354" s="552"/>
      <c r="T354" s="552"/>
      <c r="U354" s="552"/>
      <c r="V354" s="552"/>
      <c r="W354" s="552"/>
      <c r="X354" s="552"/>
      <c r="Y354" s="552"/>
      <c r="Z354" s="552"/>
      <c r="AA354" s="553"/>
      <c r="AB354" s="553"/>
    </row>
    <row r="355" spans="1:28" ht="12.75">
      <c r="A355" s="547" t="s">
        <v>305</v>
      </c>
      <c r="B355" s="547" t="s">
        <v>144</v>
      </c>
      <c r="C355" s="548" t="s">
        <v>784</v>
      </c>
      <c r="D355" s="549">
        <v>2017</v>
      </c>
      <c r="E355" s="549" t="s">
        <v>775</v>
      </c>
      <c r="F355" s="550">
        <v>20</v>
      </c>
      <c r="G355" s="550">
        <v>0</v>
      </c>
      <c r="H355" s="550">
        <v>0</v>
      </c>
      <c r="I355" s="550">
        <v>0</v>
      </c>
      <c r="J355" s="550">
        <v>10</v>
      </c>
      <c r="K355" s="550">
        <v>0</v>
      </c>
      <c r="L355" s="550">
        <v>0</v>
      </c>
      <c r="M355" s="550">
        <v>0</v>
      </c>
      <c r="N355" s="550">
        <v>14</v>
      </c>
      <c r="O355" s="550">
        <v>7</v>
      </c>
      <c r="P355" s="550">
        <v>36</v>
      </c>
      <c r="Q355" s="550">
        <v>0</v>
      </c>
      <c r="R355" s="551" t="str">
        <f t="shared" si="30"/>
        <v>ORLAND</v>
      </c>
      <c r="S355" s="552"/>
      <c r="T355" s="552"/>
      <c r="U355" s="552"/>
      <c r="V355" s="552"/>
      <c r="W355" s="552"/>
      <c r="X355" s="552"/>
      <c r="Y355" s="552"/>
      <c r="Z355" s="552"/>
      <c r="AA355" s="553"/>
      <c r="AB355" s="553"/>
    </row>
    <row r="356" spans="1:28" ht="12.75">
      <c r="A356" s="547" t="s">
        <v>305</v>
      </c>
      <c r="B356" s="547" t="s">
        <v>144</v>
      </c>
      <c r="C356" s="548" t="s">
        <v>784</v>
      </c>
      <c r="D356" s="549">
        <v>2018</v>
      </c>
      <c r="E356" s="549" t="s">
        <v>775</v>
      </c>
      <c r="F356" s="550">
        <v>20</v>
      </c>
      <c r="G356" s="550">
        <v>0</v>
      </c>
      <c r="H356" s="550">
        <v>0</v>
      </c>
      <c r="I356" s="550">
        <v>0</v>
      </c>
      <c r="J356" s="550">
        <v>10</v>
      </c>
      <c r="K356" s="550">
        <v>33</v>
      </c>
      <c r="L356" s="550">
        <v>33</v>
      </c>
      <c r="M356" s="550">
        <v>0</v>
      </c>
      <c r="N356" s="550">
        <v>14</v>
      </c>
      <c r="O356" s="550">
        <v>13</v>
      </c>
      <c r="P356" s="550">
        <v>36</v>
      </c>
      <c r="Q356" s="550">
        <v>0</v>
      </c>
      <c r="R356" s="551" t="str">
        <f t="shared" si="30"/>
        <v>ORLAND</v>
      </c>
      <c r="S356" s="552"/>
      <c r="T356" s="552"/>
      <c r="U356" s="552"/>
      <c r="V356" s="552"/>
      <c r="W356" s="552"/>
      <c r="X356" s="552"/>
      <c r="Y356" s="552"/>
      <c r="Z356" s="552"/>
      <c r="AA356" s="553"/>
      <c r="AB356" s="553"/>
    </row>
    <row r="357" spans="1:28" ht="12.75">
      <c r="A357" s="547" t="s">
        <v>305</v>
      </c>
      <c r="B357" s="547" t="s">
        <v>144</v>
      </c>
      <c r="C357" s="548" t="s">
        <v>785</v>
      </c>
      <c r="D357" s="549">
        <v>2019</v>
      </c>
      <c r="E357" s="549" t="s">
        <v>775</v>
      </c>
      <c r="F357" s="550">
        <v>20</v>
      </c>
      <c r="G357" s="550">
        <v>0</v>
      </c>
      <c r="H357" s="550">
        <v>0</v>
      </c>
      <c r="I357" s="550">
        <v>0</v>
      </c>
      <c r="J357" s="550">
        <v>10</v>
      </c>
      <c r="K357" s="550">
        <v>3</v>
      </c>
      <c r="L357" s="550">
        <v>0</v>
      </c>
      <c r="M357" s="550">
        <v>3</v>
      </c>
      <c r="N357" s="550">
        <v>14</v>
      </c>
      <c r="O357" s="550">
        <v>22</v>
      </c>
      <c r="P357" s="550">
        <v>36</v>
      </c>
      <c r="Q357" s="550">
        <v>0</v>
      </c>
      <c r="R357" s="551" t="str">
        <f t="shared" si="30"/>
        <v>ORLAND</v>
      </c>
      <c r="S357" s="552">
        <f>SUM(G352:G357) +SUM(K352:K357)</f>
        <v>75</v>
      </c>
      <c r="T357" s="552">
        <f>F357+J357</f>
        <v>30</v>
      </c>
      <c r="U357" s="552">
        <f>SUM(O352:O357)</f>
        <v>57</v>
      </c>
      <c r="V357" s="552">
        <f>N357</f>
        <v>14</v>
      </c>
      <c r="W357" s="554">
        <f>SUM(Q352:Q357)</f>
        <v>0</v>
      </c>
      <c r="X357" s="552">
        <f>P357</f>
        <v>36</v>
      </c>
      <c r="Y357" s="552">
        <f>S357+U357+SUM(Q352:Q357)</f>
        <v>132</v>
      </c>
      <c r="Z357" s="552">
        <f>F357+J357+N357+P357</f>
        <v>80</v>
      </c>
      <c r="AA357" s="553"/>
      <c r="AB357" s="553"/>
    </row>
    <row r="358" spans="1:28" ht="12.75">
      <c r="A358" s="547" t="s">
        <v>306</v>
      </c>
      <c r="B358" s="547" t="s">
        <v>144</v>
      </c>
      <c r="C358" s="548" t="s">
        <v>784</v>
      </c>
      <c r="D358" s="549">
        <v>2014</v>
      </c>
      <c r="E358" s="549" t="s">
        <v>775</v>
      </c>
      <c r="F358" s="550">
        <v>15</v>
      </c>
      <c r="G358" s="550">
        <v>0</v>
      </c>
      <c r="H358" s="550">
        <v>0</v>
      </c>
      <c r="I358" s="550">
        <v>0</v>
      </c>
      <c r="J358" s="550">
        <v>11</v>
      </c>
      <c r="K358" s="550">
        <v>0</v>
      </c>
      <c r="L358" s="550">
        <v>0</v>
      </c>
      <c r="M358" s="550">
        <v>0</v>
      </c>
      <c r="N358" s="550">
        <v>11</v>
      </c>
      <c r="O358" s="550">
        <v>0</v>
      </c>
      <c r="P358" s="550">
        <v>26</v>
      </c>
      <c r="Q358" s="550">
        <v>0</v>
      </c>
      <c r="R358" s="551" t="str">
        <f t="shared" si="30"/>
        <v>WILLOWS</v>
      </c>
      <c r="S358" s="552"/>
      <c r="T358" s="552"/>
      <c r="U358" s="552"/>
      <c r="V358" s="552"/>
      <c r="W358" s="552"/>
      <c r="X358" s="552"/>
      <c r="Y358" s="552"/>
      <c r="Z358" s="552"/>
      <c r="AA358" s="553"/>
      <c r="AB358" s="553"/>
    </row>
    <row r="359" spans="1:28" ht="12.75">
      <c r="A359" s="547" t="s">
        <v>306</v>
      </c>
      <c r="B359" s="547" t="s">
        <v>144</v>
      </c>
      <c r="C359" s="548" t="s">
        <v>784</v>
      </c>
      <c r="D359" s="549">
        <v>2015</v>
      </c>
      <c r="E359" s="549" t="s">
        <v>775</v>
      </c>
      <c r="F359" s="550">
        <v>15</v>
      </c>
      <c r="G359" s="550">
        <v>49</v>
      </c>
      <c r="H359" s="550">
        <v>49</v>
      </c>
      <c r="I359" s="550">
        <v>0</v>
      </c>
      <c r="J359" s="550">
        <v>11</v>
      </c>
      <c r="K359" s="550">
        <v>0</v>
      </c>
      <c r="L359" s="550">
        <v>0</v>
      </c>
      <c r="M359" s="550">
        <v>0</v>
      </c>
      <c r="N359" s="550">
        <v>11</v>
      </c>
      <c r="O359" s="550">
        <v>0</v>
      </c>
      <c r="P359" s="550">
        <v>26</v>
      </c>
      <c r="Q359" s="550">
        <v>0</v>
      </c>
      <c r="R359" s="551" t="str">
        <f t="shared" si="30"/>
        <v>WILLOWS</v>
      </c>
      <c r="S359" s="552"/>
      <c r="T359" s="552"/>
      <c r="U359" s="552"/>
      <c r="V359" s="552"/>
      <c r="W359" s="552"/>
      <c r="X359" s="552"/>
      <c r="Y359" s="552"/>
      <c r="Z359" s="552"/>
      <c r="AA359" s="553"/>
      <c r="AB359" s="553"/>
    </row>
    <row r="360" spans="1:28" ht="12.75">
      <c r="A360" s="547" t="s">
        <v>306</v>
      </c>
      <c r="B360" s="547" t="s">
        <v>144</v>
      </c>
      <c r="C360" s="548" t="s">
        <v>784</v>
      </c>
      <c r="D360" s="549">
        <v>2016</v>
      </c>
      <c r="E360" s="549" t="s">
        <v>775</v>
      </c>
      <c r="F360" s="550">
        <v>15</v>
      </c>
      <c r="G360" s="550">
        <v>0</v>
      </c>
      <c r="H360" s="550">
        <v>0</v>
      </c>
      <c r="I360" s="550">
        <v>0</v>
      </c>
      <c r="J360" s="550">
        <v>11</v>
      </c>
      <c r="K360" s="550">
        <v>2</v>
      </c>
      <c r="L360" s="550">
        <v>2</v>
      </c>
      <c r="M360" s="550">
        <v>0</v>
      </c>
      <c r="N360" s="550">
        <v>11</v>
      </c>
      <c r="O360" s="550">
        <v>1</v>
      </c>
      <c r="P360" s="550">
        <v>26</v>
      </c>
      <c r="Q360" s="550">
        <v>0</v>
      </c>
      <c r="R360" s="551" t="str">
        <f t="shared" si="30"/>
        <v>WILLOWS</v>
      </c>
      <c r="S360" s="552"/>
      <c r="T360" s="552"/>
      <c r="U360" s="552"/>
      <c r="V360" s="552"/>
      <c r="W360" s="552"/>
      <c r="X360" s="552"/>
      <c r="Y360" s="552"/>
      <c r="Z360" s="552"/>
      <c r="AA360" s="553"/>
      <c r="AB360" s="553"/>
    </row>
    <row r="361" spans="1:28" ht="12.75">
      <c r="A361" s="547" t="s">
        <v>306</v>
      </c>
      <c r="B361" s="547" t="s">
        <v>144</v>
      </c>
      <c r="C361" s="548" t="s">
        <v>784</v>
      </c>
      <c r="D361" s="549">
        <v>2017</v>
      </c>
      <c r="E361" s="549" t="s">
        <v>775</v>
      </c>
      <c r="F361" s="550">
        <v>15</v>
      </c>
      <c r="G361" s="550">
        <v>0</v>
      </c>
      <c r="H361" s="550">
        <v>0</v>
      </c>
      <c r="I361" s="550">
        <v>0</v>
      </c>
      <c r="J361" s="550">
        <v>11</v>
      </c>
      <c r="K361" s="550">
        <v>0</v>
      </c>
      <c r="L361" s="550">
        <v>0</v>
      </c>
      <c r="M361" s="550">
        <v>0</v>
      </c>
      <c r="N361" s="550">
        <v>11</v>
      </c>
      <c r="O361" s="550">
        <v>0</v>
      </c>
      <c r="P361" s="550">
        <v>26</v>
      </c>
      <c r="Q361" s="550">
        <v>2</v>
      </c>
      <c r="R361" s="551" t="str">
        <f t="shared" si="30"/>
        <v>WILLOWS</v>
      </c>
      <c r="S361" s="552"/>
      <c r="T361" s="552"/>
      <c r="U361" s="552"/>
      <c r="V361" s="552"/>
      <c r="W361" s="552"/>
      <c r="X361" s="552"/>
      <c r="Y361" s="552"/>
      <c r="Z361" s="552"/>
      <c r="AA361" s="553"/>
      <c r="AB361" s="553"/>
    </row>
    <row r="362" spans="1:28" ht="12.75">
      <c r="A362" s="547" t="s">
        <v>306</v>
      </c>
      <c r="B362" s="547" t="s">
        <v>144</v>
      </c>
      <c r="C362" s="548" t="s">
        <v>785</v>
      </c>
      <c r="D362" s="549">
        <v>2019</v>
      </c>
      <c r="E362" s="549" t="s">
        <v>775</v>
      </c>
      <c r="F362" s="550">
        <v>15</v>
      </c>
      <c r="G362" s="550">
        <v>0</v>
      </c>
      <c r="H362" s="550">
        <v>0</v>
      </c>
      <c r="I362" s="550">
        <v>0</v>
      </c>
      <c r="J362" s="550">
        <v>11</v>
      </c>
      <c r="K362" s="550">
        <v>2</v>
      </c>
      <c r="L362" s="550">
        <v>0</v>
      </c>
      <c r="M362" s="550">
        <v>2</v>
      </c>
      <c r="N362" s="550">
        <v>11</v>
      </c>
      <c r="O362" s="550">
        <v>0</v>
      </c>
      <c r="P362" s="550">
        <v>26</v>
      </c>
      <c r="Q362" s="550">
        <v>3</v>
      </c>
      <c r="R362" s="551" t="str">
        <f t="shared" si="30"/>
        <v>WILLOWS</v>
      </c>
      <c r="S362" s="561">
        <f>SUM(G358:G362) +SUM(K358:K362)</f>
        <v>53</v>
      </c>
      <c r="T362" s="561">
        <f>F362+J362</f>
        <v>26</v>
      </c>
      <c r="U362" s="561">
        <f>SUM(O358:O362)</f>
        <v>1</v>
      </c>
      <c r="V362" s="561">
        <f>N362</f>
        <v>11</v>
      </c>
      <c r="W362" s="562">
        <f>SUM(Q358:Q362)</f>
        <v>5</v>
      </c>
      <c r="X362" s="561">
        <f>P362</f>
        <v>26</v>
      </c>
      <c r="Y362" s="561">
        <f>S362+U362+SUM(Q358:Q362)</f>
        <v>59</v>
      </c>
      <c r="Z362" s="561">
        <f>F362+J362+N362+P362</f>
        <v>63</v>
      </c>
      <c r="AA362" s="553"/>
      <c r="AB362" s="553"/>
    </row>
    <row r="363" spans="1:28" ht="12.75">
      <c r="A363" s="547"/>
      <c r="B363" s="547"/>
      <c r="C363" s="548"/>
      <c r="D363" s="549"/>
      <c r="E363" s="549"/>
      <c r="F363" s="550"/>
      <c r="G363" s="550"/>
      <c r="H363" s="550"/>
      <c r="I363" s="550"/>
      <c r="J363" s="550"/>
      <c r="K363" s="550"/>
      <c r="L363" s="550"/>
      <c r="M363" s="550"/>
      <c r="N363" s="550"/>
      <c r="O363" s="550"/>
      <c r="P363" s="550"/>
      <c r="Q363" s="550"/>
      <c r="R363" s="551"/>
      <c r="S363" s="563">
        <f t="shared" ref="S363:Z363" si="31">SUM(S351+S357+S362)</f>
        <v>156</v>
      </c>
      <c r="T363" s="563">
        <f t="shared" si="31"/>
        <v>100</v>
      </c>
      <c r="U363" s="563">
        <f t="shared" si="31"/>
        <v>78</v>
      </c>
      <c r="V363" s="563">
        <f t="shared" si="31"/>
        <v>50</v>
      </c>
      <c r="W363" s="563">
        <f t="shared" si="31"/>
        <v>48</v>
      </c>
      <c r="X363" s="563">
        <f t="shared" si="31"/>
        <v>110</v>
      </c>
      <c r="Y363" s="563">
        <f t="shared" si="31"/>
        <v>282</v>
      </c>
      <c r="Z363" s="563">
        <f t="shared" si="31"/>
        <v>260</v>
      </c>
      <c r="AA363" s="553"/>
      <c r="AB363" s="553"/>
    </row>
    <row r="364" spans="1:28" ht="12.75">
      <c r="A364" s="547" t="s">
        <v>307</v>
      </c>
      <c r="B364" s="547" t="s">
        <v>145</v>
      </c>
      <c r="C364" s="548" t="s">
        <v>784</v>
      </c>
      <c r="D364" s="549">
        <v>2014</v>
      </c>
      <c r="E364" s="549" t="s">
        <v>775</v>
      </c>
      <c r="F364" s="550">
        <v>85</v>
      </c>
      <c r="G364" s="550">
        <v>26</v>
      </c>
      <c r="H364" s="550">
        <v>26</v>
      </c>
      <c r="I364" s="550">
        <v>0</v>
      </c>
      <c r="J364" s="550">
        <v>56</v>
      </c>
      <c r="K364" s="550">
        <v>5</v>
      </c>
      <c r="L364" s="550">
        <v>5</v>
      </c>
      <c r="M364" s="550">
        <v>0</v>
      </c>
      <c r="N364" s="550">
        <v>62</v>
      </c>
      <c r="O364" s="550">
        <v>8</v>
      </c>
      <c r="P364" s="550">
        <v>160</v>
      </c>
      <c r="Q364" s="550">
        <v>7</v>
      </c>
      <c r="R364" s="551" t="str">
        <f t="shared" ref="R364:R386" si="32">A364</f>
        <v>ARCATA</v>
      </c>
      <c r="S364" s="552"/>
      <c r="T364" s="552"/>
      <c r="U364" s="552"/>
      <c r="V364" s="552"/>
      <c r="W364" s="552"/>
      <c r="X364" s="552"/>
      <c r="Y364" s="552"/>
      <c r="Z364" s="552"/>
      <c r="AA364" s="553"/>
      <c r="AB364" s="553"/>
    </row>
    <row r="365" spans="1:28" ht="12.75">
      <c r="A365" s="547" t="s">
        <v>307</v>
      </c>
      <c r="B365" s="547" t="s">
        <v>145</v>
      </c>
      <c r="C365" s="548" t="s">
        <v>784</v>
      </c>
      <c r="D365" s="549">
        <v>2015</v>
      </c>
      <c r="E365" s="549" t="s">
        <v>775</v>
      </c>
      <c r="F365" s="550">
        <v>85</v>
      </c>
      <c r="G365" s="550">
        <v>17</v>
      </c>
      <c r="H365" s="550">
        <v>17</v>
      </c>
      <c r="I365" s="550">
        <v>0</v>
      </c>
      <c r="J365" s="550">
        <v>56</v>
      </c>
      <c r="K365" s="550">
        <v>0</v>
      </c>
      <c r="L365" s="550">
        <v>0</v>
      </c>
      <c r="M365" s="550">
        <v>0</v>
      </c>
      <c r="N365" s="550">
        <v>62</v>
      </c>
      <c r="O365" s="550">
        <v>3</v>
      </c>
      <c r="P365" s="550">
        <v>160</v>
      </c>
      <c r="Q365" s="550">
        <v>2</v>
      </c>
      <c r="R365" s="551" t="str">
        <f t="shared" si="32"/>
        <v>ARCATA</v>
      </c>
      <c r="S365" s="552"/>
      <c r="T365" s="552"/>
      <c r="U365" s="552"/>
      <c r="V365" s="552"/>
      <c r="W365" s="552"/>
      <c r="X365" s="552"/>
      <c r="Y365" s="552"/>
      <c r="Z365" s="552"/>
      <c r="AA365" s="553"/>
      <c r="AB365" s="553"/>
    </row>
    <row r="366" spans="1:28" ht="12.75">
      <c r="A366" s="547" t="s">
        <v>307</v>
      </c>
      <c r="B366" s="547" t="s">
        <v>145</v>
      </c>
      <c r="C366" s="548" t="s">
        <v>784</v>
      </c>
      <c r="D366" s="549">
        <v>2016</v>
      </c>
      <c r="E366" s="549" t="s">
        <v>775</v>
      </c>
      <c r="F366" s="550">
        <v>85</v>
      </c>
      <c r="G366" s="550">
        <v>0</v>
      </c>
      <c r="H366" s="550">
        <v>0</v>
      </c>
      <c r="I366" s="550">
        <v>0</v>
      </c>
      <c r="J366" s="550">
        <v>56</v>
      </c>
      <c r="K366" s="550">
        <v>0</v>
      </c>
      <c r="L366" s="550">
        <v>0</v>
      </c>
      <c r="M366" s="550">
        <v>0</v>
      </c>
      <c r="N366" s="550">
        <v>62</v>
      </c>
      <c r="O366" s="550">
        <v>43</v>
      </c>
      <c r="P366" s="550">
        <v>160</v>
      </c>
      <c r="Q366" s="550">
        <v>7</v>
      </c>
      <c r="R366" s="551" t="str">
        <f t="shared" si="32"/>
        <v>ARCATA</v>
      </c>
      <c r="S366" s="552"/>
      <c r="T366" s="552"/>
      <c r="U366" s="552"/>
      <c r="V366" s="552"/>
      <c r="W366" s="552"/>
      <c r="X366" s="552"/>
      <c r="Y366" s="552"/>
      <c r="Z366" s="552"/>
      <c r="AA366" s="553"/>
      <c r="AB366" s="553"/>
    </row>
    <row r="367" spans="1:28" ht="12.75">
      <c r="A367" s="547" t="s">
        <v>307</v>
      </c>
      <c r="B367" s="547" t="s">
        <v>145</v>
      </c>
      <c r="C367" s="548" t="s">
        <v>784</v>
      </c>
      <c r="D367" s="549">
        <v>2017</v>
      </c>
      <c r="E367" s="549" t="s">
        <v>775</v>
      </c>
      <c r="F367" s="550">
        <v>85</v>
      </c>
      <c r="G367" s="550">
        <v>0</v>
      </c>
      <c r="H367" s="550">
        <v>0</v>
      </c>
      <c r="I367" s="550">
        <v>0</v>
      </c>
      <c r="J367" s="550">
        <v>56</v>
      </c>
      <c r="K367" s="550">
        <v>0</v>
      </c>
      <c r="L367" s="550">
        <v>0</v>
      </c>
      <c r="M367" s="550">
        <v>0</v>
      </c>
      <c r="N367" s="550">
        <v>62</v>
      </c>
      <c r="O367" s="550">
        <v>164</v>
      </c>
      <c r="P367" s="550">
        <v>160</v>
      </c>
      <c r="Q367" s="550">
        <v>5</v>
      </c>
      <c r="R367" s="551" t="str">
        <f t="shared" si="32"/>
        <v>ARCATA</v>
      </c>
      <c r="S367" s="552"/>
      <c r="T367" s="552"/>
      <c r="U367" s="552"/>
      <c r="V367" s="552"/>
      <c r="W367" s="552"/>
      <c r="X367" s="552"/>
      <c r="Y367" s="552"/>
      <c r="Z367" s="552"/>
      <c r="AA367" s="553"/>
      <c r="AB367" s="553"/>
    </row>
    <row r="368" spans="1:28" ht="12.75">
      <c r="A368" s="547" t="s">
        <v>307</v>
      </c>
      <c r="B368" s="547" t="s">
        <v>145</v>
      </c>
      <c r="C368" s="548" t="s">
        <v>784</v>
      </c>
      <c r="D368" s="549">
        <v>2018</v>
      </c>
      <c r="E368" s="549" t="s">
        <v>775</v>
      </c>
      <c r="F368" s="550">
        <v>85</v>
      </c>
      <c r="G368" s="550">
        <v>0</v>
      </c>
      <c r="H368" s="550">
        <v>0</v>
      </c>
      <c r="I368" s="550">
        <v>0</v>
      </c>
      <c r="J368" s="550">
        <v>56</v>
      </c>
      <c r="K368" s="550">
        <v>0</v>
      </c>
      <c r="L368" s="550">
        <v>0</v>
      </c>
      <c r="M368" s="550">
        <v>0</v>
      </c>
      <c r="N368" s="550">
        <v>62</v>
      </c>
      <c r="O368" s="550">
        <v>40</v>
      </c>
      <c r="P368" s="550">
        <v>160</v>
      </c>
      <c r="Q368" s="550">
        <v>32</v>
      </c>
      <c r="R368" s="551" t="str">
        <f t="shared" si="32"/>
        <v>ARCATA</v>
      </c>
      <c r="S368" s="552"/>
      <c r="T368" s="552"/>
      <c r="U368" s="552"/>
      <c r="V368" s="552"/>
      <c r="W368" s="552"/>
      <c r="X368" s="552"/>
      <c r="Y368" s="552"/>
      <c r="Z368" s="552"/>
      <c r="AA368" s="553"/>
      <c r="AB368" s="553"/>
    </row>
    <row r="369" spans="1:28" ht="12.75">
      <c r="A369" s="547" t="s">
        <v>307</v>
      </c>
      <c r="B369" s="547" t="s">
        <v>145</v>
      </c>
      <c r="C369" s="548" t="s">
        <v>785</v>
      </c>
      <c r="D369" s="549">
        <v>2019</v>
      </c>
      <c r="E369" s="549" t="s">
        <v>775</v>
      </c>
      <c r="F369" s="550">
        <v>85</v>
      </c>
      <c r="G369" s="550">
        <v>0</v>
      </c>
      <c r="H369" s="550">
        <v>0</v>
      </c>
      <c r="I369" s="550">
        <v>0</v>
      </c>
      <c r="J369" s="550">
        <v>56</v>
      </c>
      <c r="K369" s="550">
        <v>10</v>
      </c>
      <c r="L369" s="550">
        <v>0</v>
      </c>
      <c r="M369" s="550">
        <v>10</v>
      </c>
      <c r="N369" s="550">
        <v>62</v>
      </c>
      <c r="O369" s="550">
        <v>6</v>
      </c>
      <c r="P369" s="550">
        <v>160</v>
      </c>
      <c r="Q369" s="550">
        <v>9</v>
      </c>
      <c r="R369" s="551" t="str">
        <f t="shared" si="32"/>
        <v>ARCATA</v>
      </c>
      <c r="S369" s="552">
        <f>SUM(G364:G369) +SUM(K364:K369)</f>
        <v>58</v>
      </c>
      <c r="T369" s="552">
        <f>F369+J369</f>
        <v>141</v>
      </c>
      <c r="U369" s="552">
        <f>SUM(O364:O369)</f>
        <v>264</v>
      </c>
      <c r="V369" s="552">
        <f>N369</f>
        <v>62</v>
      </c>
      <c r="W369" s="554">
        <f>SUM(Q364:Q369)</f>
        <v>62</v>
      </c>
      <c r="X369" s="552">
        <f>P369</f>
        <v>160</v>
      </c>
      <c r="Y369" s="552">
        <f>S369+U369+SUM(Q364:Q369)</f>
        <v>384</v>
      </c>
      <c r="Z369" s="552">
        <f>F369+J369+N369+P369</f>
        <v>363</v>
      </c>
      <c r="AA369" s="553"/>
      <c r="AB369" s="553"/>
    </row>
    <row r="370" spans="1:28" ht="12.75">
      <c r="A370" s="547" t="s">
        <v>309</v>
      </c>
      <c r="B370" s="547" t="s">
        <v>145</v>
      </c>
      <c r="C370" s="548" t="s">
        <v>784</v>
      </c>
      <c r="D370" s="549">
        <v>2014</v>
      </c>
      <c r="E370" s="549" t="s">
        <v>775</v>
      </c>
      <c r="F370" s="550">
        <v>145</v>
      </c>
      <c r="G370" s="550">
        <v>0</v>
      </c>
      <c r="H370" s="550">
        <v>0</v>
      </c>
      <c r="I370" s="550">
        <v>0</v>
      </c>
      <c r="J370" s="550">
        <v>96</v>
      </c>
      <c r="K370" s="550">
        <v>0</v>
      </c>
      <c r="L370" s="550">
        <v>0</v>
      </c>
      <c r="M370" s="550">
        <v>0</v>
      </c>
      <c r="N370" s="550">
        <v>104</v>
      </c>
      <c r="O370" s="550">
        <v>0</v>
      </c>
      <c r="P370" s="550">
        <v>264</v>
      </c>
      <c r="Q370" s="550">
        <v>7</v>
      </c>
      <c r="R370" s="551" t="str">
        <f t="shared" si="32"/>
        <v>EUREKA</v>
      </c>
      <c r="S370" s="552"/>
      <c r="T370" s="552"/>
      <c r="U370" s="552"/>
      <c r="V370" s="552"/>
      <c r="W370" s="552"/>
      <c r="X370" s="552"/>
      <c r="Y370" s="552"/>
      <c r="Z370" s="552"/>
      <c r="AA370" s="553"/>
      <c r="AB370" s="553"/>
    </row>
    <row r="371" spans="1:28" ht="12.75">
      <c r="A371" s="547" t="s">
        <v>309</v>
      </c>
      <c r="B371" s="547" t="s">
        <v>145</v>
      </c>
      <c r="C371" s="548" t="s">
        <v>784</v>
      </c>
      <c r="D371" s="549">
        <v>2015</v>
      </c>
      <c r="E371" s="549" t="s">
        <v>775</v>
      </c>
      <c r="F371" s="550">
        <v>145</v>
      </c>
      <c r="G371" s="550">
        <v>0</v>
      </c>
      <c r="H371" s="550">
        <v>0</v>
      </c>
      <c r="I371" s="550">
        <v>0</v>
      </c>
      <c r="J371" s="550">
        <v>96</v>
      </c>
      <c r="K371" s="550">
        <v>55</v>
      </c>
      <c r="L371" s="550">
        <v>49</v>
      </c>
      <c r="M371" s="550">
        <v>6</v>
      </c>
      <c r="N371" s="550">
        <v>104</v>
      </c>
      <c r="O371" s="550">
        <v>8</v>
      </c>
      <c r="P371" s="550">
        <v>264</v>
      </c>
      <c r="Q371" s="550">
        <v>14</v>
      </c>
      <c r="R371" s="551" t="str">
        <f t="shared" si="32"/>
        <v>EUREKA</v>
      </c>
      <c r="S371" s="552"/>
      <c r="T371" s="552"/>
      <c r="U371" s="552"/>
      <c r="V371" s="552"/>
      <c r="W371" s="552"/>
      <c r="X371" s="552"/>
      <c r="Y371" s="552"/>
      <c r="Z371" s="552"/>
      <c r="AA371" s="553"/>
      <c r="AB371" s="553"/>
    </row>
    <row r="372" spans="1:28" ht="12.75">
      <c r="A372" s="547" t="s">
        <v>309</v>
      </c>
      <c r="B372" s="547" t="s">
        <v>145</v>
      </c>
      <c r="C372" s="548" t="s">
        <v>784</v>
      </c>
      <c r="D372" s="549">
        <v>2016</v>
      </c>
      <c r="E372" s="549" t="s">
        <v>775</v>
      </c>
      <c r="F372" s="550">
        <v>145</v>
      </c>
      <c r="G372" s="550">
        <v>0</v>
      </c>
      <c r="H372" s="550">
        <v>0</v>
      </c>
      <c r="I372" s="550">
        <v>0</v>
      </c>
      <c r="J372" s="550">
        <v>96</v>
      </c>
      <c r="K372" s="550">
        <v>0</v>
      </c>
      <c r="L372" s="550">
        <v>0</v>
      </c>
      <c r="M372" s="550">
        <v>0</v>
      </c>
      <c r="N372" s="550">
        <v>104</v>
      </c>
      <c r="O372" s="550">
        <v>0</v>
      </c>
      <c r="P372" s="550">
        <v>264</v>
      </c>
      <c r="Q372" s="550">
        <v>4</v>
      </c>
      <c r="R372" s="551" t="str">
        <f t="shared" si="32"/>
        <v>EUREKA</v>
      </c>
      <c r="S372" s="552"/>
      <c r="T372" s="552"/>
      <c r="U372" s="552"/>
      <c r="V372" s="552"/>
      <c r="W372" s="552"/>
      <c r="X372" s="552"/>
      <c r="Y372" s="552"/>
      <c r="Z372" s="552"/>
      <c r="AA372" s="553"/>
      <c r="AB372" s="553"/>
    </row>
    <row r="373" spans="1:28" ht="12.75">
      <c r="A373" s="547" t="s">
        <v>309</v>
      </c>
      <c r="B373" s="555" t="s">
        <v>145</v>
      </c>
      <c r="C373" s="548" t="s">
        <v>784</v>
      </c>
      <c r="D373" s="549">
        <v>2017</v>
      </c>
      <c r="E373" s="549" t="s">
        <v>775</v>
      </c>
      <c r="F373" s="550">
        <v>145</v>
      </c>
      <c r="G373" s="550">
        <v>0</v>
      </c>
      <c r="H373" s="550">
        <v>0</v>
      </c>
      <c r="I373" s="550">
        <v>0</v>
      </c>
      <c r="J373" s="550">
        <v>96</v>
      </c>
      <c r="K373" s="550">
        <v>0</v>
      </c>
      <c r="L373" s="550">
        <v>0</v>
      </c>
      <c r="M373" s="550">
        <v>0</v>
      </c>
      <c r="N373" s="550">
        <v>104</v>
      </c>
      <c r="O373" s="550">
        <v>0</v>
      </c>
      <c r="P373" s="550">
        <v>264</v>
      </c>
      <c r="Q373" s="550">
        <v>16</v>
      </c>
      <c r="R373" s="551" t="str">
        <f t="shared" si="32"/>
        <v>EUREKA</v>
      </c>
      <c r="S373" s="552"/>
      <c r="T373" s="552"/>
      <c r="U373" s="552"/>
      <c r="V373" s="552"/>
      <c r="W373" s="552"/>
      <c r="X373" s="552"/>
      <c r="Y373" s="552"/>
      <c r="Z373" s="552"/>
      <c r="AA373" s="553"/>
      <c r="AB373" s="553"/>
    </row>
    <row r="374" spans="1:28" ht="12.75">
      <c r="A374" s="547" t="s">
        <v>309</v>
      </c>
      <c r="B374" s="547" t="s">
        <v>145</v>
      </c>
      <c r="C374" s="548" t="s">
        <v>784</v>
      </c>
      <c r="D374" s="549">
        <v>2018</v>
      </c>
      <c r="E374" s="549" t="s">
        <v>775</v>
      </c>
      <c r="F374" s="550">
        <v>145</v>
      </c>
      <c r="G374" s="550">
        <v>38</v>
      </c>
      <c r="H374" s="550">
        <v>38</v>
      </c>
      <c r="I374" s="550">
        <v>0</v>
      </c>
      <c r="J374" s="550">
        <v>96</v>
      </c>
      <c r="K374" s="550">
        <v>12</v>
      </c>
      <c r="L374" s="550">
        <v>12</v>
      </c>
      <c r="M374" s="550">
        <v>0</v>
      </c>
      <c r="N374" s="550">
        <v>104</v>
      </c>
      <c r="O374" s="550">
        <v>0</v>
      </c>
      <c r="P374" s="550">
        <v>264</v>
      </c>
      <c r="Q374" s="550">
        <v>30</v>
      </c>
      <c r="R374" s="551" t="str">
        <f t="shared" si="32"/>
        <v>EUREKA</v>
      </c>
      <c r="S374" s="255">
        <f>SUM(G370:G374) +SUM(K370:K374)</f>
        <v>105</v>
      </c>
      <c r="T374" s="255">
        <f t="shared" ref="T374:T375" si="33">F374+J374</f>
        <v>241</v>
      </c>
      <c r="U374" s="255">
        <f>SUM(O370:O374)</f>
        <v>8</v>
      </c>
      <c r="V374" s="255">
        <f t="shared" ref="V374:V375" si="34">N374</f>
        <v>104</v>
      </c>
      <c r="W374" s="83">
        <f>SUM(Q370:Q374)</f>
        <v>71</v>
      </c>
      <c r="X374" s="255">
        <f t="shared" ref="X374:X375" si="35">P374</f>
        <v>264</v>
      </c>
      <c r="Y374" s="255">
        <f>S374+U374+SUM(Q370:Q374)</f>
        <v>184</v>
      </c>
      <c r="Z374" s="255">
        <f t="shared" ref="Z374:Z375" si="36">F374+J374+N374+P374</f>
        <v>609</v>
      </c>
      <c r="AA374" s="553"/>
      <c r="AB374" s="553"/>
    </row>
    <row r="375" spans="1:28" ht="12.75">
      <c r="A375" s="547" t="s">
        <v>310</v>
      </c>
      <c r="B375" s="547" t="s">
        <v>145</v>
      </c>
      <c r="C375" s="548" t="s">
        <v>785</v>
      </c>
      <c r="D375" s="549">
        <v>2019</v>
      </c>
      <c r="E375" s="549" t="s">
        <v>775</v>
      </c>
      <c r="F375" s="550">
        <v>6</v>
      </c>
      <c r="G375" s="550">
        <v>0</v>
      </c>
      <c r="H375" s="550">
        <v>0</v>
      </c>
      <c r="I375" s="550">
        <v>0</v>
      </c>
      <c r="J375" s="550">
        <v>3</v>
      </c>
      <c r="K375" s="550">
        <v>5</v>
      </c>
      <c r="L375" s="550">
        <v>0</v>
      </c>
      <c r="M375" s="550">
        <v>5</v>
      </c>
      <c r="N375" s="550">
        <v>4</v>
      </c>
      <c r="O375" s="550">
        <v>3</v>
      </c>
      <c r="P375" s="550">
        <v>8</v>
      </c>
      <c r="Q375" s="550">
        <v>0</v>
      </c>
      <c r="R375" s="551" t="str">
        <f t="shared" si="32"/>
        <v>FERNDALE</v>
      </c>
      <c r="S375" s="552">
        <f>G375+K375</f>
        <v>5</v>
      </c>
      <c r="T375" s="255">
        <f t="shared" si="33"/>
        <v>9</v>
      </c>
      <c r="U375" s="552">
        <f>O375</f>
        <v>3</v>
      </c>
      <c r="V375" s="255">
        <f t="shared" si="34"/>
        <v>4</v>
      </c>
      <c r="W375" s="552">
        <f>Q375</f>
        <v>0</v>
      </c>
      <c r="X375" s="255">
        <f t="shared" si="35"/>
        <v>8</v>
      </c>
      <c r="Y375" s="552">
        <f>S375+U375+W375</f>
        <v>8</v>
      </c>
      <c r="Z375" s="255">
        <f t="shared" si="36"/>
        <v>21</v>
      </c>
      <c r="AA375" s="553"/>
      <c r="AB375" s="553"/>
    </row>
    <row r="376" spans="1:28" ht="12.75">
      <c r="A376" s="547" t="s">
        <v>311</v>
      </c>
      <c r="B376" s="547" t="s">
        <v>145</v>
      </c>
      <c r="C376" s="548" t="s">
        <v>784</v>
      </c>
      <c r="D376" s="549">
        <v>2017</v>
      </c>
      <c r="E376" s="549" t="s">
        <v>775</v>
      </c>
      <c r="F376" s="550">
        <v>39</v>
      </c>
      <c r="G376" s="550">
        <v>0</v>
      </c>
      <c r="H376" s="550">
        <v>0</v>
      </c>
      <c r="I376" s="550">
        <v>0</v>
      </c>
      <c r="J376" s="550">
        <v>24</v>
      </c>
      <c r="K376" s="550">
        <v>0</v>
      </c>
      <c r="L376" s="550">
        <v>0</v>
      </c>
      <c r="M376" s="550">
        <v>0</v>
      </c>
      <c r="N376" s="550">
        <v>27</v>
      </c>
      <c r="O376" s="550">
        <v>4</v>
      </c>
      <c r="P376" s="550">
        <v>71</v>
      </c>
      <c r="Q376" s="550">
        <v>5</v>
      </c>
      <c r="R376" s="551" t="str">
        <f t="shared" si="32"/>
        <v>FORTUNA</v>
      </c>
      <c r="S376" s="552"/>
      <c r="T376" s="552"/>
      <c r="U376" s="552"/>
      <c r="V376" s="552"/>
      <c r="W376" s="552"/>
      <c r="X376" s="552"/>
      <c r="Y376" s="552"/>
      <c r="Z376" s="552"/>
      <c r="AA376" s="553"/>
      <c r="AB376" s="553"/>
    </row>
    <row r="377" spans="1:28" ht="12.75">
      <c r="A377" s="547" t="s">
        <v>311</v>
      </c>
      <c r="B377" s="547" t="s">
        <v>145</v>
      </c>
      <c r="C377" s="548" t="s">
        <v>784</v>
      </c>
      <c r="D377" s="549">
        <v>2018</v>
      </c>
      <c r="E377" s="549" t="s">
        <v>775</v>
      </c>
      <c r="F377" s="550">
        <v>39</v>
      </c>
      <c r="G377" s="550">
        <v>0</v>
      </c>
      <c r="H377" s="550">
        <v>0</v>
      </c>
      <c r="I377" s="550">
        <v>0</v>
      </c>
      <c r="J377" s="550">
        <v>24</v>
      </c>
      <c r="K377" s="550">
        <v>0</v>
      </c>
      <c r="L377" s="550">
        <v>0</v>
      </c>
      <c r="M377" s="550">
        <v>0</v>
      </c>
      <c r="N377" s="550">
        <v>27</v>
      </c>
      <c r="O377" s="550">
        <v>16</v>
      </c>
      <c r="P377" s="550">
        <v>71</v>
      </c>
      <c r="Q377" s="550">
        <v>20</v>
      </c>
      <c r="R377" s="551" t="str">
        <f t="shared" si="32"/>
        <v>FORTUNA</v>
      </c>
      <c r="S377" s="552"/>
      <c r="T377" s="552"/>
      <c r="U377" s="552"/>
      <c r="V377" s="552"/>
      <c r="W377" s="552"/>
      <c r="X377" s="552"/>
      <c r="Y377" s="552"/>
      <c r="Z377" s="552"/>
      <c r="AA377" s="553"/>
      <c r="AB377" s="553"/>
    </row>
    <row r="378" spans="1:28" ht="12.75">
      <c r="A378" s="547" t="s">
        <v>311</v>
      </c>
      <c r="B378" s="547" t="s">
        <v>145</v>
      </c>
      <c r="C378" s="548" t="s">
        <v>785</v>
      </c>
      <c r="D378" s="549">
        <v>2019</v>
      </c>
      <c r="E378" s="549" t="s">
        <v>775</v>
      </c>
      <c r="F378" s="550">
        <v>39</v>
      </c>
      <c r="G378" s="550">
        <v>0</v>
      </c>
      <c r="H378" s="550">
        <v>0</v>
      </c>
      <c r="I378" s="550">
        <v>0</v>
      </c>
      <c r="J378" s="550">
        <v>24</v>
      </c>
      <c r="K378" s="550">
        <v>0</v>
      </c>
      <c r="L378" s="550">
        <v>0</v>
      </c>
      <c r="M378" s="550">
        <v>0</v>
      </c>
      <c r="N378" s="550">
        <v>27</v>
      </c>
      <c r="O378" s="550">
        <v>26</v>
      </c>
      <c r="P378" s="550">
        <v>71</v>
      </c>
      <c r="Q378" s="550">
        <v>15</v>
      </c>
      <c r="R378" s="551" t="str">
        <f t="shared" si="32"/>
        <v>FORTUNA</v>
      </c>
      <c r="S378" s="255">
        <f>SUM(G376:G378) +SUM(K376:K378)</f>
        <v>0</v>
      </c>
      <c r="T378" s="255">
        <f>F378+J378</f>
        <v>63</v>
      </c>
      <c r="U378" s="255">
        <f>SUM(O376:O378)</f>
        <v>46</v>
      </c>
      <c r="V378" s="255">
        <f>N378</f>
        <v>27</v>
      </c>
      <c r="W378" s="83">
        <f>SUM(Q376:Q378)</f>
        <v>40</v>
      </c>
      <c r="X378" s="255">
        <f>P378</f>
        <v>71</v>
      </c>
      <c r="Y378" s="255">
        <f>S378+U378+SUM(Q376:Q378)</f>
        <v>86</v>
      </c>
      <c r="Z378" s="255">
        <f>F378+J378+N378+P378</f>
        <v>161</v>
      </c>
      <c r="AA378" s="553"/>
      <c r="AB378" s="553"/>
    </row>
    <row r="379" spans="1:28" ht="12.75">
      <c r="A379" s="547" t="s">
        <v>312</v>
      </c>
      <c r="B379" s="547" t="s">
        <v>145</v>
      </c>
      <c r="C379" s="548" t="s">
        <v>784</v>
      </c>
      <c r="D379" s="549">
        <v>2014</v>
      </c>
      <c r="E379" s="549" t="s">
        <v>775</v>
      </c>
      <c r="F379" s="550">
        <v>212</v>
      </c>
      <c r="G379" s="550">
        <v>16</v>
      </c>
      <c r="H379" s="550">
        <v>0</v>
      </c>
      <c r="I379" s="550">
        <v>16</v>
      </c>
      <c r="J379" s="550">
        <v>135</v>
      </c>
      <c r="K379" s="550">
        <v>13</v>
      </c>
      <c r="L379" s="550">
        <v>0</v>
      </c>
      <c r="M379" s="550">
        <v>13</v>
      </c>
      <c r="N379" s="550">
        <v>146</v>
      </c>
      <c r="O379" s="550">
        <v>26</v>
      </c>
      <c r="P379" s="550">
        <v>366</v>
      </c>
      <c r="Q379" s="550">
        <v>83</v>
      </c>
      <c r="R379" s="551" t="str">
        <f t="shared" si="32"/>
        <v>HUMBOLDT COUNTY</v>
      </c>
      <c r="S379" s="552"/>
      <c r="T379" s="552"/>
      <c r="U379" s="552"/>
      <c r="V379" s="552"/>
      <c r="W379" s="552"/>
      <c r="X379" s="552"/>
      <c r="Y379" s="552"/>
      <c r="Z379" s="552"/>
      <c r="AA379" s="553"/>
      <c r="AB379" s="553"/>
    </row>
    <row r="380" spans="1:28" ht="12.75">
      <c r="A380" s="547" t="s">
        <v>312</v>
      </c>
      <c r="B380" s="547" t="s">
        <v>145</v>
      </c>
      <c r="C380" s="548" t="s">
        <v>784</v>
      </c>
      <c r="D380" s="549">
        <v>2015</v>
      </c>
      <c r="E380" s="549" t="s">
        <v>775</v>
      </c>
      <c r="F380" s="550">
        <v>212</v>
      </c>
      <c r="G380" s="550">
        <v>5</v>
      </c>
      <c r="H380" s="550">
        <v>0</v>
      </c>
      <c r="I380" s="550">
        <v>5</v>
      </c>
      <c r="J380" s="550">
        <v>135</v>
      </c>
      <c r="K380" s="550">
        <v>4</v>
      </c>
      <c r="L380" s="550">
        <v>0</v>
      </c>
      <c r="M380" s="550">
        <v>4</v>
      </c>
      <c r="N380" s="550">
        <v>146</v>
      </c>
      <c r="O380" s="550">
        <v>53</v>
      </c>
      <c r="P380" s="550">
        <v>366</v>
      </c>
      <c r="Q380" s="550">
        <v>39</v>
      </c>
      <c r="R380" s="551" t="str">
        <f t="shared" si="32"/>
        <v>HUMBOLDT COUNTY</v>
      </c>
      <c r="S380" s="552"/>
      <c r="T380" s="552"/>
      <c r="U380" s="552"/>
      <c r="V380" s="552"/>
      <c r="W380" s="552"/>
      <c r="X380" s="552"/>
      <c r="Y380" s="552"/>
      <c r="Z380" s="552"/>
      <c r="AA380" s="553"/>
      <c r="AB380" s="553"/>
    </row>
    <row r="381" spans="1:28" ht="12.75">
      <c r="A381" s="547" t="s">
        <v>312</v>
      </c>
      <c r="B381" s="547" t="s">
        <v>145</v>
      </c>
      <c r="C381" s="548" t="s">
        <v>784</v>
      </c>
      <c r="D381" s="549">
        <v>2016</v>
      </c>
      <c r="E381" s="549" t="s">
        <v>775</v>
      </c>
      <c r="F381" s="550">
        <v>212</v>
      </c>
      <c r="G381" s="550">
        <v>3</v>
      </c>
      <c r="H381" s="550">
        <v>0</v>
      </c>
      <c r="I381" s="550">
        <v>3</v>
      </c>
      <c r="J381" s="550">
        <v>135</v>
      </c>
      <c r="K381" s="550">
        <v>11</v>
      </c>
      <c r="L381" s="550">
        <v>0</v>
      </c>
      <c r="M381" s="550">
        <v>11</v>
      </c>
      <c r="N381" s="550">
        <v>146</v>
      </c>
      <c r="O381" s="550">
        <v>30</v>
      </c>
      <c r="P381" s="550">
        <v>366</v>
      </c>
      <c r="Q381" s="550">
        <v>27</v>
      </c>
      <c r="R381" s="551" t="str">
        <f t="shared" si="32"/>
        <v>HUMBOLDT COUNTY</v>
      </c>
      <c r="S381" s="552"/>
      <c r="T381" s="552"/>
      <c r="U381" s="552"/>
      <c r="V381" s="552"/>
      <c r="W381" s="552"/>
      <c r="X381" s="552"/>
      <c r="Y381" s="552"/>
      <c r="Z381" s="552"/>
      <c r="AA381" s="553"/>
      <c r="AB381" s="553"/>
    </row>
    <row r="382" spans="1:28" ht="12.75">
      <c r="A382" s="547" t="s">
        <v>312</v>
      </c>
      <c r="B382" s="547" t="s">
        <v>145</v>
      </c>
      <c r="C382" s="548" t="s">
        <v>784</v>
      </c>
      <c r="D382" s="549">
        <v>2017</v>
      </c>
      <c r="E382" s="549" t="s">
        <v>775</v>
      </c>
      <c r="F382" s="550">
        <v>212</v>
      </c>
      <c r="G382" s="550">
        <v>7</v>
      </c>
      <c r="H382" s="550">
        <v>0</v>
      </c>
      <c r="I382" s="550">
        <v>7</v>
      </c>
      <c r="J382" s="550">
        <v>135</v>
      </c>
      <c r="K382" s="550">
        <v>15</v>
      </c>
      <c r="L382" s="550">
        <v>0</v>
      </c>
      <c r="M382" s="550">
        <v>15</v>
      </c>
      <c r="N382" s="550">
        <v>146</v>
      </c>
      <c r="O382" s="550">
        <v>86</v>
      </c>
      <c r="P382" s="550">
        <v>366</v>
      </c>
      <c r="Q382" s="550">
        <v>12</v>
      </c>
      <c r="R382" s="551" t="str">
        <f t="shared" si="32"/>
        <v>HUMBOLDT COUNTY</v>
      </c>
      <c r="S382" s="552"/>
      <c r="T382" s="552"/>
      <c r="U382" s="552"/>
      <c r="V382" s="552"/>
      <c r="W382" s="552"/>
      <c r="X382" s="552"/>
      <c r="Y382" s="552"/>
      <c r="Z382" s="552"/>
      <c r="AA382" s="553"/>
      <c r="AB382" s="553"/>
    </row>
    <row r="383" spans="1:28" ht="12.75">
      <c r="A383" s="547" t="s">
        <v>312</v>
      </c>
      <c r="B383" s="547" t="s">
        <v>145</v>
      </c>
      <c r="C383" s="548" t="s">
        <v>784</v>
      </c>
      <c r="D383" s="549">
        <v>2018</v>
      </c>
      <c r="E383" s="549" t="s">
        <v>775</v>
      </c>
      <c r="F383" s="550">
        <v>212</v>
      </c>
      <c r="G383" s="550">
        <v>2</v>
      </c>
      <c r="H383" s="550">
        <v>0</v>
      </c>
      <c r="I383" s="550">
        <v>2</v>
      </c>
      <c r="J383" s="550">
        <v>135</v>
      </c>
      <c r="K383" s="550">
        <v>1</v>
      </c>
      <c r="L383" s="550">
        <v>0</v>
      </c>
      <c r="M383" s="550">
        <v>1</v>
      </c>
      <c r="N383" s="550">
        <v>146</v>
      </c>
      <c r="O383" s="550">
        <v>31</v>
      </c>
      <c r="P383" s="550">
        <v>366</v>
      </c>
      <c r="Q383" s="550">
        <v>40</v>
      </c>
      <c r="R383" s="551" t="str">
        <f t="shared" si="32"/>
        <v>HUMBOLDT COUNTY</v>
      </c>
      <c r="S383" s="255">
        <f>SUM(G379:G383) +SUM(K379:K383)</f>
        <v>77</v>
      </c>
      <c r="T383" s="255">
        <f t="shared" ref="T383:T384" si="37">F383+J383</f>
        <v>347</v>
      </c>
      <c r="U383" s="255">
        <f>SUM(O379:O383)</f>
        <v>226</v>
      </c>
      <c r="V383" s="255">
        <f t="shared" ref="V383:V384" si="38">N383</f>
        <v>146</v>
      </c>
      <c r="W383" s="83">
        <f>SUM(Q379:Q383)</f>
        <v>201</v>
      </c>
      <c r="X383" s="255">
        <f>P383</f>
        <v>366</v>
      </c>
      <c r="Y383" s="255">
        <f>S383+U383+SUM(Q379:Q383)</f>
        <v>504</v>
      </c>
      <c r="Z383" s="255">
        <f t="shared" ref="Z383:Z384" si="39">F383+J383+N383+P383</f>
        <v>859</v>
      </c>
      <c r="AA383" s="553"/>
      <c r="AB383" s="553"/>
    </row>
    <row r="384" spans="1:28" ht="12.75">
      <c r="A384" s="547" t="s">
        <v>314</v>
      </c>
      <c r="B384" s="547" t="s">
        <v>145</v>
      </c>
      <c r="C384" s="548" t="s">
        <v>785</v>
      </c>
      <c r="D384" s="549">
        <v>2019</v>
      </c>
      <c r="E384" s="549" t="s">
        <v>775</v>
      </c>
      <c r="F384" s="550">
        <v>1</v>
      </c>
      <c r="G384" s="550">
        <v>0</v>
      </c>
      <c r="H384" s="550">
        <v>0</v>
      </c>
      <c r="I384" s="550">
        <v>0</v>
      </c>
      <c r="J384" s="550">
        <v>1</v>
      </c>
      <c r="K384" s="550">
        <v>0</v>
      </c>
      <c r="L384" s="550">
        <v>0</v>
      </c>
      <c r="M384" s="550">
        <v>0</v>
      </c>
      <c r="N384" s="550">
        <v>1</v>
      </c>
      <c r="O384" s="550">
        <v>0</v>
      </c>
      <c r="P384" s="550">
        <v>2</v>
      </c>
      <c r="Q384" s="550">
        <v>1</v>
      </c>
      <c r="R384" s="551" t="str">
        <f t="shared" si="32"/>
        <v>TRINIDAD</v>
      </c>
      <c r="S384" s="552">
        <f>G384</f>
        <v>0</v>
      </c>
      <c r="T384" s="255">
        <f t="shared" si="37"/>
        <v>2</v>
      </c>
      <c r="U384" s="552">
        <f>K384</f>
        <v>0</v>
      </c>
      <c r="V384" s="255">
        <f t="shared" si="38"/>
        <v>1</v>
      </c>
      <c r="W384" s="552">
        <f t="shared" ref="W384:Y384" si="40">O384</f>
        <v>0</v>
      </c>
      <c r="X384" s="255">
        <f t="shared" si="40"/>
        <v>2</v>
      </c>
      <c r="Y384" s="552">
        <f t="shared" si="40"/>
        <v>1</v>
      </c>
      <c r="Z384" s="255">
        <f t="shared" si="39"/>
        <v>5</v>
      </c>
      <c r="AA384" s="553"/>
      <c r="AB384" s="553"/>
    </row>
    <row r="385" spans="1:28" ht="12.75">
      <c r="A385" s="547" t="s">
        <v>313</v>
      </c>
      <c r="B385" s="547" t="s">
        <v>145</v>
      </c>
      <c r="C385" s="548" t="s">
        <v>784</v>
      </c>
      <c r="D385" s="549">
        <v>2018</v>
      </c>
      <c r="E385" s="549" t="s">
        <v>775</v>
      </c>
      <c r="F385" s="550">
        <v>8</v>
      </c>
      <c r="G385" s="550">
        <v>0</v>
      </c>
      <c r="H385" s="550">
        <v>0</v>
      </c>
      <c r="I385" s="550">
        <v>0</v>
      </c>
      <c r="J385" s="550">
        <v>4</v>
      </c>
      <c r="K385" s="550">
        <v>0</v>
      </c>
      <c r="L385" s="550">
        <v>0</v>
      </c>
      <c r="M385" s="550">
        <v>0</v>
      </c>
      <c r="N385" s="550">
        <v>4</v>
      </c>
      <c r="O385" s="550">
        <v>0</v>
      </c>
      <c r="P385" s="550">
        <v>15</v>
      </c>
      <c r="Q385" s="550">
        <v>1</v>
      </c>
      <c r="R385" s="551" t="str">
        <f t="shared" si="32"/>
        <v>RIO DELL</v>
      </c>
      <c r="S385" s="552"/>
      <c r="T385" s="552"/>
      <c r="U385" s="552"/>
      <c r="V385" s="552"/>
      <c r="W385" s="552"/>
      <c r="X385" s="552"/>
      <c r="Y385" s="552"/>
      <c r="Z385" s="552"/>
      <c r="AA385" s="553"/>
      <c r="AB385" s="553"/>
    </row>
    <row r="386" spans="1:28" ht="12.75">
      <c r="A386" s="547" t="s">
        <v>313</v>
      </c>
      <c r="B386" s="547" t="s">
        <v>145</v>
      </c>
      <c r="C386" s="548" t="s">
        <v>785</v>
      </c>
      <c r="D386" s="549">
        <v>2019</v>
      </c>
      <c r="E386" s="549" t="s">
        <v>775</v>
      </c>
      <c r="F386" s="550">
        <v>8</v>
      </c>
      <c r="G386" s="550">
        <v>25</v>
      </c>
      <c r="H386" s="550">
        <v>25</v>
      </c>
      <c r="I386" s="550">
        <v>0</v>
      </c>
      <c r="J386" s="550">
        <v>4</v>
      </c>
      <c r="K386" s="550">
        <v>5</v>
      </c>
      <c r="L386" s="550">
        <v>0</v>
      </c>
      <c r="M386" s="550">
        <v>5</v>
      </c>
      <c r="N386" s="550">
        <v>4</v>
      </c>
      <c r="O386" s="550">
        <v>0</v>
      </c>
      <c r="P386" s="550">
        <v>15</v>
      </c>
      <c r="Q386" s="550">
        <v>2</v>
      </c>
      <c r="R386" s="551" t="str">
        <f t="shared" si="32"/>
        <v>RIO DELL</v>
      </c>
      <c r="S386" s="561">
        <f>SUM(G385:G386) +SUM(K385:K386)</f>
        <v>30</v>
      </c>
      <c r="T386" s="561">
        <f>F386+J386</f>
        <v>12</v>
      </c>
      <c r="U386" s="561">
        <f>SUM(O385:O386)</f>
        <v>0</v>
      </c>
      <c r="V386" s="561">
        <f>N386</f>
        <v>4</v>
      </c>
      <c r="W386" s="562">
        <f>SUM(Q385:Q386)</f>
        <v>3</v>
      </c>
      <c r="X386" s="561">
        <f>P386</f>
        <v>15</v>
      </c>
      <c r="Y386" s="561">
        <f>S386+U386+SUM(Q385:Q386)</f>
        <v>33</v>
      </c>
      <c r="Z386" s="561">
        <f>F386+J386+N386+P386</f>
        <v>31</v>
      </c>
      <c r="AA386" s="553"/>
      <c r="AB386" s="553"/>
    </row>
    <row r="387" spans="1:28" ht="12.75">
      <c r="A387" s="547"/>
      <c r="B387" s="547"/>
      <c r="C387" s="548"/>
      <c r="D387" s="549"/>
      <c r="E387" s="549"/>
      <c r="F387" s="550"/>
      <c r="G387" s="550"/>
      <c r="H387" s="550"/>
      <c r="I387" s="550"/>
      <c r="J387" s="550"/>
      <c r="K387" s="550"/>
      <c r="L387" s="550"/>
      <c r="M387" s="550"/>
      <c r="N387" s="550"/>
      <c r="O387" s="550"/>
      <c r="P387" s="550"/>
      <c r="Q387" s="550"/>
      <c r="R387" s="551"/>
      <c r="S387" s="552">
        <f t="shared" ref="S387:Z387" si="41">SUM(S364:S386)</f>
        <v>275</v>
      </c>
      <c r="T387" s="552">
        <f t="shared" si="41"/>
        <v>815</v>
      </c>
      <c r="U387" s="552">
        <f t="shared" si="41"/>
        <v>547</v>
      </c>
      <c r="V387" s="552">
        <f t="shared" si="41"/>
        <v>348</v>
      </c>
      <c r="W387" s="552">
        <f t="shared" si="41"/>
        <v>377</v>
      </c>
      <c r="X387" s="552">
        <f t="shared" si="41"/>
        <v>886</v>
      </c>
      <c r="Y387" s="552">
        <f t="shared" si="41"/>
        <v>1200</v>
      </c>
      <c r="Z387" s="552">
        <f t="shared" si="41"/>
        <v>2049</v>
      </c>
      <c r="AA387" s="553"/>
      <c r="AB387" s="553"/>
    </row>
    <row r="388" spans="1:28" ht="12.75">
      <c r="A388" s="547" t="s">
        <v>315</v>
      </c>
      <c r="B388" s="547" t="s">
        <v>146</v>
      </c>
      <c r="C388" s="548" t="s">
        <v>812</v>
      </c>
      <c r="D388" s="549">
        <v>2014</v>
      </c>
      <c r="E388" s="549" t="s">
        <v>775</v>
      </c>
      <c r="F388" s="550">
        <v>760</v>
      </c>
      <c r="G388" s="550">
        <v>8</v>
      </c>
      <c r="H388" s="550">
        <v>8</v>
      </c>
      <c r="I388" s="550">
        <v>0</v>
      </c>
      <c r="J388" s="550">
        <v>470</v>
      </c>
      <c r="K388" s="550">
        <v>5</v>
      </c>
      <c r="L388" s="550">
        <v>5</v>
      </c>
      <c r="M388" s="550">
        <v>0</v>
      </c>
      <c r="N388" s="550">
        <v>466</v>
      </c>
      <c r="O388" s="550">
        <v>0</v>
      </c>
      <c r="P388" s="550">
        <v>1338</v>
      </c>
      <c r="Q388" s="550">
        <v>6</v>
      </c>
      <c r="R388" s="551" t="str">
        <f t="shared" ref="R388:R421" si="42">A388</f>
        <v>BRAWLEY</v>
      </c>
      <c r="S388" s="552"/>
      <c r="T388" s="552"/>
      <c r="U388" s="552"/>
      <c r="V388" s="552"/>
      <c r="W388" s="552"/>
      <c r="X388" s="552"/>
      <c r="Y388" s="552"/>
      <c r="Z388" s="552"/>
      <c r="AA388" s="553"/>
      <c r="AB388" s="553"/>
    </row>
    <row r="389" spans="1:28" ht="12.75">
      <c r="A389" s="547" t="s">
        <v>315</v>
      </c>
      <c r="B389" s="547" t="s">
        <v>146</v>
      </c>
      <c r="C389" s="548" t="s">
        <v>812</v>
      </c>
      <c r="D389" s="549">
        <v>2015</v>
      </c>
      <c r="E389" s="549" t="s">
        <v>775</v>
      </c>
      <c r="F389" s="550">
        <v>760</v>
      </c>
      <c r="G389" s="550">
        <v>20</v>
      </c>
      <c r="H389" s="550">
        <v>20</v>
      </c>
      <c r="I389" s="550">
        <v>0</v>
      </c>
      <c r="J389" s="550">
        <v>470</v>
      </c>
      <c r="K389" s="550">
        <v>27</v>
      </c>
      <c r="L389" s="550">
        <v>27</v>
      </c>
      <c r="M389" s="550">
        <v>0</v>
      </c>
      <c r="N389" s="550">
        <v>466</v>
      </c>
      <c r="O389" s="550">
        <v>0</v>
      </c>
      <c r="P389" s="550">
        <v>1338</v>
      </c>
      <c r="Q389" s="550">
        <v>0</v>
      </c>
      <c r="R389" s="551" t="str">
        <f t="shared" si="42"/>
        <v>BRAWLEY</v>
      </c>
      <c r="S389" s="552"/>
      <c r="T389" s="552"/>
      <c r="U389" s="552"/>
      <c r="V389" s="552"/>
      <c r="W389" s="552"/>
      <c r="X389" s="552"/>
      <c r="Y389" s="552"/>
      <c r="Z389" s="552"/>
      <c r="AA389" s="553"/>
      <c r="AB389" s="553"/>
    </row>
    <row r="390" spans="1:28" ht="12.75">
      <c r="A390" s="547" t="s">
        <v>315</v>
      </c>
      <c r="B390" s="547" t="s">
        <v>146</v>
      </c>
      <c r="C390" s="548" t="s">
        <v>812</v>
      </c>
      <c r="D390" s="549">
        <v>2016</v>
      </c>
      <c r="E390" s="549" t="s">
        <v>775</v>
      </c>
      <c r="F390" s="550">
        <v>760</v>
      </c>
      <c r="G390" s="550">
        <v>5</v>
      </c>
      <c r="H390" s="550">
        <v>5</v>
      </c>
      <c r="I390" s="550">
        <v>0</v>
      </c>
      <c r="J390" s="550">
        <v>470</v>
      </c>
      <c r="K390" s="550">
        <v>7</v>
      </c>
      <c r="L390" s="550">
        <v>7</v>
      </c>
      <c r="M390" s="550">
        <v>0</v>
      </c>
      <c r="N390" s="550">
        <v>466</v>
      </c>
      <c r="O390" s="550">
        <v>54</v>
      </c>
      <c r="P390" s="550">
        <v>1338</v>
      </c>
      <c r="Q390" s="550">
        <v>0</v>
      </c>
      <c r="R390" s="551" t="str">
        <f t="shared" si="42"/>
        <v>BRAWLEY</v>
      </c>
      <c r="S390" s="552"/>
      <c r="T390" s="552"/>
      <c r="U390" s="552"/>
      <c r="V390" s="552"/>
      <c r="W390" s="552"/>
      <c r="X390" s="552"/>
      <c r="Y390" s="552"/>
      <c r="Z390" s="552"/>
      <c r="AA390" s="553"/>
      <c r="AB390" s="553"/>
    </row>
    <row r="391" spans="1:28" ht="12.75">
      <c r="A391" s="547" t="s">
        <v>315</v>
      </c>
      <c r="B391" s="547" t="s">
        <v>146</v>
      </c>
      <c r="C391" s="548" t="s">
        <v>812</v>
      </c>
      <c r="D391" s="549">
        <v>2017</v>
      </c>
      <c r="E391" s="549" t="s">
        <v>775</v>
      </c>
      <c r="F391" s="550">
        <v>760</v>
      </c>
      <c r="G391" s="550">
        <v>6</v>
      </c>
      <c r="H391" s="550">
        <v>4</v>
      </c>
      <c r="I391" s="550">
        <v>2</v>
      </c>
      <c r="J391" s="550">
        <v>470</v>
      </c>
      <c r="K391" s="550">
        <v>14</v>
      </c>
      <c r="L391" s="550">
        <v>12</v>
      </c>
      <c r="M391" s="550">
        <v>2</v>
      </c>
      <c r="N391" s="550">
        <v>466</v>
      </c>
      <c r="O391" s="550">
        <v>40</v>
      </c>
      <c r="P391" s="550">
        <v>1338</v>
      </c>
      <c r="Q391" s="550">
        <v>3</v>
      </c>
      <c r="R391" s="551" t="str">
        <f t="shared" si="42"/>
        <v>BRAWLEY</v>
      </c>
      <c r="S391" s="552"/>
      <c r="T391" s="552"/>
      <c r="U391" s="552"/>
      <c r="V391" s="552"/>
      <c r="W391" s="552"/>
      <c r="X391" s="552"/>
      <c r="Y391" s="552"/>
      <c r="Z391" s="552"/>
      <c r="AA391" s="553"/>
      <c r="AB391" s="553"/>
    </row>
    <row r="392" spans="1:28" ht="12.75">
      <c r="A392" s="547" t="s">
        <v>315</v>
      </c>
      <c r="B392" s="547" t="s">
        <v>146</v>
      </c>
      <c r="C392" s="548" t="s">
        <v>812</v>
      </c>
      <c r="D392" s="549">
        <v>2018</v>
      </c>
      <c r="E392" s="549" t="s">
        <v>775</v>
      </c>
      <c r="F392" s="550">
        <v>760</v>
      </c>
      <c r="G392" s="550">
        <v>21</v>
      </c>
      <c r="H392" s="550">
        <v>21</v>
      </c>
      <c r="I392" s="550">
        <v>0</v>
      </c>
      <c r="J392" s="550">
        <v>470</v>
      </c>
      <c r="K392" s="550">
        <v>27</v>
      </c>
      <c r="L392" s="550">
        <v>25</v>
      </c>
      <c r="M392" s="550">
        <v>2</v>
      </c>
      <c r="N392" s="550">
        <v>466</v>
      </c>
      <c r="O392" s="550">
        <v>15</v>
      </c>
      <c r="P392" s="550">
        <v>1338</v>
      </c>
      <c r="Q392" s="550">
        <v>29</v>
      </c>
      <c r="R392" s="551" t="str">
        <f t="shared" si="42"/>
        <v>BRAWLEY</v>
      </c>
      <c r="S392" s="552"/>
      <c r="T392" s="552"/>
      <c r="U392" s="552"/>
      <c r="V392" s="552"/>
      <c r="W392" s="552"/>
      <c r="X392" s="552"/>
      <c r="Y392" s="552"/>
      <c r="Z392" s="552"/>
      <c r="AA392" s="553"/>
      <c r="AB392" s="553"/>
    </row>
    <row r="393" spans="1:28" ht="12.75">
      <c r="A393" s="547" t="s">
        <v>315</v>
      </c>
      <c r="B393" s="547" t="s">
        <v>146</v>
      </c>
      <c r="C393" s="548" t="s">
        <v>813</v>
      </c>
      <c r="D393" s="549">
        <v>2019</v>
      </c>
      <c r="E393" s="549" t="s">
        <v>775</v>
      </c>
      <c r="F393" s="550">
        <v>760</v>
      </c>
      <c r="G393" s="550">
        <v>30</v>
      </c>
      <c r="H393" s="550">
        <v>30</v>
      </c>
      <c r="I393" s="550">
        <v>0</v>
      </c>
      <c r="J393" s="550">
        <v>470</v>
      </c>
      <c r="K393" s="550">
        <v>30</v>
      </c>
      <c r="L393" s="550">
        <v>30</v>
      </c>
      <c r="M393" s="550">
        <v>0</v>
      </c>
      <c r="N393" s="550">
        <v>466</v>
      </c>
      <c r="O393" s="550">
        <v>49</v>
      </c>
      <c r="P393" s="550">
        <v>1338</v>
      </c>
      <c r="Q393" s="550">
        <v>2</v>
      </c>
      <c r="R393" s="551" t="str">
        <f t="shared" si="42"/>
        <v>BRAWLEY</v>
      </c>
      <c r="S393" s="552">
        <f>SUM(G388:G393) +SUM(K388:K393)</f>
        <v>200</v>
      </c>
      <c r="T393" s="552">
        <f>F393+J393</f>
        <v>1230</v>
      </c>
      <c r="U393" s="552">
        <f>SUM(O388:O393)</f>
        <v>158</v>
      </c>
      <c r="V393" s="552">
        <f>N393</f>
        <v>466</v>
      </c>
      <c r="W393" s="554">
        <f>SUM(Q388:Q393)</f>
        <v>40</v>
      </c>
      <c r="X393" s="552">
        <f>P393</f>
        <v>1338</v>
      </c>
      <c r="Y393" s="552">
        <f>S393+U393+SUM(Q388:Q393)</f>
        <v>398</v>
      </c>
      <c r="Z393" s="552">
        <f>F393+J393+N393+P393</f>
        <v>3034</v>
      </c>
      <c r="AA393" s="553"/>
      <c r="AB393" s="553"/>
    </row>
    <row r="394" spans="1:28" ht="12.75">
      <c r="A394" s="547" t="s">
        <v>316</v>
      </c>
      <c r="B394" s="547" t="s">
        <v>146</v>
      </c>
      <c r="C394" s="548" t="s">
        <v>812</v>
      </c>
      <c r="D394" s="549">
        <v>2014</v>
      </c>
      <c r="E394" s="549" t="s">
        <v>775</v>
      </c>
      <c r="F394" s="550">
        <v>817</v>
      </c>
      <c r="G394" s="550">
        <v>66</v>
      </c>
      <c r="H394" s="550">
        <v>23</v>
      </c>
      <c r="I394" s="550">
        <v>43</v>
      </c>
      <c r="J394" s="550">
        <v>489</v>
      </c>
      <c r="K394" s="550">
        <v>10</v>
      </c>
      <c r="L394" s="550">
        <v>0</v>
      </c>
      <c r="M394" s="550">
        <v>10</v>
      </c>
      <c r="N394" s="550">
        <v>490</v>
      </c>
      <c r="O394" s="550">
        <v>42</v>
      </c>
      <c r="P394" s="550">
        <v>1428</v>
      </c>
      <c r="Q394" s="550">
        <v>0</v>
      </c>
      <c r="R394" s="551" t="str">
        <f t="shared" si="42"/>
        <v>CALEXICO</v>
      </c>
      <c r="S394" s="552"/>
      <c r="T394" s="552"/>
      <c r="U394" s="552"/>
      <c r="V394" s="552"/>
      <c r="W394" s="552"/>
      <c r="X394" s="552"/>
      <c r="Y394" s="552"/>
      <c r="Z394" s="552"/>
      <c r="AA394" s="553"/>
      <c r="AB394" s="553"/>
    </row>
    <row r="395" spans="1:28" ht="12.75">
      <c r="A395" s="547" t="s">
        <v>316</v>
      </c>
      <c r="B395" s="547" t="s">
        <v>146</v>
      </c>
      <c r="C395" s="548" t="s">
        <v>812</v>
      </c>
      <c r="D395" s="549">
        <v>2015</v>
      </c>
      <c r="E395" s="549" t="s">
        <v>775</v>
      </c>
      <c r="F395" s="550">
        <v>817</v>
      </c>
      <c r="G395" s="550">
        <v>0</v>
      </c>
      <c r="H395" s="550">
        <v>0</v>
      </c>
      <c r="I395" s="550">
        <v>0</v>
      </c>
      <c r="J395" s="550">
        <v>489</v>
      </c>
      <c r="K395" s="550">
        <v>0</v>
      </c>
      <c r="L395" s="550">
        <v>0</v>
      </c>
      <c r="M395" s="550">
        <v>0</v>
      </c>
      <c r="N395" s="550">
        <v>490</v>
      </c>
      <c r="O395" s="550">
        <v>10</v>
      </c>
      <c r="P395" s="550">
        <v>1428</v>
      </c>
      <c r="Q395" s="550">
        <v>0</v>
      </c>
      <c r="R395" s="551" t="str">
        <f t="shared" si="42"/>
        <v>CALEXICO</v>
      </c>
      <c r="S395" s="552"/>
      <c r="T395" s="552"/>
      <c r="U395" s="552"/>
      <c r="V395" s="552"/>
      <c r="W395" s="552"/>
      <c r="X395" s="552"/>
      <c r="Y395" s="552"/>
      <c r="Z395" s="552"/>
      <c r="AA395" s="553"/>
      <c r="AB395" s="553"/>
    </row>
    <row r="396" spans="1:28" ht="12.75">
      <c r="A396" s="547" t="s">
        <v>316</v>
      </c>
      <c r="B396" s="547" t="s">
        <v>146</v>
      </c>
      <c r="C396" s="548" t="s">
        <v>812</v>
      </c>
      <c r="D396" s="549">
        <v>2016</v>
      </c>
      <c r="E396" s="549" t="s">
        <v>775</v>
      </c>
      <c r="F396" s="550">
        <v>817</v>
      </c>
      <c r="G396" s="550">
        <v>0</v>
      </c>
      <c r="H396" s="550">
        <v>0</v>
      </c>
      <c r="I396" s="550">
        <v>0</v>
      </c>
      <c r="J396" s="550">
        <v>489</v>
      </c>
      <c r="K396" s="550">
        <v>0</v>
      </c>
      <c r="L396" s="550">
        <v>0</v>
      </c>
      <c r="M396" s="550">
        <v>0</v>
      </c>
      <c r="N396" s="550">
        <v>490</v>
      </c>
      <c r="O396" s="550">
        <v>2</v>
      </c>
      <c r="P396" s="550">
        <v>1428</v>
      </c>
      <c r="Q396" s="550">
        <v>0</v>
      </c>
      <c r="R396" s="551" t="str">
        <f t="shared" si="42"/>
        <v>CALEXICO</v>
      </c>
      <c r="S396" s="552"/>
      <c r="T396" s="552"/>
      <c r="U396" s="552"/>
      <c r="V396" s="552"/>
      <c r="W396" s="552"/>
      <c r="X396" s="552"/>
      <c r="Y396" s="552"/>
      <c r="Z396" s="552"/>
      <c r="AA396" s="553"/>
      <c r="AB396" s="553"/>
    </row>
    <row r="397" spans="1:28" ht="12.75">
      <c r="A397" s="547" t="s">
        <v>316</v>
      </c>
      <c r="B397" s="547" t="s">
        <v>146</v>
      </c>
      <c r="C397" s="548" t="s">
        <v>812</v>
      </c>
      <c r="D397" s="549">
        <v>2017</v>
      </c>
      <c r="E397" s="549" t="s">
        <v>775</v>
      </c>
      <c r="F397" s="550">
        <v>817</v>
      </c>
      <c r="G397" s="550">
        <v>0</v>
      </c>
      <c r="H397" s="550">
        <v>0</v>
      </c>
      <c r="I397" s="550">
        <v>0</v>
      </c>
      <c r="J397" s="550">
        <v>489</v>
      </c>
      <c r="K397" s="550">
        <v>0</v>
      </c>
      <c r="L397" s="550">
        <v>0</v>
      </c>
      <c r="M397" s="550">
        <v>0</v>
      </c>
      <c r="N397" s="550">
        <v>490</v>
      </c>
      <c r="O397" s="550">
        <v>10</v>
      </c>
      <c r="P397" s="550">
        <v>1428</v>
      </c>
      <c r="Q397" s="550">
        <v>0</v>
      </c>
      <c r="R397" s="551" t="str">
        <f t="shared" si="42"/>
        <v>CALEXICO</v>
      </c>
      <c r="S397" s="552"/>
      <c r="T397" s="552"/>
      <c r="U397" s="552"/>
      <c r="V397" s="552"/>
      <c r="W397" s="552"/>
      <c r="X397" s="552"/>
      <c r="Y397" s="552"/>
      <c r="Z397" s="552"/>
      <c r="AA397" s="553"/>
      <c r="AB397" s="553"/>
    </row>
    <row r="398" spans="1:28" ht="12.75">
      <c r="A398" s="547" t="s">
        <v>316</v>
      </c>
      <c r="B398" s="547" t="s">
        <v>146</v>
      </c>
      <c r="C398" s="548" t="s">
        <v>812</v>
      </c>
      <c r="D398" s="549">
        <v>2018</v>
      </c>
      <c r="E398" s="549" t="s">
        <v>775</v>
      </c>
      <c r="F398" s="550">
        <v>817</v>
      </c>
      <c r="G398" s="564"/>
      <c r="H398" s="564"/>
      <c r="I398" s="564"/>
      <c r="J398" s="550">
        <v>489</v>
      </c>
      <c r="K398" s="564"/>
      <c r="L398" s="564"/>
      <c r="M398" s="564"/>
      <c r="N398" s="550">
        <v>490</v>
      </c>
      <c r="O398" s="564"/>
      <c r="P398" s="550">
        <v>1428</v>
      </c>
      <c r="Q398" s="564"/>
      <c r="R398" s="551" t="str">
        <f t="shared" si="42"/>
        <v>CALEXICO</v>
      </c>
      <c r="S398" s="552"/>
      <c r="T398" s="552"/>
      <c r="U398" s="552"/>
      <c r="V398" s="552"/>
      <c r="W398" s="552"/>
      <c r="X398" s="552"/>
      <c r="Y398" s="552"/>
      <c r="Z398" s="552"/>
      <c r="AA398" s="553"/>
      <c r="AB398" s="553"/>
    </row>
    <row r="399" spans="1:28" ht="12.75">
      <c r="A399" s="547" t="s">
        <v>316</v>
      </c>
      <c r="B399" s="547" t="s">
        <v>146</v>
      </c>
      <c r="C399" s="548" t="s">
        <v>813</v>
      </c>
      <c r="D399" s="549">
        <v>2019</v>
      </c>
      <c r="E399" s="549" t="s">
        <v>775</v>
      </c>
      <c r="F399" s="550">
        <v>817</v>
      </c>
      <c r="G399" s="550">
        <v>35</v>
      </c>
      <c r="H399" s="550">
        <v>35</v>
      </c>
      <c r="I399" s="550">
        <v>0</v>
      </c>
      <c r="J399" s="550">
        <v>489</v>
      </c>
      <c r="K399" s="550">
        <v>156</v>
      </c>
      <c r="L399" s="550">
        <v>53</v>
      </c>
      <c r="M399" s="550">
        <v>103</v>
      </c>
      <c r="N399" s="550">
        <v>490</v>
      </c>
      <c r="O399" s="550">
        <v>26</v>
      </c>
      <c r="P399" s="550">
        <v>1428</v>
      </c>
      <c r="Q399" s="550">
        <v>0</v>
      </c>
      <c r="R399" s="551" t="str">
        <f t="shared" si="42"/>
        <v>CALEXICO</v>
      </c>
      <c r="S399" s="552">
        <f>SUM(G394:G399) +SUM(K394:K399)</f>
        <v>267</v>
      </c>
      <c r="T399" s="552">
        <f t="shared" ref="T399:T400" si="43">F399+J399</f>
        <v>1306</v>
      </c>
      <c r="U399" s="552">
        <f>SUM(O394:O399)</f>
        <v>90</v>
      </c>
      <c r="V399" s="552">
        <f t="shared" ref="V399:V400" si="44">N399</f>
        <v>490</v>
      </c>
      <c r="W399" s="554">
        <f>SUM(Q394:Q399)</f>
        <v>0</v>
      </c>
      <c r="X399" s="552">
        <f t="shared" ref="X399:X400" si="45">P399</f>
        <v>1428</v>
      </c>
      <c r="Y399" s="552">
        <f>S399+U399+SUM(Q394:Q399)</f>
        <v>357</v>
      </c>
      <c r="Z399" s="552">
        <f t="shared" ref="Z399:Z400" si="46">F399+J399+N399+P399</f>
        <v>3224</v>
      </c>
      <c r="AA399" s="553"/>
      <c r="AB399" s="553"/>
    </row>
    <row r="400" spans="1:28" ht="12.75">
      <c r="A400" s="547" t="s">
        <v>317</v>
      </c>
      <c r="B400" s="547" t="s">
        <v>146</v>
      </c>
      <c r="C400" s="548" t="s">
        <v>812</v>
      </c>
      <c r="D400" s="549">
        <v>2017</v>
      </c>
      <c r="E400" s="549" t="s">
        <v>775</v>
      </c>
      <c r="F400" s="550">
        <v>37</v>
      </c>
      <c r="G400" s="550">
        <v>0</v>
      </c>
      <c r="H400" s="550">
        <v>0</v>
      </c>
      <c r="I400" s="550">
        <v>0</v>
      </c>
      <c r="J400" s="550">
        <v>22</v>
      </c>
      <c r="K400" s="550">
        <v>0</v>
      </c>
      <c r="L400" s="550">
        <v>0</v>
      </c>
      <c r="M400" s="550">
        <v>0</v>
      </c>
      <c r="N400" s="550">
        <v>22</v>
      </c>
      <c r="O400" s="550">
        <v>0</v>
      </c>
      <c r="P400" s="550">
        <v>63</v>
      </c>
      <c r="Q400" s="550">
        <v>0</v>
      </c>
      <c r="R400" s="551" t="str">
        <f t="shared" si="42"/>
        <v>CALIPATRIA</v>
      </c>
      <c r="S400" s="552">
        <f>G400+K400</f>
        <v>0</v>
      </c>
      <c r="T400" s="552">
        <f t="shared" si="43"/>
        <v>59</v>
      </c>
      <c r="U400" s="552">
        <f>O400</f>
        <v>0</v>
      </c>
      <c r="V400" s="552">
        <f t="shared" si="44"/>
        <v>22</v>
      </c>
      <c r="W400" s="552">
        <f>Q400</f>
        <v>0</v>
      </c>
      <c r="X400" s="552">
        <f t="shared" si="45"/>
        <v>63</v>
      </c>
      <c r="Y400" s="552">
        <f>S400+U400+W400</f>
        <v>0</v>
      </c>
      <c r="Z400" s="552">
        <f t="shared" si="46"/>
        <v>144</v>
      </c>
      <c r="AA400" s="553"/>
      <c r="AB400" s="553"/>
    </row>
    <row r="401" spans="1:28" ht="12.75">
      <c r="A401" s="547" t="s">
        <v>318</v>
      </c>
      <c r="B401" s="555" t="s">
        <v>146</v>
      </c>
      <c r="C401" s="548" t="s">
        <v>812</v>
      </c>
      <c r="D401" s="549">
        <v>2014</v>
      </c>
      <c r="E401" s="549" t="s">
        <v>775</v>
      </c>
      <c r="F401" s="550">
        <v>487</v>
      </c>
      <c r="G401" s="550">
        <v>0</v>
      </c>
      <c r="H401" s="550">
        <v>0</v>
      </c>
      <c r="I401" s="550">
        <v>0</v>
      </c>
      <c r="J401" s="550">
        <v>300</v>
      </c>
      <c r="K401" s="550">
        <v>3</v>
      </c>
      <c r="L401" s="550">
        <v>3</v>
      </c>
      <c r="M401" s="550">
        <v>0</v>
      </c>
      <c r="N401" s="550">
        <v>297</v>
      </c>
      <c r="O401" s="550">
        <v>0</v>
      </c>
      <c r="P401" s="550">
        <v>840</v>
      </c>
      <c r="Q401" s="550">
        <v>43</v>
      </c>
      <c r="R401" s="551" t="str">
        <f t="shared" si="42"/>
        <v>EL CENTRO</v>
      </c>
      <c r="S401" s="552"/>
      <c r="T401" s="552"/>
      <c r="U401" s="552"/>
      <c r="V401" s="552"/>
      <c r="W401" s="552"/>
      <c r="X401" s="552"/>
      <c r="Y401" s="552"/>
      <c r="Z401" s="552"/>
      <c r="AA401" s="553"/>
      <c r="AB401" s="553"/>
    </row>
    <row r="402" spans="1:28" ht="12.75">
      <c r="A402" s="547" t="s">
        <v>318</v>
      </c>
      <c r="B402" s="547" t="s">
        <v>146</v>
      </c>
      <c r="C402" s="548" t="s">
        <v>812</v>
      </c>
      <c r="D402" s="549">
        <v>2015</v>
      </c>
      <c r="E402" s="549" t="s">
        <v>775</v>
      </c>
      <c r="F402" s="550">
        <v>487</v>
      </c>
      <c r="G402" s="550">
        <v>0</v>
      </c>
      <c r="H402" s="550">
        <v>0</v>
      </c>
      <c r="I402" s="550">
        <v>0</v>
      </c>
      <c r="J402" s="550">
        <v>300</v>
      </c>
      <c r="K402" s="550">
        <v>5</v>
      </c>
      <c r="L402" s="550">
        <v>5</v>
      </c>
      <c r="M402" s="550">
        <v>0</v>
      </c>
      <c r="N402" s="550">
        <v>297</v>
      </c>
      <c r="O402" s="550">
        <v>84</v>
      </c>
      <c r="P402" s="550">
        <v>840</v>
      </c>
      <c r="Q402" s="550">
        <v>11</v>
      </c>
      <c r="R402" s="551" t="str">
        <f t="shared" si="42"/>
        <v>EL CENTRO</v>
      </c>
      <c r="S402" s="552"/>
      <c r="T402" s="552"/>
      <c r="U402" s="552"/>
      <c r="V402" s="552"/>
      <c r="W402" s="552"/>
      <c r="X402" s="552"/>
      <c r="Y402" s="552"/>
      <c r="Z402" s="552"/>
      <c r="AA402" s="553"/>
      <c r="AB402" s="553"/>
    </row>
    <row r="403" spans="1:28" ht="12.75">
      <c r="A403" s="547" t="s">
        <v>318</v>
      </c>
      <c r="B403" s="547" t="s">
        <v>146</v>
      </c>
      <c r="C403" s="548" t="s">
        <v>812</v>
      </c>
      <c r="D403" s="549">
        <v>2016</v>
      </c>
      <c r="E403" s="549" t="s">
        <v>775</v>
      </c>
      <c r="F403" s="550">
        <v>487</v>
      </c>
      <c r="G403" s="550">
        <v>0</v>
      </c>
      <c r="H403" s="550">
        <v>0</v>
      </c>
      <c r="I403" s="550">
        <v>0</v>
      </c>
      <c r="J403" s="550">
        <v>300</v>
      </c>
      <c r="K403" s="550">
        <v>6</v>
      </c>
      <c r="L403" s="550">
        <v>6</v>
      </c>
      <c r="M403" s="550">
        <v>0</v>
      </c>
      <c r="N403" s="550">
        <v>297</v>
      </c>
      <c r="O403" s="550">
        <v>0</v>
      </c>
      <c r="P403" s="550">
        <v>840</v>
      </c>
      <c r="Q403" s="550">
        <v>4</v>
      </c>
      <c r="R403" s="551" t="str">
        <f t="shared" si="42"/>
        <v>EL CENTRO</v>
      </c>
      <c r="S403" s="552"/>
      <c r="T403" s="552"/>
      <c r="U403" s="552"/>
      <c r="V403" s="552"/>
      <c r="W403" s="552"/>
      <c r="X403" s="552"/>
      <c r="Y403" s="552"/>
      <c r="Z403" s="552"/>
      <c r="AA403" s="553"/>
      <c r="AB403" s="553"/>
    </row>
    <row r="404" spans="1:28" ht="12.75">
      <c r="A404" s="547" t="s">
        <v>318</v>
      </c>
      <c r="B404" s="547" t="s">
        <v>146</v>
      </c>
      <c r="C404" s="548" t="s">
        <v>812</v>
      </c>
      <c r="D404" s="549">
        <v>2017</v>
      </c>
      <c r="E404" s="549" t="s">
        <v>775</v>
      </c>
      <c r="F404" s="550">
        <v>487</v>
      </c>
      <c r="G404" s="550">
        <v>0</v>
      </c>
      <c r="H404" s="550">
        <v>0</v>
      </c>
      <c r="I404" s="550">
        <v>0</v>
      </c>
      <c r="J404" s="550">
        <v>300</v>
      </c>
      <c r="K404" s="550">
        <v>67</v>
      </c>
      <c r="L404" s="550">
        <v>0</v>
      </c>
      <c r="M404" s="550">
        <v>67</v>
      </c>
      <c r="N404" s="550">
        <v>297</v>
      </c>
      <c r="O404" s="550">
        <v>7</v>
      </c>
      <c r="P404" s="550">
        <v>840</v>
      </c>
      <c r="Q404" s="550">
        <v>0</v>
      </c>
      <c r="R404" s="551" t="str">
        <f t="shared" si="42"/>
        <v>EL CENTRO</v>
      </c>
      <c r="S404" s="552"/>
      <c r="T404" s="552"/>
      <c r="U404" s="552"/>
      <c r="V404" s="552"/>
      <c r="W404" s="552"/>
      <c r="X404" s="552"/>
      <c r="Y404" s="552"/>
      <c r="Z404" s="552"/>
      <c r="AA404" s="553"/>
      <c r="AB404" s="553"/>
    </row>
    <row r="405" spans="1:28" ht="12.75">
      <c r="A405" s="547" t="s">
        <v>318</v>
      </c>
      <c r="B405" s="547" t="s">
        <v>146</v>
      </c>
      <c r="C405" s="548" t="s">
        <v>812</v>
      </c>
      <c r="D405" s="549">
        <v>2018</v>
      </c>
      <c r="E405" s="549" t="s">
        <v>775</v>
      </c>
      <c r="F405" s="550">
        <v>487</v>
      </c>
      <c r="G405" s="550">
        <v>80</v>
      </c>
      <c r="H405" s="550">
        <v>0</v>
      </c>
      <c r="I405" s="550">
        <v>80</v>
      </c>
      <c r="J405" s="550">
        <v>300</v>
      </c>
      <c r="K405" s="550">
        <v>7</v>
      </c>
      <c r="L405" s="550">
        <v>0</v>
      </c>
      <c r="M405" s="550">
        <v>7</v>
      </c>
      <c r="N405" s="550">
        <v>297</v>
      </c>
      <c r="O405" s="550">
        <v>92</v>
      </c>
      <c r="P405" s="550">
        <v>840</v>
      </c>
      <c r="Q405" s="550">
        <v>6</v>
      </c>
      <c r="R405" s="551" t="str">
        <f t="shared" si="42"/>
        <v>EL CENTRO</v>
      </c>
      <c r="S405" s="552"/>
      <c r="T405" s="552"/>
      <c r="U405" s="552"/>
      <c r="V405" s="552"/>
      <c r="W405" s="552"/>
      <c r="X405" s="552"/>
      <c r="Y405" s="552"/>
      <c r="Z405" s="552"/>
      <c r="AA405" s="553"/>
      <c r="AB405" s="553"/>
    </row>
    <row r="406" spans="1:28" ht="12.75">
      <c r="A406" s="547" t="s">
        <v>318</v>
      </c>
      <c r="B406" s="547" t="s">
        <v>146</v>
      </c>
      <c r="C406" s="548" t="s">
        <v>813</v>
      </c>
      <c r="D406" s="549">
        <v>2019</v>
      </c>
      <c r="E406" s="549" t="s">
        <v>775</v>
      </c>
      <c r="F406" s="550">
        <v>487</v>
      </c>
      <c r="G406" s="550">
        <v>10</v>
      </c>
      <c r="H406" s="550">
        <v>0</v>
      </c>
      <c r="I406" s="550">
        <v>10</v>
      </c>
      <c r="J406" s="550">
        <v>300</v>
      </c>
      <c r="K406" s="550">
        <v>9</v>
      </c>
      <c r="L406" s="550">
        <v>0</v>
      </c>
      <c r="M406" s="550">
        <v>9</v>
      </c>
      <c r="N406" s="550">
        <v>297</v>
      </c>
      <c r="O406" s="550">
        <v>74</v>
      </c>
      <c r="P406" s="550">
        <v>840</v>
      </c>
      <c r="Q406" s="550">
        <v>5</v>
      </c>
      <c r="R406" s="551" t="str">
        <f t="shared" si="42"/>
        <v>EL CENTRO</v>
      </c>
      <c r="S406" s="552">
        <f>SUM(G401:G406) +SUM(K401:K406)</f>
        <v>187</v>
      </c>
      <c r="T406" s="552">
        <f t="shared" ref="T406:T407" si="47">F406+J406</f>
        <v>787</v>
      </c>
      <c r="U406" s="552">
        <f>SUM(O401:O406)</f>
        <v>257</v>
      </c>
      <c r="V406" s="552">
        <f t="shared" ref="V406:V407" si="48">N406</f>
        <v>297</v>
      </c>
      <c r="W406" s="554">
        <f>SUM(Q401:Q406)</f>
        <v>69</v>
      </c>
      <c r="X406" s="552">
        <f t="shared" ref="X406:X407" si="49">P406</f>
        <v>840</v>
      </c>
      <c r="Y406" s="552">
        <f>S406+U406+SUM(Q401:Q406)</f>
        <v>513</v>
      </c>
      <c r="Z406" s="552">
        <f t="shared" ref="Z406:Z407" si="50">F406+J406+N406+P406</f>
        <v>1924</v>
      </c>
      <c r="AA406" s="553"/>
      <c r="AB406" s="553"/>
    </row>
    <row r="407" spans="1:28" ht="12.75">
      <c r="A407" s="547" t="s">
        <v>319</v>
      </c>
      <c r="B407" s="547" t="s">
        <v>146</v>
      </c>
      <c r="C407" s="548" t="s">
        <v>812</v>
      </c>
      <c r="D407" s="549">
        <v>2017</v>
      </c>
      <c r="E407" s="549" t="s">
        <v>775</v>
      </c>
      <c r="F407" s="550">
        <v>54</v>
      </c>
      <c r="G407" s="550">
        <v>0</v>
      </c>
      <c r="H407" s="550">
        <v>0</v>
      </c>
      <c r="I407" s="550">
        <v>0</v>
      </c>
      <c r="J407" s="550">
        <v>31</v>
      </c>
      <c r="K407" s="550">
        <v>1</v>
      </c>
      <c r="L407" s="550">
        <v>0</v>
      </c>
      <c r="M407" s="550">
        <v>1</v>
      </c>
      <c r="N407" s="550">
        <v>32</v>
      </c>
      <c r="O407" s="550">
        <v>1</v>
      </c>
      <c r="P407" s="550">
        <v>92</v>
      </c>
      <c r="Q407" s="550">
        <v>1</v>
      </c>
      <c r="R407" s="551" t="str">
        <f t="shared" si="42"/>
        <v>HOLTVILLE</v>
      </c>
      <c r="S407" s="552">
        <f>G407+K407</f>
        <v>1</v>
      </c>
      <c r="T407" s="552">
        <f t="shared" si="47"/>
        <v>85</v>
      </c>
      <c r="U407" s="552">
        <f>O407</f>
        <v>1</v>
      </c>
      <c r="V407" s="552">
        <f t="shared" si="48"/>
        <v>32</v>
      </c>
      <c r="W407" s="552">
        <f>Q407</f>
        <v>1</v>
      </c>
      <c r="X407" s="552">
        <f t="shared" si="49"/>
        <v>92</v>
      </c>
      <c r="Y407" s="552">
        <f>S407+U407+W407</f>
        <v>3</v>
      </c>
      <c r="Z407" s="552">
        <f t="shared" si="50"/>
        <v>209</v>
      </c>
      <c r="AA407" s="553"/>
      <c r="AB407" s="553"/>
    </row>
    <row r="408" spans="1:28" ht="12.75">
      <c r="A408" s="547" t="s">
        <v>146</v>
      </c>
      <c r="B408" s="547" t="s">
        <v>146</v>
      </c>
      <c r="C408" s="548" t="s">
        <v>812</v>
      </c>
      <c r="D408" s="549">
        <v>2014</v>
      </c>
      <c r="E408" s="549" t="s">
        <v>775</v>
      </c>
      <c r="F408" s="550">
        <v>349</v>
      </c>
      <c r="G408" s="550">
        <v>56</v>
      </c>
      <c r="H408" s="550">
        <v>56</v>
      </c>
      <c r="I408" s="550">
        <v>0</v>
      </c>
      <c r="J408" s="550">
        <v>205</v>
      </c>
      <c r="K408" s="550">
        <v>0</v>
      </c>
      <c r="L408" s="550">
        <v>0</v>
      </c>
      <c r="M408" s="550">
        <v>0</v>
      </c>
      <c r="N408" s="550">
        <v>202</v>
      </c>
      <c r="O408" s="550">
        <v>43</v>
      </c>
      <c r="P408" s="550">
        <v>553</v>
      </c>
      <c r="Q408" s="550">
        <v>16</v>
      </c>
      <c r="R408" s="551" t="str">
        <f t="shared" si="42"/>
        <v>IMPERIAL</v>
      </c>
      <c r="S408" s="552"/>
      <c r="T408" s="552"/>
      <c r="U408" s="552"/>
      <c r="V408" s="552"/>
      <c r="W408" s="552"/>
      <c r="X408" s="552"/>
      <c r="Y408" s="552"/>
      <c r="Z408" s="552"/>
      <c r="AA408" s="553"/>
      <c r="AB408" s="553"/>
    </row>
    <row r="409" spans="1:28" ht="12.75">
      <c r="A409" s="547" t="s">
        <v>146</v>
      </c>
      <c r="B409" s="547" t="s">
        <v>146</v>
      </c>
      <c r="C409" s="548" t="s">
        <v>812</v>
      </c>
      <c r="D409" s="549">
        <v>2015</v>
      </c>
      <c r="E409" s="549" t="s">
        <v>775</v>
      </c>
      <c r="F409" s="550">
        <v>349</v>
      </c>
      <c r="G409" s="550">
        <v>0</v>
      </c>
      <c r="H409" s="550">
        <v>0</v>
      </c>
      <c r="I409" s="550">
        <v>0</v>
      </c>
      <c r="J409" s="550">
        <v>205</v>
      </c>
      <c r="K409" s="550">
        <v>10</v>
      </c>
      <c r="L409" s="550">
        <v>10</v>
      </c>
      <c r="M409" s="550">
        <v>0</v>
      </c>
      <c r="N409" s="550">
        <v>202</v>
      </c>
      <c r="O409" s="550">
        <v>77</v>
      </c>
      <c r="P409" s="550">
        <v>553</v>
      </c>
      <c r="Q409" s="550">
        <v>19</v>
      </c>
      <c r="R409" s="551" t="str">
        <f t="shared" si="42"/>
        <v>IMPERIAL</v>
      </c>
      <c r="S409" s="552"/>
      <c r="T409" s="552"/>
      <c r="U409" s="552"/>
      <c r="V409" s="552"/>
      <c r="W409" s="552"/>
      <c r="X409" s="552"/>
      <c r="Y409" s="552"/>
      <c r="Z409" s="552"/>
      <c r="AA409" s="553"/>
      <c r="AB409" s="553"/>
    </row>
    <row r="410" spans="1:28" ht="12.75">
      <c r="A410" s="547" t="s">
        <v>146</v>
      </c>
      <c r="B410" s="547" t="s">
        <v>146</v>
      </c>
      <c r="C410" s="548" t="s">
        <v>812</v>
      </c>
      <c r="D410" s="549">
        <v>2016</v>
      </c>
      <c r="E410" s="549" t="s">
        <v>775</v>
      </c>
      <c r="F410" s="550">
        <v>349</v>
      </c>
      <c r="G410" s="550">
        <v>0</v>
      </c>
      <c r="H410" s="550">
        <v>0</v>
      </c>
      <c r="I410" s="550">
        <v>0</v>
      </c>
      <c r="J410" s="550">
        <v>205</v>
      </c>
      <c r="K410" s="550">
        <v>0</v>
      </c>
      <c r="L410" s="550">
        <v>0</v>
      </c>
      <c r="M410" s="550">
        <v>0</v>
      </c>
      <c r="N410" s="550">
        <v>202</v>
      </c>
      <c r="O410" s="550">
        <v>227</v>
      </c>
      <c r="P410" s="550">
        <v>553</v>
      </c>
      <c r="Q410" s="550">
        <v>40</v>
      </c>
      <c r="R410" s="551" t="str">
        <f t="shared" si="42"/>
        <v>IMPERIAL</v>
      </c>
      <c r="S410" s="552"/>
      <c r="T410" s="552"/>
      <c r="U410" s="552"/>
      <c r="V410" s="552"/>
      <c r="W410" s="552"/>
      <c r="X410" s="552"/>
      <c r="Y410" s="552"/>
      <c r="Z410" s="552"/>
      <c r="AA410" s="553"/>
      <c r="AB410" s="553"/>
    </row>
    <row r="411" spans="1:28" ht="12.75">
      <c r="A411" s="547" t="s">
        <v>146</v>
      </c>
      <c r="B411" s="547" t="s">
        <v>146</v>
      </c>
      <c r="C411" s="548" t="s">
        <v>812</v>
      </c>
      <c r="D411" s="549">
        <v>2017</v>
      </c>
      <c r="E411" s="549" t="s">
        <v>775</v>
      </c>
      <c r="F411" s="550">
        <v>349</v>
      </c>
      <c r="G411" s="550">
        <v>0</v>
      </c>
      <c r="H411" s="550">
        <v>0</v>
      </c>
      <c r="I411" s="550">
        <v>0</v>
      </c>
      <c r="J411" s="550">
        <v>205</v>
      </c>
      <c r="K411" s="550">
        <v>0</v>
      </c>
      <c r="L411" s="550">
        <v>0</v>
      </c>
      <c r="M411" s="550">
        <v>0</v>
      </c>
      <c r="N411" s="550">
        <v>202</v>
      </c>
      <c r="O411" s="550">
        <v>79</v>
      </c>
      <c r="P411" s="550">
        <v>553</v>
      </c>
      <c r="Q411" s="550">
        <v>36</v>
      </c>
      <c r="R411" s="551" t="str">
        <f t="shared" si="42"/>
        <v>IMPERIAL</v>
      </c>
      <c r="S411" s="552"/>
      <c r="T411" s="552"/>
      <c r="U411" s="552"/>
      <c r="V411" s="552"/>
      <c r="W411" s="552"/>
      <c r="X411" s="552"/>
      <c r="Y411" s="552"/>
      <c r="Z411" s="552"/>
      <c r="AA411" s="553"/>
      <c r="AB411" s="553"/>
    </row>
    <row r="412" spans="1:28" ht="12.75">
      <c r="A412" s="547" t="s">
        <v>146</v>
      </c>
      <c r="B412" s="547" t="s">
        <v>146</v>
      </c>
      <c r="C412" s="548" t="s">
        <v>812</v>
      </c>
      <c r="D412" s="549">
        <v>2018</v>
      </c>
      <c r="E412" s="549" t="s">
        <v>775</v>
      </c>
      <c r="F412" s="550">
        <v>349</v>
      </c>
      <c r="G412" s="550">
        <v>0</v>
      </c>
      <c r="H412" s="550">
        <v>0</v>
      </c>
      <c r="I412" s="550">
        <v>0</v>
      </c>
      <c r="J412" s="550">
        <v>205</v>
      </c>
      <c r="K412" s="550">
        <v>0</v>
      </c>
      <c r="L412" s="550">
        <v>0</v>
      </c>
      <c r="M412" s="550">
        <v>0</v>
      </c>
      <c r="N412" s="550">
        <v>202</v>
      </c>
      <c r="O412" s="550">
        <v>90</v>
      </c>
      <c r="P412" s="550">
        <v>553</v>
      </c>
      <c r="Q412" s="550">
        <v>26</v>
      </c>
      <c r="R412" s="551" t="str">
        <f t="shared" si="42"/>
        <v>IMPERIAL</v>
      </c>
      <c r="S412" s="552"/>
      <c r="T412" s="552"/>
      <c r="U412" s="552"/>
      <c r="V412" s="552"/>
      <c r="W412" s="552"/>
      <c r="X412" s="552"/>
      <c r="Y412" s="552"/>
      <c r="Z412" s="552"/>
      <c r="AA412" s="553"/>
      <c r="AB412" s="553"/>
    </row>
    <row r="413" spans="1:28" ht="12.75">
      <c r="A413" s="547" t="s">
        <v>146</v>
      </c>
      <c r="B413" s="547" t="s">
        <v>146</v>
      </c>
      <c r="C413" s="548" t="s">
        <v>813</v>
      </c>
      <c r="D413" s="549">
        <v>2019</v>
      </c>
      <c r="E413" s="549" t="s">
        <v>775</v>
      </c>
      <c r="F413" s="550">
        <v>349</v>
      </c>
      <c r="G413" s="550">
        <v>0</v>
      </c>
      <c r="H413" s="550">
        <v>0</v>
      </c>
      <c r="I413" s="550">
        <v>0</v>
      </c>
      <c r="J413" s="550">
        <v>205</v>
      </c>
      <c r="K413" s="550">
        <v>0</v>
      </c>
      <c r="L413" s="550">
        <v>0</v>
      </c>
      <c r="M413" s="550">
        <v>0</v>
      </c>
      <c r="N413" s="550">
        <v>202</v>
      </c>
      <c r="O413" s="550">
        <v>0</v>
      </c>
      <c r="P413" s="550">
        <v>553</v>
      </c>
      <c r="Q413" s="550">
        <v>0</v>
      </c>
      <c r="R413" s="551" t="str">
        <f t="shared" si="42"/>
        <v>IMPERIAL</v>
      </c>
      <c r="S413" s="255">
        <f>SUM(G408:G413) +SUM(K408:K413)</f>
        <v>66</v>
      </c>
      <c r="T413" s="255">
        <f>F413+J413</f>
        <v>554</v>
      </c>
      <c r="U413" s="255">
        <f>SUM(O408:O413)</f>
        <v>516</v>
      </c>
      <c r="V413" s="255">
        <f>N413</f>
        <v>202</v>
      </c>
      <c r="W413" s="83">
        <f>SUM(Q408:Q413)</f>
        <v>137</v>
      </c>
      <c r="X413" s="255">
        <f>P413</f>
        <v>553</v>
      </c>
      <c r="Y413" s="255">
        <f>S413+U413+SUM(Q408:Q413)</f>
        <v>719</v>
      </c>
      <c r="Z413" s="255">
        <f>F413+J413+N413+P413</f>
        <v>1309</v>
      </c>
      <c r="AA413" s="553"/>
      <c r="AB413" s="553"/>
    </row>
    <row r="414" spans="1:28" ht="12.75">
      <c r="A414" s="547" t="s">
        <v>320</v>
      </c>
      <c r="B414" s="547" t="s">
        <v>146</v>
      </c>
      <c r="C414" s="548" t="s">
        <v>812</v>
      </c>
      <c r="D414" s="549">
        <v>2016</v>
      </c>
      <c r="E414" s="549" t="s">
        <v>775</v>
      </c>
      <c r="F414" s="550">
        <v>1633</v>
      </c>
      <c r="G414" s="550">
        <v>0</v>
      </c>
      <c r="H414" s="550">
        <v>0</v>
      </c>
      <c r="I414" s="550">
        <v>0</v>
      </c>
      <c r="J414" s="550">
        <v>1001</v>
      </c>
      <c r="K414" s="550">
        <v>0</v>
      </c>
      <c r="L414" s="550">
        <v>0</v>
      </c>
      <c r="M414" s="550">
        <v>0</v>
      </c>
      <c r="N414" s="550">
        <v>1001</v>
      </c>
      <c r="O414" s="550">
        <v>24</v>
      </c>
      <c r="P414" s="550">
        <v>2839</v>
      </c>
      <c r="Q414" s="550">
        <v>0</v>
      </c>
      <c r="R414" s="551" t="str">
        <f t="shared" si="42"/>
        <v>IMPERIAL COUNTY</v>
      </c>
      <c r="S414" s="552"/>
      <c r="T414" s="552"/>
      <c r="U414" s="552"/>
      <c r="V414" s="552"/>
      <c r="W414" s="552"/>
      <c r="X414" s="552"/>
      <c r="Y414" s="552"/>
      <c r="Z414" s="552"/>
      <c r="AA414" s="553"/>
      <c r="AB414" s="553"/>
    </row>
    <row r="415" spans="1:28" ht="12.75">
      <c r="A415" s="547" t="s">
        <v>320</v>
      </c>
      <c r="B415" s="547" t="s">
        <v>146</v>
      </c>
      <c r="C415" s="548" t="s">
        <v>812</v>
      </c>
      <c r="D415" s="549">
        <v>2017</v>
      </c>
      <c r="E415" s="549" t="s">
        <v>775</v>
      </c>
      <c r="F415" s="550">
        <v>1633</v>
      </c>
      <c r="G415" s="550">
        <v>0</v>
      </c>
      <c r="H415" s="550">
        <v>0</v>
      </c>
      <c r="I415" s="550">
        <v>0</v>
      </c>
      <c r="J415" s="550">
        <v>1001</v>
      </c>
      <c r="K415" s="550">
        <v>0</v>
      </c>
      <c r="L415" s="550">
        <v>0</v>
      </c>
      <c r="M415" s="550">
        <v>0</v>
      </c>
      <c r="N415" s="550">
        <v>1001</v>
      </c>
      <c r="O415" s="550">
        <v>13</v>
      </c>
      <c r="P415" s="550">
        <v>2839</v>
      </c>
      <c r="Q415" s="550">
        <v>0</v>
      </c>
      <c r="R415" s="551" t="str">
        <f t="shared" si="42"/>
        <v>IMPERIAL COUNTY</v>
      </c>
      <c r="S415" s="552"/>
      <c r="T415" s="552"/>
      <c r="U415" s="552"/>
      <c r="V415" s="552"/>
      <c r="W415" s="552"/>
      <c r="X415" s="552"/>
      <c r="Y415" s="552"/>
      <c r="Z415" s="552"/>
      <c r="AA415" s="553"/>
      <c r="AB415" s="553"/>
    </row>
    <row r="416" spans="1:28" ht="12.75">
      <c r="A416" s="547" t="s">
        <v>320</v>
      </c>
      <c r="B416" s="547" t="s">
        <v>146</v>
      </c>
      <c r="C416" s="548" t="s">
        <v>813</v>
      </c>
      <c r="D416" s="549">
        <v>2019</v>
      </c>
      <c r="E416" s="549" t="s">
        <v>775</v>
      </c>
      <c r="F416" s="550">
        <v>1633</v>
      </c>
      <c r="G416" s="550">
        <v>0</v>
      </c>
      <c r="H416" s="550">
        <v>0</v>
      </c>
      <c r="I416" s="550">
        <v>0</v>
      </c>
      <c r="J416" s="550">
        <v>1001</v>
      </c>
      <c r="K416" s="550">
        <v>0</v>
      </c>
      <c r="L416" s="550">
        <v>0</v>
      </c>
      <c r="M416" s="550">
        <v>0</v>
      </c>
      <c r="N416" s="550">
        <v>1001</v>
      </c>
      <c r="O416" s="550">
        <v>0</v>
      </c>
      <c r="P416" s="550">
        <v>2839</v>
      </c>
      <c r="Q416" s="550">
        <v>13</v>
      </c>
      <c r="R416" s="551" t="str">
        <f t="shared" si="42"/>
        <v>IMPERIAL COUNTY</v>
      </c>
      <c r="S416" s="255">
        <f>SUM(G414:G416) +SUM(K414:K416)</f>
        <v>0</v>
      </c>
      <c r="T416" s="255">
        <f>F416+J416</f>
        <v>2634</v>
      </c>
      <c r="U416" s="255">
        <f>SUM(O414:O416)</f>
        <v>37</v>
      </c>
      <c r="V416" s="255">
        <f>N416</f>
        <v>1001</v>
      </c>
      <c r="W416" s="83">
        <f>SUM(Q414:Q416)</f>
        <v>13</v>
      </c>
      <c r="X416" s="255">
        <f>P416</f>
        <v>2839</v>
      </c>
      <c r="Y416" s="255">
        <f>S416+U416+SUM(Q414:Q416)</f>
        <v>50</v>
      </c>
      <c r="Z416" s="255">
        <f>F416+J416+N416+P416</f>
        <v>6474</v>
      </c>
      <c r="AA416" s="553"/>
      <c r="AB416" s="553"/>
    </row>
    <row r="417" spans="1:28" ht="12.75">
      <c r="A417" s="547" t="s">
        <v>321</v>
      </c>
      <c r="B417" s="547" t="s">
        <v>146</v>
      </c>
      <c r="C417" s="548" t="s">
        <v>812</v>
      </c>
      <c r="D417" s="549">
        <v>2014</v>
      </c>
      <c r="E417" s="549" t="s">
        <v>775</v>
      </c>
      <c r="F417" s="550">
        <v>57</v>
      </c>
      <c r="G417" s="550">
        <v>0</v>
      </c>
      <c r="H417" s="550">
        <v>0</v>
      </c>
      <c r="I417" s="550">
        <v>0</v>
      </c>
      <c r="J417" s="550">
        <v>35</v>
      </c>
      <c r="K417" s="550">
        <v>0</v>
      </c>
      <c r="L417" s="550">
        <v>0</v>
      </c>
      <c r="M417" s="550">
        <v>0</v>
      </c>
      <c r="N417" s="550">
        <v>36</v>
      </c>
      <c r="O417" s="550">
        <v>0</v>
      </c>
      <c r="P417" s="550">
        <v>105</v>
      </c>
      <c r="Q417" s="550">
        <v>0</v>
      </c>
      <c r="R417" s="551" t="str">
        <f t="shared" si="42"/>
        <v>WESTMORLAND</v>
      </c>
      <c r="S417" s="552"/>
      <c r="T417" s="552"/>
      <c r="U417" s="552"/>
      <c r="V417" s="552"/>
      <c r="W417" s="552"/>
      <c r="X417" s="552"/>
      <c r="Y417" s="552"/>
      <c r="Z417" s="552"/>
      <c r="AA417" s="553"/>
      <c r="AB417" s="553"/>
    </row>
    <row r="418" spans="1:28" ht="12.75">
      <c r="A418" s="547" t="s">
        <v>321</v>
      </c>
      <c r="B418" s="547" t="s">
        <v>146</v>
      </c>
      <c r="C418" s="548" t="s">
        <v>812</v>
      </c>
      <c r="D418" s="549">
        <v>2015</v>
      </c>
      <c r="E418" s="549" t="s">
        <v>775</v>
      </c>
      <c r="F418" s="550">
        <v>57</v>
      </c>
      <c r="G418" s="550">
        <v>0</v>
      </c>
      <c r="H418" s="550">
        <v>0</v>
      </c>
      <c r="I418" s="550">
        <v>0</v>
      </c>
      <c r="J418" s="550">
        <v>35</v>
      </c>
      <c r="K418" s="550">
        <v>0</v>
      </c>
      <c r="L418" s="550">
        <v>0</v>
      </c>
      <c r="M418" s="550">
        <v>0</v>
      </c>
      <c r="N418" s="550">
        <v>36</v>
      </c>
      <c r="O418" s="550">
        <v>0</v>
      </c>
      <c r="P418" s="550">
        <v>105</v>
      </c>
      <c r="Q418" s="550">
        <v>0</v>
      </c>
      <c r="R418" s="551" t="str">
        <f t="shared" si="42"/>
        <v>WESTMORLAND</v>
      </c>
      <c r="S418" s="552"/>
      <c r="T418" s="552"/>
      <c r="U418" s="552"/>
      <c r="V418" s="552"/>
      <c r="W418" s="552"/>
      <c r="X418" s="552"/>
      <c r="Y418" s="552"/>
      <c r="Z418" s="552"/>
      <c r="AA418" s="553"/>
      <c r="AB418" s="553"/>
    </row>
    <row r="419" spans="1:28" ht="12.75">
      <c r="A419" s="547" t="s">
        <v>321</v>
      </c>
      <c r="B419" s="547" t="s">
        <v>146</v>
      </c>
      <c r="C419" s="548" t="s">
        <v>812</v>
      </c>
      <c r="D419" s="549">
        <v>2016</v>
      </c>
      <c r="E419" s="549" t="s">
        <v>775</v>
      </c>
      <c r="F419" s="550">
        <v>57</v>
      </c>
      <c r="G419" s="550">
        <v>0</v>
      </c>
      <c r="H419" s="550">
        <v>0</v>
      </c>
      <c r="I419" s="550">
        <v>0</v>
      </c>
      <c r="J419" s="550">
        <v>35</v>
      </c>
      <c r="K419" s="550">
        <v>0</v>
      </c>
      <c r="L419" s="550">
        <v>0</v>
      </c>
      <c r="M419" s="550">
        <v>0</v>
      </c>
      <c r="N419" s="550">
        <v>36</v>
      </c>
      <c r="O419" s="550">
        <v>0</v>
      </c>
      <c r="P419" s="550">
        <v>105</v>
      </c>
      <c r="Q419" s="550">
        <v>0</v>
      </c>
      <c r="R419" s="551" t="str">
        <f t="shared" si="42"/>
        <v>WESTMORLAND</v>
      </c>
      <c r="S419" s="552"/>
      <c r="T419" s="552"/>
      <c r="U419" s="552"/>
      <c r="V419" s="552"/>
      <c r="W419" s="552"/>
      <c r="X419" s="552"/>
      <c r="Y419" s="552"/>
      <c r="Z419" s="552"/>
      <c r="AA419" s="553"/>
      <c r="AB419" s="553"/>
    </row>
    <row r="420" spans="1:28" ht="12.75">
      <c r="A420" s="547" t="s">
        <v>321</v>
      </c>
      <c r="B420" s="547" t="s">
        <v>146</v>
      </c>
      <c r="C420" s="548" t="s">
        <v>812</v>
      </c>
      <c r="D420" s="549">
        <v>2017</v>
      </c>
      <c r="E420" s="549" t="s">
        <v>775</v>
      </c>
      <c r="F420" s="550">
        <v>57</v>
      </c>
      <c r="G420" s="550">
        <v>0</v>
      </c>
      <c r="H420" s="550">
        <v>0</v>
      </c>
      <c r="I420" s="550">
        <v>0</v>
      </c>
      <c r="J420" s="550">
        <v>35</v>
      </c>
      <c r="K420" s="550">
        <v>0</v>
      </c>
      <c r="L420" s="550">
        <v>0</v>
      </c>
      <c r="M420" s="550">
        <v>0</v>
      </c>
      <c r="N420" s="550">
        <v>36</v>
      </c>
      <c r="O420" s="550">
        <v>0</v>
      </c>
      <c r="P420" s="550">
        <v>105</v>
      </c>
      <c r="Q420" s="550">
        <v>0</v>
      </c>
      <c r="R420" s="551" t="str">
        <f t="shared" si="42"/>
        <v>WESTMORLAND</v>
      </c>
      <c r="S420" s="552"/>
      <c r="T420" s="552"/>
      <c r="U420" s="552"/>
      <c r="V420" s="552"/>
      <c r="W420" s="552"/>
      <c r="X420" s="552"/>
      <c r="Y420" s="552"/>
      <c r="Z420" s="552"/>
      <c r="AA420" s="553"/>
      <c r="AB420" s="553"/>
    </row>
    <row r="421" spans="1:28" ht="12.75">
      <c r="A421" s="547" t="s">
        <v>321</v>
      </c>
      <c r="B421" s="547" t="s">
        <v>146</v>
      </c>
      <c r="C421" s="548" t="s">
        <v>812</v>
      </c>
      <c r="D421" s="549">
        <v>2018</v>
      </c>
      <c r="E421" s="549" t="s">
        <v>775</v>
      </c>
      <c r="F421" s="550">
        <v>57</v>
      </c>
      <c r="G421" s="564"/>
      <c r="H421" s="564"/>
      <c r="I421" s="564"/>
      <c r="J421" s="550">
        <v>35</v>
      </c>
      <c r="K421" s="564"/>
      <c r="L421" s="564"/>
      <c r="M421" s="564"/>
      <c r="N421" s="550">
        <v>36</v>
      </c>
      <c r="O421" s="564"/>
      <c r="P421" s="550">
        <v>105</v>
      </c>
      <c r="Q421" s="564"/>
      <c r="R421" s="551" t="str">
        <f t="shared" si="42"/>
        <v>WESTMORLAND</v>
      </c>
      <c r="S421" s="561">
        <f>SUM(G417:G421) +SUM(K417:K421)</f>
        <v>0</v>
      </c>
      <c r="T421" s="561">
        <f>F421+J421</f>
        <v>92</v>
      </c>
      <c r="U421" s="561">
        <f>SUM(O417:O421)</f>
        <v>0</v>
      </c>
      <c r="V421" s="561">
        <f>N421</f>
        <v>36</v>
      </c>
      <c r="W421" s="562">
        <f>SUM(Q417:Q421)</f>
        <v>0</v>
      </c>
      <c r="X421" s="561">
        <f>P421</f>
        <v>105</v>
      </c>
      <c r="Y421" s="561">
        <f>S421+U421+SUM(Q417:Q421)</f>
        <v>0</v>
      </c>
      <c r="Z421" s="561">
        <f>F421+J421+N421+P421</f>
        <v>233</v>
      </c>
      <c r="AA421" s="553"/>
      <c r="AB421" s="553"/>
    </row>
    <row r="422" spans="1:28" ht="12.75">
      <c r="A422" s="547"/>
      <c r="B422" s="547"/>
      <c r="C422" s="548"/>
      <c r="D422" s="549"/>
      <c r="E422" s="549"/>
      <c r="F422" s="550"/>
      <c r="G422" s="550"/>
      <c r="H422" s="550"/>
      <c r="I422" s="550"/>
      <c r="J422" s="550"/>
      <c r="K422" s="550"/>
      <c r="L422" s="550"/>
      <c r="M422" s="550"/>
      <c r="N422" s="550"/>
      <c r="O422" s="550"/>
      <c r="P422" s="550"/>
      <c r="Q422" s="550"/>
      <c r="R422" s="551"/>
      <c r="S422" s="552">
        <f t="shared" ref="S422:Z422" si="51">SUM(SUM(S388:S421))</f>
        <v>721</v>
      </c>
      <c r="T422" s="552">
        <f t="shared" si="51"/>
        <v>6747</v>
      </c>
      <c r="U422" s="552">
        <f t="shared" si="51"/>
        <v>1059</v>
      </c>
      <c r="V422" s="552">
        <f t="shared" si="51"/>
        <v>2546</v>
      </c>
      <c r="W422" s="552">
        <f t="shared" si="51"/>
        <v>260</v>
      </c>
      <c r="X422" s="552">
        <f t="shared" si="51"/>
        <v>7258</v>
      </c>
      <c r="Y422" s="552">
        <f t="shared" si="51"/>
        <v>2040</v>
      </c>
      <c r="Z422" s="552">
        <f t="shared" si="51"/>
        <v>16551</v>
      </c>
      <c r="AA422" s="553"/>
      <c r="AB422" s="553"/>
    </row>
    <row r="423" spans="1:28" ht="12.75">
      <c r="A423" s="547"/>
      <c r="B423" s="547"/>
      <c r="C423" s="548"/>
      <c r="D423" s="549"/>
      <c r="E423" s="549"/>
      <c r="F423" s="550"/>
      <c r="G423" s="550"/>
      <c r="H423" s="550"/>
      <c r="I423" s="550"/>
      <c r="J423" s="550"/>
      <c r="K423" s="550"/>
      <c r="L423" s="550"/>
      <c r="M423" s="550"/>
      <c r="N423" s="550"/>
      <c r="O423" s="550"/>
      <c r="P423" s="550"/>
      <c r="Q423" s="550"/>
      <c r="R423" s="551">
        <f t="shared" ref="R423:R434" si="52">A423</f>
        <v>0</v>
      </c>
      <c r="S423" s="552"/>
      <c r="T423" s="552"/>
      <c r="U423" s="552"/>
      <c r="V423" s="552"/>
      <c r="W423" s="552"/>
      <c r="X423" s="552"/>
      <c r="Y423" s="552"/>
      <c r="Z423" s="552"/>
      <c r="AA423" s="553"/>
      <c r="AB423" s="553"/>
    </row>
    <row r="424" spans="1:28" ht="12.75">
      <c r="A424" s="547" t="s">
        <v>322</v>
      </c>
      <c r="B424" s="547" t="s">
        <v>147</v>
      </c>
      <c r="C424" s="548" t="s">
        <v>784</v>
      </c>
      <c r="D424" s="549">
        <v>2014</v>
      </c>
      <c r="E424" s="549" t="s">
        <v>775</v>
      </c>
      <c r="F424" s="550">
        <v>15</v>
      </c>
      <c r="G424" s="550">
        <v>0</v>
      </c>
      <c r="H424" s="550">
        <v>0</v>
      </c>
      <c r="I424" s="550">
        <v>0</v>
      </c>
      <c r="J424" s="550">
        <v>10</v>
      </c>
      <c r="K424" s="550">
        <v>0</v>
      </c>
      <c r="L424" s="550">
        <v>0</v>
      </c>
      <c r="M424" s="550">
        <v>0</v>
      </c>
      <c r="N424" s="550">
        <v>12</v>
      </c>
      <c r="O424" s="550">
        <v>0</v>
      </c>
      <c r="P424" s="550">
        <v>28</v>
      </c>
      <c r="Q424" s="550">
        <v>0</v>
      </c>
      <c r="R424" s="551" t="str">
        <f t="shared" si="52"/>
        <v>BISHOP</v>
      </c>
      <c r="S424" s="552"/>
      <c r="T424" s="552"/>
      <c r="U424" s="552"/>
      <c r="V424" s="552"/>
      <c r="W424" s="552"/>
      <c r="X424" s="552"/>
      <c r="Y424" s="552"/>
      <c r="Z424" s="552"/>
      <c r="AA424" s="553"/>
      <c r="AB424" s="553"/>
    </row>
    <row r="425" spans="1:28" ht="12.75">
      <c r="A425" s="547" t="s">
        <v>322</v>
      </c>
      <c r="B425" s="547" t="s">
        <v>147</v>
      </c>
      <c r="C425" s="548" t="s">
        <v>784</v>
      </c>
      <c r="D425" s="549">
        <v>2015</v>
      </c>
      <c r="E425" s="549" t="s">
        <v>775</v>
      </c>
      <c r="F425" s="550">
        <v>15</v>
      </c>
      <c r="G425" s="550">
        <v>0</v>
      </c>
      <c r="H425" s="550">
        <v>0</v>
      </c>
      <c r="I425" s="550">
        <v>0</v>
      </c>
      <c r="J425" s="550">
        <v>10</v>
      </c>
      <c r="K425" s="550">
        <v>1</v>
      </c>
      <c r="L425" s="550">
        <v>1</v>
      </c>
      <c r="M425" s="550">
        <v>0</v>
      </c>
      <c r="N425" s="550">
        <v>12</v>
      </c>
      <c r="O425" s="550">
        <v>2</v>
      </c>
      <c r="P425" s="550">
        <v>28</v>
      </c>
      <c r="Q425" s="550">
        <v>0</v>
      </c>
      <c r="R425" s="551" t="str">
        <f t="shared" si="52"/>
        <v>BISHOP</v>
      </c>
      <c r="S425" s="552"/>
      <c r="T425" s="552"/>
      <c r="U425" s="552"/>
      <c r="V425" s="552"/>
      <c r="W425" s="552"/>
      <c r="X425" s="552"/>
      <c r="Y425" s="552"/>
      <c r="Z425" s="552"/>
      <c r="AA425" s="553"/>
      <c r="AB425" s="553"/>
    </row>
    <row r="426" spans="1:28" ht="12.75">
      <c r="A426" s="547" t="s">
        <v>322</v>
      </c>
      <c r="B426" s="547" t="s">
        <v>147</v>
      </c>
      <c r="C426" s="548" t="s">
        <v>784</v>
      </c>
      <c r="D426" s="549">
        <v>2016</v>
      </c>
      <c r="E426" s="549" t="s">
        <v>775</v>
      </c>
      <c r="F426" s="550">
        <v>15</v>
      </c>
      <c r="G426" s="550">
        <v>0</v>
      </c>
      <c r="H426" s="550">
        <v>0</v>
      </c>
      <c r="I426" s="550">
        <v>0</v>
      </c>
      <c r="J426" s="550">
        <v>10</v>
      </c>
      <c r="K426" s="550">
        <v>0</v>
      </c>
      <c r="L426" s="550">
        <v>0</v>
      </c>
      <c r="M426" s="550">
        <v>0</v>
      </c>
      <c r="N426" s="550">
        <v>12</v>
      </c>
      <c r="O426" s="550">
        <v>6</v>
      </c>
      <c r="P426" s="550">
        <v>28</v>
      </c>
      <c r="Q426" s="550">
        <v>0</v>
      </c>
      <c r="R426" s="551" t="str">
        <f t="shared" si="52"/>
        <v>BISHOP</v>
      </c>
      <c r="S426" s="552"/>
      <c r="T426" s="552"/>
      <c r="U426" s="552"/>
      <c r="V426" s="552"/>
      <c r="W426" s="552"/>
      <c r="X426" s="552"/>
      <c r="Y426" s="552"/>
      <c r="Z426" s="552"/>
      <c r="AA426" s="553"/>
      <c r="AB426" s="553"/>
    </row>
    <row r="427" spans="1:28" ht="12.75">
      <c r="A427" s="547" t="s">
        <v>322</v>
      </c>
      <c r="B427" s="547" t="s">
        <v>147</v>
      </c>
      <c r="C427" s="548" t="s">
        <v>784</v>
      </c>
      <c r="D427" s="549">
        <v>2017</v>
      </c>
      <c r="E427" s="549" t="s">
        <v>775</v>
      </c>
      <c r="F427" s="550">
        <v>15</v>
      </c>
      <c r="G427" s="550">
        <v>0</v>
      </c>
      <c r="H427" s="550">
        <v>0</v>
      </c>
      <c r="I427" s="550">
        <v>0</v>
      </c>
      <c r="J427" s="550">
        <v>10</v>
      </c>
      <c r="K427" s="550">
        <v>0</v>
      </c>
      <c r="L427" s="550">
        <v>0</v>
      </c>
      <c r="M427" s="550">
        <v>0</v>
      </c>
      <c r="N427" s="550">
        <v>12</v>
      </c>
      <c r="O427" s="550">
        <v>0</v>
      </c>
      <c r="P427" s="550">
        <v>28</v>
      </c>
      <c r="Q427" s="550">
        <v>0</v>
      </c>
      <c r="R427" s="551" t="str">
        <f t="shared" si="52"/>
        <v>BISHOP</v>
      </c>
      <c r="S427" s="552"/>
      <c r="T427" s="552"/>
      <c r="U427" s="552"/>
      <c r="V427" s="552"/>
      <c r="W427" s="552"/>
      <c r="X427" s="552"/>
      <c r="Y427" s="552"/>
      <c r="Z427" s="552"/>
      <c r="AA427" s="553"/>
      <c r="AB427" s="553"/>
    </row>
    <row r="428" spans="1:28" ht="12.75">
      <c r="A428" s="547" t="s">
        <v>322</v>
      </c>
      <c r="B428" s="547" t="s">
        <v>147</v>
      </c>
      <c r="C428" s="548" t="s">
        <v>784</v>
      </c>
      <c r="D428" s="549">
        <v>2018</v>
      </c>
      <c r="E428" s="549" t="s">
        <v>775</v>
      </c>
      <c r="F428" s="550">
        <v>15</v>
      </c>
      <c r="G428" s="550">
        <v>0</v>
      </c>
      <c r="H428" s="550">
        <v>0</v>
      </c>
      <c r="I428" s="550">
        <v>0</v>
      </c>
      <c r="J428" s="550">
        <v>10</v>
      </c>
      <c r="K428" s="550">
        <v>0</v>
      </c>
      <c r="L428" s="550">
        <v>0</v>
      </c>
      <c r="M428" s="550">
        <v>0</v>
      </c>
      <c r="N428" s="550">
        <v>12</v>
      </c>
      <c r="O428" s="550">
        <v>0</v>
      </c>
      <c r="P428" s="550">
        <v>28</v>
      </c>
      <c r="Q428" s="550">
        <v>1</v>
      </c>
      <c r="R428" s="551" t="str">
        <f t="shared" si="52"/>
        <v>BISHOP</v>
      </c>
      <c r="S428" s="552"/>
      <c r="T428" s="552"/>
      <c r="U428" s="552"/>
      <c r="V428" s="552"/>
      <c r="W428" s="552"/>
      <c r="X428" s="552"/>
      <c r="Y428" s="552"/>
      <c r="Z428" s="552"/>
      <c r="AA428" s="553"/>
      <c r="AB428" s="553"/>
    </row>
    <row r="429" spans="1:28" ht="12.75">
      <c r="A429" s="547" t="s">
        <v>322</v>
      </c>
      <c r="B429" s="547" t="s">
        <v>147</v>
      </c>
      <c r="C429" s="548" t="s">
        <v>785</v>
      </c>
      <c r="D429" s="549">
        <v>2019</v>
      </c>
      <c r="E429" s="549" t="s">
        <v>775</v>
      </c>
      <c r="F429" s="550">
        <v>15</v>
      </c>
      <c r="G429" s="550">
        <v>0</v>
      </c>
      <c r="H429" s="550">
        <v>0</v>
      </c>
      <c r="I429" s="550">
        <v>0</v>
      </c>
      <c r="J429" s="550">
        <v>10</v>
      </c>
      <c r="K429" s="550">
        <v>5</v>
      </c>
      <c r="L429" s="550">
        <v>0</v>
      </c>
      <c r="M429" s="550">
        <v>5</v>
      </c>
      <c r="N429" s="550">
        <v>12</v>
      </c>
      <c r="O429" s="550">
        <v>0</v>
      </c>
      <c r="P429" s="550">
        <v>28</v>
      </c>
      <c r="Q429" s="550">
        <v>3</v>
      </c>
      <c r="R429" s="551" t="str">
        <f t="shared" si="52"/>
        <v>BISHOP</v>
      </c>
      <c r="S429" s="552">
        <f>SUM(G424:G429) +SUM(K424:K429)</f>
        <v>6</v>
      </c>
      <c r="T429" s="552">
        <f>F429+J429</f>
        <v>25</v>
      </c>
      <c r="U429" s="552">
        <f>SUM(O424:O429)</f>
        <v>8</v>
      </c>
      <c r="V429" s="552">
        <f>N429</f>
        <v>12</v>
      </c>
      <c r="W429" s="554">
        <f>SUM(Q424:Q429)</f>
        <v>4</v>
      </c>
      <c r="X429" s="552">
        <f>P429</f>
        <v>28</v>
      </c>
      <c r="Y429" s="552">
        <f>S429+U429+SUM(Q424:Q429)</f>
        <v>18</v>
      </c>
      <c r="Z429" s="552">
        <f>F429+J429+N429+P429</f>
        <v>65</v>
      </c>
      <c r="AA429" s="553"/>
      <c r="AB429" s="553"/>
    </row>
    <row r="430" spans="1:28" ht="12.75">
      <c r="A430" s="547" t="s">
        <v>323</v>
      </c>
      <c r="B430" s="547" t="s">
        <v>147</v>
      </c>
      <c r="C430" s="548" t="s">
        <v>784</v>
      </c>
      <c r="D430" s="549">
        <v>2014</v>
      </c>
      <c r="E430" s="549" t="s">
        <v>775</v>
      </c>
      <c r="F430" s="550">
        <v>35</v>
      </c>
      <c r="G430" s="550">
        <v>0</v>
      </c>
      <c r="H430" s="550">
        <v>0</v>
      </c>
      <c r="I430" s="550">
        <v>0</v>
      </c>
      <c r="J430" s="550">
        <v>25</v>
      </c>
      <c r="K430" s="550">
        <v>0</v>
      </c>
      <c r="L430" s="550">
        <v>0</v>
      </c>
      <c r="M430" s="550">
        <v>0</v>
      </c>
      <c r="N430" s="550">
        <v>28</v>
      </c>
      <c r="O430" s="550">
        <v>0</v>
      </c>
      <c r="P430" s="550">
        <v>72</v>
      </c>
      <c r="Q430" s="550">
        <v>3</v>
      </c>
      <c r="R430" s="551" t="str">
        <f t="shared" si="52"/>
        <v>INYO COUNTY</v>
      </c>
      <c r="S430" s="552"/>
      <c r="T430" s="552"/>
      <c r="U430" s="552"/>
      <c r="V430" s="552"/>
      <c r="W430" s="552"/>
      <c r="X430" s="552"/>
      <c r="Y430" s="552"/>
      <c r="Z430" s="552"/>
      <c r="AA430" s="553"/>
      <c r="AB430" s="553"/>
    </row>
    <row r="431" spans="1:28" ht="12.75">
      <c r="A431" s="547" t="s">
        <v>323</v>
      </c>
      <c r="B431" s="547" t="s">
        <v>147</v>
      </c>
      <c r="C431" s="548" t="s">
        <v>784</v>
      </c>
      <c r="D431" s="549">
        <v>2015</v>
      </c>
      <c r="E431" s="549" t="s">
        <v>775</v>
      </c>
      <c r="F431" s="550">
        <v>35</v>
      </c>
      <c r="G431" s="550">
        <v>0</v>
      </c>
      <c r="H431" s="550">
        <v>0</v>
      </c>
      <c r="I431" s="550">
        <v>0</v>
      </c>
      <c r="J431" s="550">
        <v>25</v>
      </c>
      <c r="K431" s="550">
        <v>0</v>
      </c>
      <c r="L431" s="550">
        <v>0</v>
      </c>
      <c r="M431" s="550">
        <v>0</v>
      </c>
      <c r="N431" s="550">
        <v>28</v>
      </c>
      <c r="O431" s="550">
        <v>0</v>
      </c>
      <c r="P431" s="550">
        <v>72</v>
      </c>
      <c r="Q431" s="550">
        <v>2</v>
      </c>
      <c r="R431" s="551" t="str">
        <f t="shared" si="52"/>
        <v>INYO COUNTY</v>
      </c>
      <c r="S431" s="552"/>
      <c r="T431" s="552"/>
      <c r="U431" s="552"/>
      <c r="V431" s="552"/>
      <c r="W431" s="552"/>
      <c r="X431" s="552"/>
      <c r="Y431" s="552"/>
      <c r="Z431" s="552"/>
      <c r="AA431" s="553"/>
      <c r="AB431" s="553"/>
    </row>
    <row r="432" spans="1:28" ht="12.75">
      <c r="A432" s="547" t="s">
        <v>323</v>
      </c>
      <c r="B432" s="547" t="s">
        <v>147</v>
      </c>
      <c r="C432" s="548" t="s">
        <v>784</v>
      </c>
      <c r="D432" s="549">
        <v>2016</v>
      </c>
      <c r="E432" s="549" t="s">
        <v>775</v>
      </c>
      <c r="F432" s="550">
        <v>35</v>
      </c>
      <c r="G432" s="550">
        <v>0</v>
      </c>
      <c r="H432" s="550">
        <v>0</v>
      </c>
      <c r="I432" s="550">
        <v>0</v>
      </c>
      <c r="J432" s="550">
        <v>25</v>
      </c>
      <c r="K432" s="550">
        <v>0</v>
      </c>
      <c r="L432" s="550">
        <v>0</v>
      </c>
      <c r="M432" s="550">
        <v>0</v>
      </c>
      <c r="N432" s="550">
        <v>28</v>
      </c>
      <c r="O432" s="550">
        <v>0</v>
      </c>
      <c r="P432" s="550">
        <v>72</v>
      </c>
      <c r="Q432" s="550">
        <v>9</v>
      </c>
      <c r="R432" s="551" t="str">
        <f t="shared" si="52"/>
        <v>INYO COUNTY</v>
      </c>
      <c r="S432" s="552"/>
      <c r="T432" s="552"/>
      <c r="U432" s="552"/>
      <c r="V432" s="552"/>
      <c r="W432" s="552"/>
      <c r="X432" s="552"/>
      <c r="Y432" s="552"/>
      <c r="Z432" s="552"/>
      <c r="AA432" s="553"/>
      <c r="AB432" s="553"/>
    </row>
    <row r="433" spans="1:28" ht="12.75">
      <c r="A433" s="547" t="s">
        <v>323</v>
      </c>
      <c r="B433" s="547" t="s">
        <v>147</v>
      </c>
      <c r="C433" s="548" t="s">
        <v>784</v>
      </c>
      <c r="D433" s="549">
        <v>2017</v>
      </c>
      <c r="E433" s="549" t="s">
        <v>775</v>
      </c>
      <c r="F433" s="550">
        <v>35</v>
      </c>
      <c r="G433" s="550">
        <v>0</v>
      </c>
      <c r="H433" s="550">
        <v>0</v>
      </c>
      <c r="I433" s="550">
        <v>0</v>
      </c>
      <c r="J433" s="550">
        <v>25</v>
      </c>
      <c r="K433" s="550">
        <v>0</v>
      </c>
      <c r="L433" s="550">
        <v>0</v>
      </c>
      <c r="M433" s="550">
        <v>0</v>
      </c>
      <c r="N433" s="550">
        <v>28</v>
      </c>
      <c r="O433" s="550">
        <v>0</v>
      </c>
      <c r="P433" s="550">
        <v>72</v>
      </c>
      <c r="Q433" s="550">
        <v>7</v>
      </c>
      <c r="R433" s="551" t="str">
        <f t="shared" si="52"/>
        <v>INYO COUNTY</v>
      </c>
      <c r="S433" s="552"/>
      <c r="T433" s="552"/>
      <c r="U433" s="552"/>
      <c r="V433" s="552"/>
      <c r="W433" s="552"/>
      <c r="X433" s="552"/>
      <c r="Y433" s="552"/>
      <c r="Z433" s="552"/>
      <c r="AA433" s="553"/>
      <c r="AB433" s="553"/>
    </row>
    <row r="434" spans="1:28" ht="12.75">
      <c r="A434" s="547" t="s">
        <v>323</v>
      </c>
      <c r="B434" s="547" t="s">
        <v>147</v>
      </c>
      <c r="C434" s="548" t="s">
        <v>785</v>
      </c>
      <c r="D434" s="549">
        <v>2019</v>
      </c>
      <c r="E434" s="549" t="s">
        <v>775</v>
      </c>
      <c r="F434" s="550">
        <v>35</v>
      </c>
      <c r="G434" s="550">
        <v>0</v>
      </c>
      <c r="H434" s="550">
        <v>0</v>
      </c>
      <c r="I434" s="550">
        <v>0</v>
      </c>
      <c r="J434" s="550">
        <v>25</v>
      </c>
      <c r="K434" s="550">
        <v>0</v>
      </c>
      <c r="L434" s="550">
        <v>0</v>
      </c>
      <c r="M434" s="550">
        <v>0</v>
      </c>
      <c r="N434" s="550">
        <v>28</v>
      </c>
      <c r="O434" s="550">
        <v>0</v>
      </c>
      <c r="P434" s="550">
        <v>72</v>
      </c>
      <c r="Q434" s="550">
        <v>20</v>
      </c>
      <c r="R434" s="551" t="str">
        <f t="shared" si="52"/>
        <v>INYO COUNTY</v>
      </c>
      <c r="S434" s="561">
        <f>SUM(G430:G434) +SUM(K430:K434)</f>
        <v>0</v>
      </c>
      <c r="T434" s="561">
        <f>F434+J434</f>
        <v>60</v>
      </c>
      <c r="U434" s="561">
        <f>SUM(O430:O434)</f>
        <v>0</v>
      </c>
      <c r="V434" s="561">
        <f>N434</f>
        <v>28</v>
      </c>
      <c r="W434" s="562">
        <f>SUM(Q430:Q434)</f>
        <v>41</v>
      </c>
      <c r="X434" s="561">
        <f>P434</f>
        <v>72</v>
      </c>
      <c r="Y434" s="561">
        <f>S434+U434+SUM(Q430:Q434)</f>
        <v>41</v>
      </c>
      <c r="Z434" s="561">
        <f>F434+J434+N434+P434</f>
        <v>160</v>
      </c>
      <c r="AA434" s="553"/>
      <c r="AB434" s="553"/>
    </row>
    <row r="435" spans="1:28" ht="12.75">
      <c r="A435" s="547"/>
      <c r="B435" s="547"/>
      <c r="C435" s="548"/>
      <c r="D435" s="549"/>
      <c r="E435" s="549"/>
      <c r="F435" s="550"/>
      <c r="G435" s="550"/>
      <c r="H435" s="550"/>
      <c r="I435" s="550"/>
      <c r="J435" s="550"/>
      <c r="K435" s="550"/>
      <c r="L435" s="550"/>
      <c r="M435" s="550"/>
      <c r="N435" s="550"/>
      <c r="O435" s="550"/>
      <c r="P435" s="550"/>
      <c r="Q435" s="550"/>
      <c r="R435" s="551"/>
      <c r="S435" s="552">
        <f t="shared" ref="S435:Z435" si="53">S429+S434</f>
        <v>6</v>
      </c>
      <c r="T435" s="552">
        <f t="shared" si="53"/>
        <v>85</v>
      </c>
      <c r="U435" s="552">
        <f t="shared" si="53"/>
        <v>8</v>
      </c>
      <c r="V435" s="552">
        <f t="shared" si="53"/>
        <v>40</v>
      </c>
      <c r="W435" s="552">
        <f t="shared" si="53"/>
        <v>45</v>
      </c>
      <c r="X435" s="552">
        <f t="shared" si="53"/>
        <v>100</v>
      </c>
      <c r="Y435" s="552">
        <f t="shared" si="53"/>
        <v>59</v>
      </c>
      <c r="Z435" s="552">
        <f t="shared" si="53"/>
        <v>225</v>
      </c>
      <c r="AA435" s="553"/>
      <c r="AB435" s="553"/>
    </row>
    <row r="436" spans="1:28" ht="12.75">
      <c r="A436" s="547"/>
      <c r="B436" s="547"/>
      <c r="C436" s="548"/>
      <c r="D436" s="549"/>
      <c r="E436" s="549"/>
      <c r="F436" s="571"/>
      <c r="G436" s="571"/>
      <c r="H436" s="571"/>
      <c r="I436" s="571"/>
      <c r="J436" s="550"/>
      <c r="K436" s="550"/>
      <c r="L436" s="550"/>
      <c r="M436" s="550"/>
      <c r="N436" s="550"/>
      <c r="O436" s="550"/>
      <c r="P436" s="550"/>
      <c r="Q436" s="550"/>
      <c r="R436" s="551"/>
      <c r="S436" s="552"/>
      <c r="T436" s="552"/>
      <c r="U436" s="552"/>
      <c r="V436" s="552"/>
      <c r="W436" s="552"/>
      <c r="X436" s="552"/>
      <c r="Y436" s="552"/>
      <c r="Z436" s="552"/>
      <c r="AA436" s="553"/>
      <c r="AB436" s="553"/>
    </row>
    <row r="437" spans="1:28" ht="12.75">
      <c r="A437" s="547" t="s">
        <v>324</v>
      </c>
      <c r="B437" s="547" t="s">
        <v>148</v>
      </c>
      <c r="C437" s="548" t="s">
        <v>177</v>
      </c>
      <c r="D437" s="549">
        <v>2015</v>
      </c>
      <c r="E437" s="549" t="s">
        <v>775</v>
      </c>
      <c r="F437" s="550">
        <v>398</v>
      </c>
      <c r="G437" s="550">
        <v>0</v>
      </c>
      <c r="H437" s="550">
        <v>0</v>
      </c>
      <c r="I437" s="550">
        <v>0</v>
      </c>
      <c r="J437" s="550">
        <v>239</v>
      </c>
      <c r="K437" s="550">
        <v>26</v>
      </c>
      <c r="L437" s="550">
        <v>9</v>
      </c>
      <c r="M437" s="550">
        <v>17</v>
      </c>
      <c r="N437" s="550">
        <v>183</v>
      </c>
      <c r="O437" s="550">
        <v>60</v>
      </c>
      <c r="P437" s="550">
        <v>349</v>
      </c>
      <c r="Q437" s="550">
        <v>0</v>
      </c>
      <c r="R437" s="551" t="str">
        <f t="shared" ref="R437:R444" si="54">A437</f>
        <v>ARVIN</v>
      </c>
      <c r="S437" s="552"/>
      <c r="T437" s="552"/>
      <c r="U437" s="552"/>
      <c r="V437" s="552"/>
      <c r="W437" s="552"/>
      <c r="X437" s="552"/>
      <c r="Y437" s="552"/>
      <c r="Z437" s="552"/>
      <c r="AA437" s="553"/>
      <c r="AB437" s="553"/>
    </row>
    <row r="438" spans="1:28" ht="12.75">
      <c r="A438" s="547" t="s">
        <v>324</v>
      </c>
      <c r="B438" s="547" t="s">
        <v>148</v>
      </c>
      <c r="C438" s="548" t="s">
        <v>177</v>
      </c>
      <c r="D438" s="549">
        <v>2016</v>
      </c>
      <c r="E438" s="549" t="s">
        <v>775</v>
      </c>
      <c r="F438" s="550">
        <v>398</v>
      </c>
      <c r="G438" s="550">
        <v>0</v>
      </c>
      <c r="H438" s="550">
        <v>0</v>
      </c>
      <c r="I438" s="550">
        <v>0</v>
      </c>
      <c r="J438" s="550">
        <v>239</v>
      </c>
      <c r="K438" s="550">
        <v>24</v>
      </c>
      <c r="L438" s="550">
        <v>11</v>
      </c>
      <c r="M438" s="550">
        <v>13</v>
      </c>
      <c r="N438" s="550">
        <v>183</v>
      </c>
      <c r="O438" s="550">
        <v>29</v>
      </c>
      <c r="P438" s="550">
        <v>349</v>
      </c>
      <c r="Q438" s="550">
        <v>0</v>
      </c>
      <c r="R438" s="551" t="str">
        <f t="shared" si="54"/>
        <v>ARVIN</v>
      </c>
      <c r="S438" s="552"/>
      <c r="T438" s="552"/>
      <c r="U438" s="552"/>
      <c r="V438" s="552"/>
      <c r="W438" s="552"/>
      <c r="X438" s="552"/>
      <c r="Y438" s="552"/>
      <c r="Z438" s="552"/>
      <c r="AA438" s="553"/>
      <c r="AB438" s="553"/>
    </row>
    <row r="439" spans="1:28" ht="12.75">
      <c r="A439" s="547" t="s">
        <v>324</v>
      </c>
      <c r="B439" s="547" t="s">
        <v>148</v>
      </c>
      <c r="C439" s="548" t="s">
        <v>177</v>
      </c>
      <c r="D439" s="549">
        <v>2017</v>
      </c>
      <c r="E439" s="549" t="s">
        <v>775</v>
      </c>
      <c r="F439" s="550">
        <v>398</v>
      </c>
      <c r="G439" s="550">
        <v>0</v>
      </c>
      <c r="H439" s="550">
        <v>0</v>
      </c>
      <c r="I439" s="550">
        <v>0</v>
      </c>
      <c r="J439" s="550">
        <v>239</v>
      </c>
      <c r="K439" s="550">
        <v>6</v>
      </c>
      <c r="L439" s="550">
        <v>0</v>
      </c>
      <c r="M439" s="550">
        <v>6</v>
      </c>
      <c r="N439" s="550">
        <v>183</v>
      </c>
      <c r="O439" s="550">
        <v>79</v>
      </c>
      <c r="P439" s="550">
        <v>349</v>
      </c>
      <c r="Q439" s="550">
        <v>0</v>
      </c>
      <c r="R439" s="551" t="str">
        <f t="shared" si="54"/>
        <v>ARVIN</v>
      </c>
      <c r="S439" s="552"/>
      <c r="T439" s="552"/>
      <c r="U439" s="552"/>
      <c r="V439" s="552"/>
      <c r="W439" s="552"/>
      <c r="X439" s="552"/>
      <c r="Y439" s="552"/>
      <c r="Z439" s="552"/>
      <c r="AA439" s="553"/>
      <c r="AB439" s="553"/>
    </row>
    <row r="440" spans="1:28" ht="12.75">
      <c r="A440" s="547" t="s">
        <v>324</v>
      </c>
      <c r="B440" s="547" t="s">
        <v>148</v>
      </c>
      <c r="C440" s="548" t="s">
        <v>177</v>
      </c>
      <c r="D440" s="549">
        <v>2018</v>
      </c>
      <c r="E440" s="549" t="s">
        <v>775</v>
      </c>
      <c r="F440" s="550">
        <v>398</v>
      </c>
      <c r="G440" s="550">
        <v>0</v>
      </c>
      <c r="H440" s="550">
        <v>0</v>
      </c>
      <c r="I440" s="550">
        <v>0</v>
      </c>
      <c r="J440" s="550">
        <v>239</v>
      </c>
      <c r="K440" s="550">
        <v>0</v>
      </c>
      <c r="L440" s="550">
        <v>0</v>
      </c>
      <c r="M440" s="550">
        <v>0</v>
      </c>
      <c r="N440" s="550">
        <v>183</v>
      </c>
      <c r="O440" s="550">
        <v>102</v>
      </c>
      <c r="P440" s="550">
        <v>349</v>
      </c>
      <c r="Q440" s="550">
        <v>0</v>
      </c>
      <c r="R440" s="551" t="str">
        <f t="shared" si="54"/>
        <v>ARVIN</v>
      </c>
      <c r="S440" s="552"/>
      <c r="T440" s="552"/>
      <c r="U440" s="552"/>
      <c r="V440" s="552"/>
      <c r="W440" s="552"/>
      <c r="X440" s="552"/>
      <c r="Y440" s="552"/>
      <c r="Z440" s="552"/>
      <c r="AA440" s="553"/>
      <c r="AB440" s="553"/>
    </row>
    <row r="441" spans="1:28" ht="12.75">
      <c r="A441" s="547" t="s">
        <v>324</v>
      </c>
      <c r="B441" s="547" t="s">
        <v>148</v>
      </c>
      <c r="C441" s="548" t="s">
        <v>811</v>
      </c>
      <c r="D441" s="549">
        <v>2019</v>
      </c>
      <c r="E441" s="549" t="s">
        <v>775</v>
      </c>
      <c r="F441" s="550">
        <v>398</v>
      </c>
      <c r="G441" s="550">
        <v>0</v>
      </c>
      <c r="H441" s="550">
        <v>0</v>
      </c>
      <c r="I441" s="550">
        <v>0</v>
      </c>
      <c r="J441" s="550">
        <v>239</v>
      </c>
      <c r="K441" s="550">
        <v>0</v>
      </c>
      <c r="L441" s="550">
        <v>0</v>
      </c>
      <c r="M441" s="550">
        <v>0</v>
      </c>
      <c r="N441" s="550">
        <v>183</v>
      </c>
      <c r="O441" s="550">
        <v>111</v>
      </c>
      <c r="P441" s="550">
        <v>349</v>
      </c>
      <c r="Q441" s="550">
        <v>0</v>
      </c>
      <c r="R441" s="551" t="str">
        <f t="shared" si="54"/>
        <v>ARVIN</v>
      </c>
      <c r="S441" s="255">
        <f>SUM(G437:G441) +SUM(K437:K441)</f>
        <v>56</v>
      </c>
      <c r="T441" s="255">
        <f>F441+J441</f>
        <v>637</v>
      </c>
      <c r="U441" s="255">
        <f>SUM(O437:O441)</f>
        <v>381</v>
      </c>
      <c r="V441" s="255">
        <f>N441</f>
        <v>183</v>
      </c>
      <c r="W441" s="83">
        <f>SUM(Q437:Q441)</f>
        <v>0</v>
      </c>
      <c r="X441" s="255">
        <f>P441</f>
        <v>349</v>
      </c>
      <c r="Y441" s="255">
        <f>S441+U441+SUM(Q437:Q441)</f>
        <v>437</v>
      </c>
      <c r="Z441" s="255">
        <f>F441+J441+N441+P441</f>
        <v>1169</v>
      </c>
      <c r="AA441" s="553"/>
      <c r="AB441" s="553"/>
    </row>
    <row r="442" spans="1:28" ht="12.75">
      <c r="A442" s="547" t="s">
        <v>325</v>
      </c>
      <c r="B442" s="547" t="s">
        <v>148</v>
      </c>
      <c r="C442" s="548" t="s">
        <v>177</v>
      </c>
      <c r="D442" s="549">
        <v>2017</v>
      </c>
      <c r="E442" s="549" t="s">
        <v>775</v>
      </c>
      <c r="F442" s="550">
        <v>9706</v>
      </c>
      <c r="G442" s="550">
        <v>182</v>
      </c>
      <c r="H442" s="550">
        <v>182</v>
      </c>
      <c r="I442" s="550">
        <v>0</v>
      </c>
      <c r="J442" s="550">
        <v>5800</v>
      </c>
      <c r="K442" s="550">
        <v>76</v>
      </c>
      <c r="L442" s="550">
        <v>76</v>
      </c>
      <c r="M442" s="550">
        <v>0</v>
      </c>
      <c r="N442" s="550">
        <v>6453</v>
      </c>
      <c r="O442" s="550">
        <v>4388</v>
      </c>
      <c r="P442" s="550">
        <v>14331</v>
      </c>
      <c r="Q442" s="550">
        <v>3117</v>
      </c>
      <c r="R442" s="551" t="str">
        <f t="shared" si="54"/>
        <v>BAKERSFIELD</v>
      </c>
      <c r="S442" s="552"/>
      <c r="T442" s="552"/>
      <c r="U442" s="552"/>
      <c r="V442" s="552"/>
      <c r="W442" s="552"/>
      <c r="X442" s="552"/>
      <c r="Y442" s="552"/>
      <c r="Z442" s="552"/>
      <c r="AA442" s="553"/>
      <c r="AB442" s="553"/>
    </row>
    <row r="443" spans="1:28" ht="12.75">
      <c r="A443" s="547" t="s">
        <v>325</v>
      </c>
      <c r="B443" s="547" t="s">
        <v>148</v>
      </c>
      <c r="C443" s="548" t="s">
        <v>177</v>
      </c>
      <c r="D443" s="549">
        <v>2018</v>
      </c>
      <c r="E443" s="549" t="s">
        <v>775</v>
      </c>
      <c r="F443" s="550">
        <v>9706</v>
      </c>
      <c r="G443" s="550">
        <v>0</v>
      </c>
      <c r="H443" s="550">
        <v>0</v>
      </c>
      <c r="I443" s="550">
        <v>0</v>
      </c>
      <c r="J443" s="550">
        <v>5800</v>
      </c>
      <c r="K443" s="550">
        <v>1</v>
      </c>
      <c r="L443" s="550">
        <v>1</v>
      </c>
      <c r="M443" s="550">
        <v>0</v>
      </c>
      <c r="N443" s="550">
        <v>6453</v>
      </c>
      <c r="O443" s="550">
        <v>1</v>
      </c>
      <c r="P443" s="550">
        <v>14331</v>
      </c>
      <c r="Q443" s="550">
        <v>1178</v>
      </c>
      <c r="R443" s="551" t="str">
        <f t="shared" si="54"/>
        <v>BAKERSFIELD</v>
      </c>
      <c r="S443" s="552"/>
      <c r="T443" s="552"/>
      <c r="U443" s="552"/>
      <c r="V443" s="552"/>
      <c r="W443" s="552"/>
      <c r="X443" s="552"/>
      <c r="Y443" s="552"/>
      <c r="Z443" s="552"/>
      <c r="AA443" s="553"/>
      <c r="AB443" s="553"/>
    </row>
    <row r="444" spans="1:28" ht="12.75">
      <c r="A444" s="547" t="s">
        <v>325</v>
      </c>
      <c r="B444" s="547" t="s">
        <v>148</v>
      </c>
      <c r="C444" s="548" t="s">
        <v>811</v>
      </c>
      <c r="D444" s="549">
        <v>2019</v>
      </c>
      <c r="E444" s="549" t="s">
        <v>775</v>
      </c>
      <c r="F444" s="550">
        <v>9706</v>
      </c>
      <c r="G444" s="550">
        <v>3</v>
      </c>
      <c r="H444" s="550">
        <v>3</v>
      </c>
      <c r="I444" s="550">
        <v>0</v>
      </c>
      <c r="J444" s="550">
        <v>5800</v>
      </c>
      <c r="K444" s="550">
        <v>13</v>
      </c>
      <c r="L444" s="550">
        <v>13</v>
      </c>
      <c r="M444" s="550">
        <v>0</v>
      </c>
      <c r="N444" s="550">
        <v>6453</v>
      </c>
      <c r="O444" s="550">
        <v>3</v>
      </c>
      <c r="P444" s="550">
        <v>14331</v>
      </c>
      <c r="Q444" s="550">
        <v>1673</v>
      </c>
      <c r="R444" s="551" t="str">
        <f t="shared" si="54"/>
        <v>BAKERSFIELD</v>
      </c>
      <c r="S444" s="255">
        <f>SUM(G442:G444) +SUM(K442:K444)</f>
        <v>275</v>
      </c>
      <c r="T444" s="255">
        <f t="shared" ref="T444:T445" si="55">F444+J444</f>
        <v>15506</v>
      </c>
      <c r="U444" s="255">
        <f>SUM(O442:O444)</f>
        <v>4392</v>
      </c>
      <c r="V444" s="255">
        <f t="shared" ref="V444:V445" si="56">N444</f>
        <v>6453</v>
      </c>
      <c r="W444" s="83">
        <f>SUM(Q442:Q444)</f>
        <v>5968</v>
      </c>
      <c r="X444" s="255">
        <f t="shared" ref="X444:X445" si="57">P444</f>
        <v>14331</v>
      </c>
      <c r="Y444" s="255">
        <f>S444+U444+SUM(Q442:Q444)</f>
        <v>10635</v>
      </c>
      <c r="Z444" s="255">
        <f t="shared" ref="Z444:Z445" si="58">F444+J444+N444+P444</f>
        <v>36290</v>
      </c>
      <c r="AA444" s="553"/>
      <c r="AB444" s="553"/>
    </row>
    <row r="445" spans="1:28" ht="12.75">
      <c r="A445" s="547" t="s">
        <v>326</v>
      </c>
      <c r="B445" s="547" t="s">
        <v>148</v>
      </c>
      <c r="C445" s="548" t="s">
        <v>811</v>
      </c>
      <c r="D445" s="549">
        <v>2019</v>
      </c>
      <c r="E445" s="549" t="s">
        <v>775</v>
      </c>
      <c r="F445" s="550">
        <v>254</v>
      </c>
      <c r="G445" s="550">
        <v>0</v>
      </c>
      <c r="H445" s="550">
        <v>0</v>
      </c>
      <c r="I445" s="550">
        <v>0</v>
      </c>
      <c r="J445" s="550">
        <v>131</v>
      </c>
      <c r="K445" s="550">
        <v>0</v>
      </c>
      <c r="L445" s="550">
        <v>0</v>
      </c>
      <c r="M445" s="550">
        <v>0</v>
      </c>
      <c r="N445" s="550">
        <v>155</v>
      </c>
      <c r="O445" s="550">
        <v>0</v>
      </c>
      <c r="P445" s="550">
        <v>726</v>
      </c>
      <c r="Q445" s="550">
        <v>0</v>
      </c>
      <c r="R445" s="569" t="s">
        <v>326</v>
      </c>
      <c r="S445" s="552">
        <f>G445+K445</f>
        <v>0</v>
      </c>
      <c r="T445" s="255">
        <f t="shared" si="55"/>
        <v>385</v>
      </c>
      <c r="U445" s="552">
        <f>O445</f>
        <v>0</v>
      </c>
      <c r="V445" s="255">
        <f t="shared" si="56"/>
        <v>155</v>
      </c>
      <c r="W445" s="552">
        <f>Q445</f>
        <v>0</v>
      </c>
      <c r="X445" s="255">
        <f t="shared" si="57"/>
        <v>726</v>
      </c>
      <c r="Y445" s="552">
        <f>S445+U445+W445</f>
        <v>0</v>
      </c>
      <c r="Z445" s="255">
        <f t="shared" si="58"/>
        <v>1266</v>
      </c>
      <c r="AA445" s="553"/>
      <c r="AB445" s="553"/>
    </row>
    <row r="446" spans="1:28" ht="12.75">
      <c r="A446" s="547" t="s">
        <v>327</v>
      </c>
      <c r="B446" s="547" t="s">
        <v>148</v>
      </c>
      <c r="C446" s="548" t="s">
        <v>177</v>
      </c>
      <c r="D446" s="549">
        <v>2015</v>
      </c>
      <c r="E446" s="549" t="s">
        <v>775</v>
      </c>
      <c r="F446" s="550">
        <v>396</v>
      </c>
      <c r="G446" s="550">
        <v>0</v>
      </c>
      <c r="H446" s="550">
        <v>0</v>
      </c>
      <c r="I446" s="550">
        <v>0</v>
      </c>
      <c r="J446" s="550">
        <v>277</v>
      </c>
      <c r="K446" s="550">
        <v>0</v>
      </c>
      <c r="L446" s="550">
        <v>0</v>
      </c>
      <c r="M446" s="550">
        <v>0</v>
      </c>
      <c r="N446" s="550">
        <v>243</v>
      </c>
      <c r="O446" s="550">
        <v>2</v>
      </c>
      <c r="P446" s="550">
        <v>546</v>
      </c>
      <c r="Q446" s="550">
        <v>0</v>
      </c>
      <c r="R446" s="551" t="str">
        <f t="shared" ref="R446:R459" si="59">A446</f>
        <v>DELANO</v>
      </c>
      <c r="S446" s="552"/>
      <c r="T446" s="552"/>
      <c r="U446" s="552"/>
      <c r="V446" s="552"/>
      <c r="W446" s="552"/>
      <c r="X446" s="552"/>
      <c r="Y446" s="552"/>
      <c r="Z446" s="552"/>
      <c r="AA446" s="553"/>
      <c r="AB446" s="553"/>
    </row>
    <row r="447" spans="1:28" ht="12.75">
      <c r="A447" s="547" t="s">
        <v>327</v>
      </c>
      <c r="B447" s="547" t="s">
        <v>148</v>
      </c>
      <c r="C447" s="548" t="s">
        <v>177</v>
      </c>
      <c r="D447" s="549">
        <v>2016</v>
      </c>
      <c r="E447" s="549" t="s">
        <v>775</v>
      </c>
      <c r="F447" s="550">
        <v>396</v>
      </c>
      <c r="G447" s="550">
        <v>0</v>
      </c>
      <c r="H447" s="550">
        <v>0</v>
      </c>
      <c r="I447" s="550">
        <v>0</v>
      </c>
      <c r="J447" s="550">
        <v>277</v>
      </c>
      <c r="K447" s="550">
        <v>0</v>
      </c>
      <c r="L447" s="550">
        <v>0</v>
      </c>
      <c r="M447" s="550">
        <v>0</v>
      </c>
      <c r="N447" s="550">
        <v>243</v>
      </c>
      <c r="O447" s="550">
        <v>44</v>
      </c>
      <c r="P447" s="550">
        <v>546</v>
      </c>
      <c r="Q447" s="550">
        <v>1</v>
      </c>
      <c r="R447" s="551" t="str">
        <f t="shared" si="59"/>
        <v>DELANO</v>
      </c>
      <c r="S447" s="552"/>
      <c r="T447" s="552"/>
      <c r="U447" s="552"/>
      <c r="V447" s="552"/>
      <c r="W447" s="552"/>
      <c r="X447" s="552"/>
      <c r="Y447" s="552"/>
      <c r="Z447" s="552"/>
      <c r="AA447" s="553"/>
      <c r="AB447" s="553"/>
    </row>
    <row r="448" spans="1:28" ht="12.75">
      <c r="A448" s="547" t="s">
        <v>327</v>
      </c>
      <c r="B448" s="547" t="s">
        <v>148</v>
      </c>
      <c r="C448" s="548" t="s">
        <v>177</v>
      </c>
      <c r="D448" s="549">
        <v>2017</v>
      </c>
      <c r="E448" s="549" t="s">
        <v>775</v>
      </c>
      <c r="F448" s="550">
        <v>396</v>
      </c>
      <c r="G448" s="550">
        <v>0</v>
      </c>
      <c r="H448" s="550">
        <v>0</v>
      </c>
      <c r="I448" s="550">
        <v>0</v>
      </c>
      <c r="J448" s="550">
        <v>277</v>
      </c>
      <c r="K448" s="550">
        <v>0</v>
      </c>
      <c r="L448" s="550">
        <v>0</v>
      </c>
      <c r="M448" s="550">
        <v>0</v>
      </c>
      <c r="N448" s="550">
        <v>243</v>
      </c>
      <c r="O448" s="550">
        <v>9</v>
      </c>
      <c r="P448" s="550">
        <v>546</v>
      </c>
      <c r="Q448" s="550">
        <v>21</v>
      </c>
      <c r="R448" s="551" t="str">
        <f t="shared" si="59"/>
        <v>DELANO</v>
      </c>
      <c r="S448" s="552"/>
      <c r="T448" s="552"/>
      <c r="U448" s="552"/>
      <c r="V448" s="552"/>
      <c r="W448" s="552"/>
      <c r="X448" s="552"/>
      <c r="Y448" s="552"/>
      <c r="Z448" s="552"/>
      <c r="AA448" s="553"/>
      <c r="AB448" s="553"/>
    </row>
    <row r="449" spans="1:28" ht="12.75">
      <c r="A449" s="547" t="s">
        <v>327</v>
      </c>
      <c r="B449" s="547" t="s">
        <v>148</v>
      </c>
      <c r="C449" s="548" t="s">
        <v>177</v>
      </c>
      <c r="D449" s="549">
        <v>2018</v>
      </c>
      <c r="E449" s="549" t="s">
        <v>775</v>
      </c>
      <c r="F449" s="550">
        <v>396</v>
      </c>
      <c r="G449" s="550">
        <v>0</v>
      </c>
      <c r="H449" s="550">
        <v>0</v>
      </c>
      <c r="I449" s="550">
        <v>0</v>
      </c>
      <c r="J449" s="550">
        <v>277</v>
      </c>
      <c r="K449" s="550">
        <v>0</v>
      </c>
      <c r="L449" s="550">
        <v>0</v>
      </c>
      <c r="M449" s="550">
        <v>0</v>
      </c>
      <c r="N449" s="550">
        <v>243</v>
      </c>
      <c r="O449" s="550">
        <v>0</v>
      </c>
      <c r="P449" s="550">
        <v>546</v>
      </c>
      <c r="Q449" s="550">
        <v>68</v>
      </c>
      <c r="R449" s="551" t="str">
        <f t="shared" si="59"/>
        <v>DELANO</v>
      </c>
      <c r="S449" s="552"/>
      <c r="T449" s="552"/>
      <c r="U449" s="552"/>
      <c r="V449" s="552"/>
      <c r="W449" s="552"/>
      <c r="X449" s="552"/>
      <c r="Y449" s="552"/>
      <c r="Z449" s="552"/>
      <c r="AA449" s="553"/>
      <c r="AB449" s="553"/>
    </row>
    <row r="450" spans="1:28" ht="12.75">
      <c r="A450" s="547" t="s">
        <v>327</v>
      </c>
      <c r="B450" s="547" t="s">
        <v>148</v>
      </c>
      <c r="C450" s="548" t="s">
        <v>811</v>
      </c>
      <c r="D450" s="549">
        <v>2019</v>
      </c>
      <c r="E450" s="549" t="s">
        <v>775</v>
      </c>
      <c r="F450" s="550">
        <v>396</v>
      </c>
      <c r="G450" s="550">
        <v>0</v>
      </c>
      <c r="H450" s="550">
        <v>0</v>
      </c>
      <c r="I450" s="550">
        <v>0</v>
      </c>
      <c r="J450" s="550">
        <v>277</v>
      </c>
      <c r="K450" s="550">
        <v>0</v>
      </c>
      <c r="L450" s="550">
        <v>0</v>
      </c>
      <c r="M450" s="550">
        <v>0</v>
      </c>
      <c r="N450" s="550">
        <v>243</v>
      </c>
      <c r="O450" s="550">
        <v>63</v>
      </c>
      <c r="P450" s="550">
        <v>546</v>
      </c>
      <c r="Q450" s="550">
        <v>0</v>
      </c>
      <c r="R450" s="551" t="str">
        <f t="shared" si="59"/>
        <v>DELANO</v>
      </c>
      <c r="S450" s="255">
        <f>SUM(G446:G450) +SUM(K446:K450)</f>
        <v>0</v>
      </c>
      <c r="T450" s="255">
        <f>F450+J450</f>
        <v>673</v>
      </c>
      <c r="U450" s="255">
        <f>SUM(O446:O450)</f>
        <v>118</v>
      </c>
      <c r="V450" s="255">
        <f>N450</f>
        <v>243</v>
      </c>
      <c r="W450" s="83">
        <f>SUM(Q446:Q450)</f>
        <v>90</v>
      </c>
      <c r="X450" s="255">
        <f>P450</f>
        <v>546</v>
      </c>
      <c r="Y450" s="255">
        <f>S450+U450+SUM(Q446:Q450)</f>
        <v>208</v>
      </c>
      <c r="Z450" s="255">
        <f>F450+J450+N450+P450</f>
        <v>1462</v>
      </c>
      <c r="AA450" s="553"/>
      <c r="AB450" s="553"/>
    </row>
    <row r="451" spans="1:28" ht="12.75">
      <c r="A451" s="547" t="s">
        <v>328</v>
      </c>
      <c r="B451" s="547" t="s">
        <v>148</v>
      </c>
      <c r="C451" s="548" t="s">
        <v>177</v>
      </c>
      <c r="D451" s="549">
        <v>2015</v>
      </c>
      <c r="E451" s="549" t="s">
        <v>775</v>
      </c>
      <c r="F451" s="550">
        <v>4888</v>
      </c>
      <c r="G451" s="550">
        <v>0</v>
      </c>
      <c r="H451" s="550">
        <v>0</v>
      </c>
      <c r="I451" s="550">
        <v>0</v>
      </c>
      <c r="J451" s="550">
        <v>3107</v>
      </c>
      <c r="K451" s="550">
        <v>0</v>
      </c>
      <c r="L451" s="550">
        <v>0</v>
      </c>
      <c r="M451" s="550">
        <v>0</v>
      </c>
      <c r="N451" s="550">
        <v>3126</v>
      </c>
      <c r="O451" s="550">
        <v>0</v>
      </c>
      <c r="P451" s="550">
        <v>10462</v>
      </c>
      <c r="Q451" s="550">
        <v>0</v>
      </c>
      <c r="R451" s="551" t="str">
        <f t="shared" si="59"/>
        <v>KERN COUNTY</v>
      </c>
      <c r="S451" s="552"/>
      <c r="T451" s="552"/>
      <c r="U451" s="552"/>
      <c r="V451" s="552"/>
      <c r="W451" s="552"/>
      <c r="X451" s="552"/>
      <c r="Y451" s="552"/>
      <c r="Z451" s="552"/>
      <c r="AA451" s="553"/>
      <c r="AB451" s="553"/>
    </row>
    <row r="452" spans="1:28" ht="12.75">
      <c r="A452" s="547" t="s">
        <v>328</v>
      </c>
      <c r="B452" s="547" t="s">
        <v>148</v>
      </c>
      <c r="C452" s="548" t="s">
        <v>177</v>
      </c>
      <c r="D452" s="549">
        <v>2016</v>
      </c>
      <c r="E452" s="549" t="s">
        <v>775</v>
      </c>
      <c r="F452" s="550">
        <v>4888</v>
      </c>
      <c r="G452" s="550">
        <v>103</v>
      </c>
      <c r="H452" s="550">
        <v>103</v>
      </c>
      <c r="I452" s="550">
        <v>0</v>
      </c>
      <c r="J452" s="550">
        <v>3107</v>
      </c>
      <c r="K452" s="550">
        <v>57</v>
      </c>
      <c r="L452" s="550">
        <v>57</v>
      </c>
      <c r="M452" s="550">
        <v>0</v>
      </c>
      <c r="N452" s="550">
        <v>3126</v>
      </c>
      <c r="O452" s="550">
        <v>0</v>
      </c>
      <c r="P452" s="550">
        <v>10462</v>
      </c>
      <c r="Q452" s="550">
        <v>3</v>
      </c>
      <c r="R452" s="551" t="str">
        <f t="shared" si="59"/>
        <v>KERN COUNTY</v>
      </c>
      <c r="S452" s="552"/>
      <c r="T452" s="552"/>
      <c r="U452" s="552"/>
      <c r="V452" s="552"/>
      <c r="W452" s="552"/>
      <c r="X452" s="552"/>
      <c r="Y452" s="552"/>
      <c r="Z452" s="552"/>
      <c r="AA452" s="553"/>
      <c r="AB452" s="553"/>
    </row>
    <row r="453" spans="1:28" ht="12.75">
      <c r="A453" s="547" t="s">
        <v>328</v>
      </c>
      <c r="B453" s="547" t="s">
        <v>148</v>
      </c>
      <c r="C453" s="548" t="s">
        <v>177</v>
      </c>
      <c r="D453" s="549">
        <v>2017</v>
      </c>
      <c r="E453" s="549" t="s">
        <v>775</v>
      </c>
      <c r="F453" s="550">
        <v>4888</v>
      </c>
      <c r="G453" s="550">
        <v>0</v>
      </c>
      <c r="H453" s="550">
        <v>0</v>
      </c>
      <c r="I453" s="550">
        <v>0</v>
      </c>
      <c r="J453" s="550">
        <v>3107</v>
      </c>
      <c r="K453" s="550">
        <v>0</v>
      </c>
      <c r="L453" s="550">
        <v>0</v>
      </c>
      <c r="M453" s="550">
        <v>0</v>
      </c>
      <c r="N453" s="550">
        <v>3126</v>
      </c>
      <c r="O453" s="550">
        <v>0</v>
      </c>
      <c r="P453" s="550">
        <v>10462</v>
      </c>
      <c r="Q453" s="550">
        <v>0</v>
      </c>
      <c r="R453" s="551" t="str">
        <f t="shared" si="59"/>
        <v>KERN COUNTY</v>
      </c>
      <c r="S453" s="552"/>
      <c r="T453" s="552"/>
      <c r="U453" s="552"/>
      <c r="V453" s="552"/>
      <c r="W453" s="552"/>
      <c r="X453" s="552"/>
      <c r="Y453" s="552"/>
      <c r="Z453" s="552"/>
      <c r="AA453" s="553"/>
      <c r="AB453" s="553"/>
    </row>
    <row r="454" spans="1:28" ht="12.75">
      <c r="A454" s="547" t="s">
        <v>328</v>
      </c>
      <c r="B454" s="547" t="s">
        <v>148</v>
      </c>
      <c r="C454" s="548" t="s">
        <v>177</v>
      </c>
      <c r="D454" s="549">
        <v>2018</v>
      </c>
      <c r="E454" s="549" t="s">
        <v>775</v>
      </c>
      <c r="F454" s="550">
        <v>4888</v>
      </c>
      <c r="G454" s="564"/>
      <c r="H454" s="564"/>
      <c r="I454" s="564"/>
      <c r="J454" s="550">
        <v>3107</v>
      </c>
      <c r="K454" s="564"/>
      <c r="L454" s="564"/>
      <c r="M454" s="564"/>
      <c r="N454" s="550">
        <v>3126</v>
      </c>
      <c r="O454" s="564"/>
      <c r="P454" s="550">
        <v>10462</v>
      </c>
      <c r="Q454" s="564"/>
      <c r="R454" s="551" t="str">
        <f t="shared" si="59"/>
        <v>KERN COUNTY</v>
      </c>
      <c r="S454" s="552"/>
      <c r="T454" s="552"/>
      <c r="U454" s="552"/>
      <c r="V454" s="552"/>
      <c r="W454" s="552"/>
      <c r="X454" s="552"/>
      <c r="Y454" s="552"/>
      <c r="Z454" s="552"/>
      <c r="AA454" s="553"/>
      <c r="AB454" s="553"/>
    </row>
    <row r="455" spans="1:28" ht="12.75">
      <c r="A455" s="547" t="s">
        <v>328</v>
      </c>
      <c r="B455" s="547" t="s">
        <v>148</v>
      </c>
      <c r="C455" s="548" t="s">
        <v>811</v>
      </c>
      <c r="D455" s="549">
        <v>2019</v>
      </c>
      <c r="E455" s="549" t="s">
        <v>775</v>
      </c>
      <c r="F455" s="550">
        <v>4888</v>
      </c>
      <c r="G455" s="550">
        <v>0</v>
      </c>
      <c r="H455" s="550">
        <v>0</v>
      </c>
      <c r="I455" s="550">
        <v>0</v>
      </c>
      <c r="J455" s="550">
        <v>3107</v>
      </c>
      <c r="K455" s="550">
        <v>77</v>
      </c>
      <c r="L455" s="550">
        <v>0</v>
      </c>
      <c r="M455" s="550">
        <v>77</v>
      </c>
      <c r="N455" s="550">
        <v>3126</v>
      </c>
      <c r="O455" s="550">
        <v>117</v>
      </c>
      <c r="P455" s="550">
        <v>10462</v>
      </c>
      <c r="Q455" s="550">
        <v>130</v>
      </c>
      <c r="R455" s="551" t="str">
        <f t="shared" si="59"/>
        <v>KERN COUNTY</v>
      </c>
      <c r="S455" s="255">
        <f>SUM(G451:G455) +SUM(K451:K455)</f>
        <v>237</v>
      </c>
      <c r="T455" s="255">
        <f t="shared" ref="T455:T456" si="60">F455+J455</f>
        <v>7995</v>
      </c>
      <c r="U455" s="255">
        <f>SUM(O451:O455)</f>
        <v>117</v>
      </c>
      <c r="V455" s="255">
        <f t="shared" ref="V455:V456" si="61">N455</f>
        <v>3126</v>
      </c>
      <c r="W455" s="83">
        <f>SUM(Q451:Q455)</f>
        <v>133</v>
      </c>
      <c r="X455" s="255">
        <f t="shared" ref="X455:X456" si="62">P455</f>
        <v>10462</v>
      </c>
      <c r="Y455" s="255">
        <f>S455+U455+SUM(Q451:Q455)</f>
        <v>487</v>
      </c>
      <c r="Z455" s="255">
        <f t="shared" ref="Z455:Z456" si="63">F455+J455+N455+P455</f>
        <v>21583</v>
      </c>
      <c r="AA455" s="553"/>
      <c r="AB455" s="553"/>
    </row>
    <row r="456" spans="1:28" ht="12.75">
      <c r="A456" s="547" t="s">
        <v>329</v>
      </c>
      <c r="B456" s="547" t="s">
        <v>148</v>
      </c>
      <c r="C456" s="548" t="s">
        <v>811</v>
      </c>
      <c r="D456" s="549">
        <v>2019</v>
      </c>
      <c r="E456" s="549" t="s">
        <v>775</v>
      </c>
      <c r="F456" s="550">
        <v>11</v>
      </c>
      <c r="G456" s="550">
        <v>0</v>
      </c>
      <c r="H456" s="550">
        <v>0</v>
      </c>
      <c r="I456" s="550">
        <v>0</v>
      </c>
      <c r="J456" s="550">
        <v>5</v>
      </c>
      <c r="K456" s="550">
        <v>0</v>
      </c>
      <c r="L456" s="550">
        <v>0</v>
      </c>
      <c r="M456" s="550">
        <v>0</v>
      </c>
      <c r="N456" s="550">
        <v>6</v>
      </c>
      <c r="O456" s="550">
        <v>0</v>
      </c>
      <c r="P456" s="550">
        <v>14</v>
      </c>
      <c r="Q456" s="550">
        <v>0</v>
      </c>
      <c r="R456" s="551" t="str">
        <f t="shared" si="59"/>
        <v>MARICOPA</v>
      </c>
      <c r="S456" s="552">
        <f>G456+K456</f>
        <v>0</v>
      </c>
      <c r="T456" s="552">
        <f t="shared" si="60"/>
        <v>16</v>
      </c>
      <c r="U456" s="552">
        <f>O456</f>
        <v>0</v>
      </c>
      <c r="V456" s="552">
        <f t="shared" si="61"/>
        <v>6</v>
      </c>
      <c r="W456" s="552">
        <f>Q456</f>
        <v>0</v>
      </c>
      <c r="X456" s="552">
        <f t="shared" si="62"/>
        <v>14</v>
      </c>
      <c r="Y456" s="552">
        <f>S456+U456+W456</f>
        <v>0</v>
      </c>
      <c r="Z456" s="552">
        <f t="shared" si="63"/>
        <v>36</v>
      </c>
      <c r="AA456" s="553"/>
      <c r="AB456" s="553"/>
    </row>
    <row r="457" spans="1:28" ht="12.75">
      <c r="A457" s="547" t="s">
        <v>330</v>
      </c>
      <c r="B457" s="547" t="s">
        <v>148</v>
      </c>
      <c r="C457" s="548" t="s">
        <v>177</v>
      </c>
      <c r="D457" s="549">
        <v>2016</v>
      </c>
      <c r="E457" s="549" t="s">
        <v>775</v>
      </c>
      <c r="F457" s="550">
        <v>93</v>
      </c>
      <c r="G457" s="550">
        <v>6</v>
      </c>
      <c r="H457" s="550">
        <v>0</v>
      </c>
      <c r="I457" s="550">
        <v>6</v>
      </c>
      <c r="J457" s="550">
        <v>73</v>
      </c>
      <c r="K457" s="550">
        <v>6</v>
      </c>
      <c r="L457" s="550">
        <v>0</v>
      </c>
      <c r="M457" s="550">
        <v>6</v>
      </c>
      <c r="N457" s="550">
        <v>66</v>
      </c>
      <c r="O457" s="550">
        <v>7</v>
      </c>
      <c r="P457" s="550">
        <v>79</v>
      </c>
      <c r="Q457" s="550">
        <v>0</v>
      </c>
      <c r="R457" s="551" t="str">
        <f t="shared" si="59"/>
        <v>MCFARLAND</v>
      </c>
      <c r="S457" s="552"/>
      <c r="T457" s="552"/>
      <c r="U457" s="552"/>
      <c r="V457" s="552"/>
      <c r="W457" s="552"/>
      <c r="X457" s="552"/>
      <c r="Y457" s="552"/>
      <c r="Z457" s="552"/>
      <c r="AA457" s="553"/>
      <c r="AB457" s="553"/>
    </row>
    <row r="458" spans="1:28" ht="12.75">
      <c r="A458" s="547" t="s">
        <v>330</v>
      </c>
      <c r="B458" s="547" t="s">
        <v>148</v>
      </c>
      <c r="C458" s="548" t="s">
        <v>177</v>
      </c>
      <c r="D458" s="549">
        <v>2017</v>
      </c>
      <c r="E458" s="549" t="s">
        <v>775</v>
      </c>
      <c r="F458" s="550">
        <v>93</v>
      </c>
      <c r="G458" s="550">
        <v>0</v>
      </c>
      <c r="H458" s="550">
        <v>0</v>
      </c>
      <c r="I458" s="550">
        <v>0</v>
      </c>
      <c r="J458" s="550">
        <v>73</v>
      </c>
      <c r="K458" s="550">
        <v>0</v>
      </c>
      <c r="L458" s="550">
        <v>0</v>
      </c>
      <c r="M458" s="550">
        <v>0</v>
      </c>
      <c r="N458" s="550">
        <v>66</v>
      </c>
      <c r="O458" s="550">
        <v>25</v>
      </c>
      <c r="P458" s="550">
        <v>79</v>
      </c>
      <c r="Q458" s="550">
        <v>0</v>
      </c>
      <c r="R458" s="551" t="str">
        <f t="shared" si="59"/>
        <v>MCFARLAND</v>
      </c>
      <c r="S458" s="552"/>
      <c r="T458" s="552"/>
      <c r="U458" s="552"/>
      <c r="V458" s="552"/>
      <c r="W458" s="552"/>
      <c r="X458" s="552"/>
      <c r="Y458" s="552"/>
      <c r="Z458" s="552"/>
      <c r="AA458" s="553"/>
      <c r="AB458" s="553"/>
    </row>
    <row r="459" spans="1:28" ht="12.75">
      <c r="A459" s="547" t="s">
        <v>330</v>
      </c>
      <c r="B459" s="547" t="s">
        <v>148</v>
      </c>
      <c r="C459" s="548" t="s">
        <v>811</v>
      </c>
      <c r="D459" s="549">
        <v>2019</v>
      </c>
      <c r="E459" s="549" t="s">
        <v>775</v>
      </c>
      <c r="F459" s="550">
        <v>93</v>
      </c>
      <c r="G459" s="550">
        <v>0</v>
      </c>
      <c r="H459" s="550">
        <v>0</v>
      </c>
      <c r="I459" s="550">
        <v>0</v>
      </c>
      <c r="J459" s="550">
        <v>73</v>
      </c>
      <c r="K459" s="550">
        <v>0</v>
      </c>
      <c r="L459" s="550">
        <v>0</v>
      </c>
      <c r="M459" s="550">
        <v>0</v>
      </c>
      <c r="N459" s="550">
        <v>66</v>
      </c>
      <c r="O459" s="550">
        <v>0</v>
      </c>
      <c r="P459" s="550">
        <v>79</v>
      </c>
      <c r="Q459" s="550">
        <v>7</v>
      </c>
      <c r="R459" s="551" t="str">
        <f t="shared" si="59"/>
        <v>MCFARLAND</v>
      </c>
      <c r="S459" s="255">
        <f>SUM(G457:G459) +SUM(K457:K459)</f>
        <v>12</v>
      </c>
      <c r="T459" s="255">
        <f t="shared" ref="T459:T461" si="64">F459+J459</f>
        <v>166</v>
      </c>
      <c r="U459" s="255">
        <f>SUM(O457:O459)</f>
        <v>32</v>
      </c>
      <c r="V459" s="255">
        <f t="shared" ref="V459:V461" si="65">N459</f>
        <v>66</v>
      </c>
      <c r="W459" s="83">
        <f>SUM(Q457:Q459)</f>
        <v>7</v>
      </c>
      <c r="X459" s="255">
        <f t="shared" ref="X459:X461" si="66">P459</f>
        <v>79</v>
      </c>
      <c r="Y459" s="255">
        <f>S459+U459+SUM(Q457:Q459)</f>
        <v>51</v>
      </c>
      <c r="Z459" s="255">
        <f t="shared" ref="Z459:Z461" si="67">F459+J459+N459+P459</f>
        <v>311</v>
      </c>
      <c r="AA459" s="553"/>
      <c r="AB459" s="553"/>
    </row>
    <row r="460" spans="1:28" ht="12.75">
      <c r="A460" s="547" t="s">
        <v>331</v>
      </c>
      <c r="B460" s="547" t="s">
        <v>148</v>
      </c>
      <c r="C460" s="548" t="s">
        <v>811</v>
      </c>
      <c r="D460" s="549">
        <v>2019</v>
      </c>
      <c r="E460" s="549" t="s">
        <v>775</v>
      </c>
      <c r="F460" s="550">
        <v>159</v>
      </c>
      <c r="G460" s="550">
        <v>0</v>
      </c>
      <c r="H460" s="550">
        <v>0</v>
      </c>
      <c r="I460" s="550">
        <v>0</v>
      </c>
      <c r="J460" s="550">
        <v>131</v>
      </c>
      <c r="K460" s="550">
        <v>0</v>
      </c>
      <c r="L460" s="550">
        <v>0</v>
      </c>
      <c r="M460" s="550">
        <v>0</v>
      </c>
      <c r="N460" s="550">
        <v>207</v>
      </c>
      <c r="O460" s="550">
        <v>0</v>
      </c>
      <c r="P460" s="550">
        <v>848</v>
      </c>
      <c r="Q460" s="550">
        <v>0</v>
      </c>
      <c r="R460" s="569" t="s">
        <v>331</v>
      </c>
      <c r="S460" s="552">
        <f t="shared" ref="S460:S461" si="68">G460+K460</f>
        <v>0</v>
      </c>
      <c r="T460" s="255">
        <f t="shared" si="64"/>
        <v>290</v>
      </c>
      <c r="U460" s="552">
        <f t="shared" ref="U460:U461" si="69">O460</f>
        <v>0</v>
      </c>
      <c r="V460" s="255">
        <f t="shared" si="65"/>
        <v>207</v>
      </c>
      <c r="W460" s="552">
        <f t="shared" ref="W460:W461" si="70">Q460</f>
        <v>0</v>
      </c>
      <c r="X460" s="255">
        <f t="shared" si="66"/>
        <v>848</v>
      </c>
      <c r="Y460" s="552">
        <f t="shared" ref="Y460:Y461" si="71">S460+U460+W460</f>
        <v>0</v>
      </c>
      <c r="Z460" s="255">
        <f t="shared" si="67"/>
        <v>1345</v>
      </c>
      <c r="AA460" s="553"/>
      <c r="AB460" s="553"/>
    </row>
    <row r="461" spans="1:28" ht="12.75">
      <c r="A461" s="547" t="s">
        <v>332</v>
      </c>
      <c r="B461" s="547" t="s">
        <v>148</v>
      </c>
      <c r="C461" s="548" t="s">
        <v>811</v>
      </c>
      <c r="D461" s="549">
        <v>2019</v>
      </c>
      <c r="E461" s="549" t="s">
        <v>775</v>
      </c>
      <c r="F461" s="550">
        <v>417</v>
      </c>
      <c r="G461" s="550">
        <v>0</v>
      </c>
      <c r="H461" s="550">
        <v>0</v>
      </c>
      <c r="I461" s="550">
        <v>0</v>
      </c>
      <c r="J461" s="550">
        <v>426</v>
      </c>
      <c r="K461" s="550">
        <v>0</v>
      </c>
      <c r="L461" s="550">
        <v>0</v>
      </c>
      <c r="M461" s="550">
        <v>0</v>
      </c>
      <c r="N461" s="550">
        <v>397</v>
      </c>
      <c r="O461" s="550">
        <v>0</v>
      </c>
      <c r="P461" s="550">
        <v>796</v>
      </c>
      <c r="Q461" s="550">
        <v>0</v>
      </c>
      <c r="R461" s="569" t="s">
        <v>332</v>
      </c>
      <c r="S461" s="552">
        <f t="shared" si="68"/>
        <v>0</v>
      </c>
      <c r="T461" s="255">
        <f t="shared" si="64"/>
        <v>843</v>
      </c>
      <c r="U461" s="552">
        <f t="shared" si="69"/>
        <v>0</v>
      </c>
      <c r="V461" s="255">
        <f t="shared" si="65"/>
        <v>397</v>
      </c>
      <c r="W461" s="552">
        <f t="shared" si="70"/>
        <v>0</v>
      </c>
      <c r="X461" s="255">
        <f t="shared" si="66"/>
        <v>796</v>
      </c>
      <c r="Y461" s="552">
        <f t="shared" si="71"/>
        <v>0</v>
      </c>
      <c r="Z461" s="255">
        <f t="shared" si="67"/>
        <v>2036</v>
      </c>
      <c r="AA461" s="553"/>
      <c r="AB461" s="553"/>
    </row>
    <row r="462" spans="1:28" ht="12.75">
      <c r="A462" s="547" t="s">
        <v>333</v>
      </c>
      <c r="B462" s="547" t="s">
        <v>148</v>
      </c>
      <c r="C462" s="548" t="s">
        <v>177</v>
      </c>
      <c r="D462" s="549">
        <v>2015</v>
      </c>
      <c r="E462" s="549" t="s">
        <v>775</v>
      </c>
      <c r="F462" s="550">
        <v>52</v>
      </c>
      <c r="G462" s="550">
        <v>0</v>
      </c>
      <c r="H462" s="550">
        <v>0</v>
      </c>
      <c r="I462" s="550">
        <v>0</v>
      </c>
      <c r="J462" s="550">
        <v>26</v>
      </c>
      <c r="K462" s="550">
        <v>0</v>
      </c>
      <c r="L462" s="550">
        <v>0</v>
      </c>
      <c r="M462" s="550">
        <v>0</v>
      </c>
      <c r="N462" s="550">
        <v>30</v>
      </c>
      <c r="O462" s="550">
        <v>0</v>
      </c>
      <c r="P462" s="550">
        <v>146</v>
      </c>
      <c r="Q462" s="550">
        <v>11</v>
      </c>
      <c r="R462" s="551" t="str">
        <f t="shared" ref="R462:R473" si="72">A462</f>
        <v>TAFT</v>
      </c>
      <c r="S462" s="552"/>
      <c r="T462" s="552"/>
      <c r="U462" s="552"/>
      <c r="V462" s="552"/>
      <c r="W462" s="552"/>
      <c r="X462" s="552"/>
      <c r="Y462" s="552"/>
      <c r="Z462" s="552"/>
      <c r="AA462" s="553"/>
      <c r="AB462" s="553"/>
    </row>
    <row r="463" spans="1:28" ht="12.75">
      <c r="A463" s="547" t="s">
        <v>333</v>
      </c>
      <c r="B463" s="547" t="s">
        <v>148</v>
      </c>
      <c r="C463" s="548" t="s">
        <v>177</v>
      </c>
      <c r="D463" s="549">
        <v>2016</v>
      </c>
      <c r="E463" s="549" t="s">
        <v>775</v>
      </c>
      <c r="F463" s="550">
        <v>52</v>
      </c>
      <c r="G463" s="550">
        <v>0</v>
      </c>
      <c r="H463" s="550">
        <v>0</v>
      </c>
      <c r="I463" s="550">
        <v>0</v>
      </c>
      <c r="J463" s="550">
        <v>26</v>
      </c>
      <c r="K463" s="550">
        <v>0</v>
      </c>
      <c r="L463" s="550">
        <v>0</v>
      </c>
      <c r="M463" s="550">
        <v>0</v>
      </c>
      <c r="N463" s="550">
        <v>30</v>
      </c>
      <c r="O463" s="550">
        <v>0</v>
      </c>
      <c r="P463" s="550">
        <v>146</v>
      </c>
      <c r="Q463" s="550">
        <v>9</v>
      </c>
      <c r="R463" s="551" t="str">
        <f t="shared" si="72"/>
        <v>TAFT</v>
      </c>
      <c r="S463" s="552"/>
      <c r="T463" s="552"/>
      <c r="U463" s="552"/>
      <c r="V463" s="552"/>
      <c r="W463" s="552"/>
      <c r="X463" s="552"/>
      <c r="Y463" s="552"/>
      <c r="Z463" s="552"/>
      <c r="AA463" s="553"/>
      <c r="AB463" s="553"/>
    </row>
    <row r="464" spans="1:28" ht="12.75">
      <c r="A464" s="547" t="s">
        <v>333</v>
      </c>
      <c r="B464" s="547" t="s">
        <v>148</v>
      </c>
      <c r="C464" s="548" t="s">
        <v>177</v>
      </c>
      <c r="D464" s="549">
        <v>2017</v>
      </c>
      <c r="E464" s="549" t="s">
        <v>775</v>
      </c>
      <c r="F464" s="550">
        <v>52</v>
      </c>
      <c r="G464" s="550">
        <v>0</v>
      </c>
      <c r="H464" s="550">
        <v>0</v>
      </c>
      <c r="I464" s="550">
        <v>0</v>
      </c>
      <c r="J464" s="550">
        <v>26</v>
      </c>
      <c r="K464" s="550">
        <v>0</v>
      </c>
      <c r="L464" s="550">
        <v>0</v>
      </c>
      <c r="M464" s="550">
        <v>0</v>
      </c>
      <c r="N464" s="550">
        <v>30</v>
      </c>
      <c r="O464" s="550">
        <v>3</v>
      </c>
      <c r="P464" s="550">
        <v>146</v>
      </c>
      <c r="Q464" s="550">
        <v>12</v>
      </c>
      <c r="R464" s="551" t="str">
        <f t="shared" si="72"/>
        <v>TAFT</v>
      </c>
      <c r="S464" s="552"/>
      <c r="T464" s="552"/>
      <c r="U464" s="552"/>
      <c r="V464" s="552"/>
      <c r="W464" s="552"/>
      <c r="X464" s="552"/>
      <c r="Y464" s="552"/>
      <c r="Z464" s="552"/>
      <c r="AA464" s="553"/>
      <c r="AB464" s="553"/>
    </row>
    <row r="465" spans="1:28" ht="12.75">
      <c r="A465" s="547" t="s">
        <v>333</v>
      </c>
      <c r="B465" s="547" t="s">
        <v>148</v>
      </c>
      <c r="C465" s="548" t="s">
        <v>177</v>
      </c>
      <c r="D465" s="549">
        <v>2018</v>
      </c>
      <c r="E465" s="549" t="s">
        <v>775</v>
      </c>
      <c r="F465" s="550">
        <v>52</v>
      </c>
      <c r="G465" s="550">
        <v>0</v>
      </c>
      <c r="H465" s="550">
        <v>0</v>
      </c>
      <c r="I465" s="550">
        <v>0</v>
      </c>
      <c r="J465" s="550">
        <v>26</v>
      </c>
      <c r="K465" s="550">
        <v>0</v>
      </c>
      <c r="L465" s="550">
        <v>0</v>
      </c>
      <c r="M465" s="550">
        <v>0</v>
      </c>
      <c r="N465" s="550">
        <v>30</v>
      </c>
      <c r="O465" s="550">
        <v>2</v>
      </c>
      <c r="P465" s="550">
        <v>146</v>
      </c>
      <c r="Q465" s="550">
        <v>6</v>
      </c>
      <c r="R465" s="551" t="str">
        <f t="shared" si="72"/>
        <v>TAFT</v>
      </c>
      <c r="S465" s="552"/>
      <c r="T465" s="552"/>
      <c r="U465" s="552"/>
      <c r="V465" s="552"/>
      <c r="W465" s="552"/>
      <c r="X465" s="552"/>
      <c r="Y465" s="552"/>
      <c r="Z465" s="552"/>
      <c r="AA465" s="553"/>
      <c r="AB465" s="553"/>
    </row>
    <row r="466" spans="1:28" ht="12.75">
      <c r="A466" s="547" t="s">
        <v>333</v>
      </c>
      <c r="B466" s="547" t="s">
        <v>148</v>
      </c>
      <c r="C466" s="548" t="s">
        <v>811</v>
      </c>
      <c r="D466" s="549">
        <v>2019</v>
      </c>
      <c r="E466" s="549" t="s">
        <v>775</v>
      </c>
      <c r="F466" s="550">
        <v>52</v>
      </c>
      <c r="G466" s="550">
        <v>0</v>
      </c>
      <c r="H466" s="550">
        <v>0</v>
      </c>
      <c r="I466" s="550">
        <v>0</v>
      </c>
      <c r="J466" s="550">
        <v>26</v>
      </c>
      <c r="K466" s="550">
        <v>0</v>
      </c>
      <c r="L466" s="550">
        <v>0</v>
      </c>
      <c r="M466" s="550">
        <v>0</v>
      </c>
      <c r="N466" s="550">
        <v>30</v>
      </c>
      <c r="O466" s="550">
        <v>5</v>
      </c>
      <c r="P466" s="550">
        <v>146</v>
      </c>
      <c r="Q466" s="550">
        <v>7</v>
      </c>
      <c r="R466" s="551" t="str">
        <f t="shared" si="72"/>
        <v>TAFT</v>
      </c>
      <c r="S466" s="255">
        <f>SUM(G462:G466) +SUM(K462:K466)</f>
        <v>0</v>
      </c>
      <c r="T466" s="255">
        <f>F466+J466</f>
        <v>78</v>
      </c>
      <c r="U466" s="255">
        <f>SUM(O462:O466)</f>
        <v>10</v>
      </c>
      <c r="V466" s="255">
        <f>N466</f>
        <v>30</v>
      </c>
      <c r="W466" s="83">
        <f>SUM(Q462:Q466)</f>
        <v>45</v>
      </c>
      <c r="X466" s="255">
        <f>P466</f>
        <v>146</v>
      </c>
      <c r="Y466" s="255">
        <f>S466+U466+SUM(Q462:Q466)</f>
        <v>55</v>
      </c>
      <c r="Z466" s="255">
        <f>F466+J466+N466+P466</f>
        <v>254</v>
      </c>
      <c r="AA466" s="553"/>
      <c r="AB466" s="553"/>
    </row>
    <row r="467" spans="1:28" ht="12.75">
      <c r="A467" s="547" t="s">
        <v>334</v>
      </c>
      <c r="B467" s="547" t="s">
        <v>148</v>
      </c>
      <c r="C467" s="548" t="s">
        <v>177</v>
      </c>
      <c r="D467" s="549">
        <v>2018</v>
      </c>
      <c r="E467" s="549" t="s">
        <v>775</v>
      </c>
      <c r="F467" s="550">
        <v>127</v>
      </c>
      <c r="G467" s="550">
        <v>0</v>
      </c>
      <c r="H467" s="550">
        <v>0</v>
      </c>
      <c r="I467" s="550">
        <v>0</v>
      </c>
      <c r="J467" s="550">
        <v>64</v>
      </c>
      <c r="K467" s="550">
        <v>0</v>
      </c>
      <c r="L467" s="550">
        <v>0</v>
      </c>
      <c r="M467" s="550">
        <v>0</v>
      </c>
      <c r="N467" s="550">
        <v>88</v>
      </c>
      <c r="O467" s="550">
        <v>0</v>
      </c>
      <c r="P467" s="550">
        <v>216</v>
      </c>
      <c r="Q467" s="550">
        <v>21</v>
      </c>
      <c r="R467" s="551" t="str">
        <f t="shared" si="72"/>
        <v>TEHACHAPI</v>
      </c>
      <c r="S467" s="552"/>
      <c r="T467" s="552"/>
      <c r="U467" s="552"/>
      <c r="V467" s="552"/>
      <c r="W467" s="552"/>
      <c r="X467" s="552"/>
      <c r="Y467" s="552"/>
      <c r="Z467" s="552"/>
      <c r="AA467" s="553"/>
      <c r="AB467" s="553"/>
    </row>
    <row r="468" spans="1:28" ht="12.75">
      <c r="A468" s="547" t="s">
        <v>334</v>
      </c>
      <c r="B468" s="547" t="s">
        <v>148</v>
      </c>
      <c r="C468" s="548" t="s">
        <v>811</v>
      </c>
      <c r="D468" s="549">
        <v>2019</v>
      </c>
      <c r="E468" s="549" t="s">
        <v>775</v>
      </c>
      <c r="F468" s="550">
        <v>127</v>
      </c>
      <c r="G468" s="550">
        <v>0</v>
      </c>
      <c r="H468" s="550">
        <v>0</v>
      </c>
      <c r="I468" s="550">
        <v>0</v>
      </c>
      <c r="J468" s="550">
        <v>64</v>
      </c>
      <c r="K468" s="550">
        <v>0</v>
      </c>
      <c r="L468" s="550">
        <v>0</v>
      </c>
      <c r="M468" s="550">
        <v>0</v>
      </c>
      <c r="N468" s="550">
        <v>88</v>
      </c>
      <c r="O468" s="550">
        <v>0</v>
      </c>
      <c r="P468" s="550">
        <v>216</v>
      </c>
      <c r="Q468" s="550">
        <v>6</v>
      </c>
      <c r="R468" s="551" t="str">
        <f t="shared" si="72"/>
        <v>TEHACHAPI</v>
      </c>
      <c r="S468" s="255">
        <f>SUM(G467:G468) +SUM(K467:K468)</f>
        <v>0</v>
      </c>
      <c r="T468" s="255">
        <f>F468+J468</f>
        <v>191</v>
      </c>
      <c r="U468" s="255">
        <f>SUM(O467:O468)</f>
        <v>0</v>
      </c>
      <c r="V468" s="255">
        <f>N468</f>
        <v>88</v>
      </c>
      <c r="W468" s="83">
        <f>SUM(Q467:Q468)</f>
        <v>27</v>
      </c>
      <c r="X468" s="255">
        <f>P468</f>
        <v>216</v>
      </c>
      <c r="Y468" s="255">
        <f>S468+U468+SUM(Q467:Q468)</f>
        <v>27</v>
      </c>
      <c r="Z468" s="255">
        <f>F468+J468+N468+P468</f>
        <v>495</v>
      </c>
      <c r="AA468" s="553"/>
      <c r="AB468" s="553"/>
    </row>
    <row r="469" spans="1:28" ht="12.75">
      <c r="A469" s="547" t="s">
        <v>335</v>
      </c>
      <c r="B469" s="547" t="s">
        <v>148</v>
      </c>
      <c r="C469" s="548" t="s">
        <v>177</v>
      </c>
      <c r="D469" s="549">
        <v>2015</v>
      </c>
      <c r="E469" s="549" t="s">
        <v>775</v>
      </c>
      <c r="F469" s="550">
        <v>350</v>
      </c>
      <c r="G469" s="550">
        <v>0</v>
      </c>
      <c r="H469" s="550">
        <v>0</v>
      </c>
      <c r="I469" s="550">
        <v>0</v>
      </c>
      <c r="J469" s="550">
        <v>275</v>
      </c>
      <c r="K469" s="550">
        <v>8</v>
      </c>
      <c r="L469" s="550">
        <v>0</v>
      </c>
      <c r="M469" s="550">
        <v>8</v>
      </c>
      <c r="N469" s="550">
        <v>280</v>
      </c>
      <c r="O469" s="550">
        <v>0</v>
      </c>
      <c r="P469" s="550">
        <v>521</v>
      </c>
      <c r="Q469" s="550">
        <v>37</v>
      </c>
      <c r="R469" s="551" t="str">
        <f t="shared" si="72"/>
        <v>WASCO</v>
      </c>
      <c r="S469" s="552"/>
      <c r="T469" s="552"/>
      <c r="U469" s="552"/>
      <c r="V469" s="552"/>
      <c r="W469" s="552"/>
      <c r="X469" s="552"/>
      <c r="Y469" s="552"/>
      <c r="Z469" s="552"/>
      <c r="AA469" s="553"/>
      <c r="AB469" s="553"/>
    </row>
    <row r="470" spans="1:28" ht="12.75">
      <c r="A470" s="547" t="s">
        <v>335</v>
      </c>
      <c r="B470" s="547" t="s">
        <v>148</v>
      </c>
      <c r="C470" s="548" t="s">
        <v>177</v>
      </c>
      <c r="D470" s="549">
        <v>2016</v>
      </c>
      <c r="E470" s="549" t="s">
        <v>775</v>
      </c>
      <c r="F470" s="550">
        <v>350</v>
      </c>
      <c r="G470" s="550">
        <v>0</v>
      </c>
      <c r="H470" s="550">
        <v>0</v>
      </c>
      <c r="I470" s="550">
        <v>0</v>
      </c>
      <c r="J470" s="550">
        <v>275</v>
      </c>
      <c r="K470" s="550">
        <v>16</v>
      </c>
      <c r="L470" s="550">
        <v>0</v>
      </c>
      <c r="M470" s="550">
        <v>16</v>
      </c>
      <c r="N470" s="550">
        <v>280</v>
      </c>
      <c r="O470" s="550">
        <v>3</v>
      </c>
      <c r="P470" s="550">
        <v>521</v>
      </c>
      <c r="Q470" s="550">
        <v>85</v>
      </c>
      <c r="R470" s="551" t="str">
        <f t="shared" si="72"/>
        <v>WASCO</v>
      </c>
      <c r="S470" s="552"/>
      <c r="T470" s="552"/>
      <c r="U470" s="552"/>
      <c r="V470" s="552"/>
      <c r="W470" s="552"/>
      <c r="X470" s="552"/>
      <c r="Y470" s="552"/>
      <c r="Z470" s="552"/>
      <c r="AA470" s="553"/>
      <c r="AB470" s="553"/>
    </row>
    <row r="471" spans="1:28" ht="12.75">
      <c r="A471" s="547" t="s">
        <v>335</v>
      </c>
      <c r="B471" s="547" t="s">
        <v>148</v>
      </c>
      <c r="C471" s="548" t="s">
        <v>177</v>
      </c>
      <c r="D471" s="549">
        <v>2017</v>
      </c>
      <c r="E471" s="549" t="s">
        <v>775</v>
      </c>
      <c r="F471" s="550">
        <v>350</v>
      </c>
      <c r="G471" s="550">
        <v>0</v>
      </c>
      <c r="H471" s="550">
        <v>0</v>
      </c>
      <c r="I471" s="550">
        <v>0</v>
      </c>
      <c r="J471" s="550">
        <v>275</v>
      </c>
      <c r="K471" s="550">
        <v>37</v>
      </c>
      <c r="L471" s="550">
        <v>0</v>
      </c>
      <c r="M471" s="550">
        <v>37</v>
      </c>
      <c r="N471" s="550">
        <v>280</v>
      </c>
      <c r="O471" s="550">
        <v>1</v>
      </c>
      <c r="P471" s="550">
        <v>521</v>
      </c>
      <c r="Q471" s="550">
        <v>82</v>
      </c>
      <c r="R471" s="551" t="str">
        <f t="shared" si="72"/>
        <v>WASCO</v>
      </c>
      <c r="S471" s="552"/>
      <c r="T471" s="552"/>
      <c r="U471" s="552"/>
      <c r="V471" s="552"/>
      <c r="W471" s="552"/>
      <c r="X471" s="552"/>
      <c r="Y471" s="552"/>
      <c r="Z471" s="552"/>
      <c r="AA471" s="553"/>
      <c r="AB471" s="553"/>
    </row>
    <row r="472" spans="1:28" ht="12.75">
      <c r="A472" s="547" t="s">
        <v>335</v>
      </c>
      <c r="B472" s="547" t="s">
        <v>148</v>
      </c>
      <c r="C472" s="548" t="s">
        <v>177</v>
      </c>
      <c r="D472" s="549">
        <v>2018</v>
      </c>
      <c r="E472" s="549" t="s">
        <v>775</v>
      </c>
      <c r="F472" s="550">
        <v>350</v>
      </c>
      <c r="G472" s="550">
        <v>0</v>
      </c>
      <c r="H472" s="550">
        <v>0</v>
      </c>
      <c r="I472" s="550">
        <v>0</v>
      </c>
      <c r="J472" s="550">
        <v>275</v>
      </c>
      <c r="K472" s="550">
        <v>0</v>
      </c>
      <c r="L472" s="550">
        <v>0</v>
      </c>
      <c r="M472" s="550">
        <v>0</v>
      </c>
      <c r="N472" s="550">
        <v>280</v>
      </c>
      <c r="O472" s="550">
        <v>0</v>
      </c>
      <c r="P472" s="550">
        <v>521</v>
      </c>
      <c r="Q472" s="550">
        <v>96</v>
      </c>
      <c r="R472" s="551" t="str">
        <f t="shared" si="72"/>
        <v>WASCO</v>
      </c>
      <c r="S472" s="552"/>
      <c r="T472" s="552"/>
      <c r="U472" s="552"/>
      <c r="V472" s="552"/>
      <c r="W472" s="552"/>
      <c r="X472" s="552"/>
      <c r="Y472" s="552"/>
      <c r="Z472" s="552"/>
      <c r="AA472" s="553"/>
      <c r="AB472" s="553"/>
    </row>
    <row r="473" spans="1:28" ht="12.75">
      <c r="A473" s="547" t="s">
        <v>335</v>
      </c>
      <c r="B473" s="547" t="s">
        <v>148</v>
      </c>
      <c r="C473" s="548" t="s">
        <v>811</v>
      </c>
      <c r="D473" s="549">
        <v>2019</v>
      </c>
      <c r="E473" s="549" t="s">
        <v>775</v>
      </c>
      <c r="F473" s="550">
        <v>350</v>
      </c>
      <c r="G473" s="550">
        <v>0</v>
      </c>
      <c r="H473" s="550">
        <v>0</v>
      </c>
      <c r="I473" s="550">
        <v>0</v>
      </c>
      <c r="J473" s="550">
        <v>275</v>
      </c>
      <c r="K473" s="550">
        <v>24</v>
      </c>
      <c r="L473" s="550">
        <v>0</v>
      </c>
      <c r="M473" s="550">
        <v>24</v>
      </c>
      <c r="N473" s="550">
        <v>280</v>
      </c>
      <c r="O473" s="550">
        <v>8</v>
      </c>
      <c r="P473" s="550">
        <v>521</v>
      </c>
      <c r="Q473" s="550">
        <v>50</v>
      </c>
      <c r="R473" s="551" t="str">
        <f t="shared" si="72"/>
        <v>WASCO</v>
      </c>
      <c r="S473" s="561">
        <f>SUM(G469:G473) +SUM(K469:K473)</f>
        <v>85</v>
      </c>
      <c r="T473" s="561">
        <f>F473+J473</f>
        <v>625</v>
      </c>
      <c r="U473" s="561">
        <f>SUM(O469:O473)</f>
        <v>12</v>
      </c>
      <c r="V473" s="561">
        <f>N473</f>
        <v>280</v>
      </c>
      <c r="W473" s="562">
        <f>SUM(Q469:Q473)</f>
        <v>350</v>
      </c>
      <c r="X473" s="561">
        <f>P473</f>
        <v>521</v>
      </c>
      <c r="Y473" s="561">
        <f>S473+U473+SUM(Q469:Q473)</f>
        <v>447</v>
      </c>
      <c r="Z473" s="561">
        <f>F473+J473+N473+P473</f>
        <v>1426</v>
      </c>
      <c r="AA473" s="553"/>
      <c r="AB473" s="553"/>
    </row>
    <row r="474" spans="1:28" ht="12.75">
      <c r="A474" s="547"/>
      <c r="B474" s="547"/>
      <c r="C474" s="572"/>
      <c r="D474" s="572"/>
      <c r="E474" s="572"/>
      <c r="F474" s="572"/>
      <c r="G474" s="258"/>
      <c r="H474" s="550"/>
      <c r="I474" s="550"/>
      <c r="J474" s="550"/>
      <c r="K474" s="550"/>
      <c r="L474" s="550"/>
      <c r="M474" s="550"/>
      <c r="N474" s="550"/>
      <c r="O474" s="550"/>
      <c r="P474" s="550"/>
      <c r="Q474" s="550"/>
      <c r="R474" s="551"/>
      <c r="S474" s="563">
        <f t="shared" ref="S474:Z474" si="73">SUM(S441:S473)</f>
        <v>665</v>
      </c>
      <c r="T474" s="563">
        <f t="shared" si="73"/>
        <v>27405</v>
      </c>
      <c r="U474" s="563">
        <f t="shared" si="73"/>
        <v>5062</v>
      </c>
      <c r="V474" s="563">
        <f t="shared" si="73"/>
        <v>11234</v>
      </c>
      <c r="W474" s="563">
        <f t="shared" si="73"/>
        <v>6620</v>
      </c>
      <c r="X474" s="563">
        <f t="shared" si="73"/>
        <v>29034</v>
      </c>
      <c r="Y474" s="563">
        <f t="shared" si="73"/>
        <v>12347</v>
      </c>
      <c r="Z474" s="563">
        <f t="shared" si="73"/>
        <v>67673</v>
      </c>
      <c r="AA474" s="553"/>
      <c r="AB474" s="553"/>
    </row>
    <row r="475" spans="1:28" ht="12.75">
      <c r="A475" s="547"/>
      <c r="B475" s="547"/>
      <c r="C475" s="572"/>
      <c r="D475" s="572"/>
      <c r="E475" s="572"/>
      <c r="F475" s="572"/>
      <c r="G475" s="258"/>
      <c r="H475" s="550"/>
      <c r="I475" s="550"/>
      <c r="J475" s="550"/>
      <c r="K475" s="550"/>
      <c r="L475" s="550"/>
      <c r="M475" s="550"/>
      <c r="N475" s="550"/>
      <c r="O475" s="550"/>
      <c r="P475" s="550"/>
      <c r="Q475" s="550"/>
      <c r="R475" s="551"/>
      <c r="S475" s="552"/>
      <c r="T475" s="552"/>
      <c r="U475" s="552"/>
      <c r="V475" s="552"/>
      <c r="W475" s="552"/>
      <c r="X475" s="552"/>
      <c r="Y475" s="552"/>
      <c r="Z475" s="552"/>
      <c r="AA475" s="553"/>
      <c r="AB475" s="553"/>
    </row>
    <row r="476" spans="1:28" ht="12.75">
      <c r="A476" s="547" t="s">
        <v>336</v>
      </c>
      <c r="B476" s="547" t="s">
        <v>149</v>
      </c>
      <c r="C476" s="548" t="s">
        <v>819</v>
      </c>
      <c r="D476" s="549">
        <v>2017</v>
      </c>
      <c r="E476" s="549" t="s">
        <v>775</v>
      </c>
      <c r="F476" s="550">
        <v>145</v>
      </c>
      <c r="G476" s="550">
        <v>0</v>
      </c>
      <c r="H476" s="550">
        <v>0</v>
      </c>
      <c r="I476" s="550">
        <v>0</v>
      </c>
      <c r="J476" s="550">
        <v>108</v>
      </c>
      <c r="K476" s="550">
        <v>2</v>
      </c>
      <c r="L476" s="550">
        <v>2</v>
      </c>
      <c r="M476" s="550">
        <v>0</v>
      </c>
      <c r="N476" s="550">
        <v>115</v>
      </c>
      <c r="O476" s="550">
        <v>6</v>
      </c>
      <c r="P476" s="550">
        <v>271</v>
      </c>
      <c r="Q476" s="550">
        <v>0</v>
      </c>
      <c r="R476" s="551" t="str">
        <f t="shared" ref="R476:R485" si="74">A476</f>
        <v>AVENAL</v>
      </c>
      <c r="S476" s="552"/>
      <c r="T476" s="552"/>
      <c r="U476" s="552"/>
      <c r="V476" s="552"/>
      <c r="W476" s="552"/>
      <c r="X476" s="552"/>
      <c r="Y476" s="552"/>
      <c r="Z476" s="552"/>
      <c r="AA476" s="553"/>
      <c r="AB476" s="553"/>
    </row>
    <row r="477" spans="1:28" ht="12.75">
      <c r="A477" s="547" t="s">
        <v>336</v>
      </c>
      <c r="B477" s="547" t="s">
        <v>149</v>
      </c>
      <c r="C477" s="548" t="s">
        <v>819</v>
      </c>
      <c r="D477" s="549">
        <v>2018</v>
      </c>
      <c r="E477" s="549" t="s">
        <v>775</v>
      </c>
      <c r="F477" s="550">
        <v>145</v>
      </c>
      <c r="G477" s="550">
        <v>0</v>
      </c>
      <c r="H477" s="550">
        <v>0</v>
      </c>
      <c r="I477" s="550">
        <v>0</v>
      </c>
      <c r="J477" s="550">
        <v>108</v>
      </c>
      <c r="K477" s="550">
        <v>36</v>
      </c>
      <c r="L477" s="550">
        <v>36</v>
      </c>
      <c r="M477" s="550">
        <v>0</v>
      </c>
      <c r="N477" s="550">
        <v>115</v>
      </c>
      <c r="O477" s="550">
        <v>15</v>
      </c>
      <c r="P477" s="550">
        <v>271</v>
      </c>
      <c r="Q477" s="550">
        <v>0</v>
      </c>
      <c r="R477" s="551" t="str">
        <f t="shared" si="74"/>
        <v>AVENAL</v>
      </c>
      <c r="S477" s="552"/>
      <c r="T477" s="552"/>
      <c r="U477" s="552"/>
      <c r="V477" s="552"/>
      <c r="W477" s="552"/>
      <c r="X477" s="552"/>
      <c r="Y477" s="552"/>
      <c r="Z477" s="552"/>
      <c r="AA477" s="553"/>
      <c r="AB477" s="553"/>
    </row>
    <row r="478" spans="1:28" ht="12.75">
      <c r="A478" s="547" t="s">
        <v>336</v>
      </c>
      <c r="B478" s="547" t="s">
        <v>149</v>
      </c>
      <c r="C478" s="548" t="s">
        <v>820</v>
      </c>
      <c r="D478" s="549">
        <v>2019</v>
      </c>
      <c r="E478" s="549" t="s">
        <v>775</v>
      </c>
      <c r="F478" s="550">
        <v>145</v>
      </c>
      <c r="G478" s="550">
        <v>0</v>
      </c>
      <c r="H478" s="550">
        <v>0</v>
      </c>
      <c r="I478" s="550">
        <v>0</v>
      </c>
      <c r="J478" s="550">
        <v>108</v>
      </c>
      <c r="K478" s="550">
        <v>1</v>
      </c>
      <c r="L478" s="550">
        <v>1</v>
      </c>
      <c r="M478" s="550">
        <v>0</v>
      </c>
      <c r="N478" s="550">
        <v>115</v>
      </c>
      <c r="O478" s="550">
        <v>16</v>
      </c>
      <c r="P478" s="550">
        <v>271</v>
      </c>
      <c r="Q478" s="550">
        <v>0</v>
      </c>
      <c r="R478" s="551" t="str">
        <f t="shared" si="74"/>
        <v>AVENAL</v>
      </c>
      <c r="S478" s="255">
        <f>SUM(G476:G478) +SUM(K476:K478)</f>
        <v>39</v>
      </c>
      <c r="T478" s="255">
        <f t="shared" ref="T478:T479" si="75">F478+J478</f>
        <v>253</v>
      </c>
      <c r="U478" s="255">
        <f>SUM(O476:O478)</f>
        <v>37</v>
      </c>
      <c r="V478" s="255">
        <f t="shared" ref="V478:V479" si="76">N478</f>
        <v>115</v>
      </c>
      <c r="W478" s="83">
        <f>SUM(Q476:Q478)</f>
        <v>0</v>
      </c>
      <c r="X478" s="255">
        <f t="shared" ref="X478:X479" si="77">P478</f>
        <v>271</v>
      </c>
      <c r="Y478" s="255">
        <f>S478+U478+SUM(Q476:Q478)</f>
        <v>76</v>
      </c>
      <c r="Z478" s="255">
        <f t="shared" ref="Z478:Z479" si="78">F478+J478+N478+P478</f>
        <v>639</v>
      </c>
      <c r="AA478" s="553"/>
      <c r="AB478" s="553"/>
    </row>
    <row r="479" spans="1:28" ht="12.75">
      <c r="A479" s="547" t="s">
        <v>337</v>
      </c>
      <c r="B479" s="547" t="s">
        <v>149</v>
      </c>
      <c r="C479" s="548" t="s">
        <v>820</v>
      </c>
      <c r="D479" s="549">
        <v>2019</v>
      </c>
      <c r="E479" s="549" t="s">
        <v>775</v>
      </c>
      <c r="F479" s="550">
        <v>215</v>
      </c>
      <c r="G479" s="550">
        <v>0</v>
      </c>
      <c r="H479" s="550">
        <v>0</v>
      </c>
      <c r="I479" s="550">
        <v>0</v>
      </c>
      <c r="J479" s="550">
        <v>161</v>
      </c>
      <c r="K479" s="550">
        <v>0</v>
      </c>
      <c r="L479" s="550">
        <v>0</v>
      </c>
      <c r="M479" s="550">
        <v>0</v>
      </c>
      <c r="N479" s="550">
        <v>169</v>
      </c>
      <c r="O479" s="550">
        <v>0</v>
      </c>
      <c r="P479" s="550">
        <v>401</v>
      </c>
      <c r="Q479" s="550">
        <v>0</v>
      </c>
      <c r="R479" s="551" t="str">
        <f t="shared" si="74"/>
        <v>CORCORAN</v>
      </c>
      <c r="S479" s="552">
        <f>G479+K479</f>
        <v>0</v>
      </c>
      <c r="T479" s="552">
        <f t="shared" si="75"/>
        <v>376</v>
      </c>
      <c r="U479" s="552">
        <f>O479</f>
        <v>0</v>
      </c>
      <c r="V479" s="552">
        <f t="shared" si="76"/>
        <v>169</v>
      </c>
      <c r="W479" s="552">
        <f>Q479</f>
        <v>0</v>
      </c>
      <c r="X479" s="552">
        <f t="shared" si="77"/>
        <v>401</v>
      </c>
      <c r="Y479" s="552">
        <f>S479+U479+W479</f>
        <v>0</v>
      </c>
      <c r="Z479" s="552">
        <f t="shared" si="78"/>
        <v>946</v>
      </c>
      <c r="AA479" s="553"/>
      <c r="AB479" s="553"/>
    </row>
    <row r="480" spans="1:28" ht="12.75">
      <c r="A480" s="547" t="s">
        <v>338</v>
      </c>
      <c r="B480" s="547" t="s">
        <v>149</v>
      </c>
      <c r="C480" s="548" t="s">
        <v>819</v>
      </c>
      <c r="D480" s="549">
        <v>2018</v>
      </c>
      <c r="E480" s="549" t="s">
        <v>775</v>
      </c>
      <c r="F480" s="550">
        <v>1097</v>
      </c>
      <c r="G480" s="550">
        <v>0</v>
      </c>
      <c r="H480" s="550">
        <v>0</v>
      </c>
      <c r="I480" s="550">
        <v>0</v>
      </c>
      <c r="J480" s="550">
        <v>821</v>
      </c>
      <c r="K480" s="550">
        <v>0</v>
      </c>
      <c r="L480" s="550">
        <v>0</v>
      </c>
      <c r="M480" s="550">
        <v>0</v>
      </c>
      <c r="N480" s="550">
        <v>865</v>
      </c>
      <c r="O480" s="550">
        <v>0</v>
      </c>
      <c r="P480" s="550">
        <v>2049</v>
      </c>
      <c r="Q480" s="550">
        <v>202</v>
      </c>
      <c r="R480" s="551" t="str">
        <f t="shared" si="74"/>
        <v>HANFORD</v>
      </c>
      <c r="S480" s="552"/>
      <c r="T480" s="552"/>
      <c r="U480" s="552"/>
      <c r="V480" s="552"/>
      <c r="W480" s="552"/>
      <c r="X480" s="552"/>
      <c r="Y480" s="552"/>
      <c r="Z480" s="552"/>
      <c r="AA480" s="553"/>
      <c r="AB480" s="553"/>
    </row>
    <row r="481" spans="1:28" ht="12.75">
      <c r="A481" s="547" t="s">
        <v>338</v>
      </c>
      <c r="B481" s="547" t="s">
        <v>149</v>
      </c>
      <c r="C481" s="548" t="s">
        <v>820</v>
      </c>
      <c r="D481" s="549">
        <v>2019</v>
      </c>
      <c r="E481" s="549" t="s">
        <v>775</v>
      </c>
      <c r="F481" s="550">
        <v>1097</v>
      </c>
      <c r="G481" s="550">
        <v>0</v>
      </c>
      <c r="H481" s="550">
        <v>0</v>
      </c>
      <c r="I481" s="550">
        <v>0</v>
      </c>
      <c r="J481" s="550">
        <v>821</v>
      </c>
      <c r="K481" s="550">
        <v>0</v>
      </c>
      <c r="L481" s="550">
        <v>0</v>
      </c>
      <c r="M481" s="550">
        <v>0</v>
      </c>
      <c r="N481" s="550">
        <v>865</v>
      </c>
      <c r="O481" s="550">
        <v>25</v>
      </c>
      <c r="P481" s="550">
        <v>2049</v>
      </c>
      <c r="Q481" s="550">
        <v>214</v>
      </c>
      <c r="R481" s="551" t="str">
        <f t="shared" si="74"/>
        <v>HANFORD</v>
      </c>
      <c r="S481" s="255">
        <f>SUM(G480:G481) +SUM(K480:K481)</f>
        <v>0</v>
      </c>
      <c r="T481" s="255">
        <f>F481+J481</f>
        <v>1918</v>
      </c>
      <c r="U481" s="255">
        <f>SUM(O480:O481)</f>
        <v>25</v>
      </c>
      <c r="V481" s="255">
        <f>N481</f>
        <v>865</v>
      </c>
      <c r="W481" s="83">
        <f>SUM(Q480:Q481)</f>
        <v>416</v>
      </c>
      <c r="X481" s="255">
        <f>P481</f>
        <v>2049</v>
      </c>
      <c r="Y481" s="255">
        <f>S481+U481+SUM(Q480:Q481)</f>
        <v>441</v>
      </c>
      <c r="Z481" s="255">
        <f>F481+J481+N481+P481</f>
        <v>4832</v>
      </c>
      <c r="AA481" s="553"/>
      <c r="AB481" s="553"/>
    </row>
    <row r="482" spans="1:28" ht="12.75">
      <c r="A482" s="547" t="s">
        <v>339</v>
      </c>
      <c r="B482" s="547" t="s">
        <v>149</v>
      </c>
      <c r="C482" s="548" t="s">
        <v>819</v>
      </c>
      <c r="D482" s="549">
        <v>2017</v>
      </c>
      <c r="E482" s="549" t="s">
        <v>775</v>
      </c>
      <c r="F482" s="550">
        <v>186</v>
      </c>
      <c r="G482" s="550">
        <v>0</v>
      </c>
      <c r="H482" s="550">
        <v>0</v>
      </c>
      <c r="I482" s="550">
        <v>0</v>
      </c>
      <c r="J482" s="550">
        <v>138</v>
      </c>
      <c r="K482" s="550">
        <v>8</v>
      </c>
      <c r="L482" s="550">
        <v>8</v>
      </c>
      <c r="M482" s="550">
        <v>0</v>
      </c>
      <c r="N482" s="550">
        <v>147</v>
      </c>
      <c r="O482" s="550">
        <v>1</v>
      </c>
      <c r="P482" s="550">
        <v>347</v>
      </c>
      <c r="Q482" s="550">
        <v>8</v>
      </c>
      <c r="R482" s="551" t="str">
        <f t="shared" si="74"/>
        <v>KINGS COUNTY</v>
      </c>
      <c r="S482" s="552"/>
      <c r="T482" s="552"/>
      <c r="U482" s="552"/>
      <c r="V482" s="552"/>
      <c r="W482" s="552"/>
      <c r="X482" s="552"/>
      <c r="Y482" s="552"/>
      <c r="Z482" s="552"/>
      <c r="AA482" s="553"/>
      <c r="AB482" s="553"/>
    </row>
    <row r="483" spans="1:28" ht="12.75">
      <c r="A483" s="547" t="s">
        <v>339</v>
      </c>
      <c r="B483" s="547" t="s">
        <v>149</v>
      </c>
      <c r="C483" s="548" t="s">
        <v>819</v>
      </c>
      <c r="D483" s="549">
        <v>2018</v>
      </c>
      <c r="E483" s="549" t="s">
        <v>775</v>
      </c>
      <c r="F483" s="550">
        <v>186</v>
      </c>
      <c r="G483" s="550">
        <v>0</v>
      </c>
      <c r="H483" s="550">
        <v>0</v>
      </c>
      <c r="I483" s="550">
        <v>0</v>
      </c>
      <c r="J483" s="550">
        <v>138</v>
      </c>
      <c r="K483" s="550">
        <v>11</v>
      </c>
      <c r="L483" s="550">
        <v>0</v>
      </c>
      <c r="M483" s="550">
        <v>11</v>
      </c>
      <c r="N483" s="550">
        <v>147</v>
      </c>
      <c r="O483" s="550">
        <v>1</v>
      </c>
      <c r="P483" s="550">
        <v>347</v>
      </c>
      <c r="Q483" s="550">
        <v>8</v>
      </c>
      <c r="R483" s="551" t="str">
        <f t="shared" si="74"/>
        <v>KINGS COUNTY</v>
      </c>
      <c r="S483" s="552"/>
      <c r="T483" s="552"/>
      <c r="U483" s="552"/>
      <c r="V483" s="552"/>
      <c r="W483" s="552"/>
      <c r="X483" s="552"/>
      <c r="Y483" s="552"/>
      <c r="Z483" s="552"/>
      <c r="AA483" s="553"/>
      <c r="AB483" s="553"/>
    </row>
    <row r="484" spans="1:28" ht="12.75">
      <c r="A484" s="547" t="s">
        <v>339</v>
      </c>
      <c r="B484" s="547" t="s">
        <v>149</v>
      </c>
      <c r="C484" s="548" t="s">
        <v>820</v>
      </c>
      <c r="D484" s="549">
        <v>2019</v>
      </c>
      <c r="E484" s="549" t="s">
        <v>775</v>
      </c>
      <c r="F484" s="550">
        <v>186</v>
      </c>
      <c r="G484" s="550">
        <v>0</v>
      </c>
      <c r="H484" s="550">
        <v>0</v>
      </c>
      <c r="I484" s="550">
        <v>0</v>
      </c>
      <c r="J484" s="550">
        <v>138</v>
      </c>
      <c r="K484" s="550">
        <v>12</v>
      </c>
      <c r="L484" s="550">
        <v>0</v>
      </c>
      <c r="M484" s="550">
        <v>12</v>
      </c>
      <c r="N484" s="550">
        <v>147</v>
      </c>
      <c r="O484" s="550">
        <v>2</v>
      </c>
      <c r="P484" s="550">
        <v>347</v>
      </c>
      <c r="Q484" s="550">
        <v>8</v>
      </c>
      <c r="R484" s="551" t="str">
        <f t="shared" si="74"/>
        <v>KINGS COUNTY</v>
      </c>
      <c r="S484" s="255">
        <f>SUM(G482:G484) +SUM(K482:K484)</f>
        <v>31</v>
      </c>
      <c r="T484" s="255">
        <f t="shared" ref="T484:T485" si="79">F484+J484</f>
        <v>324</v>
      </c>
      <c r="U484" s="255">
        <f>SUM(O482:O484)</f>
        <v>4</v>
      </c>
      <c r="V484" s="255">
        <f t="shared" ref="V484:V485" si="80">N484</f>
        <v>147</v>
      </c>
      <c r="W484" s="83">
        <f>SUM(Q482:Q484)</f>
        <v>24</v>
      </c>
      <c r="X484" s="255">
        <f t="shared" ref="X484:X485" si="81">P484</f>
        <v>347</v>
      </c>
      <c r="Y484" s="255">
        <f>S484+U484+SUM(Q482:Q484)</f>
        <v>59</v>
      </c>
      <c r="Z484" s="255">
        <f t="shared" ref="Z484:Z485" si="82">F484+J484+N484+P484</f>
        <v>818</v>
      </c>
      <c r="AA484" s="553"/>
      <c r="AB484" s="553"/>
    </row>
    <row r="485" spans="1:28" ht="12.75">
      <c r="A485" s="547" t="s">
        <v>340</v>
      </c>
      <c r="B485" s="547" t="s">
        <v>149</v>
      </c>
      <c r="C485" s="548" t="s">
        <v>820</v>
      </c>
      <c r="D485" s="549">
        <v>2019</v>
      </c>
      <c r="E485" s="549" t="s">
        <v>775</v>
      </c>
      <c r="F485" s="550">
        <v>677</v>
      </c>
      <c r="G485" s="550">
        <v>0</v>
      </c>
      <c r="H485" s="550">
        <v>0</v>
      </c>
      <c r="I485" s="550">
        <v>0</v>
      </c>
      <c r="J485" s="550">
        <v>507</v>
      </c>
      <c r="K485" s="550">
        <v>0</v>
      </c>
      <c r="L485" s="550">
        <v>0</v>
      </c>
      <c r="M485" s="550">
        <v>0</v>
      </c>
      <c r="N485" s="550">
        <v>534</v>
      </c>
      <c r="O485" s="550">
        <v>26</v>
      </c>
      <c r="P485" s="550">
        <v>1267</v>
      </c>
      <c r="Q485" s="550">
        <v>119</v>
      </c>
      <c r="R485" s="551" t="str">
        <f t="shared" si="74"/>
        <v>LEMOORE</v>
      </c>
      <c r="S485" s="556">
        <f>G485+K485</f>
        <v>0</v>
      </c>
      <c r="T485" s="556">
        <f t="shared" si="79"/>
        <v>1184</v>
      </c>
      <c r="U485" s="556">
        <f>O485</f>
        <v>26</v>
      </c>
      <c r="V485" s="556">
        <f t="shared" si="80"/>
        <v>534</v>
      </c>
      <c r="W485" s="556">
        <f>Q485</f>
        <v>119</v>
      </c>
      <c r="X485" s="556">
        <f t="shared" si="81"/>
        <v>1267</v>
      </c>
      <c r="Y485" s="556">
        <f>S485+U485+W485</f>
        <v>145</v>
      </c>
      <c r="Z485" s="556">
        <f t="shared" si="82"/>
        <v>2985</v>
      </c>
      <c r="AA485" s="553"/>
      <c r="AB485" s="553"/>
    </row>
    <row r="486" spans="1:28" ht="12.75">
      <c r="A486" s="547"/>
      <c r="B486" s="547"/>
      <c r="C486" s="548"/>
      <c r="D486" s="549"/>
      <c r="E486" s="549"/>
      <c r="F486" s="550"/>
      <c r="G486" s="550"/>
      <c r="H486" s="550"/>
      <c r="I486" s="550"/>
      <c r="J486" s="550"/>
      <c r="K486" s="550"/>
      <c r="L486" s="550"/>
      <c r="M486" s="550"/>
      <c r="N486" s="550"/>
      <c r="O486" s="550"/>
      <c r="P486" s="550"/>
      <c r="Q486" s="550"/>
      <c r="R486" s="551"/>
      <c r="S486" s="563">
        <f t="shared" ref="S486:Z486" si="83">SUM(S478:S485)</f>
        <v>70</v>
      </c>
      <c r="T486" s="563">
        <f t="shared" si="83"/>
        <v>4055</v>
      </c>
      <c r="U486" s="563">
        <f t="shared" si="83"/>
        <v>92</v>
      </c>
      <c r="V486" s="563">
        <f t="shared" si="83"/>
        <v>1830</v>
      </c>
      <c r="W486" s="563">
        <f t="shared" si="83"/>
        <v>559</v>
      </c>
      <c r="X486" s="563">
        <f t="shared" si="83"/>
        <v>4335</v>
      </c>
      <c r="Y486" s="563">
        <f t="shared" si="83"/>
        <v>721</v>
      </c>
      <c r="Z486" s="563">
        <f t="shared" si="83"/>
        <v>10220</v>
      </c>
      <c r="AA486" s="553"/>
      <c r="AB486" s="553"/>
    </row>
    <row r="487" spans="1:28" ht="12.75">
      <c r="A487" s="547" t="s">
        <v>341</v>
      </c>
      <c r="B487" s="547" t="s">
        <v>151</v>
      </c>
      <c r="C487" s="548" t="s">
        <v>784</v>
      </c>
      <c r="D487" s="549">
        <v>2015</v>
      </c>
      <c r="E487" s="549" t="s">
        <v>775</v>
      </c>
      <c r="F487" s="550">
        <v>108</v>
      </c>
      <c r="G487" s="550">
        <v>1</v>
      </c>
      <c r="H487" s="550">
        <v>1</v>
      </c>
      <c r="I487" s="550">
        <v>0</v>
      </c>
      <c r="J487" s="550">
        <v>67</v>
      </c>
      <c r="K487" s="550">
        <v>0</v>
      </c>
      <c r="L487" s="550">
        <v>0</v>
      </c>
      <c r="M487" s="550">
        <v>0</v>
      </c>
      <c r="N487" s="550">
        <v>87</v>
      </c>
      <c r="O487" s="550">
        <v>0</v>
      </c>
      <c r="P487" s="550">
        <v>205</v>
      </c>
      <c r="Q487" s="550">
        <v>1</v>
      </c>
      <c r="R487" s="551" t="str">
        <f t="shared" ref="R487:R494" si="84">A487</f>
        <v>CLEARLAKE</v>
      </c>
      <c r="S487" s="552"/>
      <c r="T487" s="552"/>
      <c r="U487" s="552"/>
      <c r="V487" s="552"/>
      <c r="W487" s="552"/>
      <c r="X487" s="552"/>
      <c r="Y487" s="552"/>
      <c r="Z487" s="552"/>
      <c r="AA487" s="553"/>
      <c r="AB487" s="553"/>
    </row>
    <row r="488" spans="1:28" ht="12.75">
      <c r="A488" s="547" t="s">
        <v>341</v>
      </c>
      <c r="B488" s="547" t="s">
        <v>151</v>
      </c>
      <c r="C488" s="548" t="s">
        <v>784</v>
      </c>
      <c r="D488" s="549">
        <v>2016</v>
      </c>
      <c r="E488" s="549" t="s">
        <v>775</v>
      </c>
      <c r="F488" s="550">
        <v>108</v>
      </c>
      <c r="G488" s="550">
        <v>0</v>
      </c>
      <c r="H488" s="550">
        <v>0</v>
      </c>
      <c r="I488" s="550">
        <v>0</v>
      </c>
      <c r="J488" s="550">
        <v>67</v>
      </c>
      <c r="K488" s="550">
        <v>0</v>
      </c>
      <c r="L488" s="550">
        <v>0</v>
      </c>
      <c r="M488" s="550">
        <v>0</v>
      </c>
      <c r="N488" s="550">
        <v>87</v>
      </c>
      <c r="O488" s="550">
        <v>1</v>
      </c>
      <c r="P488" s="550">
        <v>205</v>
      </c>
      <c r="Q488" s="550">
        <v>0</v>
      </c>
      <c r="R488" s="551" t="str">
        <f t="shared" si="84"/>
        <v>CLEARLAKE</v>
      </c>
      <c r="S488" s="552"/>
      <c r="T488" s="552"/>
      <c r="U488" s="552"/>
      <c r="V488" s="552"/>
      <c r="W488" s="552"/>
      <c r="X488" s="552"/>
      <c r="Y488" s="552"/>
      <c r="Z488" s="552"/>
      <c r="AA488" s="553"/>
      <c r="AB488" s="553"/>
    </row>
    <row r="489" spans="1:28" ht="12.75">
      <c r="A489" s="547" t="s">
        <v>341</v>
      </c>
      <c r="B489" s="547" t="s">
        <v>151</v>
      </c>
      <c r="C489" s="548" t="s">
        <v>784</v>
      </c>
      <c r="D489" s="549">
        <v>2017</v>
      </c>
      <c r="E489" s="549" t="s">
        <v>775</v>
      </c>
      <c r="F489" s="550">
        <v>108</v>
      </c>
      <c r="G489" s="550">
        <v>1</v>
      </c>
      <c r="H489" s="550">
        <v>0</v>
      </c>
      <c r="I489" s="550">
        <v>1</v>
      </c>
      <c r="J489" s="550">
        <v>67</v>
      </c>
      <c r="K489" s="550">
        <v>1</v>
      </c>
      <c r="L489" s="550">
        <v>0</v>
      </c>
      <c r="M489" s="550">
        <v>1</v>
      </c>
      <c r="N489" s="550">
        <v>87</v>
      </c>
      <c r="O489" s="550">
        <v>0</v>
      </c>
      <c r="P489" s="550">
        <v>205</v>
      </c>
      <c r="Q489" s="550">
        <v>0</v>
      </c>
      <c r="R489" s="551" t="str">
        <f t="shared" si="84"/>
        <v>CLEARLAKE</v>
      </c>
      <c r="S489" s="552"/>
      <c r="T489" s="552"/>
      <c r="U489" s="552"/>
      <c r="V489" s="552"/>
      <c r="W489" s="552"/>
      <c r="X489" s="552"/>
      <c r="Y489" s="552"/>
      <c r="Z489" s="552"/>
      <c r="AA489" s="553"/>
      <c r="AB489" s="553"/>
    </row>
    <row r="490" spans="1:28" ht="12.75">
      <c r="A490" s="547" t="s">
        <v>341</v>
      </c>
      <c r="B490" s="547" t="s">
        <v>151</v>
      </c>
      <c r="C490" s="548" t="s">
        <v>784</v>
      </c>
      <c r="D490" s="549">
        <v>2018</v>
      </c>
      <c r="E490" s="549" t="s">
        <v>775</v>
      </c>
      <c r="F490" s="550">
        <v>108</v>
      </c>
      <c r="G490" s="550">
        <v>1</v>
      </c>
      <c r="H490" s="550">
        <v>0</v>
      </c>
      <c r="I490" s="550">
        <v>1</v>
      </c>
      <c r="J490" s="550">
        <v>67</v>
      </c>
      <c r="K490" s="550">
        <v>1</v>
      </c>
      <c r="L490" s="550">
        <v>0</v>
      </c>
      <c r="M490" s="550">
        <v>1</v>
      </c>
      <c r="N490" s="550">
        <v>87</v>
      </c>
      <c r="O490" s="550">
        <v>2</v>
      </c>
      <c r="P490" s="550">
        <v>205</v>
      </c>
      <c r="Q490" s="550">
        <v>5</v>
      </c>
      <c r="R490" s="551" t="str">
        <f t="shared" si="84"/>
        <v>CLEARLAKE</v>
      </c>
      <c r="S490" s="552"/>
      <c r="T490" s="552"/>
      <c r="U490" s="552"/>
      <c r="V490" s="552"/>
      <c r="W490" s="552"/>
      <c r="X490" s="552"/>
      <c r="Y490" s="552"/>
      <c r="Z490" s="552"/>
      <c r="AA490" s="553"/>
      <c r="AB490" s="553"/>
    </row>
    <row r="491" spans="1:28" ht="12.75">
      <c r="A491" s="547" t="s">
        <v>341</v>
      </c>
      <c r="B491" s="547" t="s">
        <v>151</v>
      </c>
      <c r="C491" s="548" t="s">
        <v>785</v>
      </c>
      <c r="D491" s="549">
        <v>2019</v>
      </c>
      <c r="E491" s="549" t="s">
        <v>775</v>
      </c>
      <c r="F491" s="550">
        <v>108</v>
      </c>
      <c r="G491" s="550">
        <v>5</v>
      </c>
      <c r="H491" s="550">
        <v>0</v>
      </c>
      <c r="I491" s="550">
        <v>5</v>
      </c>
      <c r="J491" s="550">
        <v>67</v>
      </c>
      <c r="K491" s="550">
        <v>0</v>
      </c>
      <c r="L491" s="550">
        <v>0</v>
      </c>
      <c r="M491" s="550">
        <v>0</v>
      </c>
      <c r="N491" s="550">
        <v>87</v>
      </c>
      <c r="O491" s="550">
        <v>5</v>
      </c>
      <c r="P491" s="550">
        <v>205</v>
      </c>
      <c r="Q491" s="550">
        <v>5</v>
      </c>
      <c r="R491" s="551" t="str">
        <f t="shared" si="84"/>
        <v>CLEARLAKE</v>
      </c>
      <c r="S491" s="255">
        <f>SUM(G487:G491) +SUM(K487:K491)</f>
        <v>10</v>
      </c>
      <c r="T491" s="255">
        <f t="shared" ref="T491:T492" si="85">F491+J491</f>
        <v>175</v>
      </c>
      <c r="U491" s="255">
        <f>SUM(O487:O491)</f>
        <v>8</v>
      </c>
      <c r="V491" s="255">
        <f t="shared" ref="V491:V492" si="86">N491</f>
        <v>87</v>
      </c>
      <c r="W491" s="83">
        <f>SUM(Q487:Q491)</f>
        <v>11</v>
      </c>
      <c r="X491" s="255">
        <f t="shared" ref="X491:X492" si="87">P491</f>
        <v>205</v>
      </c>
      <c r="Y491" s="255">
        <f>S491+U491+SUM(Q487:Q491)</f>
        <v>29</v>
      </c>
      <c r="Z491" s="255">
        <f t="shared" ref="Z491:Z492" si="88">F491+J491+N491+P491</f>
        <v>467</v>
      </c>
      <c r="AA491" s="553"/>
      <c r="AB491" s="553"/>
    </row>
    <row r="492" spans="1:28" ht="12.75">
      <c r="A492" s="547" t="s">
        <v>342</v>
      </c>
      <c r="B492" s="547" t="s">
        <v>151</v>
      </c>
      <c r="C492" s="548" t="s">
        <v>784</v>
      </c>
      <c r="D492" s="549">
        <v>2018</v>
      </c>
      <c r="E492" s="549" t="s">
        <v>775</v>
      </c>
      <c r="F492" s="550">
        <v>368</v>
      </c>
      <c r="G492" s="550">
        <v>8</v>
      </c>
      <c r="H492" s="550">
        <v>0</v>
      </c>
      <c r="I492" s="550">
        <v>8</v>
      </c>
      <c r="J492" s="550">
        <v>231</v>
      </c>
      <c r="K492" s="550">
        <v>17</v>
      </c>
      <c r="L492" s="550">
        <v>0</v>
      </c>
      <c r="M492" s="550">
        <v>17</v>
      </c>
      <c r="N492" s="550">
        <v>256</v>
      </c>
      <c r="O492" s="550">
        <v>22</v>
      </c>
      <c r="P492" s="550">
        <v>601</v>
      </c>
      <c r="Q492" s="550">
        <v>16</v>
      </c>
      <c r="R492" s="551" t="str">
        <f t="shared" si="84"/>
        <v>LAKE COUNTY</v>
      </c>
      <c r="S492" s="552">
        <f>G492+K492</f>
        <v>25</v>
      </c>
      <c r="T492" s="552">
        <f t="shared" si="85"/>
        <v>599</v>
      </c>
      <c r="U492" s="552">
        <f>O492</f>
        <v>22</v>
      </c>
      <c r="V492" s="552">
        <f t="shared" si="86"/>
        <v>256</v>
      </c>
      <c r="W492" s="552">
        <f>Q492</f>
        <v>16</v>
      </c>
      <c r="X492" s="552">
        <f t="shared" si="87"/>
        <v>601</v>
      </c>
      <c r="Y492" s="552">
        <f>S492+U492+W492</f>
        <v>63</v>
      </c>
      <c r="Z492" s="552">
        <f t="shared" si="88"/>
        <v>1456</v>
      </c>
      <c r="AA492" s="553"/>
      <c r="AB492" s="553"/>
    </row>
    <row r="493" spans="1:28" ht="12.75">
      <c r="A493" s="547" t="s">
        <v>343</v>
      </c>
      <c r="B493" s="547" t="s">
        <v>151</v>
      </c>
      <c r="C493" s="548" t="s">
        <v>784</v>
      </c>
      <c r="D493" s="549">
        <v>2017</v>
      </c>
      <c r="E493" s="549" t="s">
        <v>775</v>
      </c>
      <c r="F493" s="550">
        <v>34</v>
      </c>
      <c r="G493" s="550">
        <v>0</v>
      </c>
      <c r="H493" s="550">
        <v>0</v>
      </c>
      <c r="I493" s="550">
        <v>0</v>
      </c>
      <c r="J493" s="550">
        <v>22</v>
      </c>
      <c r="K493" s="550">
        <v>0</v>
      </c>
      <c r="L493" s="550">
        <v>0</v>
      </c>
      <c r="M493" s="550">
        <v>0</v>
      </c>
      <c r="N493" s="550">
        <v>27</v>
      </c>
      <c r="O493" s="550">
        <v>0</v>
      </c>
      <c r="P493" s="550">
        <v>64</v>
      </c>
      <c r="Q493" s="550">
        <v>4</v>
      </c>
      <c r="R493" s="551" t="str">
        <f t="shared" si="84"/>
        <v>LAKEPORT</v>
      </c>
      <c r="S493" s="552"/>
      <c r="T493" s="552"/>
      <c r="U493" s="552"/>
      <c r="V493" s="552"/>
      <c r="W493" s="552"/>
      <c r="X493" s="552"/>
      <c r="Y493" s="552"/>
      <c r="Z493" s="552"/>
      <c r="AA493" s="553"/>
      <c r="AB493" s="553"/>
    </row>
    <row r="494" spans="1:28" ht="12.75">
      <c r="A494" s="547" t="s">
        <v>343</v>
      </c>
      <c r="B494" s="547" t="s">
        <v>151</v>
      </c>
      <c r="C494" s="548" t="s">
        <v>785</v>
      </c>
      <c r="D494" s="549">
        <v>2019</v>
      </c>
      <c r="E494" s="549" t="s">
        <v>775</v>
      </c>
      <c r="F494" s="550">
        <v>34</v>
      </c>
      <c r="G494" s="550">
        <v>0</v>
      </c>
      <c r="H494" s="550">
        <v>0</v>
      </c>
      <c r="I494" s="550">
        <v>0</v>
      </c>
      <c r="J494" s="550">
        <v>22</v>
      </c>
      <c r="K494" s="550">
        <v>0</v>
      </c>
      <c r="L494" s="550">
        <v>0</v>
      </c>
      <c r="M494" s="550">
        <v>0</v>
      </c>
      <c r="N494" s="550">
        <v>27</v>
      </c>
      <c r="O494" s="550">
        <v>0</v>
      </c>
      <c r="P494" s="550">
        <v>64</v>
      </c>
      <c r="Q494" s="550">
        <v>0</v>
      </c>
      <c r="R494" s="551" t="str">
        <f t="shared" si="84"/>
        <v>LAKEPORT</v>
      </c>
      <c r="S494" s="561">
        <f>SUM(G493:G494) +SUM(K493:K494)</f>
        <v>0</v>
      </c>
      <c r="T494" s="561">
        <f>F494+J494</f>
        <v>56</v>
      </c>
      <c r="U494" s="561">
        <f>SUM(O493:O494)</f>
        <v>0</v>
      </c>
      <c r="V494" s="561">
        <f>N494</f>
        <v>27</v>
      </c>
      <c r="W494" s="562">
        <f>SUM(Q493:Q494)</f>
        <v>4</v>
      </c>
      <c r="X494" s="561">
        <f>P494</f>
        <v>64</v>
      </c>
      <c r="Y494" s="561">
        <f>S494+U494+SUM(Q493:Q494)</f>
        <v>4</v>
      </c>
      <c r="Z494" s="561">
        <f>F494+J494+N494+P494</f>
        <v>147</v>
      </c>
      <c r="AA494" s="553"/>
      <c r="AB494" s="553"/>
    </row>
    <row r="495" spans="1:28" ht="12.75">
      <c r="A495" s="547"/>
      <c r="B495" s="547"/>
      <c r="C495" s="548"/>
      <c r="D495" s="549"/>
      <c r="E495" s="549"/>
      <c r="F495" s="550"/>
      <c r="G495" s="550"/>
      <c r="H495" s="550"/>
      <c r="I495" s="550"/>
      <c r="J495" s="550"/>
      <c r="K495" s="550"/>
      <c r="L495" s="550"/>
      <c r="M495" s="550"/>
      <c r="N495" s="550"/>
      <c r="O495" s="550"/>
      <c r="P495" s="550"/>
      <c r="Q495" s="550"/>
      <c r="R495" s="551"/>
      <c r="S495" s="563">
        <f t="shared" ref="S495:Z495" si="89">S491+S492+S494</f>
        <v>35</v>
      </c>
      <c r="T495" s="563">
        <f t="shared" si="89"/>
        <v>830</v>
      </c>
      <c r="U495" s="563">
        <f t="shared" si="89"/>
        <v>30</v>
      </c>
      <c r="V495" s="563">
        <f t="shared" si="89"/>
        <v>370</v>
      </c>
      <c r="W495" s="563">
        <f t="shared" si="89"/>
        <v>31</v>
      </c>
      <c r="X495" s="563">
        <f t="shared" si="89"/>
        <v>870</v>
      </c>
      <c r="Y495" s="563">
        <f t="shared" si="89"/>
        <v>96</v>
      </c>
      <c r="Z495" s="563">
        <f t="shared" si="89"/>
        <v>2070</v>
      </c>
      <c r="AA495" s="553"/>
      <c r="AB495" s="553"/>
    </row>
    <row r="496" spans="1:28" ht="12.75">
      <c r="A496" s="547"/>
      <c r="B496" s="547"/>
      <c r="C496" s="548"/>
      <c r="D496" s="549"/>
      <c r="E496" s="549"/>
      <c r="F496" s="550"/>
      <c r="G496" s="550"/>
      <c r="H496" s="550"/>
      <c r="I496" s="550"/>
      <c r="J496" s="550"/>
      <c r="K496" s="550"/>
      <c r="L496" s="550"/>
      <c r="M496" s="550"/>
      <c r="N496" s="550"/>
      <c r="O496" s="550"/>
      <c r="P496" s="550"/>
      <c r="Q496" s="550"/>
      <c r="R496" s="551"/>
      <c r="S496" s="552"/>
      <c r="T496" s="255"/>
      <c r="U496" s="552"/>
      <c r="V496" s="255"/>
      <c r="W496" s="552"/>
      <c r="X496" s="255"/>
      <c r="Y496" s="552"/>
      <c r="Z496" s="255"/>
      <c r="AA496" s="553"/>
      <c r="AB496" s="553"/>
    </row>
    <row r="497" spans="1:28" ht="12.75">
      <c r="A497" s="547" t="s">
        <v>345</v>
      </c>
      <c r="B497" s="547" t="s">
        <v>152</v>
      </c>
      <c r="C497" s="548" t="s">
        <v>785</v>
      </c>
      <c r="D497" s="549">
        <v>2019</v>
      </c>
      <c r="E497" s="549" t="s">
        <v>775</v>
      </c>
      <c r="F497" s="550">
        <v>8</v>
      </c>
      <c r="G497" s="550">
        <v>0</v>
      </c>
      <c r="H497" s="550">
        <v>0</v>
      </c>
      <c r="I497" s="550">
        <v>0</v>
      </c>
      <c r="J497" s="550">
        <v>4</v>
      </c>
      <c r="K497" s="550">
        <v>0</v>
      </c>
      <c r="L497" s="550">
        <v>0</v>
      </c>
      <c r="M497" s="550">
        <v>0</v>
      </c>
      <c r="N497" s="550">
        <v>6</v>
      </c>
      <c r="O497" s="550">
        <v>9</v>
      </c>
      <c r="P497" s="550">
        <v>12</v>
      </c>
      <c r="Q497" s="550">
        <v>0</v>
      </c>
      <c r="R497" s="551" t="str">
        <f>A497</f>
        <v>SUSANVILLE</v>
      </c>
      <c r="S497" s="552">
        <f t="shared" ref="S497:S498" si="90">G497+K497</f>
        <v>0</v>
      </c>
      <c r="T497" s="255">
        <f t="shared" ref="T497:T498" si="91">F497+J497</f>
        <v>12</v>
      </c>
      <c r="U497" s="552">
        <f t="shared" ref="U497:U498" si="92">O497</f>
        <v>9</v>
      </c>
      <c r="V497" s="255">
        <f t="shared" ref="V497:V498" si="93">N497</f>
        <v>6</v>
      </c>
      <c r="W497" s="552">
        <f t="shared" ref="W497:W498" si="94">Q497</f>
        <v>0</v>
      </c>
      <c r="X497" s="255">
        <f t="shared" ref="X497:X498" si="95">P497</f>
        <v>12</v>
      </c>
      <c r="Y497" s="552">
        <f t="shared" ref="Y497:Y498" si="96">S497+U497+W497</f>
        <v>9</v>
      </c>
      <c r="Z497" s="255">
        <f t="shared" ref="Z497:Z498" si="97">F497+J497+N497+P497</f>
        <v>30</v>
      </c>
      <c r="AA497" s="553"/>
      <c r="AB497" s="553"/>
    </row>
    <row r="498" spans="1:28" ht="12.75">
      <c r="A498" s="547" t="s">
        <v>344</v>
      </c>
      <c r="B498" s="547" t="s">
        <v>152</v>
      </c>
      <c r="C498" s="548" t="s">
        <v>785</v>
      </c>
      <c r="D498" s="549">
        <v>2019</v>
      </c>
      <c r="E498" s="549" t="s">
        <v>775</v>
      </c>
      <c r="F498" s="550">
        <v>10</v>
      </c>
      <c r="G498" s="550">
        <v>0</v>
      </c>
      <c r="H498" s="550">
        <v>0</v>
      </c>
      <c r="I498" s="550">
        <v>0</v>
      </c>
      <c r="J498" s="550">
        <v>5</v>
      </c>
      <c r="K498" s="550">
        <v>0</v>
      </c>
      <c r="L498" s="550">
        <v>0</v>
      </c>
      <c r="M498" s="550">
        <v>0</v>
      </c>
      <c r="N498" s="550">
        <v>7</v>
      </c>
      <c r="O498" s="550">
        <v>0</v>
      </c>
      <c r="P498" s="550">
        <v>18</v>
      </c>
      <c r="Q498" s="550">
        <v>0</v>
      </c>
      <c r="R498" s="569" t="s">
        <v>344</v>
      </c>
      <c r="S498" s="556">
        <f t="shared" si="90"/>
        <v>0</v>
      </c>
      <c r="T498" s="561">
        <f t="shared" si="91"/>
        <v>15</v>
      </c>
      <c r="U498" s="556">
        <f t="shared" si="92"/>
        <v>0</v>
      </c>
      <c r="V498" s="561">
        <f t="shared" si="93"/>
        <v>7</v>
      </c>
      <c r="W498" s="556">
        <f t="shared" si="94"/>
        <v>0</v>
      </c>
      <c r="X498" s="561">
        <f t="shared" si="95"/>
        <v>18</v>
      </c>
      <c r="Y498" s="556">
        <f t="shared" si="96"/>
        <v>0</v>
      </c>
      <c r="Z498" s="561">
        <f t="shared" si="97"/>
        <v>40</v>
      </c>
      <c r="AA498" s="553"/>
      <c r="AB498" s="553"/>
    </row>
    <row r="499" spans="1:28" ht="12.75">
      <c r="A499" s="547"/>
      <c r="B499" s="547"/>
      <c r="C499" s="548"/>
      <c r="D499" s="549"/>
      <c r="E499" s="549"/>
      <c r="F499" s="550"/>
      <c r="G499" s="550"/>
      <c r="H499" s="550"/>
      <c r="I499" s="550"/>
      <c r="J499" s="550"/>
      <c r="K499" s="550"/>
      <c r="L499" s="550"/>
      <c r="M499" s="550"/>
      <c r="N499" s="550"/>
      <c r="O499" s="550"/>
      <c r="P499" s="550"/>
      <c r="Q499" s="550"/>
      <c r="R499" s="551"/>
      <c r="S499" s="563">
        <f t="shared" ref="S499:Z499" si="98">S497+S498</f>
        <v>0</v>
      </c>
      <c r="T499" s="563">
        <f t="shared" si="98"/>
        <v>27</v>
      </c>
      <c r="U499" s="563">
        <f t="shared" si="98"/>
        <v>9</v>
      </c>
      <c r="V499" s="563">
        <f t="shared" si="98"/>
        <v>13</v>
      </c>
      <c r="W499" s="563">
        <f t="shared" si="98"/>
        <v>0</v>
      </c>
      <c r="X499" s="563">
        <f t="shared" si="98"/>
        <v>30</v>
      </c>
      <c r="Y499" s="563">
        <f t="shared" si="98"/>
        <v>9</v>
      </c>
      <c r="Z499" s="563">
        <f t="shared" si="98"/>
        <v>70</v>
      </c>
      <c r="AA499" s="553"/>
      <c r="AB499" s="553"/>
    </row>
    <row r="500" spans="1:28" ht="12.75">
      <c r="A500" s="547"/>
      <c r="B500" s="547"/>
      <c r="C500" s="548"/>
      <c r="D500" s="549"/>
      <c r="E500" s="549"/>
      <c r="F500" s="550"/>
      <c r="G500" s="550"/>
      <c r="H500" s="550"/>
      <c r="I500" s="550"/>
      <c r="J500" s="550"/>
      <c r="K500" s="550"/>
      <c r="L500" s="550"/>
      <c r="M500" s="550"/>
      <c r="N500" s="550"/>
      <c r="O500" s="550"/>
      <c r="P500" s="550"/>
      <c r="Q500" s="550"/>
      <c r="R500" s="551"/>
      <c r="S500" s="552"/>
      <c r="T500" s="552"/>
      <c r="U500" s="552"/>
      <c r="V500" s="552"/>
      <c r="W500" s="552"/>
      <c r="X500" s="552"/>
      <c r="Y500" s="552"/>
      <c r="Z500" s="552"/>
      <c r="AA500" s="553"/>
      <c r="AB500" s="553"/>
    </row>
    <row r="501" spans="1:28" ht="12.75">
      <c r="A501" s="547" t="s">
        <v>346</v>
      </c>
      <c r="B501" s="547" t="s">
        <v>153</v>
      </c>
      <c r="C501" s="548" t="s">
        <v>812</v>
      </c>
      <c r="D501" s="549">
        <v>2014</v>
      </c>
      <c r="E501" s="549" t="s">
        <v>775</v>
      </c>
      <c r="F501" s="550">
        <v>31</v>
      </c>
      <c r="G501" s="550">
        <v>0</v>
      </c>
      <c r="H501" s="550">
        <v>0</v>
      </c>
      <c r="I501" s="550">
        <v>0</v>
      </c>
      <c r="J501" s="550">
        <v>19</v>
      </c>
      <c r="K501" s="550">
        <v>0</v>
      </c>
      <c r="L501" s="550">
        <v>0</v>
      </c>
      <c r="M501" s="550">
        <v>0</v>
      </c>
      <c r="N501" s="550">
        <v>20</v>
      </c>
      <c r="O501" s="550">
        <v>0</v>
      </c>
      <c r="P501" s="550">
        <v>45</v>
      </c>
      <c r="Q501" s="550">
        <v>17</v>
      </c>
      <c r="R501" s="551" t="str">
        <f t="shared" ref="R501:R560" si="99">A501</f>
        <v>AGOURA HILLS</v>
      </c>
      <c r="S501" s="552"/>
      <c r="T501" s="552"/>
      <c r="U501" s="552"/>
      <c r="V501" s="552"/>
      <c r="W501" s="552"/>
      <c r="X501" s="552"/>
      <c r="Y501" s="552"/>
      <c r="Z501" s="552"/>
      <c r="AA501" s="553"/>
      <c r="AB501" s="553"/>
    </row>
    <row r="502" spans="1:28" ht="12.75">
      <c r="A502" s="547" t="s">
        <v>346</v>
      </c>
      <c r="B502" s="547" t="s">
        <v>153</v>
      </c>
      <c r="C502" s="548" t="s">
        <v>812</v>
      </c>
      <c r="D502" s="549">
        <v>2015</v>
      </c>
      <c r="E502" s="549" t="s">
        <v>775</v>
      </c>
      <c r="F502" s="550">
        <v>31</v>
      </c>
      <c r="G502" s="550">
        <v>0</v>
      </c>
      <c r="H502" s="550">
        <v>0</v>
      </c>
      <c r="I502" s="550">
        <v>0</v>
      </c>
      <c r="J502" s="550">
        <v>19</v>
      </c>
      <c r="K502" s="550">
        <v>0</v>
      </c>
      <c r="L502" s="550">
        <v>0</v>
      </c>
      <c r="M502" s="550">
        <v>0</v>
      </c>
      <c r="N502" s="550">
        <v>20</v>
      </c>
      <c r="O502" s="550">
        <v>0</v>
      </c>
      <c r="P502" s="550">
        <v>45</v>
      </c>
      <c r="Q502" s="550">
        <v>15</v>
      </c>
      <c r="R502" s="551" t="str">
        <f t="shared" si="99"/>
        <v>AGOURA HILLS</v>
      </c>
      <c r="S502" s="552"/>
      <c r="T502" s="552"/>
      <c r="U502" s="552"/>
      <c r="V502" s="552"/>
      <c r="W502" s="552"/>
      <c r="X502" s="552"/>
      <c r="Y502" s="552"/>
      <c r="Z502" s="552"/>
      <c r="AA502" s="553"/>
      <c r="AB502" s="553"/>
    </row>
    <row r="503" spans="1:28" ht="12.75">
      <c r="A503" s="547" t="s">
        <v>346</v>
      </c>
      <c r="B503" s="547" t="s">
        <v>153</v>
      </c>
      <c r="C503" s="548" t="s">
        <v>812</v>
      </c>
      <c r="D503" s="549">
        <v>2016</v>
      </c>
      <c r="E503" s="549" t="s">
        <v>775</v>
      </c>
      <c r="F503" s="550">
        <v>31</v>
      </c>
      <c r="G503" s="550">
        <v>0</v>
      </c>
      <c r="H503" s="550">
        <v>0</v>
      </c>
      <c r="I503" s="550">
        <v>0</v>
      </c>
      <c r="J503" s="550">
        <v>19</v>
      </c>
      <c r="K503" s="550">
        <v>0</v>
      </c>
      <c r="L503" s="550">
        <v>0</v>
      </c>
      <c r="M503" s="550">
        <v>0</v>
      </c>
      <c r="N503" s="550">
        <v>20</v>
      </c>
      <c r="O503" s="550">
        <v>0</v>
      </c>
      <c r="P503" s="550">
        <v>45</v>
      </c>
      <c r="Q503" s="550">
        <v>2</v>
      </c>
      <c r="R503" s="551" t="str">
        <f t="shared" si="99"/>
        <v>AGOURA HILLS</v>
      </c>
      <c r="S503" s="552"/>
      <c r="T503" s="552"/>
      <c r="U503" s="552"/>
      <c r="V503" s="552"/>
      <c r="W503" s="552"/>
      <c r="X503" s="552"/>
      <c r="Y503" s="552"/>
      <c r="Z503" s="552"/>
      <c r="AA503" s="553"/>
      <c r="AB503" s="553"/>
    </row>
    <row r="504" spans="1:28" ht="12.75">
      <c r="A504" s="547" t="s">
        <v>346</v>
      </c>
      <c r="B504" s="547" t="s">
        <v>153</v>
      </c>
      <c r="C504" s="548" t="s">
        <v>812</v>
      </c>
      <c r="D504" s="549">
        <v>2017</v>
      </c>
      <c r="E504" s="549" t="s">
        <v>775</v>
      </c>
      <c r="F504" s="550">
        <v>31</v>
      </c>
      <c r="G504" s="550">
        <v>0</v>
      </c>
      <c r="H504" s="550">
        <v>0</v>
      </c>
      <c r="I504" s="550">
        <v>0</v>
      </c>
      <c r="J504" s="550">
        <v>19</v>
      </c>
      <c r="K504" s="550">
        <v>0</v>
      </c>
      <c r="L504" s="550">
        <v>0</v>
      </c>
      <c r="M504" s="550">
        <v>0</v>
      </c>
      <c r="N504" s="550">
        <v>20</v>
      </c>
      <c r="O504" s="550">
        <v>0</v>
      </c>
      <c r="P504" s="550">
        <v>45</v>
      </c>
      <c r="Q504" s="550">
        <v>7</v>
      </c>
      <c r="R504" s="551" t="str">
        <f t="shared" si="99"/>
        <v>AGOURA HILLS</v>
      </c>
      <c r="S504" s="552"/>
      <c r="T504" s="552"/>
      <c r="U504" s="552"/>
      <c r="V504" s="552"/>
      <c r="W504" s="552"/>
      <c r="X504" s="552"/>
      <c r="Y504" s="552"/>
      <c r="Z504" s="552"/>
      <c r="AA504" s="553"/>
      <c r="AB504" s="553"/>
    </row>
    <row r="505" spans="1:28" ht="12.75">
      <c r="A505" s="547" t="s">
        <v>346</v>
      </c>
      <c r="B505" s="547" t="s">
        <v>153</v>
      </c>
      <c r="C505" s="548" t="s">
        <v>812</v>
      </c>
      <c r="D505" s="549">
        <v>2018</v>
      </c>
      <c r="E505" s="549" t="s">
        <v>775</v>
      </c>
      <c r="F505" s="550">
        <v>31</v>
      </c>
      <c r="G505" s="550">
        <v>0</v>
      </c>
      <c r="H505" s="550">
        <v>0</v>
      </c>
      <c r="I505" s="550">
        <v>0</v>
      </c>
      <c r="J505" s="550">
        <v>19</v>
      </c>
      <c r="K505" s="550">
        <v>0</v>
      </c>
      <c r="L505" s="550">
        <v>0</v>
      </c>
      <c r="M505" s="550">
        <v>0</v>
      </c>
      <c r="N505" s="550">
        <v>20</v>
      </c>
      <c r="O505" s="550">
        <v>0</v>
      </c>
      <c r="P505" s="550">
        <v>45</v>
      </c>
      <c r="Q505" s="550">
        <v>4</v>
      </c>
      <c r="R505" s="551" t="str">
        <f t="shared" si="99"/>
        <v>AGOURA HILLS</v>
      </c>
      <c r="S505" s="552"/>
      <c r="T505" s="552"/>
      <c r="U505" s="552"/>
      <c r="V505" s="552"/>
      <c r="W505" s="552"/>
      <c r="X505" s="552"/>
      <c r="Y505" s="552"/>
      <c r="Z505" s="552"/>
      <c r="AA505" s="553"/>
      <c r="AB505" s="553"/>
    </row>
    <row r="506" spans="1:28" ht="12.75">
      <c r="A506" s="547" t="s">
        <v>346</v>
      </c>
      <c r="B506" s="547" t="s">
        <v>153</v>
      </c>
      <c r="C506" s="548" t="s">
        <v>813</v>
      </c>
      <c r="D506" s="549">
        <v>2019</v>
      </c>
      <c r="E506" s="549" t="s">
        <v>775</v>
      </c>
      <c r="F506" s="550">
        <v>31</v>
      </c>
      <c r="G506" s="550">
        <v>0</v>
      </c>
      <c r="H506" s="550">
        <v>0</v>
      </c>
      <c r="I506" s="550">
        <v>0</v>
      </c>
      <c r="J506" s="550">
        <v>19</v>
      </c>
      <c r="K506" s="550">
        <v>0</v>
      </c>
      <c r="L506" s="550">
        <v>0</v>
      </c>
      <c r="M506" s="550">
        <v>0</v>
      </c>
      <c r="N506" s="550">
        <v>20</v>
      </c>
      <c r="O506" s="550">
        <v>0</v>
      </c>
      <c r="P506" s="550">
        <v>45</v>
      </c>
      <c r="Q506" s="550">
        <v>8</v>
      </c>
      <c r="R506" s="551" t="str">
        <f t="shared" si="99"/>
        <v>AGOURA HILLS</v>
      </c>
      <c r="S506" s="552">
        <f>SUM(G501:G506) +SUM(K501:K506)</f>
        <v>0</v>
      </c>
      <c r="T506" s="552">
        <f>F506+J506</f>
        <v>50</v>
      </c>
      <c r="U506" s="552">
        <f>SUM(O501:O506)</f>
        <v>0</v>
      </c>
      <c r="V506" s="552">
        <f>N506</f>
        <v>20</v>
      </c>
      <c r="W506" s="554">
        <f>SUM(Q501:Q506)</f>
        <v>53</v>
      </c>
      <c r="X506" s="552">
        <f>P506</f>
        <v>45</v>
      </c>
      <c r="Y506" s="552">
        <f>S506+U506+SUM(Q501:Q506)</f>
        <v>53</v>
      </c>
      <c r="Z506" s="552">
        <f>F506+J506+N506+P506</f>
        <v>115</v>
      </c>
      <c r="AA506" s="553"/>
      <c r="AB506" s="553"/>
    </row>
    <row r="507" spans="1:28" ht="12.75">
      <c r="A507" s="547" t="s">
        <v>347</v>
      </c>
      <c r="B507" s="547" t="s">
        <v>153</v>
      </c>
      <c r="C507" s="548" t="s">
        <v>812</v>
      </c>
      <c r="D507" s="549">
        <v>2014</v>
      </c>
      <c r="E507" s="549" t="s">
        <v>775</v>
      </c>
      <c r="F507" s="550">
        <v>380</v>
      </c>
      <c r="G507" s="550">
        <v>0</v>
      </c>
      <c r="H507" s="550">
        <v>0</v>
      </c>
      <c r="I507" s="550">
        <v>0</v>
      </c>
      <c r="J507" s="550">
        <v>224</v>
      </c>
      <c r="K507" s="550">
        <v>0</v>
      </c>
      <c r="L507" s="550">
        <v>0</v>
      </c>
      <c r="M507" s="550">
        <v>0</v>
      </c>
      <c r="N507" s="550">
        <v>246</v>
      </c>
      <c r="O507" s="550">
        <v>3</v>
      </c>
      <c r="P507" s="550">
        <v>642</v>
      </c>
      <c r="Q507" s="550">
        <v>29</v>
      </c>
      <c r="R507" s="551" t="str">
        <f t="shared" si="99"/>
        <v>ALHAMBRA</v>
      </c>
      <c r="S507" s="552"/>
      <c r="T507" s="552"/>
      <c r="U507" s="552"/>
      <c r="V507" s="552"/>
      <c r="W507" s="552"/>
      <c r="X507" s="552"/>
      <c r="Y507" s="552"/>
      <c r="Z507" s="552"/>
      <c r="AA507" s="553"/>
      <c r="AB507" s="553"/>
    </row>
    <row r="508" spans="1:28" ht="12.75">
      <c r="A508" s="547" t="s">
        <v>347</v>
      </c>
      <c r="B508" s="547" t="s">
        <v>153</v>
      </c>
      <c r="C508" s="548" t="s">
        <v>812</v>
      </c>
      <c r="D508" s="549">
        <v>2015</v>
      </c>
      <c r="E508" s="549" t="s">
        <v>775</v>
      </c>
      <c r="F508" s="550">
        <v>380</v>
      </c>
      <c r="G508" s="550">
        <v>0</v>
      </c>
      <c r="H508" s="550">
        <v>0</v>
      </c>
      <c r="I508" s="550">
        <v>0</v>
      </c>
      <c r="J508" s="550">
        <v>224</v>
      </c>
      <c r="K508" s="550">
        <v>0</v>
      </c>
      <c r="L508" s="550">
        <v>0</v>
      </c>
      <c r="M508" s="550">
        <v>0</v>
      </c>
      <c r="N508" s="550">
        <v>246</v>
      </c>
      <c r="O508" s="550">
        <v>0</v>
      </c>
      <c r="P508" s="550">
        <v>642</v>
      </c>
      <c r="Q508" s="550">
        <v>0</v>
      </c>
      <c r="R508" s="551" t="str">
        <f t="shared" si="99"/>
        <v>ALHAMBRA</v>
      </c>
      <c r="S508" s="552"/>
      <c r="T508" s="552"/>
      <c r="U508" s="552"/>
      <c r="V508" s="552"/>
      <c r="W508" s="552"/>
      <c r="X508" s="552"/>
      <c r="Y508" s="552"/>
      <c r="Z508" s="552"/>
      <c r="AA508" s="553"/>
      <c r="AB508" s="553"/>
    </row>
    <row r="509" spans="1:28" ht="12.75">
      <c r="A509" s="547" t="s">
        <v>347</v>
      </c>
      <c r="B509" s="547" t="s">
        <v>153</v>
      </c>
      <c r="C509" s="548" t="s">
        <v>812</v>
      </c>
      <c r="D509" s="549">
        <v>2016</v>
      </c>
      <c r="E509" s="549" t="s">
        <v>775</v>
      </c>
      <c r="F509" s="550">
        <v>380</v>
      </c>
      <c r="G509" s="550">
        <v>0</v>
      </c>
      <c r="H509" s="550">
        <v>0</v>
      </c>
      <c r="I509" s="550">
        <v>0</v>
      </c>
      <c r="J509" s="550">
        <v>224</v>
      </c>
      <c r="K509" s="550">
        <v>0</v>
      </c>
      <c r="L509" s="550">
        <v>0</v>
      </c>
      <c r="M509" s="550">
        <v>0</v>
      </c>
      <c r="N509" s="550">
        <v>246</v>
      </c>
      <c r="O509" s="550">
        <v>0</v>
      </c>
      <c r="P509" s="550">
        <v>642</v>
      </c>
      <c r="Q509" s="550">
        <v>38</v>
      </c>
      <c r="R509" s="551" t="str">
        <f t="shared" si="99"/>
        <v>ALHAMBRA</v>
      </c>
      <c r="S509" s="552"/>
      <c r="T509" s="552"/>
      <c r="U509" s="552"/>
      <c r="V509" s="552"/>
      <c r="W509" s="552"/>
      <c r="X509" s="552"/>
      <c r="Y509" s="552"/>
      <c r="Z509" s="552"/>
      <c r="AA509" s="553"/>
      <c r="AB509" s="553"/>
    </row>
    <row r="510" spans="1:28" ht="12.75">
      <c r="A510" s="547" t="s">
        <v>347</v>
      </c>
      <c r="B510" s="547" t="s">
        <v>153</v>
      </c>
      <c r="C510" s="548" t="s">
        <v>812</v>
      </c>
      <c r="D510" s="549">
        <v>2017</v>
      </c>
      <c r="E510" s="549" t="s">
        <v>775</v>
      </c>
      <c r="F510" s="550">
        <v>380</v>
      </c>
      <c r="G510" s="550">
        <v>0</v>
      </c>
      <c r="H510" s="550">
        <v>0</v>
      </c>
      <c r="I510" s="550">
        <v>0</v>
      </c>
      <c r="J510" s="550">
        <v>224</v>
      </c>
      <c r="K510" s="550">
        <v>0</v>
      </c>
      <c r="L510" s="550">
        <v>0</v>
      </c>
      <c r="M510" s="550">
        <v>0</v>
      </c>
      <c r="N510" s="550">
        <v>246</v>
      </c>
      <c r="O510" s="550">
        <v>0</v>
      </c>
      <c r="P510" s="550">
        <v>642</v>
      </c>
      <c r="Q510" s="550">
        <v>74</v>
      </c>
      <c r="R510" s="551" t="str">
        <f t="shared" si="99"/>
        <v>ALHAMBRA</v>
      </c>
      <c r="S510" s="552"/>
      <c r="T510" s="552"/>
      <c r="U510" s="552"/>
      <c r="V510" s="552"/>
      <c r="W510" s="552"/>
      <c r="X510" s="552"/>
      <c r="Y510" s="552"/>
      <c r="Z510" s="552"/>
      <c r="AA510" s="553"/>
      <c r="AB510" s="553"/>
    </row>
    <row r="511" spans="1:28" ht="12.75">
      <c r="A511" s="547" t="s">
        <v>347</v>
      </c>
      <c r="B511" s="547" t="s">
        <v>153</v>
      </c>
      <c r="C511" s="548" t="s">
        <v>812</v>
      </c>
      <c r="D511" s="549">
        <v>2018</v>
      </c>
      <c r="E511" s="549" t="s">
        <v>775</v>
      </c>
      <c r="F511" s="550">
        <v>380</v>
      </c>
      <c r="G511" s="550">
        <v>0</v>
      </c>
      <c r="H511" s="550">
        <v>0</v>
      </c>
      <c r="I511" s="550">
        <v>0</v>
      </c>
      <c r="J511" s="550">
        <v>224</v>
      </c>
      <c r="K511" s="550">
        <v>2</v>
      </c>
      <c r="L511" s="550">
        <v>2</v>
      </c>
      <c r="M511" s="550">
        <v>0</v>
      </c>
      <c r="N511" s="550">
        <v>246</v>
      </c>
      <c r="O511" s="550">
        <v>0</v>
      </c>
      <c r="P511" s="550">
        <v>642</v>
      </c>
      <c r="Q511" s="550">
        <v>11</v>
      </c>
      <c r="R511" s="551" t="str">
        <f t="shared" si="99"/>
        <v>ALHAMBRA</v>
      </c>
      <c r="S511" s="552"/>
      <c r="T511" s="552"/>
      <c r="U511" s="552"/>
      <c r="V511" s="552"/>
      <c r="W511" s="552"/>
      <c r="X511" s="552"/>
      <c r="Y511" s="552"/>
      <c r="Z511" s="552"/>
      <c r="AA511" s="553"/>
      <c r="AB511" s="553"/>
    </row>
    <row r="512" spans="1:28" ht="12.75">
      <c r="A512" s="547" t="s">
        <v>347</v>
      </c>
      <c r="B512" s="547" t="s">
        <v>153</v>
      </c>
      <c r="C512" s="548" t="s">
        <v>813</v>
      </c>
      <c r="D512" s="549">
        <v>2019</v>
      </c>
      <c r="E512" s="549" t="s">
        <v>775</v>
      </c>
      <c r="F512" s="550">
        <v>380</v>
      </c>
      <c r="G512" s="550">
        <v>0</v>
      </c>
      <c r="H512" s="550">
        <v>0</v>
      </c>
      <c r="I512" s="550">
        <v>0</v>
      </c>
      <c r="J512" s="550">
        <v>224</v>
      </c>
      <c r="K512" s="550">
        <v>0</v>
      </c>
      <c r="L512" s="550">
        <v>0</v>
      </c>
      <c r="M512" s="550">
        <v>0</v>
      </c>
      <c r="N512" s="550">
        <v>246</v>
      </c>
      <c r="O512" s="550">
        <v>0</v>
      </c>
      <c r="P512" s="550">
        <v>642</v>
      </c>
      <c r="Q512" s="550">
        <v>127</v>
      </c>
      <c r="R512" s="551" t="str">
        <f t="shared" si="99"/>
        <v>ALHAMBRA</v>
      </c>
      <c r="S512" s="552">
        <f>SUM(G507:G512) +SUM(K507:K512)</f>
        <v>2</v>
      </c>
      <c r="T512" s="552">
        <f>F512+J512</f>
        <v>604</v>
      </c>
      <c r="U512" s="552">
        <f>SUM(O507:O512)</f>
        <v>3</v>
      </c>
      <c r="V512" s="552">
        <f>N512</f>
        <v>246</v>
      </c>
      <c r="W512" s="554">
        <f>SUM(Q507:Q512)</f>
        <v>279</v>
      </c>
      <c r="X512" s="552">
        <f>P512</f>
        <v>642</v>
      </c>
      <c r="Y512" s="552">
        <f>S512+U512+SUM(Q507:Q512)</f>
        <v>284</v>
      </c>
      <c r="Z512" s="552">
        <f>F512+J512+N512+P512</f>
        <v>1492</v>
      </c>
      <c r="AA512" s="553"/>
      <c r="AB512" s="553"/>
    </row>
    <row r="513" spans="1:28" ht="12.75">
      <c r="A513" s="547" t="s">
        <v>348</v>
      </c>
      <c r="B513" s="547" t="s">
        <v>153</v>
      </c>
      <c r="C513" s="548" t="s">
        <v>812</v>
      </c>
      <c r="D513" s="549">
        <v>2017</v>
      </c>
      <c r="E513" s="549" t="s">
        <v>775</v>
      </c>
      <c r="F513" s="550">
        <v>276</v>
      </c>
      <c r="G513" s="550">
        <v>0</v>
      </c>
      <c r="H513" s="550">
        <v>0</v>
      </c>
      <c r="I513" s="550">
        <v>0</v>
      </c>
      <c r="J513" s="550">
        <v>167</v>
      </c>
      <c r="K513" s="550">
        <v>0</v>
      </c>
      <c r="L513" s="550">
        <v>0</v>
      </c>
      <c r="M513" s="550">
        <v>0</v>
      </c>
      <c r="N513" s="550">
        <v>177</v>
      </c>
      <c r="O513" s="550">
        <v>38</v>
      </c>
      <c r="P513" s="550">
        <v>434</v>
      </c>
      <c r="Q513" s="550">
        <v>101</v>
      </c>
      <c r="R513" s="551" t="str">
        <f t="shared" si="99"/>
        <v>ARCADIA</v>
      </c>
      <c r="S513" s="552"/>
      <c r="T513" s="552"/>
      <c r="U513" s="552"/>
      <c r="V513" s="552"/>
      <c r="W513" s="552"/>
      <c r="X513" s="552"/>
      <c r="Y513" s="552"/>
      <c r="Z513" s="552"/>
      <c r="AA513" s="553"/>
      <c r="AB513" s="553"/>
    </row>
    <row r="514" spans="1:28" ht="12.75">
      <c r="A514" s="547" t="s">
        <v>348</v>
      </c>
      <c r="B514" s="547" t="s">
        <v>153</v>
      </c>
      <c r="C514" s="548" t="s">
        <v>812</v>
      </c>
      <c r="D514" s="549">
        <v>2018</v>
      </c>
      <c r="E514" s="549" t="s">
        <v>775</v>
      </c>
      <c r="F514" s="550">
        <v>276</v>
      </c>
      <c r="G514" s="550">
        <v>0</v>
      </c>
      <c r="H514" s="550">
        <v>0</v>
      </c>
      <c r="I514" s="550">
        <v>0</v>
      </c>
      <c r="J514" s="550">
        <v>167</v>
      </c>
      <c r="K514" s="550">
        <v>0</v>
      </c>
      <c r="L514" s="550">
        <v>0</v>
      </c>
      <c r="M514" s="550">
        <v>0</v>
      </c>
      <c r="N514" s="550">
        <v>177</v>
      </c>
      <c r="O514" s="550">
        <v>0</v>
      </c>
      <c r="P514" s="550">
        <v>434</v>
      </c>
      <c r="Q514" s="550">
        <v>69</v>
      </c>
      <c r="R514" s="551" t="str">
        <f t="shared" si="99"/>
        <v>ARCADIA</v>
      </c>
      <c r="S514" s="552"/>
      <c r="T514" s="552"/>
      <c r="U514" s="552"/>
      <c r="V514" s="552"/>
      <c r="W514" s="552"/>
      <c r="X514" s="552"/>
      <c r="Y514" s="552"/>
      <c r="Z514" s="552"/>
      <c r="AA514" s="553"/>
      <c r="AB514" s="553"/>
    </row>
    <row r="515" spans="1:28" ht="12.75">
      <c r="A515" s="547" t="s">
        <v>348</v>
      </c>
      <c r="B515" s="547" t="s">
        <v>153</v>
      </c>
      <c r="C515" s="548" t="s">
        <v>813</v>
      </c>
      <c r="D515" s="549">
        <v>2019</v>
      </c>
      <c r="E515" s="549" t="s">
        <v>775</v>
      </c>
      <c r="F515" s="550">
        <v>276</v>
      </c>
      <c r="G515" s="550">
        <v>0</v>
      </c>
      <c r="H515" s="550">
        <v>0</v>
      </c>
      <c r="I515" s="550">
        <v>0</v>
      </c>
      <c r="J515" s="550">
        <v>167</v>
      </c>
      <c r="K515" s="550">
        <v>0</v>
      </c>
      <c r="L515" s="550">
        <v>0</v>
      </c>
      <c r="M515" s="550">
        <v>0</v>
      </c>
      <c r="N515" s="550">
        <v>177</v>
      </c>
      <c r="O515" s="550">
        <v>0</v>
      </c>
      <c r="P515" s="550">
        <v>434</v>
      </c>
      <c r="Q515" s="550">
        <v>98</v>
      </c>
      <c r="R515" s="551" t="str">
        <f t="shared" si="99"/>
        <v>ARCADIA</v>
      </c>
      <c r="S515" s="255">
        <f>SUM(G513:G515) +SUM(K513:K515)</f>
        <v>0</v>
      </c>
      <c r="T515" s="255">
        <f>F515+J515</f>
        <v>443</v>
      </c>
      <c r="U515" s="255">
        <f>SUM(O513:O515)</f>
        <v>38</v>
      </c>
      <c r="V515" s="255">
        <f>N515</f>
        <v>177</v>
      </c>
      <c r="W515" s="83">
        <f>SUM(Q513:Q515)</f>
        <v>268</v>
      </c>
      <c r="X515" s="255">
        <f>P515</f>
        <v>434</v>
      </c>
      <c r="Y515" s="255">
        <f>S515+U515+SUM(Q513:Q515)</f>
        <v>306</v>
      </c>
      <c r="Z515" s="255">
        <f>F515+J515+N515+P515</f>
        <v>1054</v>
      </c>
      <c r="AA515" s="553"/>
      <c r="AB515" s="553"/>
    </row>
    <row r="516" spans="1:28" ht="12.75">
      <c r="A516" s="547" t="s">
        <v>349</v>
      </c>
      <c r="B516" s="547" t="s">
        <v>153</v>
      </c>
      <c r="C516" s="548" t="s">
        <v>812</v>
      </c>
      <c r="D516" s="549">
        <v>2014</v>
      </c>
      <c r="E516" s="549" t="s">
        <v>775</v>
      </c>
      <c r="F516" s="550">
        <v>31</v>
      </c>
      <c r="G516" s="550">
        <v>0</v>
      </c>
      <c r="H516" s="550">
        <v>0</v>
      </c>
      <c r="I516" s="550">
        <v>0</v>
      </c>
      <c r="J516" s="550">
        <v>18</v>
      </c>
      <c r="K516" s="550">
        <v>0</v>
      </c>
      <c r="L516" s="550">
        <v>0</v>
      </c>
      <c r="M516" s="550">
        <v>0</v>
      </c>
      <c r="N516" s="550">
        <v>20</v>
      </c>
      <c r="O516" s="550">
        <v>0</v>
      </c>
      <c r="P516" s="550">
        <v>51</v>
      </c>
      <c r="Q516" s="550">
        <v>17</v>
      </c>
      <c r="R516" s="551" t="str">
        <f t="shared" si="99"/>
        <v>ARTESIA</v>
      </c>
      <c r="S516" s="552"/>
      <c r="T516" s="552"/>
      <c r="U516" s="552"/>
      <c r="V516" s="552"/>
      <c r="W516" s="552"/>
      <c r="X516" s="552"/>
      <c r="Y516" s="552"/>
      <c r="Z516" s="552"/>
      <c r="AA516" s="553"/>
      <c r="AB516" s="553"/>
    </row>
    <row r="517" spans="1:28" ht="12.75">
      <c r="A517" s="547" t="s">
        <v>349</v>
      </c>
      <c r="B517" s="547" t="s">
        <v>153</v>
      </c>
      <c r="C517" s="548" t="s">
        <v>812</v>
      </c>
      <c r="D517" s="549">
        <v>2015</v>
      </c>
      <c r="E517" s="549" t="s">
        <v>775</v>
      </c>
      <c r="F517" s="550">
        <v>31</v>
      </c>
      <c r="G517" s="550">
        <v>0</v>
      </c>
      <c r="H517" s="550">
        <v>0</v>
      </c>
      <c r="I517" s="550">
        <v>0</v>
      </c>
      <c r="J517" s="550">
        <v>18</v>
      </c>
      <c r="K517" s="550">
        <v>0</v>
      </c>
      <c r="L517" s="550">
        <v>0</v>
      </c>
      <c r="M517" s="550">
        <v>0</v>
      </c>
      <c r="N517" s="550">
        <v>20</v>
      </c>
      <c r="O517" s="550">
        <v>0</v>
      </c>
      <c r="P517" s="550">
        <v>51</v>
      </c>
      <c r="Q517" s="550">
        <v>8</v>
      </c>
      <c r="R517" s="551" t="str">
        <f t="shared" si="99"/>
        <v>ARTESIA</v>
      </c>
      <c r="S517" s="552"/>
      <c r="T517" s="552"/>
      <c r="U517" s="552"/>
      <c r="V517" s="552"/>
      <c r="W517" s="552"/>
      <c r="X517" s="552"/>
      <c r="Y517" s="552"/>
      <c r="Z517" s="552"/>
      <c r="AA517" s="553"/>
      <c r="AB517" s="553"/>
    </row>
    <row r="518" spans="1:28" ht="12.75">
      <c r="A518" s="547" t="s">
        <v>349</v>
      </c>
      <c r="B518" s="547" t="s">
        <v>153</v>
      </c>
      <c r="C518" s="548" t="s">
        <v>812</v>
      </c>
      <c r="D518" s="549">
        <v>2016</v>
      </c>
      <c r="E518" s="549" t="s">
        <v>775</v>
      </c>
      <c r="F518" s="550">
        <v>31</v>
      </c>
      <c r="G518" s="550">
        <v>0</v>
      </c>
      <c r="H518" s="550">
        <v>0</v>
      </c>
      <c r="I518" s="550">
        <v>0</v>
      </c>
      <c r="J518" s="550">
        <v>18</v>
      </c>
      <c r="K518" s="550">
        <v>0</v>
      </c>
      <c r="L518" s="550">
        <v>0</v>
      </c>
      <c r="M518" s="550">
        <v>0</v>
      </c>
      <c r="N518" s="550">
        <v>20</v>
      </c>
      <c r="O518" s="550">
        <v>0</v>
      </c>
      <c r="P518" s="550">
        <v>51</v>
      </c>
      <c r="Q518" s="550">
        <v>22</v>
      </c>
      <c r="R518" s="551" t="str">
        <f t="shared" si="99"/>
        <v>ARTESIA</v>
      </c>
      <c r="S518" s="552"/>
      <c r="T518" s="552"/>
      <c r="U518" s="552"/>
      <c r="V518" s="552"/>
      <c r="W518" s="552"/>
      <c r="X518" s="552"/>
      <c r="Y518" s="552"/>
      <c r="Z518" s="552"/>
      <c r="AA518" s="553"/>
      <c r="AB518" s="553"/>
    </row>
    <row r="519" spans="1:28" ht="12.75">
      <c r="A519" s="547" t="s">
        <v>349</v>
      </c>
      <c r="B519" s="547" t="s">
        <v>153</v>
      </c>
      <c r="C519" s="548" t="s">
        <v>812</v>
      </c>
      <c r="D519" s="549">
        <v>2017</v>
      </c>
      <c r="E519" s="549" t="s">
        <v>775</v>
      </c>
      <c r="F519" s="550">
        <v>31</v>
      </c>
      <c r="G519" s="550">
        <v>0</v>
      </c>
      <c r="H519" s="550">
        <v>0</v>
      </c>
      <c r="I519" s="550">
        <v>0</v>
      </c>
      <c r="J519" s="550">
        <v>18</v>
      </c>
      <c r="K519" s="550">
        <v>0</v>
      </c>
      <c r="L519" s="550">
        <v>0</v>
      </c>
      <c r="M519" s="550">
        <v>0</v>
      </c>
      <c r="N519" s="550">
        <v>20</v>
      </c>
      <c r="O519" s="550">
        <v>0</v>
      </c>
      <c r="P519" s="550">
        <v>51</v>
      </c>
      <c r="Q519" s="550">
        <v>8</v>
      </c>
      <c r="R519" s="551" t="str">
        <f t="shared" si="99"/>
        <v>ARTESIA</v>
      </c>
      <c r="S519" s="552"/>
      <c r="T519" s="552"/>
      <c r="U519" s="552"/>
      <c r="V519" s="552"/>
      <c r="W519" s="552"/>
      <c r="X519" s="552"/>
      <c r="Y519" s="552"/>
      <c r="Z519" s="552"/>
      <c r="AA519" s="553"/>
      <c r="AB519" s="553"/>
    </row>
    <row r="520" spans="1:28" ht="12.75">
      <c r="A520" s="547" t="s">
        <v>349</v>
      </c>
      <c r="B520" s="547" t="s">
        <v>153</v>
      </c>
      <c r="C520" s="548" t="s">
        <v>812</v>
      </c>
      <c r="D520" s="549">
        <v>2018</v>
      </c>
      <c r="E520" s="549" t="s">
        <v>775</v>
      </c>
      <c r="F520" s="550">
        <v>31</v>
      </c>
      <c r="G520" s="550">
        <v>0</v>
      </c>
      <c r="H520" s="550">
        <v>0</v>
      </c>
      <c r="I520" s="550">
        <v>0</v>
      </c>
      <c r="J520" s="550">
        <v>18</v>
      </c>
      <c r="K520" s="550">
        <v>0</v>
      </c>
      <c r="L520" s="550">
        <v>0</v>
      </c>
      <c r="M520" s="550">
        <v>0</v>
      </c>
      <c r="N520" s="550">
        <v>20</v>
      </c>
      <c r="O520" s="550">
        <v>0</v>
      </c>
      <c r="P520" s="550">
        <v>51</v>
      </c>
      <c r="Q520" s="550">
        <v>7</v>
      </c>
      <c r="R520" s="551" t="str">
        <f t="shared" si="99"/>
        <v>ARTESIA</v>
      </c>
      <c r="S520" s="552"/>
      <c r="T520" s="552"/>
      <c r="U520" s="552"/>
      <c r="V520" s="552"/>
      <c r="W520" s="552"/>
      <c r="X520" s="552"/>
      <c r="Y520" s="552"/>
      <c r="Z520" s="552"/>
      <c r="AA520" s="553"/>
      <c r="AB520" s="553"/>
    </row>
    <row r="521" spans="1:28" ht="12.75">
      <c r="A521" s="547" t="s">
        <v>349</v>
      </c>
      <c r="B521" s="547" t="s">
        <v>153</v>
      </c>
      <c r="C521" s="548" t="s">
        <v>813</v>
      </c>
      <c r="D521" s="549">
        <v>2019</v>
      </c>
      <c r="E521" s="549" t="s">
        <v>775</v>
      </c>
      <c r="F521" s="550">
        <v>31</v>
      </c>
      <c r="G521" s="550">
        <v>0</v>
      </c>
      <c r="H521" s="550">
        <v>0</v>
      </c>
      <c r="I521" s="550">
        <v>0</v>
      </c>
      <c r="J521" s="550">
        <v>18</v>
      </c>
      <c r="K521" s="550">
        <v>0</v>
      </c>
      <c r="L521" s="550">
        <v>0</v>
      </c>
      <c r="M521" s="550">
        <v>0</v>
      </c>
      <c r="N521" s="550">
        <v>20</v>
      </c>
      <c r="O521" s="550">
        <v>0</v>
      </c>
      <c r="P521" s="550">
        <v>51</v>
      </c>
      <c r="Q521" s="550">
        <v>9</v>
      </c>
      <c r="R521" s="551" t="str">
        <f t="shared" si="99"/>
        <v>ARTESIA</v>
      </c>
      <c r="S521" s="255">
        <f>SUM(G516:G521) +SUM(K516:K521)</f>
        <v>0</v>
      </c>
      <c r="T521" s="255">
        <f>F521+J521</f>
        <v>49</v>
      </c>
      <c r="U521" s="255">
        <f>SUM(O516:O521)</f>
        <v>0</v>
      </c>
      <c r="V521" s="255">
        <f>N521</f>
        <v>20</v>
      </c>
      <c r="W521" s="83">
        <f>SUM(Q516:Q521)</f>
        <v>71</v>
      </c>
      <c r="X521" s="255">
        <f>P521</f>
        <v>51</v>
      </c>
      <c r="Y521" s="255">
        <f>S521+U521+SUM(Q516:Q521)</f>
        <v>71</v>
      </c>
      <c r="Z521" s="255">
        <f>F521+J521+N521+P521</f>
        <v>120</v>
      </c>
      <c r="AA521" s="553"/>
      <c r="AB521" s="553"/>
    </row>
    <row r="522" spans="1:28" ht="12.75">
      <c r="A522" s="547" t="s">
        <v>350</v>
      </c>
      <c r="B522" s="547" t="s">
        <v>153</v>
      </c>
      <c r="C522" s="548" t="s">
        <v>812</v>
      </c>
      <c r="D522" s="549">
        <v>2014</v>
      </c>
      <c r="E522" s="549" t="s">
        <v>775</v>
      </c>
      <c r="F522" s="550">
        <v>20</v>
      </c>
      <c r="G522" s="550">
        <v>0</v>
      </c>
      <c r="H522" s="550">
        <v>0</v>
      </c>
      <c r="I522" s="550">
        <v>0</v>
      </c>
      <c r="J522" s="550">
        <v>12</v>
      </c>
      <c r="K522" s="550">
        <v>0</v>
      </c>
      <c r="L522" s="550">
        <v>0</v>
      </c>
      <c r="M522" s="550">
        <v>0</v>
      </c>
      <c r="N522" s="550">
        <v>14</v>
      </c>
      <c r="O522" s="550">
        <v>0</v>
      </c>
      <c r="P522" s="550">
        <v>34</v>
      </c>
      <c r="Q522" s="550">
        <v>2</v>
      </c>
      <c r="R522" s="551" t="str">
        <f t="shared" si="99"/>
        <v>AVALON</v>
      </c>
      <c r="S522" s="552"/>
      <c r="T522" s="552"/>
      <c r="U522" s="552"/>
      <c r="V522" s="552"/>
      <c r="W522" s="552"/>
      <c r="X522" s="552"/>
      <c r="Y522" s="552"/>
      <c r="Z522" s="552"/>
      <c r="AA522" s="553"/>
      <c r="AB522" s="553"/>
    </row>
    <row r="523" spans="1:28" ht="12.75">
      <c r="A523" s="547" t="s">
        <v>350</v>
      </c>
      <c r="B523" s="547" t="s">
        <v>153</v>
      </c>
      <c r="C523" s="548" t="s">
        <v>812</v>
      </c>
      <c r="D523" s="549">
        <v>2015</v>
      </c>
      <c r="E523" s="549" t="s">
        <v>775</v>
      </c>
      <c r="F523" s="550">
        <v>20</v>
      </c>
      <c r="G523" s="550">
        <v>0</v>
      </c>
      <c r="H523" s="550">
        <v>0</v>
      </c>
      <c r="I523" s="550">
        <v>0</v>
      </c>
      <c r="J523" s="550">
        <v>12</v>
      </c>
      <c r="K523" s="550">
        <v>0</v>
      </c>
      <c r="L523" s="550">
        <v>0</v>
      </c>
      <c r="M523" s="550">
        <v>0</v>
      </c>
      <c r="N523" s="550">
        <v>14</v>
      </c>
      <c r="O523" s="550">
        <v>0</v>
      </c>
      <c r="P523" s="550">
        <v>34</v>
      </c>
      <c r="Q523" s="550">
        <v>1</v>
      </c>
      <c r="R523" s="551" t="str">
        <f t="shared" si="99"/>
        <v>AVALON</v>
      </c>
      <c r="S523" s="552"/>
      <c r="T523" s="552"/>
      <c r="U523" s="552"/>
      <c r="V523" s="552"/>
      <c r="W523" s="552"/>
      <c r="X523" s="552"/>
      <c r="Y523" s="552"/>
      <c r="Z523" s="552"/>
      <c r="AA523" s="553"/>
      <c r="AB523" s="553"/>
    </row>
    <row r="524" spans="1:28" ht="12.75">
      <c r="A524" s="547" t="s">
        <v>350</v>
      </c>
      <c r="B524" s="547" t="s">
        <v>153</v>
      </c>
      <c r="C524" s="548" t="s">
        <v>812</v>
      </c>
      <c r="D524" s="549">
        <v>2016</v>
      </c>
      <c r="E524" s="549" t="s">
        <v>775</v>
      </c>
      <c r="F524" s="550">
        <v>20</v>
      </c>
      <c r="G524" s="550">
        <v>0</v>
      </c>
      <c r="H524" s="550">
        <v>0</v>
      </c>
      <c r="I524" s="550">
        <v>0</v>
      </c>
      <c r="J524" s="550">
        <v>12</v>
      </c>
      <c r="K524" s="550">
        <v>0</v>
      </c>
      <c r="L524" s="550">
        <v>0</v>
      </c>
      <c r="M524" s="550">
        <v>0</v>
      </c>
      <c r="N524" s="550">
        <v>14</v>
      </c>
      <c r="O524" s="550">
        <v>0</v>
      </c>
      <c r="P524" s="550">
        <v>34</v>
      </c>
      <c r="Q524" s="550">
        <v>0</v>
      </c>
      <c r="R524" s="551" t="str">
        <f t="shared" si="99"/>
        <v>AVALON</v>
      </c>
      <c r="S524" s="552"/>
      <c r="T524" s="552"/>
      <c r="U524" s="552"/>
      <c r="V524" s="552"/>
      <c r="W524" s="552"/>
      <c r="X524" s="552"/>
      <c r="Y524" s="552"/>
      <c r="Z524" s="552"/>
      <c r="AA524" s="553"/>
      <c r="AB524" s="553"/>
    </row>
    <row r="525" spans="1:28" ht="12.75">
      <c r="A525" s="547" t="s">
        <v>350</v>
      </c>
      <c r="B525" s="547" t="s">
        <v>153</v>
      </c>
      <c r="C525" s="548" t="s">
        <v>812</v>
      </c>
      <c r="D525" s="549">
        <v>2017</v>
      </c>
      <c r="E525" s="549" t="s">
        <v>775</v>
      </c>
      <c r="F525" s="550">
        <v>20</v>
      </c>
      <c r="G525" s="550">
        <v>0</v>
      </c>
      <c r="H525" s="550">
        <v>0</v>
      </c>
      <c r="I525" s="550">
        <v>0</v>
      </c>
      <c r="J525" s="550">
        <v>12</v>
      </c>
      <c r="K525" s="550">
        <v>0</v>
      </c>
      <c r="L525" s="550">
        <v>0</v>
      </c>
      <c r="M525" s="550">
        <v>0</v>
      </c>
      <c r="N525" s="550">
        <v>14</v>
      </c>
      <c r="O525" s="550">
        <v>0</v>
      </c>
      <c r="P525" s="550">
        <v>34</v>
      </c>
      <c r="Q525" s="550">
        <v>1</v>
      </c>
      <c r="R525" s="551" t="str">
        <f t="shared" si="99"/>
        <v>AVALON</v>
      </c>
      <c r="S525" s="552"/>
      <c r="T525" s="552"/>
      <c r="U525" s="552"/>
      <c r="V525" s="552"/>
      <c r="W525" s="552"/>
      <c r="X525" s="552"/>
      <c r="Y525" s="552"/>
      <c r="Z525" s="552"/>
      <c r="AA525" s="553"/>
      <c r="AB525" s="553"/>
    </row>
    <row r="526" spans="1:28" ht="12.75">
      <c r="A526" s="547" t="s">
        <v>350</v>
      </c>
      <c r="B526" s="547" t="s">
        <v>153</v>
      </c>
      <c r="C526" s="548" t="s">
        <v>812</v>
      </c>
      <c r="D526" s="549">
        <v>2018</v>
      </c>
      <c r="E526" s="549" t="s">
        <v>775</v>
      </c>
      <c r="F526" s="550">
        <v>20</v>
      </c>
      <c r="G526" s="564"/>
      <c r="H526" s="564"/>
      <c r="I526" s="564"/>
      <c r="J526" s="550">
        <v>12</v>
      </c>
      <c r="K526" s="564"/>
      <c r="L526" s="564"/>
      <c r="M526" s="564"/>
      <c r="N526" s="550">
        <v>14</v>
      </c>
      <c r="O526" s="564"/>
      <c r="P526" s="550">
        <v>34</v>
      </c>
      <c r="Q526" s="564"/>
      <c r="R526" s="551" t="str">
        <f t="shared" si="99"/>
        <v>AVALON</v>
      </c>
      <c r="S526" s="552"/>
      <c r="T526" s="552"/>
      <c r="U526" s="552"/>
      <c r="V526" s="552"/>
      <c r="W526" s="552"/>
      <c r="X526" s="552"/>
      <c r="Y526" s="552"/>
      <c r="Z526" s="552"/>
      <c r="AA526" s="553"/>
      <c r="AB526" s="553"/>
    </row>
    <row r="527" spans="1:28" ht="12.75">
      <c r="A527" s="547" t="s">
        <v>350</v>
      </c>
      <c r="B527" s="547" t="s">
        <v>153</v>
      </c>
      <c r="C527" s="548" t="s">
        <v>813</v>
      </c>
      <c r="D527" s="549">
        <v>2019</v>
      </c>
      <c r="E527" s="549" t="s">
        <v>775</v>
      </c>
      <c r="F527" s="550">
        <v>20</v>
      </c>
      <c r="G527" s="550">
        <v>0</v>
      </c>
      <c r="H527" s="550">
        <v>0</v>
      </c>
      <c r="I527" s="550">
        <v>0</v>
      </c>
      <c r="J527" s="550">
        <v>12</v>
      </c>
      <c r="K527" s="550">
        <v>0</v>
      </c>
      <c r="L527" s="550">
        <v>0</v>
      </c>
      <c r="M527" s="550">
        <v>0</v>
      </c>
      <c r="N527" s="550">
        <v>14</v>
      </c>
      <c r="O527" s="550">
        <v>0</v>
      </c>
      <c r="P527" s="550">
        <v>34</v>
      </c>
      <c r="Q527" s="550">
        <v>0</v>
      </c>
      <c r="R527" s="551" t="str">
        <f t="shared" si="99"/>
        <v>AVALON</v>
      </c>
      <c r="S527" s="552">
        <f>SUM(G522:G527) +SUM(K522:K527)</f>
        <v>0</v>
      </c>
      <c r="T527" s="552">
        <f>F527+J527</f>
        <v>32</v>
      </c>
      <c r="U527" s="552">
        <f>SUM(O522:O527)</f>
        <v>0</v>
      </c>
      <c r="V527" s="552">
        <f>N527</f>
        <v>14</v>
      </c>
      <c r="W527" s="554">
        <f>SUM(Q522:Q527)</f>
        <v>4</v>
      </c>
      <c r="X527" s="552">
        <f>P527</f>
        <v>34</v>
      </c>
      <c r="Y527" s="552">
        <f>S527+U527+SUM(Q522:Q527)</f>
        <v>4</v>
      </c>
      <c r="Z527" s="552">
        <f>F527+J527+N527+P527</f>
        <v>80</v>
      </c>
      <c r="AA527" s="553"/>
      <c r="AB527" s="553"/>
    </row>
    <row r="528" spans="1:28" ht="12.75">
      <c r="A528" s="547" t="s">
        <v>351</v>
      </c>
      <c r="B528" s="547" t="s">
        <v>153</v>
      </c>
      <c r="C528" s="548" t="s">
        <v>812</v>
      </c>
      <c r="D528" s="549">
        <v>2014</v>
      </c>
      <c r="E528" s="549" t="s">
        <v>775</v>
      </c>
      <c r="F528" s="550">
        <v>198</v>
      </c>
      <c r="G528" s="550">
        <v>0</v>
      </c>
      <c r="H528" s="550">
        <v>0</v>
      </c>
      <c r="I528" s="550">
        <v>0</v>
      </c>
      <c r="J528" s="550">
        <v>118</v>
      </c>
      <c r="K528" s="550">
        <v>0</v>
      </c>
      <c r="L528" s="550">
        <v>0</v>
      </c>
      <c r="M528" s="550">
        <v>0</v>
      </c>
      <c r="N528" s="550">
        <v>127</v>
      </c>
      <c r="O528" s="550">
        <v>298</v>
      </c>
      <c r="P528" s="550">
        <v>336</v>
      </c>
      <c r="Q528" s="550">
        <v>0</v>
      </c>
      <c r="R528" s="551" t="str">
        <f t="shared" si="99"/>
        <v>AZUSA</v>
      </c>
      <c r="S528" s="552"/>
      <c r="T528" s="552"/>
      <c r="U528" s="552"/>
      <c r="V528" s="552"/>
      <c r="W528" s="552"/>
      <c r="X528" s="552"/>
      <c r="Y528" s="552"/>
      <c r="Z528" s="552"/>
      <c r="AA528" s="553"/>
      <c r="AB528" s="553"/>
    </row>
    <row r="529" spans="1:28" ht="12.75">
      <c r="A529" s="547" t="s">
        <v>351</v>
      </c>
      <c r="B529" s="547" t="s">
        <v>153</v>
      </c>
      <c r="C529" s="548" t="s">
        <v>812</v>
      </c>
      <c r="D529" s="549">
        <v>2015</v>
      </c>
      <c r="E529" s="549" t="s">
        <v>775</v>
      </c>
      <c r="F529" s="550">
        <v>198</v>
      </c>
      <c r="G529" s="550">
        <v>0</v>
      </c>
      <c r="H529" s="550">
        <v>0</v>
      </c>
      <c r="I529" s="550">
        <v>0</v>
      </c>
      <c r="J529" s="550">
        <v>118</v>
      </c>
      <c r="K529" s="550">
        <v>0</v>
      </c>
      <c r="L529" s="550">
        <v>0</v>
      </c>
      <c r="M529" s="550">
        <v>0</v>
      </c>
      <c r="N529" s="550">
        <v>127</v>
      </c>
      <c r="O529" s="550">
        <v>112</v>
      </c>
      <c r="P529" s="550">
        <v>336</v>
      </c>
      <c r="Q529" s="550">
        <v>0</v>
      </c>
      <c r="R529" s="551" t="str">
        <f t="shared" si="99"/>
        <v>AZUSA</v>
      </c>
      <c r="S529" s="552"/>
      <c r="T529" s="552"/>
      <c r="U529" s="552"/>
      <c r="V529" s="552"/>
      <c r="W529" s="552"/>
      <c r="X529" s="552"/>
      <c r="Y529" s="552"/>
      <c r="Z529" s="552"/>
      <c r="AA529" s="553"/>
      <c r="AB529" s="553"/>
    </row>
    <row r="530" spans="1:28" ht="12.75">
      <c r="A530" s="547" t="s">
        <v>351</v>
      </c>
      <c r="B530" s="547" t="s">
        <v>153</v>
      </c>
      <c r="C530" s="548" t="s">
        <v>812</v>
      </c>
      <c r="D530" s="549">
        <v>2016</v>
      </c>
      <c r="E530" s="549" t="s">
        <v>775</v>
      </c>
      <c r="F530" s="550">
        <v>198</v>
      </c>
      <c r="G530" s="550">
        <v>0</v>
      </c>
      <c r="H530" s="550">
        <v>0</v>
      </c>
      <c r="I530" s="550">
        <v>0</v>
      </c>
      <c r="J530" s="550">
        <v>118</v>
      </c>
      <c r="K530" s="550">
        <v>0</v>
      </c>
      <c r="L530" s="550">
        <v>0</v>
      </c>
      <c r="M530" s="550">
        <v>0</v>
      </c>
      <c r="N530" s="550">
        <v>127</v>
      </c>
      <c r="O530" s="550">
        <v>110</v>
      </c>
      <c r="P530" s="550">
        <v>336</v>
      </c>
      <c r="Q530" s="550">
        <v>0</v>
      </c>
      <c r="R530" s="551" t="str">
        <f t="shared" si="99"/>
        <v>AZUSA</v>
      </c>
      <c r="S530" s="552"/>
      <c r="T530" s="552"/>
      <c r="U530" s="552"/>
      <c r="V530" s="552"/>
      <c r="W530" s="552"/>
      <c r="X530" s="552"/>
      <c r="Y530" s="552"/>
      <c r="Z530" s="552"/>
      <c r="AA530" s="553"/>
      <c r="AB530" s="553"/>
    </row>
    <row r="531" spans="1:28" ht="12.75">
      <c r="A531" s="547" t="s">
        <v>351</v>
      </c>
      <c r="B531" s="547" t="s">
        <v>153</v>
      </c>
      <c r="C531" s="548" t="s">
        <v>812</v>
      </c>
      <c r="D531" s="549">
        <v>2017</v>
      </c>
      <c r="E531" s="549" t="s">
        <v>775</v>
      </c>
      <c r="F531" s="550">
        <v>198</v>
      </c>
      <c r="G531" s="550">
        <v>0</v>
      </c>
      <c r="H531" s="550">
        <v>0</v>
      </c>
      <c r="I531" s="550">
        <v>0</v>
      </c>
      <c r="J531" s="550">
        <v>118</v>
      </c>
      <c r="K531" s="550">
        <v>0</v>
      </c>
      <c r="L531" s="550">
        <v>0</v>
      </c>
      <c r="M531" s="550">
        <v>0</v>
      </c>
      <c r="N531" s="550">
        <v>127</v>
      </c>
      <c r="O531" s="550">
        <v>158</v>
      </c>
      <c r="P531" s="550">
        <v>336</v>
      </c>
      <c r="Q531" s="550">
        <v>0</v>
      </c>
      <c r="R531" s="551" t="str">
        <f t="shared" si="99"/>
        <v>AZUSA</v>
      </c>
      <c r="S531" s="552"/>
      <c r="T531" s="552"/>
      <c r="U531" s="552"/>
      <c r="V531" s="552"/>
      <c r="W531" s="552"/>
      <c r="X531" s="552"/>
      <c r="Y531" s="552"/>
      <c r="Z531" s="552"/>
      <c r="AA531" s="553"/>
      <c r="AB531" s="553"/>
    </row>
    <row r="532" spans="1:28" ht="12.75">
      <c r="A532" s="547" t="s">
        <v>351</v>
      </c>
      <c r="B532" s="547" t="s">
        <v>153</v>
      </c>
      <c r="C532" s="548" t="s">
        <v>812</v>
      </c>
      <c r="D532" s="549">
        <v>2018</v>
      </c>
      <c r="E532" s="549" t="s">
        <v>775</v>
      </c>
      <c r="F532" s="550">
        <v>198</v>
      </c>
      <c r="G532" s="550">
        <v>0</v>
      </c>
      <c r="H532" s="550">
        <v>0</v>
      </c>
      <c r="I532" s="550">
        <v>0</v>
      </c>
      <c r="J532" s="550">
        <v>118</v>
      </c>
      <c r="K532" s="550">
        <v>6</v>
      </c>
      <c r="L532" s="550">
        <v>6</v>
      </c>
      <c r="M532" s="550">
        <v>0</v>
      </c>
      <c r="N532" s="550">
        <v>127</v>
      </c>
      <c r="O532" s="550">
        <v>183</v>
      </c>
      <c r="P532" s="550">
        <v>336</v>
      </c>
      <c r="Q532" s="550">
        <v>0</v>
      </c>
      <c r="R532" s="551" t="str">
        <f t="shared" si="99"/>
        <v>AZUSA</v>
      </c>
      <c r="S532" s="552"/>
      <c r="T532" s="552"/>
      <c r="U532" s="552"/>
      <c r="V532" s="552"/>
      <c r="W532" s="552"/>
      <c r="X532" s="552"/>
      <c r="Y532" s="552"/>
      <c r="Z532" s="552"/>
      <c r="AA532" s="553"/>
      <c r="AB532" s="553"/>
    </row>
    <row r="533" spans="1:28" ht="12.75">
      <c r="A533" s="547" t="s">
        <v>351</v>
      </c>
      <c r="B533" s="547" t="s">
        <v>153</v>
      </c>
      <c r="C533" s="548" t="s">
        <v>813</v>
      </c>
      <c r="D533" s="549">
        <v>2019</v>
      </c>
      <c r="E533" s="549" t="s">
        <v>775</v>
      </c>
      <c r="F533" s="550">
        <v>198</v>
      </c>
      <c r="G533" s="550">
        <v>0</v>
      </c>
      <c r="H533" s="550">
        <v>0</v>
      </c>
      <c r="I533" s="550">
        <v>0</v>
      </c>
      <c r="J533" s="550">
        <v>118</v>
      </c>
      <c r="K533" s="550">
        <v>0</v>
      </c>
      <c r="L533" s="550">
        <v>0</v>
      </c>
      <c r="M533" s="550">
        <v>0</v>
      </c>
      <c r="N533" s="550">
        <v>127</v>
      </c>
      <c r="O533" s="550">
        <v>0</v>
      </c>
      <c r="P533" s="550">
        <v>336</v>
      </c>
      <c r="Q533" s="550">
        <v>179</v>
      </c>
      <c r="R533" s="551" t="str">
        <f t="shared" si="99"/>
        <v>AZUSA</v>
      </c>
      <c r="S533" s="552">
        <f>SUM(G528:G533) +SUM(K528:K533)</f>
        <v>6</v>
      </c>
      <c r="T533" s="552">
        <f>F533+J533</f>
        <v>316</v>
      </c>
      <c r="U533" s="552">
        <f>SUM(O528:O533)</f>
        <v>861</v>
      </c>
      <c r="V533" s="552">
        <f>N533</f>
        <v>127</v>
      </c>
      <c r="W533" s="554">
        <f>SUM(Q528:Q533)</f>
        <v>179</v>
      </c>
      <c r="X533" s="552">
        <f>P533</f>
        <v>336</v>
      </c>
      <c r="Y533" s="552">
        <f>S533+U533+SUM(Q528:Q533)</f>
        <v>1046</v>
      </c>
      <c r="Z533" s="552">
        <f>F533+J533+N533+P533</f>
        <v>779</v>
      </c>
      <c r="AA533" s="553"/>
      <c r="AB533" s="553"/>
    </row>
    <row r="534" spans="1:28" ht="12.75">
      <c r="A534" s="547" t="s">
        <v>352</v>
      </c>
      <c r="B534" s="547" t="s">
        <v>153</v>
      </c>
      <c r="C534" s="548" t="s">
        <v>812</v>
      </c>
      <c r="D534" s="549">
        <v>2014</v>
      </c>
      <c r="E534" s="549" t="s">
        <v>775</v>
      </c>
      <c r="F534" s="550">
        <v>142</v>
      </c>
      <c r="G534" s="550">
        <v>47</v>
      </c>
      <c r="H534" s="550">
        <v>47</v>
      </c>
      <c r="I534" s="550">
        <v>0</v>
      </c>
      <c r="J534" s="550">
        <v>83</v>
      </c>
      <c r="K534" s="550">
        <v>16</v>
      </c>
      <c r="L534" s="550">
        <v>16</v>
      </c>
      <c r="M534" s="550">
        <v>0</v>
      </c>
      <c r="N534" s="550">
        <v>90</v>
      </c>
      <c r="O534" s="550">
        <v>0</v>
      </c>
      <c r="P534" s="550">
        <v>242</v>
      </c>
      <c r="Q534" s="550">
        <v>19</v>
      </c>
      <c r="R534" s="551" t="str">
        <f t="shared" si="99"/>
        <v>BALDWIN PARK</v>
      </c>
      <c r="S534" s="552"/>
      <c r="T534" s="552"/>
      <c r="U534" s="552"/>
      <c r="V534" s="552"/>
      <c r="W534" s="552"/>
      <c r="X534" s="552"/>
      <c r="Y534" s="552"/>
      <c r="Z534" s="552"/>
      <c r="AA534" s="553"/>
      <c r="AB534" s="553"/>
    </row>
    <row r="535" spans="1:28" ht="12.75">
      <c r="A535" s="547" t="s">
        <v>352</v>
      </c>
      <c r="B535" s="547" t="s">
        <v>153</v>
      </c>
      <c r="C535" s="548" t="s">
        <v>812</v>
      </c>
      <c r="D535" s="549">
        <v>2015</v>
      </c>
      <c r="E535" s="549" t="s">
        <v>775</v>
      </c>
      <c r="F535" s="550">
        <v>142</v>
      </c>
      <c r="G535" s="550">
        <v>0</v>
      </c>
      <c r="H535" s="550">
        <v>0</v>
      </c>
      <c r="I535" s="550">
        <v>0</v>
      </c>
      <c r="J535" s="550">
        <v>83</v>
      </c>
      <c r="K535" s="550">
        <v>1</v>
      </c>
      <c r="L535" s="550">
        <v>1</v>
      </c>
      <c r="M535" s="550">
        <v>0</v>
      </c>
      <c r="N535" s="550">
        <v>90</v>
      </c>
      <c r="O535" s="550">
        <v>0</v>
      </c>
      <c r="P535" s="550">
        <v>242</v>
      </c>
      <c r="Q535" s="550">
        <v>21</v>
      </c>
      <c r="R535" s="551" t="str">
        <f t="shared" si="99"/>
        <v>BALDWIN PARK</v>
      </c>
      <c r="S535" s="552"/>
      <c r="T535" s="552"/>
      <c r="U535" s="552"/>
      <c r="V535" s="552"/>
      <c r="W535" s="552"/>
      <c r="X535" s="552"/>
      <c r="Y535" s="552"/>
      <c r="Z535" s="552"/>
      <c r="AA535" s="553"/>
      <c r="AB535" s="553"/>
    </row>
    <row r="536" spans="1:28" ht="12.75">
      <c r="A536" s="547" t="s">
        <v>352</v>
      </c>
      <c r="B536" s="547" t="s">
        <v>153</v>
      </c>
      <c r="C536" s="548" t="s">
        <v>812</v>
      </c>
      <c r="D536" s="549">
        <v>2016</v>
      </c>
      <c r="E536" s="549" t="s">
        <v>775</v>
      </c>
      <c r="F536" s="550">
        <v>142</v>
      </c>
      <c r="G536" s="550">
        <v>0</v>
      </c>
      <c r="H536" s="550">
        <v>0</v>
      </c>
      <c r="I536" s="550">
        <v>0</v>
      </c>
      <c r="J536" s="550">
        <v>83</v>
      </c>
      <c r="K536" s="550">
        <v>0</v>
      </c>
      <c r="L536" s="550">
        <v>0</v>
      </c>
      <c r="M536" s="550">
        <v>0</v>
      </c>
      <c r="N536" s="550">
        <v>90</v>
      </c>
      <c r="O536" s="550">
        <v>0</v>
      </c>
      <c r="P536" s="550">
        <v>242</v>
      </c>
      <c r="Q536" s="550">
        <v>31</v>
      </c>
      <c r="R536" s="551" t="str">
        <f t="shared" si="99"/>
        <v>BALDWIN PARK</v>
      </c>
      <c r="S536" s="552"/>
      <c r="T536" s="552"/>
      <c r="U536" s="552"/>
      <c r="V536" s="552"/>
      <c r="W536" s="552"/>
      <c r="X536" s="552"/>
      <c r="Y536" s="552"/>
      <c r="Z536" s="552"/>
      <c r="AA536" s="553"/>
      <c r="AB536" s="553"/>
    </row>
    <row r="537" spans="1:28" ht="12.75">
      <c r="A537" s="547" t="s">
        <v>352</v>
      </c>
      <c r="B537" s="547" t="s">
        <v>153</v>
      </c>
      <c r="C537" s="548" t="s">
        <v>812</v>
      </c>
      <c r="D537" s="549">
        <v>2017</v>
      </c>
      <c r="E537" s="549" t="s">
        <v>775</v>
      </c>
      <c r="F537" s="550">
        <v>142</v>
      </c>
      <c r="G537" s="550">
        <v>0</v>
      </c>
      <c r="H537" s="550">
        <v>0</v>
      </c>
      <c r="I537" s="550">
        <v>0</v>
      </c>
      <c r="J537" s="550">
        <v>83</v>
      </c>
      <c r="K537" s="550">
        <v>0</v>
      </c>
      <c r="L537" s="550">
        <v>0</v>
      </c>
      <c r="M537" s="550">
        <v>0</v>
      </c>
      <c r="N537" s="550">
        <v>90</v>
      </c>
      <c r="O537" s="550">
        <v>1</v>
      </c>
      <c r="P537" s="550">
        <v>242</v>
      </c>
      <c r="Q537" s="550">
        <v>56</v>
      </c>
      <c r="R537" s="551" t="str">
        <f t="shared" si="99"/>
        <v>BALDWIN PARK</v>
      </c>
      <c r="S537" s="552"/>
      <c r="T537" s="552"/>
      <c r="U537" s="552"/>
      <c r="V537" s="552"/>
      <c r="W537" s="552"/>
      <c r="X537" s="552"/>
      <c r="Y537" s="552"/>
      <c r="Z537" s="552"/>
      <c r="AA537" s="553"/>
      <c r="AB537" s="553"/>
    </row>
    <row r="538" spans="1:28" ht="12.75">
      <c r="A538" s="547" t="s">
        <v>352</v>
      </c>
      <c r="B538" s="547" t="s">
        <v>153</v>
      </c>
      <c r="C538" s="548" t="s">
        <v>812</v>
      </c>
      <c r="D538" s="549">
        <v>2018</v>
      </c>
      <c r="E538" s="549" t="s">
        <v>775</v>
      </c>
      <c r="F538" s="550">
        <v>142</v>
      </c>
      <c r="G538" s="550">
        <v>0</v>
      </c>
      <c r="H538" s="550">
        <v>0</v>
      </c>
      <c r="I538" s="550">
        <v>0</v>
      </c>
      <c r="J538" s="550">
        <v>83</v>
      </c>
      <c r="K538" s="550">
        <v>0</v>
      </c>
      <c r="L538" s="550">
        <v>0</v>
      </c>
      <c r="M538" s="550">
        <v>0</v>
      </c>
      <c r="N538" s="550">
        <v>90</v>
      </c>
      <c r="O538" s="550">
        <v>1</v>
      </c>
      <c r="P538" s="550">
        <v>242</v>
      </c>
      <c r="Q538" s="550">
        <v>86</v>
      </c>
      <c r="R538" s="551" t="str">
        <f t="shared" si="99"/>
        <v>BALDWIN PARK</v>
      </c>
      <c r="S538" s="552"/>
      <c r="T538" s="552"/>
      <c r="U538" s="552"/>
      <c r="V538" s="552"/>
      <c r="W538" s="552"/>
      <c r="X538" s="552"/>
      <c r="Y538" s="552"/>
      <c r="Z538" s="552"/>
      <c r="AA538" s="553"/>
      <c r="AB538" s="553"/>
    </row>
    <row r="539" spans="1:28" ht="12.75">
      <c r="A539" s="547" t="s">
        <v>352</v>
      </c>
      <c r="B539" s="547" t="s">
        <v>153</v>
      </c>
      <c r="C539" s="548" t="s">
        <v>813</v>
      </c>
      <c r="D539" s="549">
        <v>2019</v>
      </c>
      <c r="E539" s="549" t="s">
        <v>775</v>
      </c>
      <c r="F539" s="550">
        <v>142</v>
      </c>
      <c r="G539" s="550">
        <v>0</v>
      </c>
      <c r="H539" s="550">
        <v>0</v>
      </c>
      <c r="I539" s="550">
        <v>0</v>
      </c>
      <c r="J539" s="550">
        <v>83</v>
      </c>
      <c r="K539" s="550">
        <v>0</v>
      </c>
      <c r="L539" s="550">
        <v>0</v>
      </c>
      <c r="M539" s="550">
        <v>0</v>
      </c>
      <c r="N539" s="550">
        <v>90</v>
      </c>
      <c r="O539" s="550">
        <v>0</v>
      </c>
      <c r="P539" s="550">
        <v>242</v>
      </c>
      <c r="Q539" s="550">
        <v>20</v>
      </c>
      <c r="R539" s="551" t="str">
        <f t="shared" si="99"/>
        <v>BALDWIN PARK</v>
      </c>
      <c r="S539" s="552">
        <f>SUM(G534:G539) +SUM(K534:K539)</f>
        <v>64</v>
      </c>
      <c r="T539" s="552">
        <f>F539+J539</f>
        <v>225</v>
      </c>
      <c r="U539" s="552">
        <f>SUM(O534:O539)</f>
        <v>2</v>
      </c>
      <c r="V539" s="552">
        <f>N539</f>
        <v>90</v>
      </c>
      <c r="W539" s="554">
        <f>SUM(Q534:Q539)</f>
        <v>233</v>
      </c>
      <c r="X539" s="552">
        <f>P539</f>
        <v>242</v>
      </c>
      <c r="Y539" s="552">
        <f>S539+U539+SUM(Q534:Q539)</f>
        <v>299</v>
      </c>
      <c r="Z539" s="552">
        <f>F539+J539+N539+P539</f>
        <v>557</v>
      </c>
      <c r="AA539" s="553"/>
      <c r="AB539" s="553"/>
    </row>
    <row r="540" spans="1:28" ht="12.75">
      <c r="A540" s="547" t="s">
        <v>353</v>
      </c>
      <c r="B540" s="547" t="s">
        <v>153</v>
      </c>
      <c r="C540" s="548" t="s">
        <v>812</v>
      </c>
      <c r="D540" s="549">
        <v>2014</v>
      </c>
      <c r="E540" s="549" t="s">
        <v>775</v>
      </c>
      <c r="F540" s="550">
        <v>11</v>
      </c>
      <c r="G540" s="550">
        <v>0</v>
      </c>
      <c r="H540" s="550">
        <v>0</v>
      </c>
      <c r="I540" s="550">
        <v>0</v>
      </c>
      <c r="J540" s="550">
        <v>7</v>
      </c>
      <c r="K540" s="550">
        <v>0</v>
      </c>
      <c r="L540" s="550">
        <v>0</v>
      </c>
      <c r="M540" s="550">
        <v>0</v>
      </c>
      <c r="N540" s="550">
        <v>8</v>
      </c>
      <c r="O540" s="550">
        <v>0</v>
      </c>
      <c r="P540" s="550">
        <v>21</v>
      </c>
      <c r="Q540" s="550">
        <v>0</v>
      </c>
      <c r="R540" s="551" t="str">
        <f t="shared" si="99"/>
        <v>BELL</v>
      </c>
      <c r="S540" s="552"/>
      <c r="T540" s="552"/>
      <c r="U540" s="552"/>
      <c r="V540" s="552"/>
      <c r="W540" s="552"/>
      <c r="X540" s="552"/>
      <c r="Y540" s="552"/>
      <c r="Z540" s="552"/>
      <c r="AA540" s="553"/>
      <c r="AB540" s="553"/>
    </row>
    <row r="541" spans="1:28" ht="12.75">
      <c r="A541" s="547" t="s">
        <v>353</v>
      </c>
      <c r="B541" s="547" t="s">
        <v>153</v>
      </c>
      <c r="C541" s="548" t="s">
        <v>812</v>
      </c>
      <c r="D541" s="549">
        <v>2015</v>
      </c>
      <c r="E541" s="549" t="s">
        <v>775</v>
      </c>
      <c r="F541" s="550">
        <v>11</v>
      </c>
      <c r="G541" s="550">
        <v>0</v>
      </c>
      <c r="H541" s="550">
        <v>0</v>
      </c>
      <c r="I541" s="550">
        <v>0</v>
      </c>
      <c r="J541" s="550">
        <v>7</v>
      </c>
      <c r="K541" s="550">
        <v>0</v>
      </c>
      <c r="L541" s="550">
        <v>0</v>
      </c>
      <c r="M541" s="550">
        <v>0</v>
      </c>
      <c r="N541" s="550">
        <v>8</v>
      </c>
      <c r="O541" s="550">
        <v>3</v>
      </c>
      <c r="P541" s="550">
        <v>21</v>
      </c>
      <c r="Q541" s="550">
        <v>0</v>
      </c>
      <c r="R541" s="551" t="str">
        <f t="shared" si="99"/>
        <v>BELL</v>
      </c>
      <c r="S541" s="552"/>
      <c r="T541" s="552"/>
      <c r="U541" s="552"/>
      <c r="V541" s="552"/>
      <c r="W541" s="552"/>
      <c r="X541" s="552"/>
      <c r="Y541" s="552"/>
      <c r="Z541" s="552"/>
      <c r="AA541" s="553"/>
      <c r="AB541" s="553"/>
    </row>
    <row r="542" spans="1:28" ht="12.75">
      <c r="A542" s="547" t="s">
        <v>353</v>
      </c>
      <c r="B542" s="547" t="s">
        <v>153</v>
      </c>
      <c r="C542" s="548" t="s">
        <v>812</v>
      </c>
      <c r="D542" s="549">
        <v>2016</v>
      </c>
      <c r="E542" s="549" t="s">
        <v>775</v>
      </c>
      <c r="F542" s="550">
        <v>11</v>
      </c>
      <c r="G542" s="550">
        <v>0</v>
      </c>
      <c r="H542" s="550">
        <v>0</v>
      </c>
      <c r="I542" s="550">
        <v>0</v>
      </c>
      <c r="J542" s="550">
        <v>7</v>
      </c>
      <c r="K542" s="550">
        <v>0</v>
      </c>
      <c r="L542" s="550">
        <v>0</v>
      </c>
      <c r="M542" s="550">
        <v>0</v>
      </c>
      <c r="N542" s="550">
        <v>8</v>
      </c>
      <c r="O542" s="550">
        <v>0</v>
      </c>
      <c r="P542" s="550">
        <v>21</v>
      </c>
      <c r="Q542" s="550">
        <v>10</v>
      </c>
      <c r="R542" s="551" t="str">
        <f t="shared" si="99"/>
        <v>BELL</v>
      </c>
      <c r="S542" s="552"/>
      <c r="T542" s="552"/>
      <c r="U542" s="552"/>
      <c r="V542" s="552"/>
      <c r="W542" s="552"/>
      <c r="X542" s="552"/>
      <c r="Y542" s="552"/>
      <c r="Z542" s="552"/>
      <c r="AA542" s="553"/>
      <c r="AB542" s="553"/>
    </row>
    <row r="543" spans="1:28" ht="12.75">
      <c r="A543" s="547" t="s">
        <v>353</v>
      </c>
      <c r="B543" s="547" t="s">
        <v>153</v>
      </c>
      <c r="C543" s="548" t="s">
        <v>812</v>
      </c>
      <c r="D543" s="549">
        <v>2017</v>
      </c>
      <c r="E543" s="549" t="s">
        <v>775</v>
      </c>
      <c r="F543" s="550">
        <v>11</v>
      </c>
      <c r="G543" s="550">
        <v>65</v>
      </c>
      <c r="H543" s="550">
        <v>65</v>
      </c>
      <c r="I543" s="550">
        <v>0</v>
      </c>
      <c r="J543" s="550">
        <v>7</v>
      </c>
      <c r="K543" s="550">
        <v>0</v>
      </c>
      <c r="L543" s="550">
        <v>0</v>
      </c>
      <c r="M543" s="550">
        <v>0</v>
      </c>
      <c r="N543" s="550">
        <v>8</v>
      </c>
      <c r="O543" s="550">
        <v>0</v>
      </c>
      <c r="P543" s="550">
        <v>21</v>
      </c>
      <c r="Q543" s="550">
        <v>62</v>
      </c>
      <c r="R543" s="551" t="str">
        <f t="shared" si="99"/>
        <v>BELL</v>
      </c>
      <c r="S543" s="552"/>
      <c r="T543" s="552"/>
      <c r="U543" s="552"/>
      <c r="V543" s="552"/>
      <c r="W543" s="552"/>
      <c r="X543" s="552"/>
      <c r="Y543" s="552"/>
      <c r="Z543" s="552"/>
      <c r="AA543" s="553"/>
      <c r="AB543" s="553"/>
    </row>
    <row r="544" spans="1:28" ht="12.75">
      <c r="A544" s="547" t="s">
        <v>353</v>
      </c>
      <c r="B544" s="547" t="s">
        <v>153</v>
      </c>
      <c r="C544" s="548" t="s">
        <v>813</v>
      </c>
      <c r="D544" s="549">
        <v>2019</v>
      </c>
      <c r="E544" s="549" t="s">
        <v>775</v>
      </c>
      <c r="F544" s="550">
        <v>11</v>
      </c>
      <c r="G544" s="550">
        <v>0</v>
      </c>
      <c r="H544" s="550">
        <v>0</v>
      </c>
      <c r="I544" s="550">
        <v>0</v>
      </c>
      <c r="J544" s="550">
        <v>7</v>
      </c>
      <c r="K544" s="550">
        <v>0</v>
      </c>
      <c r="L544" s="550">
        <v>0</v>
      </c>
      <c r="M544" s="550">
        <v>0</v>
      </c>
      <c r="N544" s="550">
        <v>8</v>
      </c>
      <c r="O544" s="550">
        <v>0</v>
      </c>
      <c r="P544" s="550">
        <v>21</v>
      </c>
      <c r="Q544" s="550">
        <v>12</v>
      </c>
      <c r="R544" s="551" t="str">
        <f t="shared" si="99"/>
        <v>BELL</v>
      </c>
      <c r="S544" s="255">
        <f>SUM(G540:G544) +SUM(K540:K544)</f>
        <v>65</v>
      </c>
      <c r="T544" s="255">
        <f>F544+J544</f>
        <v>18</v>
      </c>
      <c r="U544" s="255">
        <f>SUM(O540:O544)</f>
        <v>3</v>
      </c>
      <c r="V544" s="255">
        <f>N544</f>
        <v>8</v>
      </c>
      <c r="W544" s="83">
        <f>SUM(Q540:Q544)</f>
        <v>84</v>
      </c>
      <c r="X544" s="255">
        <f>P544</f>
        <v>21</v>
      </c>
      <c r="Y544" s="255">
        <f>S544+U544+SUM(Q540:Q544)</f>
        <v>152</v>
      </c>
      <c r="Z544" s="255">
        <f>F544+J544+N544+P544</f>
        <v>47</v>
      </c>
      <c r="AA544" s="553"/>
      <c r="AB544" s="553"/>
    </row>
    <row r="545" spans="1:28" ht="12.75">
      <c r="A545" s="547" t="s">
        <v>354</v>
      </c>
      <c r="B545" s="547" t="s">
        <v>153</v>
      </c>
      <c r="C545" s="548" t="s">
        <v>812</v>
      </c>
      <c r="D545" s="549">
        <v>2014</v>
      </c>
      <c r="E545" s="549" t="s">
        <v>775</v>
      </c>
      <c r="F545" s="550">
        <v>11</v>
      </c>
      <c r="G545" s="550">
        <v>0</v>
      </c>
      <c r="H545" s="550">
        <v>0</v>
      </c>
      <c r="I545" s="550">
        <v>0</v>
      </c>
      <c r="J545" s="550">
        <v>7</v>
      </c>
      <c r="K545" s="550">
        <v>0</v>
      </c>
      <c r="L545" s="550">
        <v>0</v>
      </c>
      <c r="M545" s="550">
        <v>0</v>
      </c>
      <c r="N545" s="550">
        <v>8</v>
      </c>
      <c r="O545" s="550">
        <v>4</v>
      </c>
      <c r="P545" s="550">
        <v>20</v>
      </c>
      <c r="Q545" s="550">
        <v>2</v>
      </c>
      <c r="R545" s="551" t="str">
        <f t="shared" si="99"/>
        <v>BELL GARDENS</v>
      </c>
      <c r="S545" s="552"/>
      <c r="T545" s="552"/>
      <c r="U545" s="552"/>
      <c r="V545" s="552"/>
      <c r="W545" s="552"/>
      <c r="X545" s="552"/>
      <c r="Y545" s="552"/>
      <c r="Z545" s="552"/>
      <c r="AA545" s="553"/>
      <c r="AB545" s="553"/>
    </row>
    <row r="546" spans="1:28" ht="12.75">
      <c r="A546" s="547" t="s">
        <v>354</v>
      </c>
      <c r="B546" s="547" t="s">
        <v>153</v>
      </c>
      <c r="C546" s="548" t="s">
        <v>812</v>
      </c>
      <c r="D546" s="549">
        <v>2015</v>
      </c>
      <c r="E546" s="549" t="s">
        <v>775</v>
      </c>
      <c r="F546" s="550">
        <v>11</v>
      </c>
      <c r="G546" s="550">
        <v>0</v>
      </c>
      <c r="H546" s="550">
        <v>0</v>
      </c>
      <c r="I546" s="550">
        <v>0</v>
      </c>
      <c r="J546" s="550">
        <v>7</v>
      </c>
      <c r="K546" s="550">
        <v>0</v>
      </c>
      <c r="L546" s="550">
        <v>0</v>
      </c>
      <c r="M546" s="550">
        <v>0</v>
      </c>
      <c r="N546" s="550">
        <v>8</v>
      </c>
      <c r="O546" s="550">
        <v>1</v>
      </c>
      <c r="P546" s="550">
        <v>20</v>
      </c>
      <c r="Q546" s="550">
        <v>3</v>
      </c>
      <c r="R546" s="551" t="str">
        <f t="shared" si="99"/>
        <v>BELL GARDENS</v>
      </c>
      <c r="S546" s="552"/>
      <c r="T546" s="552"/>
      <c r="U546" s="552"/>
      <c r="V546" s="552"/>
      <c r="W546" s="552"/>
      <c r="X546" s="552"/>
      <c r="Y546" s="552"/>
      <c r="Z546" s="552"/>
      <c r="AA546" s="553"/>
      <c r="AB546" s="553"/>
    </row>
    <row r="547" spans="1:28" ht="12.75">
      <c r="A547" s="547" t="s">
        <v>354</v>
      </c>
      <c r="B547" s="547" t="s">
        <v>153</v>
      </c>
      <c r="C547" s="548" t="s">
        <v>812</v>
      </c>
      <c r="D547" s="549">
        <v>2016</v>
      </c>
      <c r="E547" s="549" t="s">
        <v>775</v>
      </c>
      <c r="F547" s="550">
        <v>11</v>
      </c>
      <c r="G547" s="550">
        <v>0</v>
      </c>
      <c r="H547" s="550">
        <v>0</v>
      </c>
      <c r="I547" s="550">
        <v>0</v>
      </c>
      <c r="J547" s="550">
        <v>7</v>
      </c>
      <c r="K547" s="550">
        <v>0</v>
      </c>
      <c r="L547" s="550">
        <v>0</v>
      </c>
      <c r="M547" s="550">
        <v>0</v>
      </c>
      <c r="N547" s="550">
        <v>8</v>
      </c>
      <c r="O547" s="550">
        <v>0</v>
      </c>
      <c r="P547" s="550">
        <v>20</v>
      </c>
      <c r="Q547" s="550">
        <v>5</v>
      </c>
      <c r="R547" s="551" t="str">
        <f t="shared" si="99"/>
        <v>BELL GARDENS</v>
      </c>
      <c r="S547" s="552"/>
      <c r="T547" s="552"/>
      <c r="U547" s="552"/>
      <c r="V547" s="552"/>
      <c r="W547" s="552"/>
      <c r="X547" s="552"/>
      <c r="Y547" s="552"/>
      <c r="Z547" s="552"/>
      <c r="AA547" s="553"/>
      <c r="AB547" s="553"/>
    </row>
    <row r="548" spans="1:28" ht="12.75">
      <c r="A548" s="547" t="s">
        <v>354</v>
      </c>
      <c r="B548" s="555" t="s">
        <v>153</v>
      </c>
      <c r="C548" s="548" t="s">
        <v>812</v>
      </c>
      <c r="D548" s="549">
        <v>2017</v>
      </c>
      <c r="E548" s="549" t="s">
        <v>775</v>
      </c>
      <c r="F548" s="550">
        <v>11</v>
      </c>
      <c r="G548" s="550">
        <v>0</v>
      </c>
      <c r="H548" s="550">
        <v>0</v>
      </c>
      <c r="I548" s="550">
        <v>0</v>
      </c>
      <c r="J548" s="550">
        <v>7</v>
      </c>
      <c r="K548" s="550">
        <v>0</v>
      </c>
      <c r="L548" s="550">
        <v>0</v>
      </c>
      <c r="M548" s="550">
        <v>0</v>
      </c>
      <c r="N548" s="550">
        <v>8</v>
      </c>
      <c r="O548" s="550">
        <v>5</v>
      </c>
      <c r="P548" s="550">
        <v>20</v>
      </c>
      <c r="Q548" s="550">
        <v>7</v>
      </c>
      <c r="R548" s="551" t="str">
        <f t="shared" si="99"/>
        <v>BELL GARDENS</v>
      </c>
      <c r="S548" s="255">
        <f>SUM(G545:G548) +SUM(K545:K548)</f>
        <v>0</v>
      </c>
      <c r="T548" s="255">
        <f>F548+J548</f>
        <v>18</v>
      </c>
      <c r="U548" s="255">
        <f>SUM(O545:O548)</f>
        <v>10</v>
      </c>
      <c r="V548" s="255">
        <f>N548</f>
        <v>8</v>
      </c>
      <c r="W548" s="83">
        <f>SUM(Q545:Q548)</f>
        <v>17</v>
      </c>
      <c r="X548" s="255">
        <f>P548</f>
        <v>20</v>
      </c>
      <c r="Y548" s="255">
        <f>S548+U548+SUM(Q545:Q548)</f>
        <v>27</v>
      </c>
      <c r="Z548" s="255">
        <f>F548+J548+N548+P548</f>
        <v>46</v>
      </c>
      <c r="AA548" s="553"/>
      <c r="AB548" s="553"/>
    </row>
    <row r="549" spans="1:28" ht="12.75">
      <c r="A549" s="547" t="s">
        <v>355</v>
      </c>
      <c r="B549" s="547" t="s">
        <v>153</v>
      </c>
      <c r="C549" s="548" t="s">
        <v>812</v>
      </c>
      <c r="D549" s="549">
        <v>2014</v>
      </c>
      <c r="E549" s="549" t="s">
        <v>775</v>
      </c>
      <c r="F549" s="550">
        <v>1</v>
      </c>
      <c r="G549" s="550">
        <v>0</v>
      </c>
      <c r="H549" s="550">
        <v>0</v>
      </c>
      <c r="I549" s="550">
        <v>0</v>
      </c>
      <c r="J549" s="550">
        <v>1</v>
      </c>
      <c r="K549" s="550">
        <v>0</v>
      </c>
      <c r="L549" s="550">
        <v>0</v>
      </c>
      <c r="M549" s="550">
        <v>0</v>
      </c>
      <c r="N549" s="550">
        <v>0</v>
      </c>
      <c r="O549" s="550">
        <v>0</v>
      </c>
      <c r="P549" s="550">
        <v>0</v>
      </c>
      <c r="Q549" s="550">
        <v>67</v>
      </c>
      <c r="R549" s="551" t="str">
        <f t="shared" si="99"/>
        <v>BELLFLOWER</v>
      </c>
      <c r="S549" s="552"/>
      <c r="T549" s="552"/>
      <c r="U549" s="552"/>
      <c r="V549" s="552"/>
      <c r="W549" s="552"/>
      <c r="X549" s="552"/>
      <c r="Y549" s="552"/>
      <c r="Z549" s="552"/>
      <c r="AA549" s="553"/>
      <c r="AB549" s="553"/>
    </row>
    <row r="550" spans="1:28" ht="12.75">
      <c r="A550" s="547" t="s">
        <v>355</v>
      </c>
      <c r="B550" s="547" t="s">
        <v>153</v>
      </c>
      <c r="C550" s="548" t="s">
        <v>812</v>
      </c>
      <c r="D550" s="549">
        <v>2015</v>
      </c>
      <c r="E550" s="549" t="s">
        <v>775</v>
      </c>
      <c r="F550" s="550">
        <v>1</v>
      </c>
      <c r="G550" s="550">
        <v>0</v>
      </c>
      <c r="H550" s="550">
        <v>0</v>
      </c>
      <c r="I550" s="550">
        <v>0</v>
      </c>
      <c r="J550" s="550">
        <v>1</v>
      </c>
      <c r="K550" s="550">
        <v>0</v>
      </c>
      <c r="L550" s="550">
        <v>0</v>
      </c>
      <c r="M550" s="550">
        <v>0</v>
      </c>
      <c r="N550" s="550">
        <v>0</v>
      </c>
      <c r="O550" s="550">
        <v>0</v>
      </c>
      <c r="P550" s="550">
        <v>0</v>
      </c>
      <c r="Q550" s="550">
        <v>3</v>
      </c>
      <c r="R550" s="551" t="str">
        <f t="shared" si="99"/>
        <v>BELLFLOWER</v>
      </c>
      <c r="S550" s="552"/>
      <c r="T550" s="552"/>
      <c r="U550" s="552"/>
      <c r="V550" s="552"/>
      <c r="W550" s="552"/>
      <c r="X550" s="552"/>
      <c r="Y550" s="552"/>
      <c r="Z550" s="552"/>
      <c r="AA550" s="553"/>
      <c r="AB550" s="553"/>
    </row>
    <row r="551" spans="1:28" ht="12.75">
      <c r="A551" s="547" t="s">
        <v>355</v>
      </c>
      <c r="B551" s="547" t="s">
        <v>153</v>
      </c>
      <c r="C551" s="548" t="s">
        <v>812</v>
      </c>
      <c r="D551" s="549">
        <v>2016</v>
      </c>
      <c r="E551" s="549" t="s">
        <v>775</v>
      </c>
      <c r="F551" s="550">
        <v>1</v>
      </c>
      <c r="G551" s="550">
        <v>0</v>
      </c>
      <c r="H551" s="550">
        <v>0</v>
      </c>
      <c r="I551" s="550">
        <v>0</v>
      </c>
      <c r="J551" s="550">
        <v>1</v>
      </c>
      <c r="K551" s="550">
        <v>6</v>
      </c>
      <c r="L551" s="550">
        <v>6</v>
      </c>
      <c r="M551" s="550">
        <v>0</v>
      </c>
      <c r="N551" s="550">
        <v>0</v>
      </c>
      <c r="O551" s="550">
        <v>6</v>
      </c>
      <c r="P551" s="550">
        <v>0</v>
      </c>
      <c r="Q551" s="550">
        <v>108</v>
      </c>
      <c r="R551" s="551" t="str">
        <f t="shared" si="99"/>
        <v>BELLFLOWER</v>
      </c>
      <c r="S551" s="552"/>
      <c r="T551" s="552"/>
      <c r="U551" s="552"/>
      <c r="V551" s="552"/>
      <c r="W551" s="552"/>
      <c r="X551" s="552"/>
      <c r="Y551" s="552"/>
      <c r="Z551" s="552"/>
      <c r="AA551" s="553"/>
      <c r="AB551" s="553"/>
    </row>
    <row r="552" spans="1:28" ht="12.75">
      <c r="A552" s="547" t="s">
        <v>355</v>
      </c>
      <c r="B552" s="547" t="s">
        <v>153</v>
      </c>
      <c r="C552" s="548" t="s">
        <v>812</v>
      </c>
      <c r="D552" s="549">
        <v>2017</v>
      </c>
      <c r="E552" s="549" t="s">
        <v>775</v>
      </c>
      <c r="F552" s="550">
        <v>1</v>
      </c>
      <c r="G552" s="550">
        <v>0</v>
      </c>
      <c r="H552" s="550">
        <v>0</v>
      </c>
      <c r="I552" s="550">
        <v>0</v>
      </c>
      <c r="J552" s="550">
        <v>1</v>
      </c>
      <c r="K552" s="550">
        <v>0</v>
      </c>
      <c r="L552" s="550">
        <v>0</v>
      </c>
      <c r="M552" s="550">
        <v>0</v>
      </c>
      <c r="N552" s="550">
        <v>0</v>
      </c>
      <c r="O552" s="550">
        <v>0</v>
      </c>
      <c r="P552" s="550">
        <v>0</v>
      </c>
      <c r="Q552" s="550">
        <v>64</v>
      </c>
      <c r="R552" s="551" t="str">
        <f t="shared" si="99"/>
        <v>BELLFLOWER</v>
      </c>
      <c r="S552" s="552"/>
      <c r="T552" s="552"/>
      <c r="U552" s="552"/>
      <c r="V552" s="552"/>
      <c r="W552" s="552"/>
      <c r="X552" s="552"/>
      <c r="Y552" s="552"/>
      <c r="Z552" s="552"/>
      <c r="AA552" s="553"/>
      <c r="AB552" s="553"/>
    </row>
    <row r="553" spans="1:28" ht="12.75">
      <c r="A553" s="547" t="s">
        <v>355</v>
      </c>
      <c r="B553" s="547" t="s">
        <v>153</v>
      </c>
      <c r="C553" s="548" t="s">
        <v>812</v>
      </c>
      <c r="D553" s="549">
        <v>2018</v>
      </c>
      <c r="E553" s="549" t="s">
        <v>775</v>
      </c>
      <c r="F553" s="550">
        <v>1</v>
      </c>
      <c r="G553" s="550">
        <v>0</v>
      </c>
      <c r="H553" s="550">
        <v>0</v>
      </c>
      <c r="I553" s="550">
        <v>0</v>
      </c>
      <c r="J553" s="550">
        <v>1</v>
      </c>
      <c r="K553" s="550">
        <v>0</v>
      </c>
      <c r="L553" s="550">
        <v>0</v>
      </c>
      <c r="M553" s="550">
        <v>0</v>
      </c>
      <c r="N553" s="550">
        <v>0</v>
      </c>
      <c r="O553" s="550">
        <v>0</v>
      </c>
      <c r="P553" s="550">
        <v>0</v>
      </c>
      <c r="Q553" s="550">
        <v>49</v>
      </c>
      <c r="R553" s="551" t="str">
        <f t="shared" si="99"/>
        <v>BELLFLOWER</v>
      </c>
      <c r="S553" s="552"/>
      <c r="T553" s="552"/>
      <c r="U553" s="552"/>
      <c r="V553" s="552"/>
      <c r="W553" s="552"/>
      <c r="X553" s="552"/>
      <c r="Y553" s="552"/>
      <c r="Z553" s="552"/>
      <c r="AA553" s="553"/>
      <c r="AB553" s="553"/>
    </row>
    <row r="554" spans="1:28" ht="12.75">
      <c r="A554" s="547" t="s">
        <v>355</v>
      </c>
      <c r="B554" s="547" t="s">
        <v>153</v>
      </c>
      <c r="C554" s="548" t="s">
        <v>813</v>
      </c>
      <c r="D554" s="549">
        <v>2019</v>
      </c>
      <c r="E554" s="549" t="s">
        <v>775</v>
      </c>
      <c r="F554" s="550">
        <v>1</v>
      </c>
      <c r="G554" s="550">
        <v>0</v>
      </c>
      <c r="H554" s="550">
        <v>0</v>
      </c>
      <c r="I554" s="550">
        <v>0</v>
      </c>
      <c r="J554" s="550">
        <v>1</v>
      </c>
      <c r="K554" s="550">
        <v>0</v>
      </c>
      <c r="L554" s="550">
        <v>0</v>
      </c>
      <c r="M554" s="550">
        <v>0</v>
      </c>
      <c r="N554" s="550">
        <v>0</v>
      </c>
      <c r="O554" s="550">
        <v>0</v>
      </c>
      <c r="P554" s="550">
        <v>0</v>
      </c>
      <c r="Q554" s="550">
        <v>28</v>
      </c>
      <c r="R554" s="551" t="str">
        <f t="shared" si="99"/>
        <v>BELLFLOWER</v>
      </c>
      <c r="S554" s="552">
        <f>SUM(G549:G554) +SUM(K549:K554)</f>
        <v>6</v>
      </c>
      <c r="T554" s="552">
        <f>F554+J554</f>
        <v>2</v>
      </c>
      <c r="U554" s="552">
        <f>SUM(O549:O554)</f>
        <v>6</v>
      </c>
      <c r="V554" s="552">
        <f>N554</f>
        <v>0</v>
      </c>
      <c r="W554" s="554">
        <f>SUM(Q549:Q554)</f>
        <v>319</v>
      </c>
      <c r="X554" s="552">
        <f>P554</f>
        <v>0</v>
      </c>
      <c r="Y554" s="552">
        <f>S554+U554+SUM(Q549:Q554)</f>
        <v>331</v>
      </c>
      <c r="Z554" s="552">
        <f>F554+J554+N554+P554</f>
        <v>2</v>
      </c>
      <c r="AA554" s="553"/>
      <c r="AB554" s="553"/>
    </row>
    <row r="555" spans="1:28" ht="12.75">
      <c r="A555" s="547" t="s">
        <v>356</v>
      </c>
      <c r="B555" s="547" t="s">
        <v>153</v>
      </c>
      <c r="C555" s="548" t="s">
        <v>812</v>
      </c>
      <c r="D555" s="549">
        <v>2014</v>
      </c>
      <c r="E555" s="549" t="s">
        <v>775</v>
      </c>
      <c r="F555" s="550">
        <v>1</v>
      </c>
      <c r="G555" s="550">
        <v>2</v>
      </c>
      <c r="H555" s="550">
        <v>0</v>
      </c>
      <c r="I555" s="550">
        <v>2</v>
      </c>
      <c r="J555" s="550">
        <v>1</v>
      </c>
      <c r="K555" s="550">
        <v>3</v>
      </c>
      <c r="L555" s="550">
        <v>3</v>
      </c>
      <c r="M555" s="550">
        <v>0</v>
      </c>
      <c r="N555" s="550">
        <v>1</v>
      </c>
      <c r="O555" s="550">
        <v>0</v>
      </c>
      <c r="P555" s="550">
        <v>0</v>
      </c>
      <c r="Q555" s="550">
        <v>38</v>
      </c>
      <c r="R555" s="551" t="str">
        <f t="shared" si="99"/>
        <v>BEVERLY HILLS</v>
      </c>
      <c r="S555" s="552"/>
      <c r="T555" s="552"/>
      <c r="U555" s="552"/>
      <c r="V555" s="552"/>
      <c r="W555" s="552"/>
      <c r="X555" s="552"/>
      <c r="Y555" s="552"/>
      <c r="Z555" s="552"/>
      <c r="AA555" s="553"/>
      <c r="AB555" s="553"/>
    </row>
    <row r="556" spans="1:28" ht="12.75">
      <c r="A556" s="547" t="s">
        <v>356</v>
      </c>
      <c r="B556" s="547" t="s">
        <v>153</v>
      </c>
      <c r="C556" s="548" t="s">
        <v>812</v>
      </c>
      <c r="D556" s="549">
        <v>2015</v>
      </c>
      <c r="E556" s="549" t="s">
        <v>775</v>
      </c>
      <c r="F556" s="550">
        <v>1</v>
      </c>
      <c r="G556" s="550">
        <v>2</v>
      </c>
      <c r="H556" s="550">
        <v>2</v>
      </c>
      <c r="I556" s="550">
        <v>0</v>
      </c>
      <c r="J556" s="550">
        <v>1</v>
      </c>
      <c r="K556" s="550">
        <v>0</v>
      </c>
      <c r="L556" s="550">
        <v>0</v>
      </c>
      <c r="M556" s="550">
        <v>0</v>
      </c>
      <c r="N556" s="550">
        <v>1</v>
      </c>
      <c r="O556" s="550">
        <v>0</v>
      </c>
      <c r="P556" s="550">
        <v>0</v>
      </c>
      <c r="Q556" s="550">
        <v>21</v>
      </c>
      <c r="R556" s="551" t="str">
        <f t="shared" si="99"/>
        <v>BEVERLY HILLS</v>
      </c>
      <c r="S556" s="552"/>
      <c r="T556" s="552"/>
      <c r="U556" s="552"/>
      <c r="V556" s="552"/>
      <c r="W556" s="552"/>
      <c r="X556" s="552"/>
      <c r="Y556" s="552"/>
      <c r="Z556" s="552"/>
      <c r="AA556" s="553"/>
      <c r="AB556" s="553"/>
    </row>
    <row r="557" spans="1:28" ht="12.75">
      <c r="A557" s="547" t="s">
        <v>356</v>
      </c>
      <c r="B557" s="547" t="s">
        <v>153</v>
      </c>
      <c r="C557" s="548" t="s">
        <v>812</v>
      </c>
      <c r="D557" s="549">
        <v>2016</v>
      </c>
      <c r="E557" s="549" t="s">
        <v>775</v>
      </c>
      <c r="F557" s="550">
        <v>1</v>
      </c>
      <c r="G557" s="550">
        <v>0</v>
      </c>
      <c r="H557" s="550">
        <v>0</v>
      </c>
      <c r="I557" s="550">
        <v>0</v>
      </c>
      <c r="J557" s="550">
        <v>1</v>
      </c>
      <c r="K557" s="550">
        <v>0</v>
      </c>
      <c r="L557" s="550">
        <v>0</v>
      </c>
      <c r="M557" s="550">
        <v>0</v>
      </c>
      <c r="N557" s="550">
        <v>1</v>
      </c>
      <c r="O557" s="550">
        <v>2</v>
      </c>
      <c r="P557" s="550">
        <v>0</v>
      </c>
      <c r="Q557" s="550">
        <v>16</v>
      </c>
      <c r="R557" s="551" t="str">
        <f t="shared" si="99"/>
        <v>BEVERLY HILLS</v>
      </c>
      <c r="S557" s="552"/>
      <c r="T557" s="552"/>
      <c r="U557" s="552"/>
      <c r="V557" s="552"/>
      <c r="W557" s="552"/>
      <c r="X557" s="552"/>
      <c r="Y557" s="552"/>
      <c r="Z557" s="552"/>
      <c r="AA557" s="553"/>
      <c r="AB557" s="553"/>
    </row>
    <row r="558" spans="1:28" ht="12.75">
      <c r="A558" s="547" t="s">
        <v>356</v>
      </c>
      <c r="B558" s="547" t="s">
        <v>153</v>
      </c>
      <c r="C558" s="548" t="s">
        <v>812</v>
      </c>
      <c r="D558" s="549">
        <v>2017</v>
      </c>
      <c r="E558" s="549" t="s">
        <v>775</v>
      </c>
      <c r="F558" s="550">
        <v>1</v>
      </c>
      <c r="G558" s="550">
        <v>0</v>
      </c>
      <c r="H558" s="550">
        <v>0</v>
      </c>
      <c r="I558" s="550">
        <v>0</v>
      </c>
      <c r="J558" s="550">
        <v>1</v>
      </c>
      <c r="K558" s="550">
        <v>0</v>
      </c>
      <c r="L558" s="550">
        <v>0</v>
      </c>
      <c r="M558" s="550">
        <v>0</v>
      </c>
      <c r="N558" s="550">
        <v>1</v>
      </c>
      <c r="O558" s="550">
        <v>0</v>
      </c>
      <c r="P558" s="550">
        <v>0</v>
      </c>
      <c r="Q558" s="550">
        <v>16</v>
      </c>
      <c r="R558" s="551" t="str">
        <f t="shared" si="99"/>
        <v>BEVERLY HILLS</v>
      </c>
      <c r="S558" s="552"/>
      <c r="T558" s="552"/>
      <c r="U558" s="552"/>
      <c r="V558" s="552"/>
      <c r="W558" s="552"/>
      <c r="X558" s="552"/>
      <c r="Y558" s="552"/>
      <c r="Z558" s="552"/>
      <c r="AA558" s="553"/>
      <c r="AB558" s="553"/>
    </row>
    <row r="559" spans="1:28" ht="12.75">
      <c r="A559" s="547" t="s">
        <v>356</v>
      </c>
      <c r="B559" s="547" t="s">
        <v>153</v>
      </c>
      <c r="C559" s="548" t="s">
        <v>812</v>
      </c>
      <c r="D559" s="549">
        <v>2018</v>
      </c>
      <c r="E559" s="549" t="s">
        <v>775</v>
      </c>
      <c r="F559" s="550">
        <v>1</v>
      </c>
      <c r="G559" s="550">
        <v>0</v>
      </c>
      <c r="H559" s="550">
        <v>0</v>
      </c>
      <c r="I559" s="550">
        <v>0</v>
      </c>
      <c r="J559" s="550">
        <v>1</v>
      </c>
      <c r="K559" s="550">
        <v>0</v>
      </c>
      <c r="L559" s="550">
        <v>0</v>
      </c>
      <c r="M559" s="550">
        <v>0</v>
      </c>
      <c r="N559" s="550">
        <v>1</v>
      </c>
      <c r="O559" s="550">
        <v>0</v>
      </c>
      <c r="P559" s="550">
        <v>0</v>
      </c>
      <c r="Q559" s="550">
        <v>7</v>
      </c>
      <c r="R559" s="551" t="str">
        <f t="shared" si="99"/>
        <v>BEVERLY HILLS</v>
      </c>
      <c r="S559" s="552"/>
      <c r="T559" s="552"/>
      <c r="U559" s="552"/>
      <c r="V559" s="552"/>
      <c r="W559" s="552"/>
      <c r="X559" s="552"/>
      <c r="Y559" s="552"/>
      <c r="Z559" s="552"/>
      <c r="AA559" s="553"/>
      <c r="AB559" s="553"/>
    </row>
    <row r="560" spans="1:28" ht="12.75">
      <c r="A560" s="547" t="s">
        <v>356</v>
      </c>
      <c r="B560" s="547" t="s">
        <v>153</v>
      </c>
      <c r="C560" s="548" t="s">
        <v>813</v>
      </c>
      <c r="D560" s="549">
        <v>2019</v>
      </c>
      <c r="E560" s="549" t="s">
        <v>775</v>
      </c>
      <c r="F560" s="550">
        <v>1</v>
      </c>
      <c r="G560" s="550">
        <v>5</v>
      </c>
      <c r="H560" s="550">
        <v>1</v>
      </c>
      <c r="I560" s="550">
        <v>4</v>
      </c>
      <c r="J560" s="550">
        <v>1</v>
      </c>
      <c r="K560" s="550">
        <v>0</v>
      </c>
      <c r="L560" s="550">
        <v>0</v>
      </c>
      <c r="M560" s="550">
        <v>0</v>
      </c>
      <c r="N560" s="550">
        <v>1</v>
      </c>
      <c r="O560" s="550">
        <v>0</v>
      </c>
      <c r="P560" s="550">
        <v>0</v>
      </c>
      <c r="Q560" s="550">
        <v>83</v>
      </c>
      <c r="R560" s="551" t="str">
        <f t="shared" si="99"/>
        <v>BEVERLY HILLS</v>
      </c>
      <c r="S560" s="552">
        <f>SUM(G555:G560) +SUM(K555:K560)</f>
        <v>12</v>
      </c>
      <c r="T560" s="552">
        <f t="shared" ref="T560:T561" si="100">F560+J560</f>
        <v>2</v>
      </c>
      <c r="U560" s="552">
        <f>SUM(O555:O560)</f>
        <v>2</v>
      </c>
      <c r="V560" s="552">
        <f t="shared" ref="V560:V561" si="101">N560</f>
        <v>1</v>
      </c>
      <c r="W560" s="554">
        <f>SUM(Q555:Q560)</f>
        <v>181</v>
      </c>
      <c r="X560" s="552">
        <f t="shared" ref="X560:X561" si="102">P560</f>
        <v>0</v>
      </c>
      <c r="Y560" s="552">
        <f>S560+U560+SUM(Q555:Q560)</f>
        <v>195</v>
      </c>
      <c r="Z560" s="552">
        <f t="shared" ref="Z560:Z561" si="103">F560+J560+N560+P560</f>
        <v>3</v>
      </c>
      <c r="AA560" s="553"/>
      <c r="AB560" s="553"/>
    </row>
    <row r="561" spans="1:28" ht="12.75">
      <c r="A561" s="547" t="s">
        <v>357</v>
      </c>
      <c r="B561" s="547" t="s">
        <v>153</v>
      </c>
      <c r="C561" s="548" t="s">
        <v>925</v>
      </c>
      <c r="D561" s="549"/>
      <c r="E561" s="549" t="s">
        <v>775</v>
      </c>
      <c r="F561" s="550">
        <v>1</v>
      </c>
      <c r="G561" s="550">
        <v>0</v>
      </c>
      <c r="H561" s="550">
        <v>0</v>
      </c>
      <c r="I561" s="550">
        <v>0</v>
      </c>
      <c r="J561" s="550">
        <v>1</v>
      </c>
      <c r="K561" s="550">
        <v>0</v>
      </c>
      <c r="L561" s="550">
        <v>0</v>
      </c>
      <c r="M561" s="550">
        <v>0</v>
      </c>
      <c r="N561" s="550">
        <v>0</v>
      </c>
      <c r="O561" s="550">
        <v>0</v>
      </c>
      <c r="P561" s="550">
        <v>0</v>
      </c>
      <c r="Q561" s="550">
        <v>0</v>
      </c>
      <c r="R561" s="569" t="s">
        <v>357</v>
      </c>
      <c r="S561" s="552">
        <f>G561+K561</f>
        <v>0</v>
      </c>
      <c r="T561" s="552">
        <f t="shared" si="100"/>
        <v>2</v>
      </c>
      <c r="U561" s="552">
        <f>O561</f>
        <v>0</v>
      </c>
      <c r="V561" s="552">
        <f t="shared" si="101"/>
        <v>0</v>
      </c>
      <c r="W561" s="552">
        <f>Q561</f>
        <v>0</v>
      </c>
      <c r="X561" s="552">
        <f t="shared" si="102"/>
        <v>0</v>
      </c>
      <c r="Y561" s="552">
        <f>S561+U561+W561</f>
        <v>0</v>
      </c>
      <c r="Z561" s="552">
        <f t="shared" si="103"/>
        <v>2</v>
      </c>
      <c r="AA561" s="553"/>
      <c r="AB561" s="553"/>
    </row>
    <row r="562" spans="1:28" ht="12.75">
      <c r="A562" s="547" t="s">
        <v>358</v>
      </c>
      <c r="B562" s="547" t="s">
        <v>153</v>
      </c>
      <c r="C562" s="548" t="s">
        <v>812</v>
      </c>
      <c r="D562" s="549">
        <v>2014</v>
      </c>
      <c r="E562" s="549" t="s">
        <v>775</v>
      </c>
      <c r="F562" s="550">
        <v>694</v>
      </c>
      <c r="G562" s="550">
        <v>0</v>
      </c>
      <c r="H562" s="550">
        <v>0</v>
      </c>
      <c r="I562" s="550">
        <v>0</v>
      </c>
      <c r="J562" s="550">
        <v>413</v>
      </c>
      <c r="K562" s="550">
        <v>0</v>
      </c>
      <c r="L562" s="550">
        <v>0</v>
      </c>
      <c r="M562" s="550">
        <v>0</v>
      </c>
      <c r="N562" s="550">
        <v>443</v>
      </c>
      <c r="O562" s="550">
        <v>0</v>
      </c>
      <c r="P562" s="550">
        <v>1134</v>
      </c>
      <c r="Q562" s="550">
        <v>19</v>
      </c>
      <c r="R562" s="551" t="str">
        <f t="shared" ref="R562:R587" si="104">A562</f>
        <v>BURBANK</v>
      </c>
      <c r="S562" s="552"/>
      <c r="T562" s="552"/>
      <c r="U562" s="552"/>
      <c r="V562" s="552"/>
      <c r="W562" s="552"/>
      <c r="X562" s="552"/>
      <c r="Y562" s="552"/>
      <c r="Z562" s="552"/>
      <c r="AA562" s="553"/>
      <c r="AB562" s="553"/>
    </row>
    <row r="563" spans="1:28" ht="12.75">
      <c r="A563" s="547" t="s">
        <v>358</v>
      </c>
      <c r="B563" s="547" t="s">
        <v>153</v>
      </c>
      <c r="C563" s="548" t="s">
        <v>812</v>
      </c>
      <c r="D563" s="549">
        <v>2015</v>
      </c>
      <c r="E563" s="549" t="s">
        <v>775</v>
      </c>
      <c r="F563" s="550">
        <v>694</v>
      </c>
      <c r="G563" s="550">
        <v>11</v>
      </c>
      <c r="H563" s="550">
        <v>11</v>
      </c>
      <c r="I563" s="550">
        <v>0</v>
      </c>
      <c r="J563" s="550">
        <v>413</v>
      </c>
      <c r="K563" s="550">
        <v>0</v>
      </c>
      <c r="L563" s="550">
        <v>0</v>
      </c>
      <c r="M563" s="550">
        <v>0</v>
      </c>
      <c r="N563" s="550">
        <v>443</v>
      </c>
      <c r="O563" s="550">
        <v>0</v>
      </c>
      <c r="P563" s="550">
        <v>1134</v>
      </c>
      <c r="Q563" s="550">
        <v>14</v>
      </c>
      <c r="R563" s="551" t="str">
        <f t="shared" si="104"/>
        <v>BURBANK</v>
      </c>
      <c r="S563" s="552"/>
      <c r="T563" s="552"/>
      <c r="U563" s="552"/>
      <c r="V563" s="552"/>
      <c r="W563" s="552"/>
      <c r="X563" s="552"/>
      <c r="Y563" s="552"/>
      <c r="Z563" s="552"/>
      <c r="AA563" s="553"/>
      <c r="AB563" s="553"/>
    </row>
    <row r="564" spans="1:28" ht="12.75">
      <c r="A564" s="547" t="s">
        <v>358</v>
      </c>
      <c r="B564" s="547" t="s">
        <v>153</v>
      </c>
      <c r="C564" s="548" t="s">
        <v>812</v>
      </c>
      <c r="D564" s="549">
        <v>2016</v>
      </c>
      <c r="E564" s="549" t="s">
        <v>775</v>
      </c>
      <c r="F564" s="550">
        <v>694</v>
      </c>
      <c r="G564" s="550">
        <v>0</v>
      </c>
      <c r="H564" s="550">
        <v>0</v>
      </c>
      <c r="I564" s="550">
        <v>0</v>
      </c>
      <c r="J564" s="550">
        <v>413</v>
      </c>
      <c r="K564" s="550">
        <v>0</v>
      </c>
      <c r="L564" s="550">
        <v>0</v>
      </c>
      <c r="M564" s="550">
        <v>0</v>
      </c>
      <c r="N564" s="550">
        <v>443</v>
      </c>
      <c r="O564" s="550">
        <v>0</v>
      </c>
      <c r="P564" s="550">
        <v>1134</v>
      </c>
      <c r="Q564" s="550">
        <v>275</v>
      </c>
      <c r="R564" s="551" t="str">
        <f t="shared" si="104"/>
        <v>BURBANK</v>
      </c>
      <c r="S564" s="552"/>
      <c r="T564" s="552"/>
      <c r="U564" s="552"/>
      <c r="V564" s="552"/>
      <c r="W564" s="552"/>
      <c r="X564" s="552"/>
      <c r="Y564" s="552"/>
      <c r="Z564" s="552"/>
      <c r="AA564" s="553"/>
      <c r="AB564" s="553"/>
    </row>
    <row r="565" spans="1:28" ht="12.75">
      <c r="A565" s="547" t="s">
        <v>358</v>
      </c>
      <c r="B565" s="547" t="s">
        <v>153</v>
      </c>
      <c r="C565" s="548" t="s">
        <v>812</v>
      </c>
      <c r="D565" s="549">
        <v>2017</v>
      </c>
      <c r="E565" s="549" t="s">
        <v>775</v>
      </c>
      <c r="F565" s="550">
        <v>694</v>
      </c>
      <c r="G565" s="550">
        <v>0</v>
      </c>
      <c r="H565" s="550">
        <v>0</v>
      </c>
      <c r="I565" s="550">
        <v>0</v>
      </c>
      <c r="J565" s="550">
        <v>413</v>
      </c>
      <c r="K565" s="550">
        <v>0</v>
      </c>
      <c r="L565" s="550">
        <v>0</v>
      </c>
      <c r="M565" s="550">
        <v>0</v>
      </c>
      <c r="N565" s="550">
        <v>443</v>
      </c>
      <c r="O565" s="550">
        <v>0</v>
      </c>
      <c r="P565" s="550">
        <v>1134</v>
      </c>
      <c r="Q565" s="550">
        <v>17</v>
      </c>
      <c r="R565" s="551" t="str">
        <f t="shared" si="104"/>
        <v>BURBANK</v>
      </c>
      <c r="S565" s="552"/>
      <c r="T565" s="552"/>
      <c r="U565" s="552"/>
      <c r="V565" s="552"/>
      <c r="W565" s="552"/>
      <c r="X565" s="552"/>
      <c r="Y565" s="552"/>
      <c r="Z565" s="552"/>
      <c r="AA565" s="553"/>
      <c r="AB565" s="553"/>
    </row>
    <row r="566" spans="1:28" ht="12.75">
      <c r="A566" s="547" t="s">
        <v>358</v>
      </c>
      <c r="B566" s="547" t="s">
        <v>153</v>
      </c>
      <c r="C566" s="548" t="s">
        <v>812</v>
      </c>
      <c r="D566" s="549">
        <v>2018</v>
      </c>
      <c r="E566" s="549" t="s">
        <v>775</v>
      </c>
      <c r="F566" s="550">
        <v>694</v>
      </c>
      <c r="G566" s="550">
        <v>0</v>
      </c>
      <c r="H566" s="550">
        <v>0</v>
      </c>
      <c r="I566" s="550">
        <v>0</v>
      </c>
      <c r="J566" s="550">
        <v>413</v>
      </c>
      <c r="K566" s="550">
        <v>20</v>
      </c>
      <c r="L566" s="550">
        <v>0</v>
      </c>
      <c r="M566" s="550">
        <v>20</v>
      </c>
      <c r="N566" s="550">
        <v>443</v>
      </c>
      <c r="O566" s="550">
        <v>6</v>
      </c>
      <c r="P566" s="550">
        <v>1134</v>
      </c>
      <c r="Q566" s="550">
        <v>35</v>
      </c>
      <c r="R566" s="551" t="str">
        <f t="shared" si="104"/>
        <v>BURBANK</v>
      </c>
      <c r="S566" s="552"/>
      <c r="T566" s="552"/>
      <c r="U566" s="552"/>
      <c r="V566" s="552"/>
      <c r="W566" s="552"/>
      <c r="X566" s="552"/>
      <c r="Y566" s="552"/>
      <c r="Z566" s="552"/>
      <c r="AA566" s="553"/>
      <c r="AB566" s="553"/>
    </row>
    <row r="567" spans="1:28" ht="12.75">
      <c r="A567" s="547" t="s">
        <v>358</v>
      </c>
      <c r="B567" s="547" t="s">
        <v>153</v>
      </c>
      <c r="C567" s="548" t="s">
        <v>813</v>
      </c>
      <c r="D567" s="549">
        <v>2019</v>
      </c>
      <c r="E567" s="549" t="s">
        <v>775</v>
      </c>
      <c r="F567" s="550">
        <v>694</v>
      </c>
      <c r="G567" s="550">
        <v>0</v>
      </c>
      <c r="H567" s="550">
        <v>0</v>
      </c>
      <c r="I567" s="550">
        <v>0</v>
      </c>
      <c r="J567" s="550">
        <v>413</v>
      </c>
      <c r="K567" s="550">
        <v>51</v>
      </c>
      <c r="L567" s="550">
        <v>0</v>
      </c>
      <c r="M567" s="550">
        <v>51</v>
      </c>
      <c r="N567" s="550">
        <v>443</v>
      </c>
      <c r="O567" s="550">
        <v>11</v>
      </c>
      <c r="P567" s="550">
        <v>1134</v>
      </c>
      <c r="Q567" s="550">
        <v>53</v>
      </c>
      <c r="R567" s="551" t="str">
        <f t="shared" si="104"/>
        <v>BURBANK</v>
      </c>
      <c r="S567" s="552">
        <f>SUM(G562:G567) +SUM(K562:K567)</f>
        <v>82</v>
      </c>
      <c r="T567" s="552">
        <f>F567+J567</f>
        <v>1107</v>
      </c>
      <c r="U567" s="552">
        <f>SUM(O562:O567)</f>
        <v>17</v>
      </c>
      <c r="V567" s="552">
        <f>N567</f>
        <v>443</v>
      </c>
      <c r="W567" s="554">
        <f>SUM(Q562:Q567)</f>
        <v>413</v>
      </c>
      <c r="X567" s="552">
        <f>P567</f>
        <v>1134</v>
      </c>
      <c r="Y567" s="552">
        <f>S567+U567+SUM(Q562:Q567)</f>
        <v>512</v>
      </c>
      <c r="Z567" s="552">
        <f>F567+J567+N567+P567</f>
        <v>2684</v>
      </c>
      <c r="AA567" s="553"/>
      <c r="AB567" s="553"/>
    </row>
    <row r="568" spans="1:28" ht="12.75">
      <c r="A568" s="547" t="s">
        <v>359</v>
      </c>
      <c r="B568" s="547" t="s">
        <v>153</v>
      </c>
      <c r="C568" s="548" t="s">
        <v>812</v>
      </c>
      <c r="D568" s="549">
        <v>2014</v>
      </c>
      <c r="E568" s="549" t="s">
        <v>775</v>
      </c>
      <c r="F568" s="550">
        <v>88</v>
      </c>
      <c r="G568" s="550">
        <v>0</v>
      </c>
      <c r="H568" s="550">
        <v>0</v>
      </c>
      <c r="I568" s="550">
        <v>0</v>
      </c>
      <c r="J568" s="550">
        <v>54</v>
      </c>
      <c r="K568" s="550">
        <v>0</v>
      </c>
      <c r="L568" s="550">
        <v>0</v>
      </c>
      <c r="M568" s="550">
        <v>0</v>
      </c>
      <c r="N568" s="550">
        <v>57</v>
      </c>
      <c r="O568" s="550">
        <v>0</v>
      </c>
      <c r="P568" s="550">
        <v>131</v>
      </c>
      <c r="Q568" s="550">
        <v>15</v>
      </c>
      <c r="R568" s="551" t="str">
        <f t="shared" si="104"/>
        <v>CALABASAS</v>
      </c>
      <c r="S568" s="552"/>
      <c r="T568" s="552"/>
      <c r="U568" s="552"/>
      <c r="V568" s="552"/>
      <c r="W568" s="552"/>
      <c r="X568" s="552"/>
      <c r="Y568" s="552"/>
      <c r="Z568" s="552"/>
      <c r="AA568" s="553"/>
      <c r="AB568" s="553"/>
    </row>
    <row r="569" spans="1:28" ht="12.75">
      <c r="A569" s="547" t="s">
        <v>359</v>
      </c>
      <c r="B569" s="547" t="s">
        <v>153</v>
      </c>
      <c r="C569" s="548" t="s">
        <v>812</v>
      </c>
      <c r="D569" s="549">
        <v>2015</v>
      </c>
      <c r="E569" s="549" t="s">
        <v>775</v>
      </c>
      <c r="F569" s="550">
        <v>88</v>
      </c>
      <c r="G569" s="550">
        <v>8</v>
      </c>
      <c r="H569" s="550">
        <v>8</v>
      </c>
      <c r="I569" s="550">
        <v>0</v>
      </c>
      <c r="J569" s="550">
        <v>54</v>
      </c>
      <c r="K569" s="550">
        <v>0</v>
      </c>
      <c r="L569" s="550">
        <v>0</v>
      </c>
      <c r="M569" s="550">
        <v>0</v>
      </c>
      <c r="N569" s="550">
        <v>57</v>
      </c>
      <c r="O569" s="550">
        <v>1</v>
      </c>
      <c r="P569" s="550">
        <v>131</v>
      </c>
      <c r="Q569" s="550">
        <v>15</v>
      </c>
      <c r="R569" s="551" t="str">
        <f t="shared" si="104"/>
        <v>CALABASAS</v>
      </c>
      <c r="S569" s="552"/>
      <c r="T569" s="552"/>
      <c r="U569" s="552"/>
      <c r="V569" s="552"/>
      <c r="W569" s="552"/>
      <c r="X569" s="552"/>
      <c r="Y569" s="552"/>
      <c r="Z569" s="552"/>
      <c r="AA569" s="553"/>
      <c r="AB569" s="553"/>
    </row>
    <row r="570" spans="1:28" ht="12.75">
      <c r="A570" s="547" t="s">
        <v>359</v>
      </c>
      <c r="B570" s="547" t="s">
        <v>153</v>
      </c>
      <c r="C570" s="548" t="s">
        <v>812</v>
      </c>
      <c r="D570" s="549">
        <v>2016</v>
      </c>
      <c r="E570" s="549" t="s">
        <v>775</v>
      </c>
      <c r="F570" s="550">
        <v>88</v>
      </c>
      <c r="G570" s="550">
        <v>0</v>
      </c>
      <c r="H570" s="550">
        <v>0</v>
      </c>
      <c r="I570" s="550">
        <v>0</v>
      </c>
      <c r="J570" s="550">
        <v>54</v>
      </c>
      <c r="K570" s="550">
        <v>0</v>
      </c>
      <c r="L570" s="550">
        <v>0</v>
      </c>
      <c r="M570" s="550">
        <v>0</v>
      </c>
      <c r="N570" s="550">
        <v>57</v>
      </c>
      <c r="O570" s="550">
        <v>2</v>
      </c>
      <c r="P570" s="550">
        <v>131</v>
      </c>
      <c r="Q570" s="550">
        <v>43</v>
      </c>
      <c r="R570" s="551" t="str">
        <f t="shared" si="104"/>
        <v>CALABASAS</v>
      </c>
      <c r="S570" s="552"/>
      <c r="T570" s="552"/>
      <c r="U570" s="552"/>
      <c r="V570" s="552"/>
      <c r="W570" s="552"/>
      <c r="X570" s="552"/>
      <c r="Y570" s="552"/>
      <c r="Z570" s="552"/>
      <c r="AA570" s="553"/>
      <c r="AB570" s="553"/>
    </row>
    <row r="571" spans="1:28" ht="12.75">
      <c r="A571" s="547" t="s">
        <v>359</v>
      </c>
      <c r="B571" s="547" t="s">
        <v>153</v>
      </c>
      <c r="C571" s="548" t="s">
        <v>812</v>
      </c>
      <c r="D571" s="549">
        <v>2017</v>
      </c>
      <c r="E571" s="549" t="s">
        <v>775</v>
      </c>
      <c r="F571" s="550">
        <v>88</v>
      </c>
      <c r="G571" s="550">
        <v>0</v>
      </c>
      <c r="H571" s="550">
        <v>0</v>
      </c>
      <c r="I571" s="550">
        <v>0</v>
      </c>
      <c r="J571" s="550">
        <v>54</v>
      </c>
      <c r="K571" s="550">
        <v>0</v>
      </c>
      <c r="L571" s="550">
        <v>0</v>
      </c>
      <c r="M571" s="550">
        <v>0</v>
      </c>
      <c r="N571" s="550">
        <v>57</v>
      </c>
      <c r="O571" s="550">
        <v>4</v>
      </c>
      <c r="P571" s="550">
        <v>131</v>
      </c>
      <c r="Q571" s="550">
        <v>18</v>
      </c>
      <c r="R571" s="551" t="str">
        <f t="shared" si="104"/>
        <v>CALABASAS</v>
      </c>
      <c r="S571" s="552"/>
      <c r="T571" s="552"/>
      <c r="U571" s="552"/>
      <c r="V571" s="552"/>
      <c r="W571" s="552"/>
      <c r="X571" s="552"/>
      <c r="Y571" s="552"/>
      <c r="Z571" s="552"/>
      <c r="AA571" s="553"/>
      <c r="AB571" s="553"/>
    </row>
    <row r="572" spans="1:28" ht="12.75">
      <c r="A572" s="547" t="s">
        <v>359</v>
      </c>
      <c r="B572" s="547" t="s">
        <v>153</v>
      </c>
      <c r="C572" s="548" t="s">
        <v>812</v>
      </c>
      <c r="D572" s="549">
        <v>2018</v>
      </c>
      <c r="E572" s="549" t="s">
        <v>775</v>
      </c>
      <c r="F572" s="550">
        <v>88</v>
      </c>
      <c r="G572" s="550">
        <v>4</v>
      </c>
      <c r="H572" s="550">
        <v>4</v>
      </c>
      <c r="I572" s="550">
        <v>0</v>
      </c>
      <c r="J572" s="550">
        <v>54</v>
      </c>
      <c r="K572" s="550">
        <v>0</v>
      </c>
      <c r="L572" s="550">
        <v>0</v>
      </c>
      <c r="M572" s="550">
        <v>0</v>
      </c>
      <c r="N572" s="550">
        <v>57</v>
      </c>
      <c r="O572" s="550">
        <v>1</v>
      </c>
      <c r="P572" s="550">
        <v>131</v>
      </c>
      <c r="Q572" s="550">
        <v>78</v>
      </c>
      <c r="R572" s="551" t="str">
        <f t="shared" si="104"/>
        <v>CALABASAS</v>
      </c>
      <c r="S572" s="552"/>
      <c r="T572" s="552"/>
      <c r="U572" s="552"/>
      <c r="V572" s="552"/>
      <c r="W572" s="552"/>
      <c r="X572" s="552"/>
      <c r="Y572" s="552"/>
      <c r="Z572" s="552"/>
      <c r="AA572" s="553"/>
      <c r="AB572" s="553"/>
    </row>
    <row r="573" spans="1:28" ht="12.75">
      <c r="A573" s="547" t="s">
        <v>359</v>
      </c>
      <c r="B573" s="547" t="s">
        <v>153</v>
      </c>
      <c r="C573" s="548" t="s">
        <v>813</v>
      </c>
      <c r="D573" s="549">
        <v>2019</v>
      </c>
      <c r="E573" s="549" t="s">
        <v>775</v>
      </c>
      <c r="F573" s="550">
        <v>88</v>
      </c>
      <c r="G573" s="550">
        <v>0</v>
      </c>
      <c r="H573" s="550">
        <v>0</v>
      </c>
      <c r="I573" s="550">
        <v>0</v>
      </c>
      <c r="J573" s="550">
        <v>54</v>
      </c>
      <c r="K573" s="550">
        <v>0</v>
      </c>
      <c r="L573" s="550">
        <v>0</v>
      </c>
      <c r="M573" s="550">
        <v>0</v>
      </c>
      <c r="N573" s="550">
        <v>57</v>
      </c>
      <c r="O573" s="550">
        <v>0</v>
      </c>
      <c r="P573" s="550">
        <v>131</v>
      </c>
      <c r="Q573" s="550">
        <v>10</v>
      </c>
      <c r="R573" s="551" t="str">
        <f t="shared" si="104"/>
        <v>CALABASAS</v>
      </c>
      <c r="S573" s="552">
        <f>SUM(G568:G573) +SUM(K568:K573)</f>
        <v>12</v>
      </c>
      <c r="T573" s="552">
        <f>F573+J573</f>
        <v>142</v>
      </c>
      <c r="U573" s="552">
        <f>SUM(O568:O573)</f>
        <v>8</v>
      </c>
      <c r="V573" s="552">
        <f>N573</f>
        <v>57</v>
      </c>
      <c r="W573" s="554">
        <f>SUM(Q568:Q573)</f>
        <v>179</v>
      </c>
      <c r="X573" s="552">
        <f>P573</f>
        <v>131</v>
      </c>
      <c r="Y573" s="552">
        <f>S573+U573+SUM(Q568:Q573)</f>
        <v>199</v>
      </c>
      <c r="Z573" s="552">
        <f>F573+J573+N573+P573</f>
        <v>330</v>
      </c>
      <c r="AA573" s="553"/>
      <c r="AB573" s="553"/>
    </row>
    <row r="574" spans="1:28" ht="12.75">
      <c r="A574" s="547" t="s">
        <v>360</v>
      </c>
      <c r="B574" s="547" t="s">
        <v>153</v>
      </c>
      <c r="C574" s="548" t="s">
        <v>812</v>
      </c>
      <c r="D574" s="549">
        <v>2015</v>
      </c>
      <c r="E574" s="549" t="s">
        <v>775</v>
      </c>
      <c r="F574" s="550">
        <v>447</v>
      </c>
      <c r="G574" s="550">
        <v>0</v>
      </c>
      <c r="H574" s="550">
        <v>0</v>
      </c>
      <c r="I574" s="550">
        <v>0</v>
      </c>
      <c r="J574" s="550">
        <v>263</v>
      </c>
      <c r="K574" s="550">
        <v>0</v>
      </c>
      <c r="L574" s="550">
        <v>0</v>
      </c>
      <c r="M574" s="550">
        <v>0</v>
      </c>
      <c r="N574" s="550">
        <v>280</v>
      </c>
      <c r="O574" s="550">
        <v>11</v>
      </c>
      <c r="P574" s="550">
        <v>708</v>
      </c>
      <c r="Q574" s="550">
        <v>83</v>
      </c>
      <c r="R574" s="551" t="str">
        <f t="shared" si="104"/>
        <v>CARSON</v>
      </c>
      <c r="S574" s="552"/>
      <c r="T574" s="552"/>
      <c r="U574" s="552"/>
      <c r="V574" s="552"/>
      <c r="W574" s="552"/>
      <c r="X574" s="552"/>
      <c r="Y574" s="552"/>
      <c r="Z574" s="552"/>
      <c r="AA574" s="553"/>
      <c r="AB574" s="553"/>
    </row>
    <row r="575" spans="1:28" ht="12.75">
      <c r="A575" s="547" t="s">
        <v>360</v>
      </c>
      <c r="B575" s="547" t="s">
        <v>153</v>
      </c>
      <c r="C575" s="548" t="s">
        <v>812</v>
      </c>
      <c r="D575" s="549">
        <v>2016</v>
      </c>
      <c r="E575" s="549" t="s">
        <v>775</v>
      </c>
      <c r="F575" s="550">
        <v>447</v>
      </c>
      <c r="G575" s="550">
        <v>0</v>
      </c>
      <c r="H575" s="550">
        <v>0</v>
      </c>
      <c r="I575" s="550">
        <v>0</v>
      </c>
      <c r="J575" s="550">
        <v>263</v>
      </c>
      <c r="K575" s="550">
        <v>0</v>
      </c>
      <c r="L575" s="550">
        <v>0</v>
      </c>
      <c r="M575" s="550">
        <v>0</v>
      </c>
      <c r="N575" s="550">
        <v>280</v>
      </c>
      <c r="O575" s="550">
        <v>35</v>
      </c>
      <c r="P575" s="550">
        <v>708</v>
      </c>
      <c r="Q575" s="550">
        <v>0</v>
      </c>
      <c r="R575" s="551" t="str">
        <f t="shared" si="104"/>
        <v>CARSON</v>
      </c>
      <c r="S575" s="552"/>
      <c r="T575" s="552"/>
      <c r="U575" s="552"/>
      <c r="V575" s="552"/>
      <c r="W575" s="552"/>
      <c r="X575" s="552"/>
      <c r="Y575" s="552"/>
      <c r="Z575" s="552"/>
      <c r="AA575" s="553"/>
      <c r="AB575" s="553"/>
    </row>
    <row r="576" spans="1:28" ht="12.75">
      <c r="A576" s="547" t="s">
        <v>360</v>
      </c>
      <c r="B576" s="547" t="s">
        <v>153</v>
      </c>
      <c r="C576" s="548" t="s">
        <v>812</v>
      </c>
      <c r="D576" s="549">
        <v>2017</v>
      </c>
      <c r="E576" s="549" t="s">
        <v>775</v>
      </c>
      <c r="F576" s="550">
        <v>447</v>
      </c>
      <c r="G576" s="550">
        <v>39</v>
      </c>
      <c r="H576" s="550">
        <v>39</v>
      </c>
      <c r="I576" s="550">
        <v>0</v>
      </c>
      <c r="J576" s="550">
        <v>263</v>
      </c>
      <c r="K576" s="550">
        <v>56</v>
      </c>
      <c r="L576" s="550">
        <v>56</v>
      </c>
      <c r="M576" s="550">
        <v>0</v>
      </c>
      <c r="N576" s="550">
        <v>280</v>
      </c>
      <c r="O576" s="550">
        <v>84</v>
      </c>
      <c r="P576" s="550">
        <v>708</v>
      </c>
      <c r="Q576" s="550">
        <v>0</v>
      </c>
      <c r="R576" s="551" t="str">
        <f t="shared" si="104"/>
        <v>CARSON</v>
      </c>
      <c r="S576" s="552"/>
      <c r="T576" s="552"/>
      <c r="U576" s="552"/>
      <c r="V576" s="552"/>
      <c r="W576" s="552"/>
      <c r="X576" s="552"/>
      <c r="Y576" s="552"/>
      <c r="Z576" s="552"/>
      <c r="AA576" s="553"/>
      <c r="AB576" s="553"/>
    </row>
    <row r="577" spans="1:28" ht="12.75">
      <c r="A577" s="547" t="s">
        <v>360</v>
      </c>
      <c r="B577" s="547" t="s">
        <v>153</v>
      </c>
      <c r="C577" s="548" t="s">
        <v>812</v>
      </c>
      <c r="D577" s="549">
        <v>2018</v>
      </c>
      <c r="E577" s="549" t="s">
        <v>775</v>
      </c>
      <c r="F577" s="550">
        <v>447</v>
      </c>
      <c r="G577" s="550">
        <v>0</v>
      </c>
      <c r="H577" s="550">
        <v>0</v>
      </c>
      <c r="I577" s="550">
        <v>0</v>
      </c>
      <c r="J577" s="550">
        <v>263</v>
      </c>
      <c r="K577" s="550">
        <v>1</v>
      </c>
      <c r="L577" s="550">
        <v>0</v>
      </c>
      <c r="M577" s="550">
        <v>1</v>
      </c>
      <c r="N577" s="550">
        <v>280</v>
      </c>
      <c r="O577" s="550">
        <v>0</v>
      </c>
      <c r="P577" s="550">
        <v>708</v>
      </c>
      <c r="Q577" s="550">
        <v>6</v>
      </c>
      <c r="R577" s="551" t="str">
        <f t="shared" si="104"/>
        <v>CARSON</v>
      </c>
      <c r="S577" s="255">
        <f>SUM(G574:G577) +SUM(K574:K577)</f>
        <v>96</v>
      </c>
      <c r="T577" s="255">
        <f>F577+J577</f>
        <v>710</v>
      </c>
      <c r="U577" s="255">
        <f>SUM(O574:O577)</f>
        <v>130</v>
      </c>
      <c r="V577" s="255">
        <f>N577</f>
        <v>280</v>
      </c>
      <c r="W577" s="83">
        <f>SUM(Q574:Q577)</f>
        <v>89</v>
      </c>
      <c r="X577" s="255">
        <f>P577</f>
        <v>708</v>
      </c>
      <c r="Y577" s="255">
        <f>S577+U577+SUM(Q574:Q577)</f>
        <v>315</v>
      </c>
      <c r="Z577" s="255">
        <f>F577+J577+N577+P577</f>
        <v>1698</v>
      </c>
      <c r="AA577" s="553"/>
      <c r="AB577" s="553"/>
    </row>
    <row r="578" spans="1:28" ht="12.75">
      <c r="A578" s="547" t="s">
        <v>361</v>
      </c>
      <c r="B578" s="547" t="s">
        <v>153</v>
      </c>
      <c r="C578" s="548" t="s">
        <v>812</v>
      </c>
      <c r="D578" s="549">
        <v>2014</v>
      </c>
      <c r="E578" s="549" t="s">
        <v>775</v>
      </c>
      <c r="F578" s="550">
        <v>23</v>
      </c>
      <c r="G578" s="550">
        <v>0</v>
      </c>
      <c r="H578" s="550">
        <v>0</v>
      </c>
      <c r="I578" s="550">
        <v>0</v>
      </c>
      <c r="J578" s="550">
        <v>14</v>
      </c>
      <c r="K578" s="550">
        <v>0</v>
      </c>
      <c r="L578" s="550">
        <v>0</v>
      </c>
      <c r="M578" s="550">
        <v>0</v>
      </c>
      <c r="N578" s="550">
        <v>14</v>
      </c>
      <c r="O578" s="550">
        <v>0</v>
      </c>
      <c r="P578" s="550">
        <v>35</v>
      </c>
      <c r="Q578" s="550">
        <v>223</v>
      </c>
      <c r="R578" s="551" t="str">
        <f t="shared" si="104"/>
        <v>CERRITOS</v>
      </c>
      <c r="S578" s="552"/>
      <c r="T578" s="552"/>
      <c r="U578" s="552"/>
      <c r="V578" s="552"/>
      <c r="W578" s="552"/>
      <c r="X578" s="552"/>
      <c r="Y578" s="552"/>
      <c r="Z578" s="552"/>
      <c r="AA578" s="553"/>
      <c r="AB578" s="553"/>
    </row>
    <row r="579" spans="1:28" ht="12.75">
      <c r="A579" s="547" t="s">
        <v>361</v>
      </c>
      <c r="B579" s="555" t="s">
        <v>153</v>
      </c>
      <c r="C579" s="548" t="s">
        <v>812</v>
      </c>
      <c r="D579" s="549">
        <v>2015</v>
      </c>
      <c r="E579" s="549" t="s">
        <v>775</v>
      </c>
      <c r="F579" s="550">
        <v>23</v>
      </c>
      <c r="G579" s="550">
        <v>0</v>
      </c>
      <c r="H579" s="550">
        <v>0</v>
      </c>
      <c r="I579" s="550">
        <v>0</v>
      </c>
      <c r="J579" s="550">
        <v>14</v>
      </c>
      <c r="K579" s="550">
        <v>0</v>
      </c>
      <c r="L579" s="550">
        <v>0</v>
      </c>
      <c r="M579" s="550">
        <v>0</v>
      </c>
      <c r="N579" s="550">
        <v>14</v>
      </c>
      <c r="O579" s="550">
        <v>0</v>
      </c>
      <c r="P579" s="550">
        <v>35</v>
      </c>
      <c r="Q579" s="550">
        <v>0</v>
      </c>
      <c r="R579" s="551" t="str">
        <f t="shared" si="104"/>
        <v>CERRITOS</v>
      </c>
      <c r="S579" s="552"/>
      <c r="T579" s="552"/>
      <c r="U579" s="552"/>
      <c r="V579" s="552"/>
      <c r="W579" s="552"/>
      <c r="X579" s="552"/>
      <c r="Y579" s="552"/>
      <c r="Z579" s="552"/>
      <c r="AA579" s="553"/>
      <c r="AB579" s="553"/>
    </row>
    <row r="580" spans="1:28" ht="12.75">
      <c r="A580" s="547" t="s">
        <v>361</v>
      </c>
      <c r="B580" s="547" t="s">
        <v>153</v>
      </c>
      <c r="C580" s="548" t="s">
        <v>812</v>
      </c>
      <c r="D580" s="549">
        <v>2016</v>
      </c>
      <c r="E580" s="549" t="s">
        <v>775</v>
      </c>
      <c r="F580" s="550">
        <v>23</v>
      </c>
      <c r="G580" s="550">
        <v>0</v>
      </c>
      <c r="H580" s="550">
        <v>0</v>
      </c>
      <c r="I580" s="550">
        <v>0</v>
      </c>
      <c r="J580" s="550">
        <v>14</v>
      </c>
      <c r="K580" s="550">
        <v>0</v>
      </c>
      <c r="L580" s="550">
        <v>0</v>
      </c>
      <c r="M580" s="550">
        <v>0</v>
      </c>
      <c r="N580" s="550">
        <v>14</v>
      </c>
      <c r="O580" s="550">
        <v>0</v>
      </c>
      <c r="P580" s="550">
        <v>35</v>
      </c>
      <c r="Q580" s="550">
        <v>132</v>
      </c>
      <c r="R580" s="551" t="str">
        <f t="shared" si="104"/>
        <v>CERRITOS</v>
      </c>
      <c r="S580" s="552"/>
      <c r="T580" s="552"/>
      <c r="U580" s="552"/>
      <c r="V580" s="552"/>
      <c r="W580" s="552"/>
      <c r="X580" s="552"/>
      <c r="Y580" s="552"/>
      <c r="Z580" s="552"/>
      <c r="AA580" s="553"/>
      <c r="AB580" s="553"/>
    </row>
    <row r="581" spans="1:28" ht="12.75">
      <c r="A581" s="547" t="s">
        <v>361</v>
      </c>
      <c r="B581" s="547" t="s">
        <v>153</v>
      </c>
      <c r="C581" s="548" t="s">
        <v>812</v>
      </c>
      <c r="D581" s="549">
        <v>2017</v>
      </c>
      <c r="E581" s="549" t="s">
        <v>775</v>
      </c>
      <c r="F581" s="550">
        <v>23</v>
      </c>
      <c r="G581" s="550">
        <v>0</v>
      </c>
      <c r="H581" s="550">
        <v>0</v>
      </c>
      <c r="I581" s="550">
        <v>0</v>
      </c>
      <c r="J581" s="550">
        <v>14</v>
      </c>
      <c r="K581" s="550">
        <v>0</v>
      </c>
      <c r="L581" s="550">
        <v>0</v>
      </c>
      <c r="M581" s="550">
        <v>0</v>
      </c>
      <c r="N581" s="550">
        <v>14</v>
      </c>
      <c r="O581" s="550">
        <v>0</v>
      </c>
      <c r="P581" s="550">
        <v>35</v>
      </c>
      <c r="Q581" s="550">
        <v>0</v>
      </c>
      <c r="R581" s="551" t="str">
        <f t="shared" si="104"/>
        <v>CERRITOS</v>
      </c>
      <c r="S581" s="552"/>
      <c r="T581" s="552"/>
      <c r="U581" s="552"/>
      <c r="V581" s="552"/>
      <c r="W581" s="552"/>
      <c r="X581" s="552"/>
      <c r="Y581" s="552"/>
      <c r="Z581" s="552"/>
      <c r="AA581" s="553"/>
      <c r="AB581" s="553"/>
    </row>
    <row r="582" spans="1:28" ht="12.75">
      <c r="A582" s="547" t="s">
        <v>361</v>
      </c>
      <c r="B582" s="547" t="s">
        <v>153</v>
      </c>
      <c r="C582" s="548" t="s">
        <v>812</v>
      </c>
      <c r="D582" s="549">
        <v>2018</v>
      </c>
      <c r="E582" s="549" t="s">
        <v>775</v>
      </c>
      <c r="F582" s="550">
        <v>23</v>
      </c>
      <c r="G582" s="564"/>
      <c r="H582" s="564"/>
      <c r="I582" s="564"/>
      <c r="J582" s="550">
        <v>14</v>
      </c>
      <c r="K582" s="564"/>
      <c r="L582" s="564"/>
      <c r="M582" s="564"/>
      <c r="N582" s="550">
        <v>14</v>
      </c>
      <c r="O582" s="564"/>
      <c r="P582" s="550">
        <v>35</v>
      </c>
      <c r="Q582" s="564"/>
      <c r="R582" s="551" t="str">
        <f t="shared" si="104"/>
        <v>CERRITOS</v>
      </c>
      <c r="S582" s="552"/>
      <c r="T582" s="552"/>
      <c r="U582" s="552"/>
      <c r="V582" s="552"/>
      <c r="W582" s="552"/>
      <c r="X582" s="552"/>
      <c r="Y582" s="552"/>
      <c r="Z582" s="552"/>
      <c r="AA582" s="553"/>
      <c r="AB582" s="553"/>
    </row>
    <row r="583" spans="1:28" ht="12.75">
      <c r="A583" s="547" t="s">
        <v>361</v>
      </c>
      <c r="B583" s="547" t="s">
        <v>153</v>
      </c>
      <c r="C583" s="548" t="s">
        <v>813</v>
      </c>
      <c r="D583" s="549">
        <v>2019</v>
      </c>
      <c r="E583" s="549" t="s">
        <v>775</v>
      </c>
      <c r="F583" s="550">
        <v>23</v>
      </c>
      <c r="G583" s="550">
        <v>2</v>
      </c>
      <c r="H583" s="550">
        <v>0</v>
      </c>
      <c r="I583" s="550">
        <v>2</v>
      </c>
      <c r="J583" s="550">
        <v>14</v>
      </c>
      <c r="K583" s="550">
        <v>0</v>
      </c>
      <c r="L583" s="550">
        <v>0</v>
      </c>
      <c r="M583" s="550">
        <v>0</v>
      </c>
      <c r="N583" s="550">
        <v>14</v>
      </c>
      <c r="O583" s="550">
        <v>1</v>
      </c>
      <c r="P583" s="550">
        <v>35</v>
      </c>
      <c r="Q583" s="550">
        <v>0</v>
      </c>
      <c r="R583" s="551" t="str">
        <f t="shared" si="104"/>
        <v>CERRITOS</v>
      </c>
      <c r="S583" s="552">
        <f>SUM(G578:G583) +SUM(K578:K583)</f>
        <v>2</v>
      </c>
      <c r="T583" s="552">
        <f>F583+J583</f>
        <v>37</v>
      </c>
      <c r="U583" s="552">
        <f>SUM(O578:O583)</f>
        <v>1</v>
      </c>
      <c r="V583" s="552">
        <f>N583</f>
        <v>14</v>
      </c>
      <c r="W583" s="554">
        <f>SUM(Q578:Q583)</f>
        <v>355</v>
      </c>
      <c r="X583" s="552">
        <f>P583</f>
        <v>35</v>
      </c>
      <c r="Y583" s="552">
        <f>S583+U583+SUM(Q578:Q583)</f>
        <v>358</v>
      </c>
      <c r="Z583" s="552">
        <f>F583+J583+N583+P583</f>
        <v>86</v>
      </c>
      <c r="AA583" s="553"/>
      <c r="AB583" s="553"/>
    </row>
    <row r="584" spans="1:28" ht="12.75">
      <c r="A584" s="547" t="s">
        <v>362</v>
      </c>
      <c r="B584" s="547" t="s">
        <v>153</v>
      </c>
      <c r="C584" s="548" t="s">
        <v>812</v>
      </c>
      <c r="D584" s="549">
        <v>2017</v>
      </c>
      <c r="E584" s="549" t="s">
        <v>775</v>
      </c>
      <c r="F584" s="550">
        <v>98</v>
      </c>
      <c r="G584" s="550">
        <v>0</v>
      </c>
      <c r="H584" s="550">
        <v>0</v>
      </c>
      <c r="I584" s="550">
        <v>0</v>
      </c>
      <c r="J584" s="550">
        <v>59</v>
      </c>
      <c r="K584" s="550">
        <v>0</v>
      </c>
      <c r="L584" s="550">
        <v>0</v>
      </c>
      <c r="M584" s="550">
        <v>0</v>
      </c>
      <c r="N584" s="550">
        <v>64</v>
      </c>
      <c r="O584" s="550">
        <v>16</v>
      </c>
      <c r="P584" s="550">
        <v>152</v>
      </c>
      <c r="Q584" s="550">
        <v>316</v>
      </c>
      <c r="R584" s="551" t="str">
        <f t="shared" si="104"/>
        <v>CLAREMONT</v>
      </c>
      <c r="S584" s="552"/>
      <c r="T584" s="552"/>
      <c r="U584" s="552"/>
      <c r="V584" s="552"/>
      <c r="W584" s="552"/>
      <c r="X584" s="552"/>
      <c r="Y584" s="552"/>
      <c r="Z584" s="552"/>
      <c r="AA584" s="553"/>
      <c r="AB584" s="553"/>
    </row>
    <row r="585" spans="1:28" ht="12.75">
      <c r="A585" s="547" t="s">
        <v>362</v>
      </c>
      <c r="B585" s="547" t="s">
        <v>153</v>
      </c>
      <c r="C585" s="548" t="s">
        <v>812</v>
      </c>
      <c r="D585" s="549">
        <v>2018</v>
      </c>
      <c r="E585" s="549" t="s">
        <v>775</v>
      </c>
      <c r="F585" s="550">
        <v>98</v>
      </c>
      <c r="G585" s="550">
        <v>0</v>
      </c>
      <c r="H585" s="550">
        <v>0</v>
      </c>
      <c r="I585" s="550">
        <v>0</v>
      </c>
      <c r="J585" s="550">
        <v>59</v>
      </c>
      <c r="K585" s="550">
        <v>0</v>
      </c>
      <c r="L585" s="550">
        <v>0</v>
      </c>
      <c r="M585" s="550">
        <v>0</v>
      </c>
      <c r="N585" s="550">
        <v>64</v>
      </c>
      <c r="O585" s="550">
        <v>7</v>
      </c>
      <c r="P585" s="550">
        <v>152</v>
      </c>
      <c r="Q585" s="550">
        <v>30</v>
      </c>
      <c r="R585" s="551" t="str">
        <f t="shared" si="104"/>
        <v>CLAREMONT</v>
      </c>
      <c r="S585" s="552"/>
      <c r="T585" s="552"/>
      <c r="U585" s="552"/>
      <c r="V585" s="552"/>
      <c r="W585" s="552"/>
      <c r="X585" s="552"/>
      <c r="Y585" s="552"/>
      <c r="Z585" s="552"/>
      <c r="AA585" s="553"/>
      <c r="AB585" s="553"/>
    </row>
    <row r="586" spans="1:28" ht="12.75">
      <c r="A586" s="547" t="s">
        <v>362</v>
      </c>
      <c r="B586" s="547" t="s">
        <v>153</v>
      </c>
      <c r="C586" s="548" t="s">
        <v>813</v>
      </c>
      <c r="D586" s="549">
        <v>2019</v>
      </c>
      <c r="E586" s="549" t="s">
        <v>775</v>
      </c>
      <c r="F586" s="550">
        <v>98</v>
      </c>
      <c r="G586" s="550">
        <v>3</v>
      </c>
      <c r="H586" s="550">
        <v>0</v>
      </c>
      <c r="I586" s="550">
        <v>3</v>
      </c>
      <c r="J586" s="550">
        <v>59</v>
      </c>
      <c r="K586" s="550">
        <v>2</v>
      </c>
      <c r="L586" s="550">
        <v>0</v>
      </c>
      <c r="M586" s="550">
        <v>2</v>
      </c>
      <c r="N586" s="550">
        <v>64</v>
      </c>
      <c r="O586" s="550">
        <v>18</v>
      </c>
      <c r="P586" s="550">
        <v>152</v>
      </c>
      <c r="Q586" s="550">
        <v>43</v>
      </c>
      <c r="R586" s="551" t="str">
        <f t="shared" si="104"/>
        <v>CLAREMONT</v>
      </c>
      <c r="S586" s="255">
        <f>SUM(G584:G586) +SUM(K584:K586)</f>
        <v>5</v>
      </c>
      <c r="T586" s="255">
        <f t="shared" ref="T586:T589" si="105">F586+J586</f>
        <v>157</v>
      </c>
      <c r="U586" s="255">
        <f>SUM(O584:O586)</f>
        <v>41</v>
      </c>
      <c r="V586" s="255">
        <f t="shared" ref="V586:V589" si="106">N586</f>
        <v>64</v>
      </c>
      <c r="W586" s="83">
        <f>SUM(Q584:Q586)</f>
        <v>389</v>
      </c>
      <c r="X586" s="255">
        <f t="shared" ref="X586:X589" si="107">P586</f>
        <v>152</v>
      </c>
      <c r="Y586" s="255">
        <f>S586+U586+SUM(Q584:Q586)</f>
        <v>435</v>
      </c>
      <c r="Z586" s="255">
        <f t="shared" ref="Z586:Z589" si="108">F586+J586+N586+P586</f>
        <v>373</v>
      </c>
      <c r="AA586" s="553"/>
      <c r="AB586" s="553"/>
    </row>
    <row r="587" spans="1:28" ht="12.75">
      <c r="A587" s="547" t="s">
        <v>364</v>
      </c>
      <c r="B587" s="547" t="s">
        <v>153</v>
      </c>
      <c r="C587" s="548" t="s">
        <v>813</v>
      </c>
      <c r="D587" s="549">
        <v>2019</v>
      </c>
      <c r="E587" s="549" t="s">
        <v>775</v>
      </c>
      <c r="F587" s="550">
        <v>1</v>
      </c>
      <c r="G587" s="550">
        <v>0</v>
      </c>
      <c r="H587" s="550">
        <v>0</v>
      </c>
      <c r="I587" s="550">
        <v>0</v>
      </c>
      <c r="J587" s="550">
        <v>1</v>
      </c>
      <c r="K587" s="550">
        <v>0</v>
      </c>
      <c r="L587" s="550">
        <v>0</v>
      </c>
      <c r="M587" s="550">
        <v>0</v>
      </c>
      <c r="N587" s="550">
        <v>0</v>
      </c>
      <c r="O587" s="550">
        <v>0</v>
      </c>
      <c r="P587" s="550">
        <v>0</v>
      </c>
      <c r="Q587" s="550">
        <v>73</v>
      </c>
      <c r="R587" s="551" t="str">
        <f t="shared" si="104"/>
        <v>COMPTON</v>
      </c>
      <c r="S587" s="552">
        <f t="shared" ref="S587:S589" si="109">G587+K587</f>
        <v>0</v>
      </c>
      <c r="T587" s="552">
        <f t="shared" si="105"/>
        <v>2</v>
      </c>
      <c r="U587" s="552">
        <f t="shared" ref="U587:U589" si="110">O587</f>
        <v>0</v>
      </c>
      <c r="V587" s="552">
        <f t="shared" si="106"/>
        <v>0</v>
      </c>
      <c r="W587" s="552">
        <f t="shared" ref="W587:W589" si="111">Q587</f>
        <v>73</v>
      </c>
      <c r="X587" s="552">
        <f t="shared" si="107"/>
        <v>0</v>
      </c>
      <c r="Y587" s="552">
        <f t="shared" ref="Y587:Y589" si="112">S587+U587+W587</f>
        <v>73</v>
      </c>
      <c r="Z587" s="552">
        <f t="shared" si="108"/>
        <v>2</v>
      </c>
      <c r="AA587" s="553"/>
      <c r="AB587" s="553"/>
    </row>
    <row r="588" spans="1:28" ht="12.75">
      <c r="A588" s="547" t="s">
        <v>363</v>
      </c>
      <c r="B588" s="547" t="s">
        <v>153</v>
      </c>
      <c r="C588" s="548" t="s">
        <v>813</v>
      </c>
      <c r="D588" s="549">
        <v>2019</v>
      </c>
      <c r="E588" s="549" t="s">
        <v>775</v>
      </c>
      <c r="F588" s="550">
        <v>12</v>
      </c>
      <c r="G588" s="550">
        <v>0</v>
      </c>
      <c r="H588" s="550">
        <v>0</v>
      </c>
      <c r="I588" s="550">
        <v>0</v>
      </c>
      <c r="J588" s="550">
        <v>7</v>
      </c>
      <c r="K588" s="550">
        <v>0</v>
      </c>
      <c r="L588" s="550">
        <v>0</v>
      </c>
      <c r="M588" s="550">
        <v>0</v>
      </c>
      <c r="N588" s="550">
        <v>7</v>
      </c>
      <c r="O588" s="550">
        <v>0</v>
      </c>
      <c r="P588" s="550">
        <v>20</v>
      </c>
      <c r="Q588" s="550">
        <v>0</v>
      </c>
      <c r="R588" s="569" t="s">
        <v>363</v>
      </c>
      <c r="S588" s="552">
        <f t="shared" si="109"/>
        <v>0</v>
      </c>
      <c r="T588" s="552">
        <f t="shared" si="105"/>
        <v>19</v>
      </c>
      <c r="U588" s="552">
        <f t="shared" si="110"/>
        <v>0</v>
      </c>
      <c r="V588" s="552">
        <f t="shared" si="106"/>
        <v>7</v>
      </c>
      <c r="W588" s="552">
        <f t="shared" si="111"/>
        <v>0</v>
      </c>
      <c r="X588" s="552">
        <f t="shared" si="107"/>
        <v>20</v>
      </c>
      <c r="Y588" s="552">
        <f t="shared" si="112"/>
        <v>0</v>
      </c>
      <c r="Z588" s="552">
        <f t="shared" si="108"/>
        <v>46</v>
      </c>
      <c r="AA588" s="553"/>
      <c r="AB588" s="553"/>
    </row>
    <row r="589" spans="1:28" ht="12.75">
      <c r="A589" s="547" t="s">
        <v>365</v>
      </c>
      <c r="B589" s="547" t="s">
        <v>153</v>
      </c>
      <c r="C589" s="548" t="s">
        <v>813</v>
      </c>
      <c r="D589" s="549">
        <v>2018</v>
      </c>
      <c r="E589" s="549" t="s">
        <v>775</v>
      </c>
      <c r="F589" s="550">
        <v>60</v>
      </c>
      <c r="G589" s="550">
        <v>0</v>
      </c>
      <c r="H589" s="550">
        <v>0</v>
      </c>
      <c r="I589" s="550">
        <v>0</v>
      </c>
      <c r="J589" s="550">
        <v>35</v>
      </c>
      <c r="K589" s="550">
        <v>0</v>
      </c>
      <c r="L589" s="550">
        <v>0</v>
      </c>
      <c r="M589" s="550">
        <v>0</v>
      </c>
      <c r="N589" s="550">
        <v>38</v>
      </c>
      <c r="O589" s="550">
        <v>0</v>
      </c>
      <c r="P589" s="550">
        <v>97</v>
      </c>
      <c r="Q589" s="550">
        <v>16</v>
      </c>
      <c r="R589" s="569" t="s">
        <v>365</v>
      </c>
      <c r="S589" s="552">
        <f t="shared" si="109"/>
        <v>0</v>
      </c>
      <c r="T589" s="552">
        <f t="shared" si="105"/>
        <v>95</v>
      </c>
      <c r="U589" s="552">
        <f t="shared" si="110"/>
        <v>0</v>
      </c>
      <c r="V589" s="552">
        <f t="shared" si="106"/>
        <v>38</v>
      </c>
      <c r="W589" s="552">
        <f t="shared" si="111"/>
        <v>16</v>
      </c>
      <c r="X589" s="552">
        <f t="shared" si="107"/>
        <v>97</v>
      </c>
      <c r="Y589" s="552">
        <f t="shared" si="112"/>
        <v>16</v>
      </c>
      <c r="Z589" s="552">
        <f t="shared" si="108"/>
        <v>230</v>
      </c>
      <c r="AA589" s="553"/>
      <c r="AB589" s="553"/>
    </row>
    <row r="590" spans="1:28" ht="12.75">
      <c r="A590" s="547" t="s">
        <v>366</v>
      </c>
      <c r="B590" s="547" t="s">
        <v>153</v>
      </c>
      <c r="C590" s="548" t="s">
        <v>812</v>
      </c>
      <c r="D590" s="549">
        <v>2014</v>
      </c>
      <c r="E590" s="549" t="s">
        <v>775</v>
      </c>
      <c r="F590" s="550">
        <v>80</v>
      </c>
      <c r="G590" s="550">
        <v>0</v>
      </c>
      <c r="H590" s="550">
        <v>0</v>
      </c>
      <c r="I590" s="550">
        <v>0</v>
      </c>
      <c r="J590" s="550">
        <v>46</v>
      </c>
      <c r="K590" s="550">
        <v>0</v>
      </c>
      <c r="L590" s="550">
        <v>0</v>
      </c>
      <c r="M590" s="550">
        <v>0</v>
      </c>
      <c r="N590" s="550">
        <v>51</v>
      </c>
      <c r="O590" s="550">
        <v>0</v>
      </c>
      <c r="P590" s="550">
        <v>141</v>
      </c>
      <c r="Q590" s="550">
        <v>0</v>
      </c>
      <c r="R590" s="551" t="str">
        <f t="shared" ref="R590:R648" si="113">A590</f>
        <v>CUDAHY</v>
      </c>
      <c r="S590" s="552"/>
      <c r="T590" s="552"/>
      <c r="U590" s="552"/>
      <c r="V590" s="552"/>
      <c r="W590" s="552"/>
      <c r="X590" s="552"/>
      <c r="Y590" s="552"/>
      <c r="Z590" s="552"/>
      <c r="AA590" s="553"/>
      <c r="AB590" s="553"/>
    </row>
    <row r="591" spans="1:28" ht="12.75">
      <c r="A591" s="547" t="s">
        <v>366</v>
      </c>
      <c r="B591" s="547" t="s">
        <v>153</v>
      </c>
      <c r="C591" s="548" t="s">
        <v>812</v>
      </c>
      <c r="D591" s="549">
        <v>2016</v>
      </c>
      <c r="E591" s="549" t="s">
        <v>775</v>
      </c>
      <c r="F591" s="550">
        <v>80</v>
      </c>
      <c r="G591" s="550">
        <v>0</v>
      </c>
      <c r="H591" s="550">
        <v>0</v>
      </c>
      <c r="I591" s="550">
        <v>0</v>
      </c>
      <c r="J591" s="550">
        <v>46</v>
      </c>
      <c r="K591" s="550">
        <v>0</v>
      </c>
      <c r="L591" s="550">
        <v>0</v>
      </c>
      <c r="M591" s="550">
        <v>0</v>
      </c>
      <c r="N591" s="550">
        <v>51</v>
      </c>
      <c r="O591" s="550">
        <v>0</v>
      </c>
      <c r="P591" s="550">
        <v>141</v>
      </c>
      <c r="Q591" s="550">
        <v>0</v>
      </c>
      <c r="R591" s="551" t="str">
        <f t="shared" si="113"/>
        <v>CUDAHY</v>
      </c>
      <c r="S591" s="552"/>
      <c r="T591" s="552"/>
      <c r="U591" s="552"/>
      <c r="V591" s="552"/>
      <c r="W591" s="552"/>
      <c r="X591" s="552"/>
      <c r="Y591" s="552"/>
      <c r="Z591" s="552"/>
      <c r="AA591" s="553"/>
      <c r="AB591" s="553"/>
    </row>
    <row r="592" spans="1:28" ht="12.75">
      <c r="A592" s="547" t="s">
        <v>366</v>
      </c>
      <c r="B592" s="547" t="s">
        <v>153</v>
      </c>
      <c r="C592" s="548" t="s">
        <v>813</v>
      </c>
      <c r="D592" s="549">
        <v>2019</v>
      </c>
      <c r="E592" s="549" t="s">
        <v>775</v>
      </c>
      <c r="F592" s="550">
        <v>80</v>
      </c>
      <c r="G592" s="550">
        <v>2</v>
      </c>
      <c r="H592" s="550">
        <v>2</v>
      </c>
      <c r="I592" s="550">
        <v>0</v>
      </c>
      <c r="J592" s="550">
        <v>46</v>
      </c>
      <c r="K592" s="550">
        <v>0</v>
      </c>
      <c r="L592" s="550">
        <v>0</v>
      </c>
      <c r="M592" s="550">
        <v>0</v>
      </c>
      <c r="N592" s="550">
        <v>51</v>
      </c>
      <c r="O592" s="550">
        <v>0</v>
      </c>
      <c r="P592" s="550">
        <v>141</v>
      </c>
      <c r="Q592" s="550">
        <v>10</v>
      </c>
      <c r="R592" s="551" t="str">
        <f t="shared" si="113"/>
        <v>CUDAHY</v>
      </c>
      <c r="S592" s="255">
        <f>SUM(G590:G592) +SUM(K590:K592)</f>
        <v>2</v>
      </c>
      <c r="T592" s="255">
        <f>F592+J592</f>
        <v>126</v>
      </c>
      <c r="U592" s="255">
        <f>SUM(O590:O592)</f>
        <v>0</v>
      </c>
      <c r="V592" s="255">
        <f>N592</f>
        <v>51</v>
      </c>
      <c r="W592" s="83">
        <f>SUM(Q590:Q592)</f>
        <v>10</v>
      </c>
      <c r="X592" s="255">
        <f>P592</f>
        <v>141</v>
      </c>
      <c r="Y592" s="255">
        <f>S592+U592+SUM(Q590:Q592)</f>
        <v>12</v>
      </c>
      <c r="Z592" s="255">
        <f>F592+J592+N592+P592</f>
        <v>318</v>
      </c>
      <c r="AA592" s="553"/>
      <c r="AB592" s="553"/>
    </row>
    <row r="593" spans="1:28" ht="12.75">
      <c r="A593" s="547" t="s">
        <v>367</v>
      </c>
      <c r="B593" s="547" t="s">
        <v>153</v>
      </c>
      <c r="C593" s="548" t="s">
        <v>812</v>
      </c>
      <c r="D593" s="549">
        <v>2017</v>
      </c>
      <c r="E593" s="549" t="s">
        <v>775</v>
      </c>
      <c r="F593" s="550">
        <v>48</v>
      </c>
      <c r="G593" s="550">
        <v>6</v>
      </c>
      <c r="H593" s="550">
        <v>6</v>
      </c>
      <c r="I593" s="550">
        <v>0</v>
      </c>
      <c r="J593" s="550">
        <v>29</v>
      </c>
      <c r="K593" s="550">
        <v>0</v>
      </c>
      <c r="L593" s="550">
        <v>0</v>
      </c>
      <c r="M593" s="550">
        <v>0</v>
      </c>
      <c r="N593" s="550">
        <v>31</v>
      </c>
      <c r="O593" s="550">
        <v>0</v>
      </c>
      <c r="P593" s="550">
        <v>77</v>
      </c>
      <c r="Q593" s="550">
        <v>83</v>
      </c>
      <c r="R593" s="551" t="str">
        <f t="shared" si="113"/>
        <v>CULVER CITY</v>
      </c>
      <c r="S593" s="552"/>
      <c r="T593" s="552"/>
      <c r="U593" s="552"/>
      <c r="V593" s="552"/>
      <c r="W593" s="552"/>
      <c r="X593" s="552"/>
      <c r="Y593" s="552"/>
      <c r="Z593" s="552"/>
      <c r="AA593" s="553"/>
      <c r="AB593" s="553"/>
    </row>
    <row r="594" spans="1:28" ht="12.75">
      <c r="A594" s="547" t="s">
        <v>367</v>
      </c>
      <c r="B594" s="547" t="s">
        <v>153</v>
      </c>
      <c r="C594" s="548" t="s">
        <v>812</v>
      </c>
      <c r="D594" s="549">
        <v>2018</v>
      </c>
      <c r="E594" s="549" t="s">
        <v>775</v>
      </c>
      <c r="F594" s="550">
        <v>48</v>
      </c>
      <c r="G594" s="550">
        <v>0</v>
      </c>
      <c r="H594" s="550">
        <v>0</v>
      </c>
      <c r="I594" s="550">
        <v>0</v>
      </c>
      <c r="J594" s="550">
        <v>29</v>
      </c>
      <c r="K594" s="550">
        <v>4</v>
      </c>
      <c r="L594" s="550">
        <v>4</v>
      </c>
      <c r="M594" s="550">
        <v>0</v>
      </c>
      <c r="N594" s="550">
        <v>31</v>
      </c>
      <c r="O594" s="550">
        <v>4</v>
      </c>
      <c r="P594" s="550">
        <v>77</v>
      </c>
      <c r="Q594" s="550">
        <v>271</v>
      </c>
      <c r="R594" s="551" t="str">
        <f t="shared" si="113"/>
        <v>CULVER CITY</v>
      </c>
      <c r="S594" s="552"/>
      <c r="T594" s="552"/>
      <c r="U594" s="552"/>
      <c r="V594" s="552"/>
      <c r="W594" s="552"/>
      <c r="X594" s="552"/>
      <c r="Y594" s="552"/>
      <c r="Z594" s="552"/>
      <c r="AA594" s="553"/>
      <c r="AB594" s="553"/>
    </row>
    <row r="595" spans="1:28" ht="12.75">
      <c r="A595" s="547" t="s">
        <v>367</v>
      </c>
      <c r="B595" s="547" t="s">
        <v>153</v>
      </c>
      <c r="C595" s="548" t="s">
        <v>813</v>
      </c>
      <c r="D595" s="549">
        <v>2019</v>
      </c>
      <c r="E595" s="549" t="s">
        <v>775</v>
      </c>
      <c r="F595" s="550">
        <v>48</v>
      </c>
      <c r="G595" s="550">
        <v>0</v>
      </c>
      <c r="H595" s="550">
        <v>0</v>
      </c>
      <c r="I595" s="550">
        <v>0</v>
      </c>
      <c r="J595" s="550">
        <v>29</v>
      </c>
      <c r="K595" s="550">
        <v>0</v>
      </c>
      <c r="L595" s="550">
        <v>0</v>
      </c>
      <c r="M595" s="550">
        <v>0</v>
      </c>
      <c r="N595" s="550">
        <v>31</v>
      </c>
      <c r="O595" s="550">
        <v>0</v>
      </c>
      <c r="P595" s="550">
        <v>77</v>
      </c>
      <c r="Q595" s="550">
        <v>63</v>
      </c>
      <c r="R595" s="551" t="str">
        <f t="shared" si="113"/>
        <v>CULVER CITY</v>
      </c>
      <c r="S595" s="255">
        <f>SUM(G593:G595) +SUM(K593:K595)</f>
        <v>10</v>
      </c>
      <c r="T595" s="255">
        <f>F595+J595</f>
        <v>77</v>
      </c>
      <c r="U595" s="255">
        <f>SUM(O593:O595)</f>
        <v>4</v>
      </c>
      <c r="V595" s="255">
        <f>N595</f>
        <v>31</v>
      </c>
      <c r="W595" s="83">
        <f>SUM(Q593:Q595)</f>
        <v>417</v>
      </c>
      <c r="X595" s="255">
        <f>P595</f>
        <v>77</v>
      </c>
      <c r="Y595" s="255">
        <f>S595+U595+SUM(Q593:Q595)</f>
        <v>431</v>
      </c>
      <c r="Z595" s="255">
        <f>F595+J595+N595+P595</f>
        <v>185</v>
      </c>
      <c r="AA595" s="553"/>
      <c r="AB595" s="553"/>
    </row>
    <row r="596" spans="1:28" ht="12.75">
      <c r="A596" s="547" t="s">
        <v>368</v>
      </c>
      <c r="B596" s="547" t="s">
        <v>153</v>
      </c>
      <c r="C596" s="548" t="s">
        <v>812</v>
      </c>
      <c r="D596" s="549">
        <v>2014</v>
      </c>
      <c r="E596" s="549" t="s">
        <v>775</v>
      </c>
      <c r="F596" s="550">
        <v>308</v>
      </c>
      <c r="G596" s="550">
        <v>0</v>
      </c>
      <c r="H596" s="550">
        <v>0</v>
      </c>
      <c r="I596" s="550">
        <v>0</v>
      </c>
      <c r="J596" s="550">
        <v>182</v>
      </c>
      <c r="K596" s="550">
        <v>0</v>
      </c>
      <c r="L596" s="550">
        <v>0</v>
      </c>
      <c r="M596" s="550">
        <v>0</v>
      </c>
      <c r="N596" s="550">
        <v>190</v>
      </c>
      <c r="O596" s="550">
        <v>0</v>
      </c>
      <c r="P596" s="550">
        <v>466</v>
      </c>
      <c r="Q596" s="550">
        <v>52</v>
      </c>
      <c r="R596" s="551" t="str">
        <f t="shared" si="113"/>
        <v>DIAMOND BAR</v>
      </c>
      <c r="S596" s="552"/>
      <c r="T596" s="552"/>
      <c r="U596" s="552"/>
      <c r="V596" s="552"/>
      <c r="W596" s="552"/>
      <c r="X596" s="552"/>
      <c r="Y596" s="552"/>
      <c r="Z596" s="552"/>
      <c r="AA596" s="553"/>
      <c r="AB596" s="553"/>
    </row>
    <row r="597" spans="1:28" ht="12.75">
      <c r="A597" s="547" t="s">
        <v>368</v>
      </c>
      <c r="B597" s="547" t="s">
        <v>153</v>
      </c>
      <c r="C597" s="548" t="s">
        <v>812</v>
      </c>
      <c r="D597" s="549">
        <v>2015</v>
      </c>
      <c r="E597" s="549" t="s">
        <v>775</v>
      </c>
      <c r="F597" s="550">
        <v>308</v>
      </c>
      <c r="G597" s="550">
        <v>0</v>
      </c>
      <c r="H597" s="550">
        <v>0</v>
      </c>
      <c r="I597" s="550">
        <v>0</v>
      </c>
      <c r="J597" s="550">
        <v>182</v>
      </c>
      <c r="K597" s="550">
        <v>0</v>
      </c>
      <c r="L597" s="550">
        <v>0</v>
      </c>
      <c r="M597" s="550">
        <v>0</v>
      </c>
      <c r="N597" s="550">
        <v>190</v>
      </c>
      <c r="O597" s="550">
        <v>0</v>
      </c>
      <c r="P597" s="550">
        <v>466</v>
      </c>
      <c r="Q597" s="550">
        <v>127</v>
      </c>
      <c r="R597" s="551" t="str">
        <f t="shared" si="113"/>
        <v>DIAMOND BAR</v>
      </c>
      <c r="S597" s="552"/>
      <c r="T597" s="552"/>
      <c r="U597" s="552"/>
      <c r="V597" s="552"/>
      <c r="W597" s="552"/>
      <c r="X597" s="552"/>
      <c r="Y597" s="552"/>
      <c r="Z597" s="552"/>
      <c r="AA597" s="553"/>
      <c r="AB597" s="553"/>
    </row>
    <row r="598" spans="1:28" ht="12.75">
      <c r="A598" s="547" t="s">
        <v>368</v>
      </c>
      <c r="B598" s="547" t="s">
        <v>153</v>
      </c>
      <c r="C598" s="548" t="s">
        <v>812</v>
      </c>
      <c r="D598" s="549">
        <v>2016</v>
      </c>
      <c r="E598" s="549" t="s">
        <v>775</v>
      </c>
      <c r="F598" s="550">
        <v>308</v>
      </c>
      <c r="G598" s="550">
        <v>0</v>
      </c>
      <c r="H598" s="550">
        <v>0</v>
      </c>
      <c r="I598" s="550">
        <v>0</v>
      </c>
      <c r="J598" s="550">
        <v>182</v>
      </c>
      <c r="K598" s="550">
        <v>0</v>
      </c>
      <c r="L598" s="550">
        <v>0</v>
      </c>
      <c r="M598" s="550">
        <v>0</v>
      </c>
      <c r="N598" s="550">
        <v>190</v>
      </c>
      <c r="O598" s="550">
        <v>0</v>
      </c>
      <c r="P598" s="550">
        <v>466</v>
      </c>
      <c r="Q598" s="550">
        <v>15</v>
      </c>
      <c r="R598" s="551" t="str">
        <f t="shared" si="113"/>
        <v>DIAMOND BAR</v>
      </c>
      <c r="S598" s="552"/>
      <c r="T598" s="552"/>
      <c r="U598" s="552"/>
      <c r="V598" s="552"/>
      <c r="W598" s="552"/>
      <c r="X598" s="552"/>
      <c r="Y598" s="552"/>
      <c r="Z598" s="552"/>
      <c r="AA598" s="553"/>
      <c r="AB598" s="553"/>
    </row>
    <row r="599" spans="1:28" ht="12.75">
      <c r="A599" s="547" t="s">
        <v>368</v>
      </c>
      <c r="B599" s="547" t="s">
        <v>153</v>
      </c>
      <c r="C599" s="548" t="s">
        <v>812</v>
      </c>
      <c r="D599" s="549">
        <v>2017</v>
      </c>
      <c r="E599" s="549" t="s">
        <v>775</v>
      </c>
      <c r="F599" s="550">
        <v>308</v>
      </c>
      <c r="G599" s="550">
        <v>0</v>
      </c>
      <c r="H599" s="550">
        <v>0</v>
      </c>
      <c r="I599" s="550">
        <v>0</v>
      </c>
      <c r="J599" s="550">
        <v>182</v>
      </c>
      <c r="K599" s="550">
        <v>0</v>
      </c>
      <c r="L599" s="550">
        <v>0</v>
      </c>
      <c r="M599" s="550">
        <v>0</v>
      </c>
      <c r="N599" s="550">
        <v>190</v>
      </c>
      <c r="O599" s="550">
        <v>0</v>
      </c>
      <c r="P599" s="550">
        <v>466</v>
      </c>
      <c r="Q599" s="550">
        <v>77</v>
      </c>
      <c r="R599" s="551" t="str">
        <f t="shared" si="113"/>
        <v>DIAMOND BAR</v>
      </c>
      <c r="S599" s="552"/>
      <c r="T599" s="552"/>
      <c r="U599" s="552"/>
      <c r="V599" s="552"/>
      <c r="W599" s="552"/>
      <c r="X599" s="552"/>
      <c r="Y599" s="552"/>
      <c r="Z599" s="552"/>
      <c r="AA599" s="553"/>
      <c r="AB599" s="553"/>
    </row>
    <row r="600" spans="1:28" ht="12.75">
      <c r="A600" s="547" t="s">
        <v>368</v>
      </c>
      <c r="B600" s="547" t="s">
        <v>153</v>
      </c>
      <c r="C600" s="548" t="s">
        <v>812</v>
      </c>
      <c r="D600" s="549">
        <v>2018</v>
      </c>
      <c r="E600" s="549" t="s">
        <v>775</v>
      </c>
      <c r="F600" s="550">
        <v>308</v>
      </c>
      <c r="G600" s="550">
        <v>0</v>
      </c>
      <c r="H600" s="550">
        <v>0</v>
      </c>
      <c r="I600" s="550">
        <v>0</v>
      </c>
      <c r="J600" s="550">
        <v>182</v>
      </c>
      <c r="K600" s="550">
        <v>0</v>
      </c>
      <c r="L600" s="550">
        <v>0</v>
      </c>
      <c r="M600" s="550">
        <v>0</v>
      </c>
      <c r="N600" s="550">
        <v>190</v>
      </c>
      <c r="O600" s="550">
        <v>0</v>
      </c>
      <c r="P600" s="550">
        <v>466</v>
      </c>
      <c r="Q600" s="550">
        <v>33</v>
      </c>
      <c r="R600" s="551" t="str">
        <f t="shared" si="113"/>
        <v>DIAMOND BAR</v>
      </c>
      <c r="S600" s="552"/>
      <c r="T600" s="552"/>
      <c r="U600" s="552"/>
      <c r="V600" s="552"/>
      <c r="W600" s="552"/>
      <c r="X600" s="552"/>
      <c r="Y600" s="552"/>
      <c r="Z600" s="552"/>
      <c r="AA600" s="553"/>
      <c r="AB600" s="553"/>
    </row>
    <row r="601" spans="1:28" ht="12.75">
      <c r="A601" s="547" t="s">
        <v>368</v>
      </c>
      <c r="B601" s="547" t="s">
        <v>153</v>
      </c>
      <c r="C601" s="548" t="s">
        <v>813</v>
      </c>
      <c r="D601" s="549">
        <v>2019</v>
      </c>
      <c r="E601" s="549" t="s">
        <v>775</v>
      </c>
      <c r="F601" s="550">
        <v>308</v>
      </c>
      <c r="G601" s="550">
        <v>1</v>
      </c>
      <c r="H601" s="550">
        <v>0</v>
      </c>
      <c r="I601" s="550">
        <v>1</v>
      </c>
      <c r="J601" s="550">
        <v>182</v>
      </c>
      <c r="K601" s="550">
        <v>5</v>
      </c>
      <c r="L601" s="550">
        <v>0</v>
      </c>
      <c r="M601" s="550">
        <v>5</v>
      </c>
      <c r="N601" s="550">
        <v>190</v>
      </c>
      <c r="O601" s="550">
        <v>0</v>
      </c>
      <c r="P601" s="550">
        <v>466</v>
      </c>
      <c r="Q601" s="550">
        <v>5</v>
      </c>
      <c r="R601" s="551" t="str">
        <f t="shared" si="113"/>
        <v>DIAMOND BAR</v>
      </c>
      <c r="S601" s="552">
        <f>SUM(G596:G601) +SUM(K596:K601)</f>
        <v>6</v>
      </c>
      <c r="T601" s="552">
        <f>F601+J601</f>
        <v>490</v>
      </c>
      <c r="U601" s="552">
        <f>SUM(O596:O601)</f>
        <v>0</v>
      </c>
      <c r="V601" s="552">
        <f>N601</f>
        <v>190</v>
      </c>
      <c r="W601" s="554">
        <f>SUM(Q596:Q601)</f>
        <v>309</v>
      </c>
      <c r="X601" s="552">
        <f>P601</f>
        <v>466</v>
      </c>
      <c r="Y601" s="552">
        <f>S601+U601+SUM(Q596:Q601)</f>
        <v>315</v>
      </c>
      <c r="Z601" s="552">
        <f>F601+J601+N601+P601</f>
        <v>1146</v>
      </c>
      <c r="AA601" s="553"/>
      <c r="AB601" s="553"/>
    </row>
    <row r="602" spans="1:28" ht="12.75">
      <c r="A602" s="547" t="s">
        <v>369</v>
      </c>
      <c r="B602" s="547" t="s">
        <v>153</v>
      </c>
      <c r="C602" s="548" t="s">
        <v>812</v>
      </c>
      <c r="D602" s="549">
        <v>2014</v>
      </c>
      <c r="E602" s="549" t="s">
        <v>775</v>
      </c>
      <c r="F602" s="550">
        <v>210</v>
      </c>
      <c r="G602" s="550">
        <v>0</v>
      </c>
      <c r="H602" s="550">
        <v>0</v>
      </c>
      <c r="I602" s="550">
        <v>0</v>
      </c>
      <c r="J602" s="550">
        <v>123</v>
      </c>
      <c r="K602" s="550">
        <v>0</v>
      </c>
      <c r="L602" s="550">
        <v>0</v>
      </c>
      <c r="M602" s="550">
        <v>0</v>
      </c>
      <c r="N602" s="550">
        <v>135</v>
      </c>
      <c r="O602" s="550">
        <v>20</v>
      </c>
      <c r="P602" s="550">
        <v>346</v>
      </c>
      <c r="Q602" s="550">
        <v>12</v>
      </c>
      <c r="R602" s="551" t="str">
        <f t="shared" si="113"/>
        <v>DOWNEY</v>
      </c>
      <c r="S602" s="552"/>
      <c r="T602" s="552"/>
      <c r="U602" s="552"/>
      <c r="V602" s="552"/>
      <c r="W602" s="552"/>
      <c r="X602" s="552"/>
      <c r="Y602" s="552"/>
      <c r="Z602" s="552"/>
      <c r="AA602" s="553"/>
      <c r="AB602" s="553"/>
    </row>
    <row r="603" spans="1:28" ht="12.75">
      <c r="A603" s="547" t="s">
        <v>369</v>
      </c>
      <c r="B603" s="547" t="s">
        <v>153</v>
      </c>
      <c r="C603" s="548" t="s">
        <v>812</v>
      </c>
      <c r="D603" s="549">
        <v>2015</v>
      </c>
      <c r="E603" s="549" t="s">
        <v>775</v>
      </c>
      <c r="F603" s="550">
        <v>210</v>
      </c>
      <c r="G603" s="550">
        <v>0</v>
      </c>
      <c r="H603" s="550">
        <v>0</v>
      </c>
      <c r="I603" s="550">
        <v>0</v>
      </c>
      <c r="J603" s="550">
        <v>123</v>
      </c>
      <c r="K603" s="550">
        <v>0</v>
      </c>
      <c r="L603" s="550">
        <v>0</v>
      </c>
      <c r="M603" s="550">
        <v>0</v>
      </c>
      <c r="N603" s="550">
        <v>135</v>
      </c>
      <c r="O603" s="550">
        <v>50</v>
      </c>
      <c r="P603" s="550">
        <v>346</v>
      </c>
      <c r="Q603" s="550">
        <v>13</v>
      </c>
      <c r="R603" s="551" t="str">
        <f t="shared" si="113"/>
        <v>DOWNEY</v>
      </c>
      <c r="S603" s="552"/>
      <c r="T603" s="552"/>
      <c r="U603" s="552"/>
      <c r="V603" s="552"/>
      <c r="W603" s="552"/>
      <c r="X603" s="552"/>
      <c r="Y603" s="552"/>
      <c r="Z603" s="552"/>
      <c r="AA603" s="553"/>
      <c r="AB603" s="553"/>
    </row>
    <row r="604" spans="1:28" ht="12.75">
      <c r="A604" s="547" t="s">
        <v>369</v>
      </c>
      <c r="B604" s="547" t="s">
        <v>153</v>
      </c>
      <c r="C604" s="548" t="s">
        <v>812</v>
      </c>
      <c r="D604" s="549">
        <v>2016</v>
      </c>
      <c r="E604" s="549" t="s">
        <v>775</v>
      </c>
      <c r="F604" s="550">
        <v>210</v>
      </c>
      <c r="G604" s="550">
        <v>0</v>
      </c>
      <c r="H604" s="550">
        <v>0</v>
      </c>
      <c r="I604" s="550">
        <v>0</v>
      </c>
      <c r="J604" s="550">
        <v>123</v>
      </c>
      <c r="K604" s="550">
        <v>6</v>
      </c>
      <c r="L604" s="550">
        <v>6</v>
      </c>
      <c r="M604" s="550">
        <v>0</v>
      </c>
      <c r="N604" s="550">
        <v>135</v>
      </c>
      <c r="O604" s="550">
        <v>0</v>
      </c>
      <c r="P604" s="550">
        <v>346</v>
      </c>
      <c r="Q604" s="550">
        <v>44</v>
      </c>
      <c r="R604" s="551" t="str">
        <f t="shared" si="113"/>
        <v>DOWNEY</v>
      </c>
      <c r="S604" s="552"/>
      <c r="T604" s="552"/>
      <c r="U604" s="552"/>
      <c r="V604" s="552"/>
      <c r="W604" s="552"/>
      <c r="X604" s="552"/>
      <c r="Y604" s="552"/>
      <c r="Z604" s="552"/>
      <c r="AA604" s="553"/>
      <c r="AB604" s="553"/>
    </row>
    <row r="605" spans="1:28" ht="12.75">
      <c r="A605" s="547" t="s">
        <v>369</v>
      </c>
      <c r="B605" s="547" t="s">
        <v>153</v>
      </c>
      <c r="C605" s="548" t="s">
        <v>812</v>
      </c>
      <c r="D605" s="549">
        <v>2017</v>
      </c>
      <c r="E605" s="549" t="s">
        <v>775</v>
      </c>
      <c r="F605" s="550">
        <v>210</v>
      </c>
      <c r="G605" s="550">
        <v>0</v>
      </c>
      <c r="H605" s="550">
        <v>0</v>
      </c>
      <c r="I605" s="550">
        <v>0</v>
      </c>
      <c r="J605" s="550">
        <v>123</v>
      </c>
      <c r="K605" s="550">
        <v>0</v>
      </c>
      <c r="L605" s="550">
        <v>0</v>
      </c>
      <c r="M605" s="550">
        <v>0</v>
      </c>
      <c r="N605" s="550">
        <v>135</v>
      </c>
      <c r="O605" s="550">
        <v>0</v>
      </c>
      <c r="P605" s="550">
        <v>346</v>
      </c>
      <c r="Q605" s="550">
        <v>135</v>
      </c>
      <c r="R605" s="551" t="str">
        <f t="shared" si="113"/>
        <v>DOWNEY</v>
      </c>
      <c r="S605" s="552"/>
      <c r="T605" s="552"/>
      <c r="U605" s="552"/>
      <c r="V605" s="552"/>
      <c r="W605" s="552"/>
      <c r="X605" s="552"/>
      <c r="Y605" s="552"/>
      <c r="Z605" s="552"/>
      <c r="AA605" s="553"/>
      <c r="AB605" s="553"/>
    </row>
    <row r="606" spans="1:28" ht="12.75">
      <c r="A606" s="547" t="s">
        <v>369</v>
      </c>
      <c r="B606" s="547" t="s">
        <v>153</v>
      </c>
      <c r="C606" s="548" t="s">
        <v>812</v>
      </c>
      <c r="D606" s="549">
        <v>2018</v>
      </c>
      <c r="E606" s="549" t="s">
        <v>775</v>
      </c>
      <c r="F606" s="550">
        <v>210</v>
      </c>
      <c r="G606" s="550">
        <v>0</v>
      </c>
      <c r="H606" s="550">
        <v>0</v>
      </c>
      <c r="I606" s="550">
        <v>0</v>
      </c>
      <c r="J606" s="550">
        <v>123</v>
      </c>
      <c r="K606" s="550">
        <v>0</v>
      </c>
      <c r="L606" s="550">
        <v>0</v>
      </c>
      <c r="M606" s="550">
        <v>0</v>
      </c>
      <c r="N606" s="550">
        <v>135</v>
      </c>
      <c r="O606" s="550">
        <v>0</v>
      </c>
      <c r="P606" s="550">
        <v>346</v>
      </c>
      <c r="Q606" s="550">
        <v>87</v>
      </c>
      <c r="R606" s="551" t="str">
        <f t="shared" si="113"/>
        <v>DOWNEY</v>
      </c>
      <c r="S606" s="552"/>
      <c r="T606" s="552"/>
      <c r="U606" s="552"/>
      <c r="V606" s="552"/>
      <c r="W606" s="552"/>
      <c r="X606" s="552"/>
      <c r="Y606" s="552"/>
      <c r="Z606" s="552"/>
      <c r="AA606" s="553"/>
      <c r="AB606" s="553"/>
    </row>
    <row r="607" spans="1:28" ht="12.75">
      <c r="A607" s="547" t="s">
        <v>369</v>
      </c>
      <c r="B607" s="547" t="s">
        <v>153</v>
      </c>
      <c r="C607" s="548" t="s">
        <v>813</v>
      </c>
      <c r="D607" s="549">
        <v>2019</v>
      </c>
      <c r="E607" s="549" t="s">
        <v>775</v>
      </c>
      <c r="F607" s="550">
        <v>210</v>
      </c>
      <c r="G607" s="550">
        <v>0</v>
      </c>
      <c r="H607" s="550">
        <v>0</v>
      </c>
      <c r="I607" s="550">
        <v>0</v>
      </c>
      <c r="J607" s="550">
        <v>123</v>
      </c>
      <c r="K607" s="550">
        <v>0</v>
      </c>
      <c r="L607" s="550">
        <v>0</v>
      </c>
      <c r="M607" s="550">
        <v>0</v>
      </c>
      <c r="N607" s="550">
        <v>135</v>
      </c>
      <c r="O607" s="550">
        <v>0</v>
      </c>
      <c r="P607" s="550">
        <v>346</v>
      </c>
      <c r="Q607" s="550">
        <v>41</v>
      </c>
      <c r="R607" s="551" t="str">
        <f t="shared" si="113"/>
        <v>DOWNEY</v>
      </c>
      <c r="S607" s="552">
        <f>SUM(G602:G607) +SUM(K602:K607)</f>
        <v>6</v>
      </c>
      <c r="T607" s="552">
        <f>F607+J607</f>
        <v>333</v>
      </c>
      <c r="U607" s="552">
        <f>SUM(O602:O607)</f>
        <v>70</v>
      </c>
      <c r="V607" s="552">
        <f>N607</f>
        <v>135</v>
      </c>
      <c r="W607" s="554">
        <f>SUM(Q602:Q607)</f>
        <v>332</v>
      </c>
      <c r="X607" s="552">
        <f>P607</f>
        <v>346</v>
      </c>
      <c r="Y607" s="552">
        <f>S607+U607+SUM(Q602:Q607)</f>
        <v>408</v>
      </c>
      <c r="Z607" s="552">
        <f>F607+J607+N607+P607</f>
        <v>814</v>
      </c>
      <c r="AA607" s="553"/>
      <c r="AB607" s="553"/>
    </row>
    <row r="608" spans="1:28" ht="12.75">
      <c r="A608" s="547" t="s">
        <v>370</v>
      </c>
      <c r="B608" s="547" t="s">
        <v>153</v>
      </c>
      <c r="C608" s="548" t="s">
        <v>812</v>
      </c>
      <c r="D608" s="549">
        <v>2014</v>
      </c>
      <c r="E608" s="549" t="s">
        <v>775</v>
      </c>
      <c r="F608" s="550">
        <v>87</v>
      </c>
      <c r="G608" s="550">
        <v>0</v>
      </c>
      <c r="H608" s="550">
        <v>0</v>
      </c>
      <c r="I608" s="550">
        <v>0</v>
      </c>
      <c r="J608" s="550">
        <v>53</v>
      </c>
      <c r="K608" s="550">
        <v>0</v>
      </c>
      <c r="L608" s="550">
        <v>0</v>
      </c>
      <c r="M608" s="550">
        <v>0</v>
      </c>
      <c r="N608" s="550">
        <v>55</v>
      </c>
      <c r="O608" s="550">
        <v>0</v>
      </c>
      <c r="P608" s="550">
        <v>142</v>
      </c>
      <c r="Q608" s="550">
        <v>0</v>
      </c>
      <c r="R608" s="551" t="str">
        <f t="shared" si="113"/>
        <v>DUARTE</v>
      </c>
      <c r="S608" s="552"/>
      <c r="T608" s="552"/>
      <c r="U608" s="552"/>
      <c r="V608" s="552"/>
      <c r="W608" s="552"/>
      <c r="X608" s="552"/>
      <c r="Y608" s="552"/>
      <c r="Z608" s="552"/>
      <c r="AA608" s="553"/>
      <c r="AB608" s="553"/>
    </row>
    <row r="609" spans="1:28" ht="12.75">
      <c r="A609" s="547" t="s">
        <v>370</v>
      </c>
      <c r="B609" s="547" t="s">
        <v>153</v>
      </c>
      <c r="C609" s="548" t="s">
        <v>812</v>
      </c>
      <c r="D609" s="549">
        <v>2015</v>
      </c>
      <c r="E609" s="549" t="s">
        <v>775</v>
      </c>
      <c r="F609" s="550">
        <v>87</v>
      </c>
      <c r="G609" s="550">
        <v>42</v>
      </c>
      <c r="H609" s="550">
        <v>42</v>
      </c>
      <c r="I609" s="550">
        <v>0</v>
      </c>
      <c r="J609" s="550">
        <v>53</v>
      </c>
      <c r="K609" s="550">
        <v>1</v>
      </c>
      <c r="L609" s="550">
        <v>1</v>
      </c>
      <c r="M609" s="550">
        <v>0</v>
      </c>
      <c r="N609" s="550">
        <v>55</v>
      </c>
      <c r="O609" s="550">
        <v>0</v>
      </c>
      <c r="P609" s="550">
        <v>142</v>
      </c>
      <c r="Q609" s="550">
        <v>0</v>
      </c>
      <c r="R609" s="551" t="str">
        <f t="shared" si="113"/>
        <v>DUARTE</v>
      </c>
      <c r="S609" s="552"/>
      <c r="T609" s="552"/>
      <c r="U609" s="552"/>
      <c r="V609" s="552"/>
      <c r="W609" s="552"/>
      <c r="X609" s="552"/>
      <c r="Y609" s="552"/>
      <c r="Z609" s="552"/>
      <c r="AA609" s="553"/>
      <c r="AB609" s="553"/>
    </row>
    <row r="610" spans="1:28" ht="12.75">
      <c r="A610" s="547" t="s">
        <v>370</v>
      </c>
      <c r="B610" s="547" t="s">
        <v>153</v>
      </c>
      <c r="C610" s="548" t="s">
        <v>812</v>
      </c>
      <c r="D610" s="549">
        <v>2016</v>
      </c>
      <c r="E610" s="549" t="s">
        <v>775</v>
      </c>
      <c r="F610" s="550">
        <v>87</v>
      </c>
      <c r="G610" s="550">
        <v>0</v>
      </c>
      <c r="H610" s="550">
        <v>0</v>
      </c>
      <c r="I610" s="550">
        <v>0</v>
      </c>
      <c r="J610" s="550">
        <v>53</v>
      </c>
      <c r="K610" s="550">
        <v>0</v>
      </c>
      <c r="L610" s="550">
        <v>0</v>
      </c>
      <c r="M610" s="550">
        <v>0</v>
      </c>
      <c r="N610" s="550">
        <v>55</v>
      </c>
      <c r="O610" s="550">
        <v>2</v>
      </c>
      <c r="P610" s="550">
        <v>142</v>
      </c>
      <c r="Q610" s="550">
        <v>0</v>
      </c>
      <c r="R610" s="551" t="str">
        <f t="shared" si="113"/>
        <v>DUARTE</v>
      </c>
      <c r="S610" s="552"/>
      <c r="T610" s="552"/>
      <c r="U610" s="552"/>
      <c r="V610" s="552"/>
      <c r="W610" s="552"/>
      <c r="X610" s="552"/>
      <c r="Y610" s="552"/>
      <c r="Z610" s="552"/>
      <c r="AA610" s="553"/>
      <c r="AB610" s="553"/>
    </row>
    <row r="611" spans="1:28" ht="12.75">
      <c r="A611" s="547" t="s">
        <v>370</v>
      </c>
      <c r="B611" s="547" t="s">
        <v>153</v>
      </c>
      <c r="C611" s="548" t="s">
        <v>812</v>
      </c>
      <c r="D611" s="549">
        <v>2017</v>
      </c>
      <c r="E611" s="549" t="s">
        <v>775</v>
      </c>
      <c r="F611" s="550">
        <v>87</v>
      </c>
      <c r="G611" s="550">
        <v>0</v>
      </c>
      <c r="H611" s="550">
        <v>0</v>
      </c>
      <c r="I611" s="550">
        <v>0</v>
      </c>
      <c r="J611" s="550">
        <v>53</v>
      </c>
      <c r="K611" s="550">
        <v>0</v>
      </c>
      <c r="L611" s="550">
        <v>0</v>
      </c>
      <c r="M611" s="550">
        <v>0</v>
      </c>
      <c r="N611" s="550">
        <v>55</v>
      </c>
      <c r="O611" s="550">
        <v>1</v>
      </c>
      <c r="P611" s="550">
        <v>142</v>
      </c>
      <c r="Q611" s="550">
        <v>1</v>
      </c>
      <c r="R611" s="551" t="str">
        <f t="shared" si="113"/>
        <v>DUARTE</v>
      </c>
      <c r="S611" s="552"/>
      <c r="T611" s="552"/>
      <c r="U611" s="552"/>
      <c r="V611" s="552"/>
      <c r="W611" s="552"/>
      <c r="X611" s="552"/>
      <c r="Y611" s="552"/>
      <c r="Z611" s="552"/>
      <c r="AA611" s="553"/>
      <c r="AB611" s="553"/>
    </row>
    <row r="612" spans="1:28" ht="12.75">
      <c r="A612" s="547" t="s">
        <v>370</v>
      </c>
      <c r="B612" s="547" t="s">
        <v>153</v>
      </c>
      <c r="C612" s="548" t="s">
        <v>812</v>
      </c>
      <c r="D612" s="549">
        <v>2018</v>
      </c>
      <c r="E612" s="549" t="s">
        <v>775</v>
      </c>
      <c r="F612" s="550">
        <v>87</v>
      </c>
      <c r="G612" s="550">
        <v>0</v>
      </c>
      <c r="H612" s="550">
        <v>0</v>
      </c>
      <c r="I612" s="550">
        <v>0</v>
      </c>
      <c r="J612" s="550">
        <v>53</v>
      </c>
      <c r="K612" s="550">
        <v>6</v>
      </c>
      <c r="L612" s="550">
        <v>0</v>
      </c>
      <c r="M612" s="550">
        <v>6</v>
      </c>
      <c r="N612" s="550">
        <v>55</v>
      </c>
      <c r="O612" s="550">
        <v>0</v>
      </c>
      <c r="P612" s="550">
        <v>142</v>
      </c>
      <c r="Q612" s="550">
        <v>18</v>
      </c>
      <c r="R612" s="551" t="str">
        <f t="shared" si="113"/>
        <v>DUARTE</v>
      </c>
      <c r="S612" s="552"/>
      <c r="T612" s="552"/>
      <c r="U612" s="552"/>
      <c r="V612" s="552"/>
      <c r="W612" s="552"/>
      <c r="X612" s="552"/>
      <c r="Y612" s="552"/>
      <c r="Z612" s="552"/>
      <c r="AA612" s="553"/>
      <c r="AB612" s="553"/>
    </row>
    <row r="613" spans="1:28" ht="12.75">
      <c r="A613" s="547" t="s">
        <v>370</v>
      </c>
      <c r="B613" s="547" t="s">
        <v>153</v>
      </c>
      <c r="C613" s="548" t="s">
        <v>813</v>
      </c>
      <c r="D613" s="549">
        <v>2019</v>
      </c>
      <c r="E613" s="549" t="s">
        <v>775</v>
      </c>
      <c r="F613" s="550">
        <v>87</v>
      </c>
      <c r="G613" s="550">
        <v>0</v>
      </c>
      <c r="H613" s="550">
        <v>0</v>
      </c>
      <c r="I613" s="550">
        <v>0</v>
      </c>
      <c r="J613" s="550">
        <v>53</v>
      </c>
      <c r="K613" s="550">
        <v>0</v>
      </c>
      <c r="L613" s="550">
        <v>0</v>
      </c>
      <c r="M613" s="550">
        <v>0</v>
      </c>
      <c r="N613" s="550">
        <v>55</v>
      </c>
      <c r="O613" s="550">
        <v>0</v>
      </c>
      <c r="P613" s="550">
        <v>142</v>
      </c>
      <c r="Q613" s="550">
        <v>186</v>
      </c>
      <c r="R613" s="551" t="str">
        <f t="shared" si="113"/>
        <v>DUARTE</v>
      </c>
      <c r="S613" s="552">
        <f>SUM(G608:G613) +SUM(K608:K613)</f>
        <v>49</v>
      </c>
      <c r="T613" s="552">
        <f>F613+J613</f>
        <v>140</v>
      </c>
      <c r="U613" s="552">
        <f>SUM(O608:O613)</f>
        <v>3</v>
      </c>
      <c r="V613" s="552">
        <f>N613</f>
        <v>55</v>
      </c>
      <c r="W613" s="554">
        <f>SUM(Q608:Q613)</f>
        <v>205</v>
      </c>
      <c r="X613" s="552">
        <f>P613</f>
        <v>142</v>
      </c>
      <c r="Y613" s="552">
        <f>S613+U613+SUM(Q608:Q613)</f>
        <v>257</v>
      </c>
      <c r="Z613" s="552">
        <f>F613+J613+N613+P613</f>
        <v>337</v>
      </c>
      <c r="AA613" s="553"/>
      <c r="AB613" s="553"/>
    </row>
    <row r="614" spans="1:28" ht="12.75">
      <c r="A614" s="547" t="s">
        <v>371</v>
      </c>
      <c r="B614" s="547" t="s">
        <v>153</v>
      </c>
      <c r="C614" s="548" t="s">
        <v>812</v>
      </c>
      <c r="D614" s="549">
        <v>2014</v>
      </c>
      <c r="E614" s="549" t="s">
        <v>775</v>
      </c>
      <c r="F614" s="550">
        <v>529</v>
      </c>
      <c r="G614" s="550">
        <v>41</v>
      </c>
      <c r="H614" s="550">
        <v>41</v>
      </c>
      <c r="I614" s="550">
        <v>0</v>
      </c>
      <c r="J614" s="550">
        <v>315</v>
      </c>
      <c r="K614" s="550">
        <v>0</v>
      </c>
      <c r="L614" s="550">
        <v>0</v>
      </c>
      <c r="M614" s="550">
        <v>0</v>
      </c>
      <c r="N614" s="550">
        <v>352</v>
      </c>
      <c r="O614" s="550">
        <v>2</v>
      </c>
      <c r="P614" s="550">
        <v>946</v>
      </c>
      <c r="Q614" s="550">
        <v>20</v>
      </c>
      <c r="R614" s="551" t="str">
        <f t="shared" si="113"/>
        <v>EL MONTE</v>
      </c>
      <c r="S614" s="552"/>
      <c r="T614" s="552"/>
      <c r="U614" s="552"/>
      <c r="V614" s="552"/>
      <c r="W614" s="552"/>
      <c r="X614" s="552"/>
      <c r="Y614" s="552"/>
      <c r="Z614" s="552"/>
      <c r="AA614" s="553"/>
      <c r="AB614" s="553"/>
    </row>
    <row r="615" spans="1:28" ht="12.75">
      <c r="A615" s="547" t="s">
        <v>371</v>
      </c>
      <c r="B615" s="547" t="s">
        <v>153</v>
      </c>
      <c r="C615" s="548" t="s">
        <v>812</v>
      </c>
      <c r="D615" s="549">
        <v>2015</v>
      </c>
      <c r="E615" s="549" t="s">
        <v>775</v>
      </c>
      <c r="F615" s="550">
        <v>529</v>
      </c>
      <c r="G615" s="550">
        <v>96</v>
      </c>
      <c r="H615" s="550">
        <v>96</v>
      </c>
      <c r="I615" s="550">
        <v>0</v>
      </c>
      <c r="J615" s="550">
        <v>315</v>
      </c>
      <c r="K615" s="550">
        <v>36</v>
      </c>
      <c r="L615" s="550">
        <v>36</v>
      </c>
      <c r="M615" s="550">
        <v>0</v>
      </c>
      <c r="N615" s="550">
        <v>352</v>
      </c>
      <c r="O615" s="550">
        <v>0</v>
      </c>
      <c r="P615" s="550">
        <v>946</v>
      </c>
      <c r="Q615" s="550">
        <v>8</v>
      </c>
      <c r="R615" s="551" t="str">
        <f t="shared" si="113"/>
        <v>EL MONTE</v>
      </c>
      <c r="S615" s="552"/>
      <c r="T615" s="552"/>
      <c r="U615" s="552"/>
      <c r="V615" s="552"/>
      <c r="W615" s="552"/>
      <c r="X615" s="552"/>
      <c r="Y615" s="552"/>
      <c r="Z615" s="552"/>
      <c r="AA615" s="553"/>
      <c r="AB615" s="553"/>
    </row>
    <row r="616" spans="1:28" ht="12.75">
      <c r="A616" s="547" t="s">
        <v>371</v>
      </c>
      <c r="B616" s="547" t="s">
        <v>153</v>
      </c>
      <c r="C616" s="548" t="s">
        <v>812</v>
      </c>
      <c r="D616" s="549">
        <v>2016</v>
      </c>
      <c r="E616" s="549" t="s">
        <v>775</v>
      </c>
      <c r="F616" s="550">
        <v>529</v>
      </c>
      <c r="G616" s="550">
        <v>0</v>
      </c>
      <c r="H616" s="550">
        <v>0</v>
      </c>
      <c r="I616" s="550">
        <v>0</v>
      </c>
      <c r="J616" s="550">
        <v>315</v>
      </c>
      <c r="K616" s="550">
        <v>0</v>
      </c>
      <c r="L616" s="550">
        <v>0</v>
      </c>
      <c r="M616" s="550">
        <v>0</v>
      </c>
      <c r="N616" s="550">
        <v>352</v>
      </c>
      <c r="O616" s="550">
        <v>0</v>
      </c>
      <c r="P616" s="550">
        <v>946</v>
      </c>
      <c r="Q616" s="550">
        <v>35</v>
      </c>
      <c r="R616" s="551" t="str">
        <f t="shared" si="113"/>
        <v>EL MONTE</v>
      </c>
      <c r="S616" s="552"/>
      <c r="T616" s="552"/>
      <c r="U616" s="552"/>
      <c r="V616" s="552"/>
      <c r="W616" s="552"/>
      <c r="X616" s="552"/>
      <c r="Y616" s="552"/>
      <c r="Z616" s="552"/>
      <c r="AA616" s="553"/>
      <c r="AB616" s="553"/>
    </row>
    <row r="617" spans="1:28" ht="12.75">
      <c r="A617" s="547" t="s">
        <v>371</v>
      </c>
      <c r="B617" s="547" t="s">
        <v>153</v>
      </c>
      <c r="C617" s="548" t="s">
        <v>812</v>
      </c>
      <c r="D617" s="549">
        <v>2017</v>
      </c>
      <c r="E617" s="549" t="s">
        <v>775</v>
      </c>
      <c r="F617" s="550">
        <v>529</v>
      </c>
      <c r="G617" s="550">
        <v>104</v>
      </c>
      <c r="H617" s="550">
        <v>104</v>
      </c>
      <c r="I617" s="550">
        <v>0</v>
      </c>
      <c r="J617" s="550">
        <v>315</v>
      </c>
      <c r="K617" s="550">
        <v>0</v>
      </c>
      <c r="L617" s="550">
        <v>0</v>
      </c>
      <c r="M617" s="550">
        <v>0</v>
      </c>
      <c r="N617" s="550">
        <v>352</v>
      </c>
      <c r="O617" s="550">
        <v>0</v>
      </c>
      <c r="P617" s="550">
        <v>946</v>
      </c>
      <c r="Q617" s="550">
        <v>191</v>
      </c>
      <c r="R617" s="551" t="str">
        <f t="shared" si="113"/>
        <v>EL MONTE</v>
      </c>
      <c r="S617" s="552"/>
      <c r="T617" s="552"/>
      <c r="U617" s="552"/>
      <c r="V617" s="552"/>
      <c r="W617" s="552"/>
      <c r="X617" s="552"/>
      <c r="Y617" s="552"/>
      <c r="Z617" s="552"/>
      <c r="AA617" s="553"/>
      <c r="AB617" s="553"/>
    </row>
    <row r="618" spans="1:28" ht="12.75">
      <c r="A618" s="547" t="s">
        <v>371</v>
      </c>
      <c r="B618" s="547" t="s">
        <v>153</v>
      </c>
      <c r="C618" s="548" t="s">
        <v>812</v>
      </c>
      <c r="D618" s="549">
        <v>2018</v>
      </c>
      <c r="E618" s="549" t="s">
        <v>775</v>
      </c>
      <c r="F618" s="550">
        <v>529</v>
      </c>
      <c r="G618" s="550">
        <v>0</v>
      </c>
      <c r="H618" s="550">
        <v>0</v>
      </c>
      <c r="I618" s="550">
        <v>0</v>
      </c>
      <c r="J618" s="550">
        <v>315</v>
      </c>
      <c r="K618" s="550">
        <v>0</v>
      </c>
      <c r="L618" s="550">
        <v>0</v>
      </c>
      <c r="M618" s="550">
        <v>0</v>
      </c>
      <c r="N618" s="550">
        <v>352</v>
      </c>
      <c r="O618" s="550">
        <v>0</v>
      </c>
      <c r="P618" s="550">
        <v>946</v>
      </c>
      <c r="Q618" s="550">
        <v>281</v>
      </c>
      <c r="R618" s="551" t="str">
        <f t="shared" si="113"/>
        <v>EL MONTE</v>
      </c>
      <c r="S618" s="552"/>
      <c r="T618" s="552"/>
      <c r="U618" s="552"/>
      <c r="V618" s="552"/>
      <c r="W618" s="552"/>
      <c r="X618" s="552"/>
      <c r="Y618" s="552"/>
      <c r="Z618" s="552"/>
      <c r="AA618" s="553"/>
      <c r="AB618" s="553"/>
    </row>
    <row r="619" spans="1:28" ht="12.75">
      <c r="A619" s="547" t="s">
        <v>371</v>
      </c>
      <c r="B619" s="547" t="s">
        <v>153</v>
      </c>
      <c r="C619" s="548" t="s">
        <v>813</v>
      </c>
      <c r="D619" s="549">
        <v>2019</v>
      </c>
      <c r="E619" s="549" t="s">
        <v>775</v>
      </c>
      <c r="F619" s="550">
        <v>529</v>
      </c>
      <c r="G619" s="550">
        <v>0</v>
      </c>
      <c r="H619" s="550">
        <v>0</v>
      </c>
      <c r="I619" s="550">
        <v>0</v>
      </c>
      <c r="J619" s="550">
        <v>315</v>
      </c>
      <c r="K619" s="550">
        <v>0</v>
      </c>
      <c r="L619" s="550">
        <v>0</v>
      </c>
      <c r="M619" s="550">
        <v>0</v>
      </c>
      <c r="N619" s="550">
        <v>352</v>
      </c>
      <c r="O619" s="550">
        <v>0</v>
      </c>
      <c r="P619" s="550">
        <v>946</v>
      </c>
      <c r="Q619" s="550">
        <v>113</v>
      </c>
      <c r="R619" s="551" t="str">
        <f t="shared" si="113"/>
        <v>EL MONTE</v>
      </c>
      <c r="S619" s="552">
        <f>SUM(G614:G619) +SUM(K614:K619)</f>
        <v>277</v>
      </c>
      <c r="T619" s="552">
        <f>F619+J619</f>
        <v>844</v>
      </c>
      <c r="U619" s="552">
        <f>SUM(O614:O619)</f>
        <v>2</v>
      </c>
      <c r="V619" s="552">
        <f>N619</f>
        <v>352</v>
      </c>
      <c r="W619" s="554">
        <f>SUM(Q614:Q619)</f>
        <v>648</v>
      </c>
      <c r="X619" s="552">
        <f>P619</f>
        <v>946</v>
      </c>
      <c r="Y619" s="552">
        <f>S619+U619+SUM(Q614:Q619)</f>
        <v>927</v>
      </c>
      <c r="Z619" s="552">
        <f>F619+J619+N619+P619</f>
        <v>2142</v>
      </c>
      <c r="AA619" s="553"/>
      <c r="AB619" s="553"/>
    </row>
    <row r="620" spans="1:28" ht="12.75">
      <c r="A620" s="547" t="s">
        <v>372</v>
      </c>
      <c r="B620" s="547" t="s">
        <v>153</v>
      </c>
      <c r="C620" s="548" t="s">
        <v>812</v>
      </c>
      <c r="D620" s="549">
        <v>2018</v>
      </c>
      <c r="E620" s="549" t="s">
        <v>775</v>
      </c>
      <c r="F620" s="550">
        <v>18</v>
      </c>
      <c r="G620" s="550">
        <v>4</v>
      </c>
      <c r="H620" s="550">
        <v>4</v>
      </c>
      <c r="I620" s="550">
        <v>0</v>
      </c>
      <c r="J620" s="550">
        <v>11</v>
      </c>
      <c r="K620" s="550">
        <v>2</v>
      </c>
      <c r="L620" s="550">
        <v>2</v>
      </c>
      <c r="M620" s="550">
        <v>0</v>
      </c>
      <c r="N620" s="550">
        <v>12</v>
      </c>
      <c r="O620" s="550">
        <v>0</v>
      </c>
      <c r="P620" s="550">
        <v>28</v>
      </c>
      <c r="Q620" s="550">
        <v>39</v>
      </c>
      <c r="R620" s="551" t="str">
        <f t="shared" si="113"/>
        <v>EL SEGUNDO</v>
      </c>
      <c r="S620" s="552"/>
      <c r="T620" s="552"/>
      <c r="U620" s="552"/>
      <c r="V620" s="552"/>
      <c r="W620" s="552"/>
      <c r="X620" s="552"/>
      <c r="Y620" s="552"/>
      <c r="Z620" s="552"/>
      <c r="AA620" s="553"/>
      <c r="AB620" s="553"/>
    </row>
    <row r="621" spans="1:28" ht="12.75">
      <c r="A621" s="547" t="s">
        <v>372</v>
      </c>
      <c r="B621" s="547" t="s">
        <v>153</v>
      </c>
      <c r="C621" s="548" t="s">
        <v>813</v>
      </c>
      <c r="D621" s="549">
        <v>2019</v>
      </c>
      <c r="E621" s="549" t="s">
        <v>775</v>
      </c>
      <c r="F621" s="550">
        <v>18</v>
      </c>
      <c r="G621" s="550">
        <v>0</v>
      </c>
      <c r="H621" s="550">
        <v>0</v>
      </c>
      <c r="I621" s="550">
        <v>0</v>
      </c>
      <c r="J621" s="550">
        <v>11</v>
      </c>
      <c r="K621" s="550">
        <v>0</v>
      </c>
      <c r="L621" s="550">
        <v>0</v>
      </c>
      <c r="M621" s="550">
        <v>0</v>
      </c>
      <c r="N621" s="550">
        <v>12</v>
      </c>
      <c r="O621" s="550">
        <v>0</v>
      </c>
      <c r="P621" s="550">
        <v>28</v>
      </c>
      <c r="Q621" s="550">
        <v>19</v>
      </c>
      <c r="R621" s="551" t="str">
        <f t="shared" si="113"/>
        <v>EL SEGUNDO</v>
      </c>
      <c r="S621" s="255">
        <f>SUM(G620:G621) +SUM(K620:K621)</f>
        <v>6</v>
      </c>
      <c r="T621" s="255">
        <f>F621+J621</f>
        <v>29</v>
      </c>
      <c r="U621" s="255">
        <f>SUM(O620:O621)</f>
        <v>0</v>
      </c>
      <c r="V621" s="255">
        <f>N621</f>
        <v>12</v>
      </c>
      <c r="W621" s="83">
        <f>SUM(Q620:Q621)</f>
        <v>58</v>
      </c>
      <c r="X621" s="255">
        <f>P621</f>
        <v>28</v>
      </c>
      <c r="Y621" s="255">
        <f>S621+U621+SUM(Q620:Q621)</f>
        <v>64</v>
      </c>
      <c r="Z621" s="255">
        <f>F621+J621+N621+P621</f>
        <v>69</v>
      </c>
      <c r="AA621" s="553"/>
      <c r="AB621" s="553"/>
    </row>
    <row r="622" spans="1:28" ht="12.75">
      <c r="A622" s="547" t="s">
        <v>373</v>
      </c>
      <c r="B622" s="547" t="s">
        <v>153</v>
      </c>
      <c r="C622" s="548" t="s">
        <v>812</v>
      </c>
      <c r="D622" s="549">
        <v>2014</v>
      </c>
      <c r="E622" s="549" t="s">
        <v>775</v>
      </c>
      <c r="F622" s="550">
        <v>98</v>
      </c>
      <c r="G622" s="550">
        <v>0</v>
      </c>
      <c r="H622" s="550">
        <v>0</v>
      </c>
      <c r="I622" s="550">
        <v>0</v>
      </c>
      <c r="J622" s="550">
        <v>60</v>
      </c>
      <c r="K622" s="550">
        <v>0</v>
      </c>
      <c r="L622" s="550">
        <v>0</v>
      </c>
      <c r="M622" s="550">
        <v>0</v>
      </c>
      <c r="N622" s="550">
        <v>66</v>
      </c>
      <c r="O622" s="550">
        <v>6</v>
      </c>
      <c r="P622" s="550">
        <v>173</v>
      </c>
      <c r="Q622" s="550">
        <v>21</v>
      </c>
      <c r="R622" s="551" t="str">
        <f t="shared" si="113"/>
        <v>GARDENA</v>
      </c>
      <c r="S622" s="552"/>
      <c r="T622" s="552"/>
      <c r="U622" s="552"/>
      <c r="V622" s="552"/>
      <c r="W622" s="552"/>
      <c r="X622" s="552"/>
      <c r="Y622" s="552"/>
      <c r="Z622" s="552"/>
      <c r="AA622" s="553"/>
      <c r="AB622" s="553"/>
    </row>
    <row r="623" spans="1:28" ht="12.75">
      <c r="A623" s="547" t="s">
        <v>373</v>
      </c>
      <c r="B623" s="547" t="s">
        <v>153</v>
      </c>
      <c r="C623" s="548" t="s">
        <v>812</v>
      </c>
      <c r="D623" s="549">
        <v>2015</v>
      </c>
      <c r="E623" s="549" t="s">
        <v>775</v>
      </c>
      <c r="F623" s="550">
        <v>98</v>
      </c>
      <c r="G623" s="550">
        <v>0</v>
      </c>
      <c r="H623" s="550">
        <v>0</v>
      </c>
      <c r="I623" s="550">
        <v>0</v>
      </c>
      <c r="J623" s="550">
        <v>60</v>
      </c>
      <c r="K623" s="550">
        <v>0</v>
      </c>
      <c r="L623" s="550">
        <v>0</v>
      </c>
      <c r="M623" s="550">
        <v>0</v>
      </c>
      <c r="N623" s="550">
        <v>66</v>
      </c>
      <c r="O623" s="550">
        <v>14</v>
      </c>
      <c r="P623" s="550">
        <v>173</v>
      </c>
      <c r="Q623" s="550">
        <v>42</v>
      </c>
      <c r="R623" s="551" t="str">
        <f t="shared" si="113"/>
        <v>GARDENA</v>
      </c>
      <c r="S623" s="552"/>
      <c r="T623" s="552"/>
      <c r="U623" s="552"/>
      <c r="V623" s="552"/>
      <c r="W623" s="552"/>
      <c r="X623" s="552"/>
      <c r="Y623" s="552"/>
      <c r="Z623" s="552"/>
      <c r="AA623" s="553"/>
      <c r="AB623" s="553"/>
    </row>
    <row r="624" spans="1:28" ht="12.75">
      <c r="A624" s="547" t="s">
        <v>373</v>
      </c>
      <c r="B624" s="547" t="s">
        <v>153</v>
      </c>
      <c r="C624" s="548" t="s">
        <v>812</v>
      </c>
      <c r="D624" s="549">
        <v>2016</v>
      </c>
      <c r="E624" s="549" t="s">
        <v>775</v>
      </c>
      <c r="F624" s="550">
        <v>98</v>
      </c>
      <c r="G624" s="550">
        <v>0</v>
      </c>
      <c r="H624" s="550">
        <v>0</v>
      </c>
      <c r="I624" s="550">
        <v>0</v>
      </c>
      <c r="J624" s="550">
        <v>60</v>
      </c>
      <c r="K624" s="550">
        <v>0</v>
      </c>
      <c r="L624" s="550">
        <v>0</v>
      </c>
      <c r="M624" s="550">
        <v>0</v>
      </c>
      <c r="N624" s="550">
        <v>66</v>
      </c>
      <c r="O624" s="550">
        <v>28</v>
      </c>
      <c r="P624" s="550">
        <v>173</v>
      </c>
      <c r="Q624" s="550">
        <v>74</v>
      </c>
      <c r="R624" s="551" t="str">
        <f t="shared" si="113"/>
        <v>GARDENA</v>
      </c>
      <c r="S624" s="552"/>
      <c r="T624" s="552"/>
      <c r="U624" s="552"/>
      <c r="V624" s="552"/>
      <c r="W624" s="552"/>
      <c r="X624" s="552"/>
      <c r="Y624" s="552"/>
      <c r="Z624" s="552"/>
      <c r="AA624" s="553"/>
      <c r="AB624" s="553"/>
    </row>
    <row r="625" spans="1:28" ht="12.75">
      <c r="A625" s="547" t="s">
        <v>373</v>
      </c>
      <c r="B625" s="547" t="s">
        <v>153</v>
      </c>
      <c r="C625" s="548" t="s">
        <v>812</v>
      </c>
      <c r="D625" s="549">
        <v>2017</v>
      </c>
      <c r="E625" s="549" t="s">
        <v>775</v>
      </c>
      <c r="F625" s="550">
        <v>98</v>
      </c>
      <c r="G625" s="550">
        <v>0</v>
      </c>
      <c r="H625" s="550">
        <v>0</v>
      </c>
      <c r="I625" s="550">
        <v>0</v>
      </c>
      <c r="J625" s="550">
        <v>60</v>
      </c>
      <c r="K625" s="550">
        <v>0</v>
      </c>
      <c r="L625" s="550">
        <v>0</v>
      </c>
      <c r="M625" s="550">
        <v>0</v>
      </c>
      <c r="N625" s="550">
        <v>66</v>
      </c>
      <c r="O625" s="550">
        <v>6</v>
      </c>
      <c r="P625" s="550">
        <v>173</v>
      </c>
      <c r="Q625" s="550">
        <v>44</v>
      </c>
      <c r="R625" s="551" t="str">
        <f t="shared" si="113"/>
        <v>GARDENA</v>
      </c>
      <c r="S625" s="552"/>
      <c r="T625" s="552"/>
      <c r="U625" s="552"/>
      <c r="V625" s="552"/>
      <c r="W625" s="552"/>
      <c r="X625" s="552"/>
      <c r="Y625" s="552"/>
      <c r="Z625" s="552"/>
      <c r="AA625" s="553"/>
      <c r="AB625" s="553"/>
    </row>
    <row r="626" spans="1:28" ht="12.75">
      <c r="A626" s="547" t="s">
        <v>373</v>
      </c>
      <c r="B626" s="547" t="s">
        <v>153</v>
      </c>
      <c r="C626" s="548" t="s">
        <v>812</v>
      </c>
      <c r="D626" s="549">
        <v>2018</v>
      </c>
      <c r="E626" s="549" t="s">
        <v>775</v>
      </c>
      <c r="F626" s="550">
        <v>98</v>
      </c>
      <c r="G626" s="550">
        <v>0</v>
      </c>
      <c r="H626" s="550">
        <v>0</v>
      </c>
      <c r="I626" s="550">
        <v>0</v>
      </c>
      <c r="J626" s="550">
        <v>60</v>
      </c>
      <c r="K626" s="550">
        <v>0</v>
      </c>
      <c r="L626" s="550">
        <v>0</v>
      </c>
      <c r="M626" s="550">
        <v>0</v>
      </c>
      <c r="N626" s="550">
        <v>66</v>
      </c>
      <c r="O626" s="550">
        <v>0</v>
      </c>
      <c r="P626" s="550">
        <v>173</v>
      </c>
      <c r="Q626" s="550">
        <v>124</v>
      </c>
      <c r="R626" s="551" t="str">
        <f t="shared" si="113"/>
        <v>GARDENA</v>
      </c>
      <c r="S626" s="552"/>
      <c r="T626" s="552"/>
      <c r="U626" s="552"/>
      <c r="V626" s="552"/>
      <c r="W626" s="552"/>
      <c r="X626" s="552"/>
      <c r="Y626" s="552"/>
      <c r="Z626" s="552"/>
      <c r="AA626" s="553"/>
      <c r="AB626" s="553"/>
    </row>
    <row r="627" spans="1:28" ht="12.75">
      <c r="A627" s="547" t="s">
        <v>373</v>
      </c>
      <c r="B627" s="547" t="s">
        <v>153</v>
      </c>
      <c r="C627" s="548" t="s">
        <v>813</v>
      </c>
      <c r="D627" s="549">
        <v>2019</v>
      </c>
      <c r="E627" s="549" t="s">
        <v>775</v>
      </c>
      <c r="F627" s="550">
        <v>98</v>
      </c>
      <c r="G627" s="550">
        <v>0</v>
      </c>
      <c r="H627" s="550">
        <v>0</v>
      </c>
      <c r="I627" s="550">
        <v>0</v>
      </c>
      <c r="J627" s="550">
        <v>60</v>
      </c>
      <c r="K627" s="550">
        <v>0</v>
      </c>
      <c r="L627" s="550">
        <v>0</v>
      </c>
      <c r="M627" s="550">
        <v>0</v>
      </c>
      <c r="N627" s="550">
        <v>66</v>
      </c>
      <c r="O627" s="550">
        <v>0</v>
      </c>
      <c r="P627" s="550">
        <v>173</v>
      </c>
      <c r="Q627" s="550">
        <v>40</v>
      </c>
      <c r="R627" s="551" t="str">
        <f t="shared" si="113"/>
        <v>GARDENA</v>
      </c>
      <c r="S627" s="552">
        <f>SUM(G622:G627) +SUM(K622:K627)</f>
        <v>0</v>
      </c>
      <c r="T627" s="552">
        <f>F627+J627</f>
        <v>158</v>
      </c>
      <c r="U627" s="552">
        <f>SUM(O622:O627)</f>
        <v>54</v>
      </c>
      <c r="V627" s="552">
        <f>N627</f>
        <v>66</v>
      </c>
      <c r="W627" s="554">
        <f>SUM(Q622:Q627)</f>
        <v>345</v>
      </c>
      <c r="X627" s="552">
        <f>P627</f>
        <v>173</v>
      </c>
      <c r="Y627" s="552">
        <f>S627+U627+SUM(Q622:Q627)</f>
        <v>399</v>
      </c>
      <c r="Z627" s="552">
        <f>F627+J627+N627+P627</f>
        <v>397</v>
      </c>
      <c r="AA627" s="553"/>
      <c r="AB627" s="553"/>
    </row>
    <row r="628" spans="1:28" ht="12.75">
      <c r="A628" s="547" t="s">
        <v>374</v>
      </c>
      <c r="B628" s="547" t="s">
        <v>153</v>
      </c>
      <c r="C628" s="548" t="s">
        <v>812</v>
      </c>
      <c r="D628" s="549">
        <v>2014</v>
      </c>
      <c r="E628" s="549" t="s">
        <v>775</v>
      </c>
      <c r="F628" s="550">
        <v>508</v>
      </c>
      <c r="G628" s="550">
        <v>71</v>
      </c>
      <c r="H628" s="550">
        <v>71</v>
      </c>
      <c r="I628" s="550">
        <v>0</v>
      </c>
      <c r="J628" s="550">
        <v>310</v>
      </c>
      <c r="K628" s="550">
        <v>48</v>
      </c>
      <c r="L628" s="550">
        <v>48</v>
      </c>
      <c r="M628" s="550">
        <v>0</v>
      </c>
      <c r="N628" s="550">
        <v>337</v>
      </c>
      <c r="O628" s="550">
        <v>0</v>
      </c>
      <c r="P628" s="550">
        <v>862</v>
      </c>
      <c r="Q628" s="550">
        <v>532</v>
      </c>
      <c r="R628" s="551" t="str">
        <f t="shared" si="113"/>
        <v>GLENDALE</v>
      </c>
      <c r="S628" s="552"/>
      <c r="T628" s="552"/>
      <c r="U628" s="552"/>
      <c r="V628" s="552"/>
      <c r="W628" s="552"/>
      <c r="X628" s="552"/>
      <c r="Y628" s="552"/>
      <c r="Z628" s="552"/>
      <c r="AA628" s="553"/>
      <c r="AB628" s="553"/>
    </row>
    <row r="629" spans="1:28" ht="12.75">
      <c r="A629" s="547" t="s">
        <v>374</v>
      </c>
      <c r="B629" s="547" t="s">
        <v>153</v>
      </c>
      <c r="C629" s="548" t="s">
        <v>812</v>
      </c>
      <c r="D629" s="549">
        <v>2015</v>
      </c>
      <c r="E629" s="549" t="s">
        <v>775</v>
      </c>
      <c r="F629" s="550">
        <v>508</v>
      </c>
      <c r="G629" s="550">
        <v>0</v>
      </c>
      <c r="H629" s="550">
        <v>0</v>
      </c>
      <c r="I629" s="550">
        <v>0</v>
      </c>
      <c r="J629" s="550">
        <v>310</v>
      </c>
      <c r="K629" s="550">
        <v>0</v>
      </c>
      <c r="L629" s="550">
        <v>0</v>
      </c>
      <c r="M629" s="550">
        <v>0</v>
      </c>
      <c r="N629" s="550">
        <v>337</v>
      </c>
      <c r="O629" s="550">
        <v>1</v>
      </c>
      <c r="P629" s="550">
        <v>862</v>
      </c>
      <c r="Q629" s="550">
        <v>776</v>
      </c>
      <c r="R629" s="551" t="str">
        <f t="shared" si="113"/>
        <v>GLENDALE</v>
      </c>
      <c r="S629" s="552"/>
      <c r="T629" s="552"/>
      <c r="U629" s="552"/>
      <c r="V629" s="552"/>
      <c r="W629" s="552"/>
      <c r="X629" s="552"/>
      <c r="Y629" s="552"/>
      <c r="Z629" s="552"/>
      <c r="AA629" s="553"/>
      <c r="AB629" s="553"/>
    </row>
    <row r="630" spans="1:28" ht="12.75">
      <c r="A630" s="547" t="s">
        <v>374</v>
      </c>
      <c r="B630" s="547" t="s">
        <v>153</v>
      </c>
      <c r="C630" s="548" t="s">
        <v>812</v>
      </c>
      <c r="D630" s="549">
        <v>2016</v>
      </c>
      <c r="E630" s="549" t="s">
        <v>775</v>
      </c>
      <c r="F630" s="550">
        <v>508</v>
      </c>
      <c r="G630" s="550">
        <v>12</v>
      </c>
      <c r="H630" s="550">
        <v>12</v>
      </c>
      <c r="I630" s="550">
        <v>0</v>
      </c>
      <c r="J630" s="550">
        <v>310</v>
      </c>
      <c r="K630" s="550">
        <v>12</v>
      </c>
      <c r="L630" s="550">
        <v>12</v>
      </c>
      <c r="M630" s="550">
        <v>0</v>
      </c>
      <c r="N630" s="550">
        <v>337</v>
      </c>
      <c r="O630" s="550">
        <v>0</v>
      </c>
      <c r="P630" s="550">
        <v>862</v>
      </c>
      <c r="Q630" s="550">
        <v>1187</v>
      </c>
      <c r="R630" s="551" t="str">
        <f t="shared" si="113"/>
        <v>GLENDALE</v>
      </c>
      <c r="S630" s="552"/>
      <c r="T630" s="552"/>
      <c r="U630" s="552"/>
      <c r="V630" s="552"/>
      <c r="W630" s="552"/>
      <c r="X630" s="552"/>
      <c r="Y630" s="552"/>
      <c r="Z630" s="552"/>
      <c r="AA630" s="553"/>
      <c r="AB630" s="553"/>
    </row>
    <row r="631" spans="1:28" ht="12.75">
      <c r="A631" s="547" t="s">
        <v>374</v>
      </c>
      <c r="B631" s="547" t="s">
        <v>153</v>
      </c>
      <c r="C631" s="548" t="s">
        <v>812</v>
      </c>
      <c r="D631" s="549">
        <v>2017</v>
      </c>
      <c r="E631" s="549" t="s">
        <v>775</v>
      </c>
      <c r="F631" s="550">
        <v>508</v>
      </c>
      <c r="G631" s="550">
        <v>5</v>
      </c>
      <c r="H631" s="550">
        <v>5</v>
      </c>
      <c r="I631" s="550">
        <v>0</v>
      </c>
      <c r="J631" s="550">
        <v>310</v>
      </c>
      <c r="K631" s="550">
        <v>37</v>
      </c>
      <c r="L631" s="550">
        <v>37</v>
      </c>
      <c r="M631" s="550">
        <v>0</v>
      </c>
      <c r="N631" s="550">
        <v>337</v>
      </c>
      <c r="O631" s="550">
        <v>0</v>
      </c>
      <c r="P631" s="550">
        <v>862</v>
      </c>
      <c r="Q631" s="550">
        <v>610</v>
      </c>
      <c r="R631" s="551" t="str">
        <f t="shared" si="113"/>
        <v>GLENDALE</v>
      </c>
      <c r="S631" s="552"/>
      <c r="T631" s="552"/>
      <c r="U631" s="552"/>
      <c r="V631" s="552"/>
      <c r="W631" s="552"/>
      <c r="X631" s="552"/>
      <c r="Y631" s="552"/>
      <c r="Z631" s="552"/>
      <c r="AA631" s="553"/>
      <c r="AB631" s="553"/>
    </row>
    <row r="632" spans="1:28" ht="12.75">
      <c r="A632" s="547" t="s">
        <v>374</v>
      </c>
      <c r="B632" s="547" t="s">
        <v>153</v>
      </c>
      <c r="C632" s="548" t="s">
        <v>813</v>
      </c>
      <c r="D632" s="549">
        <v>2019</v>
      </c>
      <c r="E632" s="549" t="s">
        <v>775</v>
      </c>
      <c r="F632" s="550">
        <v>508</v>
      </c>
      <c r="G632" s="550">
        <v>4</v>
      </c>
      <c r="H632" s="550">
        <v>4</v>
      </c>
      <c r="I632" s="550">
        <v>0</v>
      </c>
      <c r="J632" s="550">
        <v>310</v>
      </c>
      <c r="K632" s="550">
        <v>0</v>
      </c>
      <c r="L632" s="550">
        <v>0</v>
      </c>
      <c r="M632" s="550">
        <v>0</v>
      </c>
      <c r="N632" s="550">
        <v>337</v>
      </c>
      <c r="O632" s="550">
        <v>0</v>
      </c>
      <c r="P632" s="550">
        <v>862</v>
      </c>
      <c r="Q632" s="550">
        <v>299</v>
      </c>
      <c r="R632" s="551" t="str">
        <f t="shared" si="113"/>
        <v>GLENDALE</v>
      </c>
      <c r="S632" s="255">
        <f>SUM(G628:G632) +SUM(K628:K632)</f>
        <v>189</v>
      </c>
      <c r="T632" s="255">
        <f>F632+J632</f>
        <v>818</v>
      </c>
      <c r="U632" s="255">
        <f>SUM(O628:O632)</f>
        <v>1</v>
      </c>
      <c r="V632" s="255">
        <f>N632</f>
        <v>337</v>
      </c>
      <c r="W632" s="83">
        <f>SUM(Q628:Q632)</f>
        <v>3404</v>
      </c>
      <c r="X632" s="255">
        <f>P632</f>
        <v>862</v>
      </c>
      <c r="Y632" s="255">
        <f>S632+U632+SUM(Q628:Q632)</f>
        <v>3594</v>
      </c>
      <c r="Z632" s="255">
        <f>F632+J632+N632+P632</f>
        <v>2017</v>
      </c>
      <c r="AA632" s="553"/>
      <c r="AB632" s="553"/>
    </row>
    <row r="633" spans="1:28" ht="12.75">
      <c r="A633" s="547" t="s">
        <v>375</v>
      </c>
      <c r="B633" s="547" t="s">
        <v>153</v>
      </c>
      <c r="C633" s="548" t="s">
        <v>812</v>
      </c>
      <c r="D633" s="549">
        <v>2014</v>
      </c>
      <c r="E633" s="549" t="s">
        <v>775</v>
      </c>
      <c r="F633" s="550">
        <v>171</v>
      </c>
      <c r="G633" s="550">
        <v>0</v>
      </c>
      <c r="H633" s="550">
        <v>0</v>
      </c>
      <c r="I633" s="550">
        <v>0</v>
      </c>
      <c r="J633" s="550">
        <v>100</v>
      </c>
      <c r="K633" s="550">
        <v>0</v>
      </c>
      <c r="L633" s="550">
        <v>0</v>
      </c>
      <c r="M633" s="550">
        <v>0</v>
      </c>
      <c r="N633" s="550">
        <v>108</v>
      </c>
      <c r="O633" s="550">
        <v>0</v>
      </c>
      <c r="P633" s="550">
        <v>267</v>
      </c>
      <c r="Q633" s="550">
        <v>48</v>
      </c>
      <c r="R633" s="551" t="str">
        <f t="shared" si="113"/>
        <v>GLENDORA</v>
      </c>
      <c r="S633" s="552"/>
      <c r="T633" s="552"/>
      <c r="U633" s="552"/>
      <c r="V633" s="552"/>
      <c r="W633" s="552"/>
      <c r="X633" s="552"/>
      <c r="Y633" s="552"/>
      <c r="Z633" s="552"/>
      <c r="AA633" s="553"/>
      <c r="AB633" s="553"/>
    </row>
    <row r="634" spans="1:28" ht="12.75">
      <c r="A634" s="547" t="s">
        <v>375</v>
      </c>
      <c r="B634" s="547" t="s">
        <v>153</v>
      </c>
      <c r="C634" s="548" t="s">
        <v>812</v>
      </c>
      <c r="D634" s="549">
        <v>2015</v>
      </c>
      <c r="E634" s="549" t="s">
        <v>775</v>
      </c>
      <c r="F634" s="550">
        <v>171</v>
      </c>
      <c r="G634" s="550">
        <v>0</v>
      </c>
      <c r="H634" s="550">
        <v>0</v>
      </c>
      <c r="I634" s="550">
        <v>0</v>
      </c>
      <c r="J634" s="550">
        <v>100</v>
      </c>
      <c r="K634" s="550">
        <v>0</v>
      </c>
      <c r="L634" s="550">
        <v>0</v>
      </c>
      <c r="M634" s="550">
        <v>0</v>
      </c>
      <c r="N634" s="550">
        <v>108</v>
      </c>
      <c r="O634" s="550">
        <v>0</v>
      </c>
      <c r="P634" s="550">
        <v>267</v>
      </c>
      <c r="Q634" s="550">
        <v>22</v>
      </c>
      <c r="R634" s="551" t="str">
        <f t="shared" si="113"/>
        <v>GLENDORA</v>
      </c>
      <c r="S634" s="552"/>
      <c r="T634" s="552"/>
      <c r="U634" s="552"/>
      <c r="V634" s="552"/>
      <c r="W634" s="552"/>
      <c r="X634" s="552"/>
      <c r="Y634" s="552"/>
      <c r="Z634" s="552"/>
      <c r="AA634" s="553"/>
      <c r="AB634" s="553"/>
    </row>
    <row r="635" spans="1:28" ht="12.75">
      <c r="A635" s="547" t="s">
        <v>375</v>
      </c>
      <c r="B635" s="547" t="s">
        <v>153</v>
      </c>
      <c r="C635" s="548" t="s">
        <v>812</v>
      </c>
      <c r="D635" s="549">
        <v>2016</v>
      </c>
      <c r="E635" s="549" t="s">
        <v>775</v>
      </c>
      <c r="F635" s="550">
        <v>171</v>
      </c>
      <c r="G635" s="550">
        <v>0</v>
      </c>
      <c r="H635" s="550">
        <v>0</v>
      </c>
      <c r="I635" s="550">
        <v>0</v>
      </c>
      <c r="J635" s="550">
        <v>100</v>
      </c>
      <c r="K635" s="550">
        <v>0</v>
      </c>
      <c r="L635" s="550">
        <v>0</v>
      </c>
      <c r="M635" s="550">
        <v>0</v>
      </c>
      <c r="N635" s="550">
        <v>108</v>
      </c>
      <c r="O635" s="550">
        <v>0</v>
      </c>
      <c r="P635" s="550">
        <v>267</v>
      </c>
      <c r="Q635" s="550">
        <v>329</v>
      </c>
      <c r="R635" s="551" t="str">
        <f t="shared" si="113"/>
        <v>GLENDORA</v>
      </c>
      <c r="S635" s="552"/>
      <c r="T635" s="552"/>
      <c r="U635" s="552"/>
      <c r="V635" s="552"/>
      <c r="W635" s="552"/>
      <c r="X635" s="552"/>
      <c r="Y635" s="552"/>
      <c r="Z635" s="552"/>
      <c r="AA635" s="553"/>
      <c r="AB635" s="553"/>
    </row>
    <row r="636" spans="1:28" ht="12.75">
      <c r="A636" s="547" t="s">
        <v>375</v>
      </c>
      <c r="B636" s="547" t="s">
        <v>153</v>
      </c>
      <c r="C636" s="548" t="s">
        <v>812</v>
      </c>
      <c r="D636" s="549">
        <v>2017</v>
      </c>
      <c r="E636" s="549" t="s">
        <v>775</v>
      </c>
      <c r="F636" s="550">
        <v>171</v>
      </c>
      <c r="G636" s="550">
        <v>0</v>
      </c>
      <c r="H636" s="550">
        <v>0</v>
      </c>
      <c r="I636" s="550">
        <v>0</v>
      </c>
      <c r="J636" s="550">
        <v>100</v>
      </c>
      <c r="K636" s="550">
        <v>0</v>
      </c>
      <c r="L636" s="550">
        <v>0</v>
      </c>
      <c r="M636" s="550">
        <v>0</v>
      </c>
      <c r="N636" s="550">
        <v>108</v>
      </c>
      <c r="O636" s="550">
        <v>0</v>
      </c>
      <c r="P636" s="550">
        <v>267</v>
      </c>
      <c r="Q636" s="550">
        <v>84</v>
      </c>
      <c r="R636" s="551" t="str">
        <f t="shared" si="113"/>
        <v>GLENDORA</v>
      </c>
      <c r="S636" s="552"/>
      <c r="T636" s="552"/>
      <c r="U636" s="552"/>
      <c r="V636" s="552"/>
      <c r="W636" s="552"/>
      <c r="X636" s="552"/>
      <c r="Y636" s="552"/>
      <c r="Z636" s="552"/>
      <c r="AA636" s="553"/>
      <c r="AB636" s="553"/>
    </row>
    <row r="637" spans="1:28" ht="12.75">
      <c r="A637" s="547" t="s">
        <v>375</v>
      </c>
      <c r="B637" s="547" t="s">
        <v>153</v>
      </c>
      <c r="C637" s="548" t="s">
        <v>812</v>
      </c>
      <c r="D637" s="549">
        <v>2018</v>
      </c>
      <c r="E637" s="549" t="s">
        <v>775</v>
      </c>
      <c r="F637" s="550">
        <v>171</v>
      </c>
      <c r="G637" s="550">
        <v>0</v>
      </c>
      <c r="H637" s="550">
        <v>0</v>
      </c>
      <c r="I637" s="550">
        <v>0</v>
      </c>
      <c r="J637" s="550">
        <v>100</v>
      </c>
      <c r="K637" s="550">
        <v>0</v>
      </c>
      <c r="L637" s="550">
        <v>0</v>
      </c>
      <c r="M637" s="550">
        <v>0</v>
      </c>
      <c r="N637" s="550">
        <v>108</v>
      </c>
      <c r="O637" s="550">
        <v>0</v>
      </c>
      <c r="P637" s="550">
        <v>267</v>
      </c>
      <c r="Q637" s="550">
        <v>51</v>
      </c>
      <c r="R637" s="551" t="str">
        <f t="shared" si="113"/>
        <v>GLENDORA</v>
      </c>
      <c r="S637" s="552"/>
      <c r="T637" s="552"/>
      <c r="U637" s="552"/>
      <c r="V637" s="552"/>
      <c r="W637" s="552"/>
      <c r="X637" s="552"/>
      <c r="Y637" s="552"/>
      <c r="Z637" s="552"/>
      <c r="AA637" s="553"/>
      <c r="AB637" s="553"/>
    </row>
    <row r="638" spans="1:28" ht="12.75">
      <c r="A638" s="547" t="s">
        <v>375</v>
      </c>
      <c r="B638" s="547" t="s">
        <v>153</v>
      </c>
      <c r="C638" s="548" t="s">
        <v>813</v>
      </c>
      <c r="D638" s="549">
        <v>2019</v>
      </c>
      <c r="E638" s="549" t="s">
        <v>775</v>
      </c>
      <c r="F638" s="550">
        <v>181</v>
      </c>
      <c r="G638" s="550">
        <v>0</v>
      </c>
      <c r="H638" s="550">
        <v>0</v>
      </c>
      <c r="I638" s="550">
        <v>0</v>
      </c>
      <c r="J638" s="550">
        <v>106</v>
      </c>
      <c r="K638" s="550">
        <v>0</v>
      </c>
      <c r="L638" s="550">
        <v>0</v>
      </c>
      <c r="M638" s="550">
        <v>0</v>
      </c>
      <c r="N638" s="550">
        <v>115</v>
      </c>
      <c r="O638" s="550">
        <v>0</v>
      </c>
      <c r="P638" s="550">
        <v>284</v>
      </c>
      <c r="Q638" s="550">
        <v>42</v>
      </c>
      <c r="R638" s="551" t="str">
        <f t="shared" si="113"/>
        <v>GLENDORA</v>
      </c>
      <c r="S638" s="552">
        <f>SUM(G633:G638) +SUM(K633:K638)</f>
        <v>0</v>
      </c>
      <c r="T638" s="552">
        <f>F638+J638</f>
        <v>287</v>
      </c>
      <c r="U638" s="552">
        <f>SUM(O633:O638)</f>
        <v>0</v>
      </c>
      <c r="V638" s="552">
        <f>N638</f>
        <v>115</v>
      </c>
      <c r="W638" s="554">
        <f>SUM(Q633:Q638)</f>
        <v>576</v>
      </c>
      <c r="X638" s="552">
        <f>P638</f>
        <v>284</v>
      </c>
      <c r="Y638" s="552">
        <f>S638+U638+SUM(Q633:Q638)</f>
        <v>576</v>
      </c>
      <c r="Z638" s="552">
        <f>F638+J638+N638+P638</f>
        <v>686</v>
      </c>
      <c r="AA638" s="553"/>
      <c r="AB638" s="553"/>
    </row>
    <row r="639" spans="1:28" ht="12.75">
      <c r="A639" s="547" t="s">
        <v>376</v>
      </c>
      <c r="B639" s="547" t="s">
        <v>153</v>
      </c>
      <c r="C639" s="548" t="s">
        <v>812</v>
      </c>
      <c r="D639" s="549">
        <v>2018</v>
      </c>
      <c r="E639" s="549" t="s">
        <v>775</v>
      </c>
      <c r="F639" s="550">
        <v>32</v>
      </c>
      <c r="G639" s="550">
        <v>0</v>
      </c>
      <c r="H639" s="550">
        <v>0</v>
      </c>
      <c r="I639" s="550">
        <v>0</v>
      </c>
      <c r="J639" s="550">
        <v>19</v>
      </c>
      <c r="K639" s="550">
        <v>0</v>
      </c>
      <c r="L639" s="550">
        <v>0</v>
      </c>
      <c r="M639" s="550">
        <v>0</v>
      </c>
      <c r="N639" s="550">
        <v>21</v>
      </c>
      <c r="O639" s="550">
        <v>0</v>
      </c>
      <c r="P639" s="550">
        <v>57</v>
      </c>
      <c r="Q639" s="550">
        <v>1</v>
      </c>
      <c r="R639" s="551" t="str">
        <f t="shared" si="113"/>
        <v>HAWAIIAN GARDENS</v>
      </c>
      <c r="S639" s="552"/>
      <c r="T639" s="552"/>
      <c r="U639" s="552"/>
      <c r="V639" s="552"/>
      <c r="W639" s="552"/>
      <c r="X639" s="552"/>
      <c r="Y639" s="552"/>
      <c r="Z639" s="552"/>
      <c r="AA639" s="553"/>
      <c r="AB639" s="553"/>
    </row>
    <row r="640" spans="1:28" ht="12.75">
      <c r="A640" s="547" t="s">
        <v>376</v>
      </c>
      <c r="B640" s="547" t="s">
        <v>153</v>
      </c>
      <c r="C640" s="548" t="s">
        <v>813</v>
      </c>
      <c r="D640" s="549">
        <v>2019</v>
      </c>
      <c r="E640" s="549" t="s">
        <v>775</v>
      </c>
      <c r="F640" s="550">
        <v>32</v>
      </c>
      <c r="G640" s="550">
        <v>0</v>
      </c>
      <c r="H640" s="550">
        <v>0</v>
      </c>
      <c r="I640" s="550">
        <v>0</v>
      </c>
      <c r="J640" s="550">
        <v>19</v>
      </c>
      <c r="K640" s="550">
        <v>0</v>
      </c>
      <c r="L640" s="550">
        <v>0</v>
      </c>
      <c r="M640" s="550">
        <v>0</v>
      </c>
      <c r="N640" s="550">
        <v>21</v>
      </c>
      <c r="O640" s="550">
        <v>0</v>
      </c>
      <c r="P640" s="550">
        <v>57</v>
      </c>
      <c r="Q640" s="550">
        <v>3</v>
      </c>
      <c r="R640" s="551" t="str">
        <f t="shared" si="113"/>
        <v>HAWAIIAN GARDENS</v>
      </c>
      <c r="S640" s="255">
        <f>SUM(G639:G640) +SUM(K639:K640)</f>
        <v>0</v>
      </c>
      <c r="T640" s="255">
        <f>F640+J640</f>
        <v>51</v>
      </c>
      <c r="U640" s="255">
        <f>SUM(O639:O640)</f>
        <v>0</v>
      </c>
      <c r="V640" s="255">
        <f>N640</f>
        <v>21</v>
      </c>
      <c r="W640" s="83">
        <f>SUM(Q639:Q640)</f>
        <v>4</v>
      </c>
      <c r="X640" s="255">
        <f>P640</f>
        <v>57</v>
      </c>
      <c r="Y640" s="255">
        <f>S640+U640+SUM(Q639:Q640)</f>
        <v>4</v>
      </c>
      <c r="Z640" s="255">
        <f>F640+J640+N640+P640</f>
        <v>129</v>
      </c>
      <c r="AA640" s="553"/>
      <c r="AB640" s="553"/>
    </row>
    <row r="641" spans="1:28" ht="12.75">
      <c r="A641" s="547" t="s">
        <v>377</v>
      </c>
      <c r="B641" s="547" t="s">
        <v>153</v>
      </c>
      <c r="C641" s="548" t="s">
        <v>812</v>
      </c>
      <c r="D641" s="549">
        <v>2014</v>
      </c>
      <c r="E641" s="549" t="s">
        <v>775</v>
      </c>
      <c r="F641" s="550">
        <v>170</v>
      </c>
      <c r="G641" s="550">
        <v>0</v>
      </c>
      <c r="H641" s="550">
        <v>0</v>
      </c>
      <c r="I641" s="550">
        <v>0</v>
      </c>
      <c r="J641" s="550">
        <v>101</v>
      </c>
      <c r="K641" s="550">
        <v>0</v>
      </c>
      <c r="L641" s="550">
        <v>0</v>
      </c>
      <c r="M641" s="550">
        <v>0</v>
      </c>
      <c r="N641" s="550">
        <v>112</v>
      </c>
      <c r="O641" s="550">
        <v>34</v>
      </c>
      <c r="P641" s="550">
        <v>300</v>
      </c>
      <c r="Q641" s="550">
        <v>320</v>
      </c>
      <c r="R641" s="551" t="str">
        <f t="shared" si="113"/>
        <v>HAWTHORNE</v>
      </c>
      <c r="S641" s="552"/>
      <c r="T641" s="552"/>
      <c r="U641" s="552"/>
      <c r="V641" s="552"/>
      <c r="W641" s="552"/>
      <c r="X641" s="552"/>
      <c r="Y641" s="552"/>
      <c r="Z641" s="552"/>
      <c r="AA641" s="553"/>
      <c r="AB641" s="553"/>
    </row>
    <row r="642" spans="1:28" ht="12.75">
      <c r="A642" s="547" t="s">
        <v>377</v>
      </c>
      <c r="B642" s="547" t="s">
        <v>153</v>
      </c>
      <c r="C642" s="548" t="s">
        <v>812</v>
      </c>
      <c r="D642" s="549">
        <v>2015</v>
      </c>
      <c r="E642" s="549" t="s">
        <v>775</v>
      </c>
      <c r="F642" s="550">
        <v>170</v>
      </c>
      <c r="G642" s="550">
        <v>0</v>
      </c>
      <c r="H642" s="550">
        <v>0</v>
      </c>
      <c r="I642" s="550">
        <v>0</v>
      </c>
      <c r="J642" s="550">
        <v>101</v>
      </c>
      <c r="K642" s="550">
        <v>127</v>
      </c>
      <c r="L642" s="550">
        <v>127</v>
      </c>
      <c r="M642" s="550">
        <v>0</v>
      </c>
      <c r="N642" s="550">
        <v>112</v>
      </c>
      <c r="O642" s="550">
        <v>0</v>
      </c>
      <c r="P642" s="550">
        <v>300</v>
      </c>
      <c r="Q642" s="550">
        <v>0</v>
      </c>
      <c r="R642" s="551" t="str">
        <f t="shared" si="113"/>
        <v>HAWTHORNE</v>
      </c>
      <c r="S642" s="552"/>
      <c r="T642" s="552"/>
      <c r="U642" s="552"/>
      <c r="V642" s="552"/>
      <c r="W642" s="552"/>
      <c r="X642" s="552"/>
      <c r="Y642" s="552"/>
      <c r="Z642" s="552"/>
      <c r="AA642" s="553"/>
      <c r="AB642" s="553"/>
    </row>
    <row r="643" spans="1:28" ht="12.75">
      <c r="A643" s="547" t="s">
        <v>377</v>
      </c>
      <c r="B643" s="547" t="s">
        <v>153</v>
      </c>
      <c r="C643" s="548" t="s">
        <v>812</v>
      </c>
      <c r="D643" s="549">
        <v>2016</v>
      </c>
      <c r="E643" s="549" t="s">
        <v>775</v>
      </c>
      <c r="F643" s="550">
        <v>170</v>
      </c>
      <c r="G643" s="550">
        <v>0</v>
      </c>
      <c r="H643" s="550">
        <v>0</v>
      </c>
      <c r="I643" s="550">
        <v>0</v>
      </c>
      <c r="J643" s="550">
        <v>101</v>
      </c>
      <c r="K643" s="550">
        <v>0</v>
      </c>
      <c r="L643" s="550">
        <v>0</v>
      </c>
      <c r="M643" s="550">
        <v>0</v>
      </c>
      <c r="N643" s="550">
        <v>112</v>
      </c>
      <c r="O643" s="550">
        <v>0</v>
      </c>
      <c r="P643" s="550">
        <v>300</v>
      </c>
      <c r="Q643" s="550">
        <v>4</v>
      </c>
      <c r="R643" s="551" t="str">
        <f t="shared" si="113"/>
        <v>HAWTHORNE</v>
      </c>
      <c r="S643" s="552"/>
      <c r="T643" s="552"/>
      <c r="U643" s="552"/>
      <c r="V643" s="552"/>
      <c r="W643" s="552"/>
      <c r="X643" s="552"/>
      <c r="Y643" s="552"/>
      <c r="Z643" s="552"/>
      <c r="AA643" s="553"/>
      <c r="AB643" s="553"/>
    </row>
    <row r="644" spans="1:28" ht="12.75">
      <c r="A644" s="547" t="s">
        <v>377</v>
      </c>
      <c r="B644" s="547" t="s">
        <v>153</v>
      </c>
      <c r="C644" s="548" t="s">
        <v>812</v>
      </c>
      <c r="D644" s="549">
        <v>2017</v>
      </c>
      <c r="E644" s="549" t="s">
        <v>775</v>
      </c>
      <c r="F644" s="550">
        <v>170</v>
      </c>
      <c r="G644" s="550">
        <v>0</v>
      </c>
      <c r="H644" s="550">
        <v>0</v>
      </c>
      <c r="I644" s="550">
        <v>0</v>
      </c>
      <c r="J644" s="550">
        <v>101</v>
      </c>
      <c r="K644" s="550">
        <v>0</v>
      </c>
      <c r="L644" s="550">
        <v>0</v>
      </c>
      <c r="M644" s="550">
        <v>0</v>
      </c>
      <c r="N644" s="550">
        <v>112</v>
      </c>
      <c r="O644" s="550">
        <v>5</v>
      </c>
      <c r="P644" s="550">
        <v>300</v>
      </c>
      <c r="Q644" s="550">
        <v>37</v>
      </c>
      <c r="R644" s="551" t="str">
        <f t="shared" si="113"/>
        <v>HAWTHORNE</v>
      </c>
      <c r="S644" s="552"/>
      <c r="T644" s="552"/>
      <c r="U644" s="552"/>
      <c r="V644" s="552"/>
      <c r="W644" s="552"/>
      <c r="X644" s="552"/>
      <c r="Y644" s="552"/>
      <c r="Z644" s="552"/>
      <c r="AA644" s="553"/>
      <c r="AB644" s="553"/>
    </row>
    <row r="645" spans="1:28" ht="12.75">
      <c r="A645" s="547" t="s">
        <v>377</v>
      </c>
      <c r="B645" s="547" t="s">
        <v>153</v>
      </c>
      <c r="C645" s="548" t="s">
        <v>812</v>
      </c>
      <c r="D645" s="549">
        <v>2018</v>
      </c>
      <c r="E645" s="549" t="s">
        <v>775</v>
      </c>
      <c r="F645" s="550">
        <v>170</v>
      </c>
      <c r="G645" s="550">
        <v>9</v>
      </c>
      <c r="H645" s="550">
        <v>9</v>
      </c>
      <c r="I645" s="550">
        <v>0</v>
      </c>
      <c r="J645" s="550">
        <v>101</v>
      </c>
      <c r="K645" s="550">
        <v>0</v>
      </c>
      <c r="L645" s="550">
        <v>0</v>
      </c>
      <c r="M645" s="550">
        <v>0</v>
      </c>
      <c r="N645" s="550">
        <v>112</v>
      </c>
      <c r="O645" s="550">
        <v>3</v>
      </c>
      <c r="P645" s="550">
        <v>300</v>
      </c>
      <c r="Q645" s="550">
        <v>282</v>
      </c>
      <c r="R645" s="551" t="str">
        <f t="shared" si="113"/>
        <v>HAWTHORNE</v>
      </c>
      <c r="S645" s="552"/>
      <c r="T645" s="552"/>
      <c r="U645" s="552"/>
      <c r="V645" s="552"/>
      <c r="W645" s="552"/>
      <c r="X645" s="552"/>
      <c r="Y645" s="552"/>
      <c r="Z645" s="552"/>
      <c r="AA645" s="553"/>
      <c r="AB645" s="553"/>
    </row>
    <row r="646" spans="1:28" ht="12.75">
      <c r="A646" s="547" t="s">
        <v>377</v>
      </c>
      <c r="B646" s="547" t="s">
        <v>153</v>
      </c>
      <c r="C646" s="548" t="s">
        <v>813</v>
      </c>
      <c r="D646" s="549">
        <v>2019</v>
      </c>
      <c r="E646" s="549" t="s">
        <v>775</v>
      </c>
      <c r="F646" s="550">
        <v>170</v>
      </c>
      <c r="G646" s="550">
        <v>0</v>
      </c>
      <c r="H646" s="550">
        <v>0</v>
      </c>
      <c r="I646" s="550">
        <v>0</v>
      </c>
      <c r="J646" s="550">
        <v>101</v>
      </c>
      <c r="K646" s="550">
        <v>0</v>
      </c>
      <c r="L646" s="550">
        <v>0</v>
      </c>
      <c r="M646" s="550">
        <v>0</v>
      </c>
      <c r="N646" s="550">
        <v>112</v>
      </c>
      <c r="O646" s="550">
        <v>13</v>
      </c>
      <c r="P646" s="550">
        <v>300</v>
      </c>
      <c r="Q646" s="550">
        <v>0</v>
      </c>
      <c r="R646" s="551" t="str">
        <f t="shared" si="113"/>
        <v>HAWTHORNE</v>
      </c>
      <c r="S646" s="552">
        <f>SUM(G641:G646) +SUM(K641:K646)</f>
        <v>136</v>
      </c>
      <c r="T646" s="552">
        <f t="shared" ref="T646:T649" si="114">F646+J646</f>
        <v>271</v>
      </c>
      <c r="U646" s="552">
        <f>SUM(O641:O646)</f>
        <v>55</v>
      </c>
      <c r="V646" s="552">
        <f t="shared" ref="V646:V649" si="115">N646</f>
        <v>112</v>
      </c>
      <c r="W646" s="554">
        <f>SUM(Q641:Q646)</f>
        <v>643</v>
      </c>
      <c r="X646" s="552">
        <f t="shared" ref="X646:X649" si="116">P646</f>
        <v>300</v>
      </c>
      <c r="Y646" s="552">
        <f>S646+U646+SUM(Q641:Q646)</f>
        <v>834</v>
      </c>
      <c r="Z646" s="552">
        <f t="shared" ref="Z646:Z649" si="117">F646+J646+N646+P646</f>
        <v>683</v>
      </c>
      <c r="AA646" s="553"/>
      <c r="AB646" s="553"/>
    </row>
    <row r="647" spans="1:28" ht="12.75">
      <c r="A647" s="547" t="s">
        <v>378</v>
      </c>
      <c r="B647" s="547" t="s">
        <v>153</v>
      </c>
      <c r="C647" s="548" t="s">
        <v>812</v>
      </c>
      <c r="D647" s="549">
        <v>2018</v>
      </c>
      <c r="E647" s="549" t="s">
        <v>775</v>
      </c>
      <c r="F647" s="550">
        <v>1</v>
      </c>
      <c r="G647" s="550">
        <v>0</v>
      </c>
      <c r="H647" s="550">
        <v>0</v>
      </c>
      <c r="I647" s="550">
        <v>0</v>
      </c>
      <c r="J647" s="550">
        <v>1</v>
      </c>
      <c r="K647" s="550">
        <v>0</v>
      </c>
      <c r="L647" s="550">
        <v>0</v>
      </c>
      <c r="M647" s="550">
        <v>0</v>
      </c>
      <c r="N647" s="550">
        <v>0</v>
      </c>
      <c r="O647" s="550">
        <v>1</v>
      </c>
      <c r="P647" s="550">
        <v>0</v>
      </c>
      <c r="Q647" s="550">
        <v>10</v>
      </c>
      <c r="R647" s="551" t="str">
        <f t="shared" si="113"/>
        <v>HERMOSA BEACH</v>
      </c>
      <c r="S647" s="552">
        <f t="shared" ref="S647:S648" si="118">G647+K647</f>
        <v>0</v>
      </c>
      <c r="T647" s="552">
        <f t="shared" si="114"/>
        <v>2</v>
      </c>
      <c r="U647" s="552">
        <f t="shared" ref="U647:U648" si="119">O647</f>
        <v>1</v>
      </c>
      <c r="V647" s="552">
        <f t="shared" si="115"/>
        <v>0</v>
      </c>
      <c r="W647" s="552">
        <f t="shared" ref="W647:W648" si="120">Q647</f>
        <v>10</v>
      </c>
      <c r="X647" s="552">
        <f t="shared" si="116"/>
        <v>0</v>
      </c>
      <c r="Y647" s="552">
        <f t="shared" ref="Y647:Y648" si="121">S647+U647+W647</f>
        <v>11</v>
      </c>
      <c r="Z647" s="552">
        <f t="shared" si="117"/>
        <v>2</v>
      </c>
      <c r="AA647" s="553"/>
      <c r="AB647" s="553"/>
    </row>
    <row r="648" spans="1:28" ht="12.75">
      <c r="A648" s="547" t="s">
        <v>379</v>
      </c>
      <c r="B648" s="547" t="s">
        <v>153</v>
      </c>
      <c r="C648" s="548" t="s">
        <v>812</v>
      </c>
      <c r="D648" s="549">
        <v>2018</v>
      </c>
      <c r="E648" s="549" t="s">
        <v>775</v>
      </c>
      <c r="F648" s="550">
        <v>5</v>
      </c>
      <c r="G648" s="550">
        <v>0</v>
      </c>
      <c r="H648" s="550">
        <v>0</v>
      </c>
      <c r="I648" s="550">
        <v>0</v>
      </c>
      <c r="J648" s="550">
        <v>3</v>
      </c>
      <c r="K648" s="550">
        <v>0</v>
      </c>
      <c r="L648" s="555">
        <v>0</v>
      </c>
      <c r="M648" s="555">
        <v>0</v>
      </c>
      <c r="N648" s="550">
        <v>3</v>
      </c>
      <c r="O648" s="555">
        <v>0</v>
      </c>
      <c r="P648" s="550">
        <v>7</v>
      </c>
      <c r="Q648" s="555">
        <v>0</v>
      </c>
      <c r="R648" s="551" t="str">
        <f t="shared" si="113"/>
        <v>HIDDEN HILLS</v>
      </c>
      <c r="S648" s="552">
        <f t="shared" si="118"/>
        <v>0</v>
      </c>
      <c r="T648" s="552">
        <f t="shared" si="114"/>
        <v>8</v>
      </c>
      <c r="U648" s="552">
        <f t="shared" si="119"/>
        <v>0</v>
      </c>
      <c r="V648" s="552">
        <f t="shared" si="115"/>
        <v>3</v>
      </c>
      <c r="W648" s="552">
        <f t="shared" si="120"/>
        <v>0</v>
      </c>
      <c r="X648" s="552">
        <f t="shared" si="116"/>
        <v>7</v>
      </c>
      <c r="Y648" s="552">
        <f t="shared" si="121"/>
        <v>0</v>
      </c>
      <c r="Z648" s="552">
        <f t="shared" si="117"/>
        <v>18</v>
      </c>
      <c r="AA648" s="553"/>
      <c r="AB648" s="553"/>
    </row>
    <row r="649" spans="1:28" ht="12.75">
      <c r="A649" s="547" t="s">
        <v>380</v>
      </c>
      <c r="B649" s="547" t="s">
        <v>153</v>
      </c>
      <c r="C649" s="548" t="s">
        <v>812</v>
      </c>
      <c r="D649" s="549">
        <v>2019</v>
      </c>
      <c r="E649" s="549" t="s">
        <v>775</v>
      </c>
      <c r="F649" s="550">
        <v>216</v>
      </c>
      <c r="G649" s="550">
        <v>0</v>
      </c>
      <c r="H649" s="550">
        <v>0</v>
      </c>
      <c r="I649" s="550">
        <v>0</v>
      </c>
      <c r="J649" s="550">
        <v>128</v>
      </c>
      <c r="K649" s="550">
        <v>0</v>
      </c>
      <c r="L649" s="550">
        <v>0</v>
      </c>
      <c r="M649" s="550">
        <v>0</v>
      </c>
      <c r="N649" s="550">
        <v>149</v>
      </c>
      <c r="O649" s="550">
        <v>0</v>
      </c>
      <c r="P649" s="550">
        <v>402</v>
      </c>
      <c r="Q649" s="550">
        <v>0</v>
      </c>
      <c r="R649" s="569" t="s">
        <v>380</v>
      </c>
      <c r="S649" s="573">
        <v>0</v>
      </c>
      <c r="T649" s="552">
        <f t="shared" si="114"/>
        <v>344</v>
      </c>
      <c r="U649" s="573">
        <v>0</v>
      </c>
      <c r="V649" s="552">
        <f t="shared" si="115"/>
        <v>149</v>
      </c>
      <c r="W649" s="573">
        <v>0</v>
      </c>
      <c r="X649" s="552">
        <f t="shared" si="116"/>
        <v>402</v>
      </c>
      <c r="Y649" s="573">
        <v>0</v>
      </c>
      <c r="Z649" s="552">
        <f t="shared" si="117"/>
        <v>895</v>
      </c>
      <c r="AA649" s="553"/>
      <c r="AB649" s="553"/>
    </row>
    <row r="650" spans="1:28" ht="12.75">
      <c r="A650" s="547" t="s">
        <v>381</v>
      </c>
      <c r="B650" s="547" t="s">
        <v>153</v>
      </c>
      <c r="C650" s="548" t="s">
        <v>812</v>
      </c>
      <c r="D650" s="549">
        <v>2017</v>
      </c>
      <c r="E650" s="549" t="s">
        <v>775</v>
      </c>
      <c r="F650" s="550">
        <v>0</v>
      </c>
      <c r="G650" s="550">
        <v>0</v>
      </c>
      <c r="H650" s="550">
        <v>0</v>
      </c>
      <c r="I650" s="550">
        <v>0</v>
      </c>
      <c r="J650" s="550">
        <v>0</v>
      </c>
      <c r="K650" s="550">
        <v>0</v>
      </c>
      <c r="L650" s="550">
        <v>0</v>
      </c>
      <c r="M650" s="550">
        <v>0</v>
      </c>
      <c r="N650" s="550">
        <v>0</v>
      </c>
      <c r="O650" s="550">
        <v>0</v>
      </c>
      <c r="P650" s="550">
        <v>0</v>
      </c>
      <c r="Q650" s="550">
        <v>0</v>
      </c>
      <c r="R650" s="551" t="str">
        <f t="shared" ref="R650:R772" si="122">A650</f>
        <v>INDUSTRY</v>
      </c>
      <c r="S650" s="552"/>
      <c r="T650" s="552"/>
      <c r="U650" s="552"/>
      <c r="V650" s="552"/>
      <c r="W650" s="552"/>
      <c r="X650" s="552"/>
      <c r="Y650" s="552"/>
      <c r="Z650" s="552"/>
      <c r="AA650" s="553"/>
      <c r="AB650" s="553"/>
    </row>
    <row r="651" spans="1:28" ht="12.75">
      <c r="A651" s="547" t="s">
        <v>381</v>
      </c>
      <c r="B651" s="547" t="s">
        <v>153</v>
      </c>
      <c r="C651" s="548" t="s">
        <v>812</v>
      </c>
      <c r="D651" s="549">
        <v>2018</v>
      </c>
      <c r="E651" s="549" t="s">
        <v>775</v>
      </c>
      <c r="F651" s="550">
        <v>0</v>
      </c>
      <c r="G651" s="550">
        <v>0</v>
      </c>
      <c r="H651" s="550">
        <v>0</v>
      </c>
      <c r="I651" s="550">
        <v>0</v>
      </c>
      <c r="J651" s="550">
        <v>0</v>
      </c>
      <c r="K651" s="550">
        <v>0</v>
      </c>
      <c r="L651" s="555">
        <v>0</v>
      </c>
      <c r="M651" s="555">
        <v>0</v>
      </c>
      <c r="N651" s="550">
        <v>0</v>
      </c>
      <c r="O651" s="555">
        <v>0</v>
      </c>
      <c r="P651" s="550">
        <v>0</v>
      </c>
      <c r="Q651" s="555">
        <v>0</v>
      </c>
      <c r="R651" s="551" t="str">
        <f t="shared" si="122"/>
        <v>INDUSTRY</v>
      </c>
      <c r="S651" s="552"/>
      <c r="T651" s="552"/>
      <c r="U651" s="552"/>
      <c r="V651" s="552"/>
      <c r="W651" s="552"/>
      <c r="X651" s="552"/>
      <c r="Y651" s="552"/>
      <c r="Z651" s="552"/>
      <c r="AA651" s="553"/>
      <c r="AB651" s="553"/>
    </row>
    <row r="652" spans="1:28" ht="12.75">
      <c r="A652" s="547" t="s">
        <v>381</v>
      </c>
      <c r="B652" s="547" t="s">
        <v>153</v>
      </c>
      <c r="C652" s="548" t="s">
        <v>813</v>
      </c>
      <c r="D652" s="549">
        <v>2019</v>
      </c>
      <c r="E652" s="549" t="s">
        <v>775</v>
      </c>
      <c r="F652" s="550">
        <v>0</v>
      </c>
      <c r="G652" s="550">
        <v>0</v>
      </c>
      <c r="H652" s="550">
        <v>0</v>
      </c>
      <c r="I652" s="550">
        <v>0</v>
      </c>
      <c r="J652" s="550">
        <v>0</v>
      </c>
      <c r="K652" s="550">
        <v>0</v>
      </c>
      <c r="L652" s="550">
        <v>0</v>
      </c>
      <c r="M652" s="550">
        <v>0</v>
      </c>
      <c r="N652" s="550">
        <v>0</v>
      </c>
      <c r="O652" s="550">
        <v>0</v>
      </c>
      <c r="P652" s="550">
        <v>0</v>
      </c>
      <c r="Q652" s="550">
        <v>0</v>
      </c>
      <c r="R652" s="551" t="str">
        <f t="shared" si="122"/>
        <v>INDUSTRY</v>
      </c>
      <c r="S652" s="255">
        <f>SUM(G650:G652) +SUM(K650:K652)</f>
        <v>0</v>
      </c>
      <c r="T652" s="255">
        <f>F652+J652</f>
        <v>0</v>
      </c>
      <c r="U652" s="255">
        <f>SUM(O650:O652)</f>
        <v>0</v>
      </c>
      <c r="V652" s="255">
        <f>N652</f>
        <v>0</v>
      </c>
      <c r="W652" s="83">
        <f>SUM(Q650:Q652)</f>
        <v>0</v>
      </c>
      <c r="X652" s="255">
        <f>P652</f>
        <v>0</v>
      </c>
      <c r="Y652" s="255">
        <f>S652+U652+SUM(Q650:Q652)</f>
        <v>0</v>
      </c>
      <c r="Z652" s="255">
        <f>F652+J652+N652+P652</f>
        <v>0</v>
      </c>
      <c r="AA652" s="553"/>
      <c r="AB652" s="553"/>
    </row>
    <row r="653" spans="1:28" ht="12.75">
      <c r="A653" s="547" t="s">
        <v>382</v>
      </c>
      <c r="B653" s="547" t="s">
        <v>153</v>
      </c>
      <c r="C653" s="548" t="s">
        <v>812</v>
      </c>
      <c r="D653" s="549">
        <v>2014</v>
      </c>
      <c r="E653" s="549" t="s">
        <v>775</v>
      </c>
      <c r="F653" s="550">
        <v>250</v>
      </c>
      <c r="G653" s="550">
        <v>0</v>
      </c>
      <c r="H653" s="550">
        <v>0</v>
      </c>
      <c r="I653" s="550">
        <v>0</v>
      </c>
      <c r="J653" s="550">
        <v>150</v>
      </c>
      <c r="K653" s="550">
        <v>0</v>
      </c>
      <c r="L653" s="550">
        <v>0</v>
      </c>
      <c r="M653" s="550">
        <v>0</v>
      </c>
      <c r="N653" s="550">
        <v>167</v>
      </c>
      <c r="O653" s="550">
        <v>0</v>
      </c>
      <c r="P653" s="550">
        <v>446</v>
      </c>
      <c r="Q653" s="550">
        <v>3</v>
      </c>
      <c r="R653" s="551" t="str">
        <f t="shared" si="122"/>
        <v>INGLEWOOD</v>
      </c>
      <c r="S653" s="552"/>
      <c r="T653" s="552"/>
      <c r="U653" s="552"/>
      <c r="V653" s="552"/>
      <c r="W653" s="552"/>
      <c r="X653" s="552"/>
      <c r="Y653" s="552"/>
      <c r="Z653" s="552"/>
      <c r="AA653" s="553"/>
      <c r="AB653" s="553"/>
    </row>
    <row r="654" spans="1:28" ht="12.75">
      <c r="A654" s="547" t="s">
        <v>382</v>
      </c>
      <c r="B654" s="547" t="s">
        <v>153</v>
      </c>
      <c r="C654" s="548" t="s">
        <v>812</v>
      </c>
      <c r="D654" s="549">
        <v>2015</v>
      </c>
      <c r="E654" s="549" t="s">
        <v>775</v>
      </c>
      <c r="F654" s="550">
        <v>250</v>
      </c>
      <c r="G654" s="550">
        <v>0</v>
      </c>
      <c r="H654" s="550">
        <v>0</v>
      </c>
      <c r="I654" s="550">
        <v>0</v>
      </c>
      <c r="J654" s="550">
        <v>150</v>
      </c>
      <c r="K654" s="550">
        <v>0</v>
      </c>
      <c r="L654" s="550">
        <v>0</v>
      </c>
      <c r="M654" s="550">
        <v>0</v>
      </c>
      <c r="N654" s="550">
        <v>167</v>
      </c>
      <c r="O654" s="550">
        <v>0</v>
      </c>
      <c r="P654" s="550">
        <v>446</v>
      </c>
      <c r="Q654" s="550">
        <v>5</v>
      </c>
      <c r="R654" s="551" t="str">
        <f t="shared" si="122"/>
        <v>INGLEWOOD</v>
      </c>
      <c r="S654" s="552"/>
      <c r="T654" s="552"/>
      <c r="U654" s="552"/>
      <c r="V654" s="552"/>
      <c r="W654" s="552"/>
      <c r="X654" s="552"/>
      <c r="Y654" s="552"/>
      <c r="Z654" s="552"/>
      <c r="AA654" s="553"/>
      <c r="AB654" s="553"/>
    </row>
    <row r="655" spans="1:28" ht="12.75">
      <c r="A655" s="547" t="s">
        <v>382</v>
      </c>
      <c r="B655" s="547" t="s">
        <v>153</v>
      </c>
      <c r="C655" s="548" t="s">
        <v>812</v>
      </c>
      <c r="D655" s="549">
        <v>2016</v>
      </c>
      <c r="E655" s="549" t="s">
        <v>775</v>
      </c>
      <c r="F655" s="550">
        <v>250</v>
      </c>
      <c r="G655" s="550">
        <v>0</v>
      </c>
      <c r="H655" s="550">
        <v>0</v>
      </c>
      <c r="I655" s="550">
        <v>0</v>
      </c>
      <c r="J655" s="550">
        <v>150</v>
      </c>
      <c r="K655" s="550">
        <v>0</v>
      </c>
      <c r="L655" s="550">
        <v>0</v>
      </c>
      <c r="M655" s="550">
        <v>0</v>
      </c>
      <c r="N655" s="550">
        <v>167</v>
      </c>
      <c r="O655" s="550">
        <v>0</v>
      </c>
      <c r="P655" s="550">
        <v>446</v>
      </c>
      <c r="Q655" s="550">
        <v>12</v>
      </c>
      <c r="R655" s="551" t="str">
        <f t="shared" si="122"/>
        <v>INGLEWOOD</v>
      </c>
      <c r="S655" s="552"/>
      <c r="T655" s="552"/>
      <c r="U655" s="552"/>
      <c r="V655" s="552"/>
      <c r="W655" s="552"/>
      <c r="X655" s="552"/>
      <c r="Y655" s="552"/>
      <c r="Z655" s="552"/>
      <c r="AA655" s="553"/>
      <c r="AB655" s="553"/>
    </row>
    <row r="656" spans="1:28" ht="12.75">
      <c r="A656" s="547" t="s">
        <v>382</v>
      </c>
      <c r="B656" s="547" t="s">
        <v>153</v>
      </c>
      <c r="C656" s="548" t="s">
        <v>812</v>
      </c>
      <c r="D656" s="549">
        <v>2017</v>
      </c>
      <c r="E656" s="549" t="s">
        <v>775</v>
      </c>
      <c r="F656" s="550">
        <v>250</v>
      </c>
      <c r="G656" s="550">
        <v>39</v>
      </c>
      <c r="H656" s="550">
        <v>39</v>
      </c>
      <c r="I656" s="550">
        <v>0</v>
      </c>
      <c r="J656" s="550">
        <v>150</v>
      </c>
      <c r="K656" s="550">
        <v>1</v>
      </c>
      <c r="L656" s="550">
        <v>1</v>
      </c>
      <c r="M656" s="550">
        <v>0</v>
      </c>
      <c r="N656" s="550">
        <v>167</v>
      </c>
      <c r="O656" s="550">
        <v>0</v>
      </c>
      <c r="P656" s="550">
        <v>446</v>
      </c>
      <c r="Q656" s="550">
        <v>13</v>
      </c>
      <c r="R656" s="551" t="str">
        <f t="shared" si="122"/>
        <v>INGLEWOOD</v>
      </c>
      <c r="S656" s="255">
        <f>SUM(G653:G656) +SUM(K653:K656)</f>
        <v>40</v>
      </c>
      <c r="T656" s="255">
        <f>F656+J656</f>
        <v>400</v>
      </c>
      <c r="U656" s="255">
        <f>SUM(O653:O656)</f>
        <v>0</v>
      </c>
      <c r="V656" s="255">
        <f>N656</f>
        <v>167</v>
      </c>
      <c r="W656" s="83">
        <f>SUM(Q653:Q656)</f>
        <v>33</v>
      </c>
      <c r="X656" s="255">
        <f>P656</f>
        <v>446</v>
      </c>
      <c r="Y656" s="255">
        <f>S656+U656+SUM(Q653:Q656)</f>
        <v>73</v>
      </c>
      <c r="Z656" s="255">
        <f>F656+J656+N656+P656</f>
        <v>1013</v>
      </c>
      <c r="AA656" s="553"/>
      <c r="AB656" s="553"/>
    </row>
    <row r="657" spans="1:28" ht="12.75">
      <c r="A657" s="547" t="s">
        <v>383</v>
      </c>
      <c r="B657" s="547" t="s">
        <v>153</v>
      </c>
      <c r="C657" s="548" t="s">
        <v>812</v>
      </c>
      <c r="D657" s="549">
        <v>2017</v>
      </c>
      <c r="E657" s="549" t="s">
        <v>775</v>
      </c>
      <c r="F657" s="550">
        <v>4</v>
      </c>
      <c r="G657" s="550">
        <v>3</v>
      </c>
      <c r="H657" s="550">
        <v>3</v>
      </c>
      <c r="I657" s="550">
        <v>0</v>
      </c>
      <c r="J657" s="550">
        <v>2</v>
      </c>
      <c r="K657" s="550">
        <v>2</v>
      </c>
      <c r="L657" s="550">
        <v>2</v>
      </c>
      <c r="M657" s="550">
        <v>0</v>
      </c>
      <c r="N657" s="550">
        <v>2</v>
      </c>
      <c r="O657" s="550">
        <v>4</v>
      </c>
      <c r="P657" s="550">
        <v>7</v>
      </c>
      <c r="Q657" s="550">
        <v>0</v>
      </c>
      <c r="R657" s="551" t="str">
        <f t="shared" si="122"/>
        <v>IRWINDALE</v>
      </c>
      <c r="S657" s="552"/>
      <c r="T657" s="552"/>
      <c r="U657" s="552"/>
      <c r="V657" s="552"/>
      <c r="W657" s="552"/>
      <c r="X657" s="552"/>
      <c r="Y657" s="552"/>
      <c r="Z657" s="552"/>
      <c r="AA657" s="553"/>
      <c r="AB657" s="553"/>
    </row>
    <row r="658" spans="1:28" ht="12.75">
      <c r="A658" s="547" t="s">
        <v>383</v>
      </c>
      <c r="B658" s="547" t="s">
        <v>153</v>
      </c>
      <c r="C658" s="548" t="s">
        <v>812</v>
      </c>
      <c r="D658" s="549">
        <v>2018</v>
      </c>
      <c r="E658" s="549" t="s">
        <v>775</v>
      </c>
      <c r="F658" s="550">
        <v>4</v>
      </c>
      <c r="G658" s="564"/>
      <c r="H658" s="564"/>
      <c r="I658" s="564"/>
      <c r="J658" s="550">
        <v>2</v>
      </c>
      <c r="K658" s="564"/>
      <c r="L658" s="564"/>
      <c r="M658" s="564"/>
      <c r="N658" s="550">
        <v>2</v>
      </c>
      <c r="O658" s="564"/>
      <c r="P658" s="550">
        <v>7</v>
      </c>
      <c r="Q658" s="564"/>
      <c r="R658" s="551" t="str">
        <f t="shared" si="122"/>
        <v>IRWINDALE</v>
      </c>
      <c r="S658" s="552"/>
      <c r="T658" s="552"/>
      <c r="U658" s="552"/>
      <c r="V658" s="552"/>
      <c r="W658" s="552"/>
      <c r="X658" s="552"/>
      <c r="Y658" s="552"/>
      <c r="Z658" s="552"/>
      <c r="AA658" s="553"/>
      <c r="AB658" s="553"/>
    </row>
    <row r="659" spans="1:28" ht="12.75">
      <c r="A659" s="547" t="s">
        <v>383</v>
      </c>
      <c r="B659" s="547" t="s">
        <v>153</v>
      </c>
      <c r="C659" s="548" t="s">
        <v>813</v>
      </c>
      <c r="D659" s="549">
        <v>2019</v>
      </c>
      <c r="E659" s="549" t="s">
        <v>775</v>
      </c>
      <c r="F659" s="550">
        <v>4</v>
      </c>
      <c r="G659" s="550">
        <v>2</v>
      </c>
      <c r="H659" s="550">
        <v>2</v>
      </c>
      <c r="I659" s="550">
        <v>0</v>
      </c>
      <c r="J659" s="550">
        <v>2</v>
      </c>
      <c r="K659" s="550">
        <v>2</v>
      </c>
      <c r="L659" s="550">
        <v>2</v>
      </c>
      <c r="M659" s="550">
        <v>0</v>
      </c>
      <c r="N659" s="550">
        <v>2</v>
      </c>
      <c r="O659" s="550">
        <v>0</v>
      </c>
      <c r="P659" s="550">
        <v>7</v>
      </c>
      <c r="Q659" s="550">
        <v>0</v>
      </c>
      <c r="R659" s="551" t="str">
        <f t="shared" si="122"/>
        <v>IRWINDALE</v>
      </c>
      <c r="S659" s="255">
        <f>SUM(G657:G659) +SUM(K657:K659)</f>
        <v>9</v>
      </c>
      <c r="T659" s="255">
        <f>F659+J659</f>
        <v>6</v>
      </c>
      <c r="U659" s="255">
        <f>SUM(O657:O659)</f>
        <v>4</v>
      </c>
      <c r="V659" s="255">
        <f>N659</f>
        <v>2</v>
      </c>
      <c r="W659" s="83">
        <f>SUM(Q657:Q659)</f>
        <v>0</v>
      </c>
      <c r="X659" s="255">
        <f>P659</f>
        <v>7</v>
      </c>
      <c r="Y659" s="255">
        <f>S659+U659+SUM(Q657:Q659)</f>
        <v>13</v>
      </c>
      <c r="Z659" s="255">
        <f>F659+J659+N659+P659</f>
        <v>15</v>
      </c>
      <c r="AA659" s="553"/>
      <c r="AB659" s="553"/>
    </row>
    <row r="660" spans="1:28" ht="12.75">
      <c r="A660" s="547" t="s">
        <v>384</v>
      </c>
      <c r="B660" s="547" t="s">
        <v>153</v>
      </c>
      <c r="C660" s="548" t="s">
        <v>812</v>
      </c>
      <c r="D660" s="549">
        <v>2014</v>
      </c>
      <c r="E660" s="549" t="s">
        <v>775</v>
      </c>
      <c r="F660" s="550">
        <v>30</v>
      </c>
      <c r="G660" s="550">
        <v>0</v>
      </c>
      <c r="H660" s="550">
        <v>0</v>
      </c>
      <c r="I660" s="550">
        <v>0</v>
      </c>
      <c r="J660" s="550">
        <v>18</v>
      </c>
      <c r="K660" s="550">
        <v>0</v>
      </c>
      <c r="L660" s="550">
        <v>0</v>
      </c>
      <c r="M660" s="550">
        <v>0</v>
      </c>
      <c r="N660" s="550">
        <v>20</v>
      </c>
      <c r="O660" s="550">
        <v>0</v>
      </c>
      <c r="P660" s="550">
        <v>44</v>
      </c>
      <c r="Q660" s="550">
        <v>5</v>
      </c>
      <c r="R660" s="551" t="str">
        <f t="shared" si="122"/>
        <v>LA CANADA FLINTRIDGE</v>
      </c>
      <c r="S660" s="552"/>
      <c r="T660" s="552"/>
      <c r="U660" s="552"/>
      <c r="V660" s="552"/>
      <c r="W660" s="552"/>
      <c r="X660" s="552"/>
      <c r="Y660" s="552"/>
      <c r="Z660" s="552"/>
      <c r="AA660" s="553"/>
      <c r="AB660" s="553"/>
    </row>
    <row r="661" spans="1:28" ht="12.75">
      <c r="A661" s="547" t="s">
        <v>384</v>
      </c>
      <c r="B661" s="547" t="s">
        <v>153</v>
      </c>
      <c r="C661" s="548" t="s">
        <v>812</v>
      </c>
      <c r="D661" s="549">
        <v>2015</v>
      </c>
      <c r="E661" s="549" t="s">
        <v>775</v>
      </c>
      <c r="F661" s="550">
        <v>30</v>
      </c>
      <c r="G661" s="550">
        <v>0</v>
      </c>
      <c r="H661" s="550">
        <v>0</v>
      </c>
      <c r="I661" s="550">
        <v>0</v>
      </c>
      <c r="J661" s="550">
        <v>18</v>
      </c>
      <c r="K661" s="550">
        <v>0</v>
      </c>
      <c r="L661" s="550">
        <v>0</v>
      </c>
      <c r="M661" s="550">
        <v>0</v>
      </c>
      <c r="N661" s="550">
        <v>20</v>
      </c>
      <c r="O661" s="550">
        <v>0</v>
      </c>
      <c r="P661" s="550">
        <v>44</v>
      </c>
      <c r="Q661" s="550">
        <v>18</v>
      </c>
      <c r="R661" s="551" t="str">
        <f t="shared" si="122"/>
        <v>LA CANADA FLINTRIDGE</v>
      </c>
      <c r="S661" s="552"/>
      <c r="T661" s="552"/>
      <c r="U661" s="552"/>
      <c r="V661" s="552"/>
      <c r="W661" s="552"/>
      <c r="X661" s="552"/>
      <c r="Y661" s="552"/>
      <c r="Z661" s="552"/>
      <c r="AA661" s="553"/>
      <c r="AB661" s="553"/>
    </row>
    <row r="662" spans="1:28" ht="12.75">
      <c r="A662" s="547" t="s">
        <v>384</v>
      </c>
      <c r="B662" s="547" t="s">
        <v>153</v>
      </c>
      <c r="C662" s="548" t="s">
        <v>812</v>
      </c>
      <c r="D662" s="549">
        <v>2016</v>
      </c>
      <c r="E662" s="549" t="s">
        <v>775</v>
      </c>
      <c r="F662" s="550">
        <v>30</v>
      </c>
      <c r="G662" s="550">
        <v>0</v>
      </c>
      <c r="H662" s="550">
        <v>0</v>
      </c>
      <c r="I662" s="550">
        <v>0</v>
      </c>
      <c r="J662" s="550">
        <v>18</v>
      </c>
      <c r="K662" s="550">
        <v>0</v>
      </c>
      <c r="L662" s="550">
        <v>0</v>
      </c>
      <c r="M662" s="550">
        <v>0</v>
      </c>
      <c r="N662" s="550">
        <v>20</v>
      </c>
      <c r="O662" s="550">
        <v>0</v>
      </c>
      <c r="P662" s="550">
        <v>44</v>
      </c>
      <c r="Q662" s="550">
        <v>0</v>
      </c>
      <c r="R662" s="551" t="str">
        <f t="shared" si="122"/>
        <v>LA CANADA FLINTRIDGE</v>
      </c>
      <c r="S662" s="552"/>
      <c r="T662" s="552"/>
      <c r="U662" s="552"/>
      <c r="V662" s="552"/>
      <c r="W662" s="552"/>
      <c r="X662" s="552"/>
      <c r="Y662" s="552"/>
      <c r="Z662" s="552"/>
      <c r="AA662" s="553"/>
      <c r="AB662" s="553"/>
    </row>
    <row r="663" spans="1:28" ht="12.75">
      <c r="A663" s="547" t="s">
        <v>384</v>
      </c>
      <c r="B663" s="547" t="s">
        <v>153</v>
      </c>
      <c r="C663" s="548" t="s">
        <v>812</v>
      </c>
      <c r="D663" s="549">
        <v>2017</v>
      </c>
      <c r="E663" s="549" t="s">
        <v>775</v>
      </c>
      <c r="F663" s="550">
        <v>30</v>
      </c>
      <c r="G663" s="550">
        <v>0</v>
      </c>
      <c r="H663" s="550">
        <v>0</v>
      </c>
      <c r="I663" s="550">
        <v>0</v>
      </c>
      <c r="J663" s="550">
        <v>18</v>
      </c>
      <c r="K663" s="550">
        <v>0</v>
      </c>
      <c r="L663" s="550">
        <v>0</v>
      </c>
      <c r="M663" s="550">
        <v>0</v>
      </c>
      <c r="N663" s="550">
        <v>20</v>
      </c>
      <c r="O663" s="550">
        <v>0</v>
      </c>
      <c r="P663" s="550">
        <v>44</v>
      </c>
      <c r="Q663" s="550">
        <v>11</v>
      </c>
      <c r="R663" s="551" t="str">
        <f t="shared" si="122"/>
        <v>LA CANADA FLINTRIDGE</v>
      </c>
      <c r="S663" s="552"/>
      <c r="T663" s="552"/>
      <c r="U663" s="552"/>
      <c r="V663" s="552"/>
      <c r="W663" s="552"/>
      <c r="X663" s="552"/>
      <c r="Y663" s="552"/>
      <c r="Z663" s="552"/>
      <c r="AA663" s="553"/>
      <c r="AB663" s="553"/>
    </row>
    <row r="664" spans="1:28" ht="12.75">
      <c r="A664" s="547" t="s">
        <v>384</v>
      </c>
      <c r="B664" s="547" t="s">
        <v>153</v>
      </c>
      <c r="C664" s="548" t="s">
        <v>812</v>
      </c>
      <c r="D664" s="549">
        <v>2018</v>
      </c>
      <c r="E664" s="549" t="s">
        <v>775</v>
      </c>
      <c r="F664" s="550">
        <v>30</v>
      </c>
      <c r="G664" s="550">
        <v>0</v>
      </c>
      <c r="H664" s="550">
        <v>0</v>
      </c>
      <c r="I664" s="550">
        <v>0</v>
      </c>
      <c r="J664" s="550">
        <v>18</v>
      </c>
      <c r="K664" s="550">
        <v>0</v>
      </c>
      <c r="L664" s="550">
        <v>0</v>
      </c>
      <c r="M664" s="550">
        <v>0</v>
      </c>
      <c r="N664" s="550">
        <v>20</v>
      </c>
      <c r="O664" s="550">
        <v>0</v>
      </c>
      <c r="P664" s="550">
        <v>44</v>
      </c>
      <c r="Q664" s="550">
        <v>19</v>
      </c>
      <c r="R664" s="551" t="str">
        <f t="shared" si="122"/>
        <v>LA CANADA FLINTRIDGE</v>
      </c>
      <c r="S664" s="552"/>
      <c r="T664" s="552"/>
      <c r="U664" s="552"/>
      <c r="V664" s="552"/>
      <c r="W664" s="552"/>
      <c r="X664" s="552"/>
      <c r="Y664" s="552"/>
      <c r="Z664" s="552"/>
      <c r="AA664" s="553"/>
      <c r="AB664" s="553"/>
    </row>
    <row r="665" spans="1:28" ht="12.75">
      <c r="A665" s="547" t="s">
        <v>384</v>
      </c>
      <c r="B665" s="547" t="s">
        <v>153</v>
      </c>
      <c r="C665" s="548" t="s">
        <v>813</v>
      </c>
      <c r="D665" s="549">
        <v>2019</v>
      </c>
      <c r="E665" s="549" t="s">
        <v>775</v>
      </c>
      <c r="F665" s="550">
        <v>30</v>
      </c>
      <c r="G665" s="550">
        <v>0</v>
      </c>
      <c r="H665" s="550">
        <v>0</v>
      </c>
      <c r="I665" s="550">
        <v>0</v>
      </c>
      <c r="J665" s="550">
        <v>18</v>
      </c>
      <c r="K665" s="550">
        <v>0</v>
      </c>
      <c r="L665" s="550">
        <v>0</v>
      </c>
      <c r="M665" s="550">
        <v>0</v>
      </c>
      <c r="N665" s="550">
        <v>20</v>
      </c>
      <c r="O665" s="550">
        <v>0</v>
      </c>
      <c r="P665" s="550">
        <v>44</v>
      </c>
      <c r="Q665" s="550">
        <v>8</v>
      </c>
      <c r="R665" s="551" t="str">
        <f t="shared" si="122"/>
        <v>LA CANADA FLINTRIDGE</v>
      </c>
      <c r="S665" s="552">
        <f>SUM(G660:G665) +SUM(K660:K665)</f>
        <v>0</v>
      </c>
      <c r="T665" s="552">
        <f>F665+J665</f>
        <v>48</v>
      </c>
      <c r="U665" s="552">
        <f>SUM(O660:O665)</f>
        <v>0</v>
      </c>
      <c r="V665" s="552">
        <f>N665</f>
        <v>20</v>
      </c>
      <c r="W665" s="554">
        <f>SUM(Q660:Q665)</f>
        <v>61</v>
      </c>
      <c r="X665" s="552">
        <f>P665</f>
        <v>44</v>
      </c>
      <c r="Y665" s="552">
        <f>S665+U665+SUM(Q660:Q665)</f>
        <v>61</v>
      </c>
      <c r="Z665" s="552">
        <f>F665+J665+N665+P665</f>
        <v>112</v>
      </c>
      <c r="AA665" s="553"/>
      <c r="AB665" s="553"/>
    </row>
    <row r="666" spans="1:28" ht="12.75">
      <c r="A666" s="547" t="s">
        <v>385</v>
      </c>
      <c r="B666" s="547" t="s">
        <v>153</v>
      </c>
      <c r="C666" s="548" t="s">
        <v>812</v>
      </c>
      <c r="D666" s="549">
        <v>2018</v>
      </c>
      <c r="E666" s="549" t="s">
        <v>775</v>
      </c>
      <c r="F666" s="550">
        <v>32</v>
      </c>
      <c r="G666" s="564"/>
      <c r="H666" s="564"/>
      <c r="I666" s="564"/>
      <c r="J666" s="550">
        <v>19</v>
      </c>
      <c r="K666" s="564"/>
      <c r="L666" s="564"/>
      <c r="M666" s="564"/>
      <c r="N666" s="550">
        <v>21</v>
      </c>
      <c r="O666" s="564"/>
      <c r="P666" s="550">
        <v>47</v>
      </c>
      <c r="Q666" s="564"/>
      <c r="R666" s="551" t="str">
        <f t="shared" si="122"/>
        <v>LA HABRA HEIGHTS</v>
      </c>
      <c r="S666" s="552"/>
      <c r="T666" s="552"/>
      <c r="U666" s="552"/>
      <c r="V666" s="552"/>
      <c r="W666" s="552"/>
      <c r="X666" s="552"/>
      <c r="Y666" s="552"/>
      <c r="Z666" s="552"/>
      <c r="AA666" s="553"/>
      <c r="AB666" s="553"/>
    </row>
    <row r="667" spans="1:28" ht="12.75">
      <c r="A667" s="547" t="s">
        <v>385</v>
      </c>
      <c r="B667" s="547" t="s">
        <v>153</v>
      </c>
      <c r="C667" s="548" t="s">
        <v>813</v>
      </c>
      <c r="D667" s="549">
        <v>2019</v>
      </c>
      <c r="E667" s="549" t="s">
        <v>775</v>
      </c>
      <c r="F667" s="550">
        <v>32</v>
      </c>
      <c r="G667" s="550">
        <v>0</v>
      </c>
      <c r="H667" s="550">
        <v>0</v>
      </c>
      <c r="I667" s="550">
        <v>0</v>
      </c>
      <c r="J667" s="550">
        <v>19</v>
      </c>
      <c r="K667" s="550">
        <v>0</v>
      </c>
      <c r="L667" s="550">
        <v>0</v>
      </c>
      <c r="M667" s="550">
        <v>0</v>
      </c>
      <c r="N667" s="550">
        <v>21</v>
      </c>
      <c r="O667" s="550">
        <v>0</v>
      </c>
      <c r="P667" s="550">
        <v>47</v>
      </c>
      <c r="Q667" s="550">
        <v>2</v>
      </c>
      <c r="R667" s="551" t="str">
        <f t="shared" si="122"/>
        <v>LA HABRA HEIGHTS</v>
      </c>
      <c r="S667" s="255">
        <f>SUM(G666:G667) +SUM(K666:K667)</f>
        <v>0</v>
      </c>
      <c r="T667" s="255">
        <f t="shared" ref="T667:T669" si="123">F667+J667</f>
        <v>51</v>
      </c>
      <c r="U667" s="255">
        <f>SUM(O666:O667)</f>
        <v>0</v>
      </c>
      <c r="V667" s="255">
        <f t="shared" ref="V667:V669" si="124">N667</f>
        <v>21</v>
      </c>
      <c r="W667" s="83">
        <f>SUM(Q666:Q667)</f>
        <v>2</v>
      </c>
      <c r="X667" s="255">
        <f t="shared" ref="X667:X669" si="125">P667</f>
        <v>47</v>
      </c>
      <c r="Y667" s="255">
        <f>S667+U667+SUM(Q666:Q667)</f>
        <v>2</v>
      </c>
      <c r="Z667" s="255">
        <f t="shared" ref="Z667:Z669" si="126">F667+J667+N667+P667</f>
        <v>119</v>
      </c>
      <c r="AA667" s="553"/>
      <c r="AB667" s="553"/>
    </row>
    <row r="668" spans="1:28" ht="12.75">
      <c r="A668" s="547" t="s">
        <v>386</v>
      </c>
      <c r="B668" s="547" t="s">
        <v>153</v>
      </c>
      <c r="C668" s="548" t="s">
        <v>812</v>
      </c>
      <c r="D668" s="549">
        <v>2017</v>
      </c>
      <c r="E668" s="549" t="s">
        <v>775</v>
      </c>
      <c r="F668" s="550">
        <v>62</v>
      </c>
      <c r="G668" s="550">
        <v>0</v>
      </c>
      <c r="H668" s="550">
        <v>0</v>
      </c>
      <c r="I668" s="550">
        <v>0</v>
      </c>
      <c r="J668" s="550">
        <v>37</v>
      </c>
      <c r="K668" s="550">
        <v>0</v>
      </c>
      <c r="L668" s="550">
        <v>0</v>
      </c>
      <c r="M668" s="550">
        <v>0</v>
      </c>
      <c r="N668" s="550">
        <v>40</v>
      </c>
      <c r="O668" s="550">
        <v>1</v>
      </c>
      <c r="P668" s="550">
        <v>96</v>
      </c>
      <c r="Q668" s="550">
        <v>31</v>
      </c>
      <c r="R668" s="551" t="str">
        <f t="shared" si="122"/>
        <v>LA MIRADA</v>
      </c>
      <c r="S668" s="552">
        <f t="shared" ref="S668:S669" si="127">G668+K668</f>
        <v>0</v>
      </c>
      <c r="T668" s="552">
        <f t="shared" si="123"/>
        <v>99</v>
      </c>
      <c r="U668" s="552">
        <f t="shared" ref="U668:U669" si="128">O668</f>
        <v>1</v>
      </c>
      <c r="V668" s="552">
        <f t="shared" si="124"/>
        <v>40</v>
      </c>
      <c r="W668" s="552">
        <f t="shared" ref="W668:W669" si="129">Q668</f>
        <v>31</v>
      </c>
      <c r="X668" s="552">
        <f t="shared" si="125"/>
        <v>96</v>
      </c>
      <c r="Y668" s="552">
        <f t="shared" ref="Y668:Y669" si="130">S668+U668+W668</f>
        <v>32</v>
      </c>
      <c r="Z668" s="552">
        <f t="shared" si="126"/>
        <v>235</v>
      </c>
      <c r="AA668" s="553"/>
      <c r="AB668" s="553"/>
    </row>
    <row r="669" spans="1:28" ht="12.75">
      <c r="A669" s="547" t="s">
        <v>387</v>
      </c>
      <c r="B669" s="547" t="s">
        <v>153</v>
      </c>
      <c r="C669" s="548" t="s">
        <v>813</v>
      </c>
      <c r="D669" s="549">
        <v>2019</v>
      </c>
      <c r="E669" s="549" t="s">
        <v>775</v>
      </c>
      <c r="F669" s="550">
        <v>208</v>
      </c>
      <c r="G669" s="550">
        <v>0</v>
      </c>
      <c r="H669" s="550">
        <v>0</v>
      </c>
      <c r="I669" s="550">
        <v>0</v>
      </c>
      <c r="J669" s="550">
        <v>121</v>
      </c>
      <c r="K669" s="550">
        <v>0</v>
      </c>
      <c r="L669" s="550">
        <v>0</v>
      </c>
      <c r="M669" s="550">
        <v>0</v>
      </c>
      <c r="N669" s="550">
        <v>135</v>
      </c>
      <c r="O669" s="550">
        <v>0</v>
      </c>
      <c r="P669" s="550">
        <v>354</v>
      </c>
      <c r="Q669" s="550">
        <v>42</v>
      </c>
      <c r="R669" s="551" t="str">
        <f t="shared" si="122"/>
        <v>LA PUENTE</v>
      </c>
      <c r="S669" s="552">
        <f t="shared" si="127"/>
        <v>0</v>
      </c>
      <c r="T669" s="552">
        <f t="shared" si="123"/>
        <v>329</v>
      </c>
      <c r="U669" s="552">
        <f t="shared" si="128"/>
        <v>0</v>
      </c>
      <c r="V669" s="552">
        <f t="shared" si="124"/>
        <v>135</v>
      </c>
      <c r="W669" s="552">
        <f t="shared" si="129"/>
        <v>42</v>
      </c>
      <c r="X669" s="552">
        <f t="shared" si="125"/>
        <v>354</v>
      </c>
      <c r="Y669" s="552">
        <f t="shared" si="130"/>
        <v>42</v>
      </c>
      <c r="Z669" s="552">
        <f t="shared" si="126"/>
        <v>818</v>
      </c>
      <c r="AA669" s="553"/>
      <c r="AB669" s="553"/>
    </row>
    <row r="670" spans="1:28" ht="12.75">
      <c r="A670" s="547" t="s">
        <v>388</v>
      </c>
      <c r="B670" s="547" t="s">
        <v>153</v>
      </c>
      <c r="C670" s="548" t="s">
        <v>812</v>
      </c>
      <c r="D670" s="549">
        <v>2014</v>
      </c>
      <c r="E670" s="549" t="s">
        <v>775</v>
      </c>
      <c r="F670" s="550">
        <v>147</v>
      </c>
      <c r="G670" s="550">
        <v>35</v>
      </c>
      <c r="H670" s="550">
        <v>35</v>
      </c>
      <c r="I670" s="550">
        <v>0</v>
      </c>
      <c r="J670" s="550">
        <v>88</v>
      </c>
      <c r="K670" s="550">
        <v>2</v>
      </c>
      <c r="L670" s="550">
        <v>2</v>
      </c>
      <c r="M670" s="550">
        <v>0</v>
      </c>
      <c r="N670" s="550">
        <v>94</v>
      </c>
      <c r="O670" s="550">
        <v>0</v>
      </c>
      <c r="P670" s="550">
        <v>233</v>
      </c>
      <c r="Q670" s="550">
        <v>78</v>
      </c>
      <c r="R670" s="551" t="str">
        <f t="shared" si="122"/>
        <v>LA VERNE</v>
      </c>
      <c r="S670" s="552"/>
      <c r="T670" s="552"/>
      <c r="U670" s="552"/>
      <c r="V670" s="552"/>
      <c r="W670" s="552"/>
      <c r="X670" s="552"/>
      <c r="Y670" s="552"/>
      <c r="Z670" s="552"/>
      <c r="AA670" s="553"/>
      <c r="AB670" s="553"/>
    </row>
    <row r="671" spans="1:28" ht="12.75">
      <c r="A671" s="547" t="s">
        <v>388</v>
      </c>
      <c r="B671" s="547" t="s">
        <v>153</v>
      </c>
      <c r="C671" s="548" t="s">
        <v>812</v>
      </c>
      <c r="D671" s="549">
        <v>2015</v>
      </c>
      <c r="E671" s="549" t="s">
        <v>775</v>
      </c>
      <c r="F671" s="550">
        <v>147</v>
      </c>
      <c r="G671" s="550">
        <v>0</v>
      </c>
      <c r="H671" s="550">
        <v>0</v>
      </c>
      <c r="I671" s="550">
        <v>0</v>
      </c>
      <c r="J671" s="550">
        <v>88</v>
      </c>
      <c r="K671" s="550">
        <v>1</v>
      </c>
      <c r="L671" s="550">
        <v>0</v>
      </c>
      <c r="M671" s="550">
        <v>1</v>
      </c>
      <c r="N671" s="550">
        <v>94</v>
      </c>
      <c r="O671" s="550">
        <v>0</v>
      </c>
      <c r="P671" s="550">
        <v>233</v>
      </c>
      <c r="Q671" s="550">
        <v>4</v>
      </c>
      <c r="R671" s="551" t="str">
        <f t="shared" si="122"/>
        <v>LA VERNE</v>
      </c>
      <c r="S671" s="552"/>
      <c r="T671" s="552"/>
      <c r="U671" s="552"/>
      <c r="V671" s="552"/>
      <c r="W671" s="552"/>
      <c r="X671" s="552"/>
      <c r="Y671" s="552"/>
      <c r="Z671" s="552"/>
      <c r="AA671" s="553"/>
      <c r="AB671" s="553"/>
    </row>
    <row r="672" spans="1:28" ht="12.75">
      <c r="A672" s="547" t="s">
        <v>388</v>
      </c>
      <c r="B672" s="547" t="s">
        <v>153</v>
      </c>
      <c r="C672" s="548" t="s">
        <v>812</v>
      </c>
      <c r="D672" s="549">
        <v>2016</v>
      </c>
      <c r="E672" s="549" t="s">
        <v>775</v>
      </c>
      <c r="F672" s="550">
        <v>147</v>
      </c>
      <c r="G672" s="550">
        <v>0</v>
      </c>
      <c r="H672" s="550">
        <v>0</v>
      </c>
      <c r="I672" s="550">
        <v>0</v>
      </c>
      <c r="J672" s="550">
        <v>88</v>
      </c>
      <c r="K672" s="550">
        <v>0</v>
      </c>
      <c r="L672" s="550">
        <v>0</v>
      </c>
      <c r="M672" s="550">
        <v>0</v>
      </c>
      <c r="N672" s="550">
        <v>94</v>
      </c>
      <c r="O672" s="550">
        <v>0</v>
      </c>
      <c r="P672" s="550">
        <v>233</v>
      </c>
      <c r="Q672" s="550">
        <v>10</v>
      </c>
      <c r="R672" s="551" t="str">
        <f t="shared" si="122"/>
        <v>LA VERNE</v>
      </c>
      <c r="S672" s="552"/>
      <c r="T672" s="552"/>
      <c r="U672" s="552"/>
      <c r="V672" s="552"/>
      <c r="W672" s="552"/>
      <c r="X672" s="552"/>
      <c r="Y672" s="552"/>
      <c r="Z672" s="552"/>
      <c r="AA672" s="553"/>
      <c r="AB672" s="553"/>
    </row>
    <row r="673" spans="1:28" ht="12.75">
      <c r="A673" s="547" t="s">
        <v>388</v>
      </c>
      <c r="B673" s="547" t="s">
        <v>153</v>
      </c>
      <c r="C673" s="548" t="s">
        <v>812</v>
      </c>
      <c r="D673" s="549">
        <v>2017</v>
      </c>
      <c r="E673" s="549" t="s">
        <v>775</v>
      </c>
      <c r="F673" s="550">
        <v>147</v>
      </c>
      <c r="G673" s="550">
        <v>1</v>
      </c>
      <c r="H673" s="550">
        <v>1</v>
      </c>
      <c r="I673" s="550">
        <v>0</v>
      </c>
      <c r="J673" s="550">
        <v>88</v>
      </c>
      <c r="K673" s="550">
        <v>0</v>
      </c>
      <c r="L673" s="550">
        <v>0</v>
      </c>
      <c r="M673" s="550">
        <v>0</v>
      </c>
      <c r="N673" s="550">
        <v>94</v>
      </c>
      <c r="O673" s="550">
        <v>0</v>
      </c>
      <c r="P673" s="550">
        <v>233</v>
      </c>
      <c r="Q673" s="550">
        <v>20</v>
      </c>
      <c r="R673" s="551" t="str">
        <f t="shared" si="122"/>
        <v>LA VERNE</v>
      </c>
      <c r="S673" s="552"/>
      <c r="T673" s="552"/>
      <c r="U673" s="552"/>
      <c r="V673" s="552"/>
      <c r="W673" s="552"/>
      <c r="X673" s="552"/>
      <c r="Y673" s="552"/>
      <c r="Z673" s="552"/>
      <c r="AA673" s="553"/>
      <c r="AB673" s="553"/>
    </row>
    <row r="674" spans="1:28" ht="12.75">
      <c r="A674" s="547" t="s">
        <v>388</v>
      </c>
      <c r="B674" s="547" t="s">
        <v>153</v>
      </c>
      <c r="C674" s="548" t="s">
        <v>813</v>
      </c>
      <c r="D674" s="549">
        <v>2019</v>
      </c>
      <c r="E674" s="549" t="s">
        <v>775</v>
      </c>
      <c r="F674" s="550">
        <v>147</v>
      </c>
      <c r="G674" s="550">
        <v>0</v>
      </c>
      <c r="H674" s="550">
        <v>0</v>
      </c>
      <c r="I674" s="550">
        <v>0</v>
      </c>
      <c r="J674" s="550">
        <v>88</v>
      </c>
      <c r="K674" s="550">
        <v>0</v>
      </c>
      <c r="L674" s="550">
        <v>0</v>
      </c>
      <c r="M674" s="550">
        <v>0</v>
      </c>
      <c r="N674" s="550">
        <v>94</v>
      </c>
      <c r="O674" s="550">
        <v>0</v>
      </c>
      <c r="P674" s="550">
        <v>233</v>
      </c>
      <c r="Q674" s="550">
        <v>10</v>
      </c>
      <c r="R674" s="551" t="str">
        <f t="shared" si="122"/>
        <v>LA VERNE</v>
      </c>
      <c r="S674" s="255">
        <f>SUM(G670:G674) +SUM(K670:K674)</f>
        <v>39</v>
      </c>
      <c r="T674" s="255">
        <f>F674+J674</f>
        <v>235</v>
      </c>
      <c r="U674" s="255">
        <f>SUM(O670:O674)</f>
        <v>0</v>
      </c>
      <c r="V674" s="255">
        <f>N674</f>
        <v>94</v>
      </c>
      <c r="W674" s="83">
        <f>SUM(Q670:Q674)</f>
        <v>122</v>
      </c>
      <c r="X674" s="255">
        <f>P674</f>
        <v>233</v>
      </c>
      <c r="Y674" s="255">
        <f>S674+U674+SUM(Q670:Q674)</f>
        <v>161</v>
      </c>
      <c r="Z674" s="255">
        <f>F674+J674+N674+P674</f>
        <v>562</v>
      </c>
      <c r="AA674" s="553"/>
      <c r="AB674" s="553"/>
    </row>
    <row r="675" spans="1:28" ht="12.75">
      <c r="A675" s="547" t="s">
        <v>389</v>
      </c>
      <c r="B675" s="547" t="s">
        <v>153</v>
      </c>
      <c r="C675" s="548" t="s">
        <v>812</v>
      </c>
      <c r="D675" s="549">
        <v>2014</v>
      </c>
      <c r="E675" s="549" t="s">
        <v>775</v>
      </c>
      <c r="F675" s="550">
        <v>107</v>
      </c>
      <c r="G675" s="550">
        <v>0</v>
      </c>
      <c r="H675" s="550">
        <v>0</v>
      </c>
      <c r="I675" s="550">
        <v>0</v>
      </c>
      <c r="J675" s="550">
        <v>63</v>
      </c>
      <c r="K675" s="550">
        <v>0</v>
      </c>
      <c r="L675" s="550">
        <v>0</v>
      </c>
      <c r="M675" s="550">
        <v>0</v>
      </c>
      <c r="N675" s="550">
        <v>67</v>
      </c>
      <c r="O675" s="550">
        <v>0</v>
      </c>
      <c r="P675" s="550">
        <v>166</v>
      </c>
      <c r="Q675" s="550">
        <v>0</v>
      </c>
      <c r="R675" s="551" t="str">
        <f t="shared" si="122"/>
        <v>LAKEWOOD</v>
      </c>
      <c r="S675" s="552"/>
      <c r="T675" s="552"/>
      <c r="U675" s="552"/>
      <c r="V675" s="552"/>
      <c r="W675" s="552"/>
      <c r="X675" s="552"/>
      <c r="Y675" s="552"/>
      <c r="Z675" s="552"/>
      <c r="AA675" s="553"/>
      <c r="AB675" s="553"/>
    </row>
    <row r="676" spans="1:28" ht="12.75">
      <c r="A676" s="547" t="s">
        <v>389</v>
      </c>
      <c r="B676" s="547" t="s">
        <v>153</v>
      </c>
      <c r="C676" s="548" t="s">
        <v>812</v>
      </c>
      <c r="D676" s="549">
        <v>2015</v>
      </c>
      <c r="E676" s="549" t="s">
        <v>775</v>
      </c>
      <c r="F676" s="550">
        <v>107</v>
      </c>
      <c r="G676" s="550">
        <v>0</v>
      </c>
      <c r="H676" s="550">
        <v>0</v>
      </c>
      <c r="I676" s="550">
        <v>0</v>
      </c>
      <c r="J676" s="550">
        <v>63</v>
      </c>
      <c r="K676" s="550">
        <v>0</v>
      </c>
      <c r="L676" s="550">
        <v>0</v>
      </c>
      <c r="M676" s="550">
        <v>0</v>
      </c>
      <c r="N676" s="550">
        <v>67</v>
      </c>
      <c r="O676" s="550">
        <v>0</v>
      </c>
      <c r="P676" s="550">
        <v>166</v>
      </c>
      <c r="Q676" s="550">
        <v>52</v>
      </c>
      <c r="R676" s="551" t="str">
        <f t="shared" si="122"/>
        <v>LAKEWOOD</v>
      </c>
      <c r="S676" s="552"/>
      <c r="T676" s="552"/>
      <c r="U676" s="552"/>
      <c r="V676" s="552"/>
      <c r="W676" s="552"/>
      <c r="X676" s="552"/>
      <c r="Y676" s="552"/>
      <c r="Z676" s="552"/>
      <c r="AA676" s="553"/>
      <c r="AB676" s="553"/>
    </row>
    <row r="677" spans="1:28" ht="12.75">
      <c r="A677" s="547" t="s">
        <v>389</v>
      </c>
      <c r="B677" s="547" t="s">
        <v>153</v>
      </c>
      <c r="C677" s="548" t="s">
        <v>812</v>
      </c>
      <c r="D677" s="549">
        <v>2016</v>
      </c>
      <c r="E677" s="549" t="s">
        <v>775</v>
      </c>
      <c r="F677" s="550">
        <v>107</v>
      </c>
      <c r="G677" s="550">
        <v>0</v>
      </c>
      <c r="H677" s="550">
        <v>0</v>
      </c>
      <c r="I677" s="550">
        <v>0</v>
      </c>
      <c r="J677" s="550">
        <v>63</v>
      </c>
      <c r="K677" s="550">
        <v>0</v>
      </c>
      <c r="L677" s="550">
        <v>0</v>
      </c>
      <c r="M677" s="550">
        <v>0</v>
      </c>
      <c r="N677" s="550">
        <v>67</v>
      </c>
      <c r="O677" s="550">
        <v>0</v>
      </c>
      <c r="P677" s="550">
        <v>166</v>
      </c>
      <c r="Q677" s="550">
        <v>20</v>
      </c>
      <c r="R677" s="551" t="str">
        <f t="shared" si="122"/>
        <v>LAKEWOOD</v>
      </c>
      <c r="S677" s="552"/>
      <c r="T677" s="552"/>
      <c r="U677" s="552"/>
      <c r="V677" s="552"/>
      <c r="W677" s="552"/>
      <c r="X677" s="552"/>
      <c r="Y677" s="552"/>
      <c r="Z677" s="552"/>
      <c r="AA677" s="553"/>
      <c r="AB677" s="553"/>
    </row>
    <row r="678" spans="1:28" ht="12.75">
      <c r="A678" s="547" t="s">
        <v>389</v>
      </c>
      <c r="B678" s="547" t="s">
        <v>153</v>
      </c>
      <c r="C678" s="548" t="s">
        <v>812</v>
      </c>
      <c r="D678" s="549">
        <v>2017</v>
      </c>
      <c r="E678" s="549" t="s">
        <v>775</v>
      </c>
      <c r="F678" s="550">
        <v>107</v>
      </c>
      <c r="G678" s="550">
        <v>2</v>
      </c>
      <c r="H678" s="550">
        <v>0</v>
      </c>
      <c r="I678" s="550">
        <v>2</v>
      </c>
      <c r="J678" s="550">
        <v>63</v>
      </c>
      <c r="K678" s="550">
        <v>0</v>
      </c>
      <c r="L678" s="550">
        <v>0</v>
      </c>
      <c r="M678" s="550">
        <v>0</v>
      </c>
      <c r="N678" s="550">
        <v>67</v>
      </c>
      <c r="O678" s="550">
        <v>0</v>
      </c>
      <c r="P678" s="550">
        <v>166</v>
      </c>
      <c r="Q678" s="550">
        <v>48</v>
      </c>
      <c r="R678" s="551" t="str">
        <f t="shared" si="122"/>
        <v>LAKEWOOD</v>
      </c>
      <c r="S678" s="552"/>
      <c r="T678" s="552"/>
      <c r="U678" s="552"/>
      <c r="V678" s="552"/>
      <c r="W678" s="552"/>
      <c r="X678" s="552"/>
      <c r="Y678" s="552"/>
      <c r="Z678" s="552"/>
      <c r="AA678" s="553"/>
      <c r="AB678" s="553"/>
    </row>
    <row r="679" spans="1:28" ht="12.75">
      <c r="A679" s="547" t="s">
        <v>389</v>
      </c>
      <c r="B679" s="547" t="s">
        <v>153</v>
      </c>
      <c r="C679" s="548" t="s">
        <v>812</v>
      </c>
      <c r="D679" s="549">
        <v>2018</v>
      </c>
      <c r="E679" s="549" t="s">
        <v>775</v>
      </c>
      <c r="F679" s="550">
        <v>107</v>
      </c>
      <c r="G679" s="550">
        <v>9</v>
      </c>
      <c r="H679" s="550">
        <v>0</v>
      </c>
      <c r="I679" s="550">
        <v>9</v>
      </c>
      <c r="J679" s="550">
        <v>63</v>
      </c>
      <c r="K679" s="550">
        <v>0</v>
      </c>
      <c r="L679" s="550">
        <v>0</v>
      </c>
      <c r="M679" s="550">
        <v>0</v>
      </c>
      <c r="N679" s="550">
        <v>67</v>
      </c>
      <c r="O679" s="550">
        <v>1</v>
      </c>
      <c r="P679" s="550">
        <v>166</v>
      </c>
      <c r="Q679" s="550">
        <v>0</v>
      </c>
      <c r="R679" s="551" t="str">
        <f t="shared" si="122"/>
        <v>LAKEWOOD</v>
      </c>
      <c r="S679" s="552"/>
      <c r="T679" s="552"/>
      <c r="U679" s="552"/>
      <c r="V679" s="552"/>
      <c r="W679" s="552"/>
      <c r="X679" s="552"/>
      <c r="Y679" s="552"/>
      <c r="Z679" s="552"/>
      <c r="AA679" s="553"/>
      <c r="AB679" s="553"/>
    </row>
    <row r="680" spans="1:28" ht="12.75">
      <c r="A680" s="547" t="s">
        <v>389</v>
      </c>
      <c r="B680" s="547" t="s">
        <v>153</v>
      </c>
      <c r="C680" s="548" t="s">
        <v>813</v>
      </c>
      <c r="D680" s="549">
        <v>2019</v>
      </c>
      <c r="E680" s="549" t="s">
        <v>775</v>
      </c>
      <c r="F680" s="550">
        <v>107</v>
      </c>
      <c r="G680" s="550">
        <v>13</v>
      </c>
      <c r="H680" s="550">
        <v>0</v>
      </c>
      <c r="I680" s="550">
        <v>13</v>
      </c>
      <c r="J680" s="550">
        <v>63</v>
      </c>
      <c r="K680" s="550">
        <v>4</v>
      </c>
      <c r="L680" s="550">
        <v>0</v>
      </c>
      <c r="M680" s="550">
        <v>4</v>
      </c>
      <c r="N680" s="550">
        <v>67</v>
      </c>
      <c r="O680" s="550">
        <v>0</v>
      </c>
      <c r="P680" s="550">
        <v>166</v>
      </c>
      <c r="Q680" s="550">
        <v>0</v>
      </c>
      <c r="R680" s="551" t="str">
        <f t="shared" si="122"/>
        <v>LAKEWOOD</v>
      </c>
      <c r="S680" s="552">
        <f>SUM(G675:G680) +SUM(K675:K680)</f>
        <v>28</v>
      </c>
      <c r="T680" s="552">
        <f>F680+J680</f>
        <v>170</v>
      </c>
      <c r="U680" s="552">
        <f>SUM(O675:O680)</f>
        <v>1</v>
      </c>
      <c r="V680" s="552">
        <f>N680</f>
        <v>67</v>
      </c>
      <c r="W680" s="554">
        <f>SUM(Q675:Q680)</f>
        <v>120</v>
      </c>
      <c r="X680" s="552">
        <f>P680</f>
        <v>166</v>
      </c>
      <c r="Y680" s="552">
        <f>S680+U680+SUM(Q675:Q680)</f>
        <v>149</v>
      </c>
      <c r="Z680" s="552">
        <f>F680+J680+N680+P680</f>
        <v>403</v>
      </c>
      <c r="AA680" s="553"/>
      <c r="AB680" s="553"/>
    </row>
    <row r="681" spans="1:28" ht="12.75">
      <c r="A681" s="547" t="s">
        <v>390</v>
      </c>
      <c r="B681" s="547" t="s">
        <v>153</v>
      </c>
      <c r="C681" s="548" t="s">
        <v>812</v>
      </c>
      <c r="D681" s="549">
        <v>2018</v>
      </c>
      <c r="E681" s="549" t="s">
        <v>775</v>
      </c>
      <c r="F681" s="550">
        <v>627</v>
      </c>
      <c r="G681" s="550">
        <v>135</v>
      </c>
      <c r="H681" s="550">
        <v>135</v>
      </c>
      <c r="I681" s="550">
        <v>0</v>
      </c>
      <c r="J681" s="550">
        <v>384</v>
      </c>
      <c r="K681" s="550">
        <v>40</v>
      </c>
      <c r="L681" s="550">
        <v>40</v>
      </c>
      <c r="M681" s="550">
        <v>0</v>
      </c>
      <c r="N681" s="550">
        <v>413</v>
      </c>
      <c r="O681" s="550">
        <v>0</v>
      </c>
      <c r="P681" s="550">
        <v>1086</v>
      </c>
      <c r="Q681" s="550">
        <v>33</v>
      </c>
      <c r="R681" s="551" t="str">
        <f t="shared" si="122"/>
        <v>LANCASTER</v>
      </c>
      <c r="S681" s="552"/>
      <c r="T681" s="552"/>
      <c r="U681" s="552"/>
      <c r="V681" s="552"/>
      <c r="W681" s="552"/>
      <c r="X681" s="552"/>
      <c r="Y681" s="552"/>
      <c r="Z681" s="552"/>
      <c r="AA681" s="553"/>
      <c r="AB681" s="553"/>
    </row>
    <row r="682" spans="1:28" ht="12.75">
      <c r="A682" s="547" t="s">
        <v>390</v>
      </c>
      <c r="B682" s="547" t="s">
        <v>153</v>
      </c>
      <c r="C682" s="548" t="s">
        <v>813</v>
      </c>
      <c r="D682" s="549">
        <v>2019</v>
      </c>
      <c r="E682" s="549" t="s">
        <v>775</v>
      </c>
      <c r="F682" s="550">
        <v>627</v>
      </c>
      <c r="G682" s="550">
        <v>0</v>
      </c>
      <c r="H682" s="550">
        <v>0</v>
      </c>
      <c r="I682" s="550">
        <v>0</v>
      </c>
      <c r="J682" s="550">
        <v>384</v>
      </c>
      <c r="K682" s="550">
        <v>0</v>
      </c>
      <c r="L682" s="550">
        <v>0</v>
      </c>
      <c r="M682" s="550">
        <v>0</v>
      </c>
      <c r="N682" s="550">
        <v>413</v>
      </c>
      <c r="O682" s="550">
        <v>0</v>
      </c>
      <c r="P682" s="550">
        <v>1086</v>
      </c>
      <c r="Q682" s="550">
        <v>202</v>
      </c>
      <c r="R682" s="551" t="str">
        <f t="shared" si="122"/>
        <v>LANCASTER</v>
      </c>
      <c r="S682" s="255">
        <f>SUM(G681:G682) +SUM(K681:K682)</f>
        <v>175</v>
      </c>
      <c r="T682" s="255">
        <f>F682+J682</f>
        <v>1011</v>
      </c>
      <c r="U682" s="255">
        <f>SUM(O681:O682)</f>
        <v>0</v>
      </c>
      <c r="V682" s="255">
        <f>N682</f>
        <v>413</v>
      </c>
      <c r="W682" s="83">
        <f>SUM(Q681:Q682)</f>
        <v>235</v>
      </c>
      <c r="X682" s="255">
        <f>P682</f>
        <v>1086</v>
      </c>
      <c r="Y682" s="255">
        <f>S682+U682+SUM(Q681:Q682)</f>
        <v>410</v>
      </c>
      <c r="Z682" s="255">
        <f>F682+J682+N682+P682</f>
        <v>2510</v>
      </c>
      <c r="AA682" s="553"/>
      <c r="AB682" s="553"/>
    </row>
    <row r="683" spans="1:28" ht="12.75">
      <c r="A683" s="547" t="s">
        <v>391</v>
      </c>
      <c r="B683" s="547" t="s">
        <v>153</v>
      </c>
      <c r="C683" s="548" t="s">
        <v>812</v>
      </c>
      <c r="D683" s="549">
        <v>2014</v>
      </c>
      <c r="E683" s="549" t="s">
        <v>775</v>
      </c>
      <c r="F683" s="550">
        <v>96</v>
      </c>
      <c r="G683" s="550">
        <v>0</v>
      </c>
      <c r="H683" s="550">
        <v>0</v>
      </c>
      <c r="I683" s="550">
        <v>0</v>
      </c>
      <c r="J683" s="550">
        <v>57</v>
      </c>
      <c r="K683" s="550">
        <v>0</v>
      </c>
      <c r="L683" s="550">
        <v>0</v>
      </c>
      <c r="M683" s="550">
        <v>0</v>
      </c>
      <c r="N683" s="550">
        <v>62</v>
      </c>
      <c r="O683" s="550">
        <v>0</v>
      </c>
      <c r="P683" s="550">
        <v>166</v>
      </c>
      <c r="Q683" s="550">
        <v>5</v>
      </c>
      <c r="R683" s="551" t="str">
        <f t="shared" si="122"/>
        <v>LAWNDALE</v>
      </c>
      <c r="S683" s="552"/>
      <c r="T683" s="552"/>
      <c r="U683" s="552"/>
      <c r="V683" s="552"/>
      <c r="W683" s="552"/>
      <c r="X683" s="552"/>
      <c r="Y683" s="552"/>
      <c r="Z683" s="552"/>
      <c r="AA683" s="553"/>
      <c r="AB683" s="553"/>
    </row>
    <row r="684" spans="1:28" ht="12.75">
      <c r="A684" s="547" t="s">
        <v>391</v>
      </c>
      <c r="B684" s="547" t="s">
        <v>153</v>
      </c>
      <c r="C684" s="548" t="s">
        <v>812</v>
      </c>
      <c r="D684" s="549">
        <v>2016</v>
      </c>
      <c r="E684" s="549" t="s">
        <v>775</v>
      </c>
      <c r="F684" s="550">
        <v>96</v>
      </c>
      <c r="G684" s="550">
        <v>0</v>
      </c>
      <c r="H684" s="550">
        <v>0</v>
      </c>
      <c r="I684" s="550">
        <v>0</v>
      </c>
      <c r="J684" s="550">
        <v>57</v>
      </c>
      <c r="K684" s="550">
        <v>0</v>
      </c>
      <c r="L684" s="550">
        <v>0</v>
      </c>
      <c r="M684" s="550">
        <v>0</v>
      </c>
      <c r="N684" s="550">
        <v>62</v>
      </c>
      <c r="O684" s="550">
        <v>0</v>
      </c>
      <c r="P684" s="550">
        <v>166</v>
      </c>
      <c r="Q684" s="550">
        <v>3</v>
      </c>
      <c r="R684" s="551" t="str">
        <f t="shared" si="122"/>
        <v>LAWNDALE</v>
      </c>
      <c r="S684" s="552"/>
      <c r="T684" s="552"/>
      <c r="U684" s="552"/>
      <c r="V684" s="552"/>
      <c r="W684" s="552"/>
      <c r="X684" s="552"/>
      <c r="Y684" s="552"/>
      <c r="Z684" s="552"/>
      <c r="AA684" s="553"/>
      <c r="AB684" s="553"/>
    </row>
    <row r="685" spans="1:28" ht="12.75">
      <c r="A685" s="547" t="s">
        <v>391</v>
      </c>
      <c r="B685" s="547" t="s">
        <v>153</v>
      </c>
      <c r="C685" s="548" t="s">
        <v>812</v>
      </c>
      <c r="D685" s="549">
        <v>2017</v>
      </c>
      <c r="E685" s="549" t="s">
        <v>775</v>
      </c>
      <c r="F685" s="550">
        <v>96</v>
      </c>
      <c r="G685" s="550">
        <v>0</v>
      </c>
      <c r="H685" s="550">
        <v>0</v>
      </c>
      <c r="I685" s="550">
        <v>0</v>
      </c>
      <c r="J685" s="550">
        <v>57</v>
      </c>
      <c r="K685" s="550">
        <v>0</v>
      </c>
      <c r="L685" s="550">
        <v>0</v>
      </c>
      <c r="M685" s="550">
        <v>0</v>
      </c>
      <c r="N685" s="550">
        <v>62</v>
      </c>
      <c r="O685" s="550">
        <v>0</v>
      </c>
      <c r="P685" s="550">
        <v>166</v>
      </c>
      <c r="Q685" s="550">
        <v>13</v>
      </c>
      <c r="R685" s="551" t="str">
        <f t="shared" si="122"/>
        <v>LAWNDALE</v>
      </c>
      <c r="S685" s="552"/>
      <c r="T685" s="552"/>
      <c r="U685" s="552"/>
      <c r="V685" s="552"/>
      <c r="W685" s="552"/>
      <c r="X685" s="552"/>
      <c r="Y685" s="552"/>
      <c r="Z685" s="552"/>
      <c r="AA685" s="553"/>
      <c r="AB685" s="553"/>
    </row>
    <row r="686" spans="1:28" ht="12.75">
      <c r="A686" s="547" t="s">
        <v>391</v>
      </c>
      <c r="B686" s="547" t="s">
        <v>153</v>
      </c>
      <c r="C686" s="548" t="s">
        <v>812</v>
      </c>
      <c r="D686" s="549">
        <v>2018</v>
      </c>
      <c r="E686" s="549" t="s">
        <v>775</v>
      </c>
      <c r="F686" s="550">
        <v>96</v>
      </c>
      <c r="G686" s="550">
        <v>0</v>
      </c>
      <c r="H686" s="550">
        <v>0</v>
      </c>
      <c r="I686" s="550">
        <v>0</v>
      </c>
      <c r="J686" s="550">
        <v>57</v>
      </c>
      <c r="K686" s="550">
        <v>0</v>
      </c>
      <c r="L686" s="550">
        <v>0</v>
      </c>
      <c r="M686" s="550">
        <v>0</v>
      </c>
      <c r="N686" s="550">
        <v>62</v>
      </c>
      <c r="O686" s="550">
        <v>0</v>
      </c>
      <c r="P686" s="550">
        <v>166</v>
      </c>
      <c r="Q686" s="550">
        <v>20</v>
      </c>
      <c r="R686" s="551" t="str">
        <f t="shared" si="122"/>
        <v>LAWNDALE</v>
      </c>
      <c r="S686" s="552"/>
      <c r="T686" s="552"/>
      <c r="U686" s="552"/>
      <c r="V686" s="552"/>
      <c r="W686" s="552"/>
      <c r="X686" s="552"/>
      <c r="Y686" s="552"/>
      <c r="Z686" s="552"/>
      <c r="AA686" s="553"/>
      <c r="AB686" s="553"/>
    </row>
    <row r="687" spans="1:28" ht="12.75">
      <c r="A687" s="547" t="s">
        <v>391</v>
      </c>
      <c r="B687" s="547" t="s">
        <v>153</v>
      </c>
      <c r="C687" s="548" t="s">
        <v>813</v>
      </c>
      <c r="D687" s="549">
        <v>2019</v>
      </c>
      <c r="E687" s="549" t="s">
        <v>775</v>
      </c>
      <c r="F687" s="550">
        <v>96</v>
      </c>
      <c r="G687" s="550">
        <v>0</v>
      </c>
      <c r="H687" s="550">
        <v>0</v>
      </c>
      <c r="I687" s="550">
        <v>0</v>
      </c>
      <c r="J687" s="550">
        <v>57</v>
      </c>
      <c r="K687" s="550">
        <v>0</v>
      </c>
      <c r="L687" s="550">
        <v>0</v>
      </c>
      <c r="M687" s="550">
        <v>0</v>
      </c>
      <c r="N687" s="550">
        <v>62</v>
      </c>
      <c r="O687" s="550">
        <v>0</v>
      </c>
      <c r="P687" s="550">
        <v>166</v>
      </c>
      <c r="Q687" s="550">
        <v>51</v>
      </c>
      <c r="R687" s="551" t="str">
        <f t="shared" si="122"/>
        <v>LAWNDALE</v>
      </c>
      <c r="S687" s="255">
        <f>SUM(G683:G687) +SUM(K683:K687)</f>
        <v>0</v>
      </c>
      <c r="T687" s="255">
        <f>F687+J687</f>
        <v>153</v>
      </c>
      <c r="U687" s="255">
        <f>SUM(O683:O687)</f>
        <v>0</v>
      </c>
      <c r="V687" s="255">
        <f>N687</f>
        <v>62</v>
      </c>
      <c r="W687" s="83">
        <f>SUM(Q683:Q687)</f>
        <v>92</v>
      </c>
      <c r="X687" s="255">
        <f>P687</f>
        <v>166</v>
      </c>
      <c r="Y687" s="255">
        <f>S687+U687+SUM(Q683:Q687)</f>
        <v>92</v>
      </c>
      <c r="Z687" s="255">
        <f>F687+J687+N687+P687</f>
        <v>381</v>
      </c>
      <c r="AA687" s="553"/>
      <c r="AB687" s="553"/>
    </row>
    <row r="688" spans="1:28" ht="12.75">
      <c r="A688" s="547" t="s">
        <v>392</v>
      </c>
      <c r="B688" s="547" t="s">
        <v>153</v>
      </c>
      <c r="C688" s="548" t="s">
        <v>812</v>
      </c>
      <c r="D688" s="549">
        <v>2014</v>
      </c>
      <c r="E688" s="549" t="s">
        <v>775</v>
      </c>
      <c r="F688" s="550">
        <v>12</v>
      </c>
      <c r="G688" s="550">
        <v>0</v>
      </c>
      <c r="H688" s="550">
        <v>0</v>
      </c>
      <c r="I688" s="550">
        <v>0</v>
      </c>
      <c r="J688" s="550">
        <v>7</v>
      </c>
      <c r="K688" s="550">
        <v>0</v>
      </c>
      <c r="L688" s="550">
        <v>0</v>
      </c>
      <c r="M688" s="550">
        <v>0</v>
      </c>
      <c r="N688" s="550">
        <v>8</v>
      </c>
      <c r="O688" s="550">
        <v>16</v>
      </c>
      <c r="P688" s="550">
        <v>20</v>
      </c>
      <c r="Q688" s="550">
        <v>0</v>
      </c>
      <c r="R688" s="551" t="str">
        <f t="shared" si="122"/>
        <v>LOMITA</v>
      </c>
      <c r="S688" s="552"/>
      <c r="T688" s="552"/>
      <c r="U688" s="552"/>
      <c r="V688" s="552"/>
      <c r="W688" s="552"/>
      <c r="X688" s="552"/>
      <c r="Y688" s="552"/>
      <c r="Z688" s="552"/>
      <c r="AA688" s="553"/>
      <c r="AB688" s="553"/>
    </row>
    <row r="689" spans="1:28" ht="12.75">
      <c r="A689" s="547" t="s">
        <v>392</v>
      </c>
      <c r="B689" s="555" t="s">
        <v>153</v>
      </c>
      <c r="C689" s="548" t="s">
        <v>812</v>
      </c>
      <c r="D689" s="549">
        <v>2015</v>
      </c>
      <c r="E689" s="549" t="s">
        <v>775</v>
      </c>
      <c r="F689" s="550">
        <v>12</v>
      </c>
      <c r="G689" s="550">
        <v>0</v>
      </c>
      <c r="H689" s="550">
        <v>0</v>
      </c>
      <c r="I689" s="550">
        <v>0</v>
      </c>
      <c r="J689" s="550">
        <v>7</v>
      </c>
      <c r="K689" s="550">
        <v>2</v>
      </c>
      <c r="L689" s="550">
        <v>0</v>
      </c>
      <c r="M689" s="550">
        <v>2</v>
      </c>
      <c r="N689" s="550">
        <v>8</v>
      </c>
      <c r="O689" s="550">
        <v>0</v>
      </c>
      <c r="P689" s="550">
        <v>20</v>
      </c>
      <c r="Q689" s="550">
        <v>0</v>
      </c>
      <c r="R689" s="551" t="str">
        <f t="shared" si="122"/>
        <v>LOMITA</v>
      </c>
      <c r="S689" s="552"/>
      <c r="T689" s="552"/>
      <c r="U689" s="552"/>
      <c r="V689" s="552"/>
      <c r="W689" s="552"/>
      <c r="X689" s="552"/>
      <c r="Y689" s="552"/>
      <c r="Z689" s="552"/>
      <c r="AA689" s="553"/>
      <c r="AB689" s="553"/>
    </row>
    <row r="690" spans="1:28" ht="12.75">
      <c r="A690" s="547" t="s">
        <v>392</v>
      </c>
      <c r="B690" s="547" t="s">
        <v>153</v>
      </c>
      <c r="C690" s="548" t="s">
        <v>812</v>
      </c>
      <c r="D690" s="549">
        <v>2016</v>
      </c>
      <c r="E690" s="549" t="s">
        <v>775</v>
      </c>
      <c r="F690" s="550">
        <v>12</v>
      </c>
      <c r="G690" s="550">
        <v>0</v>
      </c>
      <c r="H690" s="550">
        <v>0</v>
      </c>
      <c r="I690" s="550">
        <v>0</v>
      </c>
      <c r="J690" s="550">
        <v>7</v>
      </c>
      <c r="K690" s="550">
        <v>2</v>
      </c>
      <c r="L690" s="550">
        <v>0</v>
      </c>
      <c r="M690" s="550">
        <v>2</v>
      </c>
      <c r="N690" s="550">
        <v>8</v>
      </c>
      <c r="O690" s="550">
        <v>13</v>
      </c>
      <c r="P690" s="550">
        <v>20</v>
      </c>
      <c r="Q690" s="550">
        <v>6</v>
      </c>
      <c r="R690" s="551" t="str">
        <f t="shared" si="122"/>
        <v>LOMITA</v>
      </c>
      <c r="S690" s="552"/>
      <c r="T690" s="552"/>
      <c r="U690" s="552"/>
      <c r="V690" s="552"/>
      <c r="W690" s="552"/>
      <c r="X690" s="552"/>
      <c r="Y690" s="552"/>
      <c r="Z690" s="552"/>
      <c r="AA690" s="553"/>
      <c r="AB690" s="553"/>
    </row>
    <row r="691" spans="1:28" ht="12.75">
      <c r="A691" s="547" t="s">
        <v>392</v>
      </c>
      <c r="B691" s="547" t="s">
        <v>153</v>
      </c>
      <c r="C691" s="548" t="s">
        <v>812</v>
      </c>
      <c r="D691" s="549">
        <v>2017</v>
      </c>
      <c r="E691" s="549" t="s">
        <v>775</v>
      </c>
      <c r="F691" s="550">
        <v>12</v>
      </c>
      <c r="G691" s="550">
        <v>0</v>
      </c>
      <c r="H691" s="550">
        <v>0</v>
      </c>
      <c r="I691" s="550">
        <v>0</v>
      </c>
      <c r="J691" s="550">
        <v>7</v>
      </c>
      <c r="K691" s="550">
        <v>2</v>
      </c>
      <c r="L691" s="550">
        <v>0</v>
      </c>
      <c r="M691" s="550">
        <v>2</v>
      </c>
      <c r="N691" s="550">
        <v>8</v>
      </c>
      <c r="O691" s="550">
        <v>5</v>
      </c>
      <c r="P691" s="550">
        <v>20</v>
      </c>
      <c r="Q691" s="550">
        <v>11</v>
      </c>
      <c r="R691" s="551" t="str">
        <f t="shared" si="122"/>
        <v>LOMITA</v>
      </c>
      <c r="S691" s="552"/>
      <c r="T691" s="552"/>
      <c r="U691" s="552"/>
      <c r="V691" s="552"/>
      <c r="W691" s="552"/>
      <c r="X691" s="552"/>
      <c r="Y691" s="552"/>
      <c r="Z691" s="552"/>
      <c r="AA691" s="553"/>
      <c r="AB691" s="553"/>
    </row>
    <row r="692" spans="1:28" ht="12.75">
      <c r="A692" s="547" t="s">
        <v>392</v>
      </c>
      <c r="B692" s="547" t="s">
        <v>153</v>
      </c>
      <c r="C692" s="548" t="s">
        <v>812</v>
      </c>
      <c r="D692" s="549">
        <v>2018</v>
      </c>
      <c r="E692" s="549" t="s">
        <v>775</v>
      </c>
      <c r="F692" s="550">
        <v>12</v>
      </c>
      <c r="G692" s="550">
        <v>0</v>
      </c>
      <c r="H692" s="550">
        <v>0</v>
      </c>
      <c r="I692" s="550">
        <v>0</v>
      </c>
      <c r="J692" s="550">
        <v>7</v>
      </c>
      <c r="K692" s="550">
        <v>3</v>
      </c>
      <c r="L692" s="550">
        <v>0</v>
      </c>
      <c r="M692" s="550">
        <v>3</v>
      </c>
      <c r="N692" s="550">
        <v>8</v>
      </c>
      <c r="O692" s="550">
        <v>0</v>
      </c>
      <c r="P692" s="550">
        <v>20</v>
      </c>
      <c r="Q692" s="550">
        <v>20</v>
      </c>
      <c r="R692" s="551" t="str">
        <f t="shared" si="122"/>
        <v>LOMITA</v>
      </c>
      <c r="S692" s="552"/>
      <c r="T692" s="552"/>
      <c r="U692" s="552"/>
      <c r="V692" s="552"/>
      <c r="W692" s="552"/>
      <c r="X692" s="552"/>
      <c r="Y692" s="552"/>
      <c r="Z692" s="552"/>
      <c r="AA692" s="553"/>
      <c r="AB692" s="553"/>
    </row>
    <row r="693" spans="1:28" ht="12.75">
      <c r="A693" s="547" t="s">
        <v>392</v>
      </c>
      <c r="B693" s="547" t="s">
        <v>153</v>
      </c>
      <c r="C693" s="548" t="s">
        <v>813</v>
      </c>
      <c r="D693" s="549">
        <v>2019</v>
      </c>
      <c r="E693" s="549" t="s">
        <v>775</v>
      </c>
      <c r="F693" s="550">
        <v>12</v>
      </c>
      <c r="G693" s="550">
        <v>0</v>
      </c>
      <c r="H693" s="550">
        <v>0</v>
      </c>
      <c r="I693" s="550">
        <v>0</v>
      </c>
      <c r="J693" s="550">
        <v>7</v>
      </c>
      <c r="K693" s="550">
        <v>0</v>
      </c>
      <c r="L693" s="550">
        <v>0</v>
      </c>
      <c r="M693" s="550">
        <v>0</v>
      </c>
      <c r="N693" s="550">
        <v>8</v>
      </c>
      <c r="O693" s="550">
        <v>1</v>
      </c>
      <c r="P693" s="550">
        <v>20</v>
      </c>
      <c r="Q693" s="550">
        <v>24</v>
      </c>
      <c r="R693" s="551" t="str">
        <f t="shared" si="122"/>
        <v>LOMITA</v>
      </c>
      <c r="S693" s="552">
        <f>SUM(G688:G693) +SUM(K688:K693)</f>
        <v>9</v>
      </c>
      <c r="T693" s="552">
        <f>F693+J693</f>
        <v>19</v>
      </c>
      <c r="U693" s="552">
        <f>SUM(O688:O693)</f>
        <v>35</v>
      </c>
      <c r="V693" s="552">
        <f>N693</f>
        <v>8</v>
      </c>
      <c r="W693" s="554">
        <f>SUM(Q688:Q693)</f>
        <v>61</v>
      </c>
      <c r="X693" s="552">
        <f>P693</f>
        <v>20</v>
      </c>
      <c r="Y693" s="552">
        <f>S693+U693+SUM(Q688:Q693)</f>
        <v>105</v>
      </c>
      <c r="Z693" s="552">
        <f>F693+J693+N693+P693</f>
        <v>47</v>
      </c>
      <c r="AA693" s="553"/>
      <c r="AB693" s="553"/>
    </row>
    <row r="694" spans="1:28" ht="12.75">
      <c r="A694" s="547" t="s">
        <v>393</v>
      </c>
      <c r="B694" s="547" t="s">
        <v>153</v>
      </c>
      <c r="C694" s="548" t="s">
        <v>812</v>
      </c>
      <c r="D694" s="549">
        <v>2014</v>
      </c>
      <c r="E694" s="549" t="s">
        <v>775</v>
      </c>
      <c r="F694" s="550">
        <v>1773</v>
      </c>
      <c r="G694" s="550">
        <v>26</v>
      </c>
      <c r="H694" s="550">
        <v>26</v>
      </c>
      <c r="I694" s="550">
        <v>0</v>
      </c>
      <c r="J694" s="550">
        <v>1066</v>
      </c>
      <c r="K694" s="550">
        <v>14</v>
      </c>
      <c r="L694" s="550">
        <v>14</v>
      </c>
      <c r="M694" s="550">
        <v>0</v>
      </c>
      <c r="N694" s="550">
        <v>1170</v>
      </c>
      <c r="O694" s="550">
        <v>0</v>
      </c>
      <c r="P694" s="550">
        <v>3039</v>
      </c>
      <c r="Q694" s="550">
        <v>260</v>
      </c>
      <c r="R694" s="551" t="str">
        <f t="shared" si="122"/>
        <v>LONG BEACH</v>
      </c>
      <c r="S694" s="552"/>
      <c r="T694" s="552"/>
      <c r="U694" s="552"/>
      <c r="V694" s="552"/>
      <c r="W694" s="552"/>
      <c r="X694" s="552"/>
      <c r="Y694" s="552"/>
      <c r="Z694" s="552"/>
      <c r="AA694" s="553"/>
      <c r="AB694" s="553"/>
    </row>
    <row r="695" spans="1:28" ht="12.75">
      <c r="A695" s="547" t="s">
        <v>393</v>
      </c>
      <c r="B695" s="555" t="s">
        <v>153</v>
      </c>
      <c r="C695" s="548" t="s">
        <v>812</v>
      </c>
      <c r="D695" s="549">
        <v>2015</v>
      </c>
      <c r="E695" s="549" t="s">
        <v>775</v>
      </c>
      <c r="F695" s="550">
        <v>1773</v>
      </c>
      <c r="G695" s="550">
        <v>111</v>
      </c>
      <c r="H695" s="550">
        <v>111</v>
      </c>
      <c r="I695" s="550">
        <v>0</v>
      </c>
      <c r="J695" s="550">
        <v>1066</v>
      </c>
      <c r="K695" s="550">
        <v>8</v>
      </c>
      <c r="L695" s="550">
        <v>8</v>
      </c>
      <c r="M695" s="550">
        <v>0</v>
      </c>
      <c r="N695" s="550">
        <v>1170</v>
      </c>
      <c r="O695" s="550">
        <v>0</v>
      </c>
      <c r="P695" s="550">
        <v>3039</v>
      </c>
      <c r="Q695" s="550">
        <v>31</v>
      </c>
      <c r="R695" s="551" t="str">
        <f t="shared" si="122"/>
        <v>LONG BEACH</v>
      </c>
      <c r="S695" s="552"/>
      <c r="T695" s="552"/>
      <c r="U695" s="552"/>
      <c r="V695" s="552"/>
      <c r="W695" s="552"/>
      <c r="X695" s="552"/>
      <c r="Y695" s="552"/>
      <c r="Z695" s="552"/>
      <c r="AA695" s="553"/>
      <c r="AB695" s="553"/>
    </row>
    <row r="696" spans="1:28" ht="12.75">
      <c r="A696" s="547" t="s">
        <v>393</v>
      </c>
      <c r="B696" s="555" t="s">
        <v>153</v>
      </c>
      <c r="C696" s="548" t="s">
        <v>812</v>
      </c>
      <c r="D696" s="549">
        <v>2016</v>
      </c>
      <c r="E696" s="549" t="s">
        <v>775</v>
      </c>
      <c r="F696" s="550">
        <v>1773</v>
      </c>
      <c r="G696" s="550">
        <v>0</v>
      </c>
      <c r="H696" s="550">
        <v>0</v>
      </c>
      <c r="I696" s="550">
        <v>0</v>
      </c>
      <c r="J696" s="550">
        <v>1066</v>
      </c>
      <c r="K696" s="550">
        <v>0</v>
      </c>
      <c r="L696" s="550">
        <v>0</v>
      </c>
      <c r="M696" s="550">
        <v>0</v>
      </c>
      <c r="N696" s="550">
        <v>1170</v>
      </c>
      <c r="O696" s="550">
        <v>0</v>
      </c>
      <c r="P696" s="550">
        <v>3039</v>
      </c>
      <c r="Q696" s="550">
        <v>675</v>
      </c>
      <c r="R696" s="551" t="str">
        <f t="shared" si="122"/>
        <v>LONG BEACH</v>
      </c>
      <c r="S696" s="552"/>
      <c r="T696" s="552"/>
      <c r="U696" s="552"/>
      <c r="V696" s="552"/>
      <c r="W696" s="552"/>
      <c r="X696" s="552"/>
      <c r="Y696" s="552"/>
      <c r="Z696" s="552"/>
      <c r="AA696" s="553"/>
      <c r="AB696" s="553"/>
    </row>
    <row r="697" spans="1:28" ht="12.75">
      <c r="A697" s="547" t="s">
        <v>393</v>
      </c>
      <c r="B697" s="547" t="s">
        <v>153</v>
      </c>
      <c r="C697" s="548" t="s">
        <v>812</v>
      </c>
      <c r="D697" s="549">
        <v>2017</v>
      </c>
      <c r="E697" s="549" t="s">
        <v>775</v>
      </c>
      <c r="F697" s="550">
        <v>1773</v>
      </c>
      <c r="G697" s="550">
        <v>158</v>
      </c>
      <c r="H697" s="550">
        <v>158</v>
      </c>
      <c r="I697" s="550">
        <v>0</v>
      </c>
      <c r="J697" s="550">
        <v>1066</v>
      </c>
      <c r="K697" s="550">
        <v>4</v>
      </c>
      <c r="L697" s="550">
        <v>4</v>
      </c>
      <c r="M697" s="550">
        <v>0</v>
      </c>
      <c r="N697" s="550">
        <v>1170</v>
      </c>
      <c r="O697" s="550">
        <v>0</v>
      </c>
      <c r="P697" s="550">
        <v>3039</v>
      </c>
      <c r="Q697" s="550">
        <v>363</v>
      </c>
      <c r="R697" s="551" t="str">
        <f t="shared" si="122"/>
        <v>LONG BEACH</v>
      </c>
      <c r="S697" s="552"/>
      <c r="T697" s="552"/>
      <c r="U697" s="552"/>
      <c r="V697" s="552"/>
      <c r="W697" s="552"/>
      <c r="X697" s="552"/>
      <c r="Y697" s="552"/>
      <c r="Z697" s="552"/>
      <c r="AA697" s="553"/>
      <c r="AB697" s="553"/>
    </row>
    <row r="698" spans="1:28" ht="12.75">
      <c r="A698" s="547" t="s">
        <v>393</v>
      </c>
      <c r="B698" s="547" t="s">
        <v>153</v>
      </c>
      <c r="C698" s="548" t="s">
        <v>812</v>
      </c>
      <c r="D698" s="549">
        <v>2018</v>
      </c>
      <c r="E698" s="549" t="s">
        <v>775</v>
      </c>
      <c r="F698" s="550">
        <v>1773</v>
      </c>
      <c r="G698" s="550">
        <v>11</v>
      </c>
      <c r="H698" s="550">
        <v>11</v>
      </c>
      <c r="I698" s="550">
        <v>0</v>
      </c>
      <c r="J698" s="550">
        <v>1066</v>
      </c>
      <c r="K698" s="550">
        <v>36</v>
      </c>
      <c r="L698" s="550">
        <v>36</v>
      </c>
      <c r="M698" s="550">
        <v>0</v>
      </c>
      <c r="N698" s="550">
        <v>1170</v>
      </c>
      <c r="O698" s="550">
        <v>0</v>
      </c>
      <c r="P698" s="550">
        <v>3039</v>
      </c>
      <c r="Q698" s="550">
        <v>222</v>
      </c>
      <c r="R698" s="551" t="str">
        <f t="shared" si="122"/>
        <v>LONG BEACH</v>
      </c>
      <c r="S698" s="552"/>
      <c r="T698" s="552"/>
      <c r="U698" s="552"/>
      <c r="V698" s="552"/>
      <c r="W698" s="552"/>
      <c r="X698" s="552"/>
      <c r="Y698" s="552"/>
      <c r="Z698" s="552"/>
      <c r="AA698" s="553"/>
      <c r="AB698" s="553"/>
    </row>
    <row r="699" spans="1:28" ht="12.75">
      <c r="A699" s="547" t="s">
        <v>393</v>
      </c>
      <c r="B699" s="547" t="s">
        <v>153</v>
      </c>
      <c r="C699" s="548" t="s">
        <v>813</v>
      </c>
      <c r="D699" s="549">
        <v>2019</v>
      </c>
      <c r="E699" s="549" t="s">
        <v>775</v>
      </c>
      <c r="F699" s="550">
        <v>1773</v>
      </c>
      <c r="G699" s="550">
        <v>87</v>
      </c>
      <c r="H699" s="550">
        <v>87</v>
      </c>
      <c r="I699" s="550">
        <v>0</v>
      </c>
      <c r="J699" s="550">
        <v>1066</v>
      </c>
      <c r="K699" s="550">
        <v>108</v>
      </c>
      <c r="L699" s="550">
        <v>108</v>
      </c>
      <c r="M699" s="550">
        <v>0</v>
      </c>
      <c r="N699" s="550">
        <v>1170</v>
      </c>
      <c r="O699" s="550">
        <v>28</v>
      </c>
      <c r="P699" s="550">
        <v>3039</v>
      </c>
      <c r="Q699" s="550">
        <v>1038</v>
      </c>
      <c r="R699" s="551" t="str">
        <f t="shared" si="122"/>
        <v>LONG BEACH</v>
      </c>
      <c r="S699" s="552">
        <f>SUM(G694:G699) +SUM(K694:K699)</f>
        <v>563</v>
      </c>
      <c r="T699" s="552">
        <f>F699+J699</f>
        <v>2839</v>
      </c>
      <c r="U699" s="552">
        <f>SUM(O694:O699)</f>
        <v>28</v>
      </c>
      <c r="V699" s="552">
        <f>N699</f>
        <v>1170</v>
      </c>
      <c r="W699" s="554">
        <f>SUM(Q694:Q699)</f>
        <v>2589</v>
      </c>
      <c r="X699" s="552">
        <f>P699</f>
        <v>3039</v>
      </c>
      <c r="Y699" s="552">
        <f>S699+U699+SUM(Q694:Q699)</f>
        <v>3180</v>
      </c>
      <c r="Z699" s="552">
        <f>F699+J699+N699+P699</f>
        <v>7048</v>
      </c>
      <c r="AA699" s="553"/>
      <c r="AB699" s="553"/>
    </row>
    <row r="700" spans="1:28" ht="12.75">
      <c r="A700" s="547" t="s">
        <v>153</v>
      </c>
      <c r="B700" s="547" t="s">
        <v>153</v>
      </c>
      <c r="C700" s="548" t="s">
        <v>812</v>
      </c>
      <c r="D700" s="549">
        <v>2014</v>
      </c>
      <c r="E700" s="549" t="s">
        <v>775</v>
      </c>
      <c r="F700" s="550">
        <v>20427</v>
      </c>
      <c r="G700" s="550">
        <v>856</v>
      </c>
      <c r="H700" s="550">
        <v>856</v>
      </c>
      <c r="I700" s="550">
        <v>0</v>
      </c>
      <c r="J700" s="550">
        <v>12435</v>
      </c>
      <c r="K700" s="550">
        <v>867</v>
      </c>
      <c r="L700" s="550">
        <v>867</v>
      </c>
      <c r="M700" s="550">
        <v>0</v>
      </c>
      <c r="N700" s="550">
        <v>13728</v>
      </c>
      <c r="O700" s="550">
        <v>47</v>
      </c>
      <c r="P700" s="550">
        <v>35412</v>
      </c>
      <c r="Q700" s="550">
        <v>13047</v>
      </c>
      <c r="R700" s="551" t="str">
        <f t="shared" si="122"/>
        <v>LOS ANGELES</v>
      </c>
      <c r="S700" s="552"/>
      <c r="T700" s="552"/>
      <c r="U700" s="552"/>
      <c r="V700" s="552"/>
      <c r="W700" s="552"/>
      <c r="X700" s="552"/>
      <c r="Y700" s="552"/>
      <c r="Z700" s="552"/>
      <c r="AA700" s="553"/>
      <c r="AB700" s="553"/>
    </row>
    <row r="701" spans="1:28" ht="12.75">
      <c r="A701" s="547" t="s">
        <v>153</v>
      </c>
      <c r="B701" s="547" t="s">
        <v>153</v>
      </c>
      <c r="C701" s="548" t="s">
        <v>812</v>
      </c>
      <c r="D701" s="549">
        <v>2015</v>
      </c>
      <c r="E701" s="549" t="s">
        <v>775</v>
      </c>
      <c r="F701" s="550">
        <v>20427</v>
      </c>
      <c r="G701" s="550">
        <v>893</v>
      </c>
      <c r="H701" s="550">
        <v>893</v>
      </c>
      <c r="I701" s="550">
        <v>0</v>
      </c>
      <c r="J701" s="550">
        <v>12435</v>
      </c>
      <c r="K701" s="550">
        <v>536</v>
      </c>
      <c r="L701" s="550">
        <v>536</v>
      </c>
      <c r="M701" s="550">
        <v>0</v>
      </c>
      <c r="N701" s="550">
        <v>13728</v>
      </c>
      <c r="O701" s="550">
        <v>45</v>
      </c>
      <c r="P701" s="550">
        <v>35412</v>
      </c>
      <c r="Q701" s="550">
        <v>15833</v>
      </c>
      <c r="R701" s="551" t="str">
        <f t="shared" si="122"/>
        <v>LOS ANGELES</v>
      </c>
      <c r="S701" s="552"/>
      <c r="T701" s="552"/>
      <c r="U701" s="552"/>
      <c r="V701" s="552"/>
      <c r="W701" s="552"/>
      <c r="X701" s="552"/>
      <c r="Y701" s="552"/>
      <c r="Z701" s="552"/>
      <c r="AA701" s="553"/>
      <c r="AB701" s="553"/>
    </row>
    <row r="702" spans="1:28" ht="12.75">
      <c r="A702" s="547" t="s">
        <v>153</v>
      </c>
      <c r="B702" s="547" t="s">
        <v>153</v>
      </c>
      <c r="C702" s="548" t="s">
        <v>812</v>
      </c>
      <c r="D702" s="549">
        <v>2016</v>
      </c>
      <c r="E702" s="549" t="s">
        <v>775</v>
      </c>
      <c r="F702" s="550">
        <v>20427</v>
      </c>
      <c r="G702" s="550">
        <v>718</v>
      </c>
      <c r="H702" s="550">
        <v>718</v>
      </c>
      <c r="I702" s="550">
        <v>0</v>
      </c>
      <c r="J702" s="550">
        <v>12435</v>
      </c>
      <c r="K702" s="550">
        <v>604</v>
      </c>
      <c r="L702" s="550">
        <v>604</v>
      </c>
      <c r="M702" s="550">
        <v>0</v>
      </c>
      <c r="N702" s="550">
        <v>13728</v>
      </c>
      <c r="O702" s="550">
        <v>143</v>
      </c>
      <c r="P702" s="550">
        <v>35412</v>
      </c>
      <c r="Q702" s="550">
        <v>12231</v>
      </c>
      <c r="R702" s="551" t="str">
        <f t="shared" si="122"/>
        <v>LOS ANGELES</v>
      </c>
      <c r="S702" s="552"/>
      <c r="T702" s="552"/>
      <c r="U702" s="552"/>
      <c r="V702" s="552"/>
      <c r="W702" s="552"/>
      <c r="X702" s="552"/>
      <c r="Y702" s="552"/>
      <c r="Z702" s="552"/>
      <c r="AA702" s="553"/>
      <c r="AB702" s="553"/>
    </row>
    <row r="703" spans="1:28" ht="12.75">
      <c r="A703" s="547" t="s">
        <v>153</v>
      </c>
      <c r="B703" s="547" t="s">
        <v>153</v>
      </c>
      <c r="C703" s="548" t="s">
        <v>812</v>
      </c>
      <c r="D703" s="549">
        <v>2017</v>
      </c>
      <c r="E703" s="549" t="s">
        <v>775</v>
      </c>
      <c r="F703" s="550">
        <v>20427</v>
      </c>
      <c r="G703" s="550">
        <v>697</v>
      </c>
      <c r="H703" s="550">
        <v>697</v>
      </c>
      <c r="I703" s="550">
        <v>0</v>
      </c>
      <c r="J703" s="550">
        <v>12435</v>
      </c>
      <c r="K703" s="550">
        <v>255</v>
      </c>
      <c r="L703" s="550">
        <v>255</v>
      </c>
      <c r="M703" s="550">
        <v>0</v>
      </c>
      <c r="N703" s="550">
        <v>13728</v>
      </c>
      <c r="O703" s="550">
        <v>27</v>
      </c>
      <c r="P703" s="550">
        <v>35412</v>
      </c>
      <c r="Q703" s="550">
        <v>13040</v>
      </c>
      <c r="R703" s="551" t="str">
        <f t="shared" si="122"/>
        <v>LOS ANGELES</v>
      </c>
      <c r="S703" s="552"/>
      <c r="T703" s="552"/>
      <c r="U703" s="552"/>
      <c r="V703" s="552"/>
      <c r="W703" s="552"/>
      <c r="X703" s="552"/>
      <c r="Y703" s="552"/>
      <c r="Z703" s="552"/>
      <c r="AA703" s="553"/>
      <c r="AB703" s="553"/>
    </row>
    <row r="704" spans="1:28" ht="12.75">
      <c r="A704" s="547" t="s">
        <v>153</v>
      </c>
      <c r="B704" s="547" t="s">
        <v>153</v>
      </c>
      <c r="C704" s="548" t="s">
        <v>812</v>
      </c>
      <c r="D704" s="549">
        <v>2018</v>
      </c>
      <c r="E704" s="549" t="s">
        <v>775</v>
      </c>
      <c r="F704" s="550">
        <v>20427</v>
      </c>
      <c r="G704" s="550">
        <v>1101</v>
      </c>
      <c r="H704" s="550">
        <v>1101</v>
      </c>
      <c r="I704" s="550">
        <v>0</v>
      </c>
      <c r="J704" s="550">
        <v>12435</v>
      </c>
      <c r="K704" s="550">
        <v>326</v>
      </c>
      <c r="L704" s="550">
        <v>326</v>
      </c>
      <c r="M704" s="550">
        <v>0</v>
      </c>
      <c r="N704" s="550">
        <v>13728</v>
      </c>
      <c r="O704" s="550">
        <v>168</v>
      </c>
      <c r="P704" s="550">
        <v>35412</v>
      </c>
      <c r="Q704" s="550">
        <v>19236</v>
      </c>
      <c r="R704" s="551" t="str">
        <f t="shared" si="122"/>
        <v>LOS ANGELES</v>
      </c>
      <c r="S704" s="552"/>
      <c r="T704" s="552"/>
      <c r="U704" s="552"/>
      <c r="V704" s="552"/>
      <c r="W704" s="552"/>
      <c r="X704" s="552"/>
      <c r="Y704" s="552"/>
      <c r="Z704" s="552"/>
      <c r="AA704" s="553"/>
      <c r="AB704" s="553"/>
    </row>
    <row r="705" spans="1:28" ht="12.75">
      <c r="A705" s="547" t="s">
        <v>153</v>
      </c>
      <c r="B705" s="547" t="s">
        <v>153</v>
      </c>
      <c r="C705" s="548" t="s">
        <v>813</v>
      </c>
      <c r="D705" s="549">
        <v>2019</v>
      </c>
      <c r="E705" s="549" t="s">
        <v>775</v>
      </c>
      <c r="F705" s="550">
        <v>20427</v>
      </c>
      <c r="G705" s="550">
        <v>864</v>
      </c>
      <c r="H705" s="550">
        <v>864</v>
      </c>
      <c r="I705" s="550">
        <v>0</v>
      </c>
      <c r="J705" s="550">
        <v>12435</v>
      </c>
      <c r="K705" s="550">
        <v>391</v>
      </c>
      <c r="L705" s="550">
        <v>391</v>
      </c>
      <c r="M705" s="550">
        <v>0</v>
      </c>
      <c r="N705" s="550">
        <v>13728</v>
      </c>
      <c r="O705" s="550">
        <v>72</v>
      </c>
      <c r="P705" s="550">
        <v>35412</v>
      </c>
      <c r="Q705" s="550">
        <v>19002</v>
      </c>
      <c r="R705" s="551" t="str">
        <f t="shared" si="122"/>
        <v>LOS ANGELES</v>
      </c>
      <c r="S705" s="552">
        <f>SUM(G700:G705) +SUM(K700:K705)</f>
        <v>8108</v>
      </c>
      <c r="T705" s="552">
        <f>F705+J705</f>
        <v>32862</v>
      </c>
      <c r="U705" s="552">
        <f>SUM(O700:O705)</f>
        <v>502</v>
      </c>
      <c r="V705" s="552">
        <f>N705</f>
        <v>13728</v>
      </c>
      <c r="W705" s="554">
        <f>SUM(Q700:Q705)</f>
        <v>92389</v>
      </c>
      <c r="X705" s="552">
        <f>P705</f>
        <v>35412</v>
      </c>
      <c r="Y705" s="552">
        <f>S705+U705+SUM(Q700:Q705)</f>
        <v>100999</v>
      </c>
      <c r="Z705" s="552">
        <f>F705+J705+N705+P705</f>
        <v>82002</v>
      </c>
      <c r="AA705" s="553"/>
      <c r="AB705" s="553"/>
    </row>
    <row r="706" spans="1:28" ht="12.75">
      <c r="A706" s="547" t="s">
        <v>394</v>
      </c>
      <c r="B706" s="547" t="s">
        <v>153</v>
      </c>
      <c r="C706" s="548" t="s">
        <v>812</v>
      </c>
      <c r="D706" s="549">
        <v>2014</v>
      </c>
      <c r="E706" s="549" t="s">
        <v>775</v>
      </c>
      <c r="F706" s="550">
        <v>7359</v>
      </c>
      <c r="G706" s="550">
        <v>159</v>
      </c>
      <c r="H706" s="550">
        <v>159</v>
      </c>
      <c r="I706" s="550">
        <v>0</v>
      </c>
      <c r="J706" s="550">
        <v>4251</v>
      </c>
      <c r="K706" s="550">
        <v>0</v>
      </c>
      <c r="L706" s="550">
        <v>0</v>
      </c>
      <c r="M706" s="550">
        <v>0</v>
      </c>
      <c r="N706" s="550">
        <v>4898</v>
      </c>
      <c r="O706" s="550">
        <v>0</v>
      </c>
      <c r="P706" s="550">
        <v>10749</v>
      </c>
      <c r="Q706" s="550">
        <v>513</v>
      </c>
      <c r="R706" s="551" t="str">
        <f t="shared" si="122"/>
        <v>LOS ANGELES COUNTY</v>
      </c>
      <c r="S706" s="552"/>
      <c r="T706" s="552"/>
      <c r="U706" s="552"/>
      <c r="V706" s="552"/>
      <c r="W706" s="552"/>
      <c r="X706" s="552"/>
      <c r="Y706" s="552"/>
      <c r="Z706" s="552"/>
      <c r="AA706" s="553"/>
      <c r="AB706" s="553"/>
    </row>
    <row r="707" spans="1:28" ht="12.75">
      <c r="A707" s="547" t="s">
        <v>394</v>
      </c>
      <c r="B707" s="547" t="s">
        <v>153</v>
      </c>
      <c r="C707" s="548" t="s">
        <v>812</v>
      </c>
      <c r="D707" s="549">
        <v>2015</v>
      </c>
      <c r="E707" s="549" t="s">
        <v>775</v>
      </c>
      <c r="F707" s="550">
        <v>7359</v>
      </c>
      <c r="G707" s="550">
        <v>32</v>
      </c>
      <c r="H707" s="550">
        <v>32</v>
      </c>
      <c r="I707" s="550">
        <v>0</v>
      </c>
      <c r="J707" s="550">
        <v>4251</v>
      </c>
      <c r="K707" s="550">
        <v>0</v>
      </c>
      <c r="L707" s="550">
        <v>0</v>
      </c>
      <c r="M707" s="550">
        <v>0</v>
      </c>
      <c r="N707" s="550">
        <v>4898</v>
      </c>
      <c r="O707" s="550">
        <v>0</v>
      </c>
      <c r="P707" s="550">
        <v>10749</v>
      </c>
      <c r="Q707" s="550">
        <v>1790</v>
      </c>
      <c r="R707" s="551" t="str">
        <f t="shared" si="122"/>
        <v>LOS ANGELES COUNTY</v>
      </c>
      <c r="S707" s="552"/>
      <c r="T707" s="552"/>
      <c r="U707" s="552"/>
      <c r="V707" s="552"/>
      <c r="W707" s="552"/>
      <c r="X707" s="552"/>
      <c r="Y707" s="552"/>
      <c r="Z707" s="552"/>
      <c r="AA707" s="553"/>
      <c r="AB707" s="553"/>
    </row>
    <row r="708" spans="1:28" ht="12.75">
      <c r="A708" s="547" t="s">
        <v>394</v>
      </c>
      <c r="B708" s="547" t="s">
        <v>153</v>
      </c>
      <c r="C708" s="548" t="s">
        <v>812</v>
      </c>
      <c r="D708" s="549">
        <v>2016</v>
      </c>
      <c r="E708" s="549" t="s">
        <v>775</v>
      </c>
      <c r="F708" s="550">
        <v>7359</v>
      </c>
      <c r="G708" s="550">
        <v>35</v>
      </c>
      <c r="H708" s="550">
        <v>35</v>
      </c>
      <c r="I708" s="550">
        <v>0</v>
      </c>
      <c r="J708" s="550">
        <v>4251</v>
      </c>
      <c r="K708" s="550">
        <v>0</v>
      </c>
      <c r="L708" s="550">
        <v>0</v>
      </c>
      <c r="M708" s="550">
        <v>0</v>
      </c>
      <c r="N708" s="550">
        <v>4898</v>
      </c>
      <c r="O708" s="550">
        <v>0</v>
      </c>
      <c r="P708" s="550">
        <v>10749</v>
      </c>
      <c r="Q708" s="550">
        <v>620</v>
      </c>
      <c r="R708" s="551" t="str">
        <f t="shared" si="122"/>
        <v>LOS ANGELES COUNTY</v>
      </c>
      <c r="S708" s="552"/>
      <c r="T708" s="552"/>
      <c r="U708" s="552"/>
      <c r="V708" s="552"/>
      <c r="W708" s="552"/>
      <c r="X708" s="552"/>
      <c r="Y708" s="552"/>
      <c r="Z708" s="552"/>
      <c r="AA708" s="553"/>
      <c r="AB708" s="553"/>
    </row>
    <row r="709" spans="1:28" ht="12.75">
      <c r="A709" s="547" t="s">
        <v>394</v>
      </c>
      <c r="B709" s="547" t="s">
        <v>153</v>
      </c>
      <c r="C709" s="548" t="s">
        <v>812</v>
      </c>
      <c r="D709" s="549">
        <v>2017</v>
      </c>
      <c r="E709" s="549" t="s">
        <v>775</v>
      </c>
      <c r="F709" s="550">
        <v>7359</v>
      </c>
      <c r="G709" s="550">
        <v>354</v>
      </c>
      <c r="H709" s="550">
        <v>354</v>
      </c>
      <c r="I709" s="550">
        <v>0</v>
      </c>
      <c r="J709" s="550">
        <v>4251</v>
      </c>
      <c r="K709" s="550">
        <v>108</v>
      </c>
      <c r="L709" s="550">
        <v>108</v>
      </c>
      <c r="M709" s="550">
        <v>0</v>
      </c>
      <c r="N709" s="550">
        <v>4898</v>
      </c>
      <c r="O709" s="550">
        <v>0</v>
      </c>
      <c r="P709" s="550">
        <v>10749</v>
      </c>
      <c r="Q709" s="550">
        <v>622</v>
      </c>
      <c r="R709" s="551" t="str">
        <f t="shared" si="122"/>
        <v>LOS ANGELES COUNTY</v>
      </c>
      <c r="S709" s="552"/>
      <c r="T709" s="552"/>
      <c r="U709" s="552"/>
      <c r="V709" s="552"/>
      <c r="W709" s="552"/>
      <c r="X709" s="552"/>
      <c r="Y709" s="552"/>
      <c r="Z709" s="552"/>
      <c r="AA709" s="553"/>
      <c r="AB709" s="553"/>
    </row>
    <row r="710" spans="1:28" ht="12.75">
      <c r="A710" s="547" t="s">
        <v>394</v>
      </c>
      <c r="B710" s="547" t="s">
        <v>153</v>
      </c>
      <c r="C710" s="548" t="s">
        <v>812</v>
      </c>
      <c r="D710" s="549">
        <v>2018</v>
      </c>
      <c r="E710" s="549" t="s">
        <v>775</v>
      </c>
      <c r="F710" s="550">
        <v>7359</v>
      </c>
      <c r="G710" s="550">
        <v>38</v>
      </c>
      <c r="H710" s="550">
        <v>38</v>
      </c>
      <c r="I710" s="550">
        <v>0</v>
      </c>
      <c r="J710" s="550">
        <v>4251</v>
      </c>
      <c r="K710" s="550">
        <v>14</v>
      </c>
      <c r="L710" s="550">
        <v>14</v>
      </c>
      <c r="M710" s="550">
        <v>0</v>
      </c>
      <c r="N710" s="550">
        <v>4898</v>
      </c>
      <c r="O710" s="550">
        <v>19</v>
      </c>
      <c r="P710" s="550">
        <v>10749</v>
      </c>
      <c r="Q710" s="550">
        <v>562</v>
      </c>
      <c r="R710" s="551" t="str">
        <f t="shared" si="122"/>
        <v>LOS ANGELES COUNTY</v>
      </c>
      <c r="S710" s="552"/>
      <c r="T710" s="552"/>
      <c r="U710" s="552"/>
      <c r="V710" s="552"/>
      <c r="W710" s="552"/>
      <c r="X710" s="552"/>
      <c r="Y710" s="552"/>
      <c r="Z710" s="552"/>
      <c r="AA710" s="553"/>
      <c r="AB710" s="553"/>
    </row>
    <row r="711" spans="1:28" ht="12.75">
      <c r="A711" s="547" t="s">
        <v>394</v>
      </c>
      <c r="B711" s="547" t="s">
        <v>153</v>
      </c>
      <c r="C711" s="548" t="s">
        <v>813</v>
      </c>
      <c r="D711" s="549">
        <v>2019</v>
      </c>
      <c r="E711" s="549" t="s">
        <v>775</v>
      </c>
      <c r="F711" s="550">
        <v>7359</v>
      </c>
      <c r="G711" s="550">
        <v>54</v>
      </c>
      <c r="H711" s="550">
        <v>54</v>
      </c>
      <c r="I711" s="550">
        <v>0</v>
      </c>
      <c r="J711" s="550">
        <v>4251</v>
      </c>
      <c r="K711" s="550">
        <v>107</v>
      </c>
      <c r="L711" s="550">
        <v>107</v>
      </c>
      <c r="M711" s="550">
        <v>0</v>
      </c>
      <c r="N711" s="550">
        <v>4898</v>
      </c>
      <c r="O711" s="550">
        <v>0</v>
      </c>
      <c r="P711" s="550">
        <v>10749</v>
      </c>
      <c r="Q711" s="550">
        <v>1130</v>
      </c>
      <c r="R711" s="551" t="str">
        <f t="shared" si="122"/>
        <v>LOS ANGELES COUNTY</v>
      </c>
      <c r="S711" s="552">
        <f>SUM(G706:G711) +SUM(K706:K711)</f>
        <v>901</v>
      </c>
      <c r="T711" s="552">
        <f>F711+J711</f>
        <v>11610</v>
      </c>
      <c r="U711" s="552">
        <f>SUM(O706:O711)</f>
        <v>19</v>
      </c>
      <c r="V711" s="552">
        <f>N711</f>
        <v>4898</v>
      </c>
      <c r="W711" s="554">
        <f>SUM(Q706:Q711)</f>
        <v>5237</v>
      </c>
      <c r="X711" s="552">
        <f>P711</f>
        <v>10749</v>
      </c>
      <c r="Y711" s="552">
        <f>S711+U711+SUM(Q706:Q711)</f>
        <v>6157</v>
      </c>
      <c r="Z711" s="552">
        <f>F711+J711+N711+P711</f>
        <v>27257</v>
      </c>
      <c r="AA711" s="553"/>
      <c r="AB711" s="553"/>
    </row>
    <row r="712" spans="1:28" ht="12.75">
      <c r="A712" s="547" t="s">
        <v>395</v>
      </c>
      <c r="B712" s="547" t="s">
        <v>153</v>
      </c>
      <c r="C712" s="548" t="s">
        <v>812</v>
      </c>
      <c r="D712" s="549">
        <v>2018</v>
      </c>
      <c r="E712" s="549" t="s">
        <v>775</v>
      </c>
      <c r="F712" s="550">
        <v>123</v>
      </c>
      <c r="G712" s="564"/>
      <c r="H712" s="564"/>
      <c r="I712" s="564"/>
      <c r="J712" s="550">
        <v>72</v>
      </c>
      <c r="K712" s="564"/>
      <c r="L712" s="564"/>
      <c r="M712" s="564"/>
      <c r="N712" s="550">
        <v>81</v>
      </c>
      <c r="O712" s="564"/>
      <c r="P712" s="550">
        <v>218</v>
      </c>
      <c r="Q712" s="564"/>
      <c r="R712" s="551" t="str">
        <f t="shared" si="122"/>
        <v>LYNWOOD</v>
      </c>
      <c r="S712" s="552"/>
      <c r="T712" s="552"/>
      <c r="U712" s="552"/>
      <c r="V712" s="552"/>
      <c r="W712" s="552"/>
      <c r="X712" s="552"/>
      <c r="Y712" s="552"/>
      <c r="Z712" s="552"/>
      <c r="AA712" s="553"/>
      <c r="AB712" s="553"/>
    </row>
    <row r="713" spans="1:28" ht="12.75">
      <c r="A713" s="547" t="s">
        <v>395</v>
      </c>
      <c r="B713" s="547" t="s">
        <v>153</v>
      </c>
      <c r="C713" s="548" t="s">
        <v>813</v>
      </c>
      <c r="D713" s="549">
        <v>2019</v>
      </c>
      <c r="E713" s="549" t="s">
        <v>775</v>
      </c>
      <c r="F713" s="550">
        <v>123</v>
      </c>
      <c r="G713" s="550">
        <v>0</v>
      </c>
      <c r="H713" s="550">
        <v>0</v>
      </c>
      <c r="I713" s="550">
        <v>0</v>
      </c>
      <c r="J713" s="550">
        <v>72</v>
      </c>
      <c r="K713" s="550">
        <v>0</v>
      </c>
      <c r="L713" s="550">
        <v>0</v>
      </c>
      <c r="M713" s="550">
        <v>0</v>
      </c>
      <c r="N713" s="550">
        <v>81</v>
      </c>
      <c r="O713" s="550">
        <v>0</v>
      </c>
      <c r="P713" s="550">
        <v>218</v>
      </c>
      <c r="Q713" s="550">
        <v>10</v>
      </c>
      <c r="R713" s="551" t="str">
        <f t="shared" si="122"/>
        <v>LYNWOOD</v>
      </c>
      <c r="S713" s="255">
        <f>SUM(G712:G713) +SUM(K712:K713)</f>
        <v>0</v>
      </c>
      <c r="T713" s="255">
        <f>F713+J713</f>
        <v>195</v>
      </c>
      <c r="U713" s="255">
        <f>SUM(O712:O713)</f>
        <v>0</v>
      </c>
      <c r="V713" s="255">
        <f>N713</f>
        <v>81</v>
      </c>
      <c r="W713" s="83">
        <f>SUM(Q712:Q713)</f>
        <v>10</v>
      </c>
      <c r="X713" s="255">
        <f>P713</f>
        <v>218</v>
      </c>
      <c r="Y713" s="255">
        <f>S713+U713+SUM(Q712:Q713)</f>
        <v>10</v>
      </c>
      <c r="Z713" s="255">
        <f>F713+J713+N713+P713</f>
        <v>494</v>
      </c>
      <c r="AA713" s="553"/>
      <c r="AB713" s="553"/>
    </row>
    <row r="714" spans="1:28" ht="12.75">
      <c r="A714" s="547" t="s">
        <v>396</v>
      </c>
      <c r="B714" s="547" t="s">
        <v>153</v>
      </c>
      <c r="C714" s="548" t="s">
        <v>812</v>
      </c>
      <c r="D714" s="549">
        <v>2014</v>
      </c>
      <c r="E714" s="549" t="s">
        <v>775</v>
      </c>
      <c r="F714" s="550">
        <v>1</v>
      </c>
      <c r="G714" s="550">
        <v>0</v>
      </c>
      <c r="H714" s="550">
        <v>0</v>
      </c>
      <c r="I714" s="550">
        <v>0</v>
      </c>
      <c r="J714" s="550">
        <v>1</v>
      </c>
      <c r="K714" s="550">
        <v>0</v>
      </c>
      <c r="L714" s="550">
        <v>0</v>
      </c>
      <c r="M714" s="550">
        <v>0</v>
      </c>
      <c r="N714" s="550">
        <v>0</v>
      </c>
      <c r="O714" s="550">
        <v>0</v>
      </c>
      <c r="P714" s="550">
        <v>0</v>
      </c>
      <c r="Q714" s="550">
        <v>13</v>
      </c>
      <c r="R714" s="551" t="str">
        <f t="shared" si="122"/>
        <v>MALIBU</v>
      </c>
      <c r="S714" s="552"/>
      <c r="T714" s="552"/>
      <c r="U714" s="552"/>
      <c r="V714" s="552"/>
      <c r="W714" s="552"/>
      <c r="X714" s="552"/>
      <c r="Y714" s="552"/>
      <c r="Z714" s="552"/>
      <c r="AA714" s="553"/>
      <c r="AB714" s="553"/>
    </row>
    <row r="715" spans="1:28" ht="12.75">
      <c r="A715" s="547" t="s">
        <v>396</v>
      </c>
      <c r="B715" s="547" t="s">
        <v>153</v>
      </c>
      <c r="C715" s="548" t="s">
        <v>812</v>
      </c>
      <c r="D715" s="549">
        <v>2015</v>
      </c>
      <c r="E715" s="549" t="s">
        <v>775</v>
      </c>
      <c r="F715" s="550">
        <v>1</v>
      </c>
      <c r="G715" s="550">
        <v>0</v>
      </c>
      <c r="H715" s="550">
        <v>0</v>
      </c>
      <c r="I715" s="550">
        <v>0</v>
      </c>
      <c r="J715" s="550">
        <v>1</v>
      </c>
      <c r="K715" s="550">
        <v>0</v>
      </c>
      <c r="L715" s="550">
        <v>0</v>
      </c>
      <c r="M715" s="550">
        <v>0</v>
      </c>
      <c r="N715" s="550">
        <v>0</v>
      </c>
      <c r="O715" s="550">
        <v>0</v>
      </c>
      <c r="P715" s="550">
        <v>0</v>
      </c>
      <c r="Q715" s="550">
        <v>16</v>
      </c>
      <c r="R715" s="551" t="str">
        <f t="shared" si="122"/>
        <v>MALIBU</v>
      </c>
      <c r="S715" s="552"/>
      <c r="T715" s="552"/>
      <c r="U715" s="552"/>
      <c r="V715" s="552"/>
      <c r="W715" s="552"/>
      <c r="X715" s="552"/>
      <c r="Y715" s="552"/>
      <c r="Z715" s="552"/>
      <c r="AA715" s="553"/>
      <c r="AB715" s="553"/>
    </row>
    <row r="716" spans="1:28" ht="12.75">
      <c r="A716" s="547" t="s">
        <v>396</v>
      </c>
      <c r="B716" s="547" t="s">
        <v>153</v>
      </c>
      <c r="C716" s="548" t="s">
        <v>812</v>
      </c>
      <c r="D716" s="549">
        <v>2016</v>
      </c>
      <c r="E716" s="549" t="s">
        <v>775</v>
      </c>
      <c r="F716" s="550">
        <v>1</v>
      </c>
      <c r="G716" s="550">
        <v>0</v>
      </c>
      <c r="H716" s="550">
        <v>0</v>
      </c>
      <c r="I716" s="550">
        <v>0</v>
      </c>
      <c r="J716" s="550">
        <v>1</v>
      </c>
      <c r="K716" s="550">
        <v>0</v>
      </c>
      <c r="L716" s="550">
        <v>0</v>
      </c>
      <c r="M716" s="550">
        <v>0</v>
      </c>
      <c r="N716" s="550">
        <v>0</v>
      </c>
      <c r="O716" s="550">
        <v>0</v>
      </c>
      <c r="P716" s="550">
        <v>0</v>
      </c>
      <c r="Q716" s="550">
        <v>3</v>
      </c>
      <c r="R716" s="551" t="str">
        <f t="shared" si="122"/>
        <v>MALIBU</v>
      </c>
      <c r="S716" s="552"/>
      <c r="T716" s="552"/>
      <c r="U716" s="552"/>
      <c r="V716" s="552"/>
      <c r="W716" s="552"/>
      <c r="X716" s="552"/>
      <c r="Y716" s="552"/>
      <c r="Z716" s="552"/>
      <c r="AA716" s="553"/>
      <c r="AB716" s="553"/>
    </row>
    <row r="717" spans="1:28" ht="12.75">
      <c r="A717" s="547" t="s">
        <v>396</v>
      </c>
      <c r="B717" s="547" t="s">
        <v>153</v>
      </c>
      <c r="C717" s="548" t="s">
        <v>812</v>
      </c>
      <c r="D717" s="549">
        <v>2017</v>
      </c>
      <c r="E717" s="549" t="s">
        <v>775</v>
      </c>
      <c r="F717" s="550">
        <v>1</v>
      </c>
      <c r="G717" s="550">
        <v>0</v>
      </c>
      <c r="H717" s="550">
        <v>0</v>
      </c>
      <c r="I717" s="550">
        <v>0</v>
      </c>
      <c r="J717" s="550">
        <v>1</v>
      </c>
      <c r="K717" s="550">
        <v>0</v>
      </c>
      <c r="L717" s="550">
        <v>0</v>
      </c>
      <c r="M717" s="550">
        <v>0</v>
      </c>
      <c r="N717" s="550">
        <v>0</v>
      </c>
      <c r="O717" s="550">
        <v>0</v>
      </c>
      <c r="P717" s="550">
        <v>0</v>
      </c>
      <c r="Q717" s="550">
        <v>17</v>
      </c>
      <c r="R717" s="551" t="str">
        <f t="shared" si="122"/>
        <v>MALIBU</v>
      </c>
      <c r="S717" s="552"/>
      <c r="T717" s="552"/>
      <c r="U717" s="552"/>
      <c r="V717" s="552"/>
      <c r="W717" s="552"/>
      <c r="X717" s="552"/>
      <c r="Y717" s="552"/>
      <c r="Z717" s="552"/>
      <c r="AA717" s="553"/>
      <c r="AB717" s="553"/>
    </row>
    <row r="718" spans="1:28" ht="12.75">
      <c r="A718" s="547" t="s">
        <v>396</v>
      </c>
      <c r="B718" s="547" t="s">
        <v>153</v>
      </c>
      <c r="C718" s="548" t="s">
        <v>812</v>
      </c>
      <c r="D718" s="549">
        <v>2018</v>
      </c>
      <c r="E718" s="549" t="s">
        <v>775</v>
      </c>
      <c r="F718" s="550">
        <v>1</v>
      </c>
      <c r="G718" s="550">
        <v>0</v>
      </c>
      <c r="H718" s="550">
        <v>0</v>
      </c>
      <c r="I718" s="550">
        <v>0</v>
      </c>
      <c r="J718" s="550">
        <v>1</v>
      </c>
      <c r="K718" s="550">
        <v>0</v>
      </c>
      <c r="L718" s="550">
        <v>0</v>
      </c>
      <c r="M718" s="550">
        <v>0</v>
      </c>
      <c r="N718" s="550">
        <v>0</v>
      </c>
      <c r="O718" s="550">
        <v>0</v>
      </c>
      <c r="P718" s="550">
        <v>0</v>
      </c>
      <c r="Q718" s="550">
        <v>17</v>
      </c>
      <c r="R718" s="551" t="str">
        <f t="shared" si="122"/>
        <v>MALIBU</v>
      </c>
      <c r="S718" s="552"/>
      <c r="T718" s="552"/>
      <c r="U718" s="552"/>
      <c r="V718" s="552"/>
      <c r="W718" s="552"/>
      <c r="X718" s="552"/>
      <c r="Y718" s="552"/>
      <c r="Z718" s="552"/>
      <c r="AA718" s="553"/>
      <c r="AB718" s="553"/>
    </row>
    <row r="719" spans="1:28" ht="12.75">
      <c r="A719" s="547" t="s">
        <v>396</v>
      </c>
      <c r="B719" s="547" t="s">
        <v>153</v>
      </c>
      <c r="C719" s="548" t="s">
        <v>813</v>
      </c>
      <c r="D719" s="549">
        <v>2019</v>
      </c>
      <c r="E719" s="549" t="s">
        <v>775</v>
      </c>
      <c r="F719" s="550">
        <v>1</v>
      </c>
      <c r="G719" s="550">
        <v>0</v>
      </c>
      <c r="H719" s="550">
        <v>0</v>
      </c>
      <c r="I719" s="550">
        <v>0</v>
      </c>
      <c r="J719" s="550">
        <v>1</v>
      </c>
      <c r="K719" s="550">
        <v>0</v>
      </c>
      <c r="L719" s="550">
        <v>0</v>
      </c>
      <c r="M719" s="550">
        <v>0</v>
      </c>
      <c r="N719" s="550">
        <v>0</v>
      </c>
      <c r="O719" s="550">
        <v>0</v>
      </c>
      <c r="P719" s="550">
        <v>0</v>
      </c>
      <c r="Q719" s="550">
        <v>18</v>
      </c>
      <c r="R719" s="551" t="str">
        <f t="shared" si="122"/>
        <v>MALIBU</v>
      </c>
      <c r="S719" s="552">
        <f>SUM(G714:G719) +SUM(K714:K719)</f>
        <v>0</v>
      </c>
      <c r="T719" s="552">
        <f>F719+J719</f>
        <v>2</v>
      </c>
      <c r="U719" s="552">
        <f>SUM(O714:O719)</f>
        <v>0</v>
      </c>
      <c r="V719" s="552">
        <f>N719</f>
        <v>0</v>
      </c>
      <c r="W719" s="554">
        <f>SUM(Q714:Q719)</f>
        <v>84</v>
      </c>
      <c r="X719" s="552">
        <f>P719</f>
        <v>0</v>
      </c>
      <c r="Y719" s="552">
        <f>S719+U719+SUM(Q714:Q719)</f>
        <v>84</v>
      </c>
      <c r="Z719" s="552">
        <f>F719+J719+N719+P719</f>
        <v>2</v>
      </c>
      <c r="AA719" s="553"/>
      <c r="AB719" s="553"/>
    </row>
    <row r="720" spans="1:28" ht="12.75">
      <c r="A720" s="547" t="s">
        <v>397</v>
      </c>
      <c r="B720" s="547" t="s">
        <v>153</v>
      </c>
      <c r="C720" s="548" t="s">
        <v>812</v>
      </c>
      <c r="D720" s="549">
        <v>2014</v>
      </c>
      <c r="E720" s="549" t="s">
        <v>775</v>
      </c>
      <c r="F720" s="550">
        <v>10</v>
      </c>
      <c r="G720" s="550">
        <v>0</v>
      </c>
      <c r="H720" s="550">
        <v>0</v>
      </c>
      <c r="I720" s="550">
        <v>0</v>
      </c>
      <c r="J720" s="550">
        <v>6</v>
      </c>
      <c r="K720" s="550">
        <v>0</v>
      </c>
      <c r="L720" s="550">
        <v>0</v>
      </c>
      <c r="M720" s="550">
        <v>0</v>
      </c>
      <c r="N720" s="550">
        <v>7</v>
      </c>
      <c r="O720" s="550">
        <v>0</v>
      </c>
      <c r="P720" s="550">
        <v>15</v>
      </c>
      <c r="Q720" s="550">
        <v>73</v>
      </c>
      <c r="R720" s="551" t="str">
        <f t="shared" si="122"/>
        <v>MANHATTAN BEACH</v>
      </c>
      <c r="S720" s="552"/>
      <c r="T720" s="552"/>
      <c r="U720" s="552"/>
      <c r="V720" s="552"/>
      <c r="W720" s="552"/>
      <c r="X720" s="552"/>
      <c r="Y720" s="552"/>
      <c r="Z720" s="552"/>
      <c r="AA720" s="553"/>
      <c r="AB720" s="553"/>
    </row>
    <row r="721" spans="1:28" ht="12.75">
      <c r="A721" s="547" t="s">
        <v>397</v>
      </c>
      <c r="B721" s="547" t="s">
        <v>153</v>
      </c>
      <c r="C721" s="548" t="s">
        <v>812</v>
      </c>
      <c r="D721" s="549">
        <v>2015</v>
      </c>
      <c r="E721" s="549" t="s">
        <v>775</v>
      </c>
      <c r="F721" s="550">
        <v>10</v>
      </c>
      <c r="G721" s="550">
        <v>0</v>
      </c>
      <c r="H721" s="550">
        <v>0</v>
      </c>
      <c r="I721" s="550">
        <v>0</v>
      </c>
      <c r="J721" s="550">
        <v>6</v>
      </c>
      <c r="K721" s="550">
        <v>0</v>
      </c>
      <c r="L721" s="550">
        <v>0</v>
      </c>
      <c r="M721" s="550">
        <v>0</v>
      </c>
      <c r="N721" s="550">
        <v>7</v>
      </c>
      <c r="O721" s="550">
        <v>0</v>
      </c>
      <c r="P721" s="550">
        <v>15</v>
      </c>
      <c r="Q721" s="550">
        <v>86</v>
      </c>
      <c r="R721" s="551" t="str">
        <f t="shared" si="122"/>
        <v>MANHATTAN BEACH</v>
      </c>
      <c r="S721" s="552"/>
      <c r="T721" s="552"/>
      <c r="U721" s="552"/>
      <c r="V721" s="552"/>
      <c r="W721" s="552"/>
      <c r="X721" s="552"/>
      <c r="Y721" s="552"/>
      <c r="Z721" s="552"/>
      <c r="AA721" s="553"/>
      <c r="AB721" s="553"/>
    </row>
    <row r="722" spans="1:28" ht="12.75">
      <c r="A722" s="547" t="s">
        <v>397</v>
      </c>
      <c r="B722" s="547" t="s">
        <v>153</v>
      </c>
      <c r="C722" s="548" t="s">
        <v>812</v>
      </c>
      <c r="D722" s="549">
        <v>2016</v>
      </c>
      <c r="E722" s="549" t="s">
        <v>775</v>
      </c>
      <c r="F722" s="550">
        <v>10</v>
      </c>
      <c r="G722" s="550">
        <v>0</v>
      </c>
      <c r="H722" s="550">
        <v>0</v>
      </c>
      <c r="I722" s="550">
        <v>0</v>
      </c>
      <c r="J722" s="550">
        <v>6</v>
      </c>
      <c r="K722" s="550">
        <v>0</v>
      </c>
      <c r="L722" s="550">
        <v>0</v>
      </c>
      <c r="M722" s="550">
        <v>0</v>
      </c>
      <c r="N722" s="550">
        <v>7</v>
      </c>
      <c r="O722" s="550">
        <v>0</v>
      </c>
      <c r="P722" s="550">
        <v>15</v>
      </c>
      <c r="Q722" s="550">
        <v>40</v>
      </c>
      <c r="R722" s="551" t="str">
        <f t="shared" si="122"/>
        <v>MANHATTAN BEACH</v>
      </c>
      <c r="S722" s="552"/>
      <c r="T722" s="552"/>
      <c r="U722" s="552"/>
      <c r="V722" s="552"/>
      <c r="W722" s="552"/>
      <c r="X722" s="552"/>
      <c r="Y722" s="552"/>
      <c r="Z722" s="552"/>
      <c r="AA722" s="553"/>
      <c r="AB722" s="553"/>
    </row>
    <row r="723" spans="1:28" ht="12.75">
      <c r="A723" s="547" t="s">
        <v>397</v>
      </c>
      <c r="B723" s="547" t="s">
        <v>153</v>
      </c>
      <c r="C723" s="548" t="s">
        <v>812</v>
      </c>
      <c r="D723" s="549">
        <v>2017</v>
      </c>
      <c r="E723" s="549" t="s">
        <v>775</v>
      </c>
      <c r="F723" s="550">
        <v>10</v>
      </c>
      <c r="G723" s="550">
        <v>0</v>
      </c>
      <c r="H723" s="550">
        <v>0</v>
      </c>
      <c r="I723" s="550">
        <v>0</v>
      </c>
      <c r="J723" s="550">
        <v>6</v>
      </c>
      <c r="K723" s="550">
        <v>0</v>
      </c>
      <c r="L723" s="550">
        <v>0</v>
      </c>
      <c r="M723" s="550">
        <v>0</v>
      </c>
      <c r="N723" s="550">
        <v>7</v>
      </c>
      <c r="O723" s="550">
        <v>0</v>
      </c>
      <c r="P723" s="550">
        <v>15</v>
      </c>
      <c r="Q723" s="550">
        <v>81</v>
      </c>
      <c r="R723" s="551" t="str">
        <f t="shared" si="122"/>
        <v>MANHATTAN BEACH</v>
      </c>
      <c r="S723" s="552"/>
      <c r="T723" s="552"/>
      <c r="U723" s="552"/>
      <c r="V723" s="552"/>
      <c r="W723" s="552"/>
      <c r="X723" s="552"/>
      <c r="Y723" s="552"/>
      <c r="Z723" s="552"/>
      <c r="AA723" s="553"/>
      <c r="AB723" s="553"/>
    </row>
    <row r="724" spans="1:28" ht="12.75">
      <c r="A724" s="547" t="s">
        <v>397</v>
      </c>
      <c r="B724" s="547" t="s">
        <v>153</v>
      </c>
      <c r="C724" s="548" t="s">
        <v>812</v>
      </c>
      <c r="D724" s="549">
        <v>2018</v>
      </c>
      <c r="E724" s="549" t="s">
        <v>775</v>
      </c>
      <c r="F724" s="550">
        <v>10</v>
      </c>
      <c r="G724" s="550">
        <v>0</v>
      </c>
      <c r="H724" s="550">
        <v>0</v>
      </c>
      <c r="I724" s="550">
        <v>0</v>
      </c>
      <c r="J724" s="550">
        <v>6</v>
      </c>
      <c r="K724" s="550">
        <v>0</v>
      </c>
      <c r="L724" s="550">
        <v>0</v>
      </c>
      <c r="M724" s="550">
        <v>0</v>
      </c>
      <c r="N724" s="550">
        <v>7</v>
      </c>
      <c r="O724" s="550">
        <v>0</v>
      </c>
      <c r="P724" s="550">
        <v>15</v>
      </c>
      <c r="Q724" s="550">
        <v>43</v>
      </c>
      <c r="R724" s="551" t="str">
        <f t="shared" si="122"/>
        <v>MANHATTAN BEACH</v>
      </c>
      <c r="S724" s="552"/>
      <c r="T724" s="552"/>
      <c r="U724" s="552"/>
      <c r="V724" s="552"/>
      <c r="W724" s="552"/>
      <c r="X724" s="552"/>
      <c r="Y724" s="552"/>
      <c r="Z724" s="552"/>
      <c r="AA724" s="553"/>
      <c r="AB724" s="553"/>
    </row>
    <row r="725" spans="1:28" ht="12.75">
      <c r="A725" s="547" t="s">
        <v>397</v>
      </c>
      <c r="B725" s="547" t="s">
        <v>153</v>
      </c>
      <c r="C725" s="548" t="s">
        <v>813</v>
      </c>
      <c r="D725" s="549">
        <v>2019</v>
      </c>
      <c r="E725" s="549" t="s">
        <v>775</v>
      </c>
      <c r="F725" s="550">
        <v>10</v>
      </c>
      <c r="G725" s="550">
        <v>0</v>
      </c>
      <c r="H725" s="550">
        <v>0</v>
      </c>
      <c r="I725" s="550">
        <v>0</v>
      </c>
      <c r="J725" s="550">
        <v>6</v>
      </c>
      <c r="K725" s="550">
        <v>0</v>
      </c>
      <c r="L725" s="550">
        <v>0</v>
      </c>
      <c r="M725" s="550">
        <v>0</v>
      </c>
      <c r="N725" s="550">
        <v>7</v>
      </c>
      <c r="O725" s="550">
        <v>0</v>
      </c>
      <c r="P725" s="550">
        <v>15</v>
      </c>
      <c r="Q725" s="550">
        <v>96</v>
      </c>
      <c r="R725" s="551" t="str">
        <f t="shared" si="122"/>
        <v>MANHATTAN BEACH</v>
      </c>
      <c r="S725" s="552">
        <f>SUM(G720:G725) +SUM(K720:K725)</f>
        <v>0</v>
      </c>
      <c r="T725" s="552">
        <f t="shared" ref="T725:T726" si="131">F725+J725</f>
        <v>16</v>
      </c>
      <c r="U725" s="552">
        <f>SUM(O720:O725)</f>
        <v>0</v>
      </c>
      <c r="V725" s="552">
        <f t="shared" ref="V725:V726" si="132">N725</f>
        <v>7</v>
      </c>
      <c r="W725" s="554">
        <f>SUM(Q720:Q725)</f>
        <v>419</v>
      </c>
      <c r="X725" s="552">
        <f t="shared" ref="X725:X726" si="133">P725</f>
        <v>15</v>
      </c>
      <c r="Y725" s="552">
        <f>S725+U725+SUM(Q720:Q725)</f>
        <v>419</v>
      </c>
      <c r="Z725" s="552">
        <f t="shared" ref="Z725:Z726" si="134">F725+J725+N725+P725</f>
        <v>38</v>
      </c>
      <c r="AA725" s="553"/>
      <c r="AB725" s="553"/>
    </row>
    <row r="726" spans="1:28" ht="12.75">
      <c r="A726" s="547" t="s">
        <v>398</v>
      </c>
      <c r="B726" s="547" t="s">
        <v>153</v>
      </c>
      <c r="C726" s="548" t="s">
        <v>813</v>
      </c>
      <c r="D726" s="549">
        <v>2019</v>
      </c>
      <c r="E726" s="549" t="s">
        <v>775</v>
      </c>
      <c r="F726" s="550">
        <v>13</v>
      </c>
      <c r="G726" s="550">
        <v>0</v>
      </c>
      <c r="H726" s="550">
        <v>0</v>
      </c>
      <c r="I726" s="550">
        <v>0</v>
      </c>
      <c r="J726" s="550">
        <v>8</v>
      </c>
      <c r="K726" s="550">
        <v>0</v>
      </c>
      <c r="L726" s="550">
        <v>0</v>
      </c>
      <c r="M726" s="550">
        <v>0</v>
      </c>
      <c r="N726" s="550">
        <v>9</v>
      </c>
      <c r="O726" s="550">
        <v>16</v>
      </c>
      <c r="P726" s="550">
        <v>23</v>
      </c>
      <c r="Q726" s="550">
        <v>5</v>
      </c>
      <c r="R726" s="551" t="str">
        <f t="shared" si="122"/>
        <v>MAYWOOD</v>
      </c>
      <c r="S726" s="552">
        <f>G726+K726</f>
        <v>0</v>
      </c>
      <c r="T726" s="552">
        <f t="shared" si="131"/>
        <v>21</v>
      </c>
      <c r="U726" s="552">
        <f>O726</f>
        <v>16</v>
      </c>
      <c r="V726" s="552">
        <f t="shared" si="132"/>
        <v>9</v>
      </c>
      <c r="W726" s="552">
        <f>Q726</f>
        <v>5</v>
      </c>
      <c r="X726" s="552">
        <f t="shared" si="133"/>
        <v>23</v>
      </c>
      <c r="Y726" s="552">
        <f>S726+U726+W726</f>
        <v>21</v>
      </c>
      <c r="Z726" s="552">
        <f t="shared" si="134"/>
        <v>53</v>
      </c>
      <c r="AA726" s="553"/>
      <c r="AB726" s="553"/>
    </row>
    <row r="727" spans="1:28" ht="12.75">
      <c r="A727" s="547" t="s">
        <v>399</v>
      </c>
      <c r="B727" s="547" t="s">
        <v>153</v>
      </c>
      <c r="C727" s="548" t="s">
        <v>812</v>
      </c>
      <c r="D727" s="549">
        <v>2014</v>
      </c>
      <c r="E727" s="549" t="s">
        <v>775</v>
      </c>
      <c r="F727" s="550">
        <v>101</v>
      </c>
      <c r="G727" s="550">
        <v>0</v>
      </c>
      <c r="H727" s="550">
        <v>0</v>
      </c>
      <c r="I727" s="550">
        <v>0</v>
      </c>
      <c r="J727" s="550">
        <v>61</v>
      </c>
      <c r="K727" s="550">
        <v>0</v>
      </c>
      <c r="L727" s="550">
        <v>0</v>
      </c>
      <c r="M727" s="550">
        <v>0</v>
      </c>
      <c r="N727" s="550">
        <v>65</v>
      </c>
      <c r="O727" s="550">
        <v>2</v>
      </c>
      <c r="P727" s="550">
        <v>162</v>
      </c>
      <c r="Q727" s="550">
        <v>34</v>
      </c>
      <c r="R727" s="551" t="str">
        <f t="shared" si="122"/>
        <v>MONROVIA</v>
      </c>
      <c r="S727" s="552"/>
      <c r="T727" s="552"/>
      <c r="U727" s="552"/>
      <c r="V727" s="552"/>
      <c r="W727" s="552"/>
      <c r="X727" s="552"/>
      <c r="Y727" s="552"/>
      <c r="Z727" s="552"/>
      <c r="AA727" s="553"/>
      <c r="AB727" s="553"/>
    </row>
    <row r="728" spans="1:28" ht="12.75">
      <c r="A728" s="547" t="s">
        <v>399</v>
      </c>
      <c r="B728" s="547" t="s">
        <v>153</v>
      </c>
      <c r="C728" s="548" t="s">
        <v>812</v>
      </c>
      <c r="D728" s="549">
        <v>2015</v>
      </c>
      <c r="E728" s="549" t="s">
        <v>775</v>
      </c>
      <c r="F728" s="550">
        <v>101</v>
      </c>
      <c r="G728" s="550">
        <v>0</v>
      </c>
      <c r="H728" s="550">
        <v>0</v>
      </c>
      <c r="I728" s="550">
        <v>0</v>
      </c>
      <c r="J728" s="550">
        <v>61</v>
      </c>
      <c r="K728" s="550">
        <v>0</v>
      </c>
      <c r="L728" s="550">
        <v>0</v>
      </c>
      <c r="M728" s="550">
        <v>0</v>
      </c>
      <c r="N728" s="550">
        <v>65</v>
      </c>
      <c r="O728" s="550">
        <v>0</v>
      </c>
      <c r="P728" s="550">
        <v>162</v>
      </c>
      <c r="Q728" s="550">
        <v>9</v>
      </c>
      <c r="R728" s="551" t="str">
        <f t="shared" si="122"/>
        <v>MONROVIA</v>
      </c>
      <c r="S728" s="552"/>
      <c r="T728" s="552"/>
      <c r="U728" s="552"/>
      <c r="V728" s="552"/>
      <c r="W728" s="552"/>
      <c r="X728" s="552"/>
      <c r="Y728" s="552"/>
      <c r="Z728" s="552"/>
      <c r="AA728" s="553"/>
      <c r="AB728" s="553"/>
    </row>
    <row r="729" spans="1:28" ht="12.75">
      <c r="A729" s="547" t="s">
        <v>399</v>
      </c>
      <c r="B729" s="547" t="s">
        <v>153</v>
      </c>
      <c r="C729" s="548" t="s">
        <v>812</v>
      </c>
      <c r="D729" s="549">
        <v>2016</v>
      </c>
      <c r="E729" s="549" t="s">
        <v>775</v>
      </c>
      <c r="F729" s="550">
        <v>101</v>
      </c>
      <c r="G729" s="550">
        <v>0</v>
      </c>
      <c r="H729" s="550">
        <v>0</v>
      </c>
      <c r="I729" s="550">
        <v>0</v>
      </c>
      <c r="J729" s="550">
        <v>61</v>
      </c>
      <c r="K729" s="550">
        <v>0</v>
      </c>
      <c r="L729" s="550">
        <v>0</v>
      </c>
      <c r="M729" s="550">
        <v>0</v>
      </c>
      <c r="N729" s="550">
        <v>65</v>
      </c>
      <c r="O729" s="550">
        <v>0</v>
      </c>
      <c r="P729" s="550">
        <v>162</v>
      </c>
      <c r="Q729" s="550">
        <v>445</v>
      </c>
      <c r="R729" s="551" t="str">
        <f t="shared" si="122"/>
        <v>MONROVIA</v>
      </c>
      <c r="S729" s="552"/>
      <c r="T729" s="552"/>
      <c r="U729" s="552"/>
      <c r="V729" s="552"/>
      <c r="W729" s="552"/>
      <c r="X729" s="552"/>
      <c r="Y729" s="552"/>
      <c r="Z729" s="552"/>
      <c r="AA729" s="553"/>
      <c r="AB729" s="553"/>
    </row>
    <row r="730" spans="1:28" ht="12.75">
      <c r="A730" s="547" t="s">
        <v>399</v>
      </c>
      <c r="B730" s="547" t="s">
        <v>153</v>
      </c>
      <c r="C730" s="548" t="s">
        <v>812</v>
      </c>
      <c r="D730" s="549">
        <v>2017</v>
      </c>
      <c r="E730" s="549" t="s">
        <v>775</v>
      </c>
      <c r="F730" s="550">
        <v>101</v>
      </c>
      <c r="G730" s="550">
        <v>0</v>
      </c>
      <c r="H730" s="550">
        <v>0</v>
      </c>
      <c r="I730" s="550">
        <v>0</v>
      </c>
      <c r="J730" s="550">
        <v>61</v>
      </c>
      <c r="K730" s="550">
        <v>0</v>
      </c>
      <c r="L730" s="550">
        <v>0</v>
      </c>
      <c r="M730" s="550">
        <v>0</v>
      </c>
      <c r="N730" s="550">
        <v>65</v>
      </c>
      <c r="O730" s="550">
        <v>2</v>
      </c>
      <c r="P730" s="550">
        <v>162</v>
      </c>
      <c r="Q730" s="550">
        <v>22</v>
      </c>
      <c r="R730" s="551" t="str">
        <f t="shared" si="122"/>
        <v>MONROVIA</v>
      </c>
      <c r="S730" s="552"/>
      <c r="T730" s="552"/>
      <c r="U730" s="552"/>
      <c r="V730" s="552"/>
      <c r="W730" s="552"/>
      <c r="X730" s="552"/>
      <c r="Y730" s="552"/>
      <c r="Z730" s="552"/>
      <c r="AA730" s="553"/>
      <c r="AB730" s="553"/>
    </row>
    <row r="731" spans="1:28" ht="12.75">
      <c r="A731" s="547" t="s">
        <v>399</v>
      </c>
      <c r="B731" s="547" t="s">
        <v>153</v>
      </c>
      <c r="C731" s="548" t="s">
        <v>812</v>
      </c>
      <c r="D731" s="549">
        <v>2018</v>
      </c>
      <c r="E731" s="549" t="s">
        <v>775</v>
      </c>
      <c r="F731" s="550">
        <v>101</v>
      </c>
      <c r="G731" s="550">
        <v>0</v>
      </c>
      <c r="H731" s="550">
        <v>0</v>
      </c>
      <c r="I731" s="550">
        <v>0</v>
      </c>
      <c r="J731" s="550">
        <v>61</v>
      </c>
      <c r="K731" s="550">
        <v>0</v>
      </c>
      <c r="L731" s="550">
        <v>0</v>
      </c>
      <c r="M731" s="550">
        <v>0</v>
      </c>
      <c r="N731" s="550">
        <v>65</v>
      </c>
      <c r="O731" s="550">
        <v>0</v>
      </c>
      <c r="P731" s="550">
        <v>162</v>
      </c>
      <c r="Q731" s="550">
        <v>26</v>
      </c>
      <c r="R731" s="551" t="str">
        <f t="shared" si="122"/>
        <v>MONROVIA</v>
      </c>
      <c r="S731" s="552"/>
      <c r="T731" s="552"/>
      <c r="U731" s="552"/>
      <c r="V731" s="552"/>
      <c r="W731" s="552"/>
      <c r="X731" s="552"/>
      <c r="Y731" s="552"/>
      <c r="Z731" s="552"/>
      <c r="AA731" s="553"/>
      <c r="AB731" s="553"/>
    </row>
    <row r="732" spans="1:28" ht="12.75">
      <c r="A732" s="547" t="s">
        <v>399</v>
      </c>
      <c r="B732" s="547" t="s">
        <v>153</v>
      </c>
      <c r="C732" s="548" t="s">
        <v>813</v>
      </c>
      <c r="D732" s="549">
        <v>2019</v>
      </c>
      <c r="E732" s="549" t="s">
        <v>775</v>
      </c>
      <c r="F732" s="550">
        <v>101</v>
      </c>
      <c r="G732" s="550">
        <v>0</v>
      </c>
      <c r="H732" s="550">
        <v>0</v>
      </c>
      <c r="I732" s="550">
        <v>0</v>
      </c>
      <c r="J732" s="550">
        <v>61</v>
      </c>
      <c r="K732" s="550">
        <v>0</v>
      </c>
      <c r="L732" s="550">
        <v>0</v>
      </c>
      <c r="M732" s="550">
        <v>0</v>
      </c>
      <c r="N732" s="550">
        <v>65</v>
      </c>
      <c r="O732" s="550">
        <v>0</v>
      </c>
      <c r="P732" s="550">
        <v>162</v>
      </c>
      <c r="Q732" s="550">
        <v>18</v>
      </c>
      <c r="R732" s="551" t="str">
        <f t="shared" si="122"/>
        <v>MONROVIA</v>
      </c>
      <c r="S732" s="552">
        <f>SUM(G727:G732) +SUM(K727:K732)</f>
        <v>0</v>
      </c>
      <c r="T732" s="552">
        <f t="shared" ref="T732:T733" si="135">F732+J732</f>
        <v>162</v>
      </c>
      <c r="U732" s="552">
        <f>SUM(O727:O732)</f>
        <v>4</v>
      </c>
      <c r="V732" s="552">
        <f t="shared" ref="V732:V733" si="136">N732</f>
        <v>65</v>
      </c>
      <c r="W732" s="554">
        <f>SUM(Q727:Q732)</f>
        <v>554</v>
      </c>
      <c r="X732" s="552">
        <f t="shared" ref="X732:X733" si="137">P732</f>
        <v>162</v>
      </c>
      <c r="Y732" s="552">
        <f>S732+U732+SUM(Q727:Q732)</f>
        <v>558</v>
      </c>
      <c r="Z732" s="552">
        <f t="shared" ref="Z732:Z733" si="138">F732+J732+N732+P732</f>
        <v>389</v>
      </c>
      <c r="AA732" s="553"/>
      <c r="AB732" s="553"/>
    </row>
    <row r="733" spans="1:28" ht="12.75">
      <c r="A733" s="547" t="s">
        <v>400</v>
      </c>
      <c r="B733" s="547" t="s">
        <v>153</v>
      </c>
      <c r="C733" s="548" t="s">
        <v>813</v>
      </c>
      <c r="D733" s="549">
        <v>2019</v>
      </c>
      <c r="E733" s="549" t="s">
        <v>775</v>
      </c>
      <c r="F733" s="550">
        <v>269</v>
      </c>
      <c r="G733" s="550">
        <v>0</v>
      </c>
      <c r="H733" s="550">
        <v>0</v>
      </c>
      <c r="I733" s="550">
        <v>0</v>
      </c>
      <c r="J733" s="550">
        <v>161</v>
      </c>
      <c r="K733" s="550">
        <v>0</v>
      </c>
      <c r="L733" s="550">
        <v>0</v>
      </c>
      <c r="M733" s="550">
        <v>0</v>
      </c>
      <c r="N733" s="550">
        <v>175</v>
      </c>
      <c r="O733" s="550">
        <v>0</v>
      </c>
      <c r="P733" s="550">
        <v>461</v>
      </c>
      <c r="Q733" s="550">
        <v>0</v>
      </c>
      <c r="R733" s="551" t="str">
        <f t="shared" si="122"/>
        <v>MONTEBELLO</v>
      </c>
      <c r="S733" s="552">
        <f>G733+K733</f>
        <v>0</v>
      </c>
      <c r="T733" s="552">
        <f t="shared" si="135"/>
        <v>430</v>
      </c>
      <c r="U733" s="552">
        <f>O733</f>
        <v>0</v>
      </c>
      <c r="V733" s="552">
        <f t="shared" si="136"/>
        <v>175</v>
      </c>
      <c r="W733" s="552">
        <f>Q733</f>
        <v>0</v>
      </c>
      <c r="X733" s="552">
        <f t="shared" si="137"/>
        <v>461</v>
      </c>
      <c r="Y733" s="552">
        <f>S733+U733+W733</f>
        <v>0</v>
      </c>
      <c r="Z733" s="552">
        <f t="shared" si="138"/>
        <v>1066</v>
      </c>
      <c r="AA733" s="553"/>
      <c r="AB733" s="553"/>
    </row>
    <row r="734" spans="1:28" ht="12.75">
      <c r="A734" s="547" t="s">
        <v>401</v>
      </c>
      <c r="B734" s="547" t="s">
        <v>153</v>
      </c>
      <c r="C734" s="548" t="s">
        <v>812</v>
      </c>
      <c r="D734" s="549">
        <v>2017</v>
      </c>
      <c r="E734" s="549" t="s">
        <v>775</v>
      </c>
      <c r="F734" s="550">
        <v>205</v>
      </c>
      <c r="G734" s="550">
        <v>0</v>
      </c>
      <c r="H734" s="550">
        <v>0</v>
      </c>
      <c r="I734" s="550">
        <v>0</v>
      </c>
      <c r="J734" s="550">
        <v>123</v>
      </c>
      <c r="K734" s="550">
        <v>0</v>
      </c>
      <c r="L734" s="550">
        <v>0</v>
      </c>
      <c r="M734" s="550">
        <v>0</v>
      </c>
      <c r="N734" s="550">
        <v>137</v>
      </c>
      <c r="O734" s="550">
        <v>0</v>
      </c>
      <c r="P734" s="550">
        <v>350</v>
      </c>
      <c r="Q734" s="550">
        <v>14</v>
      </c>
      <c r="R734" s="551" t="str">
        <f t="shared" si="122"/>
        <v>MONTEREY PARK</v>
      </c>
      <c r="S734" s="552"/>
      <c r="T734" s="552"/>
      <c r="U734" s="552"/>
      <c r="V734" s="552"/>
      <c r="W734" s="552"/>
      <c r="X734" s="552"/>
      <c r="Y734" s="552"/>
      <c r="Z734" s="552"/>
      <c r="AA734" s="553"/>
      <c r="AB734" s="553"/>
    </row>
    <row r="735" spans="1:28" ht="12.75">
      <c r="A735" s="547" t="s">
        <v>401</v>
      </c>
      <c r="B735" s="547" t="s">
        <v>153</v>
      </c>
      <c r="C735" s="548" t="s">
        <v>813</v>
      </c>
      <c r="D735" s="549">
        <v>2019</v>
      </c>
      <c r="E735" s="549" t="s">
        <v>775</v>
      </c>
      <c r="F735" s="550">
        <v>205</v>
      </c>
      <c r="G735" s="550">
        <v>0</v>
      </c>
      <c r="H735" s="550">
        <v>0</v>
      </c>
      <c r="I735" s="550">
        <v>0</v>
      </c>
      <c r="J735" s="550">
        <v>123</v>
      </c>
      <c r="K735" s="550">
        <v>0</v>
      </c>
      <c r="L735" s="550">
        <v>0</v>
      </c>
      <c r="M735" s="550">
        <v>0</v>
      </c>
      <c r="N735" s="550">
        <v>137</v>
      </c>
      <c r="O735" s="550">
        <v>0</v>
      </c>
      <c r="P735" s="550">
        <v>350</v>
      </c>
      <c r="Q735" s="550">
        <v>0</v>
      </c>
      <c r="R735" s="551" t="str">
        <f t="shared" si="122"/>
        <v>MONTEREY PARK</v>
      </c>
      <c r="S735" s="255">
        <f>SUM(G734:G735) +SUM(K734:K735)</f>
        <v>0</v>
      </c>
      <c r="T735" s="255">
        <f>F735+J735</f>
        <v>328</v>
      </c>
      <c r="U735" s="255">
        <f>SUM(O734:O735)</f>
        <v>0</v>
      </c>
      <c r="V735" s="255">
        <f>N735</f>
        <v>137</v>
      </c>
      <c r="W735" s="83">
        <f>SUM(Q734:Q735)</f>
        <v>14</v>
      </c>
      <c r="X735" s="255">
        <f>P735</f>
        <v>350</v>
      </c>
      <c r="Y735" s="255">
        <f>S735+U735+SUM(Q734:Q735)</f>
        <v>14</v>
      </c>
      <c r="Z735" s="255">
        <f>F735+J735+N735+P735</f>
        <v>815</v>
      </c>
      <c r="AA735" s="553"/>
      <c r="AB735" s="553"/>
    </row>
    <row r="736" spans="1:28" ht="12.75">
      <c r="A736" s="547" t="s">
        <v>402</v>
      </c>
      <c r="B736" s="547" t="s">
        <v>153</v>
      </c>
      <c r="C736" s="548" t="s">
        <v>812</v>
      </c>
      <c r="D736" s="549">
        <v>2014</v>
      </c>
      <c r="E736" s="549" t="s">
        <v>775</v>
      </c>
      <c r="F736" s="550">
        <v>52</v>
      </c>
      <c r="G736" s="550">
        <v>0</v>
      </c>
      <c r="H736" s="550">
        <v>0</v>
      </c>
      <c r="I736" s="550">
        <v>0</v>
      </c>
      <c r="J736" s="550">
        <v>31</v>
      </c>
      <c r="K736" s="550">
        <v>0</v>
      </c>
      <c r="L736" s="550">
        <v>0</v>
      </c>
      <c r="M736" s="550">
        <v>0</v>
      </c>
      <c r="N736" s="550">
        <v>33</v>
      </c>
      <c r="O736" s="550">
        <v>0</v>
      </c>
      <c r="P736" s="550">
        <v>85</v>
      </c>
      <c r="Q736" s="550">
        <v>2</v>
      </c>
      <c r="R736" s="551" t="str">
        <f t="shared" si="122"/>
        <v>NORWALK</v>
      </c>
      <c r="S736" s="552"/>
      <c r="T736" s="552"/>
      <c r="U736" s="552"/>
      <c r="V736" s="552"/>
      <c r="W736" s="552"/>
      <c r="X736" s="552"/>
      <c r="Y736" s="552"/>
      <c r="Z736" s="552"/>
      <c r="AA736" s="553"/>
      <c r="AB736" s="553"/>
    </row>
    <row r="737" spans="1:28" ht="12.75">
      <c r="A737" s="547" t="s">
        <v>402</v>
      </c>
      <c r="B737" s="547" t="s">
        <v>153</v>
      </c>
      <c r="C737" s="548" t="s">
        <v>812</v>
      </c>
      <c r="D737" s="549">
        <v>2015</v>
      </c>
      <c r="E737" s="549" t="s">
        <v>775</v>
      </c>
      <c r="F737" s="550">
        <v>52</v>
      </c>
      <c r="G737" s="550">
        <v>0</v>
      </c>
      <c r="H737" s="550">
        <v>0</v>
      </c>
      <c r="I737" s="550">
        <v>0</v>
      </c>
      <c r="J737" s="550">
        <v>31</v>
      </c>
      <c r="K737" s="550">
        <v>0</v>
      </c>
      <c r="L737" s="550">
        <v>0</v>
      </c>
      <c r="M737" s="550">
        <v>0</v>
      </c>
      <c r="N737" s="550">
        <v>33</v>
      </c>
      <c r="O737" s="550">
        <v>0</v>
      </c>
      <c r="P737" s="550">
        <v>85</v>
      </c>
      <c r="Q737" s="550">
        <v>4</v>
      </c>
      <c r="R737" s="551" t="str">
        <f t="shared" si="122"/>
        <v>NORWALK</v>
      </c>
      <c r="S737" s="552"/>
      <c r="T737" s="552"/>
      <c r="U737" s="552"/>
      <c r="V737" s="552"/>
      <c r="W737" s="552"/>
      <c r="X737" s="552"/>
      <c r="Y737" s="552"/>
      <c r="Z737" s="552"/>
      <c r="AA737" s="553"/>
      <c r="AB737" s="553"/>
    </row>
    <row r="738" spans="1:28" ht="12.75">
      <c r="A738" s="547" t="s">
        <v>402</v>
      </c>
      <c r="B738" s="547" t="s">
        <v>153</v>
      </c>
      <c r="C738" s="548" t="s">
        <v>812</v>
      </c>
      <c r="D738" s="549">
        <v>2016</v>
      </c>
      <c r="E738" s="549" t="s">
        <v>775</v>
      </c>
      <c r="F738" s="550">
        <v>52</v>
      </c>
      <c r="G738" s="550">
        <v>0</v>
      </c>
      <c r="H738" s="550">
        <v>0</v>
      </c>
      <c r="I738" s="550">
        <v>0</v>
      </c>
      <c r="J738" s="550">
        <v>31</v>
      </c>
      <c r="K738" s="550">
        <v>0</v>
      </c>
      <c r="L738" s="550">
        <v>0</v>
      </c>
      <c r="M738" s="550">
        <v>0</v>
      </c>
      <c r="N738" s="550">
        <v>33</v>
      </c>
      <c r="O738" s="550">
        <v>8</v>
      </c>
      <c r="P738" s="550">
        <v>85</v>
      </c>
      <c r="Q738" s="550">
        <v>5</v>
      </c>
      <c r="R738" s="551" t="str">
        <f t="shared" si="122"/>
        <v>NORWALK</v>
      </c>
      <c r="S738" s="552"/>
      <c r="T738" s="552"/>
      <c r="U738" s="552"/>
      <c r="V738" s="552"/>
      <c r="W738" s="552"/>
      <c r="X738" s="552"/>
      <c r="Y738" s="552"/>
      <c r="Z738" s="552"/>
      <c r="AA738" s="553"/>
      <c r="AB738" s="553"/>
    </row>
    <row r="739" spans="1:28" ht="12.75">
      <c r="A739" s="547" t="s">
        <v>402</v>
      </c>
      <c r="B739" s="547" t="s">
        <v>153</v>
      </c>
      <c r="C739" s="548" t="s">
        <v>812</v>
      </c>
      <c r="D739" s="549">
        <v>2017</v>
      </c>
      <c r="E739" s="549" t="s">
        <v>775</v>
      </c>
      <c r="F739" s="550">
        <v>52</v>
      </c>
      <c r="G739" s="550">
        <v>1</v>
      </c>
      <c r="H739" s="550">
        <v>0</v>
      </c>
      <c r="I739" s="550">
        <v>1</v>
      </c>
      <c r="J739" s="550">
        <v>31</v>
      </c>
      <c r="K739" s="550">
        <v>0</v>
      </c>
      <c r="L739" s="550">
        <v>0</v>
      </c>
      <c r="M739" s="550">
        <v>0</v>
      </c>
      <c r="N739" s="550">
        <v>33</v>
      </c>
      <c r="O739" s="550">
        <v>7</v>
      </c>
      <c r="P739" s="550">
        <v>85</v>
      </c>
      <c r="Q739" s="550">
        <v>49</v>
      </c>
      <c r="R739" s="551" t="str">
        <f t="shared" si="122"/>
        <v>NORWALK</v>
      </c>
      <c r="S739" s="552"/>
      <c r="T739" s="552"/>
      <c r="U739" s="552"/>
      <c r="V739" s="552"/>
      <c r="W739" s="552"/>
      <c r="X739" s="552"/>
      <c r="Y739" s="552"/>
      <c r="Z739" s="552"/>
      <c r="AA739" s="553"/>
      <c r="AB739" s="553"/>
    </row>
    <row r="740" spans="1:28" ht="12.75">
      <c r="A740" s="547" t="s">
        <v>402</v>
      </c>
      <c r="B740" s="547" t="s">
        <v>153</v>
      </c>
      <c r="C740" s="548" t="s">
        <v>812</v>
      </c>
      <c r="D740" s="549">
        <v>2018</v>
      </c>
      <c r="E740" s="549" t="s">
        <v>775</v>
      </c>
      <c r="F740" s="550">
        <v>52</v>
      </c>
      <c r="G740" s="550">
        <v>0</v>
      </c>
      <c r="H740" s="550">
        <v>0</v>
      </c>
      <c r="I740" s="550">
        <v>0</v>
      </c>
      <c r="J740" s="550">
        <v>31</v>
      </c>
      <c r="K740" s="550">
        <v>3</v>
      </c>
      <c r="L740" s="550">
        <v>0</v>
      </c>
      <c r="M740" s="550">
        <v>3</v>
      </c>
      <c r="N740" s="550">
        <v>33</v>
      </c>
      <c r="O740" s="550">
        <v>3</v>
      </c>
      <c r="P740" s="550">
        <v>85</v>
      </c>
      <c r="Q740" s="550">
        <v>26</v>
      </c>
      <c r="R740" s="551" t="str">
        <f t="shared" si="122"/>
        <v>NORWALK</v>
      </c>
      <c r="S740" s="552"/>
      <c r="T740" s="552"/>
      <c r="U740" s="552"/>
      <c r="V740" s="552"/>
      <c r="W740" s="552"/>
      <c r="X740" s="552"/>
      <c r="Y740" s="552"/>
      <c r="Z740" s="552"/>
      <c r="AA740" s="553"/>
      <c r="AB740" s="553"/>
    </row>
    <row r="741" spans="1:28" ht="12.75">
      <c r="A741" s="547" t="s">
        <v>402</v>
      </c>
      <c r="B741" s="547" t="s">
        <v>153</v>
      </c>
      <c r="C741" s="548" t="s">
        <v>813</v>
      </c>
      <c r="D741" s="549">
        <v>2019</v>
      </c>
      <c r="E741" s="549" t="s">
        <v>775</v>
      </c>
      <c r="F741" s="550">
        <v>52</v>
      </c>
      <c r="G741" s="550">
        <v>0</v>
      </c>
      <c r="H741" s="550">
        <v>0</v>
      </c>
      <c r="I741" s="550">
        <v>0</v>
      </c>
      <c r="J741" s="550">
        <v>31</v>
      </c>
      <c r="K741" s="550">
        <v>2</v>
      </c>
      <c r="L741" s="550">
        <v>0</v>
      </c>
      <c r="M741" s="550">
        <v>2</v>
      </c>
      <c r="N741" s="550">
        <v>33</v>
      </c>
      <c r="O741" s="550">
        <v>16</v>
      </c>
      <c r="P741" s="550">
        <v>85</v>
      </c>
      <c r="Q741" s="550">
        <v>4</v>
      </c>
      <c r="R741" s="551" t="str">
        <f t="shared" si="122"/>
        <v>NORWALK</v>
      </c>
      <c r="S741" s="552">
        <f>SUM(G736:G741) +SUM(K736:K741)</f>
        <v>6</v>
      </c>
      <c r="T741" s="552">
        <f>F741+J741</f>
        <v>83</v>
      </c>
      <c r="U741" s="552">
        <f>SUM(O736:O741)</f>
        <v>34</v>
      </c>
      <c r="V741" s="552">
        <f>N741</f>
        <v>33</v>
      </c>
      <c r="W741" s="554">
        <f>SUM(Q736:Q741)</f>
        <v>90</v>
      </c>
      <c r="X741" s="552">
        <f>P741</f>
        <v>85</v>
      </c>
      <c r="Y741" s="552">
        <f>S741+U741+SUM(Q736:Q741)</f>
        <v>130</v>
      </c>
      <c r="Z741" s="552">
        <f>F741+J741+N741+P741</f>
        <v>201</v>
      </c>
      <c r="AA741" s="553"/>
      <c r="AB741" s="553"/>
    </row>
    <row r="742" spans="1:28" ht="12.75">
      <c r="A742" s="547" t="s">
        <v>403</v>
      </c>
      <c r="B742" s="547" t="s">
        <v>153</v>
      </c>
      <c r="C742" s="548" t="s">
        <v>812</v>
      </c>
      <c r="D742" s="549">
        <v>2014</v>
      </c>
      <c r="E742" s="549" t="s">
        <v>775</v>
      </c>
      <c r="F742" s="550">
        <v>1395</v>
      </c>
      <c r="G742" s="550">
        <v>0</v>
      </c>
      <c r="H742" s="550">
        <v>0</v>
      </c>
      <c r="I742" s="550">
        <v>0</v>
      </c>
      <c r="J742" s="550">
        <v>827</v>
      </c>
      <c r="K742" s="550">
        <v>0</v>
      </c>
      <c r="L742" s="550">
        <v>0</v>
      </c>
      <c r="M742" s="550">
        <v>0</v>
      </c>
      <c r="N742" s="550">
        <v>898</v>
      </c>
      <c r="O742" s="550">
        <v>0</v>
      </c>
      <c r="P742" s="550">
        <v>2332</v>
      </c>
      <c r="Q742" s="550">
        <v>42</v>
      </c>
      <c r="R742" s="551" t="str">
        <f t="shared" si="122"/>
        <v>PALMDALE</v>
      </c>
      <c r="S742" s="552"/>
      <c r="T742" s="552"/>
      <c r="U742" s="552"/>
      <c r="V742" s="552"/>
      <c r="W742" s="552"/>
      <c r="X742" s="552"/>
      <c r="Y742" s="552"/>
      <c r="Z742" s="552"/>
      <c r="AA742" s="553"/>
      <c r="AB742" s="553"/>
    </row>
    <row r="743" spans="1:28" ht="12.75">
      <c r="A743" s="547" t="s">
        <v>403</v>
      </c>
      <c r="B743" s="547" t="s">
        <v>153</v>
      </c>
      <c r="C743" s="548" t="s">
        <v>812</v>
      </c>
      <c r="D743" s="549">
        <v>2015</v>
      </c>
      <c r="E743" s="549" t="s">
        <v>775</v>
      </c>
      <c r="F743" s="550">
        <v>1395</v>
      </c>
      <c r="G743" s="550">
        <v>0</v>
      </c>
      <c r="H743" s="550">
        <v>0</v>
      </c>
      <c r="I743" s="550">
        <v>0</v>
      </c>
      <c r="J743" s="550">
        <v>827</v>
      </c>
      <c r="K743" s="550">
        <v>0</v>
      </c>
      <c r="L743" s="550">
        <v>0</v>
      </c>
      <c r="M743" s="550">
        <v>0</v>
      </c>
      <c r="N743" s="550">
        <v>898</v>
      </c>
      <c r="O743" s="550">
        <v>0</v>
      </c>
      <c r="P743" s="550">
        <v>2332</v>
      </c>
      <c r="Q743" s="550">
        <v>95</v>
      </c>
      <c r="R743" s="551" t="str">
        <f t="shared" si="122"/>
        <v>PALMDALE</v>
      </c>
      <c r="S743" s="552"/>
      <c r="T743" s="552"/>
      <c r="U743" s="552"/>
      <c r="V743" s="552"/>
      <c r="W743" s="552"/>
      <c r="X743" s="552"/>
      <c r="Y743" s="552"/>
      <c r="Z743" s="552"/>
      <c r="AA743" s="553"/>
      <c r="AB743" s="553"/>
    </row>
    <row r="744" spans="1:28" ht="12.75">
      <c r="A744" s="547" t="s">
        <v>403</v>
      </c>
      <c r="B744" s="547" t="s">
        <v>153</v>
      </c>
      <c r="C744" s="548" t="s">
        <v>812</v>
      </c>
      <c r="D744" s="549">
        <v>2017</v>
      </c>
      <c r="E744" s="549" t="s">
        <v>775</v>
      </c>
      <c r="F744" s="550">
        <v>1395</v>
      </c>
      <c r="G744" s="550">
        <v>91</v>
      </c>
      <c r="H744" s="550">
        <v>91</v>
      </c>
      <c r="I744" s="550">
        <v>0</v>
      </c>
      <c r="J744" s="550">
        <v>827</v>
      </c>
      <c r="K744" s="550">
        <v>70</v>
      </c>
      <c r="L744" s="550">
        <v>70</v>
      </c>
      <c r="M744" s="550">
        <v>0</v>
      </c>
      <c r="N744" s="550">
        <v>898</v>
      </c>
      <c r="O744" s="550">
        <v>86</v>
      </c>
      <c r="P744" s="550">
        <v>2332</v>
      </c>
      <c r="Q744" s="550">
        <v>0</v>
      </c>
      <c r="R744" s="551" t="str">
        <f t="shared" si="122"/>
        <v>PALMDALE</v>
      </c>
      <c r="S744" s="552"/>
      <c r="T744" s="552"/>
      <c r="U744" s="552"/>
      <c r="V744" s="552"/>
      <c r="W744" s="552"/>
      <c r="X744" s="552"/>
      <c r="Y744" s="552"/>
      <c r="Z744" s="552"/>
      <c r="AA744" s="553"/>
      <c r="AB744" s="553"/>
    </row>
    <row r="745" spans="1:28" ht="12.75">
      <c r="A745" s="547" t="s">
        <v>403</v>
      </c>
      <c r="B745" s="547" t="s">
        <v>153</v>
      </c>
      <c r="C745" s="548" t="s">
        <v>813</v>
      </c>
      <c r="D745" s="549">
        <v>2019</v>
      </c>
      <c r="E745" s="549" t="s">
        <v>775</v>
      </c>
      <c r="F745" s="550">
        <v>1397</v>
      </c>
      <c r="G745" s="550">
        <v>0</v>
      </c>
      <c r="H745" s="550">
        <v>0</v>
      </c>
      <c r="I745" s="550">
        <v>0</v>
      </c>
      <c r="J745" s="550">
        <v>828</v>
      </c>
      <c r="K745" s="550">
        <v>0</v>
      </c>
      <c r="L745" s="550">
        <v>0</v>
      </c>
      <c r="M745" s="550">
        <v>0</v>
      </c>
      <c r="N745" s="550">
        <v>899</v>
      </c>
      <c r="O745" s="550">
        <v>149</v>
      </c>
      <c r="P745" s="550">
        <v>2334</v>
      </c>
      <c r="Q745" s="550">
        <v>0</v>
      </c>
      <c r="R745" s="551" t="str">
        <f t="shared" si="122"/>
        <v>PALMDALE</v>
      </c>
      <c r="S745" s="255">
        <f>SUM(G742:G745) +SUM(K742:K745)</f>
        <v>161</v>
      </c>
      <c r="T745" s="255">
        <f t="shared" ref="T745:T746" si="139">F745+J745</f>
        <v>2225</v>
      </c>
      <c r="U745" s="255">
        <f>SUM(O742:O745)</f>
        <v>235</v>
      </c>
      <c r="V745" s="255">
        <f t="shared" ref="V745:V746" si="140">N745</f>
        <v>899</v>
      </c>
      <c r="W745" s="83">
        <f>SUM(Q742:Q745)</f>
        <v>137</v>
      </c>
      <c r="X745" s="255">
        <f t="shared" ref="X745:X746" si="141">P745</f>
        <v>2334</v>
      </c>
      <c r="Y745" s="255">
        <f>S745+U745+SUM(Q742:Q745)</f>
        <v>533</v>
      </c>
      <c r="Z745" s="255">
        <f t="shared" ref="Z745:Z746" si="142">F745+J745+N745+P745</f>
        <v>5458</v>
      </c>
      <c r="AA745" s="553"/>
      <c r="AB745" s="553"/>
    </row>
    <row r="746" spans="1:28" ht="12.75">
      <c r="A746" s="547" t="s">
        <v>404</v>
      </c>
      <c r="B746" s="547" t="s">
        <v>153</v>
      </c>
      <c r="C746" s="548" t="s">
        <v>813</v>
      </c>
      <c r="D746" s="549">
        <v>2019</v>
      </c>
      <c r="E746" s="549" t="s">
        <v>775</v>
      </c>
      <c r="F746" s="550">
        <v>4</v>
      </c>
      <c r="G746" s="550">
        <v>0</v>
      </c>
      <c r="H746" s="550">
        <v>0</v>
      </c>
      <c r="I746" s="550">
        <v>0</v>
      </c>
      <c r="J746" s="550">
        <v>3</v>
      </c>
      <c r="K746" s="550">
        <v>0</v>
      </c>
      <c r="L746" s="550">
        <v>0</v>
      </c>
      <c r="M746" s="550">
        <v>0</v>
      </c>
      <c r="N746" s="550">
        <v>3</v>
      </c>
      <c r="O746" s="550">
        <v>0</v>
      </c>
      <c r="P746" s="550">
        <v>6</v>
      </c>
      <c r="Q746" s="550">
        <v>10</v>
      </c>
      <c r="R746" s="551" t="str">
        <f t="shared" si="122"/>
        <v>PALOS VERDES ESTATES</v>
      </c>
      <c r="S746" s="552">
        <f>G746+K746</f>
        <v>0</v>
      </c>
      <c r="T746" s="552">
        <f t="shared" si="139"/>
        <v>7</v>
      </c>
      <c r="U746" s="552">
        <f>O746</f>
        <v>0</v>
      </c>
      <c r="V746" s="552">
        <f t="shared" si="140"/>
        <v>3</v>
      </c>
      <c r="W746" s="552">
        <f>Q746</f>
        <v>10</v>
      </c>
      <c r="X746" s="552">
        <f t="shared" si="141"/>
        <v>6</v>
      </c>
      <c r="Y746" s="552">
        <f>S746+U746+W746</f>
        <v>10</v>
      </c>
      <c r="Z746" s="552">
        <f t="shared" si="142"/>
        <v>16</v>
      </c>
      <c r="AA746" s="553"/>
      <c r="AB746" s="553"/>
    </row>
    <row r="747" spans="1:28" ht="12.75">
      <c r="A747" s="547" t="s">
        <v>405</v>
      </c>
      <c r="B747" s="547" t="s">
        <v>153</v>
      </c>
      <c r="C747" s="548" t="s">
        <v>812</v>
      </c>
      <c r="D747" s="549">
        <v>2014</v>
      </c>
      <c r="E747" s="549" t="s">
        <v>775</v>
      </c>
      <c r="F747" s="550">
        <v>26</v>
      </c>
      <c r="G747" s="550">
        <v>0</v>
      </c>
      <c r="H747" s="550">
        <v>0</v>
      </c>
      <c r="I747" s="550">
        <v>0</v>
      </c>
      <c r="J747" s="550">
        <v>16</v>
      </c>
      <c r="K747" s="550">
        <v>0</v>
      </c>
      <c r="L747" s="550">
        <v>0</v>
      </c>
      <c r="M747" s="550">
        <v>0</v>
      </c>
      <c r="N747" s="550">
        <v>17</v>
      </c>
      <c r="O747" s="550">
        <v>0</v>
      </c>
      <c r="P747" s="550">
        <v>46</v>
      </c>
      <c r="Q747" s="550">
        <v>5</v>
      </c>
      <c r="R747" s="551" t="str">
        <f t="shared" si="122"/>
        <v>PARAMOUNT</v>
      </c>
      <c r="S747" s="552"/>
      <c r="T747" s="552"/>
      <c r="U747" s="552"/>
      <c r="V747" s="552"/>
      <c r="W747" s="552"/>
      <c r="X747" s="552"/>
      <c r="Y747" s="552"/>
      <c r="Z747" s="552"/>
      <c r="AA747" s="553"/>
      <c r="AB747" s="553"/>
    </row>
    <row r="748" spans="1:28" ht="12.75">
      <c r="A748" s="547" t="s">
        <v>405</v>
      </c>
      <c r="B748" s="547" t="s">
        <v>153</v>
      </c>
      <c r="C748" s="548" t="s">
        <v>812</v>
      </c>
      <c r="D748" s="549">
        <v>2015</v>
      </c>
      <c r="E748" s="549" t="s">
        <v>775</v>
      </c>
      <c r="F748" s="550">
        <v>26</v>
      </c>
      <c r="G748" s="550">
        <v>0</v>
      </c>
      <c r="H748" s="550">
        <v>0</v>
      </c>
      <c r="I748" s="550">
        <v>0</v>
      </c>
      <c r="J748" s="550">
        <v>16</v>
      </c>
      <c r="K748" s="550">
        <v>0</v>
      </c>
      <c r="L748" s="550">
        <v>0</v>
      </c>
      <c r="M748" s="550">
        <v>0</v>
      </c>
      <c r="N748" s="550">
        <v>17</v>
      </c>
      <c r="O748" s="550">
        <v>0</v>
      </c>
      <c r="P748" s="550">
        <v>46</v>
      </c>
      <c r="Q748" s="550">
        <v>4</v>
      </c>
      <c r="R748" s="551" t="str">
        <f t="shared" si="122"/>
        <v>PARAMOUNT</v>
      </c>
      <c r="S748" s="552"/>
      <c r="T748" s="552"/>
      <c r="U748" s="552"/>
      <c r="V748" s="552"/>
      <c r="W748" s="552"/>
      <c r="X748" s="552"/>
      <c r="Y748" s="552"/>
      <c r="Z748" s="552"/>
      <c r="AA748" s="553"/>
      <c r="AB748" s="553"/>
    </row>
    <row r="749" spans="1:28" ht="12.75">
      <c r="A749" s="547" t="s">
        <v>405</v>
      </c>
      <c r="B749" s="547" t="s">
        <v>153</v>
      </c>
      <c r="C749" s="548" t="s">
        <v>812</v>
      </c>
      <c r="D749" s="549">
        <v>2016</v>
      </c>
      <c r="E749" s="549" t="s">
        <v>775</v>
      </c>
      <c r="F749" s="550">
        <v>26</v>
      </c>
      <c r="G749" s="550">
        <v>0</v>
      </c>
      <c r="H749" s="550">
        <v>0</v>
      </c>
      <c r="I749" s="550">
        <v>0</v>
      </c>
      <c r="J749" s="550">
        <v>16</v>
      </c>
      <c r="K749" s="550">
        <v>0</v>
      </c>
      <c r="L749" s="550">
        <v>0</v>
      </c>
      <c r="M749" s="550">
        <v>0</v>
      </c>
      <c r="N749" s="550">
        <v>17</v>
      </c>
      <c r="O749" s="550">
        <v>0</v>
      </c>
      <c r="P749" s="550">
        <v>46</v>
      </c>
      <c r="Q749" s="550">
        <v>1</v>
      </c>
      <c r="R749" s="551" t="str">
        <f t="shared" si="122"/>
        <v>PARAMOUNT</v>
      </c>
      <c r="S749" s="552"/>
      <c r="T749" s="552"/>
      <c r="U749" s="552"/>
      <c r="V749" s="552"/>
      <c r="W749" s="552"/>
      <c r="X749" s="552"/>
      <c r="Y749" s="552"/>
      <c r="Z749" s="552"/>
      <c r="AA749" s="553"/>
      <c r="AB749" s="553"/>
    </row>
    <row r="750" spans="1:28" ht="12.75">
      <c r="A750" s="547" t="s">
        <v>405</v>
      </c>
      <c r="B750" s="547" t="s">
        <v>153</v>
      </c>
      <c r="C750" s="548" t="s">
        <v>812</v>
      </c>
      <c r="D750" s="549">
        <v>2017</v>
      </c>
      <c r="E750" s="549" t="s">
        <v>775</v>
      </c>
      <c r="F750" s="550">
        <v>26</v>
      </c>
      <c r="G750" s="550">
        <v>0</v>
      </c>
      <c r="H750" s="550">
        <v>0</v>
      </c>
      <c r="I750" s="550">
        <v>0</v>
      </c>
      <c r="J750" s="550">
        <v>16</v>
      </c>
      <c r="K750" s="550">
        <v>0</v>
      </c>
      <c r="L750" s="550">
        <v>0</v>
      </c>
      <c r="M750" s="550">
        <v>0</v>
      </c>
      <c r="N750" s="550">
        <v>17</v>
      </c>
      <c r="O750" s="550">
        <v>0</v>
      </c>
      <c r="P750" s="550">
        <v>46</v>
      </c>
      <c r="Q750" s="550">
        <v>1</v>
      </c>
      <c r="R750" s="551" t="str">
        <f t="shared" si="122"/>
        <v>PARAMOUNT</v>
      </c>
      <c r="S750" s="552"/>
      <c r="T750" s="552"/>
      <c r="U750" s="552"/>
      <c r="V750" s="552"/>
      <c r="W750" s="552"/>
      <c r="X750" s="552"/>
      <c r="Y750" s="552"/>
      <c r="Z750" s="552"/>
      <c r="AA750" s="553"/>
      <c r="AB750" s="553"/>
    </row>
    <row r="751" spans="1:28" ht="12.75">
      <c r="A751" s="547" t="s">
        <v>405</v>
      </c>
      <c r="B751" s="547" t="s">
        <v>153</v>
      </c>
      <c r="C751" s="548" t="s">
        <v>812</v>
      </c>
      <c r="D751" s="549">
        <v>2018</v>
      </c>
      <c r="E751" s="549" t="s">
        <v>775</v>
      </c>
      <c r="F751" s="550">
        <v>26</v>
      </c>
      <c r="G751" s="550">
        <v>0</v>
      </c>
      <c r="H751" s="550">
        <v>0</v>
      </c>
      <c r="I751" s="550">
        <v>0</v>
      </c>
      <c r="J751" s="550">
        <v>16</v>
      </c>
      <c r="K751" s="550">
        <v>0</v>
      </c>
      <c r="L751" s="550">
        <v>0</v>
      </c>
      <c r="M751" s="550">
        <v>0</v>
      </c>
      <c r="N751" s="550">
        <v>17</v>
      </c>
      <c r="O751" s="550">
        <v>0</v>
      </c>
      <c r="P751" s="550">
        <v>46</v>
      </c>
      <c r="Q751" s="550">
        <v>43</v>
      </c>
      <c r="R751" s="551" t="str">
        <f t="shared" si="122"/>
        <v>PARAMOUNT</v>
      </c>
      <c r="S751" s="552"/>
      <c r="T751" s="552"/>
      <c r="U751" s="552"/>
      <c r="V751" s="552"/>
      <c r="W751" s="552"/>
      <c r="X751" s="552"/>
      <c r="Y751" s="552"/>
      <c r="Z751" s="552"/>
      <c r="AA751" s="553"/>
      <c r="AB751" s="553"/>
    </row>
    <row r="752" spans="1:28" ht="12.75">
      <c r="A752" s="547" t="s">
        <v>405</v>
      </c>
      <c r="B752" s="547" t="s">
        <v>153</v>
      </c>
      <c r="C752" s="548" t="s">
        <v>813</v>
      </c>
      <c r="D752" s="549">
        <v>2019</v>
      </c>
      <c r="E752" s="549" t="s">
        <v>775</v>
      </c>
      <c r="F752" s="550">
        <v>26</v>
      </c>
      <c r="G752" s="550">
        <v>0</v>
      </c>
      <c r="H752" s="550">
        <v>0</v>
      </c>
      <c r="I752" s="550">
        <v>0</v>
      </c>
      <c r="J752" s="550">
        <v>16</v>
      </c>
      <c r="K752" s="550">
        <v>0</v>
      </c>
      <c r="L752" s="550">
        <v>0</v>
      </c>
      <c r="M752" s="550">
        <v>0</v>
      </c>
      <c r="N752" s="550">
        <v>17</v>
      </c>
      <c r="O752" s="550">
        <v>0</v>
      </c>
      <c r="P752" s="550">
        <v>46</v>
      </c>
      <c r="Q752" s="550">
        <v>26</v>
      </c>
      <c r="R752" s="551" t="str">
        <f t="shared" si="122"/>
        <v>PARAMOUNT</v>
      </c>
      <c r="S752" s="552">
        <f>SUM(G747:G752) +SUM(K747:K752)</f>
        <v>0</v>
      </c>
      <c r="T752" s="552">
        <f>F752+J752</f>
        <v>42</v>
      </c>
      <c r="U752" s="552">
        <f>SUM(O747:O752)</f>
        <v>0</v>
      </c>
      <c r="V752" s="552">
        <f>N752</f>
        <v>17</v>
      </c>
      <c r="W752" s="554">
        <f>SUM(Q747:Q752)</f>
        <v>80</v>
      </c>
      <c r="X752" s="552">
        <f>P752</f>
        <v>46</v>
      </c>
      <c r="Y752" s="552">
        <f>S752+U752+SUM(Q747:Q752)</f>
        <v>80</v>
      </c>
      <c r="Z752" s="552">
        <f>F752+J752+N752+P752</f>
        <v>105</v>
      </c>
      <c r="AA752" s="553"/>
      <c r="AB752" s="553"/>
    </row>
    <row r="753" spans="1:28" ht="12.75">
      <c r="A753" s="547" t="s">
        <v>406</v>
      </c>
      <c r="B753" s="547" t="s">
        <v>153</v>
      </c>
      <c r="C753" s="548" t="s">
        <v>812</v>
      </c>
      <c r="D753" s="549">
        <v>2014</v>
      </c>
      <c r="E753" s="549" t="s">
        <v>775</v>
      </c>
      <c r="F753" s="550">
        <v>340</v>
      </c>
      <c r="G753" s="550">
        <v>30</v>
      </c>
      <c r="H753" s="550">
        <v>30</v>
      </c>
      <c r="I753" s="550">
        <v>0</v>
      </c>
      <c r="J753" s="550">
        <v>207</v>
      </c>
      <c r="K753" s="550">
        <v>4</v>
      </c>
      <c r="L753" s="550">
        <v>4</v>
      </c>
      <c r="M753" s="550">
        <v>0</v>
      </c>
      <c r="N753" s="550">
        <v>224</v>
      </c>
      <c r="O753" s="550">
        <v>17</v>
      </c>
      <c r="P753" s="550">
        <v>561</v>
      </c>
      <c r="Q753" s="550">
        <v>487</v>
      </c>
      <c r="R753" s="551" t="str">
        <f t="shared" si="122"/>
        <v>PASADENA</v>
      </c>
      <c r="S753" s="552"/>
      <c r="T753" s="552"/>
      <c r="U753" s="552"/>
      <c r="V753" s="552"/>
      <c r="W753" s="552"/>
      <c r="X753" s="552"/>
      <c r="Y753" s="552"/>
      <c r="Z753" s="552"/>
      <c r="AA753" s="553"/>
      <c r="AB753" s="553"/>
    </row>
    <row r="754" spans="1:28" ht="12.75">
      <c r="A754" s="547" t="s">
        <v>406</v>
      </c>
      <c r="B754" s="547" t="s">
        <v>153</v>
      </c>
      <c r="C754" s="548" t="s">
        <v>812</v>
      </c>
      <c r="D754" s="549">
        <v>2015</v>
      </c>
      <c r="E754" s="549" t="s">
        <v>775</v>
      </c>
      <c r="F754" s="550">
        <v>340</v>
      </c>
      <c r="G754" s="550">
        <v>104</v>
      </c>
      <c r="H754" s="550">
        <v>104</v>
      </c>
      <c r="I754" s="550">
        <v>0</v>
      </c>
      <c r="J754" s="550">
        <v>207</v>
      </c>
      <c r="K754" s="550">
        <v>0</v>
      </c>
      <c r="L754" s="550">
        <v>0</v>
      </c>
      <c r="M754" s="550">
        <v>0</v>
      </c>
      <c r="N754" s="550">
        <v>224</v>
      </c>
      <c r="O754" s="550">
        <v>10</v>
      </c>
      <c r="P754" s="550">
        <v>561</v>
      </c>
      <c r="Q754" s="550">
        <v>508</v>
      </c>
      <c r="R754" s="551" t="str">
        <f t="shared" si="122"/>
        <v>PASADENA</v>
      </c>
      <c r="S754" s="552"/>
      <c r="T754" s="552"/>
      <c r="U754" s="552"/>
      <c r="V754" s="552"/>
      <c r="W754" s="552"/>
      <c r="X754" s="552"/>
      <c r="Y754" s="552"/>
      <c r="Z754" s="552"/>
      <c r="AA754" s="553"/>
      <c r="AB754" s="553"/>
    </row>
    <row r="755" spans="1:28" ht="12.75">
      <c r="A755" s="547" t="s">
        <v>406</v>
      </c>
      <c r="B755" s="547" t="s">
        <v>153</v>
      </c>
      <c r="C755" s="548" t="s">
        <v>812</v>
      </c>
      <c r="D755" s="549">
        <v>2016</v>
      </c>
      <c r="E755" s="549" t="s">
        <v>775</v>
      </c>
      <c r="F755" s="550">
        <v>340</v>
      </c>
      <c r="G755" s="550">
        <v>1</v>
      </c>
      <c r="H755" s="550">
        <v>1</v>
      </c>
      <c r="I755" s="550">
        <v>0</v>
      </c>
      <c r="J755" s="550">
        <v>207</v>
      </c>
      <c r="K755" s="550">
        <v>34</v>
      </c>
      <c r="L755" s="550">
        <v>34</v>
      </c>
      <c r="M755" s="550">
        <v>0</v>
      </c>
      <c r="N755" s="550">
        <v>224</v>
      </c>
      <c r="O755" s="550">
        <v>18</v>
      </c>
      <c r="P755" s="550">
        <v>561</v>
      </c>
      <c r="Q755" s="550">
        <v>357</v>
      </c>
      <c r="R755" s="551" t="str">
        <f t="shared" si="122"/>
        <v>PASADENA</v>
      </c>
      <c r="S755" s="552"/>
      <c r="T755" s="552"/>
      <c r="U755" s="552"/>
      <c r="V755" s="552"/>
      <c r="W755" s="552"/>
      <c r="X755" s="552"/>
      <c r="Y755" s="552"/>
      <c r="Z755" s="552"/>
      <c r="AA755" s="553"/>
      <c r="AB755" s="553"/>
    </row>
    <row r="756" spans="1:28" ht="12.75">
      <c r="A756" s="547" t="s">
        <v>406</v>
      </c>
      <c r="B756" s="547" t="s">
        <v>153</v>
      </c>
      <c r="C756" s="548" t="s">
        <v>812</v>
      </c>
      <c r="D756" s="549">
        <v>2017</v>
      </c>
      <c r="E756" s="549" t="s">
        <v>775</v>
      </c>
      <c r="F756" s="550">
        <v>340</v>
      </c>
      <c r="G756" s="550">
        <v>9</v>
      </c>
      <c r="H756" s="550">
        <v>9</v>
      </c>
      <c r="I756" s="550">
        <v>0</v>
      </c>
      <c r="J756" s="550">
        <v>207</v>
      </c>
      <c r="K756" s="550">
        <v>0</v>
      </c>
      <c r="L756" s="550">
        <v>0</v>
      </c>
      <c r="M756" s="550">
        <v>0</v>
      </c>
      <c r="N756" s="550">
        <v>224</v>
      </c>
      <c r="O756" s="550">
        <v>0</v>
      </c>
      <c r="P756" s="550">
        <v>561</v>
      </c>
      <c r="Q756" s="550">
        <v>213</v>
      </c>
      <c r="R756" s="551" t="str">
        <f t="shared" si="122"/>
        <v>PASADENA</v>
      </c>
      <c r="S756" s="552"/>
      <c r="T756" s="552"/>
      <c r="U756" s="552"/>
      <c r="V756" s="552"/>
      <c r="W756" s="552"/>
      <c r="X756" s="552"/>
      <c r="Y756" s="552"/>
      <c r="Z756" s="552"/>
      <c r="AA756" s="553"/>
      <c r="AB756" s="553"/>
    </row>
    <row r="757" spans="1:28" ht="12.75">
      <c r="A757" s="547" t="s">
        <v>406</v>
      </c>
      <c r="B757" s="547" t="s">
        <v>153</v>
      </c>
      <c r="C757" s="548" t="s">
        <v>812</v>
      </c>
      <c r="D757" s="549">
        <v>2018</v>
      </c>
      <c r="E757" s="549" t="s">
        <v>775</v>
      </c>
      <c r="F757" s="550">
        <v>340</v>
      </c>
      <c r="G757" s="550">
        <v>1</v>
      </c>
      <c r="H757" s="550">
        <v>1</v>
      </c>
      <c r="I757" s="550">
        <v>0</v>
      </c>
      <c r="J757" s="550">
        <v>207</v>
      </c>
      <c r="K757" s="550">
        <v>0</v>
      </c>
      <c r="L757" s="550">
        <v>0</v>
      </c>
      <c r="M757" s="550">
        <v>0</v>
      </c>
      <c r="N757" s="550">
        <v>224</v>
      </c>
      <c r="O757" s="550">
        <v>0</v>
      </c>
      <c r="P757" s="550">
        <v>561</v>
      </c>
      <c r="Q757" s="550">
        <v>535</v>
      </c>
      <c r="R757" s="551" t="str">
        <f t="shared" si="122"/>
        <v>PASADENA</v>
      </c>
      <c r="S757" s="552"/>
      <c r="T757" s="552"/>
      <c r="U757" s="552"/>
      <c r="V757" s="552"/>
      <c r="W757" s="552"/>
      <c r="X757" s="552"/>
      <c r="Y757" s="552"/>
      <c r="Z757" s="552"/>
      <c r="AA757" s="553"/>
      <c r="AB757" s="553"/>
    </row>
    <row r="758" spans="1:28" ht="12.75">
      <c r="A758" s="547" t="s">
        <v>406</v>
      </c>
      <c r="B758" s="547" t="s">
        <v>153</v>
      </c>
      <c r="C758" s="548" t="s">
        <v>813</v>
      </c>
      <c r="D758" s="549">
        <v>2019</v>
      </c>
      <c r="E758" s="549" t="s">
        <v>775</v>
      </c>
      <c r="F758" s="550">
        <v>340</v>
      </c>
      <c r="G758" s="550">
        <v>3</v>
      </c>
      <c r="H758" s="550">
        <v>3</v>
      </c>
      <c r="I758" s="550">
        <v>0</v>
      </c>
      <c r="J758" s="550">
        <v>207</v>
      </c>
      <c r="K758" s="550">
        <v>16</v>
      </c>
      <c r="L758" s="550">
        <v>16</v>
      </c>
      <c r="M758" s="550">
        <v>0</v>
      </c>
      <c r="N758" s="550">
        <v>224</v>
      </c>
      <c r="O758" s="550">
        <v>0</v>
      </c>
      <c r="P758" s="550">
        <v>561</v>
      </c>
      <c r="Q758" s="550">
        <v>242</v>
      </c>
      <c r="R758" s="551" t="str">
        <f t="shared" si="122"/>
        <v>PASADENA</v>
      </c>
      <c r="S758" s="552">
        <f>SUM(G753:G758) +SUM(K753:K758)</f>
        <v>202</v>
      </c>
      <c r="T758" s="552">
        <f t="shared" ref="T758:T760" si="143">F758+J758</f>
        <v>547</v>
      </c>
      <c r="U758" s="552">
        <f>SUM(O753:O758)</f>
        <v>45</v>
      </c>
      <c r="V758" s="552">
        <f t="shared" ref="V758:V760" si="144">N758</f>
        <v>224</v>
      </c>
      <c r="W758" s="554">
        <f>SUM(Q753:Q758)</f>
        <v>2342</v>
      </c>
      <c r="X758" s="552">
        <f t="shared" ref="X758:X760" si="145">P758</f>
        <v>561</v>
      </c>
      <c r="Y758" s="552">
        <f>S758+U758+SUM(Q753:Q758)</f>
        <v>2589</v>
      </c>
      <c r="Z758" s="552">
        <f t="shared" ref="Z758:Z760" si="146">F758+J758+N758+P758</f>
        <v>1332</v>
      </c>
      <c r="AA758" s="553"/>
      <c r="AB758" s="553"/>
    </row>
    <row r="759" spans="1:28" ht="12.75">
      <c r="A759" s="547" t="s">
        <v>407</v>
      </c>
      <c r="B759" s="547" t="s">
        <v>153</v>
      </c>
      <c r="C759" s="548" t="s">
        <v>813</v>
      </c>
      <c r="D759" s="549">
        <v>2019</v>
      </c>
      <c r="E759" s="549" t="s">
        <v>775</v>
      </c>
      <c r="F759" s="550">
        <v>217</v>
      </c>
      <c r="G759" s="550">
        <v>0</v>
      </c>
      <c r="H759" s="550">
        <v>0</v>
      </c>
      <c r="I759" s="550">
        <v>0</v>
      </c>
      <c r="J759" s="550">
        <v>131</v>
      </c>
      <c r="K759" s="550">
        <v>21</v>
      </c>
      <c r="L759" s="550">
        <v>0</v>
      </c>
      <c r="M759" s="550">
        <v>21</v>
      </c>
      <c r="N759" s="550">
        <v>140</v>
      </c>
      <c r="O759" s="550">
        <v>2</v>
      </c>
      <c r="P759" s="550">
        <v>362</v>
      </c>
      <c r="Q759" s="550">
        <v>0</v>
      </c>
      <c r="R759" s="551" t="str">
        <f t="shared" si="122"/>
        <v>PICO RIVERA</v>
      </c>
      <c r="S759" s="552">
        <f t="shared" ref="S759:S760" si="147">G759+K759</f>
        <v>21</v>
      </c>
      <c r="T759" s="552">
        <f t="shared" si="143"/>
        <v>348</v>
      </c>
      <c r="U759" s="552">
        <f t="shared" ref="U759:U760" si="148">O759</f>
        <v>2</v>
      </c>
      <c r="V759" s="552">
        <f t="shared" si="144"/>
        <v>140</v>
      </c>
      <c r="W759" s="552">
        <f t="shared" ref="W759:W760" si="149">Q759</f>
        <v>0</v>
      </c>
      <c r="X759" s="552">
        <f t="shared" si="145"/>
        <v>362</v>
      </c>
      <c r="Y759" s="552">
        <f t="shared" ref="Y759:Y760" si="150">S759+U759+W759</f>
        <v>23</v>
      </c>
      <c r="Z759" s="552">
        <f t="shared" si="146"/>
        <v>850</v>
      </c>
      <c r="AA759" s="553"/>
      <c r="AB759" s="553"/>
    </row>
    <row r="760" spans="1:28" ht="12.75">
      <c r="A760" s="547" t="s">
        <v>408</v>
      </c>
      <c r="B760" s="547" t="s">
        <v>153</v>
      </c>
      <c r="C760" s="548" t="s">
        <v>813</v>
      </c>
      <c r="D760" s="549">
        <v>2019</v>
      </c>
      <c r="E760" s="549" t="s">
        <v>775</v>
      </c>
      <c r="F760" s="550">
        <v>919</v>
      </c>
      <c r="G760" s="550">
        <v>0</v>
      </c>
      <c r="H760" s="550">
        <v>0</v>
      </c>
      <c r="I760" s="550">
        <v>0</v>
      </c>
      <c r="J760" s="550">
        <v>543</v>
      </c>
      <c r="K760" s="550">
        <v>61</v>
      </c>
      <c r="L760" s="550">
        <v>0</v>
      </c>
      <c r="M760" s="550">
        <v>61</v>
      </c>
      <c r="N760" s="550">
        <v>592</v>
      </c>
      <c r="O760" s="550">
        <v>0</v>
      </c>
      <c r="P760" s="550">
        <v>1572</v>
      </c>
      <c r="Q760" s="550">
        <v>144</v>
      </c>
      <c r="R760" s="551" t="str">
        <f t="shared" si="122"/>
        <v>POMONA</v>
      </c>
      <c r="S760" s="552">
        <f t="shared" si="147"/>
        <v>61</v>
      </c>
      <c r="T760" s="552">
        <f t="shared" si="143"/>
        <v>1462</v>
      </c>
      <c r="U760" s="552">
        <f t="shared" si="148"/>
        <v>0</v>
      </c>
      <c r="V760" s="552">
        <f t="shared" si="144"/>
        <v>592</v>
      </c>
      <c r="W760" s="552">
        <f t="shared" si="149"/>
        <v>144</v>
      </c>
      <c r="X760" s="552">
        <f t="shared" si="145"/>
        <v>1572</v>
      </c>
      <c r="Y760" s="552">
        <f t="shared" si="150"/>
        <v>205</v>
      </c>
      <c r="Z760" s="552">
        <f t="shared" si="146"/>
        <v>3626</v>
      </c>
      <c r="AA760" s="553"/>
      <c r="AB760" s="553"/>
    </row>
    <row r="761" spans="1:28" ht="12.75">
      <c r="A761" s="547" t="s">
        <v>409</v>
      </c>
      <c r="B761" s="547" t="s">
        <v>153</v>
      </c>
      <c r="C761" s="548" t="s">
        <v>812</v>
      </c>
      <c r="D761" s="549">
        <v>2014</v>
      </c>
      <c r="E761" s="549" t="s">
        <v>775</v>
      </c>
      <c r="F761" s="550">
        <v>8</v>
      </c>
      <c r="G761" s="550">
        <v>0</v>
      </c>
      <c r="H761" s="550">
        <v>0</v>
      </c>
      <c r="I761" s="550">
        <v>0</v>
      </c>
      <c r="J761" s="550">
        <v>5</v>
      </c>
      <c r="K761" s="550">
        <v>0</v>
      </c>
      <c r="L761" s="550">
        <v>0</v>
      </c>
      <c r="M761" s="550">
        <v>0</v>
      </c>
      <c r="N761" s="550">
        <v>5</v>
      </c>
      <c r="O761" s="550">
        <v>0</v>
      </c>
      <c r="P761" s="550">
        <v>13</v>
      </c>
      <c r="Q761" s="550">
        <v>4</v>
      </c>
      <c r="R761" s="551" t="str">
        <f t="shared" si="122"/>
        <v>RANCHO PALOS VERDES</v>
      </c>
      <c r="S761" s="552"/>
      <c r="T761" s="552"/>
      <c r="U761" s="552"/>
      <c r="V761" s="552"/>
      <c r="W761" s="552"/>
      <c r="X761" s="552"/>
      <c r="Y761" s="552"/>
      <c r="Z761" s="552"/>
      <c r="AA761" s="553"/>
      <c r="AB761" s="553"/>
    </row>
    <row r="762" spans="1:28" ht="12.75">
      <c r="A762" s="547" t="s">
        <v>409</v>
      </c>
      <c r="B762" s="547" t="s">
        <v>153</v>
      </c>
      <c r="C762" s="548" t="s">
        <v>812</v>
      </c>
      <c r="D762" s="549">
        <v>2015</v>
      </c>
      <c r="E762" s="549" t="s">
        <v>775</v>
      </c>
      <c r="F762" s="550">
        <v>8</v>
      </c>
      <c r="G762" s="550">
        <v>0</v>
      </c>
      <c r="H762" s="550">
        <v>0</v>
      </c>
      <c r="I762" s="550">
        <v>0</v>
      </c>
      <c r="J762" s="550">
        <v>5</v>
      </c>
      <c r="K762" s="550">
        <v>0</v>
      </c>
      <c r="L762" s="550">
        <v>0</v>
      </c>
      <c r="M762" s="550">
        <v>0</v>
      </c>
      <c r="N762" s="550">
        <v>5</v>
      </c>
      <c r="O762" s="550">
        <v>0</v>
      </c>
      <c r="P762" s="550">
        <v>13</v>
      </c>
      <c r="Q762" s="550">
        <v>4</v>
      </c>
      <c r="R762" s="551" t="str">
        <f t="shared" si="122"/>
        <v>RANCHO PALOS VERDES</v>
      </c>
      <c r="S762" s="552"/>
      <c r="T762" s="552"/>
      <c r="U762" s="552"/>
      <c r="V762" s="552"/>
      <c r="W762" s="552"/>
      <c r="X762" s="552"/>
      <c r="Y762" s="552"/>
      <c r="Z762" s="552"/>
      <c r="AA762" s="553"/>
      <c r="AB762" s="553"/>
    </row>
    <row r="763" spans="1:28" ht="12.75">
      <c r="A763" s="547" t="s">
        <v>409</v>
      </c>
      <c r="B763" s="547" t="s">
        <v>153</v>
      </c>
      <c r="C763" s="548" t="s">
        <v>812</v>
      </c>
      <c r="D763" s="549">
        <v>2016</v>
      </c>
      <c r="E763" s="549" t="s">
        <v>775</v>
      </c>
      <c r="F763" s="550">
        <v>8</v>
      </c>
      <c r="G763" s="550">
        <v>4</v>
      </c>
      <c r="H763" s="550">
        <v>4</v>
      </c>
      <c r="I763" s="550">
        <v>0</v>
      </c>
      <c r="J763" s="550">
        <v>5</v>
      </c>
      <c r="K763" s="550">
        <v>0</v>
      </c>
      <c r="L763" s="550">
        <v>0</v>
      </c>
      <c r="M763" s="550">
        <v>0</v>
      </c>
      <c r="N763" s="550">
        <v>5</v>
      </c>
      <c r="O763" s="550">
        <v>0</v>
      </c>
      <c r="P763" s="550">
        <v>13</v>
      </c>
      <c r="Q763" s="550">
        <v>48</v>
      </c>
      <c r="R763" s="551" t="str">
        <f t="shared" si="122"/>
        <v>RANCHO PALOS VERDES</v>
      </c>
      <c r="S763" s="552"/>
      <c r="T763" s="552"/>
      <c r="U763" s="552"/>
      <c r="V763" s="552"/>
      <c r="W763" s="552"/>
      <c r="X763" s="552"/>
      <c r="Y763" s="552"/>
      <c r="Z763" s="552"/>
      <c r="AA763" s="553"/>
      <c r="AB763" s="553"/>
    </row>
    <row r="764" spans="1:28" ht="12.75">
      <c r="A764" s="547" t="s">
        <v>409</v>
      </c>
      <c r="B764" s="547" t="s">
        <v>153</v>
      </c>
      <c r="C764" s="548" t="s">
        <v>812</v>
      </c>
      <c r="D764" s="549">
        <v>2017</v>
      </c>
      <c r="E764" s="549" t="s">
        <v>775</v>
      </c>
      <c r="F764" s="550">
        <v>8</v>
      </c>
      <c r="G764" s="550">
        <v>1</v>
      </c>
      <c r="H764" s="550">
        <v>1</v>
      </c>
      <c r="I764" s="550">
        <v>0</v>
      </c>
      <c r="J764" s="550">
        <v>5</v>
      </c>
      <c r="K764" s="550">
        <v>0</v>
      </c>
      <c r="L764" s="550">
        <v>0</v>
      </c>
      <c r="M764" s="550">
        <v>0</v>
      </c>
      <c r="N764" s="550">
        <v>5</v>
      </c>
      <c r="O764" s="550">
        <v>0</v>
      </c>
      <c r="P764" s="550">
        <v>13</v>
      </c>
      <c r="Q764" s="550">
        <v>26</v>
      </c>
      <c r="R764" s="551" t="str">
        <f t="shared" si="122"/>
        <v>RANCHO PALOS VERDES</v>
      </c>
      <c r="S764" s="552"/>
      <c r="T764" s="552"/>
      <c r="U764" s="552"/>
      <c r="V764" s="552"/>
      <c r="W764" s="552"/>
      <c r="X764" s="552"/>
      <c r="Y764" s="552"/>
      <c r="Z764" s="552"/>
      <c r="AA764" s="553"/>
      <c r="AB764" s="553"/>
    </row>
    <row r="765" spans="1:28" ht="12.75">
      <c r="A765" s="547" t="s">
        <v>409</v>
      </c>
      <c r="B765" s="547" t="s">
        <v>153</v>
      </c>
      <c r="C765" s="548" t="s">
        <v>812</v>
      </c>
      <c r="D765" s="549">
        <v>2018</v>
      </c>
      <c r="E765" s="549" t="s">
        <v>775</v>
      </c>
      <c r="F765" s="550">
        <v>8</v>
      </c>
      <c r="G765" s="550">
        <v>0</v>
      </c>
      <c r="H765" s="550">
        <v>0</v>
      </c>
      <c r="I765" s="550">
        <v>0</v>
      </c>
      <c r="J765" s="550">
        <v>5</v>
      </c>
      <c r="K765" s="550">
        <v>0</v>
      </c>
      <c r="L765" s="550">
        <v>0</v>
      </c>
      <c r="M765" s="550">
        <v>0</v>
      </c>
      <c r="N765" s="550">
        <v>5</v>
      </c>
      <c r="O765" s="550">
        <v>1</v>
      </c>
      <c r="P765" s="550">
        <v>13</v>
      </c>
      <c r="Q765" s="550">
        <v>21</v>
      </c>
      <c r="R765" s="551" t="str">
        <f t="shared" si="122"/>
        <v>RANCHO PALOS VERDES</v>
      </c>
      <c r="S765" s="552"/>
      <c r="T765" s="552"/>
      <c r="U765" s="552"/>
      <c r="V765" s="552"/>
      <c r="W765" s="552"/>
      <c r="X765" s="552"/>
      <c r="Y765" s="552"/>
      <c r="Z765" s="552"/>
      <c r="AA765" s="553"/>
      <c r="AB765" s="553"/>
    </row>
    <row r="766" spans="1:28" ht="12.75">
      <c r="A766" s="547" t="s">
        <v>409</v>
      </c>
      <c r="B766" s="547" t="s">
        <v>153</v>
      </c>
      <c r="C766" s="548" t="s">
        <v>813</v>
      </c>
      <c r="D766" s="549">
        <v>2019</v>
      </c>
      <c r="E766" s="549" t="s">
        <v>775</v>
      </c>
      <c r="F766" s="550">
        <v>8</v>
      </c>
      <c r="G766" s="550">
        <v>0</v>
      </c>
      <c r="H766" s="550">
        <v>0</v>
      </c>
      <c r="I766" s="550">
        <v>0</v>
      </c>
      <c r="J766" s="550">
        <v>5</v>
      </c>
      <c r="K766" s="550">
        <v>0</v>
      </c>
      <c r="L766" s="550">
        <v>0</v>
      </c>
      <c r="M766" s="550">
        <v>0</v>
      </c>
      <c r="N766" s="550">
        <v>5</v>
      </c>
      <c r="O766" s="550">
        <v>1</v>
      </c>
      <c r="P766" s="550">
        <v>13</v>
      </c>
      <c r="Q766" s="550">
        <v>9</v>
      </c>
      <c r="R766" s="551" t="str">
        <f t="shared" si="122"/>
        <v>RANCHO PALOS VERDES</v>
      </c>
      <c r="S766" s="552">
        <f>SUM(G761:G766) +SUM(K761:K766)</f>
        <v>5</v>
      </c>
      <c r="T766" s="552">
        <f>F766+J766</f>
        <v>13</v>
      </c>
      <c r="U766" s="552">
        <f>SUM(O761:O766)</f>
        <v>2</v>
      </c>
      <c r="V766" s="552">
        <f>N766</f>
        <v>5</v>
      </c>
      <c r="W766" s="554">
        <f>SUM(Q761:Q766)</f>
        <v>112</v>
      </c>
      <c r="X766" s="552">
        <f>P766</f>
        <v>13</v>
      </c>
      <c r="Y766" s="552">
        <f>S766+U766+SUM(Q761:Q766)</f>
        <v>119</v>
      </c>
      <c r="Z766" s="552">
        <f>F766+J766+N766+P766</f>
        <v>31</v>
      </c>
      <c r="AA766" s="553"/>
      <c r="AB766" s="553"/>
    </row>
    <row r="767" spans="1:28" ht="12.75">
      <c r="A767" s="547" t="s">
        <v>410</v>
      </c>
      <c r="B767" s="547" t="s">
        <v>153</v>
      </c>
      <c r="C767" s="548" t="s">
        <v>812</v>
      </c>
      <c r="D767" s="549">
        <v>2014</v>
      </c>
      <c r="E767" s="549" t="s">
        <v>775</v>
      </c>
      <c r="F767" s="550">
        <v>372</v>
      </c>
      <c r="G767" s="550">
        <v>0</v>
      </c>
      <c r="H767" s="550">
        <v>0</v>
      </c>
      <c r="I767" s="550">
        <v>0</v>
      </c>
      <c r="J767" s="550">
        <v>223</v>
      </c>
      <c r="K767" s="550">
        <v>0</v>
      </c>
      <c r="L767" s="550">
        <v>0</v>
      </c>
      <c r="M767" s="550">
        <v>0</v>
      </c>
      <c r="N767" s="550">
        <v>238</v>
      </c>
      <c r="O767" s="550">
        <v>0</v>
      </c>
      <c r="P767" s="550">
        <v>564</v>
      </c>
      <c r="Q767" s="550">
        <v>35</v>
      </c>
      <c r="R767" s="551" t="str">
        <f t="shared" si="122"/>
        <v>REDONDO BEACH</v>
      </c>
      <c r="S767" s="552"/>
      <c r="T767" s="552"/>
      <c r="U767" s="552"/>
      <c r="V767" s="552"/>
      <c r="W767" s="552"/>
      <c r="X767" s="552"/>
      <c r="Y767" s="552"/>
      <c r="Z767" s="552"/>
      <c r="AA767" s="553"/>
      <c r="AB767" s="553"/>
    </row>
    <row r="768" spans="1:28" ht="12.75">
      <c r="A768" s="547" t="s">
        <v>410</v>
      </c>
      <c r="B768" s="547" t="s">
        <v>153</v>
      </c>
      <c r="C768" s="548" t="s">
        <v>812</v>
      </c>
      <c r="D768" s="549">
        <v>2015</v>
      </c>
      <c r="E768" s="549" t="s">
        <v>775</v>
      </c>
      <c r="F768" s="550">
        <v>372</v>
      </c>
      <c r="G768" s="550">
        <v>0</v>
      </c>
      <c r="H768" s="550">
        <v>0</v>
      </c>
      <c r="I768" s="550">
        <v>0</v>
      </c>
      <c r="J768" s="550">
        <v>223</v>
      </c>
      <c r="K768" s="550">
        <v>0</v>
      </c>
      <c r="L768" s="550">
        <v>0</v>
      </c>
      <c r="M768" s="550">
        <v>0</v>
      </c>
      <c r="N768" s="550">
        <v>238</v>
      </c>
      <c r="O768" s="550">
        <v>0</v>
      </c>
      <c r="P768" s="550">
        <v>564</v>
      </c>
      <c r="Q768" s="550">
        <v>68</v>
      </c>
      <c r="R768" s="551" t="str">
        <f t="shared" si="122"/>
        <v>REDONDO BEACH</v>
      </c>
      <c r="S768" s="552"/>
      <c r="T768" s="552"/>
      <c r="U768" s="552"/>
      <c r="V768" s="552"/>
      <c r="W768" s="552"/>
      <c r="X768" s="552"/>
      <c r="Y768" s="552"/>
      <c r="Z768" s="552"/>
      <c r="AA768" s="553"/>
      <c r="AB768" s="553"/>
    </row>
    <row r="769" spans="1:28" ht="12.75">
      <c r="A769" s="547" t="s">
        <v>410</v>
      </c>
      <c r="B769" s="547" t="s">
        <v>153</v>
      </c>
      <c r="C769" s="548" t="s">
        <v>812</v>
      </c>
      <c r="D769" s="549">
        <v>2016</v>
      </c>
      <c r="E769" s="549" t="s">
        <v>775</v>
      </c>
      <c r="F769" s="550">
        <v>372</v>
      </c>
      <c r="G769" s="550">
        <v>0</v>
      </c>
      <c r="H769" s="550">
        <v>0</v>
      </c>
      <c r="I769" s="550">
        <v>0</v>
      </c>
      <c r="J769" s="550">
        <v>223</v>
      </c>
      <c r="K769" s="550">
        <v>0</v>
      </c>
      <c r="L769" s="550">
        <v>0</v>
      </c>
      <c r="M769" s="550">
        <v>0</v>
      </c>
      <c r="N769" s="550">
        <v>238</v>
      </c>
      <c r="O769" s="550">
        <v>0</v>
      </c>
      <c r="P769" s="550">
        <v>564</v>
      </c>
      <c r="Q769" s="550">
        <v>21</v>
      </c>
      <c r="R769" s="551" t="str">
        <f t="shared" si="122"/>
        <v>REDONDO BEACH</v>
      </c>
      <c r="S769" s="552"/>
      <c r="T769" s="552"/>
      <c r="U769" s="552"/>
      <c r="V769" s="552"/>
      <c r="W769" s="552"/>
      <c r="X769" s="552"/>
      <c r="Y769" s="552"/>
      <c r="Z769" s="552"/>
      <c r="AA769" s="553"/>
      <c r="AB769" s="553"/>
    </row>
    <row r="770" spans="1:28" ht="12.75">
      <c r="A770" s="547" t="s">
        <v>410</v>
      </c>
      <c r="B770" s="547" t="s">
        <v>153</v>
      </c>
      <c r="C770" s="548" t="s">
        <v>812</v>
      </c>
      <c r="D770" s="549">
        <v>2017</v>
      </c>
      <c r="E770" s="549" t="s">
        <v>775</v>
      </c>
      <c r="F770" s="550">
        <v>372</v>
      </c>
      <c r="G770" s="550">
        <v>0</v>
      </c>
      <c r="H770" s="550">
        <v>0</v>
      </c>
      <c r="I770" s="550">
        <v>0</v>
      </c>
      <c r="J770" s="550">
        <v>223</v>
      </c>
      <c r="K770" s="550">
        <v>0</v>
      </c>
      <c r="L770" s="550">
        <v>0</v>
      </c>
      <c r="M770" s="550">
        <v>0</v>
      </c>
      <c r="N770" s="550">
        <v>238</v>
      </c>
      <c r="O770" s="550">
        <v>0</v>
      </c>
      <c r="P770" s="550">
        <v>564</v>
      </c>
      <c r="Q770" s="550">
        <v>0</v>
      </c>
      <c r="R770" s="551" t="str">
        <f t="shared" si="122"/>
        <v>REDONDO BEACH</v>
      </c>
      <c r="S770" s="552"/>
      <c r="T770" s="552"/>
      <c r="U770" s="552"/>
      <c r="V770" s="552"/>
      <c r="W770" s="552"/>
      <c r="X770" s="552"/>
      <c r="Y770" s="552"/>
      <c r="Z770" s="552"/>
      <c r="AA770" s="553"/>
      <c r="AB770" s="553"/>
    </row>
    <row r="771" spans="1:28" ht="12.75">
      <c r="A771" s="547" t="s">
        <v>410</v>
      </c>
      <c r="B771" s="547" t="s">
        <v>153</v>
      </c>
      <c r="C771" s="548" t="s">
        <v>812</v>
      </c>
      <c r="D771" s="549">
        <v>2018</v>
      </c>
      <c r="E771" s="549" t="s">
        <v>775</v>
      </c>
      <c r="F771" s="550">
        <v>372</v>
      </c>
      <c r="G771" s="550">
        <v>0</v>
      </c>
      <c r="H771" s="550">
        <v>0</v>
      </c>
      <c r="I771" s="550">
        <v>0</v>
      </c>
      <c r="J771" s="550">
        <v>223</v>
      </c>
      <c r="K771" s="550">
        <v>13</v>
      </c>
      <c r="L771" s="550">
        <v>0</v>
      </c>
      <c r="M771" s="550">
        <v>13</v>
      </c>
      <c r="N771" s="550">
        <v>238</v>
      </c>
      <c r="O771" s="550">
        <v>0</v>
      </c>
      <c r="P771" s="550">
        <v>564</v>
      </c>
      <c r="Q771" s="550">
        <v>115</v>
      </c>
      <c r="R771" s="551" t="str">
        <f t="shared" si="122"/>
        <v>REDONDO BEACH</v>
      </c>
      <c r="S771" s="552"/>
      <c r="T771" s="552"/>
      <c r="U771" s="552"/>
      <c r="V771" s="552"/>
      <c r="W771" s="552"/>
      <c r="X771" s="552"/>
      <c r="Y771" s="552"/>
      <c r="Z771" s="552"/>
      <c r="AA771" s="553"/>
      <c r="AB771" s="553"/>
    </row>
    <row r="772" spans="1:28" ht="12.75">
      <c r="A772" s="547" t="s">
        <v>410</v>
      </c>
      <c r="B772" s="547" t="s">
        <v>153</v>
      </c>
      <c r="C772" s="548" t="s">
        <v>813</v>
      </c>
      <c r="D772" s="549">
        <v>2019</v>
      </c>
      <c r="E772" s="549" t="s">
        <v>775</v>
      </c>
      <c r="F772" s="550">
        <v>372</v>
      </c>
      <c r="G772" s="550">
        <v>0</v>
      </c>
      <c r="H772" s="550">
        <v>0</v>
      </c>
      <c r="I772" s="550">
        <v>0</v>
      </c>
      <c r="J772" s="550">
        <v>223</v>
      </c>
      <c r="K772" s="550">
        <v>16</v>
      </c>
      <c r="L772" s="550">
        <v>0</v>
      </c>
      <c r="M772" s="550">
        <v>16</v>
      </c>
      <c r="N772" s="550">
        <v>238</v>
      </c>
      <c r="O772" s="550">
        <v>0</v>
      </c>
      <c r="P772" s="550">
        <v>564</v>
      </c>
      <c r="Q772" s="550">
        <v>127</v>
      </c>
      <c r="R772" s="551" t="str">
        <f t="shared" si="122"/>
        <v>REDONDO BEACH</v>
      </c>
      <c r="S772" s="552">
        <f>SUM(G767:G772) +SUM(K767:K772)</f>
        <v>29</v>
      </c>
      <c r="T772" s="552">
        <f t="shared" ref="T772:T773" si="151">F772+J772</f>
        <v>595</v>
      </c>
      <c r="U772" s="552">
        <f>SUM(O767:O772)</f>
        <v>0</v>
      </c>
      <c r="V772" s="552">
        <f t="shared" ref="V772:V773" si="152">N772</f>
        <v>238</v>
      </c>
      <c r="W772" s="554">
        <f>SUM(Q767:Q772)</f>
        <v>366</v>
      </c>
      <c r="X772" s="552">
        <f t="shared" ref="X772:X773" si="153">P772</f>
        <v>564</v>
      </c>
      <c r="Y772" s="552">
        <f>S772+U772+SUM(Q767:Q772)</f>
        <v>395</v>
      </c>
      <c r="Z772" s="552">
        <f t="shared" ref="Z772:Z773" si="154">F772+J772+N772+P772</f>
        <v>1397</v>
      </c>
      <c r="AA772" s="553"/>
      <c r="AB772" s="553"/>
    </row>
    <row r="773" spans="1:28" ht="12.75">
      <c r="A773" s="547" t="s">
        <v>411</v>
      </c>
      <c r="B773" s="547" t="s">
        <v>153</v>
      </c>
      <c r="C773" s="548" t="s">
        <v>813</v>
      </c>
      <c r="D773" s="549">
        <v>2019</v>
      </c>
      <c r="E773" s="549" t="s">
        <v>775</v>
      </c>
      <c r="F773" s="550">
        <v>2</v>
      </c>
      <c r="G773" s="550">
        <v>0</v>
      </c>
      <c r="H773" s="550">
        <v>0</v>
      </c>
      <c r="I773" s="550">
        <v>0</v>
      </c>
      <c r="J773" s="550">
        <v>1</v>
      </c>
      <c r="K773" s="550">
        <v>0</v>
      </c>
      <c r="L773" s="550">
        <v>0</v>
      </c>
      <c r="M773" s="550">
        <v>0</v>
      </c>
      <c r="N773" s="550">
        <v>1</v>
      </c>
      <c r="O773" s="550">
        <v>0</v>
      </c>
      <c r="P773" s="550">
        <v>2</v>
      </c>
      <c r="Q773" s="550">
        <v>6</v>
      </c>
      <c r="R773" s="569" t="s">
        <v>411</v>
      </c>
      <c r="S773" s="552">
        <f>G773+K773</f>
        <v>0</v>
      </c>
      <c r="T773" s="552">
        <f t="shared" si="151"/>
        <v>3</v>
      </c>
      <c r="U773" s="552">
        <f>O773</f>
        <v>0</v>
      </c>
      <c r="V773" s="552">
        <f t="shared" si="152"/>
        <v>1</v>
      </c>
      <c r="W773" s="552">
        <f>Q773</f>
        <v>6</v>
      </c>
      <c r="X773" s="552">
        <f t="shared" si="153"/>
        <v>2</v>
      </c>
      <c r="Y773" s="552">
        <f>S773+U773+W773</f>
        <v>6</v>
      </c>
      <c r="Z773" s="552">
        <f t="shared" si="154"/>
        <v>6</v>
      </c>
      <c r="AA773" s="553"/>
      <c r="AB773" s="553"/>
    </row>
    <row r="774" spans="1:28" ht="12.75">
      <c r="A774" s="547" t="s">
        <v>412</v>
      </c>
      <c r="B774" s="547" t="s">
        <v>153</v>
      </c>
      <c r="C774" s="548" t="s">
        <v>812</v>
      </c>
      <c r="D774" s="549">
        <v>2017</v>
      </c>
      <c r="E774" s="549" t="s">
        <v>775</v>
      </c>
      <c r="F774" s="550">
        <v>1</v>
      </c>
      <c r="G774" s="550">
        <v>0</v>
      </c>
      <c r="H774" s="550">
        <v>0</v>
      </c>
      <c r="I774" s="550">
        <v>0</v>
      </c>
      <c r="J774" s="550">
        <v>1</v>
      </c>
      <c r="K774" s="550">
        <v>0</v>
      </c>
      <c r="L774" s="550">
        <v>0</v>
      </c>
      <c r="M774" s="550">
        <v>0</v>
      </c>
      <c r="N774" s="550">
        <v>1</v>
      </c>
      <c r="O774" s="550">
        <v>1</v>
      </c>
      <c r="P774" s="550">
        <v>2</v>
      </c>
      <c r="Q774" s="550">
        <v>4</v>
      </c>
      <c r="R774" s="551" t="str">
        <f t="shared" ref="R774:R885" si="155">A774</f>
        <v>ROLLING HILLS ESTATES</v>
      </c>
      <c r="S774" s="552"/>
      <c r="T774" s="552"/>
      <c r="U774" s="552"/>
      <c r="V774" s="552"/>
      <c r="W774" s="552"/>
      <c r="X774" s="552"/>
      <c r="Y774" s="552"/>
      <c r="Z774" s="552"/>
      <c r="AA774" s="553"/>
      <c r="AB774" s="553"/>
    </row>
    <row r="775" spans="1:28" ht="12.75">
      <c r="A775" s="547" t="s">
        <v>412</v>
      </c>
      <c r="B775" s="547" t="s">
        <v>153</v>
      </c>
      <c r="C775" s="548" t="s">
        <v>812</v>
      </c>
      <c r="D775" s="549">
        <v>2018</v>
      </c>
      <c r="E775" s="549" t="s">
        <v>775</v>
      </c>
      <c r="F775" s="550">
        <v>1</v>
      </c>
      <c r="G775" s="550">
        <v>0</v>
      </c>
      <c r="H775" s="550">
        <v>0</v>
      </c>
      <c r="I775" s="550">
        <v>0</v>
      </c>
      <c r="J775" s="550">
        <v>1</v>
      </c>
      <c r="K775" s="550">
        <v>0</v>
      </c>
      <c r="L775" s="550">
        <v>0</v>
      </c>
      <c r="M775" s="550">
        <v>0</v>
      </c>
      <c r="N775" s="550">
        <v>1</v>
      </c>
      <c r="O775" s="550">
        <v>0</v>
      </c>
      <c r="P775" s="550">
        <v>2</v>
      </c>
      <c r="Q775" s="550">
        <v>276</v>
      </c>
      <c r="R775" s="551" t="str">
        <f t="shared" si="155"/>
        <v>ROLLING HILLS ESTATES</v>
      </c>
      <c r="S775" s="552"/>
      <c r="T775" s="552"/>
      <c r="U775" s="552"/>
      <c r="V775" s="552"/>
      <c r="W775" s="552"/>
      <c r="X775" s="552"/>
      <c r="Y775" s="552"/>
      <c r="Z775" s="552"/>
      <c r="AA775" s="553"/>
      <c r="AB775" s="553"/>
    </row>
    <row r="776" spans="1:28" ht="12.75">
      <c r="A776" s="547" t="s">
        <v>412</v>
      </c>
      <c r="B776" s="547" t="s">
        <v>153</v>
      </c>
      <c r="C776" s="548" t="s">
        <v>813</v>
      </c>
      <c r="D776" s="549">
        <v>2019</v>
      </c>
      <c r="E776" s="549" t="s">
        <v>775</v>
      </c>
      <c r="F776" s="550">
        <v>1</v>
      </c>
      <c r="G776" s="550">
        <v>0</v>
      </c>
      <c r="H776" s="550">
        <v>0</v>
      </c>
      <c r="I776" s="550">
        <v>0</v>
      </c>
      <c r="J776" s="550">
        <v>1</v>
      </c>
      <c r="K776" s="550">
        <v>0</v>
      </c>
      <c r="L776" s="550">
        <v>0</v>
      </c>
      <c r="M776" s="550">
        <v>0</v>
      </c>
      <c r="N776" s="550">
        <v>1</v>
      </c>
      <c r="O776" s="550">
        <v>1</v>
      </c>
      <c r="P776" s="550">
        <v>2</v>
      </c>
      <c r="Q776" s="550">
        <v>104</v>
      </c>
      <c r="R776" s="551" t="str">
        <f t="shared" si="155"/>
        <v>ROLLING HILLS ESTATES</v>
      </c>
      <c r="S776" s="255">
        <f>SUM(G774:G776) +SUM(K774:K776)</f>
        <v>0</v>
      </c>
      <c r="T776" s="255">
        <f>F776+J776</f>
        <v>2</v>
      </c>
      <c r="U776" s="255">
        <f>SUM(O774:O776)</f>
        <v>2</v>
      </c>
      <c r="V776" s="255">
        <f>N776</f>
        <v>1</v>
      </c>
      <c r="W776" s="83">
        <f>SUM(Q774:Q776)</f>
        <v>384</v>
      </c>
      <c r="X776" s="255">
        <f>P776</f>
        <v>2</v>
      </c>
      <c r="Y776" s="255">
        <f>S776+U776+SUM(Q774:Q776)</f>
        <v>386</v>
      </c>
      <c r="Z776" s="255">
        <f>F776+J776+N776+P776</f>
        <v>5</v>
      </c>
      <c r="AA776" s="553"/>
      <c r="AB776" s="553"/>
    </row>
    <row r="777" spans="1:28" ht="12.75">
      <c r="A777" s="547" t="s">
        <v>413</v>
      </c>
      <c r="B777" s="547" t="s">
        <v>153</v>
      </c>
      <c r="C777" s="548" t="s">
        <v>812</v>
      </c>
      <c r="D777" s="549">
        <v>2014</v>
      </c>
      <c r="E777" s="549" t="s">
        <v>775</v>
      </c>
      <c r="F777" s="550">
        <v>153</v>
      </c>
      <c r="G777" s="550">
        <v>0</v>
      </c>
      <c r="H777" s="550">
        <v>0</v>
      </c>
      <c r="I777" s="550">
        <v>0</v>
      </c>
      <c r="J777" s="550">
        <v>88</v>
      </c>
      <c r="K777" s="550">
        <v>0</v>
      </c>
      <c r="L777" s="550">
        <v>0</v>
      </c>
      <c r="M777" s="550">
        <v>0</v>
      </c>
      <c r="N777" s="550">
        <v>99</v>
      </c>
      <c r="O777" s="550">
        <v>0</v>
      </c>
      <c r="P777" s="550">
        <v>262</v>
      </c>
      <c r="Q777" s="550">
        <v>0</v>
      </c>
      <c r="R777" s="551" t="str">
        <f t="shared" si="155"/>
        <v>ROSEMEAD</v>
      </c>
      <c r="S777" s="552"/>
      <c r="T777" s="552"/>
      <c r="U777" s="552"/>
      <c r="V777" s="552"/>
      <c r="W777" s="552"/>
      <c r="X777" s="552"/>
      <c r="Y777" s="552"/>
      <c r="Z777" s="552"/>
      <c r="AA777" s="553"/>
      <c r="AB777" s="553"/>
    </row>
    <row r="778" spans="1:28" ht="12.75">
      <c r="A778" s="547" t="s">
        <v>413</v>
      </c>
      <c r="B778" s="547" t="s">
        <v>153</v>
      </c>
      <c r="C778" s="548" t="s">
        <v>812</v>
      </c>
      <c r="D778" s="549">
        <v>2015</v>
      </c>
      <c r="E778" s="549" t="s">
        <v>775</v>
      </c>
      <c r="F778" s="550">
        <v>153</v>
      </c>
      <c r="G778" s="550">
        <v>0</v>
      </c>
      <c r="H778" s="550">
        <v>0</v>
      </c>
      <c r="I778" s="550">
        <v>0</v>
      </c>
      <c r="J778" s="550">
        <v>88</v>
      </c>
      <c r="K778" s="550">
        <v>0</v>
      </c>
      <c r="L778" s="550">
        <v>0</v>
      </c>
      <c r="M778" s="550">
        <v>0</v>
      </c>
      <c r="N778" s="550">
        <v>99</v>
      </c>
      <c r="O778" s="550">
        <v>0</v>
      </c>
      <c r="P778" s="550">
        <v>262</v>
      </c>
      <c r="Q778" s="550">
        <v>0</v>
      </c>
      <c r="R778" s="551" t="str">
        <f t="shared" si="155"/>
        <v>ROSEMEAD</v>
      </c>
      <c r="S778" s="552"/>
      <c r="T778" s="552"/>
      <c r="U778" s="552"/>
      <c r="V778" s="552"/>
      <c r="W778" s="552"/>
      <c r="X778" s="552"/>
      <c r="Y778" s="552"/>
      <c r="Z778" s="552"/>
      <c r="AA778" s="553"/>
      <c r="AB778" s="553"/>
    </row>
    <row r="779" spans="1:28" ht="12.75">
      <c r="A779" s="547" t="s">
        <v>413</v>
      </c>
      <c r="B779" s="547" t="s">
        <v>153</v>
      </c>
      <c r="C779" s="548" t="s">
        <v>812</v>
      </c>
      <c r="D779" s="549">
        <v>2016</v>
      </c>
      <c r="E779" s="549" t="s">
        <v>775</v>
      </c>
      <c r="F779" s="550">
        <v>153</v>
      </c>
      <c r="G779" s="550">
        <v>0</v>
      </c>
      <c r="H779" s="550">
        <v>0</v>
      </c>
      <c r="I779" s="550">
        <v>0</v>
      </c>
      <c r="J779" s="550">
        <v>88</v>
      </c>
      <c r="K779" s="550">
        <v>0</v>
      </c>
      <c r="L779" s="550">
        <v>0</v>
      </c>
      <c r="M779" s="550">
        <v>0</v>
      </c>
      <c r="N779" s="550">
        <v>99</v>
      </c>
      <c r="O779" s="550">
        <v>0</v>
      </c>
      <c r="P779" s="550">
        <v>262</v>
      </c>
      <c r="Q779" s="550">
        <v>0</v>
      </c>
      <c r="R779" s="551" t="str">
        <f t="shared" si="155"/>
        <v>ROSEMEAD</v>
      </c>
      <c r="S779" s="552"/>
      <c r="T779" s="552"/>
      <c r="U779" s="552"/>
      <c r="V779" s="552"/>
      <c r="W779" s="552"/>
      <c r="X779" s="552"/>
      <c r="Y779" s="552"/>
      <c r="Z779" s="552"/>
      <c r="AA779" s="553"/>
      <c r="AB779" s="553"/>
    </row>
    <row r="780" spans="1:28" ht="12.75">
      <c r="A780" s="547" t="s">
        <v>413</v>
      </c>
      <c r="B780" s="547" t="s">
        <v>153</v>
      </c>
      <c r="C780" s="548" t="s">
        <v>812</v>
      </c>
      <c r="D780" s="549">
        <v>2017</v>
      </c>
      <c r="E780" s="549" t="s">
        <v>775</v>
      </c>
      <c r="F780" s="550">
        <v>153</v>
      </c>
      <c r="G780" s="550">
        <v>0</v>
      </c>
      <c r="H780" s="550">
        <v>0</v>
      </c>
      <c r="I780" s="550">
        <v>0</v>
      </c>
      <c r="J780" s="550">
        <v>88</v>
      </c>
      <c r="K780" s="550">
        <v>0</v>
      </c>
      <c r="L780" s="550">
        <v>0</v>
      </c>
      <c r="M780" s="550">
        <v>0</v>
      </c>
      <c r="N780" s="550">
        <v>99</v>
      </c>
      <c r="O780" s="550">
        <v>0</v>
      </c>
      <c r="P780" s="550">
        <v>262</v>
      </c>
      <c r="Q780" s="550">
        <v>0</v>
      </c>
      <c r="R780" s="551" t="str">
        <f t="shared" si="155"/>
        <v>ROSEMEAD</v>
      </c>
      <c r="S780" s="552"/>
      <c r="T780" s="552"/>
      <c r="U780" s="552"/>
      <c r="V780" s="552"/>
      <c r="W780" s="552"/>
      <c r="X780" s="552"/>
      <c r="Y780" s="552"/>
      <c r="Z780" s="552"/>
      <c r="AA780" s="553"/>
      <c r="AB780" s="553"/>
    </row>
    <row r="781" spans="1:28" ht="12.75">
      <c r="A781" s="547" t="s">
        <v>413</v>
      </c>
      <c r="B781" s="547" t="s">
        <v>153</v>
      </c>
      <c r="C781" s="548" t="s">
        <v>812</v>
      </c>
      <c r="D781" s="549">
        <v>2018</v>
      </c>
      <c r="E781" s="549" t="s">
        <v>775</v>
      </c>
      <c r="F781" s="550">
        <v>153</v>
      </c>
      <c r="G781" s="550">
        <v>0</v>
      </c>
      <c r="H781" s="550">
        <v>0</v>
      </c>
      <c r="I781" s="550">
        <v>0</v>
      </c>
      <c r="J781" s="550">
        <v>88</v>
      </c>
      <c r="K781" s="550">
        <v>9</v>
      </c>
      <c r="L781" s="550">
        <v>9</v>
      </c>
      <c r="M781" s="550">
        <v>0</v>
      </c>
      <c r="N781" s="550">
        <v>99</v>
      </c>
      <c r="O781" s="550">
        <v>51</v>
      </c>
      <c r="P781" s="550">
        <v>262</v>
      </c>
      <c r="Q781" s="550">
        <v>82</v>
      </c>
      <c r="R781" s="551" t="str">
        <f t="shared" si="155"/>
        <v>ROSEMEAD</v>
      </c>
      <c r="S781" s="552"/>
      <c r="T781" s="552"/>
      <c r="U781" s="552"/>
      <c r="V781" s="552"/>
      <c r="W781" s="552"/>
      <c r="X781" s="552"/>
      <c r="Y781" s="552"/>
      <c r="Z781" s="552"/>
      <c r="AA781" s="553"/>
      <c r="AB781" s="553"/>
    </row>
    <row r="782" spans="1:28" ht="12.75">
      <c r="A782" s="547" t="s">
        <v>413</v>
      </c>
      <c r="B782" s="547" t="s">
        <v>153</v>
      </c>
      <c r="C782" s="548" t="s">
        <v>813</v>
      </c>
      <c r="D782" s="549">
        <v>2019</v>
      </c>
      <c r="E782" s="549" t="s">
        <v>775</v>
      </c>
      <c r="F782" s="550">
        <v>153</v>
      </c>
      <c r="G782" s="550">
        <v>0</v>
      </c>
      <c r="H782" s="550">
        <v>0</v>
      </c>
      <c r="I782" s="550">
        <v>0</v>
      </c>
      <c r="J782" s="550">
        <v>88</v>
      </c>
      <c r="K782" s="550">
        <v>0</v>
      </c>
      <c r="L782" s="550">
        <v>0</v>
      </c>
      <c r="M782" s="550">
        <v>0</v>
      </c>
      <c r="N782" s="550">
        <v>99</v>
      </c>
      <c r="O782" s="550">
        <v>0</v>
      </c>
      <c r="P782" s="550">
        <v>262</v>
      </c>
      <c r="Q782" s="550">
        <v>66</v>
      </c>
      <c r="R782" s="551" t="str">
        <f t="shared" si="155"/>
        <v>ROSEMEAD</v>
      </c>
      <c r="S782" s="552">
        <f>SUM(G777:G782) +SUM(K777:K782)</f>
        <v>9</v>
      </c>
      <c r="T782" s="552">
        <f>F782+J782</f>
        <v>241</v>
      </c>
      <c r="U782" s="552">
        <f>SUM(O777:O782)</f>
        <v>51</v>
      </c>
      <c r="V782" s="552">
        <f>N782</f>
        <v>99</v>
      </c>
      <c r="W782" s="554">
        <f>SUM(Q777:Q782)</f>
        <v>148</v>
      </c>
      <c r="X782" s="552">
        <f>P782</f>
        <v>262</v>
      </c>
      <c r="Y782" s="552">
        <f>S782+U782+SUM(Q777:Q782)</f>
        <v>208</v>
      </c>
      <c r="Z782" s="552">
        <f>F782+J782+N782+P782</f>
        <v>602</v>
      </c>
      <c r="AA782" s="553"/>
      <c r="AB782" s="553"/>
    </row>
    <row r="783" spans="1:28" ht="12.75">
      <c r="A783" s="547" t="s">
        <v>414</v>
      </c>
      <c r="B783" s="547" t="s">
        <v>153</v>
      </c>
      <c r="C783" s="548" t="s">
        <v>812</v>
      </c>
      <c r="D783" s="549">
        <v>2014</v>
      </c>
      <c r="E783" s="549" t="s">
        <v>775</v>
      </c>
      <c r="F783" s="550">
        <v>121</v>
      </c>
      <c r="G783" s="550">
        <v>0</v>
      </c>
      <c r="H783" s="550">
        <v>0</v>
      </c>
      <c r="I783" s="550">
        <v>0</v>
      </c>
      <c r="J783" s="550">
        <v>72</v>
      </c>
      <c r="K783" s="550">
        <v>0</v>
      </c>
      <c r="L783" s="550">
        <v>0</v>
      </c>
      <c r="M783" s="550">
        <v>0</v>
      </c>
      <c r="N783" s="550">
        <v>77</v>
      </c>
      <c r="O783" s="550">
        <v>0</v>
      </c>
      <c r="P783" s="550">
        <v>193</v>
      </c>
      <c r="Q783" s="550">
        <v>3</v>
      </c>
      <c r="R783" s="551" t="str">
        <f t="shared" si="155"/>
        <v>SAN DIMAS</v>
      </c>
      <c r="S783" s="552"/>
      <c r="T783" s="552"/>
      <c r="U783" s="552"/>
      <c r="V783" s="552"/>
      <c r="W783" s="552"/>
      <c r="X783" s="552"/>
      <c r="Y783" s="552"/>
      <c r="Z783" s="552"/>
      <c r="AA783" s="553"/>
      <c r="AB783" s="553"/>
    </row>
    <row r="784" spans="1:28" ht="12.75">
      <c r="A784" s="547" t="s">
        <v>414</v>
      </c>
      <c r="B784" s="547" t="s">
        <v>153</v>
      </c>
      <c r="C784" s="548" t="s">
        <v>812</v>
      </c>
      <c r="D784" s="549">
        <v>2015</v>
      </c>
      <c r="E784" s="549" t="s">
        <v>775</v>
      </c>
      <c r="F784" s="550">
        <v>121</v>
      </c>
      <c r="G784" s="550">
        <v>0</v>
      </c>
      <c r="H784" s="550">
        <v>0</v>
      </c>
      <c r="I784" s="550">
        <v>0</v>
      </c>
      <c r="J784" s="550">
        <v>72</v>
      </c>
      <c r="K784" s="550">
        <v>0</v>
      </c>
      <c r="L784" s="550">
        <v>0</v>
      </c>
      <c r="M784" s="550">
        <v>0</v>
      </c>
      <c r="N784" s="550">
        <v>77</v>
      </c>
      <c r="O784" s="550">
        <v>0</v>
      </c>
      <c r="P784" s="550">
        <v>193</v>
      </c>
      <c r="Q784" s="550">
        <v>7</v>
      </c>
      <c r="R784" s="551" t="str">
        <f t="shared" si="155"/>
        <v>SAN DIMAS</v>
      </c>
      <c r="S784" s="552"/>
      <c r="T784" s="552"/>
      <c r="U784" s="552"/>
      <c r="V784" s="552"/>
      <c r="W784" s="552"/>
      <c r="X784" s="552"/>
      <c r="Y784" s="552"/>
      <c r="Z784" s="552"/>
      <c r="AA784" s="553"/>
      <c r="AB784" s="553"/>
    </row>
    <row r="785" spans="1:28" ht="12.75">
      <c r="A785" s="547" t="s">
        <v>414</v>
      </c>
      <c r="B785" s="547" t="s">
        <v>153</v>
      </c>
      <c r="C785" s="548" t="s">
        <v>812</v>
      </c>
      <c r="D785" s="549">
        <v>2016</v>
      </c>
      <c r="E785" s="549" t="s">
        <v>775</v>
      </c>
      <c r="F785" s="550">
        <v>121</v>
      </c>
      <c r="G785" s="550">
        <v>0</v>
      </c>
      <c r="H785" s="550">
        <v>0</v>
      </c>
      <c r="I785" s="550">
        <v>0</v>
      </c>
      <c r="J785" s="550">
        <v>72</v>
      </c>
      <c r="K785" s="550">
        <v>0</v>
      </c>
      <c r="L785" s="550">
        <v>0</v>
      </c>
      <c r="M785" s="550">
        <v>0</v>
      </c>
      <c r="N785" s="550">
        <v>77</v>
      </c>
      <c r="O785" s="550">
        <v>0</v>
      </c>
      <c r="P785" s="550">
        <v>193</v>
      </c>
      <c r="Q785" s="550">
        <v>18</v>
      </c>
      <c r="R785" s="551" t="str">
        <f t="shared" si="155"/>
        <v>SAN DIMAS</v>
      </c>
      <c r="S785" s="552"/>
      <c r="T785" s="552"/>
      <c r="U785" s="552"/>
      <c r="V785" s="552"/>
      <c r="W785" s="552"/>
      <c r="X785" s="552"/>
      <c r="Y785" s="552"/>
      <c r="Z785" s="552"/>
      <c r="AA785" s="553"/>
      <c r="AB785" s="553"/>
    </row>
    <row r="786" spans="1:28" ht="12.75">
      <c r="A786" s="547" t="s">
        <v>414</v>
      </c>
      <c r="B786" s="547" t="s">
        <v>153</v>
      </c>
      <c r="C786" s="548" t="s">
        <v>812</v>
      </c>
      <c r="D786" s="549">
        <v>2017</v>
      </c>
      <c r="E786" s="549" t="s">
        <v>775</v>
      </c>
      <c r="F786" s="550">
        <v>121</v>
      </c>
      <c r="G786" s="550">
        <v>0</v>
      </c>
      <c r="H786" s="550">
        <v>0</v>
      </c>
      <c r="I786" s="550">
        <v>0</v>
      </c>
      <c r="J786" s="550">
        <v>72</v>
      </c>
      <c r="K786" s="550">
        <v>0</v>
      </c>
      <c r="L786" s="550">
        <v>0</v>
      </c>
      <c r="M786" s="550">
        <v>0</v>
      </c>
      <c r="N786" s="550">
        <v>77</v>
      </c>
      <c r="O786" s="550">
        <v>0</v>
      </c>
      <c r="P786" s="550">
        <v>193</v>
      </c>
      <c r="Q786" s="550">
        <v>7</v>
      </c>
      <c r="R786" s="551" t="str">
        <f t="shared" si="155"/>
        <v>SAN DIMAS</v>
      </c>
      <c r="S786" s="552"/>
      <c r="T786" s="552"/>
      <c r="U786" s="552"/>
      <c r="V786" s="552"/>
      <c r="W786" s="552"/>
      <c r="X786" s="552"/>
      <c r="Y786" s="552"/>
      <c r="Z786" s="552"/>
      <c r="AA786" s="553"/>
      <c r="AB786" s="553"/>
    </row>
    <row r="787" spans="1:28" ht="12.75">
      <c r="A787" s="547" t="s">
        <v>414</v>
      </c>
      <c r="B787" s="547" t="s">
        <v>153</v>
      </c>
      <c r="C787" s="548" t="s">
        <v>812</v>
      </c>
      <c r="D787" s="549">
        <v>2018</v>
      </c>
      <c r="E787" s="549" t="s">
        <v>775</v>
      </c>
      <c r="F787" s="550">
        <v>121</v>
      </c>
      <c r="G787" s="550">
        <v>0</v>
      </c>
      <c r="H787" s="550">
        <v>0</v>
      </c>
      <c r="I787" s="550">
        <v>0</v>
      </c>
      <c r="J787" s="550">
        <v>72</v>
      </c>
      <c r="K787" s="550">
        <v>0</v>
      </c>
      <c r="L787" s="550">
        <v>0</v>
      </c>
      <c r="M787" s="550">
        <v>0</v>
      </c>
      <c r="N787" s="550">
        <v>77</v>
      </c>
      <c r="O787" s="550">
        <v>1</v>
      </c>
      <c r="P787" s="550">
        <v>193</v>
      </c>
      <c r="Q787" s="550">
        <v>1</v>
      </c>
      <c r="R787" s="551" t="str">
        <f t="shared" si="155"/>
        <v>SAN DIMAS</v>
      </c>
      <c r="S787" s="552"/>
      <c r="T787" s="552"/>
      <c r="U787" s="552"/>
      <c r="V787" s="552"/>
      <c r="W787" s="552"/>
      <c r="X787" s="552"/>
      <c r="Y787" s="552"/>
      <c r="Z787" s="552"/>
      <c r="AA787" s="553"/>
      <c r="AB787" s="553"/>
    </row>
    <row r="788" spans="1:28" ht="12.75">
      <c r="A788" s="547" t="s">
        <v>414</v>
      </c>
      <c r="B788" s="547" t="s">
        <v>153</v>
      </c>
      <c r="C788" s="548" t="s">
        <v>813</v>
      </c>
      <c r="D788" s="549">
        <v>2019</v>
      </c>
      <c r="E788" s="549" t="s">
        <v>775</v>
      </c>
      <c r="F788" s="550">
        <v>121</v>
      </c>
      <c r="G788" s="550">
        <v>0</v>
      </c>
      <c r="H788" s="550">
        <v>0</v>
      </c>
      <c r="I788" s="550">
        <v>0</v>
      </c>
      <c r="J788" s="550">
        <v>72</v>
      </c>
      <c r="K788" s="550">
        <v>0</v>
      </c>
      <c r="L788" s="550">
        <v>0</v>
      </c>
      <c r="M788" s="550">
        <v>0</v>
      </c>
      <c r="N788" s="550">
        <v>77</v>
      </c>
      <c r="O788" s="550">
        <v>0</v>
      </c>
      <c r="P788" s="550">
        <v>193</v>
      </c>
      <c r="Q788" s="550">
        <v>15</v>
      </c>
      <c r="R788" s="551" t="str">
        <f t="shared" si="155"/>
        <v>SAN DIMAS</v>
      </c>
      <c r="S788" s="552">
        <f>SUM(G783:G788) +SUM(K783:K788)</f>
        <v>0</v>
      </c>
      <c r="T788" s="552">
        <f>F788+J788</f>
        <v>193</v>
      </c>
      <c r="U788" s="552">
        <f>SUM(O783:O788)</f>
        <v>1</v>
      </c>
      <c r="V788" s="552">
        <f>N788</f>
        <v>77</v>
      </c>
      <c r="W788" s="554">
        <f>SUM(Q783:Q788)</f>
        <v>51</v>
      </c>
      <c r="X788" s="552">
        <f>P788</f>
        <v>193</v>
      </c>
      <c r="Y788" s="552">
        <f>S788+U788+SUM(Q783:Q788)</f>
        <v>52</v>
      </c>
      <c r="Z788" s="552">
        <f>F788+J788+N788+P788</f>
        <v>463</v>
      </c>
      <c r="AA788" s="553"/>
      <c r="AB788" s="553"/>
    </row>
    <row r="789" spans="1:28" ht="12.75">
      <c r="A789" s="547" t="s">
        <v>415</v>
      </c>
      <c r="B789" s="547" t="s">
        <v>153</v>
      </c>
      <c r="C789" s="548" t="s">
        <v>812</v>
      </c>
      <c r="D789" s="549">
        <v>2014</v>
      </c>
      <c r="E789" s="549" t="s">
        <v>775</v>
      </c>
      <c r="F789" s="550">
        <v>55</v>
      </c>
      <c r="G789" s="550">
        <v>28</v>
      </c>
      <c r="H789" s="550">
        <v>28</v>
      </c>
      <c r="I789" s="550">
        <v>0</v>
      </c>
      <c r="J789" s="550">
        <v>32</v>
      </c>
      <c r="K789" s="550">
        <v>4</v>
      </c>
      <c r="L789" s="550">
        <v>4</v>
      </c>
      <c r="M789" s="550">
        <v>0</v>
      </c>
      <c r="N789" s="550">
        <v>35</v>
      </c>
      <c r="O789" s="550">
        <v>0</v>
      </c>
      <c r="P789" s="550">
        <v>95</v>
      </c>
      <c r="Q789" s="550">
        <v>27</v>
      </c>
      <c r="R789" s="551" t="str">
        <f t="shared" si="155"/>
        <v>SAN FERNANDO</v>
      </c>
      <c r="S789" s="552"/>
      <c r="T789" s="552"/>
      <c r="U789" s="552"/>
      <c r="V789" s="552"/>
      <c r="W789" s="552"/>
      <c r="X789" s="552"/>
      <c r="Y789" s="552"/>
      <c r="Z789" s="552"/>
      <c r="AA789" s="553"/>
      <c r="AB789" s="553"/>
    </row>
    <row r="790" spans="1:28" ht="12.75">
      <c r="A790" s="547" t="s">
        <v>415</v>
      </c>
      <c r="B790" s="547" t="s">
        <v>153</v>
      </c>
      <c r="C790" s="548" t="s">
        <v>812</v>
      </c>
      <c r="D790" s="549">
        <v>2015</v>
      </c>
      <c r="E790" s="549" t="s">
        <v>775</v>
      </c>
      <c r="F790" s="550">
        <v>55</v>
      </c>
      <c r="G790" s="550">
        <v>0</v>
      </c>
      <c r="H790" s="550">
        <v>0</v>
      </c>
      <c r="I790" s="550">
        <v>0</v>
      </c>
      <c r="J790" s="550">
        <v>32</v>
      </c>
      <c r="K790" s="550">
        <v>5</v>
      </c>
      <c r="L790" s="550">
        <v>0</v>
      </c>
      <c r="M790" s="550">
        <v>5</v>
      </c>
      <c r="N790" s="550">
        <v>35</v>
      </c>
      <c r="O790" s="550">
        <v>0</v>
      </c>
      <c r="P790" s="550">
        <v>95</v>
      </c>
      <c r="Q790" s="550">
        <v>0</v>
      </c>
      <c r="R790" s="551" t="str">
        <f t="shared" si="155"/>
        <v>SAN FERNANDO</v>
      </c>
      <c r="S790" s="552"/>
      <c r="T790" s="552"/>
      <c r="U790" s="552"/>
      <c r="V790" s="552"/>
      <c r="W790" s="552"/>
      <c r="X790" s="552"/>
      <c r="Y790" s="552"/>
      <c r="Z790" s="552"/>
      <c r="AA790" s="553"/>
      <c r="AB790" s="553"/>
    </row>
    <row r="791" spans="1:28" ht="12.75">
      <c r="A791" s="547" t="s">
        <v>415</v>
      </c>
      <c r="B791" s="547" t="s">
        <v>153</v>
      </c>
      <c r="C791" s="548" t="s">
        <v>812</v>
      </c>
      <c r="D791" s="549">
        <v>2016</v>
      </c>
      <c r="E791" s="549" t="s">
        <v>775</v>
      </c>
      <c r="F791" s="550">
        <v>55</v>
      </c>
      <c r="G791" s="550">
        <v>0</v>
      </c>
      <c r="H791" s="550">
        <v>0</v>
      </c>
      <c r="I791" s="550">
        <v>0</v>
      </c>
      <c r="J791" s="550">
        <v>32</v>
      </c>
      <c r="K791" s="550">
        <v>5</v>
      </c>
      <c r="L791" s="550">
        <v>0</v>
      </c>
      <c r="M791" s="550">
        <v>5</v>
      </c>
      <c r="N791" s="550">
        <v>35</v>
      </c>
      <c r="O791" s="550">
        <v>0</v>
      </c>
      <c r="P791" s="550">
        <v>95</v>
      </c>
      <c r="Q791" s="550">
        <v>9</v>
      </c>
      <c r="R791" s="551" t="str">
        <f t="shared" si="155"/>
        <v>SAN FERNANDO</v>
      </c>
      <c r="S791" s="552"/>
      <c r="T791" s="552"/>
      <c r="U791" s="552"/>
      <c r="V791" s="552"/>
      <c r="W791" s="552"/>
      <c r="X791" s="552"/>
      <c r="Y791" s="552"/>
      <c r="Z791" s="552"/>
      <c r="AA791" s="553"/>
      <c r="AB791" s="553"/>
    </row>
    <row r="792" spans="1:28" ht="12.75">
      <c r="A792" s="547" t="s">
        <v>415</v>
      </c>
      <c r="B792" s="547" t="s">
        <v>153</v>
      </c>
      <c r="C792" s="548" t="s">
        <v>812</v>
      </c>
      <c r="D792" s="549">
        <v>2017</v>
      </c>
      <c r="E792" s="549" t="s">
        <v>775</v>
      </c>
      <c r="F792" s="550">
        <v>55</v>
      </c>
      <c r="G792" s="550">
        <v>0</v>
      </c>
      <c r="H792" s="550">
        <v>0</v>
      </c>
      <c r="I792" s="550">
        <v>0</v>
      </c>
      <c r="J792" s="550">
        <v>32</v>
      </c>
      <c r="K792" s="550">
        <v>24</v>
      </c>
      <c r="L792" s="550">
        <v>0</v>
      </c>
      <c r="M792" s="550">
        <v>24</v>
      </c>
      <c r="N792" s="550">
        <v>35</v>
      </c>
      <c r="O792" s="550">
        <v>3</v>
      </c>
      <c r="P792" s="550">
        <v>95</v>
      </c>
      <c r="Q792" s="550">
        <v>2</v>
      </c>
      <c r="R792" s="551" t="str">
        <f t="shared" si="155"/>
        <v>SAN FERNANDO</v>
      </c>
      <c r="S792" s="552"/>
      <c r="T792" s="552"/>
      <c r="U792" s="552"/>
      <c r="V792" s="552"/>
      <c r="W792" s="552"/>
      <c r="X792" s="552"/>
      <c r="Y792" s="552"/>
      <c r="Z792" s="552"/>
      <c r="AA792" s="553"/>
      <c r="AB792" s="553"/>
    </row>
    <row r="793" spans="1:28" ht="12.75">
      <c r="A793" s="547" t="s">
        <v>415</v>
      </c>
      <c r="B793" s="547" t="s">
        <v>153</v>
      </c>
      <c r="C793" s="548" t="s">
        <v>812</v>
      </c>
      <c r="D793" s="549">
        <v>2018</v>
      </c>
      <c r="E793" s="549" t="s">
        <v>775</v>
      </c>
      <c r="F793" s="550">
        <v>55</v>
      </c>
      <c r="G793" s="550">
        <v>0</v>
      </c>
      <c r="H793" s="550">
        <v>0</v>
      </c>
      <c r="I793" s="550">
        <v>0</v>
      </c>
      <c r="J793" s="550">
        <v>32</v>
      </c>
      <c r="K793" s="550">
        <v>67</v>
      </c>
      <c r="L793" s="550">
        <v>0</v>
      </c>
      <c r="M793" s="550">
        <v>67</v>
      </c>
      <c r="N793" s="550">
        <v>35</v>
      </c>
      <c r="O793" s="550">
        <v>27</v>
      </c>
      <c r="P793" s="550">
        <v>95</v>
      </c>
      <c r="Q793" s="550">
        <v>2</v>
      </c>
      <c r="R793" s="551" t="str">
        <f t="shared" si="155"/>
        <v>SAN FERNANDO</v>
      </c>
      <c r="S793" s="552"/>
      <c r="T793" s="552"/>
      <c r="U793" s="552"/>
      <c r="V793" s="552"/>
      <c r="W793" s="552"/>
      <c r="X793" s="552"/>
      <c r="Y793" s="552"/>
      <c r="Z793" s="552"/>
      <c r="AA793" s="553"/>
      <c r="AB793" s="553"/>
    </row>
    <row r="794" spans="1:28" ht="12.75">
      <c r="A794" s="547" t="s">
        <v>415</v>
      </c>
      <c r="B794" s="547" t="s">
        <v>153</v>
      </c>
      <c r="C794" s="548" t="s">
        <v>813</v>
      </c>
      <c r="D794" s="549">
        <v>2019</v>
      </c>
      <c r="E794" s="549" t="s">
        <v>775</v>
      </c>
      <c r="F794" s="550">
        <v>55</v>
      </c>
      <c r="G794" s="550">
        <v>0</v>
      </c>
      <c r="H794" s="550">
        <v>0</v>
      </c>
      <c r="I794" s="550">
        <v>0</v>
      </c>
      <c r="J794" s="550">
        <v>32</v>
      </c>
      <c r="K794" s="550">
        <v>46</v>
      </c>
      <c r="L794" s="550">
        <v>0</v>
      </c>
      <c r="M794" s="550">
        <v>46</v>
      </c>
      <c r="N794" s="550">
        <v>35</v>
      </c>
      <c r="O794" s="550">
        <v>16</v>
      </c>
      <c r="P794" s="550">
        <v>95</v>
      </c>
      <c r="Q794" s="550">
        <v>4</v>
      </c>
      <c r="R794" s="551" t="str">
        <f t="shared" si="155"/>
        <v>SAN FERNANDO</v>
      </c>
      <c r="S794" s="552">
        <f>SUM(G789:G794) +SUM(K789:K794)</f>
        <v>179</v>
      </c>
      <c r="T794" s="552">
        <f>F794+J794</f>
        <v>87</v>
      </c>
      <c r="U794" s="552">
        <f>SUM(O789:O794)</f>
        <v>46</v>
      </c>
      <c r="V794" s="552">
        <f>N794</f>
        <v>35</v>
      </c>
      <c r="W794" s="554">
        <f>SUM(Q789:Q794)</f>
        <v>44</v>
      </c>
      <c r="X794" s="552">
        <f>P794</f>
        <v>95</v>
      </c>
      <c r="Y794" s="552">
        <f>S794+U794+SUM(Q789:Q794)</f>
        <v>269</v>
      </c>
      <c r="Z794" s="552">
        <f>F794+J794+N794+P794</f>
        <v>217</v>
      </c>
      <c r="AA794" s="553"/>
      <c r="AB794" s="553"/>
    </row>
    <row r="795" spans="1:28" ht="12.75">
      <c r="A795" s="547" t="s">
        <v>416</v>
      </c>
      <c r="B795" s="547" t="s">
        <v>153</v>
      </c>
      <c r="C795" s="548" t="s">
        <v>812</v>
      </c>
      <c r="D795" s="549">
        <v>2014</v>
      </c>
      <c r="E795" s="549" t="s">
        <v>775</v>
      </c>
      <c r="F795" s="550">
        <v>236</v>
      </c>
      <c r="G795" s="550">
        <v>0</v>
      </c>
      <c r="H795" s="550">
        <v>0</v>
      </c>
      <c r="I795" s="550">
        <v>0</v>
      </c>
      <c r="J795" s="550">
        <v>142</v>
      </c>
      <c r="K795" s="550">
        <v>0</v>
      </c>
      <c r="L795" s="550">
        <v>0</v>
      </c>
      <c r="M795" s="550">
        <v>0</v>
      </c>
      <c r="N795" s="550">
        <v>154</v>
      </c>
      <c r="O795" s="550">
        <v>6</v>
      </c>
      <c r="P795" s="550">
        <v>398</v>
      </c>
      <c r="Q795" s="550">
        <v>18</v>
      </c>
      <c r="R795" s="551" t="str">
        <f t="shared" si="155"/>
        <v>SAN GABRIEL</v>
      </c>
      <c r="S795" s="552"/>
      <c r="T795" s="552"/>
      <c r="U795" s="552"/>
      <c r="V795" s="552"/>
      <c r="W795" s="552"/>
      <c r="X795" s="552"/>
      <c r="Y795" s="552"/>
      <c r="Z795" s="552"/>
      <c r="AA795" s="553"/>
      <c r="AB795" s="553"/>
    </row>
    <row r="796" spans="1:28" ht="12.75">
      <c r="A796" s="547" t="s">
        <v>416</v>
      </c>
      <c r="B796" s="547" t="s">
        <v>153</v>
      </c>
      <c r="C796" s="548" t="s">
        <v>812</v>
      </c>
      <c r="D796" s="549">
        <v>2015</v>
      </c>
      <c r="E796" s="549" t="s">
        <v>775</v>
      </c>
      <c r="F796" s="550">
        <v>236</v>
      </c>
      <c r="G796" s="550">
        <v>1</v>
      </c>
      <c r="H796" s="550">
        <v>0</v>
      </c>
      <c r="I796" s="550">
        <v>1</v>
      </c>
      <c r="J796" s="550">
        <v>142</v>
      </c>
      <c r="K796" s="550">
        <v>0</v>
      </c>
      <c r="L796" s="550">
        <v>0</v>
      </c>
      <c r="M796" s="550">
        <v>0</v>
      </c>
      <c r="N796" s="550">
        <v>154</v>
      </c>
      <c r="O796" s="550">
        <v>54</v>
      </c>
      <c r="P796" s="550">
        <v>398</v>
      </c>
      <c r="Q796" s="550">
        <v>63</v>
      </c>
      <c r="R796" s="551" t="str">
        <f t="shared" si="155"/>
        <v>SAN GABRIEL</v>
      </c>
      <c r="S796" s="552"/>
      <c r="T796" s="552"/>
      <c r="U796" s="552"/>
      <c r="V796" s="552"/>
      <c r="W796" s="552"/>
      <c r="X796" s="552"/>
      <c r="Y796" s="552"/>
      <c r="Z796" s="552"/>
      <c r="AA796" s="553"/>
      <c r="AB796" s="553"/>
    </row>
    <row r="797" spans="1:28" ht="12.75">
      <c r="A797" s="547" t="s">
        <v>416</v>
      </c>
      <c r="B797" s="547" t="s">
        <v>153</v>
      </c>
      <c r="C797" s="548" t="s">
        <v>812</v>
      </c>
      <c r="D797" s="549">
        <v>2016</v>
      </c>
      <c r="E797" s="549" t="s">
        <v>775</v>
      </c>
      <c r="F797" s="550">
        <v>236</v>
      </c>
      <c r="G797" s="550">
        <v>0</v>
      </c>
      <c r="H797" s="550">
        <v>0</v>
      </c>
      <c r="I797" s="550">
        <v>0</v>
      </c>
      <c r="J797" s="550">
        <v>142</v>
      </c>
      <c r="K797" s="550">
        <v>2</v>
      </c>
      <c r="L797" s="550">
        <v>0</v>
      </c>
      <c r="M797" s="550">
        <v>2</v>
      </c>
      <c r="N797" s="550">
        <v>154</v>
      </c>
      <c r="O797" s="550">
        <v>31</v>
      </c>
      <c r="P797" s="550">
        <v>398</v>
      </c>
      <c r="Q797" s="550">
        <v>37</v>
      </c>
      <c r="R797" s="551" t="str">
        <f t="shared" si="155"/>
        <v>SAN GABRIEL</v>
      </c>
      <c r="S797" s="552"/>
      <c r="T797" s="552"/>
      <c r="U797" s="552"/>
      <c r="V797" s="552"/>
      <c r="W797" s="552"/>
      <c r="X797" s="552"/>
      <c r="Y797" s="552"/>
      <c r="Z797" s="552"/>
      <c r="AA797" s="553"/>
      <c r="AB797" s="553"/>
    </row>
    <row r="798" spans="1:28" ht="12.75">
      <c r="A798" s="547" t="s">
        <v>416</v>
      </c>
      <c r="B798" s="547" t="s">
        <v>153</v>
      </c>
      <c r="C798" s="548" t="s">
        <v>812</v>
      </c>
      <c r="D798" s="549">
        <v>2017</v>
      </c>
      <c r="E798" s="549" t="s">
        <v>775</v>
      </c>
      <c r="F798" s="550">
        <v>236</v>
      </c>
      <c r="G798" s="550">
        <v>0</v>
      </c>
      <c r="H798" s="550">
        <v>0</v>
      </c>
      <c r="I798" s="550">
        <v>0</v>
      </c>
      <c r="J798" s="550">
        <v>142</v>
      </c>
      <c r="K798" s="550">
        <v>0</v>
      </c>
      <c r="L798" s="550">
        <v>0</v>
      </c>
      <c r="M798" s="550">
        <v>0</v>
      </c>
      <c r="N798" s="550">
        <v>154</v>
      </c>
      <c r="O798" s="550">
        <v>2</v>
      </c>
      <c r="P798" s="550">
        <v>398</v>
      </c>
      <c r="Q798" s="550">
        <v>102</v>
      </c>
      <c r="R798" s="551" t="str">
        <f t="shared" si="155"/>
        <v>SAN GABRIEL</v>
      </c>
      <c r="S798" s="552"/>
      <c r="T798" s="552"/>
      <c r="U798" s="552"/>
      <c r="V798" s="552"/>
      <c r="W798" s="552"/>
      <c r="X798" s="552"/>
      <c r="Y798" s="552"/>
      <c r="Z798" s="552"/>
      <c r="AA798" s="553"/>
      <c r="AB798" s="553"/>
    </row>
    <row r="799" spans="1:28" ht="12.75">
      <c r="A799" s="547" t="s">
        <v>416</v>
      </c>
      <c r="B799" s="547" t="s">
        <v>153</v>
      </c>
      <c r="C799" s="548" t="s">
        <v>812</v>
      </c>
      <c r="D799" s="549">
        <v>2018</v>
      </c>
      <c r="E799" s="549" t="s">
        <v>775</v>
      </c>
      <c r="F799" s="550">
        <v>236</v>
      </c>
      <c r="G799" s="550">
        <v>0</v>
      </c>
      <c r="H799" s="550">
        <v>0</v>
      </c>
      <c r="I799" s="550">
        <v>0</v>
      </c>
      <c r="J799" s="550">
        <v>142</v>
      </c>
      <c r="K799" s="550">
        <v>0</v>
      </c>
      <c r="L799" s="550">
        <v>0</v>
      </c>
      <c r="M799" s="550">
        <v>0</v>
      </c>
      <c r="N799" s="550">
        <v>154</v>
      </c>
      <c r="O799" s="550">
        <v>10</v>
      </c>
      <c r="P799" s="550">
        <v>398</v>
      </c>
      <c r="Q799" s="550">
        <v>12</v>
      </c>
      <c r="R799" s="551" t="str">
        <f t="shared" si="155"/>
        <v>SAN GABRIEL</v>
      </c>
      <c r="S799" s="552"/>
      <c r="T799" s="552"/>
      <c r="U799" s="552"/>
      <c r="V799" s="552"/>
      <c r="W799" s="552"/>
      <c r="X799" s="552"/>
      <c r="Y799" s="552"/>
      <c r="Z799" s="552"/>
      <c r="AA799" s="553"/>
      <c r="AB799" s="553"/>
    </row>
    <row r="800" spans="1:28" ht="12.75">
      <c r="A800" s="547" t="s">
        <v>416</v>
      </c>
      <c r="B800" s="547" t="s">
        <v>153</v>
      </c>
      <c r="C800" s="548" t="s">
        <v>813</v>
      </c>
      <c r="D800" s="549">
        <v>2019</v>
      </c>
      <c r="E800" s="549" t="s">
        <v>775</v>
      </c>
      <c r="F800" s="550">
        <v>236</v>
      </c>
      <c r="G800" s="550">
        <v>0</v>
      </c>
      <c r="H800" s="550">
        <v>0</v>
      </c>
      <c r="I800" s="550">
        <v>0</v>
      </c>
      <c r="J800" s="550">
        <v>142</v>
      </c>
      <c r="K800" s="550">
        <v>21</v>
      </c>
      <c r="L800" s="550">
        <v>0</v>
      </c>
      <c r="M800" s="550">
        <v>21</v>
      </c>
      <c r="N800" s="550">
        <v>154</v>
      </c>
      <c r="O800" s="550">
        <v>0</v>
      </c>
      <c r="P800" s="550">
        <v>398</v>
      </c>
      <c r="Q800" s="550">
        <v>13</v>
      </c>
      <c r="R800" s="551" t="str">
        <f t="shared" si="155"/>
        <v>SAN GABRIEL</v>
      </c>
      <c r="S800" s="552">
        <f>SUM(G795:G800) +SUM(K795:K800)</f>
        <v>24</v>
      </c>
      <c r="T800" s="552">
        <f>F800+J800</f>
        <v>378</v>
      </c>
      <c r="U800" s="552">
        <f>SUM(O795:O800)</f>
        <v>103</v>
      </c>
      <c r="V800" s="552">
        <f>N800</f>
        <v>154</v>
      </c>
      <c r="W800" s="554">
        <f>SUM(Q795:Q800)</f>
        <v>245</v>
      </c>
      <c r="X800" s="552">
        <f>P800</f>
        <v>398</v>
      </c>
      <c r="Y800" s="552">
        <f>S800+U800+SUM(Q795:Q800)</f>
        <v>372</v>
      </c>
      <c r="Z800" s="552">
        <f>F800+J800+N800+P800</f>
        <v>930</v>
      </c>
      <c r="AA800" s="553"/>
      <c r="AB800" s="553"/>
    </row>
    <row r="801" spans="1:28" ht="12.75">
      <c r="A801" s="547" t="s">
        <v>417</v>
      </c>
      <c r="B801" s="547" t="s">
        <v>153</v>
      </c>
      <c r="C801" s="548" t="s">
        <v>812</v>
      </c>
      <c r="D801" s="549">
        <v>2015</v>
      </c>
      <c r="E801" s="549" t="s">
        <v>775</v>
      </c>
      <c r="F801" s="550">
        <v>1</v>
      </c>
      <c r="G801" s="550">
        <v>0</v>
      </c>
      <c r="H801" s="550">
        <v>0</v>
      </c>
      <c r="I801" s="550">
        <v>0</v>
      </c>
      <c r="J801" s="550">
        <v>1</v>
      </c>
      <c r="K801" s="550">
        <v>0</v>
      </c>
      <c r="L801" s="550">
        <v>0</v>
      </c>
      <c r="M801" s="550">
        <v>0</v>
      </c>
      <c r="N801" s="550">
        <v>0</v>
      </c>
      <c r="O801" s="550">
        <v>0</v>
      </c>
      <c r="P801" s="550">
        <v>0</v>
      </c>
      <c r="Q801" s="550">
        <v>9</v>
      </c>
      <c r="R801" s="551" t="str">
        <f t="shared" si="155"/>
        <v>SAN MARINO</v>
      </c>
      <c r="S801" s="552"/>
      <c r="T801" s="552"/>
      <c r="U801" s="552"/>
      <c r="V801" s="552"/>
      <c r="W801" s="552"/>
      <c r="X801" s="552"/>
      <c r="Y801" s="552"/>
      <c r="Z801" s="552"/>
      <c r="AA801" s="553"/>
      <c r="AB801" s="553"/>
    </row>
    <row r="802" spans="1:28" ht="12.75">
      <c r="A802" s="547" t="s">
        <v>417</v>
      </c>
      <c r="B802" s="547" t="s">
        <v>153</v>
      </c>
      <c r="C802" s="548" t="s">
        <v>812</v>
      </c>
      <c r="D802" s="549">
        <v>2016</v>
      </c>
      <c r="E802" s="549" t="s">
        <v>775</v>
      </c>
      <c r="F802" s="550">
        <v>1</v>
      </c>
      <c r="G802" s="550">
        <v>0</v>
      </c>
      <c r="H802" s="550">
        <v>0</v>
      </c>
      <c r="I802" s="550">
        <v>0</v>
      </c>
      <c r="J802" s="550">
        <v>1</v>
      </c>
      <c r="K802" s="550">
        <v>0</v>
      </c>
      <c r="L802" s="550">
        <v>0</v>
      </c>
      <c r="M802" s="550">
        <v>0</v>
      </c>
      <c r="N802" s="550">
        <v>0</v>
      </c>
      <c r="O802" s="550">
        <v>2</v>
      </c>
      <c r="P802" s="550">
        <v>0</v>
      </c>
      <c r="Q802" s="550">
        <v>8</v>
      </c>
      <c r="R802" s="551" t="str">
        <f t="shared" si="155"/>
        <v>SAN MARINO</v>
      </c>
      <c r="S802" s="552"/>
      <c r="T802" s="552"/>
      <c r="U802" s="552"/>
      <c r="V802" s="552"/>
      <c r="W802" s="552"/>
      <c r="X802" s="552"/>
      <c r="Y802" s="552"/>
      <c r="Z802" s="552"/>
      <c r="AA802" s="553"/>
      <c r="AB802" s="553"/>
    </row>
    <row r="803" spans="1:28" ht="12.75">
      <c r="A803" s="547" t="s">
        <v>417</v>
      </c>
      <c r="B803" s="547" t="s">
        <v>153</v>
      </c>
      <c r="C803" s="548" t="s">
        <v>812</v>
      </c>
      <c r="D803" s="549">
        <v>2017</v>
      </c>
      <c r="E803" s="549" t="s">
        <v>775</v>
      </c>
      <c r="F803" s="550">
        <v>1</v>
      </c>
      <c r="G803" s="550">
        <v>1</v>
      </c>
      <c r="H803" s="550">
        <v>1</v>
      </c>
      <c r="I803" s="550">
        <v>0</v>
      </c>
      <c r="J803" s="550">
        <v>1</v>
      </c>
      <c r="K803" s="550">
        <v>0</v>
      </c>
      <c r="L803" s="550">
        <v>0</v>
      </c>
      <c r="M803" s="550">
        <v>0</v>
      </c>
      <c r="N803" s="550">
        <v>0</v>
      </c>
      <c r="O803" s="550">
        <v>2</v>
      </c>
      <c r="P803" s="550">
        <v>0</v>
      </c>
      <c r="Q803" s="550">
        <v>7</v>
      </c>
      <c r="R803" s="551" t="str">
        <f t="shared" si="155"/>
        <v>SAN MARINO</v>
      </c>
      <c r="S803" s="552"/>
      <c r="T803" s="552"/>
      <c r="U803" s="552"/>
      <c r="V803" s="552"/>
      <c r="W803" s="552"/>
      <c r="X803" s="552"/>
      <c r="Y803" s="552"/>
      <c r="Z803" s="552"/>
      <c r="AA803" s="553"/>
      <c r="AB803" s="553"/>
    </row>
    <row r="804" spans="1:28" ht="12.75">
      <c r="A804" s="547" t="s">
        <v>417</v>
      </c>
      <c r="B804" s="547" t="s">
        <v>153</v>
      </c>
      <c r="C804" s="548" t="s">
        <v>812</v>
      </c>
      <c r="D804" s="549">
        <v>2018</v>
      </c>
      <c r="E804" s="549" t="s">
        <v>775</v>
      </c>
      <c r="F804" s="550">
        <v>1</v>
      </c>
      <c r="G804" s="550">
        <v>2</v>
      </c>
      <c r="H804" s="550">
        <v>2</v>
      </c>
      <c r="I804" s="550">
        <v>0</v>
      </c>
      <c r="J804" s="550">
        <v>1</v>
      </c>
      <c r="K804" s="550">
        <v>1</v>
      </c>
      <c r="L804" s="550">
        <v>1</v>
      </c>
      <c r="M804" s="550">
        <v>0</v>
      </c>
      <c r="N804" s="550">
        <v>0</v>
      </c>
      <c r="O804" s="550">
        <v>1</v>
      </c>
      <c r="P804" s="550">
        <v>0</v>
      </c>
      <c r="Q804" s="550">
        <v>6</v>
      </c>
      <c r="R804" s="551" t="str">
        <f t="shared" si="155"/>
        <v>SAN MARINO</v>
      </c>
      <c r="S804" s="552"/>
      <c r="T804" s="552"/>
      <c r="U804" s="552"/>
      <c r="V804" s="552"/>
      <c r="W804" s="552"/>
      <c r="X804" s="552"/>
      <c r="Y804" s="552"/>
      <c r="Z804" s="552"/>
      <c r="AA804" s="553"/>
      <c r="AB804" s="553"/>
    </row>
    <row r="805" spans="1:28" ht="12.75">
      <c r="A805" s="547" t="s">
        <v>417</v>
      </c>
      <c r="B805" s="547" t="s">
        <v>153</v>
      </c>
      <c r="C805" s="548" t="s">
        <v>813</v>
      </c>
      <c r="D805" s="549">
        <v>2019</v>
      </c>
      <c r="E805" s="549" t="s">
        <v>775</v>
      </c>
      <c r="F805" s="550">
        <v>1</v>
      </c>
      <c r="G805" s="550">
        <v>0</v>
      </c>
      <c r="H805" s="550">
        <v>0</v>
      </c>
      <c r="I805" s="550">
        <v>0</v>
      </c>
      <c r="J805" s="550">
        <v>1</v>
      </c>
      <c r="K805" s="550">
        <v>8</v>
      </c>
      <c r="L805" s="550">
        <v>8</v>
      </c>
      <c r="M805" s="550">
        <v>0</v>
      </c>
      <c r="N805" s="550">
        <v>0</v>
      </c>
      <c r="O805" s="550">
        <v>0</v>
      </c>
      <c r="P805" s="550">
        <v>0</v>
      </c>
      <c r="Q805" s="550">
        <v>4</v>
      </c>
      <c r="R805" s="551" t="str">
        <f t="shared" si="155"/>
        <v>SAN MARINO</v>
      </c>
      <c r="S805" s="255">
        <f>SUM(G801:G805) +SUM(K801:K805)</f>
        <v>12</v>
      </c>
      <c r="T805" s="255">
        <f>F805+J805</f>
        <v>2</v>
      </c>
      <c r="U805" s="255">
        <f>SUM(O801:O805)</f>
        <v>5</v>
      </c>
      <c r="V805" s="255">
        <f>N805</f>
        <v>0</v>
      </c>
      <c r="W805" s="83">
        <f>SUM(Q801:Q805)</f>
        <v>34</v>
      </c>
      <c r="X805" s="255">
        <f>P805</f>
        <v>0</v>
      </c>
      <c r="Y805" s="255">
        <f>S805+U805+SUM(Q801:Q805)</f>
        <v>51</v>
      </c>
      <c r="Z805" s="255">
        <f>F805+J805+N805+P805</f>
        <v>2</v>
      </c>
      <c r="AA805" s="553"/>
      <c r="AB805" s="553"/>
    </row>
    <row r="806" spans="1:28" ht="12.75">
      <c r="A806" s="547" t="s">
        <v>418</v>
      </c>
      <c r="B806" s="547" t="s">
        <v>153</v>
      </c>
      <c r="C806" s="548" t="s">
        <v>812</v>
      </c>
      <c r="D806" s="549">
        <v>2014</v>
      </c>
      <c r="E806" s="549" t="s">
        <v>775</v>
      </c>
      <c r="F806" s="550">
        <v>2645</v>
      </c>
      <c r="G806" s="550">
        <v>3</v>
      </c>
      <c r="H806" s="550">
        <v>3</v>
      </c>
      <c r="I806" s="550">
        <v>0</v>
      </c>
      <c r="J806" s="550">
        <v>1678</v>
      </c>
      <c r="K806" s="550">
        <v>32</v>
      </c>
      <c r="L806" s="550">
        <v>2</v>
      </c>
      <c r="M806" s="550">
        <v>30</v>
      </c>
      <c r="N806" s="550">
        <v>1532</v>
      </c>
      <c r="O806" s="550">
        <v>141</v>
      </c>
      <c r="P806" s="550">
        <v>5126</v>
      </c>
      <c r="Q806" s="550">
        <v>212</v>
      </c>
      <c r="R806" s="551" t="str">
        <f t="shared" si="155"/>
        <v>SANTA CLARITA</v>
      </c>
      <c r="S806" s="552"/>
      <c r="T806" s="552"/>
      <c r="U806" s="552"/>
      <c r="V806" s="552"/>
      <c r="W806" s="552"/>
      <c r="X806" s="552"/>
      <c r="Y806" s="552"/>
      <c r="Z806" s="552"/>
      <c r="AA806" s="553"/>
      <c r="AB806" s="553"/>
    </row>
    <row r="807" spans="1:28" ht="12.75">
      <c r="A807" s="547" t="s">
        <v>418</v>
      </c>
      <c r="B807" s="547" t="s">
        <v>153</v>
      </c>
      <c r="C807" s="548" t="s">
        <v>812</v>
      </c>
      <c r="D807" s="549">
        <v>2015</v>
      </c>
      <c r="E807" s="549" t="s">
        <v>775</v>
      </c>
      <c r="F807" s="550">
        <v>2645</v>
      </c>
      <c r="G807" s="550">
        <v>0</v>
      </c>
      <c r="H807" s="550">
        <v>0</v>
      </c>
      <c r="I807" s="550">
        <v>0</v>
      </c>
      <c r="J807" s="550">
        <v>1678</v>
      </c>
      <c r="K807" s="550">
        <v>73</v>
      </c>
      <c r="L807" s="550">
        <v>73</v>
      </c>
      <c r="M807" s="550">
        <v>0</v>
      </c>
      <c r="N807" s="550">
        <v>1532</v>
      </c>
      <c r="O807" s="550">
        <v>11</v>
      </c>
      <c r="P807" s="550">
        <v>5126</v>
      </c>
      <c r="Q807" s="550">
        <v>306</v>
      </c>
      <c r="R807" s="551" t="str">
        <f t="shared" si="155"/>
        <v>SANTA CLARITA</v>
      </c>
      <c r="S807" s="552"/>
      <c r="T807" s="552"/>
      <c r="U807" s="552"/>
      <c r="V807" s="552"/>
      <c r="W807" s="552"/>
      <c r="X807" s="552"/>
      <c r="Y807" s="552"/>
      <c r="Z807" s="552"/>
      <c r="AA807" s="553"/>
      <c r="AB807" s="553"/>
    </row>
    <row r="808" spans="1:28" ht="12.75">
      <c r="A808" s="547" t="s">
        <v>418</v>
      </c>
      <c r="B808" s="547" t="s">
        <v>153</v>
      </c>
      <c r="C808" s="548" t="s">
        <v>812</v>
      </c>
      <c r="D808" s="549">
        <v>2016</v>
      </c>
      <c r="E808" s="549" t="s">
        <v>775</v>
      </c>
      <c r="F808" s="550">
        <v>2645</v>
      </c>
      <c r="G808" s="550">
        <v>10</v>
      </c>
      <c r="H808" s="550">
        <v>10</v>
      </c>
      <c r="I808" s="550">
        <v>0</v>
      </c>
      <c r="J808" s="550">
        <v>1678</v>
      </c>
      <c r="K808" s="550">
        <v>19</v>
      </c>
      <c r="L808" s="550">
        <v>19</v>
      </c>
      <c r="M808" s="550">
        <v>0</v>
      </c>
      <c r="N808" s="550">
        <v>1532</v>
      </c>
      <c r="O808" s="550">
        <v>0</v>
      </c>
      <c r="P808" s="550">
        <v>5126</v>
      </c>
      <c r="Q808" s="550">
        <v>433</v>
      </c>
      <c r="R808" s="551" t="str">
        <f t="shared" si="155"/>
        <v>SANTA CLARITA</v>
      </c>
      <c r="S808" s="552"/>
      <c r="T808" s="552"/>
      <c r="U808" s="552"/>
      <c r="V808" s="552"/>
      <c r="W808" s="552"/>
      <c r="X808" s="552"/>
      <c r="Y808" s="552"/>
      <c r="Z808" s="552"/>
      <c r="AA808" s="553"/>
      <c r="AB808" s="553"/>
    </row>
    <row r="809" spans="1:28" ht="12.75">
      <c r="A809" s="547" t="s">
        <v>418</v>
      </c>
      <c r="B809" s="547" t="s">
        <v>153</v>
      </c>
      <c r="C809" s="548" t="s">
        <v>812</v>
      </c>
      <c r="D809" s="549">
        <v>2017</v>
      </c>
      <c r="E809" s="549" t="s">
        <v>775</v>
      </c>
      <c r="F809" s="550">
        <v>2645</v>
      </c>
      <c r="G809" s="550">
        <v>0</v>
      </c>
      <c r="H809" s="550">
        <v>0</v>
      </c>
      <c r="I809" s="550">
        <v>0</v>
      </c>
      <c r="J809" s="550">
        <v>1678</v>
      </c>
      <c r="K809" s="550">
        <v>0</v>
      </c>
      <c r="L809" s="550">
        <v>0</v>
      </c>
      <c r="M809" s="550">
        <v>0</v>
      </c>
      <c r="N809" s="550">
        <v>1532</v>
      </c>
      <c r="O809" s="550">
        <v>0</v>
      </c>
      <c r="P809" s="550">
        <v>5126</v>
      </c>
      <c r="Q809" s="550">
        <v>578</v>
      </c>
      <c r="R809" s="551" t="str">
        <f t="shared" si="155"/>
        <v>SANTA CLARITA</v>
      </c>
      <c r="S809" s="552"/>
      <c r="T809" s="552"/>
      <c r="U809" s="552"/>
      <c r="V809" s="552"/>
      <c r="W809" s="552"/>
      <c r="X809" s="552"/>
      <c r="Y809" s="552"/>
      <c r="Z809" s="552"/>
      <c r="AA809" s="553"/>
      <c r="AB809" s="553"/>
    </row>
    <row r="810" spans="1:28" ht="12.75">
      <c r="A810" s="547" t="s">
        <v>418</v>
      </c>
      <c r="B810" s="547" t="s">
        <v>153</v>
      </c>
      <c r="C810" s="548" t="s">
        <v>812</v>
      </c>
      <c r="D810" s="549">
        <v>2018</v>
      </c>
      <c r="E810" s="549" t="s">
        <v>775</v>
      </c>
      <c r="F810" s="550">
        <v>2645</v>
      </c>
      <c r="G810" s="550">
        <v>0</v>
      </c>
      <c r="H810" s="550">
        <v>0</v>
      </c>
      <c r="I810" s="550">
        <v>0</v>
      </c>
      <c r="J810" s="550">
        <v>1678</v>
      </c>
      <c r="K810" s="550">
        <v>0</v>
      </c>
      <c r="L810" s="550">
        <v>0</v>
      </c>
      <c r="M810" s="550">
        <v>0</v>
      </c>
      <c r="N810" s="550">
        <v>1532</v>
      </c>
      <c r="O810" s="550">
        <v>3</v>
      </c>
      <c r="P810" s="550">
        <v>5126</v>
      </c>
      <c r="Q810" s="550">
        <v>415</v>
      </c>
      <c r="R810" s="551" t="str">
        <f t="shared" si="155"/>
        <v>SANTA CLARITA</v>
      </c>
      <c r="S810" s="552"/>
      <c r="T810" s="552"/>
      <c r="U810" s="552"/>
      <c r="V810" s="552"/>
      <c r="W810" s="552"/>
      <c r="X810" s="552"/>
      <c r="Y810" s="552"/>
      <c r="Z810" s="552"/>
      <c r="AA810" s="553"/>
      <c r="AB810" s="553"/>
    </row>
    <row r="811" spans="1:28" ht="12.75">
      <c r="A811" s="547" t="s">
        <v>418</v>
      </c>
      <c r="B811" s="547" t="s">
        <v>153</v>
      </c>
      <c r="C811" s="548" t="s">
        <v>813</v>
      </c>
      <c r="D811" s="549">
        <v>2019</v>
      </c>
      <c r="E811" s="549" t="s">
        <v>775</v>
      </c>
      <c r="F811" s="550">
        <v>2645</v>
      </c>
      <c r="G811" s="550">
        <v>0</v>
      </c>
      <c r="H811" s="550">
        <v>0</v>
      </c>
      <c r="I811" s="550">
        <v>0</v>
      </c>
      <c r="J811" s="550">
        <v>1678</v>
      </c>
      <c r="K811" s="550">
        <v>0</v>
      </c>
      <c r="L811" s="550">
        <v>0</v>
      </c>
      <c r="M811" s="550">
        <v>0</v>
      </c>
      <c r="N811" s="550">
        <v>1532</v>
      </c>
      <c r="O811" s="550">
        <v>0</v>
      </c>
      <c r="P811" s="550">
        <v>5126</v>
      </c>
      <c r="Q811" s="550">
        <v>925</v>
      </c>
      <c r="R811" s="551" t="str">
        <f t="shared" si="155"/>
        <v>SANTA CLARITA</v>
      </c>
      <c r="S811" s="552">
        <f>SUM(G806:G811) +SUM(K806:K811)</f>
        <v>137</v>
      </c>
      <c r="T811" s="552">
        <f>F811+J811</f>
        <v>4323</v>
      </c>
      <c r="U811" s="552">
        <f>SUM(O806:O811)</f>
        <v>155</v>
      </c>
      <c r="V811" s="552">
        <f>N811</f>
        <v>1532</v>
      </c>
      <c r="W811" s="554">
        <f>SUM(Q806:Q811)</f>
        <v>2869</v>
      </c>
      <c r="X811" s="552">
        <f>P811</f>
        <v>5126</v>
      </c>
      <c r="Y811" s="552">
        <f>S811+U811+SUM(Q806:Q811)</f>
        <v>3161</v>
      </c>
      <c r="Z811" s="552">
        <f>F811+J811+N811+P811</f>
        <v>10981</v>
      </c>
      <c r="AA811" s="553"/>
      <c r="AB811" s="553"/>
    </row>
    <row r="812" spans="1:28" ht="12.75">
      <c r="A812" s="547" t="s">
        <v>419</v>
      </c>
      <c r="B812" s="547" t="s">
        <v>153</v>
      </c>
      <c r="C812" s="548" t="s">
        <v>812</v>
      </c>
      <c r="D812" s="549">
        <v>2014</v>
      </c>
      <c r="E812" s="549" t="s">
        <v>775</v>
      </c>
      <c r="F812" s="550">
        <v>82</v>
      </c>
      <c r="G812" s="550">
        <v>0</v>
      </c>
      <c r="H812" s="550">
        <v>0</v>
      </c>
      <c r="I812" s="550">
        <v>0</v>
      </c>
      <c r="J812" s="550">
        <v>50</v>
      </c>
      <c r="K812" s="550">
        <v>0</v>
      </c>
      <c r="L812" s="550">
        <v>0</v>
      </c>
      <c r="M812" s="550">
        <v>0</v>
      </c>
      <c r="N812" s="550">
        <v>53</v>
      </c>
      <c r="O812" s="550">
        <v>0</v>
      </c>
      <c r="P812" s="550">
        <v>139</v>
      </c>
      <c r="Q812" s="550">
        <v>156</v>
      </c>
      <c r="R812" s="551" t="str">
        <f t="shared" si="155"/>
        <v>SANTA FE SPRINGS</v>
      </c>
      <c r="S812" s="552"/>
      <c r="T812" s="552"/>
      <c r="U812" s="552"/>
      <c r="V812" s="552"/>
      <c r="W812" s="552"/>
      <c r="X812" s="552"/>
      <c r="Y812" s="552"/>
      <c r="Z812" s="552"/>
      <c r="AA812" s="553"/>
      <c r="AB812" s="553"/>
    </row>
    <row r="813" spans="1:28" ht="12.75">
      <c r="A813" s="547" t="s">
        <v>419</v>
      </c>
      <c r="B813" s="547" t="s">
        <v>153</v>
      </c>
      <c r="C813" s="548" t="s">
        <v>812</v>
      </c>
      <c r="D813" s="549">
        <v>2015</v>
      </c>
      <c r="E813" s="549" t="s">
        <v>775</v>
      </c>
      <c r="F813" s="550">
        <v>82</v>
      </c>
      <c r="G813" s="550">
        <v>0</v>
      </c>
      <c r="H813" s="550">
        <v>0</v>
      </c>
      <c r="I813" s="550">
        <v>0</v>
      </c>
      <c r="J813" s="550">
        <v>50</v>
      </c>
      <c r="K813" s="550">
        <v>0</v>
      </c>
      <c r="L813" s="550">
        <v>0</v>
      </c>
      <c r="M813" s="550">
        <v>0</v>
      </c>
      <c r="N813" s="550">
        <v>53</v>
      </c>
      <c r="O813" s="550">
        <v>0</v>
      </c>
      <c r="P813" s="550">
        <v>139</v>
      </c>
      <c r="Q813" s="550">
        <v>51</v>
      </c>
      <c r="R813" s="551" t="str">
        <f t="shared" si="155"/>
        <v>SANTA FE SPRINGS</v>
      </c>
      <c r="S813" s="552"/>
      <c r="T813" s="552"/>
      <c r="U813" s="552"/>
      <c r="V813" s="552"/>
      <c r="W813" s="552"/>
      <c r="X813" s="552"/>
      <c r="Y813" s="552"/>
      <c r="Z813" s="552"/>
      <c r="AA813" s="553"/>
      <c r="AB813" s="553"/>
    </row>
    <row r="814" spans="1:28" ht="12.75">
      <c r="A814" s="547" t="s">
        <v>419</v>
      </c>
      <c r="B814" s="547" t="s">
        <v>153</v>
      </c>
      <c r="C814" s="548" t="s">
        <v>812</v>
      </c>
      <c r="D814" s="549">
        <v>2016</v>
      </c>
      <c r="E814" s="549" t="s">
        <v>775</v>
      </c>
      <c r="F814" s="550">
        <v>82</v>
      </c>
      <c r="G814" s="550">
        <v>0</v>
      </c>
      <c r="H814" s="550">
        <v>0</v>
      </c>
      <c r="I814" s="550">
        <v>0</v>
      </c>
      <c r="J814" s="550">
        <v>50</v>
      </c>
      <c r="K814" s="550">
        <v>0</v>
      </c>
      <c r="L814" s="550">
        <v>0</v>
      </c>
      <c r="M814" s="550">
        <v>0</v>
      </c>
      <c r="N814" s="550">
        <v>53</v>
      </c>
      <c r="O814" s="550">
        <v>0</v>
      </c>
      <c r="P814" s="550">
        <v>139</v>
      </c>
      <c r="Q814" s="550">
        <v>0</v>
      </c>
      <c r="R814" s="551" t="str">
        <f t="shared" si="155"/>
        <v>SANTA FE SPRINGS</v>
      </c>
      <c r="S814" s="552"/>
      <c r="T814" s="552"/>
      <c r="U814" s="552"/>
      <c r="V814" s="552"/>
      <c r="W814" s="552"/>
      <c r="X814" s="552"/>
      <c r="Y814" s="552"/>
      <c r="Z814" s="552"/>
      <c r="AA814" s="553"/>
      <c r="AB814" s="553"/>
    </row>
    <row r="815" spans="1:28" ht="12.75">
      <c r="A815" s="547" t="s">
        <v>419</v>
      </c>
      <c r="B815" s="547" t="s">
        <v>153</v>
      </c>
      <c r="C815" s="548" t="s">
        <v>812</v>
      </c>
      <c r="D815" s="549">
        <v>2017</v>
      </c>
      <c r="E815" s="549" t="s">
        <v>775</v>
      </c>
      <c r="F815" s="550">
        <v>82</v>
      </c>
      <c r="G815" s="550">
        <v>0</v>
      </c>
      <c r="H815" s="550">
        <v>0</v>
      </c>
      <c r="I815" s="550">
        <v>0</v>
      </c>
      <c r="J815" s="550">
        <v>50</v>
      </c>
      <c r="K815" s="550">
        <v>1</v>
      </c>
      <c r="L815" s="550">
        <v>0</v>
      </c>
      <c r="M815" s="550">
        <v>1</v>
      </c>
      <c r="N815" s="550">
        <v>53</v>
      </c>
      <c r="O815" s="550">
        <v>0</v>
      </c>
      <c r="P815" s="550">
        <v>139</v>
      </c>
      <c r="Q815" s="550">
        <v>14</v>
      </c>
      <c r="R815" s="551" t="str">
        <f t="shared" si="155"/>
        <v>SANTA FE SPRINGS</v>
      </c>
      <c r="S815" s="552"/>
      <c r="T815" s="552"/>
      <c r="U815" s="552"/>
      <c r="V815" s="552"/>
      <c r="W815" s="552"/>
      <c r="X815" s="552"/>
      <c r="Y815" s="552"/>
      <c r="Z815" s="552"/>
      <c r="AA815" s="553"/>
      <c r="AB815" s="553"/>
    </row>
    <row r="816" spans="1:28" ht="12.75">
      <c r="A816" s="547" t="s">
        <v>419</v>
      </c>
      <c r="B816" s="547" t="s">
        <v>153</v>
      </c>
      <c r="C816" s="548" t="s">
        <v>812</v>
      </c>
      <c r="D816" s="549">
        <v>2018</v>
      </c>
      <c r="E816" s="549" t="s">
        <v>775</v>
      </c>
      <c r="F816" s="550">
        <v>82</v>
      </c>
      <c r="G816" s="550">
        <v>0</v>
      </c>
      <c r="H816" s="550">
        <v>0</v>
      </c>
      <c r="I816" s="550">
        <v>0</v>
      </c>
      <c r="J816" s="550">
        <v>50</v>
      </c>
      <c r="K816" s="550">
        <v>2</v>
      </c>
      <c r="L816" s="550">
        <v>0</v>
      </c>
      <c r="M816" s="550">
        <v>2</v>
      </c>
      <c r="N816" s="550">
        <v>53</v>
      </c>
      <c r="O816" s="550">
        <v>0</v>
      </c>
      <c r="P816" s="550">
        <v>139</v>
      </c>
      <c r="Q816" s="550">
        <v>0</v>
      </c>
      <c r="R816" s="551" t="str">
        <f t="shared" si="155"/>
        <v>SANTA FE SPRINGS</v>
      </c>
      <c r="S816" s="552"/>
      <c r="T816" s="552"/>
      <c r="U816" s="552"/>
      <c r="V816" s="552"/>
      <c r="W816" s="552"/>
      <c r="X816" s="552"/>
      <c r="Y816" s="552"/>
      <c r="Z816" s="552"/>
      <c r="AA816" s="553"/>
      <c r="AB816" s="553"/>
    </row>
    <row r="817" spans="1:28" ht="12.75">
      <c r="A817" s="547" t="s">
        <v>419</v>
      </c>
      <c r="B817" s="547" t="s">
        <v>153</v>
      </c>
      <c r="C817" s="548" t="s">
        <v>813</v>
      </c>
      <c r="D817" s="549">
        <v>2019</v>
      </c>
      <c r="E817" s="549" t="s">
        <v>775</v>
      </c>
      <c r="F817" s="550">
        <v>82</v>
      </c>
      <c r="G817" s="550">
        <v>0</v>
      </c>
      <c r="H817" s="550">
        <v>0</v>
      </c>
      <c r="I817" s="550">
        <v>0</v>
      </c>
      <c r="J817" s="550">
        <v>50</v>
      </c>
      <c r="K817" s="550">
        <v>10</v>
      </c>
      <c r="L817" s="550">
        <v>0</v>
      </c>
      <c r="M817" s="550">
        <v>10</v>
      </c>
      <c r="N817" s="550">
        <v>53</v>
      </c>
      <c r="O817" s="550">
        <v>0</v>
      </c>
      <c r="P817" s="550">
        <v>139</v>
      </c>
      <c r="Q817" s="550">
        <v>0</v>
      </c>
      <c r="R817" s="551" t="str">
        <f t="shared" si="155"/>
        <v>SANTA FE SPRINGS</v>
      </c>
      <c r="S817" s="552">
        <f>SUM(G812:G817) +SUM(K812:K817)</f>
        <v>13</v>
      </c>
      <c r="T817" s="552">
        <f>F817+J817</f>
        <v>132</v>
      </c>
      <c r="U817" s="552">
        <f>SUM(O812:O817)</f>
        <v>0</v>
      </c>
      <c r="V817" s="552">
        <f>N817</f>
        <v>53</v>
      </c>
      <c r="W817" s="554">
        <f>SUM(Q812:Q817)</f>
        <v>221</v>
      </c>
      <c r="X817" s="552">
        <f>P817</f>
        <v>139</v>
      </c>
      <c r="Y817" s="552">
        <f>S817+U817+SUM(Q812:Q817)</f>
        <v>234</v>
      </c>
      <c r="Z817" s="552">
        <f>F817+J817+N817+P817</f>
        <v>324</v>
      </c>
      <c r="AA817" s="553"/>
      <c r="AB817" s="553"/>
    </row>
    <row r="818" spans="1:28" ht="12.75">
      <c r="A818" s="547" t="s">
        <v>420</v>
      </c>
      <c r="B818" s="547" t="s">
        <v>153</v>
      </c>
      <c r="C818" s="548" t="s">
        <v>812</v>
      </c>
      <c r="D818" s="549">
        <v>2014</v>
      </c>
      <c r="E818" s="549" t="s">
        <v>775</v>
      </c>
      <c r="F818" s="550">
        <v>428</v>
      </c>
      <c r="G818" s="550">
        <v>167</v>
      </c>
      <c r="H818" s="550">
        <v>167</v>
      </c>
      <c r="I818" s="550">
        <v>0</v>
      </c>
      <c r="J818" s="550">
        <v>263</v>
      </c>
      <c r="K818" s="550">
        <v>97</v>
      </c>
      <c r="L818" s="550">
        <v>97</v>
      </c>
      <c r="M818" s="550">
        <v>0</v>
      </c>
      <c r="N818" s="550">
        <v>283</v>
      </c>
      <c r="O818" s="550">
        <v>17</v>
      </c>
      <c r="P818" s="550">
        <v>700</v>
      </c>
      <c r="Q818" s="550">
        <v>301</v>
      </c>
      <c r="R818" s="551" t="str">
        <f t="shared" si="155"/>
        <v>SANTA MONICA</v>
      </c>
      <c r="S818" s="552"/>
      <c r="T818" s="552"/>
      <c r="U818" s="552"/>
      <c r="V818" s="552"/>
      <c r="W818" s="552"/>
      <c r="X818" s="552"/>
      <c r="Y818" s="552"/>
      <c r="Z818" s="552"/>
      <c r="AA818" s="553"/>
      <c r="AB818" s="553"/>
    </row>
    <row r="819" spans="1:28" ht="12.75">
      <c r="A819" s="547" t="s">
        <v>420</v>
      </c>
      <c r="B819" s="547" t="s">
        <v>153</v>
      </c>
      <c r="C819" s="548" t="s">
        <v>812</v>
      </c>
      <c r="D819" s="549">
        <v>2015</v>
      </c>
      <c r="E819" s="549" t="s">
        <v>775</v>
      </c>
      <c r="F819" s="550">
        <v>428</v>
      </c>
      <c r="G819" s="550">
        <v>37</v>
      </c>
      <c r="H819" s="550">
        <v>37</v>
      </c>
      <c r="I819" s="550">
        <v>0</v>
      </c>
      <c r="J819" s="550">
        <v>263</v>
      </c>
      <c r="K819" s="550">
        <v>0</v>
      </c>
      <c r="L819" s="550">
        <v>0</v>
      </c>
      <c r="M819" s="550">
        <v>0</v>
      </c>
      <c r="N819" s="550">
        <v>283</v>
      </c>
      <c r="O819" s="550">
        <v>1</v>
      </c>
      <c r="P819" s="550">
        <v>700</v>
      </c>
      <c r="Q819" s="550">
        <v>108</v>
      </c>
      <c r="R819" s="551" t="str">
        <f t="shared" si="155"/>
        <v>SANTA MONICA</v>
      </c>
      <c r="S819" s="552"/>
      <c r="T819" s="552"/>
      <c r="U819" s="552"/>
      <c r="V819" s="552"/>
      <c r="W819" s="552"/>
      <c r="X819" s="552"/>
      <c r="Y819" s="552"/>
      <c r="Z819" s="552"/>
      <c r="AA819" s="553"/>
      <c r="AB819" s="553"/>
    </row>
    <row r="820" spans="1:28" ht="12.75">
      <c r="A820" s="547" t="s">
        <v>420</v>
      </c>
      <c r="B820" s="547" t="s">
        <v>153</v>
      </c>
      <c r="C820" s="548" t="s">
        <v>812</v>
      </c>
      <c r="D820" s="549">
        <v>2016</v>
      </c>
      <c r="E820" s="549" t="s">
        <v>775</v>
      </c>
      <c r="F820" s="550">
        <v>428</v>
      </c>
      <c r="G820" s="550">
        <v>6</v>
      </c>
      <c r="H820" s="550">
        <v>6</v>
      </c>
      <c r="I820" s="550">
        <v>0</v>
      </c>
      <c r="J820" s="550">
        <v>263</v>
      </c>
      <c r="K820" s="550">
        <v>6</v>
      </c>
      <c r="L820" s="550">
        <v>6</v>
      </c>
      <c r="M820" s="550">
        <v>0</v>
      </c>
      <c r="N820" s="550">
        <v>283</v>
      </c>
      <c r="O820" s="550">
        <v>0</v>
      </c>
      <c r="P820" s="550">
        <v>700</v>
      </c>
      <c r="Q820" s="550">
        <v>244</v>
      </c>
      <c r="R820" s="551" t="str">
        <f t="shared" si="155"/>
        <v>SANTA MONICA</v>
      </c>
      <c r="S820" s="552"/>
      <c r="T820" s="552"/>
      <c r="U820" s="552"/>
      <c r="V820" s="552"/>
      <c r="W820" s="552"/>
      <c r="X820" s="552"/>
      <c r="Y820" s="552"/>
      <c r="Z820" s="552"/>
      <c r="AA820" s="553"/>
      <c r="AB820" s="553"/>
    </row>
    <row r="821" spans="1:28" ht="12.75">
      <c r="A821" s="547" t="s">
        <v>420</v>
      </c>
      <c r="B821" s="547" t="s">
        <v>153</v>
      </c>
      <c r="C821" s="548" t="s">
        <v>812</v>
      </c>
      <c r="D821" s="549">
        <v>2017</v>
      </c>
      <c r="E821" s="549" t="s">
        <v>775</v>
      </c>
      <c r="F821" s="550">
        <v>428</v>
      </c>
      <c r="G821" s="550">
        <v>93</v>
      </c>
      <c r="H821" s="550">
        <v>93</v>
      </c>
      <c r="I821" s="550">
        <v>0</v>
      </c>
      <c r="J821" s="550">
        <v>263</v>
      </c>
      <c r="K821" s="550">
        <v>21</v>
      </c>
      <c r="L821" s="550">
        <v>21</v>
      </c>
      <c r="M821" s="550">
        <v>0</v>
      </c>
      <c r="N821" s="550">
        <v>283</v>
      </c>
      <c r="O821" s="550">
        <v>8</v>
      </c>
      <c r="P821" s="550">
        <v>700</v>
      </c>
      <c r="Q821" s="550">
        <v>569</v>
      </c>
      <c r="R821" s="551" t="str">
        <f t="shared" si="155"/>
        <v>SANTA MONICA</v>
      </c>
      <c r="S821" s="552"/>
      <c r="T821" s="552"/>
      <c r="U821" s="552"/>
      <c r="V821" s="552"/>
      <c r="W821" s="552"/>
      <c r="X821" s="552"/>
      <c r="Y821" s="552"/>
      <c r="Z821" s="552"/>
      <c r="AA821" s="553"/>
      <c r="AB821" s="553"/>
    </row>
    <row r="822" spans="1:28" ht="12.75">
      <c r="A822" s="547" t="s">
        <v>420</v>
      </c>
      <c r="B822" s="547" t="s">
        <v>153</v>
      </c>
      <c r="C822" s="548" t="s">
        <v>812</v>
      </c>
      <c r="D822" s="549">
        <v>2018</v>
      </c>
      <c r="E822" s="549" t="s">
        <v>775</v>
      </c>
      <c r="F822" s="550">
        <v>428</v>
      </c>
      <c r="G822" s="550">
        <v>53</v>
      </c>
      <c r="H822" s="550">
        <v>53</v>
      </c>
      <c r="I822" s="550">
        <v>0</v>
      </c>
      <c r="J822" s="550">
        <v>263</v>
      </c>
      <c r="K822" s="550">
        <v>9</v>
      </c>
      <c r="L822" s="550">
        <v>9</v>
      </c>
      <c r="M822" s="550">
        <v>0</v>
      </c>
      <c r="N822" s="550">
        <v>283</v>
      </c>
      <c r="O822" s="550">
        <v>25</v>
      </c>
      <c r="P822" s="550">
        <v>700</v>
      </c>
      <c r="Q822" s="550">
        <v>312</v>
      </c>
      <c r="R822" s="551" t="str">
        <f t="shared" si="155"/>
        <v>SANTA MONICA</v>
      </c>
      <c r="S822" s="552"/>
      <c r="T822" s="552"/>
      <c r="U822" s="552"/>
      <c r="V822" s="552"/>
      <c r="W822" s="552"/>
      <c r="X822" s="552"/>
      <c r="Y822" s="552"/>
      <c r="Z822" s="552"/>
      <c r="AA822" s="553"/>
      <c r="AB822" s="553"/>
    </row>
    <row r="823" spans="1:28" ht="12.75">
      <c r="A823" s="547" t="s">
        <v>420</v>
      </c>
      <c r="B823" s="547" t="s">
        <v>153</v>
      </c>
      <c r="C823" s="548" t="s">
        <v>813</v>
      </c>
      <c r="D823" s="549">
        <v>2019</v>
      </c>
      <c r="E823" s="549" t="s">
        <v>775</v>
      </c>
      <c r="F823" s="550">
        <v>428</v>
      </c>
      <c r="G823" s="550">
        <v>9</v>
      </c>
      <c r="H823" s="550">
        <v>9</v>
      </c>
      <c r="I823" s="550">
        <v>0</v>
      </c>
      <c r="J823" s="550">
        <v>263</v>
      </c>
      <c r="K823" s="550">
        <v>39</v>
      </c>
      <c r="L823" s="550">
        <v>39</v>
      </c>
      <c r="M823" s="550">
        <v>0</v>
      </c>
      <c r="N823" s="550">
        <v>283</v>
      </c>
      <c r="O823" s="550">
        <v>0</v>
      </c>
      <c r="P823" s="550">
        <v>700</v>
      </c>
      <c r="Q823" s="550">
        <v>450</v>
      </c>
      <c r="R823" s="551" t="str">
        <f t="shared" si="155"/>
        <v>SANTA MONICA</v>
      </c>
      <c r="S823" s="552">
        <f>SUM(G818:G823) +SUM(K818:K823)</f>
        <v>537</v>
      </c>
      <c r="T823" s="552">
        <f>F823+J823</f>
        <v>691</v>
      </c>
      <c r="U823" s="552">
        <f>SUM(O818:O823)</f>
        <v>51</v>
      </c>
      <c r="V823" s="552">
        <f>N823</f>
        <v>283</v>
      </c>
      <c r="W823" s="554">
        <f>SUM(Q818:Q823)</f>
        <v>1984</v>
      </c>
      <c r="X823" s="552">
        <f>P823</f>
        <v>700</v>
      </c>
      <c r="Y823" s="552">
        <f>S823+U823+SUM(Q818:Q823)</f>
        <v>2572</v>
      </c>
      <c r="Z823" s="552">
        <f>F823+J823+N823+P823</f>
        <v>1674</v>
      </c>
      <c r="AA823" s="553"/>
      <c r="AB823" s="553"/>
    </row>
    <row r="824" spans="1:28" ht="12.75">
      <c r="A824" s="547" t="s">
        <v>421</v>
      </c>
      <c r="B824" s="547" t="s">
        <v>153</v>
      </c>
      <c r="C824" s="548" t="s">
        <v>812</v>
      </c>
      <c r="D824" s="549">
        <v>2014</v>
      </c>
      <c r="E824" s="549" t="s">
        <v>775</v>
      </c>
      <c r="F824" s="550">
        <v>14</v>
      </c>
      <c r="G824" s="550">
        <v>2</v>
      </c>
      <c r="H824" s="550">
        <v>0</v>
      </c>
      <c r="I824" s="550">
        <v>2</v>
      </c>
      <c r="J824" s="550">
        <v>9</v>
      </c>
      <c r="K824" s="550">
        <v>5</v>
      </c>
      <c r="L824" s="550">
        <v>0</v>
      </c>
      <c r="M824" s="550">
        <v>5</v>
      </c>
      <c r="N824" s="550">
        <v>9</v>
      </c>
      <c r="O824" s="550">
        <v>0</v>
      </c>
      <c r="P824" s="550">
        <v>23</v>
      </c>
      <c r="Q824" s="550">
        <v>5</v>
      </c>
      <c r="R824" s="551" t="str">
        <f t="shared" si="155"/>
        <v>SIERRA MADRE</v>
      </c>
      <c r="S824" s="552"/>
      <c r="T824" s="552"/>
      <c r="U824" s="552"/>
      <c r="V824" s="552"/>
      <c r="W824" s="552"/>
      <c r="X824" s="552"/>
      <c r="Y824" s="552"/>
      <c r="Z824" s="552"/>
      <c r="AA824" s="553"/>
      <c r="AB824" s="553"/>
    </row>
    <row r="825" spans="1:28" ht="12.75">
      <c r="A825" s="547" t="s">
        <v>421</v>
      </c>
      <c r="B825" s="547" t="s">
        <v>153</v>
      </c>
      <c r="C825" s="548" t="s">
        <v>812</v>
      </c>
      <c r="D825" s="549">
        <v>2015</v>
      </c>
      <c r="E825" s="549" t="s">
        <v>775</v>
      </c>
      <c r="F825" s="550">
        <v>14</v>
      </c>
      <c r="G825" s="550">
        <v>0</v>
      </c>
      <c r="H825" s="550">
        <v>0</v>
      </c>
      <c r="I825" s="550">
        <v>0</v>
      </c>
      <c r="J825" s="550">
        <v>9</v>
      </c>
      <c r="K825" s="550">
        <v>0</v>
      </c>
      <c r="L825" s="550">
        <v>0</v>
      </c>
      <c r="M825" s="550">
        <v>0</v>
      </c>
      <c r="N825" s="550">
        <v>9</v>
      </c>
      <c r="O825" s="550">
        <v>0</v>
      </c>
      <c r="P825" s="550">
        <v>23</v>
      </c>
      <c r="Q825" s="550">
        <v>77</v>
      </c>
      <c r="R825" s="551" t="str">
        <f t="shared" si="155"/>
        <v>SIERRA MADRE</v>
      </c>
      <c r="S825" s="552"/>
      <c r="T825" s="552"/>
      <c r="U825" s="552"/>
      <c r="V825" s="552"/>
      <c r="W825" s="552"/>
      <c r="X825" s="552"/>
      <c r="Y825" s="552"/>
      <c r="Z825" s="552"/>
      <c r="AA825" s="553"/>
      <c r="AB825" s="553"/>
    </row>
    <row r="826" spans="1:28" ht="12.75">
      <c r="A826" s="547" t="s">
        <v>421</v>
      </c>
      <c r="B826" s="547" t="s">
        <v>153</v>
      </c>
      <c r="C826" s="548" t="s">
        <v>812</v>
      </c>
      <c r="D826" s="549">
        <v>2016</v>
      </c>
      <c r="E826" s="549" t="s">
        <v>775</v>
      </c>
      <c r="F826" s="550">
        <v>14</v>
      </c>
      <c r="G826" s="550">
        <v>0</v>
      </c>
      <c r="H826" s="550">
        <v>0</v>
      </c>
      <c r="I826" s="550">
        <v>0</v>
      </c>
      <c r="J826" s="550">
        <v>9</v>
      </c>
      <c r="K826" s="550">
        <v>1</v>
      </c>
      <c r="L826" s="550">
        <v>0</v>
      </c>
      <c r="M826" s="550">
        <v>1</v>
      </c>
      <c r="N826" s="550">
        <v>9</v>
      </c>
      <c r="O826" s="550">
        <v>0</v>
      </c>
      <c r="P826" s="550">
        <v>23</v>
      </c>
      <c r="Q826" s="550">
        <v>0</v>
      </c>
      <c r="R826" s="551" t="str">
        <f t="shared" si="155"/>
        <v>SIERRA MADRE</v>
      </c>
      <c r="S826" s="552"/>
      <c r="T826" s="552"/>
      <c r="U826" s="552"/>
      <c r="V826" s="552"/>
      <c r="W826" s="552"/>
      <c r="X826" s="552"/>
      <c r="Y826" s="552"/>
      <c r="Z826" s="552"/>
      <c r="AA826" s="553"/>
      <c r="AB826" s="553"/>
    </row>
    <row r="827" spans="1:28" ht="12.75">
      <c r="A827" s="547" t="s">
        <v>421</v>
      </c>
      <c r="B827" s="547" t="s">
        <v>153</v>
      </c>
      <c r="C827" s="548" t="s">
        <v>812</v>
      </c>
      <c r="D827" s="549">
        <v>2017</v>
      </c>
      <c r="E827" s="549" t="s">
        <v>775</v>
      </c>
      <c r="F827" s="550">
        <v>14</v>
      </c>
      <c r="G827" s="550">
        <v>0</v>
      </c>
      <c r="H827" s="550">
        <v>0</v>
      </c>
      <c r="I827" s="550">
        <v>0</v>
      </c>
      <c r="J827" s="550">
        <v>9</v>
      </c>
      <c r="K827" s="550">
        <v>1</v>
      </c>
      <c r="L827" s="550">
        <v>0</v>
      </c>
      <c r="M827" s="550">
        <v>1</v>
      </c>
      <c r="N827" s="550">
        <v>9</v>
      </c>
      <c r="O827" s="550">
        <v>3</v>
      </c>
      <c r="P827" s="550">
        <v>23</v>
      </c>
      <c r="Q827" s="550">
        <v>0</v>
      </c>
      <c r="R827" s="551" t="str">
        <f t="shared" si="155"/>
        <v>SIERRA MADRE</v>
      </c>
      <c r="S827" s="552"/>
      <c r="T827" s="552"/>
      <c r="U827" s="552"/>
      <c r="V827" s="552"/>
      <c r="W827" s="552"/>
      <c r="X827" s="552"/>
      <c r="Y827" s="552"/>
      <c r="Z827" s="552"/>
      <c r="AA827" s="553"/>
      <c r="AB827" s="553"/>
    </row>
    <row r="828" spans="1:28" ht="12.75">
      <c r="A828" s="547" t="s">
        <v>421</v>
      </c>
      <c r="B828" s="547" t="s">
        <v>153</v>
      </c>
      <c r="C828" s="548" t="s">
        <v>812</v>
      </c>
      <c r="D828" s="549">
        <v>2018</v>
      </c>
      <c r="E828" s="549" t="s">
        <v>775</v>
      </c>
      <c r="F828" s="550">
        <v>14</v>
      </c>
      <c r="G828" s="550">
        <v>0</v>
      </c>
      <c r="H828" s="550">
        <v>0</v>
      </c>
      <c r="I828" s="550">
        <v>0</v>
      </c>
      <c r="J828" s="550">
        <v>9</v>
      </c>
      <c r="K828" s="550">
        <v>1</v>
      </c>
      <c r="L828" s="550">
        <v>0</v>
      </c>
      <c r="M828" s="550">
        <v>1</v>
      </c>
      <c r="N828" s="550">
        <v>9</v>
      </c>
      <c r="O828" s="550">
        <v>0</v>
      </c>
      <c r="P828" s="550">
        <v>23</v>
      </c>
      <c r="Q828" s="550">
        <v>0</v>
      </c>
      <c r="R828" s="551" t="str">
        <f t="shared" si="155"/>
        <v>SIERRA MADRE</v>
      </c>
      <c r="S828" s="552"/>
      <c r="T828" s="552"/>
      <c r="U828" s="552"/>
      <c r="V828" s="552"/>
      <c r="W828" s="552"/>
      <c r="X828" s="552"/>
      <c r="Y828" s="552"/>
      <c r="Z828" s="552"/>
      <c r="AA828" s="553"/>
      <c r="AB828" s="553"/>
    </row>
    <row r="829" spans="1:28" ht="12.75">
      <c r="A829" s="547" t="s">
        <v>421</v>
      </c>
      <c r="B829" s="547" t="s">
        <v>153</v>
      </c>
      <c r="C829" s="548" t="s">
        <v>813</v>
      </c>
      <c r="D829" s="549">
        <v>2019</v>
      </c>
      <c r="E829" s="549" t="s">
        <v>775</v>
      </c>
      <c r="F829" s="550">
        <v>14</v>
      </c>
      <c r="G829" s="550">
        <v>0</v>
      </c>
      <c r="H829" s="550">
        <v>0</v>
      </c>
      <c r="I829" s="550">
        <v>0</v>
      </c>
      <c r="J829" s="550">
        <v>9</v>
      </c>
      <c r="K829" s="550">
        <v>8</v>
      </c>
      <c r="L829" s="550">
        <v>0</v>
      </c>
      <c r="M829" s="550">
        <v>8</v>
      </c>
      <c r="N829" s="550">
        <v>9</v>
      </c>
      <c r="O829" s="550">
        <v>0</v>
      </c>
      <c r="P829" s="550">
        <v>23</v>
      </c>
      <c r="Q829" s="550">
        <v>0</v>
      </c>
      <c r="R829" s="551" t="str">
        <f t="shared" si="155"/>
        <v>SIERRA MADRE</v>
      </c>
      <c r="S829" s="552">
        <f>SUM(G824:G829) +SUM(K824:K829)</f>
        <v>18</v>
      </c>
      <c r="T829" s="552">
        <f>F829+J829</f>
        <v>23</v>
      </c>
      <c r="U829" s="552">
        <f>SUM(O824:O829)</f>
        <v>3</v>
      </c>
      <c r="V829" s="552">
        <f>N829</f>
        <v>9</v>
      </c>
      <c r="W829" s="554">
        <f>SUM(Q824:Q829)</f>
        <v>82</v>
      </c>
      <c r="X829" s="552">
        <f>P829</f>
        <v>23</v>
      </c>
      <c r="Y829" s="552">
        <f>S829+U829+SUM(Q824:Q829)</f>
        <v>103</v>
      </c>
      <c r="Z829" s="552">
        <f>F829+J829+N829+P829</f>
        <v>55</v>
      </c>
      <c r="AA829" s="553"/>
      <c r="AB829" s="553"/>
    </row>
    <row r="830" spans="1:28" ht="12.75">
      <c r="A830" s="547" t="s">
        <v>422</v>
      </c>
      <c r="B830" s="547" t="s">
        <v>153</v>
      </c>
      <c r="C830" s="548" t="s">
        <v>812</v>
      </c>
      <c r="D830" s="549">
        <v>2014</v>
      </c>
      <c r="E830" s="549" t="s">
        <v>775</v>
      </c>
      <c r="F830" s="550">
        <v>44</v>
      </c>
      <c r="G830" s="550">
        <v>0</v>
      </c>
      <c r="H830" s="550">
        <v>0</v>
      </c>
      <c r="I830" s="550">
        <v>0</v>
      </c>
      <c r="J830" s="550">
        <v>27</v>
      </c>
      <c r="K830" s="550">
        <v>0</v>
      </c>
      <c r="L830" s="550">
        <v>0</v>
      </c>
      <c r="M830" s="550">
        <v>0</v>
      </c>
      <c r="N830" s="550">
        <v>28</v>
      </c>
      <c r="O830" s="550">
        <v>17</v>
      </c>
      <c r="P830" s="550">
        <v>70</v>
      </c>
      <c r="Q830" s="550">
        <v>1</v>
      </c>
      <c r="R830" s="551" t="str">
        <f t="shared" si="155"/>
        <v>SIGNAL HILL</v>
      </c>
      <c r="S830" s="552"/>
      <c r="T830" s="552"/>
      <c r="U830" s="552"/>
      <c r="V830" s="552"/>
      <c r="W830" s="552"/>
      <c r="X830" s="552"/>
      <c r="Y830" s="552"/>
      <c r="Z830" s="552"/>
      <c r="AA830" s="553"/>
      <c r="AB830" s="553"/>
    </row>
    <row r="831" spans="1:28" ht="12.75">
      <c r="A831" s="547" t="s">
        <v>422</v>
      </c>
      <c r="B831" s="547" t="s">
        <v>153</v>
      </c>
      <c r="C831" s="548" t="s">
        <v>812</v>
      </c>
      <c r="D831" s="549">
        <v>2015</v>
      </c>
      <c r="E831" s="549" t="s">
        <v>775</v>
      </c>
      <c r="F831" s="550">
        <v>44</v>
      </c>
      <c r="G831" s="550">
        <v>44</v>
      </c>
      <c r="H831" s="550">
        <v>44</v>
      </c>
      <c r="I831" s="550">
        <v>0</v>
      </c>
      <c r="J831" s="550">
        <v>27</v>
      </c>
      <c r="K831" s="550">
        <v>27</v>
      </c>
      <c r="L831" s="550">
        <v>27</v>
      </c>
      <c r="M831" s="550">
        <v>0</v>
      </c>
      <c r="N831" s="550">
        <v>28</v>
      </c>
      <c r="O831" s="550">
        <v>2</v>
      </c>
      <c r="P831" s="550">
        <v>70</v>
      </c>
      <c r="Q831" s="550">
        <v>0</v>
      </c>
      <c r="R831" s="551" t="str">
        <f t="shared" si="155"/>
        <v>SIGNAL HILL</v>
      </c>
      <c r="S831" s="552"/>
      <c r="T831" s="552"/>
      <c r="U831" s="552"/>
      <c r="V831" s="552"/>
      <c r="W831" s="552"/>
      <c r="X831" s="552"/>
      <c r="Y831" s="552"/>
      <c r="Z831" s="552"/>
      <c r="AA831" s="553"/>
      <c r="AB831" s="553"/>
    </row>
    <row r="832" spans="1:28" ht="12.75">
      <c r="A832" s="547" t="s">
        <v>422</v>
      </c>
      <c r="B832" s="547" t="s">
        <v>153</v>
      </c>
      <c r="C832" s="548" t="s">
        <v>812</v>
      </c>
      <c r="D832" s="549">
        <v>2016</v>
      </c>
      <c r="E832" s="549" t="s">
        <v>775</v>
      </c>
      <c r="F832" s="550">
        <v>44</v>
      </c>
      <c r="G832" s="550">
        <v>0</v>
      </c>
      <c r="H832" s="550">
        <v>0</v>
      </c>
      <c r="I832" s="550">
        <v>0</v>
      </c>
      <c r="J832" s="550">
        <v>27</v>
      </c>
      <c r="K832" s="550">
        <v>0</v>
      </c>
      <c r="L832" s="550">
        <v>0</v>
      </c>
      <c r="M832" s="550">
        <v>0</v>
      </c>
      <c r="N832" s="550">
        <v>28</v>
      </c>
      <c r="O832" s="550">
        <v>0</v>
      </c>
      <c r="P832" s="550">
        <v>70</v>
      </c>
      <c r="Q832" s="550">
        <v>3</v>
      </c>
      <c r="R832" s="551" t="str">
        <f t="shared" si="155"/>
        <v>SIGNAL HILL</v>
      </c>
      <c r="S832" s="552"/>
      <c r="T832" s="552"/>
      <c r="U832" s="552"/>
      <c r="V832" s="552"/>
      <c r="W832" s="552"/>
      <c r="X832" s="552"/>
      <c r="Y832" s="552"/>
      <c r="Z832" s="552"/>
      <c r="AA832" s="553"/>
      <c r="AB832" s="553"/>
    </row>
    <row r="833" spans="1:28" ht="12.75">
      <c r="A833" s="547" t="s">
        <v>422</v>
      </c>
      <c r="B833" s="547" t="s">
        <v>153</v>
      </c>
      <c r="C833" s="548" t="s">
        <v>812</v>
      </c>
      <c r="D833" s="549">
        <v>2017</v>
      </c>
      <c r="E833" s="549" t="s">
        <v>775</v>
      </c>
      <c r="F833" s="550">
        <v>44</v>
      </c>
      <c r="G833" s="550">
        <v>0</v>
      </c>
      <c r="H833" s="550">
        <v>0</v>
      </c>
      <c r="I833" s="550">
        <v>0</v>
      </c>
      <c r="J833" s="550">
        <v>27</v>
      </c>
      <c r="K833" s="550">
        <v>0</v>
      </c>
      <c r="L833" s="550">
        <v>0</v>
      </c>
      <c r="M833" s="550">
        <v>0</v>
      </c>
      <c r="N833" s="550">
        <v>28</v>
      </c>
      <c r="O833" s="550">
        <v>0</v>
      </c>
      <c r="P833" s="550">
        <v>70</v>
      </c>
      <c r="Q833" s="550">
        <v>24</v>
      </c>
      <c r="R833" s="551" t="str">
        <f t="shared" si="155"/>
        <v>SIGNAL HILL</v>
      </c>
      <c r="S833" s="552"/>
      <c r="T833" s="552"/>
      <c r="U833" s="552"/>
      <c r="V833" s="552"/>
      <c r="W833" s="552"/>
      <c r="X833" s="552"/>
      <c r="Y833" s="552"/>
      <c r="Z833" s="552"/>
      <c r="AA833" s="553"/>
      <c r="AB833" s="553"/>
    </row>
    <row r="834" spans="1:28" ht="12.75">
      <c r="A834" s="547" t="s">
        <v>422</v>
      </c>
      <c r="B834" s="547" t="s">
        <v>153</v>
      </c>
      <c r="C834" s="548" t="s">
        <v>813</v>
      </c>
      <c r="D834" s="549">
        <v>2019</v>
      </c>
      <c r="E834" s="549" t="s">
        <v>775</v>
      </c>
      <c r="F834" s="550">
        <v>44</v>
      </c>
      <c r="G834" s="550">
        <v>0</v>
      </c>
      <c r="H834" s="550">
        <v>0</v>
      </c>
      <c r="I834" s="550">
        <v>0</v>
      </c>
      <c r="J834" s="550">
        <v>27</v>
      </c>
      <c r="K834" s="550">
        <v>0</v>
      </c>
      <c r="L834" s="550">
        <v>0</v>
      </c>
      <c r="M834" s="550">
        <v>0</v>
      </c>
      <c r="N834" s="550">
        <v>28</v>
      </c>
      <c r="O834" s="550">
        <v>1</v>
      </c>
      <c r="P834" s="550">
        <v>70</v>
      </c>
      <c r="Q834" s="550">
        <v>3</v>
      </c>
      <c r="R834" s="551" t="str">
        <f t="shared" si="155"/>
        <v>SIGNAL HILL</v>
      </c>
      <c r="S834" s="255">
        <f>SUM(G830:G834) +SUM(K830:K834)</f>
        <v>71</v>
      </c>
      <c r="T834" s="255">
        <f>F834+J834</f>
        <v>71</v>
      </c>
      <c r="U834" s="255">
        <f>SUM(O830:O834)</f>
        <v>20</v>
      </c>
      <c r="V834" s="255">
        <f>N834</f>
        <v>28</v>
      </c>
      <c r="W834" s="83">
        <f>SUM(Q830:Q834)</f>
        <v>31</v>
      </c>
      <c r="X834" s="255">
        <f>P834</f>
        <v>70</v>
      </c>
      <c r="Y834" s="255">
        <f>S834+U834+SUM(Q830:Q834)</f>
        <v>122</v>
      </c>
      <c r="Z834" s="255">
        <f>F834+J834+N834+P834</f>
        <v>169</v>
      </c>
      <c r="AA834" s="553"/>
      <c r="AB834" s="553"/>
    </row>
    <row r="835" spans="1:28" ht="12.75">
      <c r="A835" s="547" t="s">
        <v>423</v>
      </c>
      <c r="B835" s="547" t="s">
        <v>153</v>
      </c>
      <c r="C835" s="548" t="s">
        <v>812</v>
      </c>
      <c r="D835" s="549">
        <v>2014</v>
      </c>
      <c r="E835" s="549" t="s">
        <v>775</v>
      </c>
      <c r="F835" s="550">
        <v>43</v>
      </c>
      <c r="G835" s="550">
        <v>0</v>
      </c>
      <c r="H835" s="550">
        <v>0</v>
      </c>
      <c r="I835" s="550">
        <v>0</v>
      </c>
      <c r="J835" s="550">
        <v>25</v>
      </c>
      <c r="K835" s="550">
        <v>4</v>
      </c>
      <c r="L835" s="550">
        <v>0</v>
      </c>
      <c r="M835" s="550">
        <v>4</v>
      </c>
      <c r="N835" s="550">
        <v>28</v>
      </c>
      <c r="O835" s="550">
        <v>0</v>
      </c>
      <c r="P835" s="550">
        <v>76</v>
      </c>
      <c r="Q835" s="550">
        <v>76</v>
      </c>
      <c r="R835" s="551" t="str">
        <f t="shared" si="155"/>
        <v>SOUTH EL MONTE</v>
      </c>
      <c r="S835" s="552"/>
      <c r="T835" s="552"/>
      <c r="U835" s="552"/>
      <c r="V835" s="552"/>
      <c r="W835" s="552"/>
      <c r="X835" s="552"/>
      <c r="Y835" s="552"/>
      <c r="Z835" s="552"/>
      <c r="AA835" s="553"/>
      <c r="AB835" s="553"/>
    </row>
    <row r="836" spans="1:28" ht="12.75">
      <c r="A836" s="547" t="s">
        <v>423</v>
      </c>
      <c r="B836" s="547" t="s">
        <v>153</v>
      </c>
      <c r="C836" s="548" t="s">
        <v>812</v>
      </c>
      <c r="D836" s="549">
        <v>2015</v>
      </c>
      <c r="E836" s="549" t="s">
        <v>775</v>
      </c>
      <c r="F836" s="550">
        <v>43</v>
      </c>
      <c r="G836" s="550">
        <v>0</v>
      </c>
      <c r="H836" s="550">
        <v>0</v>
      </c>
      <c r="I836" s="550">
        <v>0</v>
      </c>
      <c r="J836" s="550">
        <v>25</v>
      </c>
      <c r="K836" s="550">
        <v>2</v>
      </c>
      <c r="L836" s="550">
        <v>0</v>
      </c>
      <c r="M836" s="550">
        <v>2</v>
      </c>
      <c r="N836" s="550">
        <v>28</v>
      </c>
      <c r="O836" s="550">
        <v>0</v>
      </c>
      <c r="P836" s="550">
        <v>76</v>
      </c>
      <c r="Q836" s="550">
        <v>33</v>
      </c>
      <c r="R836" s="551" t="str">
        <f t="shared" si="155"/>
        <v>SOUTH EL MONTE</v>
      </c>
      <c r="S836" s="552"/>
      <c r="T836" s="552"/>
      <c r="U836" s="552"/>
      <c r="V836" s="552"/>
      <c r="W836" s="552"/>
      <c r="X836" s="552"/>
      <c r="Y836" s="552"/>
      <c r="Z836" s="552"/>
      <c r="AA836" s="553"/>
      <c r="AB836" s="553"/>
    </row>
    <row r="837" spans="1:28" ht="12.75">
      <c r="A837" s="547" t="s">
        <v>423</v>
      </c>
      <c r="B837" s="547" t="s">
        <v>153</v>
      </c>
      <c r="C837" s="548" t="s">
        <v>812</v>
      </c>
      <c r="D837" s="549">
        <v>2016</v>
      </c>
      <c r="E837" s="549" t="s">
        <v>775</v>
      </c>
      <c r="F837" s="550">
        <v>43</v>
      </c>
      <c r="G837" s="550">
        <v>0</v>
      </c>
      <c r="H837" s="550">
        <v>0</v>
      </c>
      <c r="I837" s="550">
        <v>0</v>
      </c>
      <c r="J837" s="550">
        <v>25</v>
      </c>
      <c r="K837" s="550">
        <v>6</v>
      </c>
      <c r="L837" s="550">
        <v>0</v>
      </c>
      <c r="M837" s="550">
        <v>6</v>
      </c>
      <c r="N837" s="550">
        <v>28</v>
      </c>
      <c r="O837" s="550">
        <v>0</v>
      </c>
      <c r="P837" s="550">
        <v>76</v>
      </c>
      <c r="Q837" s="550">
        <v>25</v>
      </c>
      <c r="R837" s="551" t="str">
        <f t="shared" si="155"/>
        <v>SOUTH EL MONTE</v>
      </c>
      <c r="S837" s="552"/>
      <c r="T837" s="552"/>
      <c r="U837" s="552"/>
      <c r="V837" s="552"/>
      <c r="W837" s="552"/>
      <c r="X837" s="552"/>
      <c r="Y837" s="552"/>
      <c r="Z837" s="552"/>
      <c r="AA837" s="553"/>
      <c r="AB837" s="553"/>
    </row>
    <row r="838" spans="1:28" ht="12.75">
      <c r="A838" s="547" t="s">
        <v>423</v>
      </c>
      <c r="B838" s="547" t="s">
        <v>153</v>
      </c>
      <c r="C838" s="548" t="s">
        <v>812</v>
      </c>
      <c r="D838" s="549">
        <v>2017</v>
      </c>
      <c r="E838" s="549" t="s">
        <v>775</v>
      </c>
      <c r="F838" s="550">
        <v>43</v>
      </c>
      <c r="G838" s="550">
        <v>0</v>
      </c>
      <c r="H838" s="550">
        <v>0</v>
      </c>
      <c r="I838" s="550">
        <v>0</v>
      </c>
      <c r="J838" s="550">
        <v>25</v>
      </c>
      <c r="K838" s="550">
        <v>1</v>
      </c>
      <c r="L838" s="550">
        <v>0</v>
      </c>
      <c r="M838" s="550">
        <v>1</v>
      </c>
      <c r="N838" s="550">
        <v>28</v>
      </c>
      <c r="O838" s="550">
        <v>0</v>
      </c>
      <c r="P838" s="550">
        <v>76</v>
      </c>
      <c r="Q838" s="550">
        <v>1</v>
      </c>
      <c r="R838" s="551" t="str">
        <f t="shared" si="155"/>
        <v>SOUTH EL MONTE</v>
      </c>
      <c r="S838" s="552"/>
      <c r="T838" s="552"/>
      <c r="U838" s="552"/>
      <c r="V838" s="552"/>
      <c r="W838" s="552"/>
      <c r="X838" s="552"/>
      <c r="Y838" s="552"/>
      <c r="Z838" s="552"/>
      <c r="AA838" s="553"/>
      <c r="AB838" s="553"/>
    </row>
    <row r="839" spans="1:28" ht="12.75">
      <c r="A839" s="547" t="s">
        <v>423</v>
      </c>
      <c r="B839" s="547" t="s">
        <v>153</v>
      </c>
      <c r="C839" s="548" t="s">
        <v>812</v>
      </c>
      <c r="D839" s="549">
        <v>2018</v>
      </c>
      <c r="E839" s="549" t="s">
        <v>775</v>
      </c>
      <c r="F839" s="550">
        <v>43</v>
      </c>
      <c r="G839" s="550">
        <v>0</v>
      </c>
      <c r="H839" s="550">
        <v>0</v>
      </c>
      <c r="I839" s="550">
        <v>0</v>
      </c>
      <c r="J839" s="550">
        <v>25</v>
      </c>
      <c r="K839" s="550">
        <v>6</v>
      </c>
      <c r="L839" s="550">
        <v>6</v>
      </c>
      <c r="M839" s="550">
        <v>0</v>
      </c>
      <c r="N839" s="550">
        <v>28</v>
      </c>
      <c r="O839" s="550">
        <v>0</v>
      </c>
      <c r="P839" s="550">
        <v>76</v>
      </c>
      <c r="Q839" s="550">
        <v>2</v>
      </c>
      <c r="R839" s="551" t="str">
        <f t="shared" si="155"/>
        <v>SOUTH EL MONTE</v>
      </c>
      <c r="S839" s="552"/>
      <c r="T839" s="552"/>
      <c r="U839" s="552"/>
      <c r="V839" s="552"/>
      <c r="W839" s="552"/>
      <c r="X839" s="552"/>
      <c r="Y839" s="552"/>
      <c r="Z839" s="552"/>
      <c r="AA839" s="553"/>
      <c r="AB839" s="553"/>
    </row>
    <row r="840" spans="1:28" ht="12.75">
      <c r="A840" s="547" t="s">
        <v>423</v>
      </c>
      <c r="B840" s="547" t="s">
        <v>153</v>
      </c>
      <c r="C840" s="548" t="s">
        <v>813</v>
      </c>
      <c r="D840" s="549">
        <v>2019</v>
      </c>
      <c r="E840" s="549" t="s">
        <v>775</v>
      </c>
      <c r="F840" s="550">
        <v>43</v>
      </c>
      <c r="G840" s="550">
        <v>0</v>
      </c>
      <c r="H840" s="550">
        <v>0</v>
      </c>
      <c r="I840" s="550">
        <v>0</v>
      </c>
      <c r="J840" s="550">
        <v>25</v>
      </c>
      <c r="K840" s="550">
        <v>0</v>
      </c>
      <c r="L840" s="550">
        <v>0</v>
      </c>
      <c r="M840" s="550">
        <v>0</v>
      </c>
      <c r="N840" s="550">
        <v>28</v>
      </c>
      <c r="O840" s="550">
        <v>0</v>
      </c>
      <c r="P840" s="550">
        <v>76</v>
      </c>
      <c r="Q840" s="550">
        <v>11</v>
      </c>
      <c r="R840" s="551" t="str">
        <f t="shared" si="155"/>
        <v>SOUTH EL MONTE</v>
      </c>
      <c r="S840" s="552">
        <f>SUM(G835:G840) +SUM(K835:K840)</f>
        <v>19</v>
      </c>
      <c r="T840" s="552">
        <f>F840+J840</f>
        <v>68</v>
      </c>
      <c r="U840" s="552">
        <f>SUM(O835:O840)</f>
        <v>0</v>
      </c>
      <c r="V840" s="552">
        <f>N840</f>
        <v>28</v>
      </c>
      <c r="W840" s="554">
        <f>SUM(Q835:Q840)</f>
        <v>148</v>
      </c>
      <c r="X840" s="552">
        <f>P840</f>
        <v>76</v>
      </c>
      <c r="Y840" s="552">
        <f>S840+U840+SUM(Q835:Q840)</f>
        <v>167</v>
      </c>
      <c r="Z840" s="552">
        <f>F840+J840+N840+P840</f>
        <v>172</v>
      </c>
      <c r="AA840" s="553"/>
      <c r="AB840" s="553"/>
    </row>
    <row r="841" spans="1:28" ht="12.75">
      <c r="A841" s="547" t="s">
        <v>424</v>
      </c>
      <c r="B841" s="547" t="s">
        <v>153</v>
      </c>
      <c r="C841" s="548" t="s">
        <v>812</v>
      </c>
      <c r="D841" s="549">
        <v>2014</v>
      </c>
      <c r="E841" s="549" t="s">
        <v>775</v>
      </c>
      <c r="F841" s="550">
        <v>314</v>
      </c>
      <c r="G841" s="550">
        <v>22</v>
      </c>
      <c r="H841" s="550">
        <v>22</v>
      </c>
      <c r="I841" s="550">
        <v>0</v>
      </c>
      <c r="J841" s="550">
        <v>185</v>
      </c>
      <c r="K841" s="550">
        <v>192</v>
      </c>
      <c r="L841" s="550">
        <v>192</v>
      </c>
      <c r="M841" s="550">
        <v>0</v>
      </c>
      <c r="N841" s="550">
        <v>205</v>
      </c>
      <c r="O841" s="550">
        <v>15</v>
      </c>
      <c r="P841" s="550">
        <v>558</v>
      </c>
      <c r="Q841" s="550">
        <v>6</v>
      </c>
      <c r="R841" s="551" t="str">
        <f t="shared" si="155"/>
        <v>SOUTH GATE</v>
      </c>
      <c r="S841" s="552"/>
      <c r="T841" s="552"/>
      <c r="U841" s="552"/>
      <c r="V841" s="552"/>
      <c r="W841" s="552"/>
      <c r="X841" s="552"/>
      <c r="Y841" s="552"/>
      <c r="Z841" s="552"/>
      <c r="AA841" s="553"/>
      <c r="AB841" s="553"/>
    </row>
    <row r="842" spans="1:28" ht="12.75">
      <c r="A842" s="547" t="s">
        <v>424</v>
      </c>
      <c r="B842" s="547" t="s">
        <v>153</v>
      </c>
      <c r="C842" s="548" t="s">
        <v>812</v>
      </c>
      <c r="D842" s="549">
        <v>2015</v>
      </c>
      <c r="E842" s="549" t="s">
        <v>775</v>
      </c>
      <c r="F842" s="550">
        <v>314</v>
      </c>
      <c r="G842" s="550">
        <v>0</v>
      </c>
      <c r="H842" s="550">
        <v>0</v>
      </c>
      <c r="I842" s="550">
        <v>0</v>
      </c>
      <c r="J842" s="550">
        <v>185</v>
      </c>
      <c r="K842" s="550">
        <v>0</v>
      </c>
      <c r="L842" s="550">
        <v>0</v>
      </c>
      <c r="M842" s="550">
        <v>0</v>
      </c>
      <c r="N842" s="550">
        <v>205</v>
      </c>
      <c r="O842" s="550">
        <v>12</v>
      </c>
      <c r="P842" s="550">
        <v>558</v>
      </c>
      <c r="Q842" s="550">
        <v>3</v>
      </c>
      <c r="R842" s="551" t="str">
        <f t="shared" si="155"/>
        <v>SOUTH GATE</v>
      </c>
      <c r="S842" s="552"/>
      <c r="T842" s="552"/>
      <c r="U842" s="552"/>
      <c r="V842" s="552"/>
      <c r="W842" s="552"/>
      <c r="X842" s="552"/>
      <c r="Y842" s="552"/>
      <c r="Z842" s="552"/>
      <c r="AA842" s="553"/>
      <c r="AB842" s="553"/>
    </row>
    <row r="843" spans="1:28" ht="12.75">
      <c r="A843" s="547" t="s">
        <v>424</v>
      </c>
      <c r="B843" s="547" t="s">
        <v>153</v>
      </c>
      <c r="C843" s="548" t="s">
        <v>812</v>
      </c>
      <c r="D843" s="549">
        <v>2016</v>
      </c>
      <c r="E843" s="549" t="s">
        <v>775</v>
      </c>
      <c r="F843" s="550">
        <v>314</v>
      </c>
      <c r="G843" s="550">
        <v>0</v>
      </c>
      <c r="H843" s="550">
        <v>0</v>
      </c>
      <c r="I843" s="550">
        <v>0</v>
      </c>
      <c r="J843" s="550">
        <v>185</v>
      </c>
      <c r="K843" s="550">
        <v>0</v>
      </c>
      <c r="L843" s="550">
        <v>0</v>
      </c>
      <c r="M843" s="550">
        <v>0</v>
      </c>
      <c r="N843" s="550">
        <v>205</v>
      </c>
      <c r="O843" s="550">
        <v>15</v>
      </c>
      <c r="P843" s="550">
        <v>558</v>
      </c>
      <c r="Q843" s="550">
        <v>4</v>
      </c>
      <c r="R843" s="551" t="str">
        <f t="shared" si="155"/>
        <v>SOUTH GATE</v>
      </c>
      <c r="S843" s="552"/>
      <c r="T843" s="552"/>
      <c r="U843" s="552"/>
      <c r="V843" s="552"/>
      <c r="W843" s="552"/>
      <c r="X843" s="552"/>
      <c r="Y843" s="552"/>
      <c r="Z843" s="552"/>
      <c r="AA843" s="553"/>
      <c r="AB843" s="553"/>
    </row>
    <row r="844" spans="1:28" ht="12.75">
      <c r="A844" s="547" t="s">
        <v>424</v>
      </c>
      <c r="B844" s="547" t="s">
        <v>153</v>
      </c>
      <c r="C844" s="548" t="s">
        <v>812</v>
      </c>
      <c r="D844" s="549">
        <v>2017</v>
      </c>
      <c r="E844" s="549" t="s">
        <v>775</v>
      </c>
      <c r="F844" s="550">
        <v>314</v>
      </c>
      <c r="G844" s="550">
        <v>0</v>
      </c>
      <c r="H844" s="550">
        <v>0</v>
      </c>
      <c r="I844" s="550">
        <v>0</v>
      </c>
      <c r="J844" s="550">
        <v>185</v>
      </c>
      <c r="K844" s="550">
        <v>0</v>
      </c>
      <c r="L844" s="550">
        <v>0</v>
      </c>
      <c r="M844" s="550">
        <v>0</v>
      </c>
      <c r="N844" s="550">
        <v>205</v>
      </c>
      <c r="O844" s="550">
        <v>14</v>
      </c>
      <c r="P844" s="550">
        <v>558</v>
      </c>
      <c r="Q844" s="550">
        <v>4</v>
      </c>
      <c r="R844" s="551" t="str">
        <f t="shared" si="155"/>
        <v>SOUTH GATE</v>
      </c>
      <c r="S844" s="552"/>
      <c r="T844" s="552"/>
      <c r="U844" s="552"/>
      <c r="V844" s="552"/>
      <c r="W844" s="552"/>
      <c r="X844" s="552"/>
      <c r="Y844" s="552"/>
      <c r="Z844" s="552"/>
      <c r="AA844" s="553"/>
      <c r="AB844" s="553"/>
    </row>
    <row r="845" spans="1:28" ht="12.75">
      <c r="A845" s="547" t="s">
        <v>424</v>
      </c>
      <c r="B845" s="547" t="s">
        <v>153</v>
      </c>
      <c r="C845" s="548" t="s">
        <v>812</v>
      </c>
      <c r="D845" s="549">
        <v>2018</v>
      </c>
      <c r="E845" s="549" t="s">
        <v>775</v>
      </c>
      <c r="F845" s="550">
        <v>314</v>
      </c>
      <c r="G845" s="550">
        <v>0</v>
      </c>
      <c r="H845" s="550">
        <v>0</v>
      </c>
      <c r="I845" s="550">
        <v>0</v>
      </c>
      <c r="J845" s="550">
        <v>185</v>
      </c>
      <c r="K845" s="550">
        <v>0</v>
      </c>
      <c r="L845" s="550">
        <v>0</v>
      </c>
      <c r="M845" s="550">
        <v>0</v>
      </c>
      <c r="N845" s="550">
        <v>205</v>
      </c>
      <c r="O845" s="550">
        <v>26</v>
      </c>
      <c r="P845" s="550">
        <v>558</v>
      </c>
      <c r="Q845" s="550">
        <v>2</v>
      </c>
      <c r="R845" s="551" t="str">
        <f t="shared" si="155"/>
        <v>SOUTH GATE</v>
      </c>
      <c r="S845" s="552"/>
      <c r="T845" s="552"/>
      <c r="U845" s="552"/>
      <c r="V845" s="552"/>
      <c r="W845" s="552"/>
      <c r="X845" s="552"/>
      <c r="Y845" s="552"/>
      <c r="Z845" s="552"/>
      <c r="AA845" s="553"/>
      <c r="AB845" s="553"/>
    </row>
    <row r="846" spans="1:28" ht="12.75">
      <c r="A846" s="547" t="s">
        <v>424</v>
      </c>
      <c r="B846" s="547" t="s">
        <v>153</v>
      </c>
      <c r="C846" s="548" t="s">
        <v>813</v>
      </c>
      <c r="D846" s="549">
        <v>2019</v>
      </c>
      <c r="E846" s="549" t="s">
        <v>775</v>
      </c>
      <c r="F846" s="550">
        <v>314</v>
      </c>
      <c r="G846" s="550">
        <v>0</v>
      </c>
      <c r="H846" s="550">
        <v>0</v>
      </c>
      <c r="I846" s="550">
        <v>0</v>
      </c>
      <c r="J846" s="550">
        <v>185</v>
      </c>
      <c r="K846" s="550">
        <v>0</v>
      </c>
      <c r="L846" s="550">
        <v>0</v>
      </c>
      <c r="M846" s="550">
        <v>0</v>
      </c>
      <c r="N846" s="550">
        <v>205</v>
      </c>
      <c r="O846" s="550">
        <v>493</v>
      </c>
      <c r="P846" s="550">
        <v>558</v>
      </c>
      <c r="Q846" s="550">
        <v>7</v>
      </c>
      <c r="R846" s="551" t="str">
        <f t="shared" si="155"/>
        <v>SOUTH GATE</v>
      </c>
      <c r="S846" s="552">
        <f>SUM(G841:G846) +SUM(K841:K846)</f>
        <v>214</v>
      </c>
      <c r="T846" s="552">
        <f>F846+J846</f>
        <v>499</v>
      </c>
      <c r="U846" s="552">
        <f>SUM(O841:O846)</f>
        <v>575</v>
      </c>
      <c r="V846" s="552">
        <f>N846</f>
        <v>205</v>
      </c>
      <c r="W846" s="554">
        <f>SUM(Q841:Q846)</f>
        <v>26</v>
      </c>
      <c r="X846" s="552">
        <f>P846</f>
        <v>558</v>
      </c>
      <c r="Y846" s="552">
        <f>S846+U846+SUM(Q841:Q846)</f>
        <v>815</v>
      </c>
      <c r="Z846" s="552">
        <f>F846+J846+N846+P846</f>
        <v>1262</v>
      </c>
      <c r="AA846" s="553"/>
      <c r="AB846" s="553"/>
    </row>
    <row r="847" spans="1:28" ht="12.75">
      <c r="A847" s="547" t="s">
        <v>425</v>
      </c>
      <c r="B847" s="547" t="s">
        <v>153</v>
      </c>
      <c r="C847" s="548" t="s">
        <v>812</v>
      </c>
      <c r="D847" s="549">
        <v>2014</v>
      </c>
      <c r="E847" s="549" t="s">
        <v>775</v>
      </c>
      <c r="F847" s="550">
        <v>17</v>
      </c>
      <c r="G847" s="550">
        <v>0</v>
      </c>
      <c r="H847" s="550">
        <v>0</v>
      </c>
      <c r="I847" s="550">
        <v>0</v>
      </c>
      <c r="J847" s="550">
        <v>10</v>
      </c>
      <c r="K847" s="550">
        <v>0</v>
      </c>
      <c r="L847" s="550">
        <v>0</v>
      </c>
      <c r="M847" s="550">
        <v>0</v>
      </c>
      <c r="N847" s="550">
        <v>11</v>
      </c>
      <c r="O847" s="550">
        <v>0</v>
      </c>
      <c r="P847" s="550">
        <v>25</v>
      </c>
      <c r="Q847" s="550">
        <v>40</v>
      </c>
      <c r="R847" s="551" t="str">
        <f t="shared" si="155"/>
        <v>SOUTH PASADENA</v>
      </c>
      <c r="S847" s="552"/>
      <c r="T847" s="552"/>
      <c r="U847" s="552"/>
      <c r="V847" s="552"/>
      <c r="W847" s="552"/>
      <c r="X847" s="552"/>
      <c r="Y847" s="552"/>
      <c r="Z847" s="552"/>
      <c r="AA847" s="553"/>
      <c r="AB847" s="553"/>
    </row>
    <row r="848" spans="1:28" ht="12.75">
      <c r="A848" s="547" t="s">
        <v>425</v>
      </c>
      <c r="B848" s="547" t="s">
        <v>153</v>
      </c>
      <c r="C848" s="548" t="s">
        <v>812</v>
      </c>
      <c r="D848" s="549">
        <v>2015</v>
      </c>
      <c r="E848" s="549" t="s">
        <v>775</v>
      </c>
      <c r="F848" s="550">
        <v>17</v>
      </c>
      <c r="G848" s="550">
        <v>0</v>
      </c>
      <c r="H848" s="550">
        <v>0</v>
      </c>
      <c r="I848" s="550">
        <v>0</v>
      </c>
      <c r="J848" s="550">
        <v>10</v>
      </c>
      <c r="K848" s="550">
        <v>0</v>
      </c>
      <c r="L848" s="550">
        <v>0</v>
      </c>
      <c r="M848" s="550">
        <v>0</v>
      </c>
      <c r="N848" s="550">
        <v>11</v>
      </c>
      <c r="O848" s="550">
        <v>0</v>
      </c>
      <c r="P848" s="550">
        <v>25</v>
      </c>
      <c r="Q848" s="550">
        <v>6</v>
      </c>
      <c r="R848" s="551" t="str">
        <f t="shared" si="155"/>
        <v>SOUTH PASADENA</v>
      </c>
      <c r="S848" s="552"/>
      <c r="T848" s="552"/>
      <c r="U848" s="552"/>
      <c r="V848" s="552"/>
      <c r="W848" s="552"/>
      <c r="X848" s="552"/>
      <c r="Y848" s="552"/>
      <c r="Z848" s="552"/>
      <c r="AA848" s="553"/>
      <c r="AB848" s="553"/>
    </row>
    <row r="849" spans="1:28" ht="12.75">
      <c r="A849" s="547" t="s">
        <v>425</v>
      </c>
      <c r="B849" s="547" t="s">
        <v>153</v>
      </c>
      <c r="C849" s="548" t="s">
        <v>812</v>
      </c>
      <c r="D849" s="549">
        <v>2016</v>
      </c>
      <c r="E849" s="549" t="s">
        <v>775</v>
      </c>
      <c r="F849" s="550">
        <v>17</v>
      </c>
      <c r="G849" s="550">
        <v>0</v>
      </c>
      <c r="H849" s="550">
        <v>0</v>
      </c>
      <c r="I849" s="550">
        <v>0</v>
      </c>
      <c r="J849" s="550">
        <v>10</v>
      </c>
      <c r="K849" s="550">
        <v>0</v>
      </c>
      <c r="L849" s="550">
        <v>0</v>
      </c>
      <c r="M849" s="550">
        <v>0</v>
      </c>
      <c r="N849" s="550">
        <v>11</v>
      </c>
      <c r="O849" s="550">
        <v>0</v>
      </c>
      <c r="P849" s="550">
        <v>25</v>
      </c>
      <c r="Q849" s="550">
        <v>11</v>
      </c>
      <c r="R849" s="551" t="str">
        <f t="shared" si="155"/>
        <v>SOUTH PASADENA</v>
      </c>
      <c r="S849" s="552"/>
      <c r="T849" s="552"/>
      <c r="U849" s="552"/>
      <c r="V849" s="552"/>
      <c r="W849" s="552"/>
      <c r="X849" s="552"/>
      <c r="Y849" s="552"/>
      <c r="Z849" s="552"/>
      <c r="AA849" s="553"/>
      <c r="AB849" s="553"/>
    </row>
    <row r="850" spans="1:28" ht="12.75">
      <c r="A850" s="547" t="s">
        <v>425</v>
      </c>
      <c r="B850" s="547" t="s">
        <v>153</v>
      </c>
      <c r="C850" s="548" t="s">
        <v>812</v>
      </c>
      <c r="D850" s="549">
        <v>2017</v>
      </c>
      <c r="E850" s="549" t="s">
        <v>775</v>
      </c>
      <c r="F850" s="550">
        <v>17</v>
      </c>
      <c r="G850" s="550">
        <v>0</v>
      </c>
      <c r="H850" s="550">
        <v>0</v>
      </c>
      <c r="I850" s="550">
        <v>0</v>
      </c>
      <c r="J850" s="550">
        <v>10</v>
      </c>
      <c r="K850" s="550">
        <v>0</v>
      </c>
      <c r="L850" s="550">
        <v>0</v>
      </c>
      <c r="M850" s="550">
        <v>0</v>
      </c>
      <c r="N850" s="550">
        <v>11</v>
      </c>
      <c r="O850" s="550">
        <v>1</v>
      </c>
      <c r="P850" s="550">
        <v>25</v>
      </c>
      <c r="Q850" s="550">
        <v>18</v>
      </c>
      <c r="R850" s="551" t="str">
        <f t="shared" si="155"/>
        <v>SOUTH PASADENA</v>
      </c>
      <c r="S850" s="552"/>
      <c r="T850" s="552"/>
      <c r="U850" s="552"/>
      <c r="V850" s="552"/>
      <c r="W850" s="552"/>
      <c r="X850" s="552"/>
      <c r="Y850" s="552"/>
      <c r="Z850" s="552"/>
      <c r="AA850" s="553"/>
      <c r="AB850" s="553"/>
    </row>
    <row r="851" spans="1:28" ht="12.75">
      <c r="A851" s="547" t="s">
        <v>425</v>
      </c>
      <c r="B851" s="547" t="s">
        <v>153</v>
      </c>
      <c r="C851" s="548" t="s">
        <v>812</v>
      </c>
      <c r="D851" s="549">
        <v>2018</v>
      </c>
      <c r="E851" s="549" t="s">
        <v>775</v>
      </c>
      <c r="F851" s="550">
        <v>17</v>
      </c>
      <c r="G851" s="550">
        <v>1</v>
      </c>
      <c r="H851" s="550">
        <v>0</v>
      </c>
      <c r="I851" s="550">
        <v>1</v>
      </c>
      <c r="J851" s="550">
        <v>10</v>
      </c>
      <c r="K851" s="550">
        <v>3</v>
      </c>
      <c r="L851" s="550">
        <v>0</v>
      </c>
      <c r="M851" s="550">
        <v>3</v>
      </c>
      <c r="N851" s="550">
        <v>11</v>
      </c>
      <c r="O851" s="550">
        <v>0</v>
      </c>
      <c r="P851" s="550">
        <v>25</v>
      </c>
      <c r="Q851" s="550">
        <v>3</v>
      </c>
      <c r="R851" s="551" t="str">
        <f t="shared" si="155"/>
        <v>SOUTH PASADENA</v>
      </c>
      <c r="S851" s="552"/>
      <c r="T851" s="552"/>
      <c r="U851" s="552"/>
      <c r="V851" s="552"/>
      <c r="W851" s="552"/>
      <c r="X851" s="552"/>
      <c r="Y851" s="552"/>
      <c r="Z851" s="552"/>
      <c r="AA851" s="553"/>
      <c r="AB851" s="553"/>
    </row>
    <row r="852" spans="1:28" ht="12.75">
      <c r="A852" s="547" t="s">
        <v>425</v>
      </c>
      <c r="B852" s="547" t="s">
        <v>153</v>
      </c>
      <c r="C852" s="548" t="s">
        <v>813</v>
      </c>
      <c r="D852" s="549">
        <v>2019</v>
      </c>
      <c r="E852" s="549" t="s">
        <v>775</v>
      </c>
      <c r="F852" s="550">
        <v>17</v>
      </c>
      <c r="G852" s="550">
        <v>0</v>
      </c>
      <c r="H852" s="550">
        <v>0</v>
      </c>
      <c r="I852" s="550">
        <v>0</v>
      </c>
      <c r="J852" s="550">
        <v>10</v>
      </c>
      <c r="K852" s="550">
        <v>0</v>
      </c>
      <c r="L852" s="550">
        <v>0</v>
      </c>
      <c r="M852" s="550">
        <v>0</v>
      </c>
      <c r="N852" s="550">
        <v>11</v>
      </c>
      <c r="O852" s="550">
        <v>0</v>
      </c>
      <c r="P852" s="550">
        <v>25</v>
      </c>
      <c r="Q852" s="550">
        <v>10</v>
      </c>
      <c r="R852" s="551" t="str">
        <f t="shared" si="155"/>
        <v>SOUTH PASADENA</v>
      </c>
      <c r="S852" s="552">
        <f>SUM(G847:G852) +SUM(K847:K852)</f>
        <v>4</v>
      </c>
      <c r="T852" s="552">
        <f>F852+J852</f>
        <v>27</v>
      </c>
      <c r="U852" s="552">
        <f>SUM(O847:O852)</f>
        <v>1</v>
      </c>
      <c r="V852" s="552">
        <f>N852</f>
        <v>11</v>
      </c>
      <c r="W852" s="554">
        <f>SUM(Q847:Q852)</f>
        <v>88</v>
      </c>
      <c r="X852" s="552">
        <f>P852</f>
        <v>25</v>
      </c>
      <c r="Y852" s="552">
        <f>S852+U852+SUM(Q847:Q852)</f>
        <v>93</v>
      </c>
      <c r="Z852" s="552">
        <f>F852+J852+N852+P852</f>
        <v>63</v>
      </c>
      <c r="AA852" s="553"/>
      <c r="AB852" s="553"/>
    </row>
    <row r="853" spans="1:28" ht="12.75">
      <c r="A853" s="547" t="s">
        <v>426</v>
      </c>
      <c r="B853" s="547" t="s">
        <v>153</v>
      </c>
      <c r="C853" s="548" t="s">
        <v>812</v>
      </c>
      <c r="D853" s="549">
        <v>2017</v>
      </c>
      <c r="E853" s="549" t="s">
        <v>775</v>
      </c>
      <c r="F853" s="550">
        <v>159</v>
      </c>
      <c r="G853" s="550">
        <v>0</v>
      </c>
      <c r="H853" s="550">
        <v>0</v>
      </c>
      <c r="I853" s="550">
        <v>0</v>
      </c>
      <c r="J853" s="550">
        <v>93</v>
      </c>
      <c r="K853" s="550">
        <v>1</v>
      </c>
      <c r="L853" s="550">
        <v>1</v>
      </c>
      <c r="M853" s="550">
        <v>0</v>
      </c>
      <c r="N853" s="550">
        <v>99</v>
      </c>
      <c r="O853" s="550">
        <v>5</v>
      </c>
      <c r="P853" s="550">
        <v>252</v>
      </c>
      <c r="Q853" s="550">
        <v>92</v>
      </c>
      <c r="R853" s="551" t="str">
        <f t="shared" si="155"/>
        <v>TEMPLE CITY</v>
      </c>
      <c r="S853" s="552"/>
      <c r="T853" s="552"/>
      <c r="U853" s="552"/>
      <c r="V853" s="552"/>
      <c r="W853" s="552"/>
      <c r="X853" s="552"/>
      <c r="Y853" s="552"/>
      <c r="Z853" s="552"/>
      <c r="AA853" s="553"/>
      <c r="AB853" s="553"/>
    </row>
    <row r="854" spans="1:28" ht="12.75">
      <c r="A854" s="547" t="s">
        <v>426</v>
      </c>
      <c r="B854" s="547" t="s">
        <v>153</v>
      </c>
      <c r="C854" s="548" t="s">
        <v>812</v>
      </c>
      <c r="D854" s="549">
        <v>2018</v>
      </c>
      <c r="E854" s="549" t="s">
        <v>775</v>
      </c>
      <c r="F854" s="550">
        <v>159</v>
      </c>
      <c r="G854" s="550">
        <v>7</v>
      </c>
      <c r="H854" s="550">
        <v>0</v>
      </c>
      <c r="I854" s="550">
        <v>7</v>
      </c>
      <c r="J854" s="550">
        <v>93</v>
      </c>
      <c r="K854" s="550">
        <v>0</v>
      </c>
      <c r="L854" s="550">
        <v>0</v>
      </c>
      <c r="M854" s="550">
        <v>0</v>
      </c>
      <c r="N854" s="550">
        <v>99</v>
      </c>
      <c r="O854" s="550">
        <v>0</v>
      </c>
      <c r="P854" s="550">
        <v>252</v>
      </c>
      <c r="Q854" s="550">
        <v>4</v>
      </c>
      <c r="R854" s="551" t="str">
        <f t="shared" si="155"/>
        <v>TEMPLE CITY</v>
      </c>
      <c r="S854" s="552"/>
      <c r="T854" s="552"/>
      <c r="U854" s="552"/>
      <c r="V854" s="552"/>
      <c r="W854" s="552"/>
      <c r="X854" s="552"/>
      <c r="Y854" s="552"/>
      <c r="Z854" s="552"/>
      <c r="AA854" s="553"/>
      <c r="AB854" s="553"/>
    </row>
    <row r="855" spans="1:28" ht="12.75">
      <c r="A855" s="547" t="s">
        <v>426</v>
      </c>
      <c r="B855" s="547" t="s">
        <v>153</v>
      </c>
      <c r="C855" s="548" t="s">
        <v>813</v>
      </c>
      <c r="D855" s="549">
        <v>2019</v>
      </c>
      <c r="E855" s="549" t="s">
        <v>775</v>
      </c>
      <c r="F855" s="550">
        <v>159</v>
      </c>
      <c r="G855" s="550">
        <v>33</v>
      </c>
      <c r="H855" s="550">
        <v>0</v>
      </c>
      <c r="I855" s="550">
        <v>33</v>
      </c>
      <c r="J855" s="550">
        <v>93</v>
      </c>
      <c r="K855" s="550">
        <v>0</v>
      </c>
      <c r="L855" s="550">
        <v>0</v>
      </c>
      <c r="M855" s="550">
        <v>0</v>
      </c>
      <c r="N855" s="550">
        <v>99</v>
      </c>
      <c r="O855" s="550">
        <v>0</v>
      </c>
      <c r="P855" s="550">
        <v>252</v>
      </c>
      <c r="Q855" s="550">
        <v>42</v>
      </c>
      <c r="R855" s="551" t="str">
        <f t="shared" si="155"/>
        <v>TEMPLE CITY</v>
      </c>
      <c r="S855" s="255">
        <f>SUM(G853:G855) +SUM(K853:K855)</f>
        <v>41</v>
      </c>
      <c r="T855" s="255">
        <f>F855+J855</f>
        <v>252</v>
      </c>
      <c r="U855" s="255">
        <f>SUM(O853:O855)</f>
        <v>5</v>
      </c>
      <c r="V855" s="255">
        <f>N855</f>
        <v>99</v>
      </c>
      <c r="W855" s="83">
        <f>SUM(Q853:Q855)</f>
        <v>138</v>
      </c>
      <c r="X855" s="255">
        <f>P855</f>
        <v>252</v>
      </c>
      <c r="Y855" s="255">
        <f>S855+U855+SUM(Q853:Q855)</f>
        <v>184</v>
      </c>
      <c r="Z855" s="255">
        <f>F855+J855+N855+P855</f>
        <v>603</v>
      </c>
      <c r="AA855" s="553"/>
      <c r="AB855" s="553"/>
    </row>
    <row r="856" spans="1:28" ht="12.75">
      <c r="A856" s="547" t="s">
        <v>427</v>
      </c>
      <c r="B856" s="547" t="s">
        <v>153</v>
      </c>
      <c r="C856" s="548" t="s">
        <v>812</v>
      </c>
      <c r="D856" s="549">
        <v>2014</v>
      </c>
      <c r="E856" s="549" t="s">
        <v>775</v>
      </c>
      <c r="F856" s="550">
        <v>380</v>
      </c>
      <c r="G856" s="550">
        <v>0</v>
      </c>
      <c r="H856" s="550">
        <v>0</v>
      </c>
      <c r="I856" s="550">
        <v>0</v>
      </c>
      <c r="J856" s="550">
        <v>227</v>
      </c>
      <c r="K856" s="550">
        <v>0</v>
      </c>
      <c r="L856" s="550">
        <v>0</v>
      </c>
      <c r="M856" s="550">
        <v>0</v>
      </c>
      <c r="N856" s="550">
        <v>243</v>
      </c>
      <c r="O856" s="550">
        <v>0</v>
      </c>
      <c r="P856" s="550">
        <v>600</v>
      </c>
      <c r="Q856" s="550">
        <v>12</v>
      </c>
      <c r="R856" s="551" t="str">
        <f t="shared" si="155"/>
        <v>TORRANCE</v>
      </c>
      <c r="S856" s="552"/>
      <c r="T856" s="552"/>
      <c r="U856" s="552"/>
      <c r="V856" s="552"/>
      <c r="W856" s="552"/>
      <c r="X856" s="552"/>
      <c r="Y856" s="552"/>
      <c r="Z856" s="552"/>
      <c r="AA856" s="553"/>
      <c r="AB856" s="553"/>
    </row>
    <row r="857" spans="1:28" ht="12.75">
      <c r="A857" s="547" t="s">
        <v>427</v>
      </c>
      <c r="B857" s="547" t="s">
        <v>153</v>
      </c>
      <c r="C857" s="548" t="s">
        <v>812</v>
      </c>
      <c r="D857" s="549">
        <v>2015</v>
      </c>
      <c r="E857" s="549" t="s">
        <v>775</v>
      </c>
      <c r="F857" s="550">
        <v>380</v>
      </c>
      <c r="G857" s="550">
        <v>0</v>
      </c>
      <c r="H857" s="550">
        <v>0</v>
      </c>
      <c r="I857" s="550">
        <v>0</v>
      </c>
      <c r="J857" s="550">
        <v>227</v>
      </c>
      <c r="K857" s="550">
        <v>0</v>
      </c>
      <c r="L857" s="550">
        <v>0</v>
      </c>
      <c r="M857" s="550">
        <v>0</v>
      </c>
      <c r="N857" s="550">
        <v>243</v>
      </c>
      <c r="O857" s="550">
        <v>0</v>
      </c>
      <c r="P857" s="550">
        <v>600</v>
      </c>
      <c r="Q857" s="550">
        <v>21</v>
      </c>
      <c r="R857" s="551" t="str">
        <f t="shared" si="155"/>
        <v>TORRANCE</v>
      </c>
      <c r="S857" s="552"/>
      <c r="T857" s="552"/>
      <c r="U857" s="552"/>
      <c r="V857" s="552"/>
      <c r="W857" s="552"/>
      <c r="X857" s="552"/>
      <c r="Y857" s="552"/>
      <c r="Z857" s="552"/>
      <c r="AA857" s="553"/>
      <c r="AB857" s="553"/>
    </row>
    <row r="858" spans="1:28" ht="12.75">
      <c r="A858" s="547" t="s">
        <v>427</v>
      </c>
      <c r="B858" s="547" t="s">
        <v>153</v>
      </c>
      <c r="C858" s="548" t="s">
        <v>812</v>
      </c>
      <c r="D858" s="549">
        <v>2016</v>
      </c>
      <c r="E858" s="549" t="s">
        <v>775</v>
      </c>
      <c r="F858" s="550">
        <v>380</v>
      </c>
      <c r="G858" s="550">
        <v>0</v>
      </c>
      <c r="H858" s="550">
        <v>0</v>
      </c>
      <c r="I858" s="550">
        <v>0</v>
      </c>
      <c r="J858" s="550">
        <v>227</v>
      </c>
      <c r="K858" s="550">
        <v>0</v>
      </c>
      <c r="L858" s="550">
        <v>0</v>
      </c>
      <c r="M858" s="550">
        <v>0</v>
      </c>
      <c r="N858" s="550">
        <v>243</v>
      </c>
      <c r="O858" s="550">
        <v>1</v>
      </c>
      <c r="P858" s="550">
        <v>600</v>
      </c>
      <c r="Q858" s="550">
        <v>49</v>
      </c>
      <c r="R858" s="551" t="str">
        <f t="shared" si="155"/>
        <v>TORRANCE</v>
      </c>
      <c r="S858" s="552"/>
      <c r="T858" s="552"/>
      <c r="U858" s="552"/>
      <c r="V858" s="552"/>
      <c r="W858" s="552"/>
      <c r="X858" s="552"/>
      <c r="Y858" s="552"/>
      <c r="Z858" s="552"/>
      <c r="AA858" s="553"/>
      <c r="AB858" s="553"/>
    </row>
    <row r="859" spans="1:28" ht="12.75">
      <c r="A859" s="547" t="s">
        <v>427</v>
      </c>
      <c r="B859" s="547" t="s">
        <v>153</v>
      </c>
      <c r="C859" s="548" t="s">
        <v>812</v>
      </c>
      <c r="D859" s="549">
        <v>2017</v>
      </c>
      <c r="E859" s="549" t="s">
        <v>775</v>
      </c>
      <c r="F859" s="550">
        <v>380</v>
      </c>
      <c r="G859" s="550">
        <v>0</v>
      </c>
      <c r="H859" s="550">
        <v>0</v>
      </c>
      <c r="I859" s="550">
        <v>0</v>
      </c>
      <c r="J859" s="550">
        <v>227</v>
      </c>
      <c r="K859" s="550">
        <v>0</v>
      </c>
      <c r="L859" s="550">
        <v>0</v>
      </c>
      <c r="M859" s="550">
        <v>0</v>
      </c>
      <c r="N859" s="550">
        <v>243</v>
      </c>
      <c r="O859" s="550">
        <v>4</v>
      </c>
      <c r="P859" s="550">
        <v>600</v>
      </c>
      <c r="Q859" s="550">
        <v>9</v>
      </c>
      <c r="R859" s="551" t="str">
        <f t="shared" si="155"/>
        <v>TORRANCE</v>
      </c>
      <c r="S859" s="552"/>
      <c r="T859" s="552"/>
      <c r="U859" s="552"/>
      <c r="V859" s="552"/>
      <c r="W859" s="552"/>
      <c r="X859" s="552"/>
      <c r="Y859" s="552"/>
      <c r="Z859" s="552"/>
      <c r="AA859" s="553"/>
      <c r="AB859" s="553"/>
    </row>
    <row r="860" spans="1:28" ht="12.75">
      <c r="A860" s="547" t="s">
        <v>427</v>
      </c>
      <c r="B860" s="547" t="s">
        <v>153</v>
      </c>
      <c r="C860" s="548" t="s">
        <v>812</v>
      </c>
      <c r="D860" s="549">
        <v>2018</v>
      </c>
      <c r="E860" s="549" t="s">
        <v>775</v>
      </c>
      <c r="F860" s="550">
        <v>380</v>
      </c>
      <c r="G860" s="550">
        <v>0</v>
      </c>
      <c r="H860" s="550">
        <v>0</v>
      </c>
      <c r="I860" s="550">
        <v>0</v>
      </c>
      <c r="J860" s="550">
        <v>227</v>
      </c>
      <c r="K860" s="550">
        <v>0</v>
      </c>
      <c r="L860" s="550">
        <v>0</v>
      </c>
      <c r="M860" s="550">
        <v>0</v>
      </c>
      <c r="N860" s="550">
        <v>243</v>
      </c>
      <c r="O860" s="550">
        <v>0</v>
      </c>
      <c r="P860" s="550">
        <v>600</v>
      </c>
      <c r="Q860" s="550">
        <v>23</v>
      </c>
      <c r="R860" s="551" t="str">
        <f t="shared" si="155"/>
        <v>TORRANCE</v>
      </c>
      <c r="S860" s="552"/>
      <c r="T860" s="552"/>
      <c r="U860" s="552"/>
      <c r="V860" s="552"/>
      <c r="W860" s="552"/>
      <c r="X860" s="552"/>
      <c r="Y860" s="552"/>
      <c r="Z860" s="552"/>
      <c r="AA860" s="553"/>
      <c r="AB860" s="553"/>
    </row>
    <row r="861" spans="1:28" ht="12.75">
      <c r="A861" s="547" t="s">
        <v>427</v>
      </c>
      <c r="B861" s="547" t="s">
        <v>153</v>
      </c>
      <c r="C861" s="548" t="s">
        <v>813</v>
      </c>
      <c r="D861" s="549">
        <v>2019</v>
      </c>
      <c r="E861" s="549" t="s">
        <v>775</v>
      </c>
      <c r="F861" s="550">
        <v>380</v>
      </c>
      <c r="G861" s="550">
        <v>0</v>
      </c>
      <c r="H861" s="550">
        <v>0</v>
      </c>
      <c r="I861" s="550">
        <v>0</v>
      </c>
      <c r="J861" s="550">
        <v>227</v>
      </c>
      <c r="K861" s="550">
        <v>0</v>
      </c>
      <c r="L861" s="550">
        <v>0</v>
      </c>
      <c r="M861" s="550">
        <v>0</v>
      </c>
      <c r="N861" s="550">
        <v>243</v>
      </c>
      <c r="O861" s="550">
        <v>0</v>
      </c>
      <c r="P861" s="550">
        <v>600</v>
      </c>
      <c r="Q861" s="550">
        <v>65</v>
      </c>
      <c r="R861" s="551" t="str">
        <f t="shared" si="155"/>
        <v>TORRANCE</v>
      </c>
      <c r="S861" s="552">
        <f>SUM(G856:G861) +SUM(K856:K861)</f>
        <v>0</v>
      </c>
      <c r="T861" s="552">
        <f t="shared" ref="T861:T862" si="156">F861+J861</f>
        <v>607</v>
      </c>
      <c r="U861" s="552">
        <f>SUM(O856:O861)</f>
        <v>5</v>
      </c>
      <c r="V861" s="552">
        <f t="shared" ref="V861:V862" si="157">N861</f>
        <v>243</v>
      </c>
      <c r="W861" s="554">
        <f>SUM(Q856:Q861)</f>
        <v>179</v>
      </c>
      <c r="X861" s="552">
        <f t="shared" ref="X861:X862" si="158">P861</f>
        <v>600</v>
      </c>
      <c r="Y861" s="552">
        <f>S861+U861+SUM(Q856:Q861)</f>
        <v>184</v>
      </c>
      <c r="Z861" s="552">
        <f t="shared" ref="Z861:Z862" si="159">F861+J861+N861+P861</f>
        <v>1450</v>
      </c>
      <c r="AA861" s="553"/>
      <c r="AB861" s="553"/>
    </row>
    <row r="862" spans="1:28" ht="12.75">
      <c r="A862" s="547" t="s">
        <v>428</v>
      </c>
      <c r="B862" s="547" t="s">
        <v>153</v>
      </c>
      <c r="C862" s="548" t="s">
        <v>813</v>
      </c>
      <c r="D862" s="549">
        <v>2019</v>
      </c>
      <c r="E862" s="549" t="s">
        <v>775</v>
      </c>
      <c r="F862" s="550">
        <v>1</v>
      </c>
      <c r="G862" s="550">
        <v>0</v>
      </c>
      <c r="H862" s="550">
        <v>0</v>
      </c>
      <c r="I862" s="550">
        <v>0</v>
      </c>
      <c r="J862" s="550">
        <v>1</v>
      </c>
      <c r="K862" s="550">
        <v>0</v>
      </c>
      <c r="L862" s="550">
        <v>0</v>
      </c>
      <c r="M862" s="550">
        <v>0</v>
      </c>
      <c r="N862" s="550">
        <v>0</v>
      </c>
      <c r="O862" s="550">
        <v>0</v>
      </c>
      <c r="P862" s="550">
        <v>0</v>
      </c>
      <c r="Q862" s="550">
        <v>0</v>
      </c>
      <c r="R862" s="551" t="str">
        <f t="shared" si="155"/>
        <v>VERNON</v>
      </c>
      <c r="S862" s="552">
        <f>G862+K862</f>
        <v>0</v>
      </c>
      <c r="T862" s="552">
        <f t="shared" si="156"/>
        <v>2</v>
      </c>
      <c r="U862" s="552">
        <f>O862</f>
        <v>0</v>
      </c>
      <c r="V862" s="552">
        <f t="shared" si="157"/>
        <v>0</v>
      </c>
      <c r="W862" s="552">
        <f>Q862</f>
        <v>0</v>
      </c>
      <c r="X862" s="552">
        <f t="shared" si="158"/>
        <v>0</v>
      </c>
      <c r="Y862" s="552">
        <f>S862+U862+W862</f>
        <v>0</v>
      </c>
      <c r="Z862" s="552">
        <f t="shared" si="159"/>
        <v>2</v>
      </c>
      <c r="AA862" s="553"/>
      <c r="AB862" s="553"/>
    </row>
    <row r="863" spans="1:28" ht="12.75">
      <c r="A863" s="547" t="s">
        <v>429</v>
      </c>
      <c r="B863" s="547" t="s">
        <v>153</v>
      </c>
      <c r="C863" s="548" t="s">
        <v>812</v>
      </c>
      <c r="D863" s="549">
        <v>2014</v>
      </c>
      <c r="E863" s="549" t="s">
        <v>775</v>
      </c>
      <c r="F863" s="550">
        <v>246</v>
      </c>
      <c r="G863" s="550">
        <v>0</v>
      </c>
      <c r="H863" s="550">
        <v>0</v>
      </c>
      <c r="I863" s="550">
        <v>0</v>
      </c>
      <c r="J863" s="550">
        <v>144</v>
      </c>
      <c r="K863" s="550">
        <v>0</v>
      </c>
      <c r="L863" s="550">
        <v>0</v>
      </c>
      <c r="M863" s="550">
        <v>0</v>
      </c>
      <c r="N863" s="550">
        <v>155</v>
      </c>
      <c r="O863" s="550">
        <v>1</v>
      </c>
      <c r="P863" s="550">
        <v>363</v>
      </c>
      <c r="Q863" s="550">
        <v>325</v>
      </c>
      <c r="R863" s="551" t="str">
        <f t="shared" si="155"/>
        <v>WALNUT</v>
      </c>
      <c r="S863" s="552"/>
      <c r="T863" s="552"/>
      <c r="U863" s="552"/>
      <c r="V863" s="552"/>
      <c r="W863" s="552"/>
      <c r="X863" s="552"/>
      <c r="Y863" s="552"/>
      <c r="Z863" s="552"/>
      <c r="AA863" s="553"/>
      <c r="AB863" s="553"/>
    </row>
    <row r="864" spans="1:28" ht="12.75">
      <c r="A864" s="547" t="s">
        <v>429</v>
      </c>
      <c r="B864" s="547" t="s">
        <v>153</v>
      </c>
      <c r="C864" s="548" t="s">
        <v>812</v>
      </c>
      <c r="D864" s="549">
        <v>2016</v>
      </c>
      <c r="E864" s="549" t="s">
        <v>775</v>
      </c>
      <c r="F864" s="550">
        <v>246</v>
      </c>
      <c r="G864" s="550">
        <v>0</v>
      </c>
      <c r="H864" s="550">
        <v>0</v>
      </c>
      <c r="I864" s="550">
        <v>0</v>
      </c>
      <c r="J864" s="550">
        <v>144</v>
      </c>
      <c r="K864" s="550">
        <v>0</v>
      </c>
      <c r="L864" s="550">
        <v>0</v>
      </c>
      <c r="M864" s="550">
        <v>0</v>
      </c>
      <c r="N864" s="550">
        <v>155</v>
      </c>
      <c r="O864" s="550">
        <v>0</v>
      </c>
      <c r="P864" s="550">
        <v>363</v>
      </c>
      <c r="Q864" s="550">
        <v>12</v>
      </c>
      <c r="R864" s="551" t="str">
        <f t="shared" si="155"/>
        <v>WALNUT</v>
      </c>
      <c r="S864" s="552"/>
      <c r="T864" s="552"/>
      <c r="U864" s="552"/>
      <c r="V864" s="552"/>
      <c r="W864" s="552"/>
      <c r="X864" s="552"/>
      <c r="Y864" s="552"/>
      <c r="Z864" s="552"/>
      <c r="AA864" s="553"/>
      <c r="AB864" s="553"/>
    </row>
    <row r="865" spans="1:28" ht="12.75">
      <c r="A865" s="547" t="s">
        <v>429</v>
      </c>
      <c r="B865" s="547" t="s">
        <v>153</v>
      </c>
      <c r="C865" s="548" t="s">
        <v>812</v>
      </c>
      <c r="D865" s="549">
        <v>2017</v>
      </c>
      <c r="E865" s="549" t="s">
        <v>775</v>
      </c>
      <c r="F865" s="550">
        <v>246</v>
      </c>
      <c r="G865" s="550">
        <v>0</v>
      </c>
      <c r="H865" s="550">
        <v>0</v>
      </c>
      <c r="I865" s="550">
        <v>0</v>
      </c>
      <c r="J865" s="550">
        <v>144</v>
      </c>
      <c r="K865" s="550">
        <v>0</v>
      </c>
      <c r="L865" s="550">
        <v>0</v>
      </c>
      <c r="M865" s="550">
        <v>0</v>
      </c>
      <c r="N865" s="550">
        <v>155</v>
      </c>
      <c r="O865" s="550">
        <v>0</v>
      </c>
      <c r="P865" s="550">
        <v>363</v>
      </c>
      <c r="Q865" s="550">
        <v>87</v>
      </c>
      <c r="R865" s="551" t="str">
        <f t="shared" si="155"/>
        <v>WALNUT</v>
      </c>
      <c r="S865" s="552"/>
      <c r="T865" s="552"/>
      <c r="U865" s="552"/>
      <c r="V865" s="552"/>
      <c r="W865" s="552"/>
      <c r="X865" s="552"/>
      <c r="Y865" s="552"/>
      <c r="Z865" s="552"/>
      <c r="AA865" s="553"/>
      <c r="AB865" s="553"/>
    </row>
    <row r="866" spans="1:28" ht="12.75">
      <c r="A866" s="547" t="s">
        <v>429</v>
      </c>
      <c r="B866" s="547" t="s">
        <v>153</v>
      </c>
      <c r="C866" s="548" t="s">
        <v>812</v>
      </c>
      <c r="D866" s="549">
        <v>2018</v>
      </c>
      <c r="E866" s="549" t="s">
        <v>775</v>
      </c>
      <c r="F866" s="550">
        <v>246</v>
      </c>
      <c r="G866" s="550">
        <v>0</v>
      </c>
      <c r="H866" s="550">
        <v>0</v>
      </c>
      <c r="I866" s="550">
        <v>0</v>
      </c>
      <c r="J866" s="550">
        <v>144</v>
      </c>
      <c r="K866" s="550">
        <v>0</v>
      </c>
      <c r="L866" s="550">
        <v>0</v>
      </c>
      <c r="M866" s="550">
        <v>0</v>
      </c>
      <c r="N866" s="550">
        <v>155</v>
      </c>
      <c r="O866" s="550">
        <v>0</v>
      </c>
      <c r="P866" s="550">
        <v>363</v>
      </c>
      <c r="Q866" s="550">
        <v>15</v>
      </c>
      <c r="R866" s="551" t="str">
        <f t="shared" si="155"/>
        <v>WALNUT</v>
      </c>
      <c r="S866" s="552"/>
      <c r="T866" s="552"/>
      <c r="U866" s="552"/>
      <c r="V866" s="552"/>
      <c r="W866" s="552"/>
      <c r="X866" s="552"/>
      <c r="Y866" s="552"/>
      <c r="Z866" s="552"/>
      <c r="AA866" s="553"/>
      <c r="AB866" s="553"/>
    </row>
    <row r="867" spans="1:28" ht="12.75">
      <c r="A867" s="547" t="s">
        <v>429</v>
      </c>
      <c r="B867" s="547" t="s">
        <v>153</v>
      </c>
      <c r="C867" s="548" t="s">
        <v>813</v>
      </c>
      <c r="D867" s="549">
        <v>2019</v>
      </c>
      <c r="E867" s="549" t="s">
        <v>775</v>
      </c>
      <c r="F867" s="550">
        <v>246</v>
      </c>
      <c r="G867" s="550">
        <v>0</v>
      </c>
      <c r="H867" s="550">
        <v>0</v>
      </c>
      <c r="I867" s="550">
        <v>0</v>
      </c>
      <c r="J867" s="550">
        <v>144</v>
      </c>
      <c r="K867" s="550">
        <v>0</v>
      </c>
      <c r="L867" s="550">
        <v>0</v>
      </c>
      <c r="M867" s="550">
        <v>0</v>
      </c>
      <c r="N867" s="550">
        <v>155</v>
      </c>
      <c r="O867" s="550">
        <v>0</v>
      </c>
      <c r="P867" s="550">
        <v>363</v>
      </c>
      <c r="Q867" s="550">
        <v>19</v>
      </c>
      <c r="R867" s="551" t="str">
        <f t="shared" si="155"/>
        <v>WALNUT</v>
      </c>
      <c r="S867" s="255">
        <f>SUM(G863:G867) +SUM(K863:K867)</f>
        <v>0</v>
      </c>
      <c r="T867" s="255">
        <f>F867+J867</f>
        <v>390</v>
      </c>
      <c r="U867" s="255">
        <f>SUM(O863:O867)</f>
        <v>1</v>
      </c>
      <c r="V867" s="255">
        <f>N867</f>
        <v>155</v>
      </c>
      <c r="W867" s="83">
        <f>SUM(Q863:Q867)</f>
        <v>458</v>
      </c>
      <c r="X867" s="255">
        <f>P867</f>
        <v>363</v>
      </c>
      <c r="Y867" s="255">
        <f>S867+U867+SUM(Q863:Q867)</f>
        <v>459</v>
      </c>
      <c r="Z867" s="255">
        <f>F867+J867+N867+P867</f>
        <v>908</v>
      </c>
      <c r="AA867" s="553"/>
      <c r="AB867" s="553"/>
    </row>
    <row r="868" spans="1:28" ht="12.75">
      <c r="A868" s="547" t="s">
        <v>430</v>
      </c>
      <c r="B868" s="547" t="s">
        <v>153</v>
      </c>
      <c r="C868" s="548" t="s">
        <v>812</v>
      </c>
      <c r="D868" s="549">
        <v>2014</v>
      </c>
      <c r="E868" s="549" t="s">
        <v>775</v>
      </c>
      <c r="F868" s="550">
        <v>217</v>
      </c>
      <c r="G868" s="550">
        <v>0</v>
      </c>
      <c r="H868" s="550">
        <v>0</v>
      </c>
      <c r="I868" s="550">
        <v>0</v>
      </c>
      <c r="J868" s="550">
        <v>129</v>
      </c>
      <c r="K868" s="550">
        <v>0</v>
      </c>
      <c r="L868" s="550">
        <v>0</v>
      </c>
      <c r="M868" s="550">
        <v>0</v>
      </c>
      <c r="N868" s="550">
        <v>138</v>
      </c>
      <c r="O868" s="550">
        <v>0</v>
      </c>
      <c r="P868" s="550">
        <v>347</v>
      </c>
      <c r="Q868" s="550">
        <v>481</v>
      </c>
      <c r="R868" s="551" t="str">
        <f t="shared" si="155"/>
        <v>WEST COVINA</v>
      </c>
      <c r="S868" s="552"/>
      <c r="T868" s="552"/>
      <c r="U868" s="552"/>
      <c r="V868" s="552"/>
      <c r="W868" s="552"/>
      <c r="X868" s="552"/>
      <c r="Y868" s="552"/>
      <c r="Z868" s="552"/>
      <c r="AA868" s="553"/>
      <c r="AB868" s="553"/>
    </row>
    <row r="869" spans="1:28" ht="12.75">
      <c r="A869" s="547" t="s">
        <v>430</v>
      </c>
      <c r="B869" s="547" t="s">
        <v>153</v>
      </c>
      <c r="C869" s="548" t="s">
        <v>812</v>
      </c>
      <c r="D869" s="549">
        <v>2015</v>
      </c>
      <c r="E869" s="549" t="s">
        <v>775</v>
      </c>
      <c r="F869" s="550">
        <v>217</v>
      </c>
      <c r="G869" s="550">
        <v>0</v>
      </c>
      <c r="H869" s="550">
        <v>0</v>
      </c>
      <c r="I869" s="550">
        <v>0</v>
      </c>
      <c r="J869" s="550">
        <v>129</v>
      </c>
      <c r="K869" s="550">
        <v>0</v>
      </c>
      <c r="L869" s="550">
        <v>0</v>
      </c>
      <c r="M869" s="550">
        <v>0</v>
      </c>
      <c r="N869" s="550">
        <v>138</v>
      </c>
      <c r="O869" s="550">
        <v>0</v>
      </c>
      <c r="P869" s="550">
        <v>347</v>
      </c>
      <c r="Q869" s="550">
        <v>140</v>
      </c>
      <c r="R869" s="551" t="str">
        <f t="shared" si="155"/>
        <v>WEST COVINA</v>
      </c>
      <c r="S869" s="552"/>
      <c r="T869" s="552"/>
      <c r="U869" s="552"/>
      <c r="V869" s="552"/>
      <c r="W869" s="552"/>
      <c r="X869" s="552"/>
      <c r="Y869" s="552"/>
      <c r="Z869" s="552"/>
      <c r="AA869" s="553"/>
      <c r="AB869" s="553"/>
    </row>
    <row r="870" spans="1:28" ht="12.75">
      <c r="A870" s="547" t="s">
        <v>430</v>
      </c>
      <c r="B870" s="547" t="s">
        <v>153</v>
      </c>
      <c r="C870" s="548" t="s">
        <v>812</v>
      </c>
      <c r="D870" s="549">
        <v>2016</v>
      </c>
      <c r="E870" s="549" t="s">
        <v>775</v>
      </c>
      <c r="F870" s="550">
        <v>217</v>
      </c>
      <c r="G870" s="550">
        <v>0</v>
      </c>
      <c r="H870" s="550">
        <v>0</v>
      </c>
      <c r="I870" s="550">
        <v>0</v>
      </c>
      <c r="J870" s="550">
        <v>129</v>
      </c>
      <c r="K870" s="550">
        <v>0</v>
      </c>
      <c r="L870" s="550">
        <v>0</v>
      </c>
      <c r="M870" s="550">
        <v>0</v>
      </c>
      <c r="N870" s="550">
        <v>138</v>
      </c>
      <c r="O870" s="550">
        <v>0</v>
      </c>
      <c r="P870" s="550">
        <v>347</v>
      </c>
      <c r="Q870" s="550">
        <v>37</v>
      </c>
      <c r="R870" s="551" t="str">
        <f t="shared" si="155"/>
        <v>WEST COVINA</v>
      </c>
      <c r="S870" s="552"/>
      <c r="T870" s="552"/>
      <c r="U870" s="552"/>
      <c r="V870" s="552"/>
      <c r="W870" s="552"/>
      <c r="X870" s="552"/>
      <c r="Y870" s="552"/>
      <c r="Z870" s="552"/>
      <c r="AA870" s="553"/>
      <c r="AB870" s="553"/>
    </row>
    <row r="871" spans="1:28" ht="12.75">
      <c r="A871" s="547" t="s">
        <v>430</v>
      </c>
      <c r="B871" s="547" t="s">
        <v>153</v>
      </c>
      <c r="C871" s="548" t="s">
        <v>812</v>
      </c>
      <c r="D871" s="549">
        <v>2017</v>
      </c>
      <c r="E871" s="549" t="s">
        <v>775</v>
      </c>
      <c r="F871" s="550">
        <v>217</v>
      </c>
      <c r="G871" s="550">
        <v>0</v>
      </c>
      <c r="H871" s="550">
        <v>0</v>
      </c>
      <c r="I871" s="550">
        <v>0</v>
      </c>
      <c r="J871" s="550">
        <v>129</v>
      </c>
      <c r="K871" s="550">
        <v>0</v>
      </c>
      <c r="L871" s="550">
        <v>0</v>
      </c>
      <c r="M871" s="550">
        <v>0</v>
      </c>
      <c r="N871" s="550">
        <v>138</v>
      </c>
      <c r="O871" s="550">
        <v>0</v>
      </c>
      <c r="P871" s="550">
        <v>347</v>
      </c>
      <c r="Q871" s="550">
        <v>2</v>
      </c>
      <c r="R871" s="551" t="str">
        <f t="shared" si="155"/>
        <v>WEST COVINA</v>
      </c>
      <c r="S871" s="552"/>
      <c r="T871" s="552"/>
      <c r="U871" s="552"/>
      <c r="V871" s="552"/>
      <c r="W871" s="552"/>
      <c r="X871" s="552"/>
      <c r="Y871" s="552"/>
      <c r="Z871" s="552"/>
      <c r="AA871" s="553"/>
      <c r="AB871" s="553"/>
    </row>
    <row r="872" spans="1:28" ht="12.75">
      <c r="A872" s="547" t="s">
        <v>430</v>
      </c>
      <c r="B872" s="547" t="s">
        <v>153</v>
      </c>
      <c r="C872" s="548" t="s">
        <v>812</v>
      </c>
      <c r="D872" s="549">
        <v>2018</v>
      </c>
      <c r="E872" s="549" t="s">
        <v>775</v>
      </c>
      <c r="F872" s="550">
        <v>217</v>
      </c>
      <c r="G872" s="564"/>
      <c r="H872" s="564"/>
      <c r="I872" s="564"/>
      <c r="J872" s="550">
        <v>129</v>
      </c>
      <c r="K872" s="564"/>
      <c r="L872" s="564"/>
      <c r="M872" s="564"/>
      <c r="N872" s="550">
        <v>138</v>
      </c>
      <c r="O872" s="564"/>
      <c r="P872" s="550">
        <v>347</v>
      </c>
      <c r="Q872" s="564"/>
      <c r="R872" s="551" t="str">
        <f t="shared" si="155"/>
        <v>WEST COVINA</v>
      </c>
      <c r="S872" s="552"/>
      <c r="T872" s="552"/>
      <c r="U872" s="552"/>
      <c r="V872" s="552"/>
      <c r="W872" s="552"/>
      <c r="X872" s="552"/>
      <c r="Y872" s="552"/>
      <c r="Z872" s="552"/>
      <c r="AA872" s="553"/>
      <c r="AB872" s="553"/>
    </row>
    <row r="873" spans="1:28" ht="12.75">
      <c r="A873" s="547" t="s">
        <v>430</v>
      </c>
      <c r="B873" s="547" t="s">
        <v>153</v>
      </c>
      <c r="C873" s="548" t="s">
        <v>813</v>
      </c>
      <c r="D873" s="549">
        <v>2019</v>
      </c>
      <c r="E873" s="549" t="s">
        <v>775</v>
      </c>
      <c r="F873" s="550">
        <v>217</v>
      </c>
      <c r="G873" s="550">
        <v>0</v>
      </c>
      <c r="H873" s="550">
        <v>0</v>
      </c>
      <c r="I873" s="550">
        <v>0</v>
      </c>
      <c r="J873" s="550">
        <v>129</v>
      </c>
      <c r="K873" s="550">
        <v>0</v>
      </c>
      <c r="L873" s="550">
        <v>0</v>
      </c>
      <c r="M873" s="550">
        <v>0</v>
      </c>
      <c r="N873" s="550">
        <v>138</v>
      </c>
      <c r="O873" s="550">
        <v>0</v>
      </c>
      <c r="P873" s="550">
        <v>347</v>
      </c>
      <c r="Q873" s="550">
        <v>48</v>
      </c>
      <c r="R873" s="551" t="str">
        <f t="shared" si="155"/>
        <v>WEST COVINA</v>
      </c>
      <c r="S873" s="552">
        <f>SUM(G868:G873) +SUM(K868:K873)</f>
        <v>0</v>
      </c>
      <c r="T873" s="552">
        <f>F873+J873</f>
        <v>346</v>
      </c>
      <c r="U873" s="552">
        <f>SUM(O868:O873)</f>
        <v>0</v>
      </c>
      <c r="V873" s="552">
        <f>N873</f>
        <v>138</v>
      </c>
      <c r="W873" s="554">
        <f>SUM(Q868:Q873)</f>
        <v>708</v>
      </c>
      <c r="X873" s="552">
        <f>P873</f>
        <v>347</v>
      </c>
      <c r="Y873" s="552">
        <f>S873+U873+SUM(Q868:Q873)</f>
        <v>708</v>
      </c>
      <c r="Z873" s="552">
        <f>F873+J873+N873+P873</f>
        <v>831</v>
      </c>
      <c r="AA873" s="553"/>
      <c r="AB873" s="553"/>
    </row>
    <row r="874" spans="1:28" ht="12.75">
      <c r="A874" s="547" t="s">
        <v>431</v>
      </c>
      <c r="B874" s="547" t="s">
        <v>153</v>
      </c>
      <c r="C874" s="548" t="s">
        <v>812</v>
      </c>
      <c r="D874" s="549">
        <v>2014</v>
      </c>
      <c r="E874" s="549" t="s">
        <v>775</v>
      </c>
      <c r="F874" s="550">
        <v>19</v>
      </c>
      <c r="G874" s="550">
        <v>0</v>
      </c>
      <c r="H874" s="550">
        <v>0</v>
      </c>
      <c r="I874" s="550">
        <v>0</v>
      </c>
      <c r="J874" s="550">
        <v>12</v>
      </c>
      <c r="K874" s="550">
        <v>18</v>
      </c>
      <c r="L874" s="550">
        <v>18</v>
      </c>
      <c r="M874" s="550">
        <v>0</v>
      </c>
      <c r="N874" s="550">
        <v>13</v>
      </c>
      <c r="O874" s="550">
        <v>19</v>
      </c>
      <c r="P874" s="550">
        <v>33</v>
      </c>
      <c r="Q874" s="550">
        <v>233</v>
      </c>
      <c r="R874" s="551" t="str">
        <f t="shared" si="155"/>
        <v>WEST HOLLYWOOD</v>
      </c>
      <c r="S874" s="552"/>
      <c r="T874" s="552"/>
      <c r="U874" s="552"/>
      <c r="V874" s="552"/>
      <c r="W874" s="552"/>
      <c r="X874" s="552"/>
      <c r="Y874" s="552"/>
      <c r="Z874" s="552"/>
      <c r="AA874" s="553"/>
      <c r="AB874" s="553"/>
    </row>
    <row r="875" spans="1:28" ht="12.75">
      <c r="A875" s="547" t="s">
        <v>431</v>
      </c>
      <c r="B875" s="547" t="s">
        <v>153</v>
      </c>
      <c r="C875" s="548" t="s">
        <v>812</v>
      </c>
      <c r="D875" s="549">
        <v>2015</v>
      </c>
      <c r="E875" s="549" t="s">
        <v>775</v>
      </c>
      <c r="F875" s="550">
        <v>19</v>
      </c>
      <c r="G875" s="550">
        <v>42</v>
      </c>
      <c r="H875" s="550">
        <v>42</v>
      </c>
      <c r="I875" s="550">
        <v>0</v>
      </c>
      <c r="J875" s="550">
        <v>12</v>
      </c>
      <c r="K875" s="550">
        <v>43</v>
      </c>
      <c r="L875" s="550">
        <v>43</v>
      </c>
      <c r="M875" s="550">
        <v>0</v>
      </c>
      <c r="N875" s="550">
        <v>13</v>
      </c>
      <c r="O875" s="550">
        <v>0</v>
      </c>
      <c r="P875" s="550">
        <v>33</v>
      </c>
      <c r="Q875" s="550">
        <v>390</v>
      </c>
      <c r="R875" s="551" t="str">
        <f t="shared" si="155"/>
        <v>WEST HOLLYWOOD</v>
      </c>
      <c r="S875" s="552"/>
      <c r="T875" s="552"/>
      <c r="U875" s="552"/>
      <c r="V875" s="552"/>
      <c r="W875" s="552"/>
      <c r="X875" s="552"/>
      <c r="Y875" s="552"/>
      <c r="Z875" s="552"/>
      <c r="AA875" s="553"/>
      <c r="AB875" s="553"/>
    </row>
    <row r="876" spans="1:28" ht="12.75">
      <c r="A876" s="547" t="s">
        <v>431</v>
      </c>
      <c r="B876" s="547" t="s">
        <v>153</v>
      </c>
      <c r="C876" s="548" t="s">
        <v>812</v>
      </c>
      <c r="D876" s="549">
        <v>2016</v>
      </c>
      <c r="E876" s="549" t="s">
        <v>775</v>
      </c>
      <c r="F876" s="550">
        <v>19</v>
      </c>
      <c r="G876" s="550">
        <v>27</v>
      </c>
      <c r="H876" s="550">
        <v>27</v>
      </c>
      <c r="I876" s="550">
        <v>0</v>
      </c>
      <c r="J876" s="550">
        <v>12</v>
      </c>
      <c r="K876" s="550">
        <v>13</v>
      </c>
      <c r="L876" s="550">
        <v>13</v>
      </c>
      <c r="M876" s="550">
        <v>0</v>
      </c>
      <c r="N876" s="550">
        <v>13</v>
      </c>
      <c r="O876" s="550">
        <v>20</v>
      </c>
      <c r="P876" s="550">
        <v>33</v>
      </c>
      <c r="Q876" s="550">
        <v>589</v>
      </c>
      <c r="R876" s="551" t="str">
        <f t="shared" si="155"/>
        <v>WEST HOLLYWOOD</v>
      </c>
      <c r="S876" s="552"/>
      <c r="T876" s="552"/>
      <c r="U876" s="552"/>
      <c r="V876" s="552"/>
      <c r="W876" s="552"/>
      <c r="X876" s="552"/>
      <c r="Y876" s="552"/>
      <c r="Z876" s="552"/>
      <c r="AA876" s="553"/>
      <c r="AB876" s="553"/>
    </row>
    <row r="877" spans="1:28" ht="12.75">
      <c r="A877" s="547" t="s">
        <v>431</v>
      </c>
      <c r="B877" s="547" t="s">
        <v>153</v>
      </c>
      <c r="C877" s="548" t="s">
        <v>812</v>
      </c>
      <c r="D877" s="549">
        <v>2017</v>
      </c>
      <c r="E877" s="549" t="s">
        <v>775</v>
      </c>
      <c r="F877" s="550">
        <v>19</v>
      </c>
      <c r="G877" s="550">
        <v>0</v>
      </c>
      <c r="H877" s="550">
        <v>0</v>
      </c>
      <c r="I877" s="550">
        <v>0</v>
      </c>
      <c r="J877" s="550">
        <v>12</v>
      </c>
      <c r="K877" s="550">
        <v>15</v>
      </c>
      <c r="L877" s="550">
        <v>15</v>
      </c>
      <c r="M877" s="550">
        <v>0</v>
      </c>
      <c r="N877" s="550">
        <v>13</v>
      </c>
      <c r="O877" s="550">
        <v>8</v>
      </c>
      <c r="P877" s="550">
        <v>33</v>
      </c>
      <c r="Q877" s="550">
        <v>161</v>
      </c>
      <c r="R877" s="551" t="str">
        <f t="shared" si="155"/>
        <v>WEST HOLLYWOOD</v>
      </c>
      <c r="S877" s="552"/>
      <c r="T877" s="552"/>
      <c r="U877" s="552"/>
      <c r="V877" s="552"/>
      <c r="W877" s="552"/>
      <c r="X877" s="552"/>
      <c r="Y877" s="552"/>
      <c r="Z877" s="552"/>
      <c r="AA877" s="553"/>
      <c r="AB877" s="553"/>
    </row>
    <row r="878" spans="1:28" ht="12.75">
      <c r="A878" s="547" t="s">
        <v>431</v>
      </c>
      <c r="B878" s="547" t="s">
        <v>153</v>
      </c>
      <c r="C878" s="548" t="s">
        <v>813</v>
      </c>
      <c r="D878" s="549">
        <v>2019</v>
      </c>
      <c r="E878" s="549" t="s">
        <v>775</v>
      </c>
      <c r="F878" s="550">
        <v>19</v>
      </c>
      <c r="G878" s="550">
        <v>0</v>
      </c>
      <c r="H878" s="550">
        <v>0</v>
      </c>
      <c r="I878" s="550">
        <v>0</v>
      </c>
      <c r="J878" s="550">
        <v>12</v>
      </c>
      <c r="K878" s="550">
        <v>0</v>
      </c>
      <c r="L878" s="550">
        <v>0</v>
      </c>
      <c r="M878" s="550">
        <v>0</v>
      </c>
      <c r="N878" s="550">
        <v>13</v>
      </c>
      <c r="O878" s="550">
        <v>0</v>
      </c>
      <c r="P878" s="550">
        <v>33</v>
      </c>
      <c r="Q878" s="550">
        <v>9</v>
      </c>
      <c r="R878" s="551" t="str">
        <f t="shared" si="155"/>
        <v>WEST HOLLYWOOD</v>
      </c>
      <c r="S878" s="255">
        <f>SUM(G874:G878) +SUM(K874:K878)</f>
        <v>158</v>
      </c>
      <c r="T878" s="255">
        <f>F878+J878</f>
        <v>31</v>
      </c>
      <c r="U878" s="255">
        <f>SUM(O874:O878)</f>
        <v>47</v>
      </c>
      <c r="V878" s="255">
        <f>N878</f>
        <v>13</v>
      </c>
      <c r="W878" s="83">
        <f>SUM(Q874:Q878)</f>
        <v>1382</v>
      </c>
      <c r="X878" s="255">
        <f>P878</f>
        <v>33</v>
      </c>
      <c r="Y878" s="255">
        <f>S878+U878+SUM(Q874:Q878)</f>
        <v>1587</v>
      </c>
      <c r="Z878" s="255">
        <f>F878+J878+N878+P878</f>
        <v>77</v>
      </c>
      <c r="AA878" s="553"/>
      <c r="AB878" s="553"/>
    </row>
    <row r="879" spans="1:28" ht="12.75">
      <c r="A879" s="547" t="s">
        <v>432</v>
      </c>
      <c r="B879" s="547" t="s">
        <v>153</v>
      </c>
      <c r="C879" s="548" t="s">
        <v>812</v>
      </c>
      <c r="D879" s="549">
        <v>2017</v>
      </c>
      <c r="E879" s="549" t="s">
        <v>775</v>
      </c>
      <c r="F879" s="550">
        <v>12</v>
      </c>
      <c r="G879" s="550">
        <v>0</v>
      </c>
      <c r="H879" s="550">
        <v>0</v>
      </c>
      <c r="I879" s="550">
        <v>0</v>
      </c>
      <c r="J879" s="550">
        <v>7</v>
      </c>
      <c r="K879" s="550">
        <v>0</v>
      </c>
      <c r="L879" s="550">
        <v>0</v>
      </c>
      <c r="M879" s="550">
        <v>0</v>
      </c>
      <c r="N879" s="550">
        <v>8</v>
      </c>
      <c r="O879" s="550">
        <v>0</v>
      </c>
      <c r="P879" s="550">
        <v>18</v>
      </c>
      <c r="Q879" s="550">
        <v>0</v>
      </c>
      <c r="R879" s="551" t="str">
        <f t="shared" si="155"/>
        <v>WESTLAKE VILLAGE</v>
      </c>
      <c r="S879" s="552"/>
      <c r="T879" s="552"/>
      <c r="U879" s="552"/>
      <c r="V879" s="552"/>
      <c r="W879" s="552"/>
      <c r="X879" s="552"/>
      <c r="Y879" s="552"/>
      <c r="Z879" s="552"/>
      <c r="AA879" s="553"/>
      <c r="AB879" s="553"/>
    </row>
    <row r="880" spans="1:28" ht="12.75">
      <c r="A880" s="547" t="s">
        <v>432</v>
      </c>
      <c r="B880" s="547" t="s">
        <v>153</v>
      </c>
      <c r="C880" s="548" t="s">
        <v>812</v>
      </c>
      <c r="D880" s="549">
        <v>2018</v>
      </c>
      <c r="E880" s="549" t="s">
        <v>775</v>
      </c>
      <c r="F880" s="550">
        <v>12</v>
      </c>
      <c r="G880" s="550">
        <v>0</v>
      </c>
      <c r="H880" s="550">
        <v>0</v>
      </c>
      <c r="I880" s="550">
        <v>0</v>
      </c>
      <c r="J880" s="550">
        <v>7</v>
      </c>
      <c r="K880" s="550">
        <v>0</v>
      </c>
      <c r="L880" s="550">
        <v>0</v>
      </c>
      <c r="M880" s="550">
        <v>0</v>
      </c>
      <c r="N880" s="550">
        <v>8</v>
      </c>
      <c r="O880" s="550">
        <v>0</v>
      </c>
      <c r="P880" s="550">
        <v>18</v>
      </c>
      <c r="Q880" s="550">
        <v>2</v>
      </c>
      <c r="R880" s="551" t="str">
        <f t="shared" si="155"/>
        <v>WESTLAKE VILLAGE</v>
      </c>
      <c r="S880" s="552"/>
      <c r="T880" s="552"/>
      <c r="U880" s="552"/>
      <c r="V880" s="552"/>
      <c r="W880" s="552"/>
      <c r="X880" s="552"/>
      <c r="Y880" s="552"/>
      <c r="Z880" s="552"/>
      <c r="AA880" s="553"/>
      <c r="AB880" s="553"/>
    </row>
    <row r="881" spans="1:28" ht="12.75">
      <c r="A881" s="547" t="s">
        <v>432</v>
      </c>
      <c r="B881" s="547" t="s">
        <v>153</v>
      </c>
      <c r="C881" s="548" t="s">
        <v>813</v>
      </c>
      <c r="D881" s="549">
        <v>2019</v>
      </c>
      <c r="E881" s="549" t="s">
        <v>775</v>
      </c>
      <c r="F881" s="550">
        <v>12</v>
      </c>
      <c r="G881" s="550">
        <v>0</v>
      </c>
      <c r="H881" s="550">
        <v>0</v>
      </c>
      <c r="I881" s="550">
        <v>0</v>
      </c>
      <c r="J881" s="550">
        <v>7</v>
      </c>
      <c r="K881" s="550">
        <v>0</v>
      </c>
      <c r="L881" s="550">
        <v>0</v>
      </c>
      <c r="M881" s="550">
        <v>0</v>
      </c>
      <c r="N881" s="550">
        <v>8</v>
      </c>
      <c r="O881" s="550">
        <v>0</v>
      </c>
      <c r="P881" s="550">
        <v>18</v>
      </c>
      <c r="Q881" s="550">
        <v>0</v>
      </c>
      <c r="R881" s="551" t="str">
        <f t="shared" si="155"/>
        <v>WESTLAKE VILLAGE</v>
      </c>
      <c r="S881" s="255">
        <f>SUM(G879:G881) +SUM(K879:K881)</f>
        <v>0</v>
      </c>
      <c r="T881" s="255">
        <f>F881+J881</f>
        <v>19</v>
      </c>
      <c r="U881" s="255">
        <f>SUM(O879:O881)</f>
        <v>0</v>
      </c>
      <c r="V881" s="255">
        <f>N881</f>
        <v>8</v>
      </c>
      <c r="W881" s="83">
        <f>SUM(Q879:Q881)</f>
        <v>2</v>
      </c>
      <c r="X881" s="255">
        <f>P881</f>
        <v>18</v>
      </c>
      <c r="Y881" s="255">
        <f>S881+U881+SUM(Q879:Q881)</f>
        <v>2</v>
      </c>
      <c r="Z881" s="255">
        <f>F881+J881+N881+P881</f>
        <v>45</v>
      </c>
      <c r="AA881" s="553"/>
      <c r="AB881" s="553"/>
    </row>
    <row r="882" spans="1:28" ht="12.75">
      <c r="A882" s="547" t="s">
        <v>433</v>
      </c>
      <c r="B882" s="547" t="s">
        <v>153</v>
      </c>
      <c r="C882" s="548" t="s">
        <v>812</v>
      </c>
      <c r="D882" s="549">
        <v>2014</v>
      </c>
      <c r="E882" s="549" t="s">
        <v>775</v>
      </c>
      <c r="F882" s="550">
        <v>228</v>
      </c>
      <c r="G882" s="550">
        <v>0</v>
      </c>
      <c r="H882" s="550">
        <v>0</v>
      </c>
      <c r="I882" s="550">
        <v>0</v>
      </c>
      <c r="J882" s="550">
        <v>135</v>
      </c>
      <c r="K882" s="550">
        <v>0</v>
      </c>
      <c r="L882" s="550">
        <v>0</v>
      </c>
      <c r="M882" s="550">
        <v>0</v>
      </c>
      <c r="N882" s="550">
        <v>146</v>
      </c>
      <c r="O882" s="550">
        <v>71</v>
      </c>
      <c r="P882" s="550">
        <v>369</v>
      </c>
      <c r="Q882" s="550">
        <v>0</v>
      </c>
      <c r="R882" s="551" t="str">
        <f t="shared" si="155"/>
        <v>WHITTIER</v>
      </c>
      <c r="S882" s="552"/>
      <c r="T882" s="552"/>
      <c r="U882" s="552"/>
      <c r="V882" s="552"/>
      <c r="W882" s="552"/>
      <c r="X882" s="552"/>
      <c r="Y882" s="552"/>
      <c r="Z882" s="552"/>
      <c r="AA882" s="553"/>
      <c r="AB882" s="553"/>
    </row>
    <row r="883" spans="1:28" ht="12.75">
      <c r="A883" s="547" t="s">
        <v>433</v>
      </c>
      <c r="B883" s="547" t="s">
        <v>153</v>
      </c>
      <c r="C883" s="548" t="s">
        <v>812</v>
      </c>
      <c r="D883" s="549">
        <v>2015</v>
      </c>
      <c r="E883" s="549" t="s">
        <v>775</v>
      </c>
      <c r="F883" s="550">
        <v>228</v>
      </c>
      <c r="G883" s="550">
        <v>0</v>
      </c>
      <c r="H883" s="550">
        <v>0</v>
      </c>
      <c r="I883" s="550">
        <v>0</v>
      </c>
      <c r="J883" s="550">
        <v>135</v>
      </c>
      <c r="K883" s="550">
        <v>0</v>
      </c>
      <c r="L883" s="550">
        <v>0</v>
      </c>
      <c r="M883" s="550">
        <v>0</v>
      </c>
      <c r="N883" s="550">
        <v>146</v>
      </c>
      <c r="O883" s="550">
        <v>78</v>
      </c>
      <c r="P883" s="550">
        <v>369</v>
      </c>
      <c r="Q883" s="550">
        <v>0</v>
      </c>
      <c r="R883" s="551" t="str">
        <f t="shared" si="155"/>
        <v>WHITTIER</v>
      </c>
      <c r="S883" s="552"/>
      <c r="T883" s="552"/>
      <c r="U883" s="552"/>
      <c r="V883" s="552"/>
      <c r="W883" s="552"/>
      <c r="X883" s="552"/>
      <c r="Y883" s="552"/>
      <c r="Z883" s="552"/>
      <c r="AA883" s="553"/>
      <c r="AB883" s="553"/>
    </row>
    <row r="884" spans="1:28" ht="12.75">
      <c r="A884" s="547" t="s">
        <v>433</v>
      </c>
      <c r="B884" s="547" t="s">
        <v>153</v>
      </c>
      <c r="C884" s="548" t="s">
        <v>812</v>
      </c>
      <c r="D884" s="549">
        <v>2016</v>
      </c>
      <c r="E884" s="549" t="s">
        <v>775</v>
      </c>
      <c r="F884" s="550">
        <v>228</v>
      </c>
      <c r="G884" s="550">
        <v>0</v>
      </c>
      <c r="H884" s="550">
        <v>0</v>
      </c>
      <c r="I884" s="550">
        <v>0</v>
      </c>
      <c r="J884" s="550">
        <v>135</v>
      </c>
      <c r="K884" s="550">
        <v>0</v>
      </c>
      <c r="L884" s="550">
        <v>0</v>
      </c>
      <c r="M884" s="550">
        <v>0</v>
      </c>
      <c r="N884" s="550">
        <v>146</v>
      </c>
      <c r="O884" s="550">
        <v>13</v>
      </c>
      <c r="P884" s="550">
        <v>369</v>
      </c>
      <c r="Q884" s="550">
        <v>38</v>
      </c>
      <c r="R884" s="551" t="str">
        <f t="shared" si="155"/>
        <v>WHITTIER</v>
      </c>
      <c r="S884" s="552"/>
      <c r="T884" s="552"/>
      <c r="U884" s="552"/>
      <c r="V884" s="552"/>
      <c r="W884" s="552"/>
      <c r="X884" s="552"/>
      <c r="Y884" s="552"/>
      <c r="Z884" s="552"/>
      <c r="AA884" s="553"/>
      <c r="AB884" s="553"/>
    </row>
    <row r="885" spans="1:28" ht="12.75">
      <c r="A885" s="547" t="s">
        <v>433</v>
      </c>
      <c r="B885" s="547" t="s">
        <v>153</v>
      </c>
      <c r="C885" s="548" t="s">
        <v>812</v>
      </c>
      <c r="D885" s="549">
        <v>2017</v>
      </c>
      <c r="E885" s="549" t="s">
        <v>775</v>
      </c>
      <c r="F885" s="550">
        <v>228</v>
      </c>
      <c r="G885" s="550">
        <v>0</v>
      </c>
      <c r="H885" s="550">
        <v>0</v>
      </c>
      <c r="I885" s="550">
        <v>0</v>
      </c>
      <c r="J885" s="550">
        <v>135</v>
      </c>
      <c r="K885" s="550">
        <v>0</v>
      </c>
      <c r="L885" s="550">
        <v>0</v>
      </c>
      <c r="M885" s="550">
        <v>0</v>
      </c>
      <c r="N885" s="550">
        <v>146</v>
      </c>
      <c r="O885" s="550">
        <v>52</v>
      </c>
      <c r="P885" s="550">
        <v>369</v>
      </c>
      <c r="Q885" s="550">
        <v>3</v>
      </c>
      <c r="R885" s="551" t="str">
        <f t="shared" si="155"/>
        <v>WHITTIER</v>
      </c>
      <c r="S885" s="561">
        <f>SUM(G882:G885) +SUM(K882:K885)</f>
        <v>0</v>
      </c>
      <c r="T885" s="561">
        <f>F885+J885</f>
        <v>363</v>
      </c>
      <c r="U885" s="561">
        <f>SUM(O882:O885)</f>
        <v>214</v>
      </c>
      <c r="V885" s="561">
        <f>N885</f>
        <v>146</v>
      </c>
      <c r="W885" s="562">
        <f>SUM(Q882:Q885)</f>
        <v>41</v>
      </c>
      <c r="X885" s="561">
        <f>P885</f>
        <v>369</v>
      </c>
      <c r="Y885" s="561">
        <f>S885+U885+SUM(Q882:Q885)</f>
        <v>255</v>
      </c>
      <c r="Z885" s="561">
        <f>F885+J885+N885+P885</f>
        <v>878</v>
      </c>
      <c r="AA885" s="553"/>
      <c r="AB885" s="553"/>
    </row>
    <row r="886" spans="1:28" ht="12.75">
      <c r="A886" s="547"/>
      <c r="B886" s="547"/>
      <c r="C886" s="548"/>
      <c r="D886" s="549"/>
      <c r="E886" s="549"/>
      <c r="F886" s="550"/>
      <c r="G886" s="550"/>
      <c r="H886" s="550"/>
      <c r="I886" s="550"/>
      <c r="J886" s="550"/>
      <c r="K886" s="550"/>
      <c r="L886" s="550"/>
      <c r="M886" s="550"/>
      <c r="N886" s="550"/>
      <c r="O886" s="550"/>
      <c r="P886" s="550"/>
      <c r="Q886" s="550"/>
      <c r="R886" s="551"/>
      <c r="S886" s="563">
        <f t="shared" ref="S886:Z886" si="160">SUM(S501:S885)</f>
        <v>12826</v>
      </c>
      <c r="T886" s="563">
        <f t="shared" si="160"/>
        <v>73066</v>
      </c>
      <c r="U886" s="563">
        <f t="shared" si="160"/>
        <v>3525</v>
      </c>
      <c r="V886" s="563">
        <f t="shared" si="160"/>
        <v>30011</v>
      </c>
      <c r="W886" s="563">
        <f t="shared" si="160"/>
        <v>124813</v>
      </c>
      <c r="X886" s="563">
        <f t="shared" si="160"/>
        <v>76621</v>
      </c>
      <c r="Y886" s="563">
        <f t="shared" si="160"/>
        <v>141164</v>
      </c>
      <c r="Z886" s="563">
        <f t="shared" si="160"/>
        <v>179698</v>
      </c>
      <c r="AA886" s="553"/>
      <c r="AB886" s="553"/>
    </row>
    <row r="887" spans="1:28" ht="12.75">
      <c r="A887" s="547"/>
      <c r="B887" s="547"/>
      <c r="C887" s="548"/>
      <c r="D887" s="549"/>
      <c r="E887" s="549"/>
      <c r="F887" s="550"/>
      <c r="G887" s="550"/>
      <c r="H887" s="550"/>
      <c r="I887" s="550"/>
      <c r="J887" s="550"/>
      <c r="K887" s="550"/>
      <c r="L887" s="550"/>
      <c r="M887" s="550"/>
      <c r="N887" s="550"/>
      <c r="O887" s="550"/>
      <c r="P887" s="550"/>
      <c r="Q887" s="550"/>
      <c r="R887" s="551"/>
      <c r="S887" s="552"/>
      <c r="T887" s="552"/>
      <c r="U887" s="552"/>
      <c r="V887" s="552"/>
      <c r="W887" s="552"/>
      <c r="X887" s="552"/>
      <c r="Y887" s="552"/>
      <c r="Z887" s="552"/>
      <c r="AA887" s="553"/>
      <c r="AB887" s="553"/>
    </row>
    <row r="888" spans="1:28" ht="12.75">
      <c r="A888" s="547" t="s">
        <v>434</v>
      </c>
      <c r="B888" s="547" t="s">
        <v>156</v>
      </c>
      <c r="C888" s="548" t="s">
        <v>784</v>
      </c>
      <c r="D888" s="549">
        <v>2018</v>
      </c>
      <c r="E888" s="549" t="s">
        <v>775</v>
      </c>
      <c r="F888" s="550">
        <v>253</v>
      </c>
      <c r="G888" s="550">
        <v>0</v>
      </c>
      <c r="H888" s="550">
        <v>0</v>
      </c>
      <c r="I888" s="550">
        <v>0</v>
      </c>
      <c r="J888" s="550">
        <v>190</v>
      </c>
      <c r="K888" s="550">
        <v>0</v>
      </c>
      <c r="L888" s="550">
        <v>0</v>
      </c>
      <c r="M888" s="550">
        <v>0</v>
      </c>
      <c r="N888" s="550">
        <v>204</v>
      </c>
      <c r="O888" s="550">
        <v>20</v>
      </c>
      <c r="P888" s="550">
        <v>467</v>
      </c>
      <c r="Q888" s="550">
        <v>0</v>
      </c>
      <c r="R888" s="551" t="str">
        <f t="shared" ref="R888:R900" si="161">A888</f>
        <v>CHOWCHILLA</v>
      </c>
      <c r="S888" s="552"/>
      <c r="T888" s="552"/>
      <c r="U888" s="552"/>
      <c r="V888" s="552"/>
      <c r="W888" s="552"/>
      <c r="X888" s="552"/>
      <c r="Y888" s="552"/>
      <c r="Z888" s="552"/>
      <c r="AA888" s="553"/>
      <c r="AB888" s="553"/>
    </row>
    <row r="889" spans="1:28" ht="12.75">
      <c r="A889" s="547" t="s">
        <v>434</v>
      </c>
      <c r="B889" s="547" t="s">
        <v>156</v>
      </c>
      <c r="C889" s="548" t="s">
        <v>820</v>
      </c>
      <c r="D889" s="549">
        <v>2019</v>
      </c>
      <c r="E889" s="549" t="s">
        <v>775</v>
      </c>
      <c r="F889" s="550">
        <v>253</v>
      </c>
      <c r="G889" s="550">
        <v>0</v>
      </c>
      <c r="H889" s="550">
        <v>0</v>
      </c>
      <c r="I889" s="550">
        <v>0</v>
      </c>
      <c r="J889" s="550">
        <v>190</v>
      </c>
      <c r="K889" s="550">
        <v>0</v>
      </c>
      <c r="L889" s="550">
        <v>0</v>
      </c>
      <c r="M889" s="550">
        <v>0</v>
      </c>
      <c r="N889" s="550">
        <v>204</v>
      </c>
      <c r="O889" s="550">
        <v>4</v>
      </c>
      <c r="P889" s="550">
        <v>467</v>
      </c>
      <c r="Q889" s="550">
        <v>5</v>
      </c>
      <c r="R889" s="551" t="str">
        <f t="shared" si="161"/>
        <v>CHOWCHILLA</v>
      </c>
      <c r="S889" s="255">
        <f>SUM(G888:G889) +SUM(K888:K889)</f>
        <v>0</v>
      </c>
      <c r="T889" s="255">
        <f>F889+J889</f>
        <v>443</v>
      </c>
      <c r="U889" s="255">
        <f>SUM(O888:O889)</f>
        <v>24</v>
      </c>
      <c r="V889" s="255">
        <f>N889</f>
        <v>204</v>
      </c>
      <c r="W889" s="83">
        <f>SUM(Q888:Q889)</f>
        <v>5</v>
      </c>
      <c r="X889" s="255">
        <f>P889</f>
        <v>467</v>
      </c>
      <c r="Y889" s="255">
        <f>S889+U889+SUM(Q888:Q889)</f>
        <v>29</v>
      </c>
      <c r="Z889" s="255">
        <f>T889+V889+X889</f>
        <v>1114</v>
      </c>
      <c r="AA889" s="553"/>
      <c r="AB889" s="553"/>
    </row>
    <row r="890" spans="1:28" ht="12.75">
      <c r="A890" s="547" t="s">
        <v>156</v>
      </c>
      <c r="B890" s="547" t="s">
        <v>156</v>
      </c>
      <c r="C890" s="548" t="s">
        <v>784</v>
      </c>
      <c r="D890" s="549">
        <v>2014</v>
      </c>
      <c r="E890" s="549" t="s">
        <v>775</v>
      </c>
      <c r="F890" s="550">
        <v>1352</v>
      </c>
      <c r="G890" s="550">
        <v>15</v>
      </c>
      <c r="H890" s="550">
        <v>15</v>
      </c>
      <c r="I890" s="550">
        <v>0</v>
      </c>
      <c r="J890" s="550">
        <v>1056</v>
      </c>
      <c r="K890" s="550">
        <v>113</v>
      </c>
      <c r="L890" s="550">
        <v>113</v>
      </c>
      <c r="M890" s="550">
        <v>0</v>
      </c>
      <c r="N890" s="550">
        <v>1091</v>
      </c>
      <c r="O890" s="550">
        <v>21</v>
      </c>
      <c r="P890" s="550">
        <v>2600</v>
      </c>
      <c r="Q890" s="550">
        <v>1</v>
      </c>
      <c r="R890" s="551" t="str">
        <f t="shared" si="161"/>
        <v>MADERA</v>
      </c>
      <c r="S890" s="552"/>
      <c r="T890" s="552"/>
      <c r="U890" s="552"/>
      <c r="V890" s="552"/>
      <c r="W890" s="552"/>
      <c r="X890" s="552"/>
      <c r="Y890" s="552"/>
      <c r="Z890" s="552"/>
      <c r="AA890" s="553"/>
      <c r="AB890" s="553"/>
    </row>
    <row r="891" spans="1:28" ht="12.75">
      <c r="A891" s="547" t="s">
        <v>156</v>
      </c>
      <c r="B891" s="547" t="s">
        <v>156</v>
      </c>
      <c r="C891" s="548" t="s">
        <v>784</v>
      </c>
      <c r="D891" s="549">
        <v>2015</v>
      </c>
      <c r="E891" s="549" t="s">
        <v>775</v>
      </c>
      <c r="F891" s="550">
        <v>1352</v>
      </c>
      <c r="G891" s="550">
        <v>2</v>
      </c>
      <c r="H891" s="550">
        <v>2</v>
      </c>
      <c r="I891" s="550">
        <v>0</v>
      </c>
      <c r="J891" s="550">
        <v>1056</v>
      </c>
      <c r="K891" s="550">
        <v>140</v>
      </c>
      <c r="L891" s="550">
        <v>140</v>
      </c>
      <c r="M891" s="550">
        <v>0</v>
      </c>
      <c r="N891" s="550">
        <v>1091</v>
      </c>
      <c r="O891" s="550">
        <v>17</v>
      </c>
      <c r="P891" s="550">
        <v>2600</v>
      </c>
      <c r="Q891" s="550">
        <v>1</v>
      </c>
      <c r="R891" s="551" t="str">
        <f t="shared" si="161"/>
        <v>MADERA</v>
      </c>
      <c r="S891" s="552"/>
      <c r="T891" s="552"/>
      <c r="U891" s="552"/>
      <c r="V891" s="552"/>
      <c r="W891" s="552"/>
      <c r="X891" s="552"/>
      <c r="Y891" s="552"/>
      <c r="Z891" s="552"/>
      <c r="AA891" s="553"/>
      <c r="AB891" s="553"/>
    </row>
    <row r="892" spans="1:28" ht="12.75">
      <c r="A892" s="547" t="s">
        <v>156</v>
      </c>
      <c r="B892" s="547" t="s">
        <v>156</v>
      </c>
      <c r="C892" s="548" t="s">
        <v>784</v>
      </c>
      <c r="D892" s="549">
        <v>2016</v>
      </c>
      <c r="E892" s="549" t="s">
        <v>775</v>
      </c>
      <c r="F892" s="550">
        <v>1352</v>
      </c>
      <c r="G892" s="550">
        <v>0</v>
      </c>
      <c r="H892" s="550">
        <v>0</v>
      </c>
      <c r="I892" s="550">
        <v>0</v>
      </c>
      <c r="J892" s="550">
        <v>1056</v>
      </c>
      <c r="K892" s="550">
        <v>0</v>
      </c>
      <c r="L892" s="550">
        <v>0</v>
      </c>
      <c r="M892" s="550">
        <v>0</v>
      </c>
      <c r="N892" s="550">
        <v>1091</v>
      </c>
      <c r="O892" s="550">
        <v>55</v>
      </c>
      <c r="P892" s="550">
        <v>2600</v>
      </c>
      <c r="Q892" s="550">
        <v>4</v>
      </c>
      <c r="R892" s="551" t="str">
        <f t="shared" si="161"/>
        <v>MADERA</v>
      </c>
      <c r="S892" s="552"/>
      <c r="T892" s="552"/>
      <c r="U892" s="552"/>
      <c r="V892" s="552"/>
      <c r="W892" s="552"/>
      <c r="X892" s="552"/>
      <c r="Y892" s="552"/>
      <c r="Z892" s="552"/>
      <c r="AA892" s="553"/>
      <c r="AB892" s="553"/>
    </row>
    <row r="893" spans="1:28" ht="12.75">
      <c r="A893" s="547" t="s">
        <v>156</v>
      </c>
      <c r="B893" s="547" t="s">
        <v>156</v>
      </c>
      <c r="C893" s="548" t="s">
        <v>784</v>
      </c>
      <c r="D893" s="549">
        <v>2017</v>
      </c>
      <c r="E893" s="549" t="s">
        <v>775</v>
      </c>
      <c r="F893" s="550">
        <v>1352</v>
      </c>
      <c r="G893" s="550">
        <v>6</v>
      </c>
      <c r="H893" s="550">
        <v>0</v>
      </c>
      <c r="I893" s="550">
        <v>6</v>
      </c>
      <c r="J893" s="550">
        <v>1056</v>
      </c>
      <c r="K893" s="550">
        <v>56</v>
      </c>
      <c r="L893" s="550">
        <v>0</v>
      </c>
      <c r="M893" s="550">
        <v>56</v>
      </c>
      <c r="N893" s="550">
        <v>1091</v>
      </c>
      <c r="O893" s="550">
        <v>88</v>
      </c>
      <c r="P893" s="550">
        <v>2600</v>
      </c>
      <c r="Q893" s="550">
        <v>0</v>
      </c>
      <c r="R893" s="551" t="str">
        <f t="shared" si="161"/>
        <v>MADERA</v>
      </c>
      <c r="S893" s="552"/>
      <c r="T893" s="552"/>
      <c r="U893" s="552"/>
      <c r="V893" s="552"/>
      <c r="W893" s="552"/>
      <c r="X893" s="552"/>
      <c r="Y893" s="552"/>
      <c r="Z893" s="552"/>
      <c r="AA893" s="553"/>
      <c r="AB893" s="553"/>
    </row>
    <row r="894" spans="1:28" ht="12.75">
      <c r="A894" s="547" t="s">
        <v>156</v>
      </c>
      <c r="B894" s="547" t="s">
        <v>156</v>
      </c>
      <c r="C894" s="548" t="s">
        <v>784</v>
      </c>
      <c r="D894" s="549">
        <v>2018</v>
      </c>
      <c r="E894" s="549" t="s">
        <v>775</v>
      </c>
      <c r="F894" s="550">
        <v>1352</v>
      </c>
      <c r="G894" s="550">
        <v>0</v>
      </c>
      <c r="H894" s="550">
        <v>0</v>
      </c>
      <c r="I894" s="550">
        <v>0</v>
      </c>
      <c r="J894" s="550">
        <v>1056</v>
      </c>
      <c r="K894" s="550">
        <v>0</v>
      </c>
      <c r="L894" s="550">
        <v>0</v>
      </c>
      <c r="M894" s="550">
        <v>0</v>
      </c>
      <c r="N894" s="550">
        <v>1091</v>
      </c>
      <c r="O894" s="550">
        <v>0</v>
      </c>
      <c r="P894" s="550">
        <v>2600</v>
      </c>
      <c r="Q894" s="550">
        <v>69</v>
      </c>
      <c r="R894" s="551" t="str">
        <f t="shared" si="161"/>
        <v>MADERA</v>
      </c>
      <c r="S894" s="552"/>
      <c r="T894" s="552"/>
      <c r="U894" s="552"/>
      <c r="V894" s="552"/>
      <c r="W894" s="552"/>
      <c r="X894" s="552"/>
      <c r="Y894" s="552"/>
      <c r="Z894" s="552"/>
      <c r="AA894" s="553"/>
      <c r="AB894" s="553"/>
    </row>
    <row r="895" spans="1:28" ht="12.75">
      <c r="A895" s="547" t="s">
        <v>156</v>
      </c>
      <c r="B895" s="547" t="s">
        <v>156</v>
      </c>
      <c r="C895" s="548" t="s">
        <v>820</v>
      </c>
      <c r="D895" s="549">
        <v>2019</v>
      </c>
      <c r="E895" s="549" t="s">
        <v>775</v>
      </c>
      <c r="F895" s="550">
        <v>1352</v>
      </c>
      <c r="G895" s="550">
        <v>0</v>
      </c>
      <c r="H895" s="550">
        <v>0</v>
      </c>
      <c r="I895" s="550">
        <v>0</v>
      </c>
      <c r="J895" s="550">
        <v>1056</v>
      </c>
      <c r="K895" s="550">
        <v>0</v>
      </c>
      <c r="L895" s="550">
        <v>0</v>
      </c>
      <c r="M895" s="550">
        <v>0</v>
      </c>
      <c r="N895" s="550">
        <v>1091</v>
      </c>
      <c r="O895" s="550">
        <v>0</v>
      </c>
      <c r="P895" s="550">
        <v>2600</v>
      </c>
      <c r="Q895" s="550">
        <v>148</v>
      </c>
      <c r="R895" s="551" t="str">
        <f t="shared" si="161"/>
        <v>MADERA</v>
      </c>
      <c r="S895" s="552">
        <f>SUM(G890:G895) +SUM(K890:K895)</f>
        <v>332</v>
      </c>
      <c r="T895" s="552">
        <f>F895+J895</f>
        <v>2408</v>
      </c>
      <c r="U895" s="552">
        <f>SUM(O890:O895)</f>
        <v>181</v>
      </c>
      <c r="V895" s="552">
        <f>N895</f>
        <v>1091</v>
      </c>
      <c r="W895" s="554">
        <f>SUM(Q890:Q895)</f>
        <v>223</v>
      </c>
      <c r="X895" s="552">
        <f>P895</f>
        <v>2600</v>
      </c>
      <c r="Y895" s="552">
        <f>S895+U895+SUM(Q890:Q895)</f>
        <v>736</v>
      </c>
      <c r="Z895" s="552">
        <f>F895+J895+N895+P895</f>
        <v>6099</v>
      </c>
      <c r="AA895" s="553"/>
      <c r="AB895" s="553"/>
    </row>
    <row r="896" spans="1:28" ht="12.75">
      <c r="A896" s="547" t="s">
        <v>435</v>
      </c>
      <c r="B896" s="547" t="s">
        <v>156</v>
      </c>
      <c r="C896" s="548" t="s">
        <v>784</v>
      </c>
      <c r="D896" s="549">
        <v>2015</v>
      </c>
      <c r="E896" s="549" t="s">
        <v>775</v>
      </c>
      <c r="F896" s="550">
        <v>1285</v>
      </c>
      <c r="G896" s="550">
        <v>0</v>
      </c>
      <c r="H896" s="550">
        <v>0</v>
      </c>
      <c r="I896" s="550">
        <v>0</v>
      </c>
      <c r="J896" s="550">
        <v>984</v>
      </c>
      <c r="K896" s="550">
        <v>0</v>
      </c>
      <c r="L896" s="550">
        <v>0</v>
      </c>
      <c r="M896" s="550">
        <v>0</v>
      </c>
      <c r="N896" s="550">
        <v>1015</v>
      </c>
      <c r="O896" s="550">
        <v>0</v>
      </c>
      <c r="P896" s="550">
        <v>2398</v>
      </c>
      <c r="Q896" s="550">
        <v>0</v>
      </c>
      <c r="R896" s="551" t="str">
        <f t="shared" si="161"/>
        <v>MADERA COUNTY</v>
      </c>
      <c r="S896" s="552"/>
      <c r="T896" s="552"/>
      <c r="U896" s="552"/>
      <c r="V896" s="552"/>
      <c r="W896" s="552"/>
      <c r="X896" s="552"/>
      <c r="Y896" s="552"/>
      <c r="Z896" s="552"/>
      <c r="AA896" s="553"/>
      <c r="AB896" s="553"/>
    </row>
    <row r="897" spans="1:28" ht="12.75">
      <c r="A897" s="547" t="s">
        <v>435</v>
      </c>
      <c r="B897" s="547" t="s">
        <v>156</v>
      </c>
      <c r="C897" s="548" t="s">
        <v>819</v>
      </c>
      <c r="D897" s="549">
        <v>2016</v>
      </c>
      <c r="E897" s="549" t="s">
        <v>775</v>
      </c>
      <c r="F897" s="550">
        <v>1285</v>
      </c>
      <c r="G897" s="550">
        <v>0</v>
      </c>
      <c r="H897" s="550">
        <v>0</v>
      </c>
      <c r="I897" s="550">
        <v>0</v>
      </c>
      <c r="J897" s="550">
        <v>984</v>
      </c>
      <c r="K897" s="550">
        <v>20</v>
      </c>
      <c r="L897" s="550">
        <v>20</v>
      </c>
      <c r="M897" s="550">
        <v>0</v>
      </c>
      <c r="N897" s="550">
        <v>1015</v>
      </c>
      <c r="O897" s="550">
        <v>0</v>
      </c>
      <c r="P897" s="550">
        <v>2398</v>
      </c>
      <c r="Q897" s="550">
        <v>0</v>
      </c>
      <c r="R897" s="551" t="str">
        <f t="shared" si="161"/>
        <v>MADERA COUNTY</v>
      </c>
      <c r="S897" s="552"/>
      <c r="T897" s="552"/>
      <c r="U897" s="552"/>
      <c r="V897" s="552"/>
      <c r="W897" s="552"/>
      <c r="X897" s="552"/>
      <c r="Y897" s="552"/>
      <c r="Z897" s="552"/>
      <c r="AA897" s="553"/>
      <c r="AB897" s="553"/>
    </row>
    <row r="898" spans="1:28" ht="12.75">
      <c r="A898" s="547" t="s">
        <v>435</v>
      </c>
      <c r="B898" s="547" t="s">
        <v>156</v>
      </c>
      <c r="C898" s="548" t="s">
        <v>819</v>
      </c>
      <c r="D898" s="549">
        <v>2017</v>
      </c>
      <c r="E898" s="549" t="s">
        <v>775</v>
      </c>
      <c r="F898" s="550">
        <v>1285</v>
      </c>
      <c r="G898" s="550">
        <v>0</v>
      </c>
      <c r="H898" s="550">
        <v>0</v>
      </c>
      <c r="I898" s="550">
        <v>0</v>
      </c>
      <c r="J898" s="550">
        <v>984</v>
      </c>
      <c r="K898" s="550">
        <v>11</v>
      </c>
      <c r="L898" s="550">
        <v>0</v>
      </c>
      <c r="M898" s="550">
        <v>11</v>
      </c>
      <c r="N898" s="550">
        <v>1015</v>
      </c>
      <c r="O898" s="550">
        <v>0</v>
      </c>
      <c r="P898" s="550">
        <v>2398</v>
      </c>
      <c r="Q898" s="550">
        <v>148</v>
      </c>
      <c r="R898" s="551" t="str">
        <f t="shared" si="161"/>
        <v>MADERA COUNTY</v>
      </c>
      <c r="S898" s="552"/>
      <c r="T898" s="552"/>
      <c r="U898" s="552"/>
      <c r="V898" s="552"/>
      <c r="W898" s="552"/>
      <c r="X898" s="552"/>
      <c r="Y898" s="552"/>
      <c r="Z898" s="552"/>
      <c r="AA898" s="553"/>
      <c r="AB898" s="553"/>
    </row>
    <row r="899" spans="1:28" ht="12.75">
      <c r="A899" s="547" t="s">
        <v>435</v>
      </c>
      <c r="B899" s="547" t="s">
        <v>156</v>
      </c>
      <c r="C899" s="548" t="s">
        <v>819</v>
      </c>
      <c r="D899" s="549">
        <v>2018</v>
      </c>
      <c r="E899" s="549" t="s">
        <v>775</v>
      </c>
      <c r="F899" s="550">
        <v>1285</v>
      </c>
      <c r="G899" s="550">
        <v>0</v>
      </c>
      <c r="H899" s="550">
        <v>0</v>
      </c>
      <c r="I899" s="550">
        <v>0</v>
      </c>
      <c r="J899" s="550">
        <v>984</v>
      </c>
      <c r="K899" s="550">
        <v>10</v>
      </c>
      <c r="L899" s="550">
        <v>0</v>
      </c>
      <c r="M899" s="550">
        <v>10</v>
      </c>
      <c r="N899" s="550">
        <v>1015</v>
      </c>
      <c r="O899" s="550">
        <v>0</v>
      </c>
      <c r="P899" s="550">
        <v>2398</v>
      </c>
      <c r="Q899" s="550">
        <v>295</v>
      </c>
      <c r="R899" s="551" t="str">
        <f t="shared" si="161"/>
        <v>MADERA COUNTY</v>
      </c>
      <c r="S899" s="552"/>
      <c r="T899" s="552"/>
      <c r="U899" s="552"/>
      <c r="V899" s="552"/>
      <c r="W899" s="552"/>
      <c r="X899" s="552"/>
      <c r="Y899" s="552"/>
      <c r="Z899" s="552"/>
      <c r="AA899" s="553"/>
      <c r="AB899" s="553"/>
    </row>
    <row r="900" spans="1:28" ht="12.75">
      <c r="A900" s="547" t="s">
        <v>435</v>
      </c>
      <c r="B900" s="547" t="s">
        <v>156</v>
      </c>
      <c r="C900" s="548" t="s">
        <v>820</v>
      </c>
      <c r="D900" s="549">
        <v>2019</v>
      </c>
      <c r="E900" s="549" t="s">
        <v>775</v>
      </c>
      <c r="F900" s="550">
        <v>1285</v>
      </c>
      <c r="G900" s="550">
        <v>0</v>
      </c>
      <c r="H900" s="550">
        <v>0</v>
      </c>
      <c r="I900" s="550">
        <v>0</v>
      </c>
      <c r="J900" s="550">
        <v>984</v>
      </c>
      <c r="K900" s="550">
        <v>0</v>
      </c>
      <c r="L900" s="550">
        <v>0</v>
      </c>
      <c r="M900" s="550">
        <v>0</v>
      </c>
      <c r="N900" s="550">
        <v>1015</v>
      </c>
      <c r="O900" s="550">
        <v>0</v>
      </c>
      <c r="P900" s="550">
        <v>2398</v>
      </c>
      <c r="Q900" s="550">
        <v>480</v>
      </c>
      <c r="R900" s="551" t="str">
        <f t="shared" si="161"/>
        <v>MADERA COUNTY</v>
      </c>
      <c r="S900" s="561">
        <f>SUM(G896:G900) +SUM(K896:K900)</f>
        <v>41</v>
      </c>
      <c r="T900" s="561">
        <f>F900+J900</f>
        <v>2269</v>
      </c>
      <c r="U900" s="561">
        <f>SUM(O896:O900)</f>
        <v>0</v>
      </c>
      <c r="V900" s="561">
        <f>N900</f>
        <v>1015</v>
      </c>
      <c r="W900" s="562">
        <f>SUM(Q896:Q900)</f>
        <v>923</v>
      </c>
      <c r="X900" s="561">
        <f>P900</f>
        <v>2398</v>
      </c>
      <c r="Y900" s="561">
        <f>S900+U900+SUM(Q896:Q900)</f>
        <v>964</v>
      </c>
      <c r="Z900" s="561">
        <f>F900+J900+N900+P900</f>
        <v>5682</v>
      </c>
      <c r="AA900" s="553"/>
      <c r="AB900" s="553"/>
    </row>
    <row r="901" spans="1:28" ht="12.75">
      <c r="A901" s="547"/>
      <c r="B901" s="547"/>
      <c r="C901" s="548"/>
      <c r="D901" s="549"/>
      <c r="E901" s="549"/>
      <c r="F901" s="550"/>
      <c r="G901" s="550"/>
      <c r="H901" s="550"/>
      <c r="I901" s="550"/>
      <c r="J901" s="550"/>
      <c r="K901" s="550"/>
      <c r="L901" s="550"/>
      <c r="M901" s="550"/>
      <c r="N901" s="550"/>
      <c r="O901" s="550"/>
      <c r="P901" s="550"/>
      <c r="Q901" s="550"/>
      <c r="R901" s="551"/>
      <c r="S901" s="563">
        <f t="shared" ref="S901:Z901" si="162">SUM(S889:S900)</f>
        <v>373</v>
      </c>
      <c r="T901" s="563">
        <f t="shared" si="162"/>
        <v>5120</v>
      </c>
      <c r="U901" s="563">
        <f t="shared" si="162"/>
        <v>205</v>
      </c>
      <c r="V901" s="563">
        <f t="shared" si="162"/>
        <v>2310</v>
      </c>
      <c r="W901" s="563">
        <f t="shared" si="162"/>
        <v>1151</v>
      </c>
      <c r="X901" s="563">
        <f t="shared" si="162"/>
        <v>5465</v>
      </c>
      <c r="Y901" s="563">
        <f t="shared" si="162"/>
        <v>1729</v>
      </c>
      <c r="Z901" s="563">
        <f t="shared" si="162"/>
        <v>12895</v>
      </c>
      <c r="AA901" s="553"/>
      <c r="AB901" s="553"/>
    </row>
    <row r="902" spans="1:28" ht="12.75">
      <c r="A902" s="547" t="s">
        <v>436</v>
      </c>
      <c r="B902" s="547" t="s">
        <v>157</v>
      </c>
      <c r="C902" s="548" t="s">
        <v>774</v>
      </c>
      <c r="D902" s="549">
        <v>2015</v>
      </c>
      <c r="E902" s="549" t="s">
        <v>775</v>
      </c>
      <c r="F902" s="550">
        <v>4</v>
      </c>
      <c r="G902" s="550">
        <v>0</v>
      </c>
      <c r="H902" s="550">
        <v>0</v>
      </c>
      <c r="I902" s="550">
        <v>0</v>
      </c>
      <c r="J902" s="550">
        <v>3</v>
      </c>
      <c r="K902" s="550">
        <v>0</v>
      </c>
      <c r="L902" s="550">
        <v>0</v>
      </c>
      <c r="M902" s="550">
        <v>0</v>
      </c>
      <c r="N902" s="550">
        <v>4</v>
      </c>
      <c r="O902" s="550">
        <v>0</v>
      </c>
      <c r="P902" s="550">
        <v>5</v>
      </c>
      <c r="Q902" s="550">
        <v>0</v>
      </c>
      <c r="R902" s="551" t="str">
        <f t="shared" ref="R902:R928" si="163">A902</f>
        <v>BELVEDERE</v>
      </c>
      <c r="S902" s="552"/>
      <c r="T902" s="552"/>
      <c r="U902" s="552"/>
      <c r="V902" s="552"/>
      <c r="W902" s="552"/>
      <c r="X902" s="552"/>
      <c r="Y902" s="552"/>
      <c r="Z902" s="552"/>
      <c r="AA902" s="553"/>
      <c r="AB902" s="553"/>
    </row>
    <row r="903" spans="1:28" ht="12.75">
      <c r="A903" s="547" t="s">
        <v>436</v>
      </c>
      <c r="B903" s="547" t="s">
        <v>157</v>
      </c>
      <c r="C903" s="548" t="s">
        <v>774</v>
      </c>
      <c r="D903" s="549">
        <v>2016</v>
      </c>
      <c r="E903" s="549" t="s">
        <v>775</v>
      </c>
      <c r="F903" s="550">
        <v>4</v>
      </c>
      <c r="G903" s="550">
        <v>0</v>
      </c>
      <c r="H903" s="550">
        <v>0</v>
      </c>
      <c r="I903" s="550">
        <v>0</v>
      </c>
      <c r="J903" s="550">
        <v>3</v>
      </c>
      <c r="K903" s="550">
        <v>0</v>
      </c>
      <c r="L903" s="550">
        <v>0</v>
      </c>
      <c r="M903" s="550">
        <v>0</v>
      </c>
      <c r="N903" s="550">
        <v>4</v>
      </c>
      <c r="O903" s="550">
        <v>0</v>
      </c>
      <c r="P903" s="550">
        <v>5</v>
      </c>
      <c r="Q903" s="550">
        <v>0</v>
      </c>
      <c r="R903" s="551" t="str">
        <f t="shared" si="163"/>
        <v>BELVEDERE</v>
      </c>
      <c r="S903" s="552"/>
      <c r="T903" s="552"/>
      <c r="U903" s="552"/>
      <c r="V903" s="552"/>
      <c r="W903" s="552"/>
      <c r="X903" s="552"/>
      <c r="Y903" s="552"/>
      <c r="Z903" s="552"/>
      <c r="AA903" s="553"/>
      <c r="AB903" s="553"/>
    </row>
    <row r="904" spans="1:28" ht="12.75">
      <c r="A904" s="547" t="s">
        <v>436</v>
      </c>
      <c r="B904" s="547" t="s">
        <v>157</v>
      </c>
      <c r="C904" s="548" t="s">
        <v>774</v>
      </c>
      <c r="D904" s="549">
        <v>2017</v>
      </c>
      <c r="E904" s="549" t="s">
        <v>775</v>
      </c>
      <c r="F904" s="550">
        <v>4</v>
      </c>
      <c r="G904" s="550">
        <v>0</v>
      </c>
      <c r="H904" s="550">
        <v>0</v>
      </c>
      <c r="I904" s="550">
        <v>0</v>
      </c>
      <c r="J904" s="550">
        <v>3</v>
      </c>
      <c r="K904" s="550">
        <v>0</v>
      </c>
      <c r="L904" s="550">
        <v>0</v>
      </c>
      <c r="M904" s="550">
        <v>0</v>
      </c>
      <c r="N904" s="550">
        <v>4</v>
      </c>
      <c r="O904" s="550">
        <v>2</v>
      </c>
      <c r="P904" s="550">
        <v>5</v>
      </c>
      <c r="Q904" s="550">
        <v>0</v>
      </c>
      <c r="R904" s="551" t="str">
        <f t="shared" si="163"/>
        <v>BELVEDERE</v>
      </c>
      <c r="S904" s="552"/>
      <c r="T904" s="552"/>
      <c r="U904" s="552"/>
      <c r="V904" s="552"/>
      <c r="W904" s="552"/>
      <c r="X904" s="552"/>
      <c r="Y904" s="552"/>
      <c r="Z904" s="552"/>
      <c r="AA904" s="553"/>
      <c r="AB904" s="553"/>
    </row>
    <row r="905" spans="1:28" ht="12.75">
      <c r="A905" s="547" t="s">
        <v>436</v>
      </c>
      <c r="B905" s="547" t="s">
        <v>157</v>
      </c>
      <c r="C905" s="548" t="s">
        <v>774</v>
      </c>
      <c r="D905" s="549">
        <v>2018</v>
      </c>
      <c r="E905" s="549" t="s">
        <v>775</v>
      </c>
      <c r="F905" s="550">
        <v>4</v>
      </c>
      <c r="G905" s="564"/>
      <c r="H905" s="564"/>
      <c r="I905" s="564"/>
      <c r="J905" s="550">
        <v>3</v>
      </c>
      <c r="K905" s="564"/>
      <c r="L905" s="564"/>
      <c r="M905" s="564"/>
      <c r="N905" s="550">
        <v>4</v>
      </c>
      <c r="O905" s="564"/>
      <c r="P905" s="550">
        <v>5</v>
      </c>
      <c r="Q905" s="564"/>
      <c r="R905" s="551" t="str">
        <f t="shared" si="163"/>
        <v>BELVEDERE</v>
      </c>
      <c r="S905" s="552"/>
      <c r="T905" s="552"/>
      <c r="U905" s="552"/>
      <c r="V905" s="552"/>
      <c r="W905" s="552"/>
      <c r="X905" s="552"/>
      <c r="Y905" s="552"/>
      <c r="Z905" s="552"/>
      <c r="AA905" s="553"/>
      <c r="AB905" s="553"/>
    </row>
    <row r="906" spans="1:28" ht="12.75">
      <c r="A906" s="547" t="s">
        <v>436</v>
      </c>
      <c r="B906" s="547" t="s">
        <v>157</v>
      </c>
      <c r="C906" s="548" t="s">
        <v>782</v>
      </c>
      <c r="D906" s="549">
        <v>2019</v>
      </c>
      <c r="E906" s="549" t="s">
        <v>775</v>
      </c>
      <c r="F906" s="550">
        <v>4</v>
      </c>
      <c r="G906" s="550">
        <v>0</v>
      </c>
      <c r="H906" s="550">
        <v>0</v>
      </c>
      <c r="I906" s="550">
        <v>0</v>
      </c>
      <c r="J906" s="550">
        <v>3</v>
      </c>
      <c r="K906" s="550">
        <v>0</v>
      </c>
      <c r="L906" s="550">
        <v>0</v>
      </c>
      <c r="M906" s="550">
        <v>0</v>
      </c>
      <c r="N906" s="550">
        <v>4</v>
      </c>
      <c r="O906" s="550">
        <v>1</v>
      </c>
      <c r="P906" s="550">
        <v>5</v>
      </c>
      <c r="Q906" s="550">
        <v>1</v>
      </c>
      <c r="R906" s="551" t="str">
        <f t="shared" si="163"/>
        <v>BELVEDERE</v>
      </c>
      <c r="S906" s="255">
        <f>SUM(G902:G906) +SUM(K902:K906)</f>
        <v>0</v>
      </c>
      <c r="T906" s="255">
        <f>F906+J906</f>
        <v>7</v>
      </c>
      <c r="U906" s="255">
        <f>SUM(O902:O906)</f>
        <v>3</v>
      </c>
      <c r="V906" s="255">
        <f>N906</f>
        <v>4</v>
      </c>
      <c r="W906" s="83">
        <f>SUM(Q902:Q906)</f>
        <v>1</v>
      </c>
      <c r="X906" s="255">
        <f>P906</f>
        <v>5</v>
      </c>
      <c r="Y906" s="255">
        <f>S906+U906+SUM(Q902:Q906)</f>
        <v>4</v>
      </c>
      <c r="Z906" s="255">
        <f>F906+J906+N906+P906</f>
        <v>16</v>
      </c>
      <c r="AA906" s="553"/>
      <c r="AB906" s="553"/>
    </row>
    <row r="907" spans="1:28" ht="12.75">
      <c r="A907" s="547" t="s">
        <v>437</v>
      </c>
      <c r="B907" s="547" t="s">
        <v>157</v>
      </c>
      <c r="C907" s="548" t="s">
        <v>774</v>
      </c>
      <c r="D907" s="549">
        <v>2015</v>
      </c>
      <c r="E907" s="549" t="s">
        <v>775</v>
      </c>
      <c r="F907" s="550">
        <v>22</v>
      </c>
      <c r="G907" s="550">
        <v>5</v>
      </c>
      <c r="H907" s="550">
        <v>4</v>
      </c>
      <c r="I907" s="550">
        <v>1</v>
      </c>
      <c r="J907" s="550">
        <v>13</v>
      </c>
      <c r="K907" s="550">
        <v>12</v>
      </c>
      <c r="L907" s="550">
        <v>12</v>
      </c>
      <c r="M907" s="550">
        <v>0</v>
      </c>
      <c r="N907" s="550">
        <v>13</v>
      </c>
      <c r="O907" s="550">
        <v>2</v>
      </c>
      <c r="P907" s="550">
        <v>24</v>
      </c>
      <c r="Q907" s="550">
        <v>164</v>
      </c>
      <c r="R907" s="551" t="str">
        <f t="shared" si="163"/>
        <v>CORTE MADERA</v>
      </c>
      <c r="S907" s="552"/>
      <c r="T907" s="552"/>
      <c r="U907" s="552"/>
      <c r="V907" s="552"/>
      <c r="W907" s="552"/>
      <c r="X907" s="552"/>
      <c r="Y907" s="552"/>
      <c r="Z907" s="552"/>
      <c r="AA907" s="553"/>
      <c r="AB907" s="553"/>
    </row>
    <row r="908" spans="1:28" ht="12.75">
      <c r="A908" s="547" t="s">
        <v>437</v>
      </c>
      <c r="B908" s="547" t="s">
        <v>157</v>
      </c>
      <c r="C908" s="548" t="s">
        <v>774</v>
      </c>
      <c r="D908" s="549">
        <v>2016</v>
      </c>
      <c r="E908" s="549" t="s">
        <v>775</v>
      </c>
      <c r="F908" s="550">
        <v>22</v>
      </c>
      <c r="G908" s="550">
        <v>2</v>
      </c>
      <c r="H908" s="550">
        <v>1</v>
      </c>
      <c r="I908" s="550">
        <v>1</v>
      </c>
      <c r="J908" s="550">
        <v>13</v>
      </c>
      <c r="K908" s="550">
        <v>1</v>
      </c>
      <c r="L908" s="550">
        <v>1</v>
      </c>
      <c r="M908" s="550">
        <v>0</v>
      </c>
      <c r="N908" s="550">
        <v>13</v>
      </c>
      <c r="O908" s="550">
        <v>1</v>
      </c>
      <c r="P908" s="550">
        <v>24</v>
      </c>
      <c r="Q908" s="550">
        <v>13</v>
      </c>
      <c r="R908" s="551" t="str">
        <f t="shared" si="163"/>
        <v>CORTE MADERA</v>
      </c>
      <c r="S908" s="552"/>
      <c r="T908" s="552"/>
      <c r="U908" s="552"/>
      <c r="V908" s="552"/>
      <c r="W908" s="552"/>
      <c r="X908" s="552"/>
      <c r="Y908" s="552"/>
      <c r="Z908" s="552"/>
      <c r="AA908" s="553"/>
      <c r="AB908" s="553"/>
    </row>
    <row r="909" spans="1:28" ht="12.75">
      <c r="A909" s="547" t="s">
        <v>437</v>
      </c>
      <c r="B909" s="547" t="s">
        <v>157</v>
      </c>
      <c r="C909" s="548" t="s">
        <v>774</v>
      </c>
      <c r="D909" s="549">
        <v>2017</v>
      </c>
      <c r="E909" s="549" t="s">
        <v>775</v>
      </c>
      <c r="F909" s="550">
        <v>22</v>
      </c>
      <c r="G909" s="550">
        <v>1</v>
      </c>
      <c r="H909" s="550">
        <v>0</v>
      </c>
      <c r="I909" s="550">
        <v>1</v>
      </c>
      <c r="J909" s="550">
        <v>13</v>
      </c>
      <c r="K909" s="550">
        <v>0</v>
      </c>
      <c r="L909" s="550">
        <v>0</v>
      </c>
      <c r="M909" s="550">
        <v>0</v>
      </c>
      <c r="N909" s="550">
        <v>13</v>
      </c>
      <c r="O909" s="550">
        <v>2</v>
      </c>
      <c r="P909" s="550">
        <v>24</v>
      </c>
      <c r="Q909" s="550">
        <v>2</v>
      </c>
      <c r="R909" s="551" t="str">
        <f t="shared" si="163"/>
        <v>CORTE MADERA</v>
      </c>
      <c r="S909" s="552"/>
      <c r="T909" s="552"/>
      <c r="U909" s="552"/>
      <c r="V909" s="552"/>
      <c r="W909" s="552"/>
      <c r="X909" s="552"/>
      <c r="Y909" s="552"/>
      <c r="Z909" s="552"/>
      <c r="AA909" s="553"/>
      <c r="AB909" s="553"/>
    </row>
    <row r="910" spans="1:28" ht="12.75">
      <c r="A910" s="547" t="s">
        <v>437</v>
      </c>
      <c r="B910" s="547" t="s">
        <v>157</v>
      </c>
      <c r="C910" s="548" t="s">
        <v>774</v>
      </c>
      <c r="D910" s="549">
        <v>2018</v>
      </c>
      <c r="E910" s="549" t="s">
        <v>775</v>
      </c>
      <c r="F910" s="550">
        <v>22</v>
      </c>
      <c r="G910" s="550">
        <v>5</v>
      </c>
      <c r="H910" s="550">
        <v>0</v>
      </c>
      <c r="I910" s="550">
        <v>5</v>
      </c>
      <c r="J910" s="550">
        <v>13</v>
      </c>
      <c r="K910" s="550">
        <v>0</v>
      </c>
      <c r="L910" s="550">
        <v>0</v>
      </c>
      <c r="M910" s="550">
        <v>0</v>
      </c>
      <c r="N910" s="550">
        <v>13</v>
      </c>
      <c r="O910" s="550">
        <v>2</v>
      </c>
      <c r="P910" s="550">
        <v>24</v>
      </c>
      <c r="Q910" s="550">
        <v>0</v>
      </c>
      <c r="R910" s="551" t="str">
        <f t="shared" si="163"/>
        <v>CORTE MADERA</v>
      </c>
      <c r="S910" s="552"/>
      <c r="T910" s="552"/>
      <c r="U910" s="552"/>
      <c r="V910" s="552"/>
      <c r="W910" s="552"/>
      <c r="X910" s="552"/>
      <c r="Y910" s="552"/>
      <c r="Z910" s="552"/>
      <c r="AA910" s="553"/>
      <c r="AB910" s="553"/>
    </row>
    <row r="911" spans="1:28" ht="12.75">
      <c r="A911" s="547" t="s">
        <v>437</v>
      </c>
      <c r="B911" s="547" t="s">
        <v>157</v>
      </c>
      <c r="C911" s="548" t="s">
        <v>782</v>
      </c>
      <c r="D911" s="549">
        <v>2019</v>
      </c>
      <c r="E911" s="549" t="s">
        <v>775</v>
      </c>
      <c r="F911" s="550">
        <v>22</v>
      </c>
      <c r="G911" s="550">
        <v>3</v>
      </c>
      <c r="H911" s="550">
        <v>0</v>
      </c>
      <c r="I911" s="550">
        <v>3</v>
      </c>
      <c r="J911" s="550">
        <v>13</v>
      </c>
      <c r="K911" s="550">
        <v>0</v>
      </c>
      <c r="L911" s="550">
        <v>0</v>
      </c>
      <c r="M911" s="550">
        <v>0</v>
      </c>
      <c r="N911" s="550">
        <v>13</v>
      </c>
      <c r="O911" s="550">
        <v>1</v>
      </c>
      <c r="P911" s="550">
        <v>24</v>
      </c>
      <c r="Q911" s="550">
        <v>0</v>
      </c>
      <c r="R911" s="551" t="str">
        <f t="shared" si="163"/>
        <v>CORTE MADERA</v>
      </c>
      <c r="S911" s="255">
        <f>SUM(G907:G911) +SUM(K907:K911)</f>
        <v>29</v>
      </c>
      <c r="T911" s="255">
        <f>F911+J911</f>
        <v>35</v>
      </c>
      <c r="U911" s="255">
        <f>SUM(O907:O911)</f>
        <v>8</v>
      </c>
      <c r="V911" s="255">
        <f>N911</f>
        <v>13</v>
      </c>
      <c r="W911" s="83">
        <f>SUM(Q907:Q911)</f>
        <v>179</v>
      </c>
      <c r="X911" s="255">
        <f>P911</f>
        <v>24</v>
      </c>
      <c r="Y911" s="255">
        <f>S911+U911+SUM(Q907:Q911)</f>
        <v>216</v>
      </c>
      <c r="Z911" s="255">
        <f>F911+J911+N911+P911</f>
        <v>72</v>
      </c>
      <c r="AA911" s="553"/>
      <c r="AB911" s="553"/>
    </row>
    <row r="912" spans="1:28" ht="12.75">
      <c r="A912" s="547" t="s">
        <v>438</v>
      </c>
      <c r="B912" s="547" t="s">
        <v>157</v>
      </c>
      <c r="C912" s="548" t="s">
        <v>774</v>
      </c>
      <c r="D912" s="549">
        <v>2015</v>
      </c>
      <c r="E912" s="549" t="s">
        <v>775</v>
      </c>
      <c r="F912" s="550">
        <v>16</v>
      </c>
      <c r="G912" s="550">
        <v>0</v>
      </c>
      <c r="H912" s="550">
        <v>0</v>
      </c>
      <c r="I912" s="550">
        <v>0</v>
      </c>
      <c r="J912" s="550">
        <v>11</v>
      </c>
      <c r="K912" s="550">
        <v>0</v>
      </c>
      <c r="L912" s="550">
        <v>0</v>
      </c>
      <c r="M912" s="550">
        <v>0</v>
      </c>
      <c r="N912" s="550">
        <v>11</v>
      </c>
      <c r="O912" s="550">
        <v>0</v>
      </c>
      <c r="P912" s="550">
        <v>23</v>
      </c>
      <c r="Q912" s="550">
        <v>0</v>
      </c>
      <c r="R912" s="551" t="str">
        <f t="shared" si="163"/>
        <v>FAIRFAX</v>
      </c>
      <c r="S912" s="552"/>
      <c r="T912" s="552"/>
      <c r="U912" s="552"/>
      <c r="V912" s="552"/>
      <c r="W912" s="552"/>
      <c r="X912" s="552"/>
      <c r="Y912" s="552"/>
      <c r="Z912" s="552"/>
      <c r="AA912" s="553"/>
      <c r="AB912" s="553"/>
    </row>
    <row r="913" spans="1:28" ht="12.75">
      <c r="A913" s="547" t="s">
        <v>438</v>
      </c>
      <c r="B913" s="547" t="s">
        <v>157</v>
      </c>
      <c r="C913" s="548" t="s">
        <v>774</v>
      </c>
      <c r="D913" s="549">
        <v>2016</v>
      </c>
      <c r="E913" s="549" t="s">
        <v>775</v>
      </c>
      <c r="F913" s="550">
        <v>16</v>
      </c>
      <c r="G913" s="550">
        <v>0</v>
      </c>
      <c r="H913" s="550">
        <v>0</v>
      </c>
      <c r="I913" s="550">
        <v>0</v>
      </c>
      <c r="J913" s="550">
        <v>11</v>
      </c>
      <c r="K913" s="550">
        <v>0</v>
      </c>
      <c r="L913" s="550">
        <v>0</v>
      </c>
      <c r="M913" s="550">
        <v>0</v>
      </c>
      <c r="N913" s="550">
        <v>11</v>
      </c>
      <c r="O913" s="550">
        <v>0</v>
      </c>
      <c r="P913" s="550">
        <v>23</v>
      </c>
      <c r="Q913" s="550">
        <v>5</v>
      </c>
      <c r="R913" s="551" t="str">
        <f t="shared" si="163"/>
        <v>FAIRFAX</v>
      </c>
      <c r="S913" s="552"/>
      <c r="T913" s="552"/>
      <c r="U913" s="552"/>
      <c r="V913" s="552"/>
      <c r="W913" s="552"/>
      <c r="X913" s="552"/>
      <c r="Y913" s="552"/>
      <c r="Z913" s="552"/>
      <c r="AA913" s="553"/>
      <c r="AB913" s="553"/>
    </row>
    <row r="914" spans="1:28" ht="12.75">
      <c r="A914" s="547" t="s">
        <v>438</v>
      </c>
      <c r="B914" s="547" t="s">
        <v>157</v>
      </c>
      <c r="C914" s="548" t="s">
        <v>774</v>
      </c>
      <c r="D914" s="549">
        <v>2017</v>
      </c>
      <c r="E914" s="549" t="s">
        <v>775</v>
      </c>
      <c r="F914" s="550">
        <v>16</v>
      </c>
      <c r="G914" s="550">
        <v>1</v>
      </c>
      <c r="H914" s="550">
        <v>1</v>
      </c>
      <c r="I914" s="550">
        <v>0</v>
      </c>
      <c r="J914" s="550">
        <v>11</v>
      </c>
      <c r="K914" s="550">
        <v>1</v>
      </c>
      <c r="L914" s="550">
        <v>1</v>
      </c>
      <c r="M914" s="550">
        <v>0</v>
      </c>
      <c r="N914" s="550">
        <v>11</v>
      </c>
      <c r="O914" s="550">
        <v>1</v>
      </c>
      <c r="P914" s="550">
        <v>23</v>
      </c>
      <c r="Q914" s="550">
        <v>5</v>
      </c>
      <c r="R914" s="551" t="str">
        <f t="shared" si="163"/>
        <v>FAIRFAX</v>
      </c>
      <c r="S914" s="552"/>
      <c r="T914" s="552"/>
      <c r="U914" s="552"/>
      <c r="V914" s="552"/>
      <c r="W914" s="552"/>
      <c r="X914" s="552"/>
      <c r="Y914" s="552"/>
      <c r="Z914" s="552"/>
      <c r="AA914" s="553"/>
      <c r="AB914" s="553"/>
    </row>
    <row r="915" spans="1:28" ht="12.75">
      <c r="A915" s="547" t="s">
        <v>438</v>
      </c>
      <c r="B915" s="547" t="s">
        <v>157</v>
      </c>
      <c r="C915" s="548" t="s">
        <v>774</v>
      </c>
      <c r="D915" s="549">
        <v>2018</v>
      </c>
      <c r="E915" s="549" t="s">
        <v>775</v>
      </c>
      <c r="F915" s="550">
        <v>16</v>
      </c>
      <c r="G915" s="550">
        <v>12</v>
      </c>
      <c r="H915" s="550">
        <v>6</v>
      </c>
      <c r="I915" s="550">
        <v>6</v>
      </c>
      <c r="J915" s="550">
        <v>11</v>
      </c>
      <c r="K915" s="550">
        <v>55</v>
      </c>
      <c r="L915" s="550">
        <v>47</v>
      </c>
      <c r="M915" s="550">
        <v>8</v>
      </c>
      <c r="N915" s="550">
        <v>11</v>
      </c>
      <c r="O915" s="550">
        <v>1</v>
      </c>
      <c r="P915" s="550">
        <v>23</v>
      </c>
      <c r="Q915" s="550">
        <v>0</v>
      </c>
      <c r="R915" s="551" t="str">
        <f t="shared" si="163"/>
        <v>FAIRFAX</v>
      </c>
      <c r="S915" s="552"/>
      <c r="T915" s="552"/>
      <c r="U915" s="552"/>
      <c r="V915" s="552"/>
      <c r="W915" s="552"/>
      <c r="X915" s="552"/>
      <c r="Y915" s="552"/>
      <c r="Z915" s="552"/>
      <c r="AA915" s="553"/>
      <c r="AB915" s="553"/>
    </row>
    <row r="916" spans="1:28" ht="12.75">
      <c r="A916" s="547" t="s">
        <v>438</v>
      </c>
      <c r="B916" s="547" t="s">
        <v>157</v>
      </c>
      <c r="C916" s="548" t="s">
        <v>782</v>
      </c>
      <c r="D916" s="549">
        <v>2019</v>
      </c>
      <c r="E916" s="549" t="s">
        <v>775</v>
      </c>
      <c r="F916" s="550">
        <v>16</v>
      </c>
      <c r="G916" s="550">
        <v>0</v>
      </c>
      <c r="H916" s="550">
        <v>0</v>
      </c>
      <c r="I916" s="550">
        <v>0</v>
      </c>
      <c r="J916" s="550">
        <v>11</v>
      </c>
      <c r="K916" s="550">
        <v>4</v>
      </c>
      <c r="L916" s="550">
        <v>0</v>
      </c>
      <c r="M916" s="550">
        <v>4</v>
      </c>
      <c r="N916" s="550">
        <v>11</v>
      </c>
      <c r="O916" s="550">
        <v>2</v>
      </c>
      <c r="P916" s="550">
        <v>23</v>
      </c>
      <c r="Q916" s="550">
        <v>0</v>
      </c>
      <c r="R916" s="551" t="str">
        <f t="shared" si="163"/>
        <v>FAIRFAX</v>
      </c>
      <c r="S916" s="255">
        <f>SUM(G912:G916) +SUM(K912:K916)</f>
        <v>73</v>
      </c>
      <c r="T916" s="255">
        <f>F916+J916</f>
        <v>27</v>
      </c>
      <c r="U916" s="255">
        <f>SUM(O912:O916)</f>
        <v>4</v>
      </c>
      <c r="V916" s="255">
        <f>N916</f>
        <v>11</v>
      </c>
      <c r="W916" s="83">
        <f>SUM(Q912:Q916)</f>
        <v>10</v>
      </c>
      <c r="X916" s="255">
        <f>P916</f>
        <v>23</v>
      </c>
      <c r="Y916" s="255">
        <f>S916+U916+SUM(Q912:Q916)</f>
        <v>87</v>
      </c>
      <c r="Z916" s="255">
        <f>F916+J916+N916+P916</f>
        <v>61</v>
      </c>
      <c r="AA916" s="553"/>
      <c r="AB916" s="553"/>
    </row>
    <row r="917" spans="1:28" ht="12.75">
      <c r="A917" s="547" t="s">
        <v>439</v>
      </c>
      <c r="B917" s="547" t="s">
        <v>157</v>
      </c>
      <c r="C917" s="548" t="s">
        <v>774</v>
      </c>
      <c r="D917" s="549">
        <v>2014</v>
      </c>
      <c r="E917" s="549" t="s">
        <v>775</v>
      </c>
      <c r="F917" s="550">
        <v>40</v>
      </c>
      <c r="G917" s="550">
        <v>3</v>
      </c>
      <c r="H917" s="550">
        <v>3</v>
      </c>
      <c r="I917" s="550">
        <v>0</v>
      </c>
      <c r="J917" s="550">
        <v>20</v>
      </c>
      <c r="K917" s="550">
        <v>9</v>
      </c>
      <c r="L917" s="550">
        <v>9</v>
      </c>
      <c r="M917" s="550">
        <v>0</v>
      </c>
      <c r="N917" s="550">
        <v>21</v>
      </c>
      <c r="O917" s="550">
        <v>8</v>
      </c>
      <c r="P917" s="550">
        <v>51</v>
      </c>
      <c r="Q917" s="550">
        <v>76</v>
      </c>
      <c r="R917" s="551" t="str">
        <f t="shared" si="163"/>
        <v>LARKSPUR</v>
      </c>
      <c r="S917" s="552"/>
      <c r="T917" s="552"/>
      <c r="U917" s="552"/>
      <c r="V917" s="552"/>
      <c r="W917" s="552"/>
      <c r="X917" s="552"/>
      <c r="Y917" s="552"/>
      <c r="Z917" s="552"/>
      <c r="AA917" s="553"/>
      <c r="AB917" s="553"/>
    </row>
    <row r="918" spans="1:28" ht="12.75">
      <c r="A918" s="547" t="s">
        <v>439</v>
      </c>
      <c r="B918" s="547" t="s">
        <v>157</v>
      </c>
      <c r="C918" s="548" t="s">
        <v>774</v>
      </c>
      <c r="D918" s="549">
        <v>2015</v>
      </c>
      <c r="E918" s="549" t="s">
        <v>775</v>
      </c>
      <c r="F918" s="550">
        <v>40</v>
      </c>
      <c r="G918" s="550">
        <v>0</v>
      </c>
      <c r="H918" s="550">
        <v>0</v>
      </c>
      <c r="I918" s="550">
        <v>0</v>
      </c>
      <c r="J918" s="550">
        <v>20</v>
      </c>
      <c r="K918" s="550">
        <v>0</v>
      </c>
      <c r="L918" s="550">
        <v>0</v>
      </c>
      <c r="M918" s="550">
        <v>0</v>
      </c>
      <c r="N918" s="550">
        <v>21</v>
      </c>
      <c r="O918" s="550">
        <v>0</v>
      </c>
      <c r="P918" s="550">
        <v>51</v>
      </c>
      <c r="Q918" s="550">
        <v>7</v>
      </c>
      <c r="R918" s="551" t="str">
        <f t="shared" si="163"/>
        <v>LARKSPUR</v>
      </c>
      <c r="S918" s="552"/>
      <c r="T918" s="552"/>
      <c r="U918" s="552"/>
      <c r="V918" s="552"/>
      <c r="W918" s="552"/>
      <c r="X918" s="552"/>
      <c r="Y918" s="552"/>
      <c r="Z918" s="552"/>
      <c r="AA918" s="553"/>
      <c r="AB918" s="553"/>
    </row>
    <row r="919" spans="1:28" ht="12.75">
      <c r="A919" s="547" t="s">
        <v>439</v>
      </c>
      <c r="B919" s="547" t="s">
        <v>157</v>
      </c>
      <c r="C919" s="548" t="s">
        <v>774</v>
      </c>
      <c r="D919" s="549">
        <v>2016</v>
      </c>
      <c r="E919" s="549" t="s">
        <v>775</v>
      </c>
      <c r="F919" s="550">
        <v>40</v>
      </c>
      <c r="G919" s="550">
        <v>0</v>
      </c>
      <c r="H919" s="550">
        <v>0</v>
      </c>
      <c r="I919" s="550">
        <v>0</v>
      </c>
      <c r="J919" s="550">
        <v>20</v>
      </c>
      <c r="K919" s="550">
        <v>0</v>
      </c>
      <c r="L919" s="550">
        <v>0</v>
      </c>
      <c r="M919" s="550">
        <v>0</v>
      </c>
      <c r="N919" s="550">
        <v>21</v>
      </c>
      <c r="O919" s="550">
        <v>1</v>
      </c>
      <c r="P919" s="550">
        <v>51</v>
      </c>
      <c r="Q919" s="550">
        <v>3</v>
      </c>
      <c r="R919" s="551" t="str">
        <f t="shared" si="163"/>
        <v>LARKSPUR</v>
      </c>
      <c r="S919" s="552"/>
      <c r="T919" s="552"/>
      <c r="U919" s="552"/>
      <c r="V919" s="552"/>
      <c r="W919" s="552"/>
      <c r="X919" s="552"/>
      <c r="Y919" s="552"/>
      <c r="Z919" s="552"/>
      <c r="AA919" s="553"/>
      <c r="AB919" s="553"/>
    </row>
    <row r="920" spans="1:28" ht="12.75">
      <c r="A920" s="547" t="s">
        <v>439</v>
      </c>
      <c r="B920" s="547" t="s">
        <v>157</v>
      </c>
      <c r="C920" s="548" t="s">
        <v>774</v>
      </c>
      <c r="D920" s="549">
        <v>2017</v>
      </c>
      <c r="E920" s="549" t="s">
        <v>775</v>
      </c>
      <c r="F920" s="550">
        <v>40</v>
      </c>
      <c r="G920" s="550">
        <v>0</v>
      </c>
      <c r="H920" s="550">
        <v>0</v>
      </c>
      <c r="I920" s="550">
        <v>0</v>
      </c>
      <c r="J920" s="550">
        <v>20</v>
      </c>
      <c r="K920" s="550">
        <v>1</v>
      </c>
      <c r="L920" s="550">
        <v>0</v>
      </c>
      <c r="M920" s="550">
        <v>1</v>
      </c>
      <c r="N920" s="550">
        <v>21</v>
      </c>
      <c r="O920" s="550">
        <v>0</v>
      </c>
      <c r="P920" s="550">
        <v>51</v>
      </c>
      <c r="Q920" s="550">
        <v>0</v>
      </c>
      <c r="R920" s="551" t="str">
        <f t="shared" si="163"/>
        <v>LARKSPUR</v>
      </c>
      <c r="S920" s="552"/>
      <c r="T920" s="552"/>
      <c r="U920" s="552"/>
      <c r="V920" s="552"/>
      <c r="W920" s="552"/>
      <c r="X920" s="552"/>
      <c r="Y920" s="552"/>
      <c r="Z920" s="552"/>
      <c r="AA920" s="553"/>
      <c r="AB920" s="553"/>
    </row>
    <row r="921" spans="1:28" ht="12.75">
      <c r="A921" s="547" t="s">
        <v>439</v>
      </c>
      <c r="B921" s="547" t="s">
        <v>157</v>
      </c>
      <c r="C921" s="548" t="s">
        <v>774</v>
      </c>
      <c r="D921" s="549">
        <v>2018</v>
      </c>
      <c r="E921" s="549" t="s">
        <v>775</v>
      </c>
      <c r="F921" s="550">
        <v>40</v>
      </c>
      <c r="G921" s="550">
        <v>1</v>
      </c>
      <c r="H921" s="550">
        <v>0</v>
      </c>
      <c r="I921" s="550">
        <v>1</v>
      </c>
      <c r="J921" s="550">
        <v>20</v>
      </c>
      <c r="K921" s="550">
        <v>0</v>
      </c>
      <c r="L921" s="550">
        <v>0</v>
      </c>
      <c r="M921" s="550">
        <v>0</v>
      </c>
      <c r="N921" s="550">
        <v>21</v>
      </c>
      <c r="O921" s="550">
        <v>0</v>
      </c>
      <c r="P921" s="550">
        <v>51</v>
      </c>
      <c r="Q921" s="550">
        <v>3</v>
      </c>
      <c r="R921" s="551" t="str">
        <f t="shared" si="163"/>
        <v>LARKSPUR</v>
      </c>
      <c r="S921" s="552"/>
      <c r="T921" s="552"/>
      <c r="U921" s="552"/>
      <c r="V921" s="552"/>
      <c r="W921" s="552"/>
      <c r="X921" s="552"/>
      <c r="Y921" s="552"/>
      <c r="Z921" s="552"/>
      <c r="AA921" s="553"/>
      <c r="AB921" s="553"/>
    </row>
    <row r="922" spans="1:28" ht="12.75">
      <c r="A922" s="547" t="s">
        <v>439</v>
      </c>
      <c r="B922" s="547" t="s">
        <v>157</v>
      </c>
      <c r="C922" s="548" t="s">
        <v>782</v>
      </c>
      <c r="D922" s="549">
        <v>2019</v>
      </c>
      <c r="E922" s="549" t="s">
        <v>775</v>
      </c>
      <c r="F922" s="550">
        <v>40</v>
      </c>
      <c r="G922" s="550">
        <v>2</v>
      </c>
      <c r="H922" s="550">
        <v>0</v>
      </c>
      <c r="I922" s="550">
        <v>2</v>
      </c>
      <c r="J922" s="550">
        <v>20</v>
      </c>
      <c r="K922" s="550">
        <v>1</v>
      </c>
      <c r="L922" s="550">
        <v>0</v>
      </c>
      <c r="M922" s="550">
        <v>1</v>
      </c>
      <c r="N922" s="550">
        <v>21</v>
      </c>
      <c r="O922" s="550">
        <v>0</v>
      </c>
      <c r="P922" s="550">
        <v>51</v>
      </c>
      <c r="Q922" s="550">
        <v>1</v>
      </c>
      <c r="R922" s="551" t="str">
        <f t="shared" si="163"/>
        <v>LARKSPUR</v>
      </c>
      <c r="S922" s="552">
        <f>SUM(G917:G922) +SUM(K917:K922)</f>
        <v>17</v>
      </c>
      <c r="T922" s="552">
        <f>F922+J922</f>
        <v>60</v>
      </c>
      <c r="U922" s="552">
        <f>SUM(O917:O922)</f>
        <v>9</v>
      </c>
      <c r="V922" s="552">
        <f>N922</f>
        <v>21</v>
      </c>
      <c r="W922" s="554">
        <f>SUM(Q917:Q922)</f>
        <v>90</v>
      </c>
      <c r="X922" s="552">
        <f>P922</f>
        <v>51</v>
      </c>
      <c r="Y922" s="552">
        <f>S922+U922+SUM(Q917:Q922)</f>
        <v>116</v>
      </c>
      <c r="Z922" s="552">
        <f>F922+J922+N922+P922</f>
        <v>132</v>
      </c>
      <c r="AA922" s="553"/>
      <c r="AB922" s="553"/>
    </row>
    <row r="923" spans="1:28" ht="12.75">
      <c r="A923" s="547" t="s">
        <v>440</v>
      </c>
      <c r="B923" s="547" t="s">
        <v>157</v>
      </c>
      <c r="C923" s="548" t="s">
        <v>774</v>
      </c>
      <c r="D923" s="549">
        <v>2014</v>
      </c>
      <c r="E923" s="549" t="s">
        <v>775</v>
      </c>
      <c r="F923" s="550">
        <v>55</v>
      </c>
      <c r="G923" s="550">
        <v>1</v>
      </c>
      <c r="H923" s="550">
        <v>0</v>
      </c>
      <c r="I923" s="550">
        <v>1</v>
      </c>
      <c r="J923" s="550">
        <v>32</v>
      </c>
      <c r="K923" s="550">
        <v>3</v>
      </c>
      <c r="L923" s="550">
        <v>0</v>
      </c>
      <c r="M923" s="550">
        <v>3</v>
      </c>
      <c r="N923" s="550">
        <v>37</v>
      </c>
      <c r="O923" s="550">
        <v>10</v>
      </c>
      <c r="P923" s="550">
        <v>61</v>
      </c>
      <c r="Q923" s="550">
        <v>29</v>
      </c>
      <c r="R923" s="551" t="str">
        <f t="shared" si="163"/>
        <v>MARIN COUNTY</v>
      </c>
      <c r="S923" s="552"/>
      <c r="T923" s="552"/>
      <c r="U923" s="552"/>
      <c r="V923" s="552"/>
      <c r="W923" s="552"/>
      <c r="X923" s="552"/>
      <c r="Y923" s="552"/>
      <c r="Z923" s="552"/>
      <c r="AA923" s="553"/>
      <c r="AB923" s="553"/>
    </row>
    <row r="924" spans="1:28" ht="12.75">
      <c r="A924" s="547" t="s">
        <v>440</v>
      </c>
      <c r="B924" s="547" t="s">
        <v>157</v>
      </c>
      <c r="C924" s="548" t="s">
        <v>774</v>
      </c>
      <c r="D924" s="549">
        <v>2015</v>
      </c>
      <c r="E924" s="549" t="s">
        <v>775</v>
      </c>
      <c r="F924" s="550">
        <v>55</v>
      </c>
      <c r="G924" s="550">
        <v>7</v>
      </c>
      <c r="H924" s="550">
        <v>6</v>
      </c>
      <c r="I924" s="550">
        <v>1</v>
      </c>
      <c r="J924" s="550">
        <v>32</v>
      </c>
      <c r="K924" s="550">
        <v>6</v>
      </c>
      <c r="L924" s="550">
        <v>3</v>
      </c>
      <c r="M924" s="550">
        <v>3</v>
      </c>
      <c r="N924" s="550">
        <v>37</v>
      </c>
      <c r="O924" s="550">
        <v>3</v>
      </c>
      <c r="P924" s="550">
        <v>61</v>
      </c>
      <c r="Q924" s="550">
        <v>23</v>
      </c>
      <c r="R924" s="551" t="str">
        <f t="shared" si="163"/>
        <v>MARIN COUNTY</v>
      </c>
      <c r="S924" s="552"/>
      <c r="T924" s="552"/>
      <c r="U924" s="552"/>
      <c r="V924" s="552"/>
      <c r="W924" s="552"/>
      <c r="X924" s="552"/>
      <c r="Y924" s="552"/>
      <c r="Z924" s="552"/>
      <c r="AA924" s="553"/>
      <c r="AB924" s="553"/>
    </row>
    <row r="925" spans="1:28" ht="12.75">
      <c r="A925" s="547" t="s">
        <v>440</v>
      </c>
      <c r="B925" s="547" t="s">
        <v>157</v>
      </c>
      <c r="C925" s="548" t="s">
        <v>774</v>
      </c>
      <c r="D925" s="549">
        <v>2016</v>
      </c>
      <c r="E925" s="549" t="s">
        <v>775</v>
      </c>
      <c r="F925" s="550">
        <v>55</v>
      </c>
      <c r="G925" s="550">
        <v>2</v>
      </c>
      <c r="H925" s="550">
        <v>1</v>
      </c>
      <c r="I925" s="550">
        <v>1</v>
      </c>
      <c r="J925" s="550">
        <v>32</v>
      </c>
      <c r="K925" s="550">
        <v>5</v>
      </c>
      <c r="L925" s="550">
        <v>2</v>
      </c>
      <c r="M925" s="550">
        <v>3</v>
      </c>
      <c r="N925" s="550">
        <v>37</v>
      </c>
      <c r="O925" s="550">
        <v>2</v>
      </c>
      <c r="P925" s="550">
        <v>61</v>
      </c>
      <c r="Q925" s="550">
        <v>21</v>
      </c>
      <c r="R925" s="551" t="str">
        <f t="shared" si="163"/>
        <v>MARIN COUNTY</v>
      </c>
      <c r="S925" s="552"/>
      <c r="T925" s="552"/>
      <c r="U925" s="552"/>
      <c r="V925" s="552"/>
      <c r="W925" s="552"/>
      <c r="X925" s="552"/>
      <c r="Y925" s="552"/>
      <c r="Z925" s="552"/>
      <c r="AA925" s="553"/>
      <c r="AB925" s="553"/>
    </row>
    <row r="926" spans="1:28" ht="12.75">
      <c r="A926" s="547" t="s">
        <v>440</v>
      </c>
      <c r="B926" s="547" t="s">
        <v>157</v>
      </c>
      <c r="C926" s="548" t="s">
        <v>774</v>
      </c>
      <c r="D926" s="549">
        <v>2017</v>
      </c>
      <c r="E926" s="549" t="s">
        <v>775</v>
      </c>
      <c r="F926" s="550">
        <v>55</v>
      </c>
      <c r="G926" s="550">
        <v>1</v>
      </c>
      <c r="H926" s="550">
        <v>0</v>
      </c>
      <c r="I926" s="550">
        <v>1</v>
      </c>
      <c r="J926" s="550">
        <v>32</v>
      </c>
      <c r="K926" s="550">
        <v>5</v>
      </c>
      <c r="L926" s="550">
        <v>2</v>
      </c>
      <c r="M926" s="550">
        <v>3</v>
      </c>
      <c r="N926" s="550">
        <v>37</v>
      </c>
      <c r="O926" s="550">
        <v>1</v>
      </c>
      <c r="P926" s="550">
        <v>61</v>
      </c>
      <c r="Q926" s="550">
        <v>26</v>
      </c>
      <c r="R926" s="551" t="str">
        <f t="shared" si="163"/>
        <v>MARIN COUNTY</v>
      </c>
      <c r="S926" s="552"/>
      <c r="T926" s="552"/>
      <c r="U926" s="552"/>
      <c r="V926" s="552"/>
      <c r="W926" s="552"/>
      <c r="X926" s="552"/>
      <c r="Y926" s="552"/>
      <c r="Z926" s="552"/>
      <c r="AA926" s="553"/>
      <c r="AB926" s="553"/>
    </row>
    <row r="927" spans="1:28" ht="12.75">
      <c r="A927" s="547" t="s">
        <v>440</v>
      </c>
      <c r="B927" s="547" t="s">
        <v>157</v>
      </c>
      <c r="C927" s="548" t="s">
        <v>774</v>
      </c>
      <c r="D927" s="549">
        <v>2018</v>
      </c>
      <c r="E927" s="549" t="s">
        <v>775</v>
      </c>
      <c r="F927" s="550">
        <v>55</v>
      </c>
      <c r="G927" s="550">
        <v>8</v>
      </c>
      <c r="H927" s="550">
        <v>1</v>
      </c>
      <c r="I927" s="550">
        <v>7</v>
      </c>
      <c r="J927" s="550">
        <v>32</v>
      </c>
      <c r="K927" s="550">
        <v>0</v>
      </c>
      <c r="L927" s="550">
        <v>0</v>
      </c>
      <c r="M927" s="550">
        <v>0</v>
      </c>
      <c r="N927" s="550">
        <v>37</v>
      </c>
      <c r="O927" s="550">
        <v>3</v>
      </c>
      <c r="P927" s="550">
        <v>61</v>
      </c>
      <c r="Q927" s="550">
        <v>36</v>
      </c>
      <c r="R927" s="551" t="str">
        <f t="shared" si="163"/>
        <v>MARIN COUNTY</v>
      </c>
      <c r="S927" s="552"/>
      <c r="T927" s="552"/>
      <c r="U927" s="552"/>
      <c r="V927" s="552"/>
      <c r="W927" s="552"/>
      <c r="X927" s="552"/>
      <c r="Y927" s="552"/>
      <c r="Z927" s="552"/>
      <c r="AA927" s="553"/>
      <c r="AB927" s="553"/>
    </row>
    <row r="928" spans="1:28" ht="12.75">
      <c r="A928" s="547" t="s">
        <v>440</v>
      </c>
      <c r="B928" s="547" t="s">
        <v>157</v>
      </c>
      <c r="C928" s="548" t="s">
        <v>782</v>
      </c>
      <c r="D928" s="549">
        <v>2019</v>
      </c>
      <c r="E928" s="549" t="s">
        <v>775</v>
      </c>
      <c r="F928" s="550">
        <v>55</v>
      </c>
      <c r="G928" s="550">
        <v>7</v>
      </c>
      <c r="H928" s="550">
        <v>1</v>
      </c>
      <c r="I928" s="550">
        <v>6</v>
      </c>
      <c r="J928" s="550">
        <v>32</v>
      </c>
      <c r="K928" s="550">
        <v>8</v>
      </c>
      <c r="L928" s="550">
        <v>0</v>
      </c>
      <c r="M928" s="550">
        <v>8</v>
      </c>
      <c r="N928" s="550">
        <v>37</v>
      </c>
      <c r="O928" s="550">
        <v>9</v>
      </c>
      <c r="P928" s="550">
        <v>61</v>
      </c>
      <c r="Q928" s="550">
        <v>39</v>
      </c>
      <c r="R928" s="551" t="str">
        <f t="shared" si="163"/>
        <v>MARIN COUNTY</v>
      </c>
      <c r="S928" s="552">
        <f>SUM(G923:G928) +SUM(K923:K928)</f>
        <v>53</v>
      </c>
      <c r="T928" s="552">
        <f>F928+J928</f>
        <v>87</v>
      </c>
      <c r="U928" s="552">
        <f>SUM(O923:O928)</f>
        <v>28</v>
      </c>
      <c r="V928" s="552">
        <f>N928</f>
        <v>37</v>
      </c>
      <c r="W928" s="554">
        <f>SUM(Q923:Q928)</f>
        <v>174</v>
      </c>
      <c r="X928" s="552">
        <f>P928</f>
        <v>61</v>
      </c>
      <c r="Y928" s="552">
        <f>S928+U928+SUM(Q923:Q928)</f>
        <v>255</v>
      </c>
      <c r="Z928" s="552">
        <f>F928+J928+N928+P928</f>
        <v>185</v>
      </c>
      <c r="AA928" s="553"/>
      <c r="AB928" s="553"/>
    </row>
    <row r="929" spans="1:28" ht="12.75">
      <c r="A929" s="547" t="s">
        <v>441</v>
      </c>
      <c r="B929" s="547" t="s">
        <v>157</v>
      </c>
      <c r="C929" s="548" t="s">
        <v>774</v>
      </c>
      <c r="D929" s="549">
        <v>2015</v>
      </c>
      <c r="E929" s="549" t="s">
        <v>775</v>
      </c>
      <c r="F929" s="550">
        <v>41</v>
      </c>
      <c r="G929" s="550">
        <v>6</v>
      </c>
      <c r="H929" s="550">
        <v>0</v>
      </c>
      <c r="I929" s="550">
        <v>6</v>
      </c>
      <c r="J929" s="550">
        <v>24</v>
      </c>
      <c r="K929" s="550">
        <v>8</v>
      </c>
      <c r="L929" s="550">
        <v>0</v>
      </c>
      <c r="M929" s="550">
        <v>8</v>
      </c>
      <c r="N929" s="550">
        <v>26</v>
      </c>
      <c r="O929" s="550">
        <v>3</v>
      </c>
      <c r="P929" s="550">
        <v>38</v>
      </c>
      <c r="Q929" s="550">
        <v>9</v>
      </c>
      <c r="R929" s="574" t="s">
        <v>441</v>
      </c>
      <c r="S929" s="552"/>
      <c r="T929" s="552"/>
      <c r="U929" s="552"/>
      <c r="V929" s="552"/>
      <c r="W929" s="552"/>
      <c r="X929" s="552"/>
      <c r="Y929" s="552"/>
      <c r="Z929" s="552"/>
      <c r="AA929" s="553"/>
      <c r="AB929" s="553"/>
    </row>
    <row r="930" spans="1:28" ht="12.75">
      <c r="A930" s="547" t="s">
        <v>441</v>
      </c>
      <c r="B930" s="547" t="s">
        <v>157</v>
      </c>
      <c r="C930" s="548" t="s">
        <v>774</v>
      </c>
      <c r="D930" s="549">
        <v>2016</v>
      </c>
      <c r="E930" s="549" t="s">
        <v>775</v>
      </c>
      <c r="F930" s="550">
        <v>41</v>
      </c>
      <c r="G930" s="550">
        <v>4</v>
      </c>
      <c r="H930" s="550">
        <v>0</v>
      </c>
      <c r="I930" s="550">
        <v>4</v>
      </c>
      <c r="J930" s="550">
        <v>24</v>
      </c>
      <c r="K930" s="550">
        <v>3</v>
      </c>
      <c r="L930" s="550">
        <v>0</v>
      </c>
      <c r="M930" s="550">
        <v>3</v>
      </c>
      <c r="N930" s="550">
        <v>26</v>
      </c>
      <c r="O930" s="550">
        <v>2</v>
      </c>
      <c r="P930" s="550">
        <v>38</v>
      </c>
      <c r="Q930" s="550">
        <v>2</v>
      </c>
      <c r="R930" s="574" t="s">
        <v>441</v>
      </c>
      <c r="S930" s="552"/>
      <c r="T930" s="552"/>
      <c r="U930" s="552"/>
      <c r="V930" s="552"/>
      <c r="W930" s="552"/>
      <c r="X930" s="552"/>
      <c r="Y930" s="552"/>
      <c r="Z930" s="552"/>
      <c r="AA930" s="553"/>
      <c r="AB930" s="553"/>
    </row>
    <row r="931" spans="1:28" ht="12.75">
      <c r="A931" s="547" t="s">
        <v>441</v>
      </c>
      <c r="B931" s="547" t="s">
        <v>157</v>
      </c>
      <c r="C931" s="548" t="s">
        <v>774</v>
      </c>
      <c r="D931" s="549">
        <v>2017</v>
      </c>
      <c r="E931" s="549" t="s">
        <v>775</v>
      </c>
      <c r="F931" s="550">
        <v>41</v>
      </c>
      <c r="G931" s="550">
        <v>6</v>
      </c>
      <c r="H931" s="550">
        <v>0</v>
      </c>
      <c r="I931" s="550">
        <v>6</v>
      </c>
      <c r="J931" s="550">
        <v>24</v>
      </c>
      <c r="K931" s="550">
        <v>5</v>
      </c>
      <c r="L931" s="550">
        <v>0</v>
      </c>
      <c r="M931" s="550">
        <v>5</v>
      </c>
      <c r="N931" s="550">
        <v>26</v>
      </c>
      <c r="O931" s="550">
        <v>5</v>
      </c>
      <c r="P931" s="550">
        <v>38</v>
      </c>
      <c r="Q931" s="550">
        <v>4</v>
      </c>
      <c r="R931" s="574" t="s">
        <v>441</v>
      </c>
      <c r="S931" s="552"/>
      <c r="T931" s="552"/>
      <c r="U931" s="552"/>
      <c r="V931" s="552"/>
      <c r="W931" s="552"/>
      <c r="X931" s="552"/>
      <c r="Y931" s="552"/>
      <c r="Z931" s="552"/>
      <c r="AA931" s="553"/>
      <c r="AB931" s="553"/>
    </row>
    <row r="932" spans="1:28" ht="12.75">
      <c r="A932" s="547" t="s">
        <v>441</v>
      </c>
      <c r="B932" s="547" t="s">
        <v>157</v>
      </c>
      <c r="C932" s="548" t="s">
        <v>774</v>
      </c>
      <c r="D932" s="549">
        <v>2018</v>
      </c>
      <c r="E932" s="549" t="s">
        <v>775</v>
      </c>
      <c r="F932" s="550">
        <v>41</v>
      </c>
      <c r="G932" s="550">
        <v>5</v>
      </c>
      <c r="H932" s="550">
        <v>0</v>
      </c>
      <c r="I932" s="550">
        <v>5</v>
      </c>
      <c r="J932" s="550">
        <v>24</v>
      </c>
      <c r="K932" s="550">
        <v>3</v>
      </c>
      <c r="L932" s="550">
        <v>0</v>
      </c>
      <c r="M932" s="550">
        <v>3</v>
      </c>
      <c r="N932" s="550">
        <v>26</v>
      </c>
      <c r="O932" s="550">
        <v>3</v>
      </c>
      <c r="P932" s="550">
        <v>38</v>
      </c>
      <c r="Q932" s="550">
        <v>4</v>
      </c>
      <c r="R932" s="574" t="s">
        <v>441</v>
      </c>
      <c r="S932" s="552"/>
      <c r="T932" s="552"/>
      <c r="U932" s="552"/>
      <c r="V932" s="552"/>
      <c r="W932" s="552"/>
      <c r="X932" s="552"/>
      <c r="Y932" s="552"/>
      <c r="Z932" s="552"/>
      <c r="AA932" s="553"/>
      <c r="AB932" s="553"/>
    </row>
    <row r="933" spans="1:28" ht="12.75">
      <c r="A933" s="547" t="s">
        <v>441</v>
      </c>
      <c r="B933" s="547" t="s">
        <v>157</v>
      </c>
      <c r="C933" s="548" t="s">
        <v>782</v>
      </c>
      <c r="D933" s="549">
        <v>2019</v>
      </c>
      <c r="E933" s="549" t="s">
        <v>775</v>
      </c>
      <c r="F933" s="550">
        <v>41</v>
      </c>
      <c r="G933" s="550">
        <v>5</v>
      </c>
      <c r="H933" s="550">
        <v>0</v>
      </c>
      <c r="I933" s="550">
        <v>5</v>
      </c>
      <c r="J933" s="550">
        <v>24</v>
      </c>
      <c r="K933" s="550">
        <v>6</v>
      </c>
      <c r="L933" s="550">
        <v>2</v>
      </c>
      <c r="M933" s="550">
        <v>4</v>
      </c>
      <c r="N933" s="550">
        <v>26</v>
      </c>
      <c r="O933" s="550">
        <v>4</v>
      </c>
      <c r="P933" s="550">
        <v>38</v>
      </c>
      <c r="Q933" s="550">
        <v>11</v>
      </c>
      <c r="R933" s="574" t="s">
        <v>441</v>
      </c>
      <c r="S933" s="255">
        <f>SUM(G929:G933) +SUM(K929:K933)</f>
        <v>51</v>
      </c>
      <c r="T933" s="255">
        <f>F933+J933</f>
        <v>65</v>
      </c>
      <c r="U933" s="255">
        <f>SUM(O929:O933)</f>
        <v>17</v>
      </c>
      <c r="V933" s="255">
        <f>N933</f>
        <v>26</v>
      </c>
      <c r="W933" s="83">
        <f>SUM(Q929:Q933)</f>
        <v>30</v>
      </c>
      <c r="X933" s="255">
        <f>P933</f>
        <v>38</v>
      </c>
      <c r="Y933" s="255">
        <f>S933+U933+SUM(Q929:Q933)</f>
        <v>98</v>
      </c>
      <c r="Z933" s="255">
        <f>F933+J933+N933+P933</f>
        <v>129</v>
      </c>
      <c r="AA933" s="553"/>
      <c r="AB933" s="553"/>
    </row>
    <row r="934" spans="1:28" ht="12.75">
      <c r="A934" s="547" t="s">
        <v>442</v>
      </c>
      <c r="B934" s="547" t="s">
        <v>157</v>
      </c>
      <c r="C934" s="548" t="s">
        <v>774</v>
      </c>
      <c r="D934" s="549">
        <v>2014</v>
      </c>
      <c r="E934" s="549" t="s">
        <v>775</v>
      </c>
      <c r="F934" s="550">
        <v>111</v>
      </c>
      <c r="G934" s="550">
        <v>1</v>
      </c>
      <c r="H934" s="550">
        <v>1</v>
      </c>
      <c r="I934" s="550">
        <v>0</v>
      </c>
      <c r="J934" s="550">
        <v>65</v>
      </c>
      <c r="K934" s="550">
        <v>10</v>
      </c>
      <c r="L934" s="550">
        <v>10</v>
      </c>
      <c r="M934" s="550">
        <v>0</v>
      </c>
      <c r="N934" s="550">
        <v>72</v>
      </c>
      <c r="O934" s="550">
        <v>1</v>
      </c>
      <c r="P934" s="550">
        <v>167</v>
      </c>
      <c r="Q934" s="550">
        <v>19</v>
      </c>
      <c r="R934" s="574" t="s">
        <v>442</v>
      </c>
      <c r="S934" s="552"/>
      <c r="T934" s="552"/>
      <c r="U934" s="552"/>
      <c r="V934" s="552"/>
      <c r="W934" s="552"/>
      <c r="X934" s="552"/>
      <c r="Y934" s="552"/>
      <c r="Z934" s="552"/>
      <c r="AA934" s="553"/>
      <c r="AB934" s="553"/>
    </row>
    <row r="935" spans="1:28" ht="12.75">
      <c r="A935" s="547" t="s">
        <v>442</v>
      </c>
      <c r="B935" s="547" t="s">
        <v>157</v>
      </c>
      <c r="C935" s="548" t="s">
        <v>774</v>
      </c>
      <c r="D935" s="549">
        <v>2015</v>
      </c>
      <c r="E935" s="549" t="s">
        <v>775</v>
      </c>
      <c r="F935" s="550">
        <v>111</v>
      </c>
      <c r="G935" s="550">
        <v>16</v>
      </c>
      <c r="H935" s="550">
        <v>16</v>
      </c>
      <c r="I935" s="550">
        <v>0</v>
      </c>
      <c r="J935" s="550">
        <v>65</v>
      </c>
      <c r="K935" s="550">
        <v>0</v>
      </c>
      <c r="L935" s="550">
        <v>0</v>
      </c>
      <c r="M935" s="550">
        <v>0</v>
      </c>
      <c r="N935" s="550">
        <v>72</v>
      </c>
      <c r="O935" s="550">
        <v>1</v>
      </c>
      <c r="P935" s="550">
        <v>167</v>
      </c>
      <c r="Q935" s="550">
        <v>15</v>
      </c>
      <c r="R935" s="574" t="s">
        <v>442</v>
      </c>
      <c r="S935" s="552"/>
      <c r="T935" s="552"/>
      <c r="U935" s="552"/>
      <c r="V935" s="552"/>
      <c r="W935" s="552"/>
      <c r="X935" s="552"/>
      <c r="Y935" s="552"/>
      <c r="Z935" s="552"/>
      <c r="AA935" s="553"/>
      <c r="AB935" s="553"/>
    </row>
    <row r="936" spans="1:28" ht="12.75">
      <c r="A936" s="547" t="s">
        <v>442</v>
      </c>
      <c r="B936" s="547" t="s">
        <v>157</v>
      </c>
      <c r="C936" s="548" t="s">
        <v>774</v>
      </c>
      <c r="D936" s="549">
        <v>2016</v>
      </c>
      <c r="E936" s="549" t="s">
        <v>775</v>
      </c>
      <c r="F936" s="550">
        <v>111</v>
      </c>
      <c r="G936" s="550">
        <v>1</v>
      </c>
      <c r="H936" s="550">
        <v>1</v>
      </c>
      <c r="I936" s="550">
        <v>0</v>
      </c>
      <c r="J936" s="550">
        <v>65</v>
      </c>
      <c r="K936" s="550">
        <v>2</v>
      </c>
      <c r="L936" s="550">
        <v>2</v>
      </c>
      <c r="M936" s="550">
        <v>0</v>
      </c>
      <c r="N936" s="550">
        <v>72</v>
      </c>
      <c r="O936" s="550">
        <v>0</v>
      </c>
      <c r="P936" s="550">
        <v>167</v>
      </c>
      <c r="Q936" s="550">
        <v>5</v>
      </c>
      <c r="R936" s="574" t="s">
        <v>442</v>
      </c>
      <c r="S936" s="552"/>
      <c r="T936" s="552"/>
      <c r="U936" s="552"/>
      <c r="V936" s="552"/>
      <c r="W936" s="552"/>
      <c r="X936" s="552"/>
      <c r="Y936" s="552"/>
      <c r="Z936" s="552"/>
      <c r="AA936" s="553"/>
      <c r="AB936" s="553"/>
    </row>
    <row r="937" spans="1:28" ht="12.75">
      <c r="A937" s="547" t="s">
        <v>442</v>
      </c>
      <c r="B937" s="547" t="s">
        <v>157</v>
      </c>
      <c r="C937" s="548" t="s">
        <v>774</v>
      </c>
      <c r="D937" s="549">
        <v>2017</v>
      </c>
      <c r="E937" s="549" t="s">
        <v>775</v>
      </c>
      <c r="F937" s="550">
        <v>111</v>
      </c>
      <c r="G937" s="550">
        <v>2</v>
      </c>
      <c r="H937" s="550">
        <v>0</v>
      </c>
      <c r="I937" s="550">
        <v>2</v>
      </c>
      <c r="J937" s="550">
        <v>65</v>
      </c>
      <c r="K937" s="550">
        <v>1</v>
      </c>
      <c r="L937" s="550">
        <v>0</v>
      </c>
      <c r="M937" s="550">
        <v>1</v>
      </c>
      <c r="N937" s="550">
        <v>72</v>
      </c>
      <c r="O937" s="550">
        <v>0</v>
      </c>
      <c r="P937" s="550">
        <v>167</v>
      </c>
      <c r="Q937" s="550">
        <v>6</v>
      </c>
      <c r="R937" s="574" t="s">
        <v>442</v>
      </c>
      <c r="S937" s="552"/>
      <c r="T937" s="552"/>
      <c r="U937" s="552"/>
      <c r="V937" s="552"/>
      <c r="W937" s="552"/>
      <c r="X937" s="552"/>
      <c r="Y937" s="552"/>
      <c r="Z937" s="552"/>
      <c r="AA937" s="553"/>
      <c r="AB937" s="553"/>
    </row>
    <row r="938" spans="1:28" ht="12.75">
      <c r="A938" s="547" t="s">
        <v>442</v>
      </c>
      <c r="B938" s="547" t="s">
        <v>157</v>
      </c>
      <c r="C938" s="548" t="s">
        <v>774</v>
      </c>
      <c r="D938" s="549">
        <v>2018</v>
      </c>
      <c r="E938" s="549" t="s">
        <v>775</v>
      </c>
      <c r="F938" s="550">
        <v>111</v>
      </c>
      <c r="G938" s="550">
        <v>9</v>
      </c>
      <c r="H938" s="550">
        <v>5</v>
      </c>
      <c r="I938" s="550">
        <v>4</v>
      </c>
      <c r="J938" s="550">
        <v>65</v>
      </c>
      <c r="K938" s="550">
        <v>6</v>
      </c>
      <c r="L938" s="550">
        <v>4</v>
      </c>
      <c r="M938" s="550">
        <v>2</v>
      </c>
      <c r="N938" s="550">
        <v>72</v>
      </c>
      <c r="O938" s="550">
        <v>39</v>
      </c>
      <c r="P938" s="550">
        <v>167</v>
      </c>
      <c r="Q938" s="550">
        <v>8</v>
      </c>
      <c r="R938" s="574" t="s">
        <v>442</v>
      </c>
      <c r="S938" s="552"/>
      <c r="T938" s="552"/>
      <c r="U938" s="552"/>
      <c r="V938" s="552"/>
      <c r="W938" s="554"/>
      <c r="X938" s="552"/>
      <c r="Y938" s="552"/>
      <c r="Z938" s="552"/>
      <c r="AA938" s="553"/>
      <c r="AB938" s="553"/>
    </row>
    <row r="939" spans="1:28" ht="12.75">
      <c r="A939" s="547" t="s">
        <v>442</v>
      </c>
      <c r="B939" s="547" t="s">
        <v>157</v>
      </c>
      <c r="C939" s="548" t="s">
        <v>782</v>
      </c>
      <c r="D939" s="549">
        <v>2019</v>
      </c>
      <c r="E939" s="549" t="s">
        <v>775</v>
      </c>
      <c r="F939" s="550">
        <v>111</v>
      </c>
      <c r="G939" s="550">
        <v>12</v>
      </c>
      <c r="H939" s="550">
        <v>3</v>
      </c>
      <c r="I939" s="550">
        <v>9</v>
      </c>
      <c r="J939" s="550">
        <v>65</v>
      </c>
      <c r="K939" s="550">
        <v>4</v>
      </c>
      <c r="L939" s="550">
        <v>3</v>
      </c>
      <c r="M939" s="550">
        <v>1</v>
      </c>
      <c r="N939" s="550">
        <v>72</v>
      </c>
      <c r="O939" s="550">
        <v>5</v>
      </c>
      <c r="P939" s="550">
        <v>167</v>
      </c>
      <c r="Q939" s="550">
        <v>103</v>
      </c>
      <c r="R939" s="574" t="s">
        <v>442</v>
      </c>
      <c r="S939" s="552">
        <f>SUM(G934:G939) +SUM(K934:K939)</f>
        <v>64</v>
      </c>
      <c r="T939" s="552">
        <f>F939+J939</f>
        <v>176</v>
      </c>
      <c r="U939" s="552">
        <f>SUM(O934:O939)</f>
        <v>46</v>
      </c>
      <c r="V939" s="552">
        <f>N939</f>
        <v>72</v>
      </c>
      <c r="W939" s="554">
        <f>SUM(Q934:Q939)</f>
        <v>156</v>
      </c>
      <c r="X939" s="552">
        <f>P939</f>
        <v>167</v>
      </c>
      <c r="Y939" s="552">
        <f>S939+U939+SUM(Q934:Q939)</f>
        <v>266</v>
      </c>
      <c r="Z939" s="552">
        <f>F939+J939+N939+P939</f>
        <v>415</v>
      </c>
      <c r="AA939" s="553"/>
      <c r="AB939" s="553"/>
    </row>
    <row r="940" spans="1:28" ht="12.75">
      <c r="A940" s="547" t="s">
        <v>443</v>
      </c>
      <c r="B940" s="547" t="s">
        <v>157</v>
      </c>
      <c r="C940" s="548" t="s">
        <v>774</v>
      </c>
      <c r="D940" s="549">
        <v>2015</v>
      </c>
      <c r="E940" s="549" t="s">
        <v>775</v>
      </c>
      <c r="F940" s="550">
        <v>6</v>
      </c>
      <c r="G940" s="550">
        <v>1</v>
      </c>
      <c r="H940" s="550">
        <v>1</v>
      </c>
      <c r="I940" s="550">
        <v>0</v>
      </c>
      <c r="J940" s="550">
        <v>4</v>
      </c>
      <c r="K940" s="550">
        <v>0</v>
      </c>
      <c r="L940" s="550">
        <v>0</v>
      </c>
      <c r="M940" s="550">
        <v>0</v>
      </c>
      <c r="N940" s="550">
        <v>4</v>
      </c>
      <c r="O940" s="550">
        <v>1</v>
      </c>
      <c r="P940" s="550">
        <v>4</v>
      </c>
      <c r="Q940" s="550">
        <v>0</v>
      </c>
      <c r="R940" s="574" t="s">
        <v>443</v>
      </c>
      <c r="S940" s="552"/>
      <c r="T940" s="552"/>
      <c r="U940" s="552"/>
      <c r="V940" s="552"/>
      <c r="W940" s="552"/>
      <c r="X940" s="552"/>
      <c r="Y940" s="552"/>
      <c r="Z940" s="552"/>
      <c r="AA940" s="553"/>
      <c r="AB940" s="553"/>
    </row>
    <row r="941" spans="1:28" ht="12.75">
      <c r="A941" s="547" t="s">
        <v>443</v>
      </c>
      <c r="B941" s="547" t="s">
        <v>157</v>
      </c>
      <c r="C941" s="548" t="s">
        <v>774</v>
      </c>
      <c r="D941" s="549">
        <v>2016</v>
      </c>
      <c r="E941" s="549" t="s">
        <v>775</v>
      </c>
      <c r="F941" s="550">
        <v>6</v>
      </c>
      <c r="G941" s="550">
        <v>1</v>
      </c>
      <c r="H941" s="550">
        <v>1</v>
      </c>
      <c r="I941" s="550">
        <v>0</v>
      </c>
      <c r="J941" s="550">
        <v>4</v>
      </c>
      <c r="K941" s="550">
        <v>0</v>
      </c>
      <c r="L941" s="550">
        <v>0</v>
      </c>
      <c r="M941" s="550">
        <v>0</v>
      </c>
      <c r="N941" s="550">
        <v>4</v>
      </c>
      <c r="O941" s="550">
        <v>0</v>
      </c>
      <c r="P941" s="550">
        <v>4</v>
      </c>
      <c r="Q941" s="550">
        <v>1</v>
      </c>
      <c r="R941" s="574" t="s">
        <v>443</v>
      </c>
      <c r="S941" s="552"/>
      <c r="T941" s="552"/>
      <c r="U941" s="552"/>
      <c r="V941" s="552"/>
      <c r="W941" s="552"/>
      <c r="X941" s="552"/>
      <c r="Y941" s="552"/>
      <c r="Z941" s="552"/>
      <c r="AA941" s="553"/>
      <c r="AB941" s="553"/>
    </row>
    <row r="942" spans="1:28" ht="12.75">
      <c r="A942" s="547" t="s">
        <v>443</v>
      </c>
      <c r="B942" s="547" t="s">
        <v>157</v>
      </c>
      <c r="C942" s="548" t="s">
        <v>774</v>
      </c>
      <c r="D942" s="549">
        <v>2017</v>
      </c>
      <c r="E942" s="549" t="s">
        <v>775</v>
      </c>
      <c r="F942" s="550">
        <v>6</v>
      </c>
      <c r="G942" s="550">
        <v>0</v>
      </c>
      <c r="H942" s="550">
        <v>0</v>
      </c>
      <c r="I942" s="550">
        <v>0</v>
      </c>
      <c r="J942" s="550">
        <v>4</v>
      </c>
      <c r="K942" s="550">
        <v>0</v>
      </c>
      <c r="L942" s="550">
        <v>0</v>
      </c>
      <c r="M942" s="550">
        <v>0</v>
      </c>
      <c r="N942" s="550">
        <v>4</v>
      </c>
      <c r="O942" s="550">
        <v>1</v>
      </c>
      <c r="P942" s="550">
        <v>4</v>
      </c>
      <c r="Q942" s="550">
        <v>0</v>
      </c>
      <c r="R942" s="574" t="s">
        <v>443</v>
      </c>
      <c r="S942" s="552"/>
      <c r="T942" s="552"/>
      <c r="U942" s="552"/>
      <c r="V942" s="552"/>
      <c r="W942" s="552"/>
      <c r="X942" s="552"/>
      <c r="Y942" s="552"/>
      <c r="Z942" s="552"/>
      <c r="AA942" s="553"/>
      <c r="AB942" s="553"/>
    </row>
    <row r="943" spans="1:28" ht="12.75">
      <c r="A943" s="547" t="s">
        <v>443</v>
      </c>
      <c r="B943" s="547" t="s">
        <v>157</v>
      </c>
      <c r="C943" s="548" t="s">
        <v>774</v>
      </c>
      <c r="D943" s="549">
        <v>2018</v>
      </c>
      <c r="E943" s="549" t="s">
        <v>775</v>
      </c>
      <c r="F943" s="550">
        <v>6</v>
      </c>
      <c r="G943" s="550">
        <v>0</v>
      </c>
      <c r="H943" s="550">
        <v>0</v>
      </c>
      <c r="I943" s="550">
        <v>0</v>
      </c>
      <c r="J943" s="550">
        <v>4</v>
      </c>
      <c r="K943" s="550">
        <v>0</v>
      </c>
      <c r="L943" s="550">
        <v>0</v>
      </c>
      <c r="M943" s="550">
        <v>0</v>
      </c>
      <c r="N943" s="550">
        <v>4</v>
      </c>
      <c r="O943" s="550">
        <v>1</v>
      </c>
      <c r="P943" s="550">
        <v>4</v>
      </c>
      <c r="Q943" s="550">
        <v>0</v>
      </c>
      <c r="R943" s="574" t="s">
        <v>443</v>
      </c>
      <c r="S943" s="552"/>
      <c r="T943" s="552"/>
      <c r="U943" s="552"/>
      <c r="V943" s="552"/>
      <c r="W943" s="552"/>
      <c r="X943" s="552"/>
      <c r="Y943" s="552"/>
      <c r="Z943" s="552"/>
      <c r="AA943" s="553"/>
      <c r="AB943" s="553"/>
    </row>
    <row r="944" spans="1:28" ht="12.75">
      <c r="A944" s="547" t="s">
        <v>443</v>
      </c>
      <c r="B944" s="547" t="s">
        <v>157</v>
      </c>
      <c r="C944" s="548" t="s">
        <v>782</v>
      </c>
      <c r="D944" s="549">
        <v>2019</v>
      </c>
      <c r="E944" s="549" t="s">
        <v>775</v>
      </c>
      <c r="F944" s="550">
        <v>6</v>
      </c>
      <c r="G944" s="550">
        <v>1</v>
      </c>
      <c r="H944" s="550">
        <v>1</v>
      </c>
      <c r="I944" s="550">
        <v>0</v>
      </c>
      <c r="J944" s="550">
        <v>4</v>
      </c>
      <c r="K944" s="550">
        <v>2</v>
      </c>
      <c r="L944" s="550">
        <v>0</v>
      </c>
      <c r="M944" s="550">
        <v>2</v>
      </c>
      <c r="N944" s="550">
        <v>4</v>
      </c>
      <c r="O944" s="550">
        <v>2</v>
      </c>
      <c r="P944" s="550">
        <v>4</v>
      </c>
      <c r="Q944" s="550">
        <v>0</v>
      </c>
      <c r="R944" s="574" t="s">
        <v>443</v>
      </c>
      <c r="S944" s="255">
        <f>SUM(G940:G944) +SUM(K940:K944)</f>
        <v>5</v>
      </c>
      <c r="T944" s="255">
        <f>F944+J944</f>
        <v>10</v>
      </c>
      <c r="U944" s="255">
        <f>SUM(O940:O944)</f>
        <v>5</v>
      </c>
      <c r="V944" s="255">
        <f>N944</f>
        <v>4</v>
      </c>
      <c r="W944" s="83">
        <f>SUM(Q940:Q944)</f>
        <v>1</v>
      </c>
      <c r="X944" s="255">
        <f>P944</f>
        <v>4</v>
      </c>
      <c r="Y944" s="255">
        <f>S944+U944+SUM(Q940:Q944)</f>
        <v>11</v>
      </c>
      <c r="Z944" s="255">
        <f>F944+J944+N944+P944</f>
        <v>18</v>
      </c>
      <c r="AA944" s="553"/>
      <c r="AB944" s="553"/>
    </row>
    <row r="945" spans="1:28" ht="12.75">
      <c r="A945" s="547" t="s">
        <v>444</v>
      </c>
      <c r="B945" s="547" t="s">
        <v>157</v>
      </c>
      <c r="C945" s="548" t="s">
        <v>774</v>
      </c>
      <c r="D945" s="549">
        <v>2014</v>
      </c>
      <c r="E945" s="549" t="s">
        <v>775</v>
      </c>
      <c r="F945" s="550">
        <v>33</v>
      </c>
      <c r="G945" s="550">
        <v>9</v>
      </c>
      <c r="H945" s="550">
        <v>9</v>
      </c>
      <c r="I945" s="550">
        <v>0</v>
      </c>
      <c r="J945" s="550">
        <v>17</v>
      </c>
      <c r="K945" s="550">
        <v>16</v>
      </c>
      <c r="L945" s="550">
        <v>16</v>
      </c>
      <c r="M945" s="550">
        <v>0</v>
      </c>
      <c r="N945" s="550">
        <v>19</v>
      </c>
      <c r="O945" s="550">
        <v>2</v>
      </c>
      <c r="P945" s="550">
        <v>37</v>
      </c>
      <c r="Q945" s="550">
        <v>1</v>
      </c>
      <c r="R945" s="574" t="s">
        <v>444</v>
      </c>
      <c r="S945" s="552"/>
      <c r="T945" s="552"/>
      <c r="U945" s="552"/>
      <c r="V945" s="552"/>
      <c r="W945" s="552"/>
      <c r="X945" s="552"/>
      <c r="Y945" s="552"/>
      <c r="Z945" s="552"/>
      <c r="AA945" s="553"/>
      <c r="AB945" s="553"/>
    </row>
    <row r="946" spans="1:28" ht="12.75">
      <c r="A946" s="547" t="s">
        <v>444</v>
      </c>
      <c r="B946" s="547" t="s">
        <v>157</v>
      </c>
      <c r="C946" s="548" t="s">
        <v>774</v>
      </c>
      <c r="D946" s="549">
        <v>2015</v>
      </c>
      <c r="E946" s="549" t="s">
        <v>775</v>
      </c>
      <c r="F946" s="550">
        <v>33</v>
      </c>
      <c r="G946" s="550">
        <v>2</v>
      </c>
      <c r="H946" s="550">
        <v>0</v>
      </c>
      <c r="I946" s="550">
        <v>2</v>
      </c>
      <c r="J946" s="550">
        <v>17</v>
      </c>
      <c r="K946" s="550">
        <v>0</v>
      </c>
      <c r="L946" s="550">
        <v>0</v>
      </c>
      <c r="M946" s="550">
        <v>0</v>
      </c>
      <c r="N946" s="550">
        <v>19</v>
      </c>
      <c r="O946" s="550">
        <v>2</v>
      </c>
      <c r="P946" s="550">
        <v>37</v>
      </c>
      <c r="Q946" s="550">
        <v>1</v>
      </c>
      <c r="R946" s="574" t="s">
        <v>444</v>
      </c>
      <c r="S946" s="552"/>
      <c r="T946" s="552"/>
      <c r="U946" s="552"/>
      <c r="V946" s="552"/>
      <c r="W946" s="552"/>
      <c r="X946" s="552"/>
      <c r="Y946" s="552"/>
      <c r="Z946" s="552"/>
      <c r="AA946" s="553"/>
      <c r="AB946" s="553"/>
    </row>
    <row r="947" spans="1:28" ht="12.75">
      <c r="A947" s="547" t="s">
        <v>444</v>
      </c>
      <c r="B947" s="547" t="s">
        <v>157</v>
      </c>
      <c r="C947" s="548" t="s">
        <v>774</v>
      </c>
      <c r="D947" s="549">
        <v>2016</v>
      </c>
      <c r="E947" s="549" t="s">
        <v>775</v>
      </c>
      <c r="F947" s="550">
        <v>33</v>
      </c>
      <c r="G947" s="550">
        <v>1</v>
      </c>
      <c r="H947" s="550">
        <v>1</v>
      </c>
      <c r="I947" s="550">
        <v>0</v>
      </c>
      <c r="J947" s="550">
        <v>17</v>
      </c>
      <c r="K947" s="550">
        <v>0</v>
      </c>
      <c r="L947" s="550">
        <v>0</v>
      </c>
      <c r="M947" s="550">
        <v>0</v>
      </c>
      <c r="N947" s="550">
        <v>19</v>
      </c>
      <c r="O947" s="550">
        <v>1</v>
      </c>
      <c r="P947" s="550">
        <v>37</v>
      </c>
      <c r="Q947" s="550">
        <v>4</v>
      </c>
      <c r="R947" s="574" t="s">
        <v>444</v>
      </c>
      <c r="S947" s="552"/>
      <c r="T947" s="552"/>
      <c r="U947" s="552"/>
      <c r="V947" s="552"/>
      <c r="W947" s="552"/>
      <c r="X947" s="552"/>
      <c r="Y947" s="552"/>
      <c r="Z947" s="552"/>
      <c r="AA947" s="553"/>
      <c r="AB947" s="553"/>
    </row>
    <row r="948" spans="1:28" ht="12.75">
      <c r="A948" s="547" t="s">
        <v>444</v>
      </c>
      <c r="B948" s="547" t="s">
        <v>157</v>
      </c>
      <c r="C948" s="548" t="s">
        <v>774</v>
      </c>
      <c r="D948" s="549">
        <v>2017</v>
      </c>
      <c r="E948" s="549" t="s">
        <v>775</v>
      </c>
      <c r="F948" s="550">
        <v>33</v>
      </c>
      <c r="G948" s="550">
        <v>1</v>
      </c>
      <c r="H948" s="550">
        <v>0</v>
      </c>
      <c r="I948" s="550">
        <v>1</v>
      </c>
      <c r="J948" s="550">
        <v>17</v>
      </c>
      <c r="K948" s="550">
        <v>2</v>
      </c>
      <c r="L948" s="550">
        <v>2</v>
      </c>
      <c r="M948" s="550">
        <v>0</v>
      </c>
      <c r="N948" s="550">
        <v>19</v>
      </c>
      <c r="O948" s="550">
        <v>4</v>
      </c>
      <c r="P948" s="550">
        <v>37</v>
      </c>
      <c r="Q948" s="550">
        <v>5</v>
      </c>
      <c r="R948" s="574" t="s">
        <v>444</v>
      </c>
      <c r="S948" s="552"/>
      <c r="T948" s="552"/>
      <c r="U948" s="552"/>
      <c r="V948" s="552"/>
      <c r="W948" s="552"/>
      <c r="X948" s="552"/>
      <c r="Y948" s="552"/>
      <c r="Z948" s="552"/>
      <c r="AA948" s="553"/>
      <c r="AB948" s="553"/>
    </row>
    <row r="949" spans="1:28" ht="12.75">
      <c r="A949" s="547" t="s">
        <v>444</v>
      </c>
      <c r="B949" s="547" t="s">
        <v>157</v>
      </c>
      <c r="C949" s="548" t="s">
        <v>774</v>
      </c>
      <c r="D949" s="549">
        <v>2018</v>
      </c>
      <c r="E949" s="549" t="s">
        <v>775</v>
      </c>
      <c r="F949" s="550">
        <v>33</v>
      </c>
      <c r="G949" s="550">
        <v>2</v>
      </c>
      <c r="H949" s="550">
        <v>2</v>
      </c>
      <c r="I949" s="550">
        <v>0</v>
      </c>
      <c r="J949" s="550">
        <v>17</v>
      </c>
      <c r="K949" s="550">
        <v>3</v>
      </c>
      <c r="L949" s="550">
        <v>2</v>
      </c>
      <c r="M949" s="550">
        <v>1</v>
      </c>
      <c r="N949" s="550">
        <v>19</v>
      </c>
      <c r="O949" s="550">
        <v>7</v>
      </c>
      <c r="P949" s="550">
        <v>37</v>
      </c>
      <c r="Q949" s="550">
        <v>25</v>
      </c>
      <c r="R949" s="574" t="s">
        <v>444</v>
      </c>
      <c r="S949" s="552"/>
      <c r="T949" s="552"/>
      <c r="U949" s="552"/>
      <c r="V949" s="552"/>
      <c r="W949" s="552"/>
      <c r="X949" s="552"/>
      <c r="Y949" s="552"/>
      <c r="Z949" s="552"/>
      <c r="AA949" s="553"/>
      <c r="AB949" s="553"/>
    </row>
    <row r="950" spans="1:28" ht="12.75">
      <c r="A950" s="547" t="s">
        <v>444</v>
      </c>
      <c r="B950" s="547" t="s">
        <v>157</v>
      </c>
      <c r="C950" s="548" t="s">
        <v>782</v>
      </c>
      <c r="D950" s="549">
        <v>2019</v>
      </c>
      <c r="E950" s="549" t="s">
        <v>775</v>
      </c>
      <c r="F950" s="550">
        <v>33</v>
      </c>
      <c r="G950" s="550">
        <v>0</v>
      </c>
      <c r="H950" s="550">
        <v>0</v>
      </c>
      <c r="I950" s="550">
        <v>0</v>
      </c>
      <c r="J950" s="550">
        <v>17</v>
      </c>
      <c r="K950" s="550">
        <v>0</v>
      </c>
      <c r="L950" s="550">
        <v>0</v>
      </c>
      <c r="M950" s="550">
        <v>0</v>
      </c>
      <c r="N950" s="550">
        <v>19</v>
      </c>
      <c r="O950" s="550">
        <v>7</v>
      </c>
      <c r="P950" s="550">
        <v>37</v>
      </c>
      <c r="Q950" s="550">
        <v>3</v>
      </c>
      <c r="R950" s="574" t="s">
        <v>444</v>
      </c>
      <c r="S950" s="552">
        <f>SUM(G945:G950) +SUM(K945:K950)</f>
        <v>36</v>
      </c>
      <c r="T950" s="552">
        <f>F950+J950</f>
        <v>50</v>
      </c>
      <c r="U950" s="552">
        <f>SUM(O945:O950)</f>
        <v>23</v>
      </c>
      <c r="V950" s="552">
        <f>N950</f>
        <v>19</v>
      </c>
      <c r="W950" s="554">
        <f>SUM(Q945:Q950)</f>
        <v>39</v>
      </c>
      <c r="X950" s="552">
        <f>P950</f>
        <v>37</v>
      </c>
      <c r="Y950" s="552">
        <f>S950+U950+SUM(Q945:Q950)</f>
        <v>98</v>
      </c>
      <c r="Z950" s="552">
        <f>F950+J950+N950+P950</f>
        <v>106</v>
      </c>
      <c r="AA950" s="553"/>
      <c r="AB950" s="553"/>
    </row>
    <row r="951" spans="1:28" ht="12.75">
      <c r="A951" s="547" t="s">
        <v>445</v>
      </c>
      <c r="B951" s="547" t="s">
        <v>157</v>
      </c>
      <c r="C951" s="548" t="s">
        <v>774</v>
      </c>
      <c r="D951" s="549">
        <v>2014</v>
      </c>
      <c r="E951" s="549" t="s">
        <v>775</v>
      </c>
      <c r="F951" s="550">
        <v>240</v>
      </c>
      <c r="G951" s="550">
        <v>1</v>
      </c>
      <c r="H951" s="550">
        <v>1</v>
      </c>
      <c r="I951" s="550">
        <v>0</v>
      </c>
      <c r="J951" s="550">
        <v>148</v>
      </c>
      <c r="K951" s="550">
        <v>1</v>
      </c>
      <c r="L951" s="550">
        <v>1</v>
      </c>
      <c r="M951" s="550">
        <v>0</v>
      </c>
      <c r="N951" s="550">
        <v>181</v>
      </c>
      <c r="O951" s="550">
        <v>0</v>
      </c>
      <c r="P951" s="550">
        <v>438</v>
      </c>
      <c r="Q951" s="550">
        <v>16</v>
      </c>
      <c r="R951" s="574" t="s">
        <v>445</v>
      </c>
      <c r="S951" s="552"/>
      <c r="T951" s="552"/>
      <c r="U951" s="552"/>
      <c r="V951" s="552"/>
      <c r="W951" s="552"/>
      <c r="X951" s="552"/>
      <c r="Y951" s="552"/>
      <c r="Z951" s="552"/>
      <c r="AA951" s="553"/>
      <c r="AB951" s="553"/>
    </row>
    <row r="952" spans="1:28" ht="12.75">
      <c r="A952" s="547" t="s">
        <v>445</v>
      </c>
      <c r="B952" s="547" t="s">
        <v>157</v>
      </c>
      <c r="C952" s="548" t="s">
        <v>774</v>
      </c>
      <c r="D952" s="549">
        <v>2015</v>
      </c>
      <c r="E952" s="549" t="s">
        <v>775</v>
      </c>
      <c r="F952" s="550">
        <v>240</v>
      </c>
      <c r="G952" s="550">
        <v>2</v>
      </c>
      <c r="H952" s="550">
        <v>2</v>
      </c>
      <c r="I952" s="550">
        <v>0</v>
      </c>
      <c r="J952" s="550">
        <v>148</v>
      </c>
      <c r="K952" s="550">
        <v>14</v>
      </c>
      <c r="L952" s="550">
        <v>10</v>
      </c>
      <c r="M952" s="550">
        <v>4</v>
      </c>
      <c r="N952" s="550">
        <v>181</v>
      </c>
      <c r="O952" s="550">
        <v>10</v>
      </c>
      <c r="P952" s="550">
        <v>438</v>
      </c>
      <c r="Q952" s="550">
        <v>94</v>
      </c>
      <c r="R952" s="574" t="s">
        <v>445</v>
      </c>
      <c r="S952" s="552"/>
      <c r="T952" s="552"/>
      <c r="U952" s="552"/>
      <c r="V952" s="552"/>
      <c r="W952" s="552"/>
      <c r="X952" s="552"/>
      <c r="Y952" s="552"/>
      <c r="Z952" s="552"/>
      <c r="AA952" s="553"/>
      <c r="AB952" s="553"/>
    </row>
    <row r="953" spans="1:28" ht="12.75">
      <c r="A953" s="547" t="s">
        <v>445</v>
      </c>
      <c r="B953" s="547" t="s">
        <v>157</v>
      </c>
      <c r="C953" s="548" t="s">
        <v>774</v>
      </c>
      <c r="D953" s="549">
        <v>2016</v>
      </c>
      <c r="E953" s="549" t="s">
        <v>775</v>
      </c>
      <c r="F953" s="550">
        <v>240</v>
      </c>
      <c r="G953" s="550">
        <v>0</v>
      </c>
      <c r="H953" s="550">
        <v>0</v>
      </c>
      <c r="I953" s="550">
        <v>0</v>
      </c>
      <c r="J953" s="550">
        <v>148</v>
      </c>
      <c r="K953" s="550">
        <v>5</v>
      </c>
      <c r="L953" s="550">
        <v>5</v>
      </c>
      <c r="M953" s="550">
        <v>0</v>
      </c>
      <c r="N953" s="550">
        <v>181</v>
      </c>
      <c r="O953" s="550">
        <v>0</v>
      </c>
      <c r="P953" s="550">
        <v>438</v>
      </c>
      <c r="Q953" s="550">
        <v>21</v>
      </c>
      <c r="R953" s="574" t="s">
        <v>445</v>
      </c>
      <c r="S953" s="552"/>
      <c r="T953" s="552"/>
      <c r="U953" s="552"/>
      <c r="V953" s="552"/>
      <c r="W953" s="552"/>
      <c r="X953" s="552"/>
      <c r="Y953" s="552"/>
      <c r="Z953" s="552"/>
      <c r="AA953" s="553"/>
      <c r="AB953" s="553"/>
    </row>
    <row r="954" spans="1:28" ht="12.75">
      <c r="A954" s="547" t="s">
        <v>445</v>
      </c>
      <c r="B954" s="547" t="s">
        <v>157</v>
      </c>
      <c r="C954" s="548" t="s">
        <v>774</v>
      </c>
      <c r="D954" s="549">
        <v>2017</v>
      </c>
      <c r="E954" s="549" t="s">
        <v>775</v>
      </c>
      <c r="F954" s="550">
        <v>240</v>
      </c>
      <c r="G954" s="550">
        <v>0</v>
      </c>
      <c r="H954" s="550">
        <v>0</v>
      </c>
      <c r="I954" s="550">
        <v>0</v>
      </c>
      <c r="J954" s="550">
        <v>148</v>
      </c>
      <c r="K954" s="550">
        <v>7</v>
      </c>
      <c r="L954" s="550">
        <v>0</v>
      </c>
      <c r="M954" s="550">
        <v>7</v>
      </c>
      <c r="N954" s="550">
        <v>181</v>
      </c>
      <c r="O954" s="550">
        <v>0</v>
      </c>
      <c r="P954" s="550">
        <v>438</v>
      </c>
      <c r="Q954" s="550">
        <v>20</v>
      </c>
      <c r="R954" s="574" t="s">
        <v>445</v>
      </c>
      <c r="S954" s="552"/>
      <c r="T954" s="552"/>
      <c r="U954" s="552"/>
      <c r="V954" s="552"/>
      <c r="W954" s="552"/>
      <c r="X954" s="552"/>
      <c r="Y954" s="552"/>
      <c r="Z954" s="552"/>
      <c r="AA954" s="553"/>
      <c r="AB954" s="553"/>
    </row>
    <row r="955" spans="1:28" ht="12.75">
      <c r="A955" s="547" t="s">
        <v>445</v>
      </c>
      <c r="B955" s="547" t="s">
        <v>157</v>
      </c>
      <c r="C955" s="548" t="s">
        <v>774</v>
      </c>
      <c r="D955" s="549">
        <v>2018</v>
      </c>
      <c r="E955" s="549" t="s">
        <v>775</v>
      </c>
      <c r="F955" s="550">
        <v>240</v>
      </c>
      <c r="G955" s="550">
        <v>1</v>
      </c>
      <c r="H955" s="550">
        <v>1</v>
      </c>
      <c r="I955" s="550">
        <v>0</v>
      </c>
      <c r="J955" s="550">
        <v>148</v>
      </c>
      <c r="K955" s="550">
        <v>23</v>
      </c>
      <c r="L955" s="550">
        <v>1</v>
      </c>
      <c r="M955" s="550">
        <v>22</v>
      </c>
      <c r="N955" s="550">
        <v>181</v>
      </c>
      <c r="O955" s="550">
        <v>1</v>
      </c>
      <c r="P955" s="550">
        <v>438</v>
      </c>
      <c r="Q955" s="550">
        <v>14</v>
      </c>
      <c r="R955" s="574" t="s">
        <v>445</v>
      </c>
      <c r="S955" s="552"/>
      <c r="T955" s="552"/>
      <c r="U955" s="552"/>
      <c r="V955" s="552"/>
      <c r="W955" s="552"/>
      <c r="X955" s="552"/>
      <c r="Y955" s="552"/>
      <c r="Z955" s="552"/>
      <c r="AA955" s="553"/>
      <c r="AB955" s="553"/>
    </row>
    <row r="956" spans="1:28" ht="12.75">
      <c r="A956" s="547" t="s">
        <v>445</v>
      </c>
      <c r="B956" s="547" t="s">
        <v>157</v>
      </c>
      <c r="C956" s="548" t="s">
        <v>774</v>
      </c>
      <c r="D956" s="549">
        <v>2018</v>
      </c>
      <c r="E956" s="549" t="s">
        <v>775</v>
      </c>
      <c r="F956" s="550">
        <v>240</v>
      </c>
      <c r="G956" s="550">
        <v>1</v>
      </c>
      <c r="H956" s="550">
        <v>1</v>
      </c>
      <c r="I956" s="550">
        <v>0</v>
      </c>
      <c r="J956" s="550">
        <v>148</v>
      </c>
      <c r="K956" s="550">
        <v>23</v>
      </c>
      <c r="L956" s="550">
        <v>1</v>
      </c>
      <c r="M956" s="550">
        <v>22</v>
      </c>
      <c r="N956" s="550">
        <v>181</v>
      </c>
      <c r="O956" s="550">
        <v>1</v>
      </c>
      <c r="P956" s="550">
        <v>438</v>
      </c>
      <c r="Q956" s="550">
        <v>14</v>
      </c>
      <c r="R956" s="574" t="s">
        <v>445</v>
      </c>
      <c r="S956" s="552"/>
      <c r="T956" s="552"/>
      <c r="U956" s="552"/>
      <c r="V956" s="552"/>
      <c r="W956" s="552"/>
      <c r="X956" s="552"/>
      <c r="Y956" s="552"/>
      <c r="Z956" s="552"/>
      <c r="AA956" s="553"/>
      <c r="AB956" s="553"/>
    </row>
    <row r="957" spans="1:28" ht="12.75">
      <c r="A957" s="547" t="s">
        <v>445</v>
      </c>
      <c r="B957" s="547" t="s">
        <v>157</v>
      </c>
      <c r="C957" s="548" t="s">
        <v>782</v>
      </c>
      <c r="D957" s="549">
        <v>2019</v>
      </c>
      <c r="E957" s="549" t="s">
        <v>775</v>
      </c>
      <c r="F957" s="550">
        <v>240</v>
      </c>
      <c r="G957" s="550">
        <v>0</v>
      </c>
      <c r="H957" s="550">
        <v>0</v>
      </c>
      <c r="I957" s="550">
        <v>0</v>
      </c>
      <c r="J957" s="550">
        <v>148</v>
      </c>
      <c r="K957" s="550">
        <v>6</v>
      </c>
      <c r="L957" s="550">
        <v>0</v>
      </c>
      <c r="M957" s="550">
        <v>6</v>
      </c>
      <c r="N957" s="550">
        <v>181</v>
      </c>
      <c r="O957" s="550">
        <v>0</v>
      </c>
      <c r="P957" s="550">
        <v>438</v>
      </c>
      <c r="Q957" s="550">
        <v>22</v>
      </c>
      <c r="R957" s="574" t="s">
        <v>445</v>
      </c>
      <c r="S957" s="552">
        <f>SUM(G951:G957) +SUM(K951:K957)</f>
        <v>84</v>
      </c>
      <c r="T957" s="552">
        <f>F957+J957</f>
        <v>388</v>
      </c>
      <c r="U957" s="552">
        <f>SUM(O951:O957)</f>
        <v>12</v>
      </c>
      <c r="V957" s="552">
        <f>N957</f>
        <v>181</v>
      </c>
      <c r="W957" s="554">
        <f>SUM(Q951:Q957)</f>
        <v>201</v>
      </c>
      <c r="X957" s="552">
        <f>P957</f>
        <v>438</v>
      </c>
      <c r="Y957" s="552">
        <f>S957+U957+SUM(Q951:Q957)</f>
        <v>297</v>
      </c>
      <c r="Z957" s="552">
        <f>F957+J957+N957+P957</f>
        <v>1007</v>
      </c>
      <c r="AA957" s="553"/>
      <c r="AB957" s="553"/>
    </row>
    <row r="958" spans="1:28" ht="12.75">
      <c r="A958" s="547" t="s">
        <v>446</v>
      </c>
      <c r="B958" s="547" t="s">
        <v>157</v>
      </c>
      <c r="C958" s="548" t="s">
        <v>774</v>
      </c>
      <c r="D958" s="549">
        <v>2014</v>
      </c>
      <c r="E958" s="549" t="s">
        <v>775</v>
      </c>
      <c r="F958" s="550">
        <v>26</v>
      </c>
      <c r="G958" s="550">
        <v>6</v>
      </c>
      <c r="H958" s="550">
        <v>0</v>
      </c>
      <c r="I958" s="550">
        <v>6</v>
      </c>
      <c r="J958" s="550">
        <v>14</v>
      </c>
      <c r="K958" s="550">
        <v>11</v>
      </c>
      <c r="L958" s="550">
        <v>0</v>
      </c>
      <c r="M958" s="550">
        <v>11</v>
      </c>
      <c r="N958" s="550">
        <v>16</v>
      </c>
      <c r="O958" s="550">
        <v>3</v>
      </c>
      <c r="P958" s="550">
        <v>23</v>
      </c>
      <c r="Q958" s="550">
        <v>1</v>
      </c>
      <c r="R958" s="574" t="s">
        <v>446</v>
      </c>
      <c r="S958" s="552"/>
      <c r="T958" s="552"/>
      <c r="U958" s="552"/>
      <c r="V958" s="552"/>
      <c r="W958" s="552"/>
      <c r="X958" s="552"/>
      <c r="Y958" s="552"/>
      <c r="Z958" s="552"/>
      <c r="AA958" s="553"/>
      <c r="AB958" s="553"/>
    </row>
    <row r="959" spans="1:28" ht="12.75">
      <c r="A959" s="547" t="s">
        <v>446</v>
      </c>
      <c r="B959" s="547" t="s">
        <v>157</v>
      </c>
      <c r="C959" s="548" t="s">
        <v>774</v>
      </c>
      <c r="D959" s="549">
        <v>2015</v>
      </c>
      <c r="E959" s="549" t="s">
        <v>775</v>
      </c>
      <c r="F959" s="550">
        <v>26</v>
      </c>
      <c r="G959" s="550">
        <v>2</v>
      </c>
      <c r="H959" s="550">
        <v>0</v>
      </c>
      <c r="I959" s="550">
        <v>2</v>
      </c>
      <c r="J959" s="550">
        <v>14</v>
      </c>
      <c r="K959" s="550">
        <v>3</v>
      </c>
      <c r="L959" s="550">
        <v>0</v>
      </c>
      <c r="M959" s="550">
        <v>3</v>
      </c>
      <c r="N959" s="550">
        <v>16</v>
      </c>
      <c r="O959" s="550">
        <v>0</v>
      </c>
      <c r="P959" s="550">
        <v>23</v>
      </c>
      <c r="Q959" s="550">
        <v>0</v>
      </c>
      <c r="R959" s="574" t="s">
        <v>446</v>
      </c>
      <c r="S959" s="552"/>
      <c r="T959" s="552"/>
      <c r="U959" s="552"/>
      <c r="V959" s="552"/>
      <c r="W959" s="552"/>
      <c r="X959" s="552"/>
      <c r="Y959" s="552"/>
      <c r="Z959" s="552"/>
      <c r="AA959" s="553"/>
      <c r="AB959" s="553"/>
    </row>
    <row r="960" spans="1:28" ht="12.75">
      <c r="A960" s="547" t="s">
        <v>446</v>
      </c>
      <c r="B960" s="547" t="s">
        <v>157</v>
      </c>
      <c r="C960" s="548" t="s">
        <v>774</v>
      </c>
      <c r="D960" s="549">
        <v>2016</v>
      </c>
      <c r="E960" s="549" t="s">
        <v>775</v>
      </c>
      <c r="F960" s="550">
        <v>26</v>
      </c>
      <c r="G960" s="550">
        <v>1</v>
      </c>
      <c r="H960" s="550">
        <v>1</v>
      </c>
      <c r="I960" s="550">
        <v>0</v>
      </c>
      <c r="J960" s="550">
        <v>14</v>
      </c>
      <c r="K960" s="550">
        <v>1</v>
      </c>
      <c r="L960" s="550">
        <v>1</v>
      </c>
      <c r="M960" s="550">
        <v>0</v>
      </c>
      <c r="N960" s="550">
        <v>16</v>
      </c>
      <c r="O960" s="550">
        <v>0</v>
      </c>
      <c r="P960" s="550">
        <v>23</v>
      </c>
      <c r="Q960" s="550">
        <v>3</v>
      </c>
      <c r="R960" s="574" t="s">
        <v>446</v>
      </c>
      <c r="S960" s="552"/>
      <c r="T960" s="552"/>
      <c r="U960" s="552"/>
      <c r="V960" s="552"/>
      <c r="W960" s="552"/>
      <c r="X960" s="552"/>
      <c r="Y960" s="552"/>
      <c r="Z960" s="552"/>
      <c r="AA960" s="553"/>
      <c r="AB960" s="553"/>
    </row>
    <row r="961" spans="1:28" ht="12.75">
      <c r="A961" s="547" t="s">
        <v>446</v>
      </c>
      <c r="B961" s="547" t="s">
        <v>157</v>
      </c>
      <c r="C961" s="548" t="s">
        <v>774</v>
      </c>
      <c r="D961" s="549">
        <v>2017</v>
      </c>
      <c r="E961" s="549" t="s">
        <v>775</v>
      </c>
      <c r="F961" s="550">
        <v>26</v>
      </c>
      <c r="G961" s="550">
        <v>1</v>
      </c>
      <c r="H961" s="550">
        <v>1</v>
      </c>
      <c r="I961" s="550">
        <v>0</v>
      </c>
      <c r="J961" s="550">
        <v>14</v>
      </c>
      <c r="K961" s="550">
        <v>2</v>
      </c>
      <c r="L961" s="550">
        <v>0</v>
      </c>
      <c r="M961" s="550">
        <v>2</v>
      </c>
      <c r="N961" s="550">
        <v>16</v>
      </c>
      <c r="O961" s="550">
        <v>1</v>
      </c>
      <c r="P961" s="550">
        <v>23</v>
      </c>
      <c r="Q961" s="550">
        <v>1</v>
      </c>
      <c r="R961" s="574" t="s">
        <v>446</v>
      </c>
      <c r="S961" s="552"/>
      <c r="T961" s="552"/>
      <c r="U961" s="552"/>
      <c r="V961" s="552"/>
      <c r="W961" s="552"/>
      <c r="X961" s="552"/>
      <c r="Y961" s="552"/>
      <c r="Z961" s="552"/>
      <c r="AA961" s="553"/>
      <c r="AB961" s="553"/>
    </row>
    <row r="962" spans="1:28" ht="12.75">
      <c r="A962" s="547" t="s">
        <v>446</v>
      </c>
      <c r="B962" s="547" t="s">
        <v>157</v>
      </c>
      <c r="C962" s="548" t="s">
        <v>774</v>
      </c>
      <c r="D962" s="549">
        <v>2018</v>
      </c>
      <c r="E962" s="549" t="s">
        <v>775</v>
      </c>
      <c r="F962" s="550">
        <v>26</v>
      </c>
      <c r="G962" s="550">
        <v>0</v>
      </c>
      <c r="H962" s="550">
        <v>0</v>
      </c>
      <c r="I962" s="550">
        <v>0</v>
      </c>
      <c r="J962" s="550">
        <v>14</v>
      </c>
      <c r="K962" s="550">
        <v>0</v>
      </c>
      <c r="L962" s="550">
        <v>0</v>
      </c>
      <c r="M962" s="550">
        <v>0</v>
      </c>
      <c r="N962" s="550">
        <v>16</v>
      </c>
      <c r="O962" s="550">
        <v>1</v>
      </c>
      <c r="P962" s="550">
        <v>23</v>
      </c>
      <c r="Q962" s="550">
        <v>2</v>
      </c>
      <c r="R962" s="574" t="s">
        <v>446</v>
      </c>
      <c r="S962" s="552"/>
      <c r="T962" s="552"/>
      <c r="U962" s="552"/>
      <c r="V962" s="552"/>
      <c r="W962" s="552"/>
      <c r="X962" s="552"/>
      <c r="Y962" s="552"/>
      <c r="Z962" s="552"/>
      <c r="AA962" s="553"/>
      <c r="AB962" s="553"/>
    </row>
    <row r="963" spans="1:28" ht="12.75">
      <c r="A963" s="547" t="s">
        <v>446</v>
      </c>
      <c r="B963" s="547" t="s">
        <v>157</v>
      </c>
      <c r="C963" s="548" t="s">
        <v>782</v>
      </c>
      <c r="D963" s="549">
        <v>2019</v>
      </c>
      <c r="E963" s="549" t="s">
        <v>775</v>
      </c>
      <c r="F963" s="550">
        <v>26</v>
      </c>
      <c r="G963" s="550">
        <v>2</v>
      </c>
      <c r="H963" s="550">
        <v>0</v>
      </c>
      <c r="I963" s="550">
        <v>2</v>
      </c>
      <c r="J963" s="550">
        <v>14</v>
      </c>
      <c r="K963" s="550">
        <v>3</v>
      </c>
      <c r="L963" s="550">
        <v>0</v>
      </c>
      <c r="M963" s="550">
        <v>3</v>
      </c>
      <c r="N963" s="550">
        <v>16</v>
      </c>
      <c r="O963" s="550">
        <v>1</v>
      </c>
      <c r="P963" s="550">
        <v>23</v>
      </c>
      <c r="Q963" s="550">
        <v>0</v>
      </c>
      <c r="R963" s="574" t="s">
        <v>446</v>
      </c>
      <c r="S963" s="552">
        <f>SUM(G958:G963) +SUM(K958:K963)</f>
        <v>32</v>
      </c>
      <c r="T963" s="552">
        <f>F963+J963</f>
        <v>40</v>
      </c>
      <c r="U963" s="552">
        <f>SUM(O958:O963)</f>
        <v>6</v>
      </c>
      <c r="V963" s="552">
        <f>N963</f>
        <v>16</v>
      </c>
      <c r="W963" s="554">
        <f>SUM(Q958:Q963)</f>
        <v>7</v>
      </c>
      <c r="X963" s="552">
        <f>P963</f>
        <v>23</v>
      </c>
      <c r="Y963" s="552">
        <f>S963+U963+SUM(Q958:Q963)</f>
        <v>45</v>
      </c>
      <c r="Z963" s="552">
        <f>F963+J963+N963+P963</f>
        <v>79</v>
      </c>
      <c r="AA963" s="553"/>
      <c r="AB963" s="553"/>
    </row>
    <row r="964" spans="1:28" ht="12.75">
      <c r="A964" s="547" t="s">
        <v>447</v>
      </c>
      <c r="B964" s="547" t="s">
        <v>157</v>
      </c>
      <c r="C964" s="548" t="s">
        <v>774</v>
      </c>
      <c r="D964" s="549">
        <v>2014</v>
      </c>
      <c r="E964" s="549" t="s">
        <v>775</v>
      </c>
      <c r="F964" s="550">
        <v>24</v>
      </c>
      <c r="G964" s="550">
        <v>0</v>
      </c>
      <c r="H964" s="550">
        <v>0</v>
      </c>
      <c r="I964" s="550">
        <v>0</v>
      </c>
      <c r="J964" s="550">
        <v>16</v>
      </c>
      <c r="K964" s="550">
        <v>0</v>
      </c>
      <c r="L964" s="550">
        <v>0</v>
      </c>
      <c r="M964" s="550">
        <v>0</v>
      </c>
      <c r="N964" s="550">
        <v>19</v>
      </c>
      <c r="O964" s="550">
        <v>0</v>
      </c>
      <c r="P964" s="550">
        <v>19</v>
      </c>
      <c r="Q964" s="550">
        <v>2</v>
      </c>
      <c r="R964" s="574" t="s">
        <v>447</v>
      </c>
      <c r="S964" s="552"/>
      <c r="T964" s="552"/>
      <c r="U964" s="552"/>
      <c r="V964" s="552"/>
      <c r="W964" s="552"/>
      <c r="X964" s="552"/>
      <c r="Y964" s="552"/>
      <c r="Z964" s="552"/>
      <c r="AA964" s="553"/>
      <c r="AB964" s="553"/>
    </row>
    <row r="965" spans="1:28" ht="12.75">
      <c r="A965" s="547" t="s">
        <v>447</v>
      </c>
      <c r="B965" s="547" t="s">
        <v>157</v>
      </c>
      <c r="C965" s="548" t="s">
        <v>774</v>
      </c>
      <c r="D965" s="549">
        <v>2015</v>
      </c>
      <c r="E965" s="549" t="s">
        <v>775</v>
      </c>
      <c r="F965" s="550">
        <v>24</v>
      </c>
      <c r="G965" s="550">
        <v>0</v>
      </c>
      <c r="H965" s="550">
        <v>0</v>
      </c>
      <c r="I965" s="550">
        <v>0</v>
      </c>
      <c r="J965" s="550">
        <v>16</v>
      </c>
      <c r="K965" s="550">
        <v>0</v>
      </c>
      <c r="L965" s="550">
        <v>0</v>
      </c>
      <c r="M965" s="550">
        <v>0</v>
      </c>
      <c r="N965" s="550">
        <v>19</v>
      </c>
      <c r="O965" s="550">
        <v>0</v>
      </c>
      <c r="P965" s="550">
        <v>19</v>
      </c>
      <c r="Q965" s="550">
        <v>0</v>
      </c>
      <c r="R965" s="574" t="s">
        <v>447</v>
      </c>
      <c r="S965" s="552"/>
      <c r="T965" s="552"/>
      <c r="U965" s="552"/>
      <c r="V965" s="552"/>
      <c r="W965" s="552"/>
      <c r="X965" s="552"/>
      <c r="Y965" s="552"/>
      <c r="Z965" s="552"/>
      <c r="AA965" s="553"/>
      <c r="AB965" s="553"/>
    </row>
    <row r="966" spans="1:28" ht="12.75">
      <c r="A966" s="547" t="s">
        <v>447</v>
      </c>
      <c r="B966" s="547" t="s">
        <v>157</v>
      </c>
      <c r="C966" s="548" t="s">
        <v>774</v>
      </c>
      <c r="D966" s="549">
        <v>2016</v>
      </c>
      <c r="E966" s="549" t="s">
        <v>775</v>
      </c>
      <c r="F966" s="550">
        <v>24</v>
      </c>
      <c r="G966" s="550">
        <v>0</v>
      </c>
      <c r="H966" s="550">
        <v>0</v>
      </c>
      <c r="I966" s="550">
        <v>0</v>
      </c>
      <c r="J966" s="550">
        <v>16</v>
      </c>
      <c r="K966" s="550">
        <v>0</v>
      </c>
      <c r="L966" s="550">
        <v>0</v>
      </c>
      <c r="M966" s="550">
        <v>0</v>
      </c>
      <c r="N966" s="550">
        <v>19</v>
      </c>
      <c r="O966" s="550">
        <v>0</v>
      </c>
      <c r="P966" s="550">
        <v>19</v>
      </c>
      <c r="Q966" s="550">
        <v>2</v>
      </c>
      <c r="R966" s="574" t="s">
        <v>447</v>
      </c>
      <c r="S966" s="552"/>
      <c r="T966" s="552"/>
      <c r="U966" s="552"/>
      <c r="V966" s="552"/>
      <c r="W966" s="552"/>
      <c r="X966" s="552"/>
      <c r="Y966" s="552"/>
      <c r="Z966" s="552"/>
      <c r="AA966" s="553"/>
      <c r="AB966" s="553"/>
    </row>
    <row r="967" spans="1:28" ht="12.75">
      <c r="A967" s="547" t="s">
        <v>447</v>
      </c>
      <c r="B967" s="547" t="s">
        <v>157</v>
      </c>
      <c r="C967" s="548" t="s">
        <v>774</v>
      </c>
      <c r="D967" s="549">
        <v>2017</v>
      </c>
      <c r="E967" s="549" t="s">
        <v>775</v>
      </c>
      <c r="F967" s="550">
        <v>24</v>
      </c>
      <c r="G967" s="550">
        <v>0</v>
      </c>
      <c r="H967" s="550">
        <v>0</v>
      </c>
      <c r="I967" s="550">
        <v>0</v>
      </c>
      <c r="J967" s="550">
        <v>16</v>
      </c>
      <c r="K967" s="550">
        <v>0</v>
      </c>
      <c r="L967" s="550">
        <v>0</v>
      </c>
      <c r="M967" s="550">
        <v>0</v>
      </c>
      <c r="N967" s="550">
        <v>19</v>
      </c>
      <c r="O967" s="550">
        <v>0</v>
      </c>
      <c r="P967" s="550">
        <v>19</v>
      </c>
      <c r="Q967" s="550">
        <v>7</v>
      </c>
      <c r="R967" s="574" t="s">
        <v>447</v>
      </c>
      <c r="S967" s="552"/>
      <c r="T967" s="552"/>
      <c r="U967" s="552"/>
      <c r="V967" s="552"/>
      <c r="W967" s="552"/>
      <c r="X967" s="552"/>
      <c r="Y967" s="552"/>
      <c r="Z967" s="552"/>
      <c r="AA967" s="553"/>
      <c r="AB967" s="553"/>
    </row>
    <row r="968" spans="1:28" ht="12.75">
      <c r="A968" s="547" t="s">
        <v>447</v>
      </c>
      <c r="B968" s="547" t="s">
        <v>157</v>
      </c>
      <c r="C968" s="548" t="s">
        <v>774</v>
      </c>
      <c r="D968" s="549">
        <v>2018</v>
      </c>
      <c r="E968" s="549" t="s">
        <v>775</v>
      </c>
      <c r="F968" s="550">
        <v>24</v>
      </c>
      <c r="G968" s="550">
        <v>0</v>
      </c>
      <c r="H968" s="550">
        <v>0</v>
      </c>
      <c r="I968" s="550">
        <v>0</v>
      </c>
      <c r="J968" s="550">
        <v>16</v>
      </c>
      <c r="K968" s="550">
        <v>1</v>
      </c>
      <c r="L968" s="550">
        <v>0</v>
      </c>
      <c r="M968" s="550">
        <v>1</v>
      </c>
      <c r="N968" s="550">
        <v>19</v>
      </c>
      <c r="O968" s="550">
        <v>0</v>
      </c>
      <c r="P968" s="550">
        <v>19</v>
      </c>
      <c r="Q968" s="550">
        <v>4</v>
      </c>
      <c r="R968" s="574" t="s">
        <v>447</v>
      </c>
      <c r="S968" s="561">
        <f>SUM(G964:G968) +SUM(K964:K968)</f>
        <v>1</v>
      </c>
      <c r="T968" s="561">
        <f>F968+J968</f>
        <v>40</v>
      </c>
      <c r="U968" s="561">
        <f>SUM(O964:O968)</f>
        <v>0</v>
      </c>
      <c r="V968" s="561">
        <f>N968</f>
        <v>19</v>
      </c>
      <c r="W968" s="562">
        <f>SUM(Q964:Q968)</f>
        <v>15</v>
      </c>
      <c r="X968" s="561">
        <f>P968</f>
        <v>19</v>
      </c>
      <c r="Y968" s="561">
        <f>S968+U968+SUM(Q964:Q968)</f>
        <v>16</v>
      </c>
      <c r="Z968" s="561">
        <f>F968+J968+N968+P968</f>
        <v>78</v>
      </c>
      <c r="AA968" s="553"/>
      <c r="AB968" s="553"/>
    </row>
    <row r="969" spans="1:28" ht="12.75">
      <c r="A969" s="547"/>
      <c r="B969" s="547"/>
      <c r="C969" s="548"/>
      <c r="D969" s="549"/>
      <c r="E969" s="549"/>
      <c r="F969" s="550"/>
      <c r="G969" s="550"/>
      <c r="H969" s="550"/>
      <c r="I969" s="550"/>
      <c r="J969" s="550"/>
      <c r="K969" s="550"/>
      <c r="L969" s="550"/>
      <c r="M969" s="550"/>
      <c r="N969" s="550"/>
      <c r="O969" s="550"/>
      <c r="P969" s="550"/>
      <c r="Q969" s="550"/>
      <c r="R969" s="574"/>
      <c r="S969" s="563">
        <f t="shared" ref="S969:Z969" si="164">SUM(S905:S968)</f>
        <v>445</v>
      </c>
      <c r="T969" s="563">
        <f t="shared" si="164"/>
        <v>985</v>
      </c>
      <c r="U969" s="563">
        <f t="shared" si="164"/>
        <v>161</v>
      </c>
      <c r="V969" s="563">
        <f t="shared" si="164"/>
        <v>423</v>
      </c>
      <c r="W969" s="563">
        <f t="shared" si="164"/>
        <v>903</v>
      </c>
      <c r="X969" s="563">
        <f t="shared" si="164"/>
        <v>890</v>
      </c>
      <c r="Y969" s="563">
        <f t="shared" si="164"/>
        <v>1509</v>
      </c>
      <c r="Z969" s="563">
        <f t="shared" si="164"/>
        <v>2298</v>
      </c>
      <c r="AA969" s="553"/>
      <c r="AB969" s="553"/>
    </row>
    <row r="970" spans="1:28" ht="12.75">
      <c r="A970" s="547" t="s">
        <v>448</v>
      </c>
      <c r="B970" s="547" t="s">
        <v>158</v>
      </c>
      <c r="C970" s="548" t="s">
        <v>784</v>
      </c>
      <c r="D970" s="549">
        <v>2014</v>
      </c>
      <c r="E970" s="549" t="s">
        <v>775</v>
      </c>
      <c r="F970" s="550">
        <v>265</v>
      </c>
      <c r="G970" s="550">
        <v>0</v>
      </c>
      <c r="H970" s="550">
        <v>0</v>
      </c>
      <c r="I970" s="550">
        <v>0</v>
      </c>
      <c r="J970" s="550">
        <v>130</v>
      </c>
      <c r="K970" s="550">
        <v>0</v>
      </c>
      <c r="L970" s="550">
        <v>0</v>
      </c>
      <c r="M970" s="550">
        <v>0</v>
      </c>
      <c r="N970" s="550">
        <v>180</v>
      </c>
      <c r="O970" s="550">
        <v>35</v>
      </c>
      <c r="P970" s="550">
        <v>420</v>
      </c>
      <c r="Q970" s="550">
        <v>14</v>
      </c>
      <c r="R970" s="574" t="s">
        <v>448</v>
      </c>
      <c r="S970" s="552"/>
      <c r="T970" s="552"/>
      <c r="U970" s="552"/>
      <c r="V970" s="552"/>
      <c r="W970" s="552"/>
      <c r="X970" s="552"/>
      <c r="Y970" s="552"/>
      <c r="Z970" s="552"/>
      <c r="AA970" s="553"/>
      <c r="AB970" s="553"/>
    </row>
    <row r="971" spans="1:28" ht="12.75">
      <c r="A971" s="547" t="s">
        <v>448</v>
      </c>
      <c r="B971" s="547" t="s">
        <v>158</v>
      </c>
      <c r="C971" s="548" t="s">
        <v>784</v>
      </c>
      <c r="D971" s="549">
        <v>2015</v>
      </c>
      <c r="E971" s="549" t="s">
        <v>775</v>
      </c>
      <c r="F971" s="550">
        <v>265</v>
      </c>
      <c r="G971" s="550">
        <v>0</v>
      </c>
      <c r="H971" s="550">
        <v>0</v>
      </c>
      <c r="I971" s="550">
        <v>0</v>
      </c>
      <c r="J971" s="550">
        <v>130</v>
      </c>
      <c r="K971" s="550">
        <v>0</v>
      </c>
      <c r="L971" s="550">
        <v>0</v>
      </c>
      <c r="M971" s="550">
        <v>0</v>
      </c>
      <c r="N971" s="550">
        <v>180</v>
      </c>
      <c r="O971" s="550">
        <v>44</v>
      </c>
      <c r="P971" s="550">
        <v>420</v>
      </c>
      <c r="Q971" s="550">
        <v>10</v>
      </c>
      <c r="R971" s="574" t="s">
        <v>448</v>
      </c>
      <c r="S971" s="552"/>
      <c r="T971" s="552"/>
      <c r="U971" s="552"/>
      <c r="V971" s="552"/>
      <c r="W971" s="552"/>
      <c r="X971" s="552"/>
      <c r="Y971" s="552"/>
      <c r="Z971" s="552"/>
      <c r="AA971" s="553"/>
      <c r="AB971" s="553"/>
    </row>
    <row r="972" spans="1:28" ht="12.75">
      <c r="A972" s="547" t="s">
        <v>448</v>
      </c>
      <c r="B972" s="547" t="s">
        <v>158</v>
      </c>
      <c r="C972" s="548" t="s">
        <v>784</v>
      </c>
      <c r="D972" s="549">
        <v>2016</v>
      </c>
      <c r="E972" s="549" t="s">
        <v>775</v>
      </c>
      <c r="F972" s="550">
        <v>265</v>
      </c>
      <c r="G972" s="550">
        <v>0</v>
      </c>
      <c r="H972" s="550">
        <v>0</v>
      </c>
      <c r="I972" s="550">
        <v>0</v>
      </c>
      <c r="J972" s="550">
        <v>130</v>
      </c>
      <c r="K972" s="550">
        <v>0</v>
      </c>
      <c r="L972" s="550">
        <v>0</v>
      </c>
      <c r="M972" s="550">
        <v>0</v>
      </c>
      <c r="N972" s="550">
        <v>180</v>
      </c>
      <c r="O972" s="550">
        <v>19</v>
      </c>
      <c r="P972" s="550">
        <v>420</v>
      </c>
      <c r="Q972" s="550">
        <v>28</v>
      </c>
      <c r="R972" s="574" t="s">
        <v>448</v>
      </c>
      <c r="S972" s="552"/>
      <c r="T972" s="552"/>
      <c r="U972" s="552"/>
      <c r="V972" s="552"/>
      <c r="W972" s="552"/>
      <c r="X972" s="552"/>
      <c r="Y972" s="552"/>
      <c r="Z972" s="552"/>
      <c r="AA972" s="553"/>
      <c r="AB972" s="553"/>
    </row>
    <row r="973" spans="1:28" ht="12.75">
      <c r="A973" s="547" t="s">
        <v>448</v>
      </c>
      <c r="B973" s="547" t="s">
        <v>158</v>
      </c>
      <c r="C973" s="548" t="s">
        <v>784</v>
      </c>
      <c r="D973" s="549">
        <v>2017</v>
      </c>
      <c r="E973" s="549" t="s">
        <v>775</v>
      </c>
      <c r="F973" s="550">
        <v>265</v>
      </c>
      <c r="G973" s="550">
        <v>0</v>
      </c>
      <c r="H973" s="550">
        <v>0</v>
      </c>
      <c r="I973" s="550">
        <v>0</v>
      </c>
      <c r="J973" s="550">
        <v>130</v>
      </c>
      <c r="K973" s="550">
        <v>0</v>
      </c>
      <c r="L973" s="550">
        <v>0</v>
      </c>
      <c r="M973" s="550">
        <v>0</v>
      </c>
      <c r="N973" s="550">
        <v>180</v>
      </c>
      <c r="O973" s="550">
        <v>28</v>
      </c>
      <c r="P973" s="550">
        <v>420</v>
      </c>
      <c r="Q973" s="550">
        <v>9</v>
      </c>
      <c r="R973" s="574" t="s">
        <v>448</v>
      </c>
      <c r="S973" s="552"/>
      <c r="T973" s="552"/>
      <c r="U973" s="552"/>
      <c r="V973" s="552"/>
      <c r="W973" s="552"/>
      <c r="X973" s="552"/>
      <c r="Y973" s="552"/>
      <c r="Z973" s="552"/>
      <c r="AA973" s="553"/>
      <c r="AB973" s="553"/>
    </row>
    <row r="974" spans="1:28" ht="12.75">
      <c r="A974" s="547" t="s">
        <v>448</v>
      </c>
      <c r="B974" s="547" t="s">
        <v>158</v>
      </c>
      <c r="C974" s="548" t="s">
        <v>784</v>
      </c>
      <c r="D974" s="549">
        <v>2018</v>
      </c>
      <c r="E974" s="549" t="s">
        <v>775</v>
      </c>
      <c r="F974" s="550">
        <v>265</v>
      </c>
      <c r="G974" s="550">
        <v>0</v>
      </c>
      <c r="H974" s="550">
        <v>0</v>
      </c>
      <c r="I974" s="550">
        <v>0</v>
      </c>
      <c r="J974" s="550">
        <v>130</v>
      </c>
      <c r="K974" s="550">
        <v>0</v>
      </c>
      <c r="L974" s="550">
        <v>0</v>
      </c>
      <c r="M974" s="550">
        <v>0</v>
      </c>
      <c r="N974" s="550">
        <v>180</v>
      </c>
      <c r="O974" s="550">
        <v>0</v>
      </c>
      <c r="P974" s="550">
        <v>420</v>
      </c>
      <c r="Q974" s="550">
        <v>56</v>
      </c>
      <c r="R974" s="574" t="s">
        <v>448</v>
      </c>
      <c r="S974" s="552"/>
      <c r="T974" s="552"/>
      <c r="U974" s="552"/>
      <c r="V974" s="552"/>
      <c r="W974" s="552"/>
      <c r="X974" s="552"/>
      <c r="Y974" s="552"/>
      <c r="Z974" s="552"/>
      <c r="AA974" s="553"/>
      <c r="AB974" s="553"/>
    </row>
    <row r="975" spans="1:28" ht="12.75">
      <c r="A975" s="547" t="s">
        <v>448</v>
      </c>
      <c r="B975" s="547" t="s">
        <v>158</v>
      </c>
      <c r="C975" s="548" t="s">
        <v>785</v>
      </c>
      <c r="D975" s="549">
        <v>2019</v>
      </c>
      <c r="E975" s="549" t="s">
        <v>775</v>
      </c>
      <c r="F975" s="550">
        <v>265</v>
      </c>
      <c r="G975" s="550">
        <v>0</v>
      </c>
      <c r="H975" s="550">
        <v>0</v>
      </c>
      <c r="I975" s="550">
        <v>0</v>
      </c>
      <c r="J975" s="550">
        <v>130</v>
      </c>
      <c r="K975" s="550">
        <v>0</v>
      </c>
      <c r="L975" s="550">
        <v>0</v>
      </c>
      <c r="M975" s="550">
        <v>0</v>
      </c>
      <c r="N975" s="550">
        <v>180</v>
      </c>
      <c r="O975" s="550">
        <v>0</v>
      </c>
      <c r="P975" s="550">
        <v>420</v>
      </c>
      <c r="Q975" s="550">
        <v>63</v>
      </c>
      <c r="R975" s="574" t="s">
        <v>448</v>
      </c>
      <c r="S975" s="563">
        <f>SUM(G970:G975) +SUM(K970:K975)</f>
        <v>0</v>
      </c>
      <c r="T975" s="563">
        <f>F975+J975</f>
        <v>395</v>
      </c>
      <c r="U975" s="563">
        <f>SUM(O970:O975)</f>
        <v>126</v>
      </c>
      <c r="V975" s="563">
        <f>N975</f>
        <v>180</v>
      </c>
      <c r="W975" s="575">
        <f>SUM(Q970:Q975)</f>
        <v>180</v>
      </c>
      <c r="X975" s="563">
        <f>P975</f>
        <v>420</v>
      </c>
      <c r="Y975" s="563">
        <f>S975+U975+SUM(Q970:Q975)</f>
        <v>306</v>
      </c>
      <c r="Z975" s="563">
        <f>F975+J975+N975+P975</f>
        <v>995</v>
      </c>
      <c r="AA975" s="553"/>
      <c r="AB975" s="553"/>
    </row>
    <row r="976" spans="1:28" ht="12.75">
      <c r="A976" s="547"/>
      <c r="B976" s="547"/>
      <c r="C976" s="548"/>
      <c r="D976" s="549"/>
      <c r="E976" s="549"/>
      <c r="F976" s="550"/>
      <c r="G976" s="550"/>
      <c r="H976" s="550"/>
      <c r="I976" s="550"/>
      <c r="J976" s="550"/>
      <c r="K976" s="550"/>
      <c r="L976" s="550"/>
      <c r="M976" s="550"/>
      <c r="N976" s="550"/>
      <c r="O976" s="550"/>
      <c r="P976" s="550"/>
      <c r="Q976" s="550"/>
      <c r="R976" s="574"/>
      <c r="S976" s="552"/>
      <c r="T976" s="552"/>
      <c r="U976" s="552"/>
      <c r="V976" s="552"/>
      <c r="W976" s="552"/>
      <c r="X976" s="552"/>
      <c r="Y976" s="552"/>
      <c r="Z976" s="552"/>
      <c r="AA976" s="553"/>
      <c r="AB976" s="553"/>
    </row>
    <row r="977" spans="1:28" ht="12.75">
      <c r="A977" s="547" t="s">
        <v>449</v>
      </c>
      <c r="B977" s="547" t="s">
        <v>159</v>
      </c>
      <c r="C977" s="548" t="s">
        <v>784</v>
      </c>
      <c r="D977" s="549">
        <v>2015</v>
      </c>
      <c r="E977" s="549" t="s">
        <v>775</v>
      </c>
      <c r="F977" s="550">
        <v>5</v>
      </c>
      <c r="G977" s="550">
        <v>0</v>
      </c>
      <c r="H977" s="550">
        <v>0</v>
      </c>
      <c r="I977" s="550">
        <v>0</v>
      </c>
      <c r="J977" s="550">
        <v>3</v>
      </c>
      <c r="K977" s="550">
        <v>2</v>
      </c>
      <c r="L977" s="550">
        <v>2</v>
      </c>
      <c r="M977" s="550">
        <v>0</v>
      </c>
      <c r="N977" s="550">
        <v>3</v>
      </c>
      <c r="O977" s="550">
        <v>0</v>
      </c>
      <c r="P977" s="550">
        <v>9</v>
      </c>
      <c r="Q977" s="550">
        <v>3</v>
      </c>
      <c r="R977" s="574" t="s">
        <v>449</v>
      </c>
      <c r="S977" s="552"/>
      <c r="T977" s="552"/>
      <c r="U977" s="552"/>
      <c r="V977" s="552"/>
      <c r="W977" s="552"/>
      <c r="X977" s="552"/>
      <c r="Y977" s="552"/>
      <c r="Z977" s="552"/>
      <c r="AA977" s="553"/>
      <c r="AB977" s="553"/>
    </row>
    <row r="978" spans="1:28" ht="12.75">
      <c r="A978" s="547" t="s">
        <v>449</v>
      </c>
      <c r="B978" s="547" t="s">
        <v>159</v>
      </c>
      <c r="C978" s="548" t="s">
        <v>784</v>
      </c>
      <c r="D978" s="549">
        <v>2018</v>
      </c>
      <c r="E978" s="549" t="s">
        <v>775</v>
      </c>
      <c r="F978" s="550">
        <v>5</v>
      </c>
      <c r="G978" s="550">
        <v>0</v>
      </c>
      <c r="H978" s="550">
        <v>0</v>
      </c>
      <c r="I978" s="550">
        <v>0</v>
      </c>
      <c r="J978" s="550">
        <v>3</v>
      </c>
      <c r="K978" s="550">
        <v>0</v>
      </c>
      <c r="L978" s="550">
        <v>0</v>
      </c>
      <c r="M978" s="550">
        <v>0</v>
      </c>
      <c r="N978" s="550">
        <v>3</v>
      </c>
      <c r="O978" s="550">
        <v>0</v>
      </c>
      <c r="P978" s="550">
        <v>9</v>
      </c>
      <c r="Q978" s="550">
        <v>9</v>
      </c>
      <c r="R978" s="574" t="s">
        <v>449</v>
      </c>
      <c r="S978" s="552"/>
      <c r="T978" s="552"/>
      <c r="U978" s="552"/>
      <c r="V978" s="552"/>
      <c r="W978" s="552"/>
      <c r="X978" s="552"/>
      <c r="Y978" s="552"/>
      <c r="Z978" s="552"/>
      <c r="AA978" s="553"/>
      <c r="AB978" s="553"/>
    </row>
    <row r="979" spans="1:28" ht="12.75">
      <c r="A979" s="547" t="s">
        <v>449</v>
      </c>
      <c r="B979" s="547" t="s">
        <v>159</v>
      </c>
      <c r="C979" s="548" t="s">
        <v>785</v>
      </c>
      <c r="D979" s="549">
        <v>2019</v>
      </c>
      <c r="E979" s="549" t="s">
        <v>775</v>
      </c>
      <c r="F979" s="550">
        <v>5</v>
      </c>
      <c r="G979" s="550">
        <v>0</v>
      </c>
      <c r="H979" s="550">
        <v>0</v>
      </c>
      <c r="I979" s="550">
        <v>0</v>
      </c>
      <c r="J979" s="550">
        <v>3</v>
      </c>
      <c r="K979" s="550">
        <v>1</v>
      </c>
      <c r="L979" s="550">
        <v>1</v>
      </c>
      <c r="M979" s="550">
        <v>0</v>
      </c>
      <c r="N979" s="550">
        <v>3</v>
      </c>
      <c r="O979" s="550">
        <v>10</v>
      </c>
      <c r="P979" s="550">
        <v>9</v>
      </c>
      <c r="Q979" s="550">
        <v>9</v>
      </c>
      <c r="R979" s="574" t="s">
        <v>449</v>
      </c>
      <c r="S979" s="255">
        <f>SUM(G977:G979) +SUM(K977:K979)</f>
        <v>3</v>
      </c>
      <c r="T979" s="255">
        <f>F979+J979</f>
        <v>8</v>
      </c>
      <c r="U979" s="255">
        <f>SUM(O977:O979)</f>
        <v>10</v>
      </c>
      <c r="V979" s="255">
        <f>N979</f>
        <v>3</v>
      </c>
      <c r="W979" s="83">
        <f>SUM(Q977:Q979)</f>
        <v>21</v>
      </c>
      <c r="X979" s="255">
        <f>P979</f>
        <v>9</v>
      </c>
      <c r="Y979" s="255">
        <f>S979+U979+SUM(Q977:Q979)</f>
        <v>34</v>
      </c>
      <c r="Z979" s="255">
        <f>F979+J979+N979+P979</f>
        <v>20</v>
      </c>
      <c r="AA979" s="553"/>
      <c r="AB979" s="553"/>
    </row>
    <row r="980" spans="1:28" ht="12.75">
      <c r="A980" s="547" t="s">
        <v>450</v>
      </c>
      <c r="B980" s="547" t="s">
        <v>159</v>
      </c>
      <c r="C980" s="548" t="s">
        <v>784</v>
      </c>
      <c r="D980" s="549">
        <v>2015</v>
      </c>
      <c r="E980" s="549" t="s">
        <v>775</v>
      </c>
      <c r="F980" s="550">
        <v>40</v>
      </c>
      <c r="G980" s="550">
        <v>0</v>
      </c>
      <c r="H980" s="550">
        <v>0</v>
      </c>
      <c r="I980" s="550">
        <v>0</v>
      </c>
      <c r="J980" s="550">
        <v>27</v>
      </c>
      <c r="K980" s="550">
        <v>0</v>
      </c>
      <c r="L980" s="550">
        <v>0</v>
      </c>
      <c r="M980" s="550">
        <v>0</v>
      </c>
      <c r="N980" s="550">
        <v>27</v>
      </c>
      <c r="O980" s="550">
        <v>56</v>
      </c>
      <c r="P980" s="550">
        <v>74</v>
      </c>
      <c r="Q980" s="550">
        <v>52</v>
      </c>
      <c r="R980" s="574" t="s">
        <v>450</v>
      </c>
      <c r="S980" s="552"/>
      <c r="T980" s="552"/>
      <c r="U980" s="552"/>
      <c r="V980" s="552"/>
      <c r="W980" s="552"/>
      <c r="X980" s="552"/>
      <c r="Y980" s="552"/>
      <c r="Z980" s="552"/>
      <c r="AA980" s="553"/>
      <c r="AB980" s="553"/>
    </row>
    <row r="981" spans="1:28" ht="12.75">
      <c r="A981" s="547" t="s">
        <v>450</v>
      </c>
      <c r="B981" s="547" t="s">
        <v>159</v>
      </c>
      <c r="C981" s="548" t="s">
        <v>785</v>
      </c>
      <c r="D981" s="549">
        <v>2019</v>
      </c>
      <c r="E981" s="549" t="s">
        <v>775</v>
      </c>
      <c r="F981" s="550">
        <v>40</v>
      </c>
      <c r="G981" s="550">
        <v>0</v>
      </c>
      <c r="H981" s="550">
        <v>0</v>
      </c>
      <c r="I981" s="550">
        <v>0</v>
      </c>
      <c r="J981" s="550">
        <v>27</v>
      </c>
      <c r="K981" s="550">
        <v>0</v>
      </c>
      <c r="L981" s="550">
        <v>0</v>
      </c>
      <c r="M981" s="550">
        <v>0</v>
      </c>
      <c r="N981" s="550">
        <v>27</v>
      </c>
      <c r="O981" s="550">
        <v>10</v>
      </c>
      <c r="P981" s="550">
        <v>74</v>
      </c>
      <c r="Q981" s="550">
        <v>75</v>
      </c>
      <c r="R981" s="574" t="s">
        <v>450</v>
      </c>
      <c r="S981" s="255">
        <f>SUM(G980:G981) +SUM(K980:K981)</f>
        <v>0</v>
      </c>
      <c r="T981" s="255">
        <f>F981+J981</f>
        <v>67</v>
      </c>
      <c r="U981" s="255">
        <f>SUM(O980:O981)</f>
        <v>66</v>
      </c>
      <c r="V981" s="255">
        <f>N981</f>
        <v>27</v>
      </c>
      <c r="W981" s="83">
        <f>SUM(Q980:Q981)</f>
        <v>127</v>
      </c>
      <c r="X981" s="255">
        <f>P981</f>
        <v>74</v>
      </c>
      <c r="Y981" s="255">
        <f>S981+U981+SUM(Q980:Q981)</f>
        <v>193</v>
      </c>
      <c r="Z981" s="255">
        <f>F981+J981+N981+P981</f>
        <v>168</v>
      </c>
      <c r="AA981" s="553"/>
      <c r="AB981" s="553"/>
    </row>
    <row r="982" spans="1:28" ht="12.75">
      <c r="A982" s="547" t="s">
        <v>451</v>
      </c>
      <c r="B982" s="547" t="s">
        <v>159</v>
      </c>
      <c r="C982" s="548" t="s">
        <v>784</v>
      </c>
      <c r="D982" s="549">
        <v>2014</v>
      </c>
      <c r="E982" s="549" t="s">
        <v>775</v>
      </c>
      <c r="F982" s="550">
        <v>1</v>
      </c>
      <c r="G982" s="550">
        <v>0</v>
      </c>
      <c r="H982" s="550">
        <v>0</v>
      </c>
      <c r="I982" s="550">
        <v>0</v>
      </c>
      <c r="J982" s="550">
        <v>1</v>
      </c>
      <c r="K982" s="550">
        <v>0</v>
      </c>
      <c r="L982" s="550">
        <v>0</v>
      </c>
      <c r="M982" s="550">
        <v>0</v>
      </c>
      <c r="N982" s="550">
        <v>1</v>
      </c>
      <c r="O982" s="550">
        <v>1</v>
      </c>
      <c r="P982" s="550">
        <v>1</v>
      </c>
      <c r="Q982" s="550">
        <v>0</v>
      </c>
      <c r="R982" s="574" t="s">
        <v>451</v>
      </c>
      <c r="S982" s="552"/>
      <c r="T982" s="552"/>
      <c r="U982" s="552"/>
      <c r="V982" s="552"/>
      <c r="W982" s="552"/>
      <c r="X982" s="552"/>
      <c r="Y982" s="552"/>
      <c r="Z982" s="552"/>
      <c r="AA982" s="553"/>
      <c r="AB982" s="553"/>
    </row>
    <row r="983" spans="1:28" ht="12.75">
      <c r="A983" s="547" t="s">
        <v>451</v>
      </c>
      <c r="B983" s="547" t="s">
        <v>159</v>
      </c>
      <c r="C983" s="548" t="s">
        <v>784</v>
      </c>
      <c r="D983" s="549">
        <v>2015</v>
      </c>
      <c r="E983" s="549" t="s">
        <v>775</v>
      </c>
      <c r="F983" s="550">
        <v>1</v>
      </c>
      <c r="G983" s="550">
        <v>0</v>
      </c>
      <c r="H983" s="550">
        <v>0</v>
      </c>
      <c r="I983" s="550">
        <v>0</v>
      </c>
      <c r="J983" s="550">
        <v>1</v>
      </c>
      <c r="K983" s="550">
        <v>0</v>
      </c>
      <c r="L983" s="550">
        <v>0</v>
      </c>
      <c r="M983" s="550">
        <v>0</v>
      </c>
      <c r="N983" s="550">
        <v>1</v>
      </c>
      <c r="O983" s="550">
        <v>1</v>
      </c>
      <c r="P983" s="550">
        <v>1</v>
      </c>
      <c r="Q983" s="550">
        <v>0</v>
      </c>
      <c r="R983" s="574" t="s">
        <v>451</v>
      </c>
      <c r="S983" s="552"/>
      <c r="T983" s="552"/>
      <c r="U983" s="552"/>
      <c r="V983" s="552"/>
      <c r="W983" s="552"/>
      <c r="X983" s="552"/>
      <c r="Y983" s="552"/>
      <c r="Z983" s="552"/>
      <c r="AA983" s="553"/>
      <c r="AB983" s="553"/>
    </row>
    <row r="984" spans="1:28" ht="12.75">
      <c r="A984" s="547" t="s">
        <v>451</v>
      </c>
      <c r="B984" s="547" t="s">
        <v>159</v>
      </c>
      <c r="C984" s="548" t="s">
        <v>784</v>
      </c>
      <c r="D984" s="549">
        <v>2016</v>
      </c>
      <c r="E984" s="549" t="s">
        <v>775</v>
      </c>
      <c r="F984" s="550">
        <v>1</v>
      </c>
      <c r="G984" s="550">
        <v>0</v>
      </c>
      <c r="H984" s="550">
        <v>0</v>
      </c>
      <c r="I984" s="550">
        <v>0</v>
      </c>
      <c r="J984" s="550">
        <v>1</v>
      </c>
      <c r="K984" s="550">
        <v>0</v>
      </c>
      <c r="L984" s="550">
        <v>0</v>
      </c>
      <c r="M984" s="550">
        <v>0</v>
      </c>
      <c r="N984" s="550">
        <v>1</v>
      </c>
      <c r="O984" s="550">
        <v>0</v>
      </c>
      <c r="P984" s="550">
        <v>1</v>
      </c>
      <c r="Q984" s="550">
        <v>0</v>
      </c>
      <c r="R984" s="574" t="s">
        <v>451</v>
      </c>
      <c r="S984" s="552"/>
      <c r="T984" s="552"/>
      <c r="U984" s="552"/>
      <c r="V984" s="552"/>
      <c r="W984" s="552"/>
      <c r="X984" s="552"/>
      <c r="Y984" s="552"/>
      <c r="Z984" s="552"/>
      <c r="AA984" s="553"/>
      <c r="AB984" s="553"/>
    </row>
    <row r="985" spans="1:28" ht="12.75">
      <c r="A985" s="547" t="s">
        <v>451</v>
      </c>
      <c r="B985" s="547" t="s">
        <v>159</v>
      </c>
      <c r="C985" s="548" t="s">
        <v>784</v>
      </c>
      <c r="D985" s="549">
        <v>2017</v>
      </c>
      <c r="E985" s="549" t="s">
        <v>775</v>
      </c>
      <c r="F985" s="550">
        <v>1</v>
      </c>
      <c r="G985" s="550">
        <v>0</v>
      </c>
      <c r="H985" s="550">
        <v>0</v>
      </c>
      <c r="I985" s="550">
        <v>0</v>
      </c>
      <c r="J985" s="550">
        <v>1</v>
      </c>
      <c r="K985" s="550">
        <v>0</v>
      </c>
      <c r="L985" s="550">
        <v>0</v>
      </c>
      <c r="M985" s="550">
        <v>0</v>
      </c>
      <c r="N985" s="550">
        <v>1</v>
      </c>
      <c r="O985" s="550">
        <v>0</v>
      </c>
      <c r="P985" s="550">
        <v>1</v>
      </c>
      <c r="Q985" s="550">
        <v>0</v>
      </c>
      <c r="R985" s="574" t="s">
        <v>451</v>
      </c>
      <c r="S985" s="552"/>
      <c r="T985" s="552"/>
      <c r="U985" s="552"/>
      <c r="V985" s="552"/>
      <c r="W985" s="552"/>
      <c r="X985" s="552"/>
      <c r="Y985" s="552"/>
      <c r="Z985" s="552"/>
      <c r="AA985" s="553"/>
      <c r="AB985" s="553"/>
    </row>
    <row r="986" spans="1:28" ht="12.75">
      <c r="A986" s="547" t="s">
        <v>451</v>
      </c>
      <c r="B986" s="547" t="s">
        <v>159</v>
      </c>
      <c r="C986" s="548" t="s">
        <v>784</v>
      </c>
      <c r="D986" s="549">
        <v>2018</v>
      </c>
      <c r="E986" s="549" t="s">
        <v>775</v>
      </c>
      <c r="F986" s="550">
        <v>1</v>
      </c>
      <c r="G986" s="550">
        <v>0</v>
      </c>
      <c r="H986" s="550">
        <v>0</v>
      </c>
      <c r="I986" s="550">
        <v>0</v>
      </c>
      <c r="J986" s="550">
        <v>1</v>
      </c>
      <c r="K986" s="550">
        <v>0</v>
      </c>
      <c r="L986" s="550">
        <v>0</v>
      </c>
      <c r="M986" s="550">
        <v>0</v>
      </c>
      <c r="N986" s="550">
        <v>1</v>
      </c>
      <c r="O986" s="550">
        <v>0</v>
      </c>
      <c r="P986" s="550">
        <v>1</v>
      </c>
      <c r="Q986" s="550">
        <v>8</v>
      </c>
      <c r="R986" s="574" t="s">
        <v>451</v>
      </c>
      <c r="S986" s="552"/>
      <c r="T986" s="552"/>
      <c r="U986" s="552"/>
      <c r="V986" s="552"/>
      <c r="W986" s="552"/>
      <c r="X986" s="552"/>
      <c r="Y986" s="552"/>
      <c r="Z986" s="552"/>
      <c r="AA986" s="553"/>
      <c r="AB986" s="553"/>
    </row>
    <row r="987" spans="1:28" ht="12.75">
      <c r="A987" s="547" t="s">
        <v>451</v>
      </c>
      <c r="B987" s="547" t="s">
        <v>159</v>
      </c>
      <c r="C987" s="548" t="s">
        <v>785</v>
      </c>
      <c r="D987" s="549">
        <v>2019</v>
      </c>
      <c r="E987" s="549" t="s">
        <v>775</v>
      </c>
      <c r="F987" s="550">
        <v>1</v>
      </c>
      <c r="G987" s="550">
        <v>0</v>
      </c>
      <c r="H987" s="550">
        <v>0</v>
      </c>
      <c r="I987" s="550">
        <v>0</v>
      </c>
      <c r="J987" s="550">
        <v>1</v>
      </c>
      <c r="K987" s="550">
        <v>0</v>
      </c>
      <c r="L987" s="550">
        <v>0</v>
      </c>
      <c r="M987" s="550">
        <v>0</v>
      </c>
      <c r="N987" s="550">
        <v>1</v>
      </c>
      <c r="O987" s="550">
        <v>0</v>
      </c>
      <c r="P987" s="550">
        <v>1</v>
      </c>
      <c r="Q987" s="550">
        <v>0</v>
      </c>
      <c r="R987" s="574" t="s">
        <v>451</v>
      </c>
      <c r="S987" s="552">
        <f>SUM(G982:G987) +SUM(K982:K987)</f>
        <v>0</v>
      </c>
      <c r="T987" s="552">
        <f>F987+J987</f>
        <v>2</v>
      </c>
      <c r="U987" s="552">
        <f>SUM(O982:O987)</f>
        <v>2</v>
      </c>
      <c r="V987" s="552">
        <f>N987</f>
        <v>1</v>
      </c>
      <c r="W987" s="554">
        <f>SUM(Q982:Q987)</f>
        <v>8</v>
      </c>
      <c r="X987" s="552">
        <f>P987</f>
        <v>1</v>
      </c>
      <c r="Y987" s="552">
        <f>S987+U987+SUM(Q982:Q987)</f>
        <v>10</v>
      </c>
      <c r="Z987" s="552">
        <f>F987+J987+N987+P987</f>
        <v>4</v>
      </c>
      <c r="AA987" s="553"/>
      <c r="AB987" s="553"/>
    </row>
    <row r="988" spans="1:28" ht="12.75">
      <c r="A988" s="547" t="s">
        <v>452</v>
      </c>
      <c r="B988" s="547" t="s">
        <v>159</v>
      </c>
      <c r="C988" s="548" t="s">
        <v>784</v>
      </c>
      <c r="D988" s="549">
        <v>2014</v>
      </c>
      <c r="E988" s="549" t="s">
        <v>775</v>
      </c>
      <c r="F988" s="550">
        <v>11</v>
      </c>
      <c r="G988" s="550">
        <v>0</v>
      </c>
      <c r="H988" s="550">
        <v>0</v>
      </c>
      <c r="I988" s="550">
        <v>0</v>
      </c>
      <c r="J988" s="550">
        <v>7</v>
      </c>
      <c r="K988" s="550">
        <v>0</v>
      </c>
      <c r="L988" s="550">
        <v>0</v>
      </c>
      <c r="M988" s="550">
        <v>0</v>
      </c>
      <c r="N988" s="550">
        <v>7</v>
      </c>
      <c r="O988" s="550">
        <v>0</v>
      </c>
      <c r="P988" s="550">
        <v>20</v>
      </c>
      <c r="Q988" s="550">
        <v>0</v>
      </c>
      <c r="R988" s="574" t="s">
        <v>452</v>
      </c>
      <c r="S988" s="552"/>
      <c r="T988" s="552"/>
      <c r="U988" s="552"/>
      <c r="V988" s="552"/>
      <c r="W988" s="552"/>
      <c r="X988" s="552"/>
      <c r="Y988" s="552"/>
      <c r="Z988" s="552"/>
      <c r="AA988" s="553"/>
      <c r="AB988" s="553"/>
    </row>
    <row r="989" spans="1:28" ht="12.75">
      <c r="A989" s="547" t="s">
        <v>452</v>
      </c>
      <c r="B989" s="547" t="s">
        <v>159</v>
      </c>
      <c r="C989" s="548" t="s">
        <v>784</v>
      </c>
      <c r="D989" s="549">
        <v>2015</v>
      </c>
      <c r="E989" s="549" t="s">
        <v>775</v>
      </c>
      <c r="F989" s="550">
        <v>11</v>
      </c>
      <c r="G989" s="550">
        <v>31</v>
      </c>
      <c r="H989" s="550">
        <v>31</v>
      </c>
      <c r="I989" s="550">
        <v>0</v>
      </c>
      <c r="J989" s="550">
        <v>7</v>
      </c>
      <c r="K989" s="550">
        <v>10</v>
      </c>
      <c r="L989" s="550">
        <v>10</v>
      </c>
      <c r="M989" s="550">
        <v>0</v>
      </c>
      <c r="N989" s="550">
        <v>7</v>
      </c>
      <c r="O989" s="550">
        <v>0</v>
      </c>
      <c r="P989" s="550">
        <v>20</v>
      </c>
      <c r="Q989" s="550">
        <v>5</v>
      </c>
      <c r="R989" s="574" t="s">
        <v>452</v>
      </c>
      <c r="S989" s="552"/>
      <c r="T989" s="552"/>
      <c r="U989" s="552"/>
      <c r="V989" s="552"/>
      <c r="W989" s="552"/>
      <c r="X989" s="552"/>
      <c r="Y989" s="552"/>
      <c r="Z989" s="552"/>
      <c r="AA989" s="553"/>
      <c r="AB989" s="553"/>
    </row>
    <row r="990" spans="1:28" ht="12.75">
      <c r="A990" s="547" t="s">
        <v>452</v>
      </c>
      <c r="B990" s="547" t="s">
        <v>159</v>
      </c>
      <c r="C990" s="548" t="s">
        <v>784</v>
      </c>
      <c r="D990" s="549">
        <v>2016</v>
      </c>
      <c r="E990" s="549" t="s">
        <v>775</v>
      </c>
      <c r="F990" s="550">
        <v>11</v>
      </c>
      <c r="G990" s="550">
        <v>0</v>
      </c>
      <c r="H990" s="550">
        <v>0</v>
      </c>
      <c r="I990" s="550">
        <v>0</v>
      </c>
      <c r="J990" s="550">
        <v>7</v>
      </c>
      <c r="K990" s="550">
        <v>0</v>
      </c>
      <c r="L990" s="550">
        <v>0</v>
      </c>
      <c r="M990" s="550">
        <v>0</v>
      </c>
      <c r="N990" s="550">
        <v>7</v>
      </c>
      <c r="O990" s="550">
        <v>0</v>
      </c>
      <c r="P990" s="550">
        <v>20</v>
      </c>
      <c r="Q990" s="550">
        <v>7</v>
      </c>
      <c r="R990" s="574" t="s">
        <v>452</v>
      </c>
      <c r="S990" s="552"/>
      <c r="T990" s="552"/>
      <c r="U990" s="552"/>
      <c r="V990" s="552"/>
      <c r="W990" s="552"/>
      <c r="X990" s="552"/>
      <c r="Y990" s="552"/>
      <c r="Z990" s="552"/>
      <c r="AA990" s="553"/>
      <c r="AB990" s="553"/>
    </row>
    <row r="991" spans="1:28" ht="12.75">
      <c r="A991" s="547" t="s">
        <v>452</v>
      </c>
      <c r="B991" s="547" t="s">
        <v>159</v>
      </c>
      <c r="C991" s="548" t="s">
        <v>784</v>
      </c>
      <c r="D991" s="549">
        <v>2017</v>
      </c>
      <c r="E991" s="549" t="s">
        <v>775</v>
      </c>
      <c r="F991" s="550">
        <v>11</v>
      </c>
      <c r="G991" s="550">
        <v>0</v>
      </c>
      <c r="H991" s="550">
        <v>0</v>
      </c>
      <c r="I991" s="550">
        <v>0</v>
      </c>
      <c r="J991" s="550">
        <v>7</v>
      </c>
      <c r="K991" s="550">
        <v>0</v>
      </c>
      <c r="L991" s="550">
        <v>0</v>
      </c>
      <c r="M991" s="550">
        <v>0</v>
      </c>
      <c r="N991" s="550">
        <v>7</v>
      </c>
      <c r="O991" s="550">
        <v>0</v>
      </c>
      <c r="P991" s="550">
        <v>20</v>
      </c>
      <c r="Q991" s="550">
        <v>4</v>
      </c>
      <c r="R991" s="574" t="s">
        <v>452</v>
      </c>
      <c r="S991" s="552"/>
      <c r="T991" s="552"/>
      <c r="U991" s="552"/>
      <c r="V991" s="552"/>
      <c r="W991" s="552"/>
      <c r="X991" s="552"/>
      <c r="Y991" s="552"/>
      <c r="Z991" s="552"/>
      <c r="AA991" s="553"/>
      <c r="AB991" s="553"/>
    </row>
    <row r="992" spans="1:28" ht="12.75">
      <c r="A992" s="547" t="s">
        <v>452</v>
      </c>
      <c r="B992" s="547" t="s">
        <v>159</v>
      </c>
      <c r="C992" s="548" t="s">
        <v>784</v>
      </c>
      <c r="D992" s="549">
        <v>2018</v>
      </c>
      <c r="E992" s="549" t="s">
        <v>775</v>
      </c>
      <c r="F992" s="550">
        <v>11</v>
      </c>
      <c r="G992" s="550">
        <v>37</v>
      </c>
      <c r="H992" s="550">
        <v>37</v>
      </c>
      <c r="I992" s="550">
        <v>0</v>
      </c>
      <c r="J992" s="550">
        <v>7</v>
      </c>
      <c r="K992" s="550">
        <v>0</v>
      </c>
      <c r="L992" s="550">
        <v>0</v>
      </c>
      <c r="M992" s="550">
        <v>0</v>
      </c>
      <c r="N992" s="550">
        <v>7</v>
      </c>
      <c r="O992" s="550">
        <v>35</v>
      </c>
      <c r="P992" s="550">
        <v>20</v>
      </c>
      <c r="Q992" s="550">
        <v>16</v>
      </c>
      <c r="R992" s="574" t="s">
        <v>452</v>
      </c>
      <c r="S992" s="552"/>
      <c r="T992" s="552"/>
      <c r="U992" s="552"/>
      <c r="V992" s="552"/>
      <c r="W992" s="552"/>
      <c r="X992" s="552"/>
      <c r="Y992" s="552"/>
      <c r="Z992" s="552"/>
      <c r="AA992" s="553"/>
      <c r="AB992" s="553"/>
    </row>
    <row r="993" spans="1:28" ht="12.75">
      <c r="A993" s="547" t="s">
        <v>452</v>
      </c>
      <c r="B993" s="547" t="s">
        <v>159</v>
      </c>
      <c r="C993" s="548" t="s">
        <v>785</v>
      </c>
      <c r="D993" s="549">
        <v>2019</v>
      </c>
      <c r="E993" s="549" t="s">
        <v>775</v>
      </c>
      <c r="F993" s="550">
        <v>11</v>
      </c>
      <c r="G993" s="550">
        <v>0</v>
      </c>
      <c r="H993" s="550">
        <v>0</v>
      </c>
      <c r="I993" s="550">
        <v>0</v>
      </c>
      <c r="J993" s="550">
        <v>7</v>
      </c>
      <c r="K993" s="550">
        <v>2</v>
      </c>
      <c r="L993" s="550">
        <v>0</v>
      </c>
      <c r="M993" s="550">
        <v>2</v>
      </c>
      <c r="N993" s="550">
        <v>7</v>
      </c>
      <c r="O993" s="550">
        <v>3</v>
      </c>
      <c r="P993" s="550">
        <v>20</v>
      </c>
      <c r="Q993" s="550">
        <v>3</v>
      </c>
      <c r="R993" s="574" t="s">
        <v>452</v>
      </c>
      <c r="S993" s="552">
        <f>SUM(G988:G993) +SUM(K988:K993)</f>
        <v>80</v>
      </c>
      <c r="T993" s="552">
        <f>F993+J993</f>
        <v>18</v>
      </c>
      <c r="U993" s="552">
        <f>SUM(O988:O993)</f>
        <v>38</v>
      </c>
      <c r="V993" s="552">
        <f>N993</f>
        <v>7</v>
      </c>
      <c r="W993" s="554">
        <f>SUM(Q988:Q993)</f>
        <v>35</v>
      </c>
      <c r="X993" s="552">
        <f>P993</f>
        <v>20</v>
      </c>
      <c r="Y993" s="552">
        <f>S993+U993+SUM(Q988:Q993)</f>
        <v>153</v>
      </c>
      <c r="Z993" s="552">
        <f>F993+J993+N993+P993</f>
        <v>45</v>
      </c>
      <c r="AA993" s="553"/>
      <c r="AB993" s="553"/>
    </row>
    <row r="994" spans="1:28" ht="12.75">
      <c r="A994" s="547" t="s">
        <v>453</v>
      </c>
      <c r="B994" s="547" t="s">
        <v>159</v>
      </c>
      <c r="C994" s="548" t="s">
        <v>784</v>
      </c>
      <c r="D994" s="549">
        <v>2018</v>
      </c>
      <c r="E994" s="549" t="s">
        <v>775</v>
      </c>
      <c r="F994" s="550">
        <v>3</v>
      </c>
      <c r="G994" s="550">
        <v>0</v>
      </c>
      <c r="H994" s="550">
        <v>0</v>
      </c>
      <c r="I994" s="550">
        <v>0</v>
      </c>
      <c r="J994" s="550">
        <v>2</v>
      </c>
      <c r="K994" s="550">
        <v>2</v>
      </c>
      <c r="L994" s="550">
        <v>0</v>
      </c>
      <c r="M994" s="550">
        <v>2</v>
      </c>
      <c r="N994" s="550">
        <v>2</v>
      </c>
      <c r="O994" s="550">
        <v>0</v>
      </c>
      <c r="P994" s="550">
        <v>6</v>
      </c>
      <c r="Q994" s="550">
        <v>1</v>
      </c>
      <c r="R994" s="574" t="s">
        <v>453</v>
      </c>
      <c r="S994" s="552"/>
      <c r="T994" s="552"/>
      <c r="U994" s="552"/>
      <c r="V994" s="552"/>
      <c r="W994" s="552"/>
      <c r="X994" s="552"/>
      <c r="Y994" s="552"/>
      <c r="Z994" s="552"/>
      <c r="AA994" s="553"/>
      <c r="AB994" s="553"/>
    </row>
    <row r="995" spans="1:28" ht="12.75">
      <c r="A995" s="547" t="s">
        <v>453</v>
      </c>
      <c r="B995" s="547" t="s">
        <v>159</v>
      </c>
      <c r="C995" s="548" t="s">
        <v>785</v>
      </c>
      <c r="D995" s="549">
        <v>2019</v>
      </c>
      <c r="E995" s="549" t="s">
        <v>775</v>
      </c>
      <c r="F995" s="550">
        <v>3</v>
      </c>
      <c r="G995" s="550">
        <v>0</v>
      </c>
      <c r="H995" s="550">
        <v>0</v>
      </c>
      <c r="I995" s="550">
        <v>0</v>
      </c>
      <c r="J995" s="550">
        <v>2</v>
      </c>
      <c r="K995" s="550">
        <v>2</v>
      </c>
      <c r="L995" s="550">
        <v>0</v>
      </c>
      <c r="M995" s="550">
        <v>2</v>
      </c>
      <c r="N995" s="550">
        <v>2</v>
      </c>
      <c r="O995" s="550">
        <v>4</v>
      </c>
      <c r="P995" s="550">
        <v>6</v>
      </c>
      <c r="Q995" s="550">
        <v>0</v>
      </c>
      <c r="R995" s="574" t="s">
        <v>453</v>
      </c>
      <c r="S995" s="561">
        <f>SUM(G994:G995) +SUM(K994:K995)</f>
        <v>4</v>
      </c>
      <c r="T995" s="561">
        <f>F995+J995</f>
        <v>5</v>
      </c>
      <c r="U995" s="561">
        <f>SUM(O994:O995)</f>
        <v>4</v>
      </c>
      <c r="V995" s="561">
        <f>N995</f>
        <v>2</v>
      </c>
      <c r="W995" s="562">
        <f>SUM(Q994:Q995)</f>
        <v>1</v>
      </c>
      <c r="X995" s="561">
        <f>P995</f>
        <v>6</v>
      </c>
      <c r="Y995" s="561">
        <f>S995+U995+SUM(Q994:Q995)</f>
        <v>9</v>
      </c>
      <c r="Z995" s="561">
        <f>F995+J995+N995+P995</f>
        <v>13</v>
      </c>
      <c r="AA995" s="553"/>
      <c r="AB995" s="553"/>
    </row>
    <row r="996" spans="1:28" ht="12.75">
      <c r="A996" s="547"/>
      <c r="B996" s="547"/>
      <c r="C996" s="548"/>
      <c r="D996" s="549"/>
      <c r="E996" s="549"/>
      <c r="F996" s="550"/>
      <c r="G996" s="550"/>
      <c r="H996" s="550"/>
      <c r="I996" s="550"/>
      <c r="J996" s="550"/>
      <c r="K996" s="550"/>
      <c r="L996" s="550"/>
      <c r="M996" s="550"/>
      <c r="N996" s="550"/>
      <c r="O996" s="550"/>
      <c r="P996" s="550"/>
      <c r="Q996" s="550"/>
      <c r="R996" s="574"/>
      <c r="S996" s="563">
        <f t="shared" ref="S996:Z996" si="165">SUM(S977:S995)</f>
        <v>87</v>
      </c>
      <c r="T996" s="563">
        <f t="shared" si="165"/>
        <v>100</v>
      </c>
      <c r="U996" s="563">
        <f t="shared" si="165"/>
        <v>120</v>
      </c>
      <c r="V996" s="563">
        <f t="shared" si="165"/>
        <v>40</v>
      </c>
      <c r="W996" s="563">
        <f t="shared" si="165"/>
        <v>192</v>
      </c>
      <c r="X996" s="563">
        <f t="shared" si="165"/>
        <v>110</v>
      </c>
      <c r="Y996" s="563">
        <f t="shared" si="165"/>
        <v>399</v>
      </c>
      <c r="Z996" s="563">
        <f t="shared" si="165"/>
        <v>250</v>
      </c>
      <c r="AA996" s="553"/>
      <c r="AB996" s="553"/>
    </row>
    <row r="997" spans="1:28" ht="12.75">
      <c r="A997" s="547" t="s">
        <v>454</v>
      </c>
      <c r="B997" s="547" t="s">
        <v>160</v>
      </c>
      <c r="C997" s="548" t="s">
        <v>828</v>
      </c>
      <c r="D997" s="549">
        <v>2016</v>
      </c>
      <c r="E997" s="549" t="s">
        <v>775</v>
      </c>
      <c r="F997" s="550">
        <v>429</v>
      </c>
      <c r="G997" s="550">
        <v>0</v>
      </c>
      <c r="H997" s="550">
        <v>0</v>
      </c>
      <c r="I997" s="550">
        <v>0</v>
      </c>
      <c r="J997" s="550">
        <v>307</v>
      </c>
      <c r="K997" s="550">
        <v>0</v>
      </c>
      <c r="L997" s="550">
        <v>0</v>
      </c>
      <c r="M997" s="550">
        <v>0</v>
      </c>
      <c r="N997" s="550">
        <v>281</v>
      </c>
      <c r="O997" s="550">
        <v>0</v>
      </c>
      <c r="P997" s="550">
        <v>748</v>
      </c>
      <c r="Q997" s="550">
        <v>235</v>
      </c>
      <c r="R997" s="574" t="s">
        <v>454</v>
      </c>
      <c r="S997" s="552"/>
      <c r="T997" s="552"/>
      <c r="U997" s="552"/>
      <c r="V997" s="552"/>
      <c r="W997" s="552"/>
      <c r="X997" s="552"/>
      <c r="Y997" s="552"/>
      <c r="Z997" s="552"/>
      <c r="AA997" s="553"/>
      <c r="AB997" s="553"/>
    </row>
    <row r="998" spans="1:28" ht="12.75">
      <c r="A998" s="547" t="s">
        <v>454</v>
      </c>
      <c r="B998" s="547" t="s">
        <v>160</v>
      </c>
      <c r="C998" s="548" t="s">
        <v>828</v>
      </c>
      <c r="D998" s="549">
        <v>2017</v>
      </c>
      <c r="E998" s="549" t="s">
        <v>775</v>
      </c>
      <c r="F998" s="550">
        <v>429</v>
      </c>
      <c r="G998" s="550">
        <v>0</v>
      </c>
      <c r="H998" s="550">
        <v>0</v>
      </c>
      <c r="I998" s="550">
        <v>0</v>
      </c>
      <c r="J998" s="550">
        <v>307</v>
      </c>
      <c r="K998" s="550">
        <v>0</v>
      </c>
      <c r="L998" s="550">
        <v>0</v>
      </c>
      <c r="M998" s="550">
        <v>0</v>
      </c>
      <c r="N998" s="550">
        <v>281</v>
      </c>
      <c r="O998" s="550">
        <v>0</v>
      </c>
      <c r="P998" s="550">
        <v>748</v>
      </c>
      <c r="Q998" s="550">
        <v>133</v>
      </c>
      <c r="R998" s="574" t="s">
        <v>454</v>
      </c>
      <c r="S998" s="552"/>
      <c r="T998" s="552"/>
      <c r="U998" s="552"/>
      <c r="V998" s="552"/>
      <c r="W998" s="552"/>
      <c r="X998" s="552"/>
      <c r="Y998" s="552"/>
      <c r="Z998" s="552"/>
      <c r="AA998" s="553"/>
      <c r="AB998" s="553"/>
    </row>
    <row r="999" spans="1:28" ht="12.75">
      <c r="A999" s="547" t="s">
        <v>454</v>
      </c>
      <c r="B999" s="547" t="s">
        <v>160</v>
      </c>
      <c r="C999" s="548" t="s">
        <v>828</v>
      </c>
      <c r="D999" s="549">
        <v>2018</v>
      </c>
      <c r="E999" s="549" t="s">
        <v>775</v>
      </c>
      <c r="F999" s="550">
        <v>429</v>
      </c>
      <c r="G999" s="550">
        <v>0</v>
      </c>
      <c r="H999" s="550">
        <v>0</v>
      </c>
      <c r="I999" s="550">
        <v>0</v>
      </c>
      <c r="J999" s="550">
        <v>307</v>
      </c>
      <c r="K999" s="550">
        <v>0</v>
      </c>
      <c r="L999" s="550">
        <v>0</v>
      </c>
      <c r="M999" s="550">
        <v>0</v>
      </c>
      <c r="N999" s="550">
        <v>281</v>
      </c>
      <c r="O999" s="550">
        <v>0</v>
      </c>
      <c r="P999" s="550">
        <v>748</v>
      </c>
      <c r="Q999" s="550">
        <v>16</v>
      </c>
      <c r="R999" s="574" t="s">
        <v>454</v>
      </c>
      <c r="S999" s="255">
        <f>SUM(G997:G999) +SUM(K997:K999)</f>
        <v>0</v>
      </c>
      <c r="T999" s="255">
        <f t="shared" ref="T999:T1001" si="166">F999+J999</f>
        <v>736</v>
      </c>
      <c r="U999" s="255">
        <f>SUM(O997:O999)</f>
        <v>0</v>
      </c>
      <c r="V999" s="255">
        <f t="shared" ref="V999:V1001" si="167">N999</f>
        <v>281</v>
      </c>
      <c r="W999" s="83">
        <f>SUM(Q997:Q999)</f>
        <v>384</v>
      </c>
      <c r="X999" s="255">
        <f t="shared" ref="X999:X1001" si="168">P999</f>
        <v>748</v>
      </c>
      <c r="Y999" s="255">
        <f>S999+U999+SUM(Q997:Q999)</f>
        <v>384</v>
      </c>
      <c r="Z999" s="255">
        <f t="shared" ref="Z999:Z1001" si="169">F999+J999+N999+P999</f>
        <v>1765</v>
      </c>
      <c r="AA999" s="553"/>
      <c r="AB999" s="553"/>
    </row>
    <row r="1000" spans="1:28" ht="12.75">
      <c r="A1000" s="547" t="s">
        <v>455</v>
      </c>
      <c r="B1000" s="547" t="s">
        <v>160</v>
      </c>
      <c r="C1000" s="548" t="s">
        <v>829</v>
      </c>
      <c r="D1000" s="549">
        <v>2019</v>
      </c>
      <c r="E1000" s="549" t="s">
        <v>775</v>
      </c>
      <c r="F1000" s="550">
        <v>71</v>
      </c>
      <c r="G1000" s="550">
        <v>0</v>
      </c>
      <c r="H1000" s="550">
        <v>0</v>
      </c>
      <c r="I1000" s="550">
        <v>0</v>
      </c>
      <c r="J1000" s="550">
        <v>27</v>
      </c>
      <c r="K1000" s="550">
        <v>0</v>
      </c>
      <c r="L1000" s="550">
        <v>0</v>
      </c>
      <c r="M1000" s="550">
        <v>0</v>
      </c>
      <c r="N1000" s="550">
        <v>47</v>
      </c>
      <c r="O1000" s="550">
        <v>0</v>
      </c>
      <c r="P1000" s="550">
        <v>124</v>
      </c>
      <c r="Q1000" s="550">
        <v>0</v>
      </c>
      <c r="R1000" s="574" t="s">
        <v>455</v>
      </c>
      <c r="S1000" s="552">
        <f t="shared" ref="S1000:S1001" si="170">G1000+K1000</f>
        <v>0</v>
      </c>
      <c r="T1000" s="552">
        <f t="shared" si="166"/>
        <v>98</v>
      </c>
      <c r="U1000" s="552">
        <f t="shared" ref="U1000:U1001" si="171">O1000</f>
        <v>0</v>
      </c>
      <c r="V1000" s="552">
        <f t="shared" si="167"/>
        <v>47</v>
      </c>
      <c r="W1000" s="552">
        <f t="shared" ref="W1000:W1001" si="172">Q1000</f>
        <v>0</v>
      </c>
      <c r="X1000" s="552">
        <f t="shared" si="168"/>
        <v>124</v>
      </c>
      <c r="Y1000" s="552">
        <f t="shared" ref="Y1000:Y1001" si="173">S1000+U1000+W1000</f>
        <v>0</v>
      </c>
      <c r="Z1000" s="552">
        <f t="shared" si="169"/>
        <v>269</v>
      </c>
      <c r="AA1000" s="553"/>
      <c r="AB1000" s="553"/>
    </row>
    <row r="1001" spans="1:28" ht="12.75">
      <c r="A1001" s="547" t="s">
        <v>456</v>
      </c>
      <c r="B1001" s="547" t="s">
        <v>160</v>
      </c>
      <c r="C1001" s="548" t="s">
        <v>829</v>
      </c>
      <c r="D1001" s="549">
        <v>2019</v>
      </c>
      <c r="E1001" s="549" t="s">
        <v>775</v>
      </c>
      <c r="F1001" s="550">
        <v>61</v>
      </c>
      <c r="G1001" s="550">
        <v>0</v>
      </c>
      <c r="H1001" s="550">
        <v>0</v>
      </c>
      <c r="I1001" s="550">
        <v>0</v>
      </c>
      <c r="J1001" s="550">
        <v>56</v>
      </c>
      <c r="K1001" s="550">
        <v>0</v>
      </c>
      <c r="L1001" s="550">
        <v>0</v>
      </c>
      <c r="M1001" s="550">
        <v>0</v>
      </c>
      <c r="N1001" s="550">
        <v>51</v>
      </c>
      <c r="O1001" s="550">
        <v>0</v>
      </c>
      <c r="P1001" s="550">
        <v>136</v>
      </c>
      <c r="Q1001" s="550">
        <v>5</v>
      </c>
      <c r="R1001" s="574" t="s">
        <v>456</v>
      </c>
      <c r="S1001" s="552">
        <f t="shared" si="170"/>
        <v>0</v>
      </c>
      <c r="T1001" s="552">
        <f t="shared" si="166"/>
        <v>117</v>
      </c>
      <c r="U1001" s="552">
        <f t="shared" si="171"/>
        <v>0</v>
      </c>
      <c r="V1001" s="552">
        <f t="shared" si="167"/>
        <v>51</v>
      </c>
      <c r="W1001" s="552">
        <f t="shared" si="172"/>
        <v>5</v>
      </c>
      <c r="X1001" s="552">
        <f t="shared" si="168"/>
        <v>136</v>
      </c>
      <c r="Y1001" s="552">
        <f t="shared" si="173"/>
        <v>5</v>
      </c>
      <c r="Z1001" s="552">
        <f t="shared" si="169"/>
        <v>304</v>
      </c>
      <c r="AA1001" s="553"/>
      <c r="AB1001" s="553"/>
    </row>
    <row r="1002" spans="1:28" ht="12.75">
      <c r="A1002" s="547" t="s">
        <v>457</v>
      </c>
      <c r="B1002" s="547" t="s">
        <v>160</v>
      </c>
      <c r="C1002" s="548" t="s">
        <v>828</v>
      </c>
      <c r="D1002" s="549">
        <v>2016</v>
      </c>
      <c r="E1002" s="549" t="s">
        <v>775</v>
      </c>
      <c r="F1002" s="550">
        <v>249</v>
      </c>
      <c r="G1002" s="550">
        <v>0</v>
      </c>
      <c r="H1002" s="550">
        <v>0</v>
      </c>
      <c r="I1002" s="550">
        <v>0</v>
      </c>
      <c r="J1002" s="550">
        <v>178</v>
      </c>
      <c r="K1002" s="550">
        <v>0</v>
      </c>
      <c r="L1002" s="550">
        <v>0</v>
      </c>
      <c r="M1002" s="550">
        <v>0</v>
      </c>
      <c r="N1002" s="550">
        <v>163</v>
      </c>
      <c r="O1002" s="550">
        <v>0</v>
      </c>
      <c r="P1002" s="550">
        <v>435</v>
      </c>
      <c r="Q1002" s="550">
        <v>34</v>
      </c>
      <c r="R1002" s="574" t="s">
        <v>457</v>
      </c>
      <c r="S1002" s="552"/>
      <c r="T1002" s="552"/>
      <c r="U1002" s="552"/>
      <c r="V1002" s="552"/>
      <c r="W1002" s="552"/>
      <c r="X1002" s="552"/>
      <c r="Y1002" s="552"/>
      <c r="Z1002" s="552"/>
      <c r="AA1002" s="553"/>
      <c r="AB1002" s="553"/>
    </row>
    <row r="1003" spans="1:28" ht="12.75">
      <c r="A1003" s="547" t="s">
        <v>457</v>
      </c>
      <c r="B1003" s="547" t="s">
        <v>160</v>
      </c>
      <c r="C1003" s="548" t="s">
        <v>828</v>
      </c>
      <c r="D1003" s="549">
        <v>2017</v>
      </c>
      <c r="E1003" s="549" t="s">
        <v>775</v>
      </c>
      <c r="F1003" s="550">
        <v>249</v>
      </c>
      <c r="G1003" s="550">
        <v>0</v>
      </c>
      <c r="H1003" s="550">
        <v>0</v>
      </c>
      <c r="I1003" s="550">
        <v>0</v>
      </c>
      <c r="J1003" s="550">
        <v>178</v>
      </c>
      <c r="K1003" s="550">
        <v>5</v>
      </c>
      <c r="L1003" s="550">
        <v>5</v>
      </c>
      <c r="M1003" s="550">
        <v>0</v>
      </c>
      <c r="N1003" s="550">
        <v>163</v>
      </c>
      <c r="O1003" s="550">
        <v>0</v>
      </c>
      <c r="P1003" s="550">
        <v>435</v>
      </c>
      <c r="Q1003" s="550">
        <v>69</v>
      </c>
      <c r="R1003" s="574" t="s">
        <v>457</v>
      </c>
      <c r="S1003" s="552"/>
      <c r="T1003" s="552"/>
      <c r="U1003" s="552"/>
      <c r="V1003" s="552"/>
      <c r="W1003" s="552"/>
      <c r="X1003" s="552"/>
      <c r="Y1003" s="552"/>
      <c r="Z1003" s="552"/>
      <c r="AA1003" s="553"/>
      <c r="AB1003" s="553"/>
    </row>
    <row r="1004" spans="1:28" ht="12.75">
      <c r="A1004" s="547" t="s">
        <v>457</v>
      </c>
      <c r="B1004" s="547" t="s">
        <v>160</v>
      </c>
      <c r="C1004" s="548" t="s">
        <v>829</v>
      </c>
      <c r="D1004" s="549">
        <v>2019</v>
      </c>
      <c r="E1004" s="549" t="s">
        <v>775</v>
      </c>
      <c r="F1004" s="550">
        <v>249</v>
      </c>
      <c r="G1004" s="550">
        <v>0</v>
      </c>
      <c r="H1004" s="550">
        <v>0</v>
      </c>
      <c r="I1004" s="550">
        <v>0</v>
      </c>
      <c r="J1004" s="550">
        <v>178</v>
      </c>
      <c r="K1004" s="550">
        <v>4</v>
      </c>
      <c r="L1004" s="550">
        <v>0</v>
      </c>
      <c r="M1004" s="550">
        <v>4</v>
      </c>
      <c r="N1004" s="550">
        <v>163</v>
      </c>
      <c r="O1004" s="550">
        <v>7</v>
      </c>
      <c r="P1004" s="550">
        <v>435</v>
      </c>
      <c r="Q1004" s="550">
        <v>76</v>
      </c>
      <c r="R1004" s="574" t="s">
        <v>457</v>
      </c>
      <c r="S1004" s="255">
        <f>SUM(G1002:G1004) +SUM(K1002:K1004)</f>
        <v>9</v>
      </c>
      <c r="T1004" s="255">
        <f>F1004+J1004</f>
        <v>427</v>
      </c>
      <c r="U1004" s="255">
        <f>SUM(O1002:O1004)</f>
        <v>7</v>
      </c>
      <c r="V1004" s="255">
        <f>N1004</f>
        <v>163</v>
      </c>
      <c r="W1004" s="83">
        <f>SUM(Q1002:Q1004)</f>
        <v>179</v>
      </c>
      <c r="X1004" s="255">
        <f>P1004</f>
        <v>435</v>
      </c>
      <c r="Y1004" s="255">
        <f>S1004+U1004+SUM(Q1002:Q1004)</f>
        <v>195</v>
      </c>
      <c r="Z1004" s="255">
        <f>F1004+J1004+N1004+P1004</f>
        <v>1025</v>
      </c>
      <c r="AA1004" s="553"/>
      <c r="AB1004" s="553"/>
    </row>
    <row r="1005" spans="1:28" ht="12.75">
      <c r="A1005" s="547" t="s">
        <v>458</v>
      </c>
      <c r="B1005" s="547" t="s">
        <v>160</v>
      </c>
      <c r="C1005" s="548" t="s">
        <v>828</v>
      </c>
      <c r="D1005" s="549">
        <v>2016</v>
      </c>
      <c r="E1005" s="549" t="s">
        <v>775</v>
      </c>
      <c r="F1005" s="550">
        <v>604</v>
      </c>
      <c r="G1005" s="550">
        <v>41</v>
      </c>
      <c r="H1005" s="550">
        <v>41</v>
      </c>
      <c r="I1005" s="550">
        <v>0</v>
      </c>
      <c r="J1005" s="550">
        <v>431</v>
      </c>
      <c r="K1005" s="550">
        <v>21</v>
      </c>
      <c r="L1005" s="550">
        <v>21</v>
      </c>
      <c r="M1005" s="550">
        <v>0</v>
      </c>
      <c r="N1005" s="550">
        <v>396</v>
      </c>
      <c r="O1005" s="550">
        <v>7</v>
      </c>
      <c r="P1005" s="550">
        <v>1049</v>
      </c>
      <c r="Q1005" s="550">
        <v>0</v>
      </c>
      <c r="R1005" s="574" t="s">
        <v>458</v>
      </c>
      <c r="S1005" s="552"/>
      <c r="T1005" s="552"/>
      <c r="U1005" s="552"/>
      <c r="V1005" s="552"/>
      <c r="W1005" s="552"/>
      <c r="X1005" s="552"/>
      <c r="Y1005" s="552"/>
      <c r="Z1005" s="552"/>
      <c r="AA1005" s="553"/>
      <c r="AB1005" s="553"/>
    </row>
    <row r="1006" spans="1:28" ht="12.75">
      <c r="A1006" s="547" t="s">
        <v>458</v>
      </c>
      <c r="B1006" s="547" t="s">
        <v>160</v>
      </c>
      <c r="C1006" s="548" t="s">
        <v>828</v>
      </c>
      <c r="D1006" s="549">
        <v>2017</v>
      </c>
      <c r="E1006" s="549" t="s">
        <v>775</v>
      </c>
      <c r="F1006" s="550">
        <v>604</v>
      </c>
      <c r="G1006" s="550">
        <v>0</v>
      </c>
      <c r="H1006" s="550">
        <v>0</v>
      </c>
      <c r="I1006" s="550">
        <v>0</v>
      </c>
      <c r="J1006" s="550">
        <v>431</v>
      </c>
      <c r="K1006" s="550">
        <v>0</v>
      </c>
      <c r="L1006" s="550">
        <v>0</v>
      </c>
      <c r="M1006" s="550">
        <v>0</v>
      </c>
      <c r="N1006" s="550">
        <v>396</v>
      </c>
      <c r="O1006" s="550">
        <v>0</v>
      </c>
      <c r="P1006" s="550">
        <v>1049</v>
      </c>
      <c r="Q1006" s="550">
        <v>217</v>
      </c>
      <c r="R1006" s="574" t="s">
        <v>458</v>
      </c>
      <c r="S1006" s="552"/>
      <c r="T1006" s="552"/>
      <c r="U1006" s="552"/>
      <c r="V1006" s="552"/>
      <c r="W1006" s="552"/>
      <c r="X1006" s="552"/>
      <c r="Y1006" s="552"/>
      <c r="Z1006" s="552"/>
      <c r="AA1006" s="553"/>
      <c r="AB1006" s="553"/>
    </row>
    <row r="1007" spans="1:28" ht="12.75">
      <c r="A1007" s="547" t="s">
        <v>458</v>
      </c>
      <c r="B1007" s="547" t="s">
        <v>160</v>
      </c>
      <c r="C1007" s="548" t="s">
        <v>828</v>
      </c>
      <c r="D1007" s="549">
        <v>2018</v>
      </c>
      <c r="E1007" s="549" t="s">
        <v>775</v>
      </c>
      <c r="F1007" s="550">
        <v>604</v>
      </c>
      <c r="G1007" s="550">
        <v>0</v>
      </c>
      <c r="H1007" s="550">
        <v>0</v>
      </c>
      <c r="I1007" s="550">
        <v>0</v>
      </c>
      <c r="J1007" s="550">
        <v>431</v>
      </c>
      <c r="K1007" s="550">
        <v>1</v>
      </c>
      <c r="L1007" s="550">
        <v>0</v>
      </c>
      <c r="M1007" s="550">
        <v>1</v>
      </c>
      <c r="N1007" s="550">
        <v>396</v>
      </c>
      <c r="O1007" s="550">
        <v>4</v>
      </c>
      <c r="P1007" s="550">
        <v>1049</v>
      </c>
      <c r="Q1007" s="550">
        <v>258</v>
      </c>
      <c r="R1007" s="574" t="s">
        <v>458</v>
      </c>
      <c r="S1007" s="552"/>
      <c r="T1007" s="552"/>
      <c r="U1007" s="552"/>
      <c r="V1007" s="552"/>
      <c r="W1007" s="552"/>
      <c r="X1007" s="552"/>
      <c r="Y1007" s="552"/>
      <c r="Z1007" s="552"/>
      <c r="AA1007" s="553"/>
      <c r="AB1007" s="553"/>
    </row>
    <row r="1008" spans="1:28" ht="12.75">
      <c r="A1008" s="547" t="s">
        <v>458</v>
      </c>
      <c r="B1008" s="547" t="s">
        <v>160</v>
      </c>
      <c r="C1008" s="548" t="s">
        <v>829</v>
      </c>
      <c r="D1008" s="549">
        <v>2019</v>
      </c>
      <c r="E1008" s="549" t="s">
        <v>775</v>
      </c>
      <c r="F1008" s="550">
        <v>604</v>
      </c>
      <c r="G1008" s="550">
        <v>0</v>
      </c>
      <c r="H1008" s="550">
        <v>0</v>
      </c>
      <c r="I1008" s="550">
        <v>0</v>
      </c>
      <c r="J1008" s="550">
        <v>431</v>
      </c>
      <c r="K1008" s="550">
        <v>0</v>
      </c>
      <c r="L1008" s="550">
        <v>0</v>
      </c>
      <c r="M1008" s="550">
        <v>0</v>
      </c>
      <c r="N1008" s="550">
        <v>396</v>
      </c>
      <c r="O1008" s="550">
        <v>2</v>
      </c>
      <c r="P1008" s="550">
        <v>1049</v>
      </c>
      <c r="Q1008" s="550">
        <v>192</v>
      </c>
      <c r="R1008" s="574" t="s">
        <v>458</v>
      </c>
      <c r="S1008" s="255">
        <f>SUM(G1005:G1008) +SUM(K1005:K1008)</f>
        <v>63</v>
      </c>
      <c r="T1008" s="255">
        <f>F1008+J1008</f>
        <v>1035</v>
      </c>
      <c r="U1008" s="255">
        <f>SUM(O1005:O1008)</f>
        <v>13</v>
      </c>
      <c r="V1008" s="255">
        <f>N1008</f>
        <v>396</v>
      </c>
      <c r="W1008" s="83">
        <f>SUM(Q1005:Q1008)</f>
        <v>667</v>
      </c>
      <c r="X1008" s="255">
        <f>P1008</f>
        <v>1049</v>
      </c>
      <c r="Y1008" s="255">
        <f>S1008+U1008+SUM(Q1005:Q1008)</f>
        <v>743</v>
      </c>
      <c r="Z1008" s="255">
        <f>F1008+J1008+N1008+P1008</f>
        <v>2480</v>
      </c>
      <c r="AA1008" s="553"/>
      <c r="AB1008" s="553"/>
    </row>
    <row r="1009" spans="1:28" ht="12.75">
      <c r="A1009" s="547" t="s">
        <v>160</v>
      </c>
      <c r="B1009" s="547" t="s">
        <v>160</v>
      </c>
      <c r="C1009" s="548" t="s">
        <v>828</v>
      </c>
      <c r="D1009" s="549">
        <v>2017</v>
      </c>
      <c r="E1009" s="549" t="s">
        <v>775</v>
      </c>
      <c r="F1009" s="550">
        <v>1351</v>
      </c>
      <c r="G1009" s="550">
        <v>0</v>
      </c>
      <c r="H1009" s="550">
        <v>0</v>
      </c>
      <c r="I1009" s="550">
        <v>0</v>
      </c>
      <c r="J1009" s="550">
        <v>966</v>
      </c>
      <c r="K1009" s="550">
        <v>0</v>
      </c>
      <c r="L1009" s="550">
        <v>0</v>
      </c>
      <c r="M1009" s="550">
        <v>0</v>
      </c>
      <c r="N1009" s="550">
        <v>886</v>
      </c>
      <c r="O1009" s="550">
        <v>145</v>
      </c>
      <c r="P1009" s="550">
        <v>2348</v>
      </c>
      <c r="Q1009" s="550">
        <v>82</v>
      </c>
      <c r="R1009" s="574" t="s">
        <v>160</v>
      </c>
      <c r="S1009" s="552"/>
      <c r="T1009" s="552"/>
      <c r="U1009" s="552"/>
      <c r="V1009" s="552"/>
      <c r="W1009" s="552"/>
      <c r="X1009" s="552"/>
      <c r="Y1009" s="552"/>
      <c r="Z1009" s="552"/>
      <c r="AA1009" s="553"/>
      <c r="AB1009" s="553"/>
    </row>
    <row r="1010" spans="1:28" ht="12.75">
      <c r="A1010" s="547" t="s">
        <v>160</v>
      </c>
      <c r="B1010" s="547" t="s">
        <v>160</v>
      </c>
      <c r="C1010" s="548" t="s">
        <v>828</v>
      </c>
      <c r="D1010" s="549">
        <v>2018</v>
      </c>
      <c r="E1010" s="549" t="s">
        <v>775</v>
      </c>
      <c r="F1010" s="550">
        <v>1351</v>
      </c>
      <c r="G1010" s="550">
        <v>0</v>
      </c>
      <c r="H1010" s="550">
        <v>0</v>
      </c>
      <c r="I1010" s="550">
        <v>0</v>
      </c>
      <c r="J1010" s="550">
        <v>966</v>
      </c>
      <c r="K1010" s="550">
        <v>0</v>
      </c>
      <c r="L1010" s="550">
        <v>0</v>
      </c>
      <c r="M1010" s="550">
        <v>0</v>
      </c>
      <c r="N1010" s="550">
        <v>886</v>
      </c>
      <c r="O1010" s="550">
        <v>0</v>
      </c>
      <c r="P1010" s="550">
        <v>2348</v>
      </c>
      <c r="Q1010" s="550">
        <v>603</v>
      </c>
      <c r="R1010" s="574" t="s">
        <v>160</v>
      </c>
      <c r="S1010" s="552"/>
      <c r="T1010" s="552"/>
      <c r="U1010" s="552"/>
      <c r="V1010" s="552"/>
      <c r="W1010" s="552"/>
      <c r="X1010" s="552"/>
      <c r="Y1010" s="552"/>
      <c r="Z1010" s="552"/>
      <c r="AA1010" s="553"/>
      <c r="AB1010" s="553"/>
    </row>
    <row r="1011" spans="1:28" ht="12.75">
      <c r="A1011" s="547" t="s">
        <v>160</v>
      </c>
      <c r="B1011" s="547" t="s">
        <v>160</v>
      </c>
      <c r="C1011" s="548" t="s">
        <v>829</v>
      </c>
      <c r="D1011" s="549">
        <v>2019</v>
      </c>
      <c r="E1011" s="549" t="s">
        <v>775</v>
      </c>
      <c r="F1011" s="550">
        <v>1351</v>
      </c>
      <c r="G1011" s="550">
        <v>0</v>
      </c>
      <c r="H1011" s="550">
        <v>0</v>
      </c>
      <c r="I1011" s="550">
        <v>0</v>
      </c>
      <c r="J1011" s="550">
        <v>966</v>
      </c>
      <c r="K1011" s="550">
        <v>0</v>
      </c>
      <c r="L1011" s="550">
        <v>0</v>
      </c>
      <c r="M1011" s="550">
        <v>0</v>
      </c>
      <c r="N1011" s="550">
        <v>886</v>
      </c>
      <c r="O1011" s="550">
        <v>18</v>
      </c>
      <c r="P1011" s="550">
        <v>2348</v>
      </c>
      <c r="Q1011" s="550">
        <v>650</v>
      </c>
      <c r="R1011" s="574" t="s">
        <v>160</v>
      </c>
      <c r="S1011" s="255">
        <f>SUM(G1009:G1011) +SUM(K1009:K1011)</f>
        <v>0</v>
      </c>
      <c r="T1011" s="255">
        <f>F1011+J1011</f>
        <v>2317</v>
      </c>
      <c r="U1011" s="255">
        <f>SUM(O1009:O1011)</f>
        <v>163</v>
      </c>
      <c r="V1011" s="255">
        <f>N1011</f>
        <v>886</v>
      </c>
      <c r="W1011" s="83">
        <f>SUM(Q1009:Q1011)</f>
        <v>1335</v>
      </c>
      <c r="X1011" s="255">
        <f>P1011</f>
        <v>2348</v>
      </c>
      <c r="Y1011" s="255">
        <f>S1011+U1011+SUM(Q1009:Q1011)</f>
        <v>1498</v>
      </c>
      <c r="Z1011" s="255">
        <f>F1011+J1011+N1011+P1011</f>
        <v>5551</v>
      </c>
      <c r="AA1011" s="553"/>
      <c r="AB1011" s="553"/>
    </row>
    <row r="1012" spans="1:28" ht="12.75">
      <c r="A1012" s="547" t="s">
        <v>459</v>
      </c>
      <c r="B1012" s="547" t="s">
        <v>160</v>
      </c>
      <c r="C1012" s="548" t="s">
        <v>828</v>
      </c>
      <c r="D1012" s="549">
        <v>2016</v>
      </c>
      <c r="E1012" s="549" t="s">
        <v>775</v>
      </c>
      <c r="F1012" s="550">
        <v>1085</v>
      </c>
      <c r="G1012" s="550">
        <v>0</v>
      </c>
      <c r="H1012" s="550">
        <v>0</v>
      </c>
      <c r="I1012" s="550">
        <v>0</v>
      </c>
      <c r="J1012" s="550">
        <v>775</v>
      </c>
      <c r="K1012" s="550">
        <v>0</v>
      </c>
      <c r="L1012" s="550">
        <v>0</v>
      </c>
      <c r="M1012" s="550">
        <v>0</v>
      </c>
      <c r="N1012" s="550">
        <v>711</v>
      </c>
      <c r="O1012" s="550">
        <v>37</v>
      </c>
      <c r="P1012" s="550">
        <v>1885</v>
      </c>
      <c r="Q1012" s="550">
        <v>137</v>
      </c>
      <c r="R1012" s="574" t="s">
        <v>459</v>
      </c>
      <c r="S1012" s="552"/>
      <c r="T1012" s="552"/>
      <c r="U1012" s="552"/>
      <c r="V1012" s="552"/>
      <c r="W1012" s="552"/>
      <c r="X1012" s="552"/>
      <c r="Y1012" s="552"/>
      <c r="Z1012" s="552"/>
      <c r="AA1012" s="553"/>
      <c r="AB1012" s="553"/>
    </row>
    <row r="1013" spans="1:28" ht="12.75">
      <c r="A1013" s="547" t="s">
        <v>459</v>
      </c>
      <c r="B1013" s="547" t="s">
        <v>160</v>
      </c>
      <c r="C1013" s="548" t="s">
        <v>828</v>
      </c>
      <c r="D1013" s="549">
        <v>2017</v>
      </c>
      <c r="E1013" s="549" t="s">
        <v>775</v>
      </c>
      <c r="F1013" s="550">
        <v>1085</v>
      </c>
      <c r="G1013" s="550">
        <v>0</v>
      </c>
      <c r="H1013" s="550">
        <v>0</v>
      </c>
      <c r="I1013" s="550">
        <v>0</v>
      </c>
      <c r="J1013" s="550">
        <v>775</v>
      </c>
      <c r="K1013" s="550">
        <v>0</v>
      </c>
      <c r="L1013" s="550">
        <v>0</v>
      </c>
      <c r="M1013" s="550">
        <v>0</v>
      </c>
      <c r="N1013" s="550">
        <v>711</v>
      </c>
      <c r="O1013" s="550">
        <v>52</v>
      </c>
      <c r="P1013" s="550">
        <v>1885</v>
      </c>
      <c r="Q1013" s="550">
        <v>118</v>
      </c>
      <c r="R1013" s="574" t="s">
        <v>459</v>
      </c>
      <c r="S1013" s="552"/>
      <c r="T1013" s="552"/>
      <c r="U1013" s="552"/>
      <c r="V1013" s="552"/>
      <c r="W1013" s="552"/>
      <c r="X1013" s="552"/>
      <c r="Y1013" s="552"/>
      <c r="Z1013" s="552"/>
      <c r="AA1013" s="553"/>
      <c r="AB1013" s="553"/>
    </row>
    <row r="1014" spans="1:28" ht="12.75">
      <c r="A1014" s="547" t="s">
        <v>459</v>
      </c>
      <c r="B1014" s="547" t="s">
        <v>160</v>
      </c>
      <c r="C1014" s="548" t="s">
        <v>828</v>
      </c>
      <c r="D1014" s="549">
        <v>2018</v>
      </c>
      <c r="E1014" s="549" t="s">
        <v>775</v>
      </c>
      <c r="F1014" s="550">
        <v>1085</v>
      </c>
      <c r="G1014" s="550">
        <v>0</v>
      </c>
      <c r="H1014" s="550">
        <v>0</v>
      </c>
      <c r="I1014" s="550">
        <v>0</v>
      </c>
      <c r="J1014" s="550">
        <v>775</v>
      </c>
      <c r="K1014" s="550">
        <v>11</v>
      </c>
      <c r="L1014" s="550">
        <v>0</v>
      </c>
      <c r="M1014" s="550">
        <v>11</v>
      </c>
      <c r="N1014" s="550">
        <v>711</v>
      </c>
      <c r="O1014" s="550">
        <v>1</v>
      </c>
      <c r="P1014" s="550">
        <v>1885</v>
      </c>
      <c r="Q1014" s="550">
        <v>148</v>
      </c>
      <c r="R1014" s="574" t="s">
        <v>459</v>
      </c>
      <c r="S1014" s="552"/>
      <c r="T1014" s="552"/>
      <c r="U1014" s="552"/>
      <c r="V1014" s="552"/>
      <c r="W1014" s="552"/>
      <c r="X1014" s="552"/>
      <c r="Y1014" s="552"/>
      <c r="Z1014" s="552"/>
      <c r="AA1014" s="553"/>
      <c r="AB1014" s="553"/>
    </row>
    <row r="1015" spans="1:28" ht="12.75">
      <c r="A1015" s="547" t="s">
        <v>459</v>
      </c>
      <c r="B1015" s="547" t="s">
        <v>160</v>
      </c>
      <c r="C1015" s="548" t="s">
        <v>829</v>
      </c>
      <c r="D1015" s="549">
        <v>2019</v>
      </c>
      <c r="E1015" s="549" t="s">
        <v>775</v>
      </c>
      <c r="F1015" s="550">
        <v>1085</v>
      </c>
      <c r="G1015" s="550">
        <v>0</v>
      </c>
      <c r="H1015" s="550">
        <v>0</v>
      </c>
      <c r="I1015" s="550">
        <v>0</v>
      </c>
      <c r="J1015" s="550">
        <v>775</v>
      </c>
      <c r="K1015" s="550">
        <v>25</v>
      </c>
      <c r="L1015" s="550">
        <v>0</v>
      </c>
      <c r="M1015" s="550">
        <v>25</v>
      </c>
      <c r="N1015" s="550">
        <v>711</v>
      </c>
      <c r="O1015" s="550">
        <v>2</v>
      </c>
      <c r="P1015" s="550">
        <v>1885</v>
      </c>
      <c r="Q1015" s="550">
        <v>105</v>
      </c>
      <c r="R1015" s="574" t="s">
        <v>459</v>
      </c>
      <c r="S1015" s="561">
        <f>SUM(G1012:G1015) +SUM(K1012:K1015)</f>
        <v>36</v>
      </c>
      <c r="T1015" s="561">
        <f>F1015+J1015</f>
        <v>1860</v>
      </c>
      <c r="U1015" s="561">
        <f>SUM(O1012:O1015)</f>
        <v>92</v>
      </c>
      <c r="V1015" s="561">
        <f>N1015</f>
        <v>711</v>
      </c>
      <c r="W1015" s="562">
        <f>SUM(Q1012:Q1015)</f>
        <v>508</v>
      </c>
      <c r="X1015" s="561">
        <f>P1015</f>
        <v>1885</v>
      </c>
      <c r="Y1015" s="561">
        <f>S1015+U1015+SUM(Q1012:Q1015)</f>
        <v>636</v>
      </c>
      <c r="Z1015" s="561">
        <f>F1015+J1015+N1015+P1015</f>
        <v>4456</v>
      </c>
      <c r="AA1015" s="553"/>
      <c r="AB1015" s="553"/>
    </row>
    <row r="1016" spans="1:28" ht="12.75">
      <c r="A1016" s="547"/>
      <c r="B1016" s="547"/>
      <c r="C1016" s="548"/>
      <c r="D1016" s="549"/>
      <c r="E1016" s="549"/>
      <c r="F1016" s="550"/>
      <c r="G1016" s="550"/>
      <c r="H1016" s="550"/>
      <c r="I1016" s="550"/>
      <c r="J1016" s="550"/>
      <c r="K1016" s="550"/>
      <c r="L1016" s="550"/>
      <c r="M1016" s="550"/>
      <c r="N1016" s="550"/>
      <c r="O1016" s="550"/>
      <c r="P1016" s="550"/>
      <c r="Q1016" s="550"/>
      <c r="R1016" s="574"/>
      <c r="S1016" s="563">
        <f t="shared" ref="S1016:Z1016" si="174">SUM(S998:S1015)</f>
        <v>108</v>
      </c>
      <c r="T1016" s="563">
        <f t="shared" si="174"/>
        <v>6590</v>
      </c>
      <c r="U1016" s="563">
        <f t="shared" si="174"/>
        <v>275</v>
      </c>
      <c r="V1016" s="563">
        <f t="shared" si="174"/>
        <v>2535</v>
      </c>
      <c r="W1016" s="563">
        <f t="shared" si="174"/>
        <v>3078</v>
      </c>
      <c r="X1016" s="563">
        <f t="shared" si="174"/>
        <v>6725</v>
      </c>
      <c r="Y1016" s="563">
        <f t="shared" si="174"/>
        <v>3461</v>
      </c>
      <c r="Z1016" s="563">
        <f t="shared" si="174"/>
        <v>15850</v>
      </c>
      <c r="AA1016" s="553"/>
      <c r="AB1016" s="553"/>
    </row>
    <row r="1017" spans="1:28" ht="12.75">
      <c r="A1017" s="547"/>
      <c r="B1017" s="547"/>
      <c r="C1017" s="548"/>
      <c r="D1017" s="549"/>
      <c r="E1017" s="549"/>
      <c r="F1017" s="550"/>
      <c r="G1017" s="550"/>
      <c r="H1017" s="550"/>
      <c r="I1017" s="550"/>
      <c r="J1017" s="550"/>
      <c r="K1017" s="550"/>
      <c r="L1017" s="550"/>
      <c r="M1017" s="550"/>
      <c r="N1017" s="550"/>
      <c r="O1017" s="550"/>
      <c r="P1017" s="550"/>
      <c r="Q1017" s="550"/>
      <c r="R1017" s="574"/>
      <c r="S1017" s="552"/>
      <c r="T1017" s="552"/>
      <c r="U1017" s="552"/>
      <c r="V1017" s="552"/>
      <c r="W1017" s="552"/>
      <c r="X1017" s="552"/>
      <c r="Y1017" s="552"/>
      <c r="Z1017" s="552"/>
      <c r="AA1017" s="553"/>
      <c r="AB1017" s="553"/>
    </row>
    <row r="1018" spans="1:28" ht="12.75">
      <c r="A1018" s="547" t="s">
        <v>460</v>
      </c>
      <c r="B1018" s="547" t="s">
        <v>162</v>
      </c>
      <c r="C1018" s="548" t="s">
        <v>785</v>
      </c>
      <c r="D1018" s="549">
        <v>2019</v>
      </c>
      <c r="E1018" s="549" t="s">
        <v>775</v>
      </c>
      <c r="F1018" s="550">
        <v>1</v>
      </c>
      <c r="G1018" s="550">
        <v>0</v>
      </c>
      <c r="H1018" s="550">
        <v>0</v>
      </c>
      <c r="I1018" s="550">
        <v>0</v>
      </c>
      <c r="J1018" s="550">
        <v>1</v>
      </c>
      <c r="K1018" s="550">
        <v>1</v>
      </c>
      <c r="L1018" s="550">
        <v>0</v>
      </c>
      <c r="M1018" s="550">
        <v>1</v>
      </c>
      <c r="N1018" s="550">
        <v>1</v>
      </c>
      <c r="O1018" s="550">
        <v>0</v>
      </c>
      <c r="P1018" s="550">
        <v>2</v>
      </c>
      <c r="Q1018" s="550">
        <v>0</v>
      </c>
      <c r="R1018" s="574" t="s">
        <v>460</v>
      </c>
      <c r="S1018" s="552">
        <f t="shared" ref="S1018:S1019" si="175">G1018</f>
        <v>0</v>
      </c>
      <c r="T1018" s="255">
        <f t="shared" ref="T1018:T1019" si="176">F1018+J1018</f>
        <v>2</v>
      </c>
      <c r="U1018" s="552">
        <f t="shared" ref="U1018:U1019" si="177">K1018</f>
        <v>1</v>
      </c>
      <c r="V1018" s="255">
        <f t="shared" ref="V1018:Y1018" si="178">N1018</f>
        <v>1</v>
      </c>
      <c r="W1018" s="552">
        <f t="shared" si="178"/>
        <v>0</v>
      </c>
      <c r="X1018" s="255">
        <f t="shared" si="178"/>
        <v>2</v>
      </c>
      <c r="Y1018" s="552">
        <f t="shared" si="178"/>
        <v>0</v>
      </c>
      <c r="Z1018" s="255">
        <f t="shared" ref="Z1018:Z1019" si="179">F1018+J1018+N1018+P1018</f>
        <v>5</v>
      </c>
      <c r="AA1018" s="553"/>
      <c r="AB1018" s="553"/>
    </row>
    <row r="1019" spans="1:28" ht="12.75">
      <c r="A1019" s="547" t="s">
        <v>461</v>
      </c>
      <c r="B1019" s="547" t="s">
        <v>162</v>
      </c>
      <c r="C1019" s="548" t="s">
        <v>785</v>
      </c>
      <c r="D1019" s="549">
        <v>2019</v>
      </c>
      <c r="E1019" s="549" t="s">
        <v>775</v>
      </c>
      <c r="F1019" s="550">
        <v>2</v>
      </c>
      <c r="G1019" s="550">
        <v>0</v>
      </c>
      <c r="H1019" s="550">
        <v>0</v>
      </c>
      <c r="I1019" s="550">
        <v>0</v>
      </c>
      <c r="J1019" s="550">
        <v>2</v>
      </c>
      <c r="K1019" s="550">
        <v>1</v>
      </c>
      <c r="L1019" s="550">
        <v>0</v>
      </c>
      <c r="M1019" s="550">
        <v>1</v>
      </c>
      <c r="N1019" s="550">
        <v>1</v>
      </c>
      <c r="O1019" s="550">
        <v>4</v>
      </c>
      <c r="P1019" s="550">
        <f>F1019+J1019+N1019</f>
        <v>5</v>
      </c>
      <c r="Q1019" s="550">
        <v>0</v>
      </c>
      <c r="R1019" s="574" t="s">
        <v>461</v>
      </c>
      <c r="S1019" s="556">
        <f t="shared" si="175"/>
        <v>0</v>
      </c>
      <c r="T1019" s="561">
        <f t="shared" si="176"/>
        <v>4</v>
      </c>
      <c r="U1019" s="556">
        <f t="shared" si="177"/>
        <v>1</v>
      </c>
      <c r="V1019" s="561">
        <f t="shared" ref="V1019:Y1019" si="180">N1019</f>
        <v>1</v>
      </c>
      <c r="W1019" s="556">
        <f t="shared" si="180"/>
        <v>4</v>
      </c>
      <c r="X1019" s="561">
        <f t="shared" si="180"/>
        <v>5</v>
      </c>
      <c r="Y1019" s="556">
        <f t="shared" si="180"/>
        <v>0</v>
      </c>
      <c r="Z1019" s="561">
        <f t="shared" si="179"/>
        <v>10</v>
      </c>
      <c r="AA1019" s="553"/>
      <c r="AB1019" s="553"/>
    </row>
    <row r="1020" spans="1:28" ht="12.75">
      <c r="A1020" s="547"/>
      <c r="B1020" s="547"/>
      <c r="C1020" s="548"/>
      <c r="D1020" s="549"/>
      <c r="E1020" s="549"/>
      <c r="F1020" s="550"/>
      <c r="G1020" s="550"/>
      <c r="H1020" s="550"/>
      <c r="I1020" s="550"/>
      <c r="J1020" s="550"/>
      <c r="K1020" s="550"/>
      <c r="L1020" s="550"/>
      <c r="M1020" s="550"/>
      <c r="N1020" s="550"/>
      <c r="O1020" s="550"/>
      <c r="P1020" s="550"/>
      <c r="Q1020" s="550"/>
      <c r="R1020" s="574"/>
      <c r="S1020" s="563">
        <f t="shared" ref="S1020:Z1020" si="181">S1018+S1019</f>
        <v>0</v>
      </c>
      <c r="T1020" s="563">
        <f t="shared" si="181"/>
        <v>6</v>
      </c>
      <c r="U1020" s="563">
        <f t="shared" si="181"/>
        <v>2</v>
      </c>
      <c r="V1020" s="563">
        <f t="shared" si="181"/>
        <v>2</v>
      </c>
      <c r="W1020" s="563">
        <f t="shared" si="181"/>
        <v>4</v>
      </c>
      <c r="X1020" s="563">
        <f t="shared" si="181"/>
        <v>7</v>
      </c>
      <c r="Y1020" s="563">
        <f t="shared" si="181"/>
        <v>0</v>
      </c>
      <c r="Z1020" s="563">
        <f t="shared" si="181"/>
        <v>15</v>
      </c>
      <c r="AA1020" s="553"/>
      <c r="AB1020" s="553"/>
    </row>
    <row r="1021" spans="1:28" ht="12.75">
      <c r="A1021" s="547" t="s">
        <v>462</v>
      </c>
      <c r="B1021" s="547" t="s">
        <v>163</v>
      </c>
      <c r="C1021" s="548" t="s">
        <v>784</v>
      </c>
      <c r="D1021" s="549">
        <v>2014</v>
      </c>
      <c r="E1021" s="549" t="s">
        <v>775</v>
      </c>
      <c r="F1021" s="550">
        <v>17</v>
      </c>
      <c r="G1021" s="550">
        <v>0</v>
      </c>
      <c r="H1021" s="550">
        <v>0</v>
      </c>
      <c r="I1021" s="550">
        <v>0</v>
      </c>
      <c r="J1021" s="550">
        <v>12</v>
      </c>
      <c r="K1021" s="550">
        <v>0</v>
      </c>
      <c r="L1021" s="550">
        <v>0</v>
      </c>
      <c r="M1021" s="550">
        <v>0</v>
      </c>
      <c r="N1021" s="550">
        <v>14</v>
      </c>
      <c r="O1021" s="550">
        <v>0</v>
      </c>
      <c r="P1021" s="550">
        <v>31</v>
      </c>
      <c r="Q1021" s="550">
        <v>12</v>
      </c>
      <c r="R1021" s="574" t="s">
        <v>462</v>
      </c>
      <c r="S1021" s="552"/>
      <c r="T1021" s="552"/>
      <c r="U1021" s="552"/>
      <c r="V1021" s="552"/>
      <c r="W1021" s="552"/>
      <c r="X1021" s="552"/>
      <c r="Y1021" s="552"/>
      <c r="Z1021" s="552"/>
      <c r="AA1021" s="553"/>
      <c r="AB1021" s="553"/>
    </row>
    <row r="1022" spans="1:28" ht="12.75">
      <c r="A1022" s="547" t="s">
        <v>462</v>
      </c>
      <c r="B1022" s="547" t="s">
        <v>163</v>
      </c>
      <c r="C1022" s="548" t="s">
        <v>784</v>
      </c>
      <c r="D1022" s="549">
        <v>2015</v>
      </c>
      <c r="E1022" s="549" t="s">
        <v>775</v>
      </c>
      <c r="F1022" s="550">
        <v>17</v>
      </c>
      <c r="G1022" s="550">
        <v>0</v>
      </c>
      <c r="H1022" s="550">
        <v>0</v>
      </c>
      <c r="I1022" s="550">
        <v>0</v>
      </c>
      <c r="J1022" s="550">
        <v>12</v>
      </c>
      <c r="K1022" s="550">
        <v>0</v>
      </c>
      <c r="L1022" s="550">
        <v>0</v>
      </c>
      <c r="M1022" s="550">
        <v>0</v>
      </c>
      <c r="N1022" s="550">
        <v>14</v>
      </c>
      <c r="O1022" s="550">
        <v>0</v>
      </c>
      <c r="P1022" s="550">
        <v>31</v>
      </c>
      <c r="Q1022" s="550">
        <v>22</v>
      </c>
      <c r="R1022" s="574" t="s">
        <v>462</v>
      </c>
      <c r="S1022" s="552"/>
      <c r="T1022" s="552"/>
      <c r="U1022" s="552"/>
      <c r="V1022" s="552"/>
      <c r="W1022" s="552"/>
      <c r="X1022" s="552"/>
      <c r="Y1022" s="552"/>
      <c r="Z1022" s="552"/>
      <c r="AA1022" s="553"/>
      <c r="AB1022" s="553"/>
    </row>
    <row r="1023" spans="1:28" ht="12.75">
      <c r="A1023" s="547" t="s">
        <v>462</v>
      </c>
      <c r="B1023" s="547" t="s">
        <v>163</v>
      </c>
      <c r="C1023" s="548" t="s">
        <v>784</v>
      </c>
      <c r="D1023" s="549">
        <v>2016</v>
      </c>
      <c r="E1023" s="549" t="s">
        <v>775</v>
      </c>
      <c r="F1023" s="550">
        <v>17</v>
      </c>
      <c r="G1023" s="550">
        <v>0</v>
      </c>
      <c r="H1023" s="550">
        <v>0</v>
      </c>
      <c r="I1023" s="550">
        <v>0</v>
      </c>
      <c r="J1023" s="550">
        <v>12</v>
      </c>
      <c r="K1023" s="550">
        <v>0</v>
      </c>
      <c r="L1023" s="550">
        <v>0</v>
      </c>
      <c r="M1023" s="550">
        <v>0</v>
      </c>
      <c r="N1023" s="550">
        <v>14</v>
      </c>
      <c r="O1023" s="550">
        <v>0</v>
      </c>
      <c r="P1023" s="550">
        <v>31</v>
      </c>
      <c r="Q1023" s="550">
        <v>23</v>
      </c>
      <c r="R1023" s="574" t="s">
        <v>462</v>
      </c>
      <c r="S1023" s="552"/>
      <c r="T1023" s="552"/>
      <c r="U1023" s="552"/>
      <c r="V1023" s="552"/>
      <c r="W1023" s="552"/>
      <c r="X1023" s="552"/>
      <c r="Y1023" s="552"/>
      <c r="Z1023" s="552"/>
      <c r="AA1023" s="553"/>
      <c r="AB1023" s="553"/>
    </row>
    <row r="1024" spans="1:28" ht="12.75">
      <c r="A1024" s="547" t="s">
        <v>462</v>
      </c>
      <c r="B1024" s="547" t="s">
        <v>163</v>
      </c>
      <c r="C1024" s="548" t="s">
        <v>784</v>
      </c>
      <c r="D1024" s="549">
        <v>2017</v>
      </c>
      <c r="E1024" s="549" t="s">
        <v>775</v>
      </c>
      <c r="F1024" s="550">
        <v>17</v>
      </c>
      <c r="G1024" s="550">
        <v>0</v>
      </c>
      <c r="H1024" s="550">
        <v>0</v>
      </c>
      <c r="I1024" s="550">
        <v>0</v>
      </c>
      <c r="J1024" s="550">
        <v>12</v>
      </c>
      <c r="K1024" s="550">
        <v>0</v>
      </c>
      <c r="L1024" s="550">
        <v>0</v>
      </c>
      <c r="M1024" s="550">
        <v>0</v>
      </c>
      <c r="N1024" s="550">
        <v>14</v>
      </c>
      <c r="O1024" s="550">
        <v>0</v>
      </c>
      <c r="P1024" s="550">
        <v>31</v>
      </c>
      <c r="Q1024" s="550">
        <v>14</v>
      </c>
      <c r="R1024" s="574" t="s">
        <v>462</v>
      </c>
      <c r="S1024" s="552"/>
      <c r="T1024" s="552"/>
      <c r="U1024" s="552"/>
      <c r="V1024" s="552"/>
      <c r="W1024" s="552"/>
      <c r="X1024" s="552"/>
      <c r="Y1024" s="552"/>
      <c r="Z1024" s="552"/>
      <c r="AA1024" s="553"/>
      <c r="AB1024" s="553"/>
    </row>
    <row r="1025" spans="1:28" ht="12.75">
      <c r="A1025" s="547" t="s">
        <v>462</v>
      </c>
      <c r="B1025" s="547" t="s">
        <v>163</v>
      </c>
      <c r="C1025" s="548" t="s">
        <v>784</v>
      </c>
      <c r="D1025" s="549">
        <v>2018</v>
      </c>
      <c r="E1025" s="549" t="s">
        <v>775</v>
      </c>
      <c r="F1025" s="550">
        <v>17</v>
      </c>
      <c r="G1025" s="550">
        <v>0</v>
      </c>
      <c r="H1025" s="550">
        <v>0</v>
      </c>
      <c r="I1025" s="550">
        <v>0</v>
      </c>
      <c r="J1025" s="550">
        <v>12</v>
      </c>
      <c r="K1025" s="550">
        <v>0</v>
      </c>
      <c r="L1025" s="550">
        <v>0</v>
      </c>
      <c r="M1025" s="550">
        <v>0</v>
      </c>
      <c r="N1025" s="550">
        <v>14</v>
      </c>
      <c r="O1025" s="550">
        <v>0</v>
      </c>
      <c r="P1025" s="550">
        <v>31</v>
      </c>
      <c r="Q1025" s="550">
        <v>38</v>
      </c>
      <c r="R1025" s="574" t="s">
        <v>462</v>
      </c>
      <c r="S1025" s="552"/>
      <c r="T1025" s="552"/>
      <c r="U1025" s="552"/>
      <c r="V1025" s="552"/>
      <c r="W1025" s="552"/>
      <c r="X1025" s="552"/>
      <c r="Y1025" s="552"/>
      <c r="Z1025" s="552"/>
      <c r="AA1025" s="553"/>
      <c r="AB1025" s="553"/>
    </row>
    <row r="1026" spans="1:28" ht="12.75">
      <c r="A1026" s="547" t="s">
        <v>462</v>
      </c>
      <c r="B1026" s="547" t="s">
        <v>163</v>
      </c>
      <c r="C1026" s="548" t="s">
        <v>785</v>
      </c>
      <c r="D1026" s="549">
        <v>2019</v>
      </c>
      <c r="E1026" s="549" t="s">
        <v>775</v>
      </c>
      <c r="F1026" s="550">
        <v>17</v>
      </c>
      <c r="G1026" s="550">
        <v>0</v>
      </c>
      <c r="H1026" s="550">
        <v>0</v>
      </c>
      <c r="I1026" s="550">
        <v>0</v>
      </c>
      <c r="J1026" s="550">
        <v>12</v>
      </c>
      <c r="K1026" s="550">
        <v>0</v>
      </c>
      <c r="L1026" s="550">
        <v>0</v>
      </c>
      <c r="M1026" s="550">
        <v>0</v>
      </c>
      <c r="N1026" s="550">
        <v>14</v>
      </c>
      <c r="O1026" s="550">
        <v>0</v>
      </c>
      <c r="P1026" s="550">
        <v>31</v>
      </c>
      <c r="Q1026" s="550">
        <v>41</v>
      </c>
      <c r="R1026" s="574" t="s">
        <v>462</v>
      </c>
      <c r="S1026" s="552">
        <f>SUM(G1021:G1026) +SUM(K1021:K1026)</f>
        <v>0</v>
      </c>
      <c r="T1026" s="552">
        <f>F1026+J1026</f>
        <v>29</v>
      </c>
      <c r="U1026" s="552">
        <f>SUM(O1021:O1026)</f>
        <v>0</v>
      </c>
      <c r="V1026" s="552">
        <f>N1026</f>
        <v>14</v>
      </c>
      <c r="W1026" s="554">
        <f>SUM(Q1021:Q1026)</f>
        <v>150</v>
      </c>
      <c r="X1026" s="552">
        <f>P1026</f>
        <v>31</v>
      </c>
      <c r="Y1026" s="552">
        <f>S1026+U1026+SUM(Q1021:Q1026)</f>
        <v>150</v>
      </c>
      <c r="Z1026" s="552">
        <f>F1026+J1026+N1026+P1026</f>
        <v>74</v>
      </c>
      <c r="AA1026" s="553"/>
      <c r="AB1026" s="553"/>
    </row>
    <row r="1027" spans="1:28" ht="12.75">
      <c r="A1027" s="547" t="s">
        <v>463</v>
      </c>
      <c r="B1027" s="547" t="s">
        <v>163</v>
      </c>
      <c r="C1027" s="548" t="s">
        <v>784</v>
      </c>
      <c r="D1027" s="549">
        <v>2014</v>
      </c>
      <c r="E1027" s="549" t="s">
        <v>775</v>
      </c>
      <c r="F1027" s="550">
        <v>11</v>
      </c>
      <c r="G1027" s="550">
        <v>0</v>
      </c>
      <c r="H1027" s="550">
        <v>0</v>
      </c>
      <c r="I1027" s="550">
        <v>0</v>
      </c>
      <c r="J1027" s="550">
        <v>7</v>
      </c>
      <c r="K1027" s="550">
        <v>0</v>
      </c>
      <c r="L1027" s="550">
        <v>0</v>
      </c>
      <c r="M1027" s="550">
        <v>0</v>
      </c>
      <c r="N1027" s="550">
        <v>9</v>
      </c>
      <c r="O1027" s="550">
        <v>9</v>
      </c>
      <c r="P1027" s="550">
        <v>19</v>
      </c>
      <c r="Q1027" s="550">
        <v>4</v>
      </c>
      <c r="R1027" s="574" t="s">
        <v>463</v>
      </c>
      <c r="S1027" s="552"/>
      <c r="T1027" s="552"/>
      <c r="U1027" s="552"/>
      <c r="V1027" s="552"/>
      <c r="W1027" s="552"/>
      <c r="X1027" s="552"/>
      <c r="Y1027" s="552"/>
      <c r="Z1027" s="552"/>
      <c r="AA1027" s="553"/>
      <c r="AB1027" s="553"/>
    </row>
    <row r="1028" spans="1:28" ht="12.75">
      <c r="A1028" s="547" t="s">
        <v>463</v>
      </c>
      <c r="B1028" s="547" t="s">
        <v>163</v>
      </c>
      <c r="C1028" s="548" t="s">
        <v>784</v>
      </c>
      <c r="D1028" s="549">
        <v>2015</v>
      </c>
      <c r="E1028" s="549" t="s">
        <v>775</v>
      </c>
      <c r="F1028" s="550">
        <v>11</v>
      </c>
      <c r="G1028" s="550">
        <v>0</v>
      </c>
      <c r="H1028" s="550">
        <v>0</v>
      </c>
      <c r="I1028" s="550">
        <v>0</v>
      </c>
      <c r="J1028" s="550">
        <v>7</v>
      </c>
      <c r="K1028" s="550">
        <v>2</v>
      </c>
      <c r="L1028" s="550">
        <v>0</v>
      </c>
      <c r="M1028" s="550">
        <v>2</v>
      </c>
      <c r="N1028" s="550">
        <v>9</v>
      </c>
      <c r="O1028" s="550">
        <v>10</v>
      </c>
      <c r="P1028" s="550">
        <v>19</v>
      </c>
      <c r="Q1028" s="550">
        <v>14</v>
      </c>
      <c r="R1028" s="574" t="s">
        <v>463</v>
      </c>
      <c r="S1028" s="552"/>
      <c r="T1028" s="552"/>
      <c r="U1028" s="552"/>
      <c r="V1028" s="552"/>
      <c r="W1028" s="552"/>
      <c r="X1028" s="552"/>
      <c r="Y1028" s="552"/>
      <c r="Z1028" s="552"/>
      <c r="AA1028" s="553"/>
      <c r="AB1028" s="553"/>
    </row>
    <row r="1029" spans="1:28" ht="12.75">
      <c r="A1029" s="547" t="s">
        <v>463</v>
      </c>
      <c r="B1029" s="547" t="s">
        <v>163</v>
      </c>
      <c r="C1029" s="548" t="s">
        <v>784</v>
      </c>
      <c r="D1029" s="549">
        <v>2016</v>
      </c>
      <c r="E1029" s="549" t="s">
        <v>775</v>
      </c>
      <c r="F1029" s="550">
        <v>11</v>
      </c>
      <c r="G1029" s="550">
        <v>0</v>
      </c>
      <c r="H1029" s="550">
        <v>0</v>
      </c>
      <c r="I1029" s="550">
        <v>0</v>
      </c>
      <c r="J1029" s="550">
        <v>7</v>
      </c>
      <c r="K1029" s="550">
        <v>5</v>
      </c>
      <c r="L1029" s="550">
        <v>0</v>
      </c>
      <c r="M1029" s="550">
        <v>5</v>
      </c>
      <c r="N1029" s="550">
        <v>9</v>
      </c>
      <c r="O1029" s="550">
        <v>12</v>
      </c>
      <c r="P1029" s="550">
        <v>19</v>
      </c>
      <c r="Q1029" s="550">
        <v>9</v>
      </c>
      <c r="R1029" s="574" t="s">
        <v>463</v>
      </c>
      <c r="S1029" s="552"/>
      <c r="T1029" s="552"/>
      <c r="U1029" s="552"/>
      <c r="V1029" s="552"/>
      <c r="W1029" s="552"/>
      <c r="X1029" s="552"/>
      <c r="Y1029" s="552"/>
      <c r="Z1029" s="552"/>
      <c r="AA1029" s="553"/>
      <c r="AB1029" s="553"/>
    </row>
    <row r="1030" spans="1:28" ht="12.75">
      <c r="A1030" s="547" t="s">
        <v>463</v>
      </c>
      <c r="B1030" s="547" t="s">
        <v>163</v>
      </c>
      <c r="C1030" s="548" t="s">
        <v>784</v>
      </c>
      <c r="D1030" s="549">
        <v>2017</v>
      </c>
      <c r="E1030" s="549" t="s">
        <v>775</v>
      </c>
      <c r="F1030" s="550">
        <v>11</v>
      </c>
      <c r="G1030" s="550">
        <v>0</v>
      </c>
      <c r="H1030" s="550">
        <v>0</v>
      </c>
      <c r="I1030" s="550">
        <v>0</v>
      </c>
      <c r="J1030" s="550">
        <v>7</v>
      </c>
      <c r="K1030" s="550">
        <v>6</v>
      </c>
      <c r="L1030" s="550">
        <v>0</v>
      </c>
      <c r="M1030" s="550">
        <v>6</v>
      </c>
      <c r="N1030" s="550">
        <v>9</v>
      </c>
      <c r="O1030" s="550">
        <v>13</v>
      </c>
      <c r="P1030" s="550">
        <v>19</v>
      </c>
      <c r="Q1030" s="550">
        <v>10</v>
      </c>
      <c r="R1030" s="574" t="s">
        <v>463</v>
      </c>
      <c r="S1030" s="552"/>
      <c r="T1030" s="552"/>
      <c r="U1030" s="552"/>
      <c r="V1030" s="552"/>
      <c r="W1030" s="552"/>
      <c r="X1030" s="552"/>
      <c r="Y1030" s="552"/>
      <c r="Z1030" s="552"/>
      <c r="AA1030" s="553"/>
      <c r="AB1030" s="553"/>
    </row>
    <row r="1031" spans="1:28" ht="12.75">
      <c r="A1031" s="547" t="s">
        <v>463</v>
      </c>
      <c r="B1031" s="547" t="s">
        <v>163</v>
      </c>
      <c r="C1031" s="548" t="s">
        <v>784</v>
      </c>
      <c r="D1031" s="549">
        <v>2018</v>
      </c>
      <c r="E1031" s="549" t="s">
        <v>775</v>
      </c>
      <c r="F1031" s="550">
        <v>11</v>
      </c>
      <c r="G1031" s="550">
        <v>0</v>
      </c>
      <c r="H1031" s="550">
        <v>0</v>
      </c>
      <c r="I1031" s="550">
        <v>0</v>
      </c>
      <c r="J1031" s="550">
        <v>7</v>
      </c>
      <c r="K1031" s="550">
        <v>9</v>
      </c>
      <c r="L1031" s="550">
        <v>0</v>
      </c>
      <c r="M1031" s="550">
        <v>9</v>
      </c>
      <c r="N1031" s="550">
        <v>9</v>
      </c>
      <c r="O1031" s="550">
        <v>11</v>
      </c>
      <c r="P1031" s="550">
        <v>19</v>
      </c>
      <c r="Q1031" s="550">
        <v>7</v>
      </c>
      <c r="R1031" s="574" t="s">
        <v>463</v>
      </c>
      <c r="S1031" s="552"/>
      <c r="T1031" s="552"/>
      <c r="U1031" s="552"/>
      <c r="V1031" s="552"/>
      <c r="W1031" s="552"/>
      <c r="X1031" s="552"/>
      <c r="Y1031" s="552"/>
      <c r="Z1031" s="552"/>
      <c r="AA1031" s="553"/>
      <c r="AB1031" s="553"/>
    </row>
    <row r="1032" spans="1:28" ht="12.75">
      <c r="A1032" s="547" t="s">
        <v>463</v>
      </c>
      <c r="B1032" s="547" t="s">
        <v>163</v>
      </c>
      <c r="C1032" s="548" t="s">
        <v>785</v>
      </c>
      <c r="D1032" s="549">
        <v>2019</v>
      </c>
      <c r="E1032" s="549" t="s">
        <v>775</v>
      </c>
      <c r="F1032" s="550">
        <v>11</v>
      </c>
      <c r="G1032" s="550">
        <v>0</v>
      </c>
      <c r="H1032" s="550">
        <v>0</v>
      </c>
      <c r="I1032" s="550">
        <v>0</v>
      </c>
      <c r="J1032" s="550">
        <v>7</v>
      </c>
      <c r="K1032" s="550">
        <v>7</v>
      </c>
      <c r="L1032" s="550">
        <v>0</v>
      </c>
      <c r="M1032" s="550">
        <v>7</v>
      </c>
      <c r="N1032" s="550">
        <v>9</v>
      </c>
      <c r="O1032" s="550">
        <v>7</v>
      </c>
      <c r="P1032" s="550">
        <v>19</v>
      </c>
      <c r="Q1032" s="550">
        <v>3</v>
      </c>
      <c r="R1032" s="574" t="s">
        <v>463</v>
      </c>
      <c r="S1032" s="556">
        <f>SUM(G1027:G1032) +SUM(K1027:K1032)</f>
        <v>29</v>
      </c>
      <c r="T1032" s="556">
        <f>F1032+J1032</f>
        <v>18</v>
      </c>
      <c r="U1032" s="556">
        <f>SUM(O1027:O1032)</f>
        <v>62</v>
      </c>
      <c r="V1032" s="556">
        <f>N1032</f>
        <v>9</v>
      </c>
      <c r="W1032" s="557">
        <f>SUM(Q1027:Q1032)</f>
        <v>47</v>
      </c>
      <c r="X1032" s="556">
        <f>P1032</f>
        <v>19</v>
      </c>
      <c r="Y1032" s="556">
        <f>S1032+U1032+SUM(Q1027:Q1032)</f>
        <v>138</v>
      </c>
      <c r="Z1032" s="556">
        <f>F1032+J1032+N1032+P1032</f>
        <v>46</v>
      </c>
      <c r="AA1032" s="553"/>
      <c r="AB1032" s="553"/>
    </row>
    <row r="1033" spans="1:28" ht="12.75">
      <c r="A1033" s="547"/>
      <c r="B1033" s="547"/>
      <c r="C1033" s="548"/>
      <c r="D1033" s="549"/>
      <c r="E1033" s="549"/>
      <c r="F1033" s="550"/>
      <c r="G1033" s="564"/>
      <c r="H1033" s="564"/>
      <c r="I1033" s="564"/>
      <c r="J1033" s="550"/>
      <c r="K1033" s="564"/>
      <c r="L1033" s="564"/>
      <c r="M1033" s="564"/>
      <c r="N1033" s="550"/>
      <c r="O1033" s="564"/>
      <c r="P1033" s="550"/>
      <c r="Q1033" s="564"/>
      <c r="R1033" s="574"/>
      <c r="S1033" s="563">
        <f t="shared" ref="S1033:Z1033" si="182">S1026+S1032</f>
        <v>29</v>
      </c>
      <c r="T1033" s="563">
        <f t="shared" si="182"/>
        <v>47</v>
      </c>
      <c r="U1033" s="563">
        <f t="shared" si="182"/>
        <v>62</v>
      </c>
      <c r="V1033" s="563">
        <f t="shared" si="182"/>
        <v>23</v>
      </c>
      <c r="W1033" s="563">
        <f t="shared" si="182"/>
        <v>197</v>
      </c>
      <c r="X1033" s="563">
        <f t="shared" si="182"/>
        <v>50</v>
      </c>
      <c r="Y1033" s="563">
        <f t="shared" si="182"/>
        <v>288</v>
      </c>
      <c r="Z1033" s="563">
        <f t="shared" si="182"/>
        <v>120</v>
      </c>
      <c r="AA1033" s="553"/>
      <c r="AB1033" s="553"/>
    </row>
    <row r="1034" spans="1:28" ht="12.75">
      <c r="A1034" s="547"/>
      <c r="B1034" s="547"/>
      <c r="C1034" s="548"/>
      <c r="D1034" s="549"/>
      <c r="E1034" s="549"/>
      <c r="F1034" s="550"/>
      <c r="G1034" s="555"/>
      <c r="H1034" s="555"/>
      <c r="I1034" s="555"/>
      <c r="J1034" s="550"/>
      <c r="K1034" s="555"/>
      <c r="L1034" s="555"/>
      <c r="M1034" s="555"/>
      <c r="N1034" s="550"/>
      <c r="O1034" s="555"/>
      <c r="P1034" s="550"/>
      <c r="Q1034" s="555"/>
      <c r="R1034" s="574"/>
      <c r="S1034" s="552"/>
      <c r="T1034" s="552"/>
      <c r="U1034" s="552"/>
      <c r="V1034" s="552"/>
      <c r="W1034" s="552"/>
      <c r="X1034" s="552"/>
      <c r="Y1034" s="552"/>
      <c r="Z1034" s="552"/>
      <c r="AA1034" s="553"/>
      <c r="AB1034" s="553"/>
    </row>
    <row r="1035" spans="1:28" ht="12.75">
      <c r="A1035" s="547" t="s">
        <v>464</v>
      </c>
      <c r="B1035" s="547" t="s">
        <v>164</v>
      </c>
      <c r="C1035" s="548" t="s">
        <v>177</v>
      </c>
      <c r="D1035" s="549">
        <v>2019</v>
      </c>
      <c r="E1035" s="549" t="s">
        <v>775</v>
      </c>
      <c r="F1035" s="550">
        <v>7</v>
      </c>
      <c r="G1035" s="555">
        <v>0</v>
      </c>
      <c r="H1035" s="555">
        <v>0</v>
      </c>
      <c r="I1035" s="555">
        <v>0</v>
      </c>
      <c r="J1035" s="550">
        <v>5</v>
      </c>
      <c r="K1035" s="555">
        <v>0</v>
      </c>
      <c r="L1035" s="555">
        <v>0</v>
      </c>
      <c r="M1035" s="555">
        <v>0</v>
      </c>
      <c r="N1035" s="550">
        <v>6</v>
      </c>
      <c r="O1035" s="555">
        <v>0</v>
      </c>
      <c r="P1035" s="550">
        <v>13</v>
      </c>
      <c r="Q1035" s="555">
        <v>0</v>
      </c>
      <c r="R1035" s="574" t="s">
        <v>464</v>
      </c>
      <c r="S1035" s="552">
        <f>G1035</f>
        <v>0</v>
      </c>
      <c r="T1035" s="552">
        <f>F1035+J1035</f>
        <v>12</v>
      </c>
      <c r="U1035" s="552">
        <f>O1035</f>
        <v>0</v>
      </c>
      <c r="V1035" s="552">
        <f>N1035</f>
        <v>6</v>
      </c>
      <c r="W1035" s="552">
        <f>Q1035</f>
        <v>0</v>
      </c>
      <c r="X1035" s="552">
        <f>P1035</f>
        <v>13</v>
      </c>
      <c r="Y1035" s="552">
        <f t="shared" ref="Y1035:Z1035" si="183">S1035+U1035+W1035</f>
        <v>0</v>
      </c>
      <c r="Z1035" s="552">
        <f t="shared" si="183"/>
        <v>31</v>
      </c>
      <c r="AA1035" s="553"/>
      <c r="AB1035" s="553"/>
    </row>
    <row r="1036" spans="1:28" ht="12.75">
      <c r="A1036" s="547" t="s">
        <v>465</v>
      </c>
      <c r="B1036" s="547" t="s">
        <v>164</v>
      </c>
      <c r="C1036" s="548" t="s">
        <v>177</v>
      </c>
      <c r="D1036" s="549">
        <v>2018</v>
      </c>
      <c r="E1036" s="549" t="s">
        <v>775</v>
      </c>
      <c r="F1036" s="550">
        <v>7</v>
      </c>
      <c r="G1036" s="555">
        <v>0</v>
      </c>
      <c r="H1036" s="555">
        <v>0</v>
      </c>
      <c r="I1036" s="555">
        <v>0</v>
      </c>
      <c r="J1036" s="550">
        <v>4</v>
      </c>
      <c r="K1036" s="555">
        <v>0</v>
      </c>
      <c r="L1036" s="555">
        <v>0</v>
      </c>
      <c r="M1036" s="555">
        <v>0</v>
      </c>
      <c r="N1036" s="550">
        <v>5</v>
      </c>
      <c r="O1036" s="564"/>
      <c r="P1036" s="550">
        <v>11</v>
      </c>
      <c r="Q1036" s="564"/>
      <c r="R1036" s="574" t="s">
        <v>465</v>
      </c>
      <c r="S1036" s="552"/>
      <c r="T1036" s="552"/>
      <c r="U1036" s="552"/>
      <c r="V1036" s="552"/>
      <c r="W1036" s="552"/>
      <c r="X1036" s="552"/>
      <c r="Y1036" s="552"/>
      <c r="Z1036" s="552"/>
      <c r="AA1036" s="553"/>
      <c r="AB1036" s="553"/>
    </row>
    <row r="1037" spans="1:28" ht="12.75">
      <c r="A1037" s="547" t="s">
        <v>465</v>
      </c>
      <c r="B1037" s="547" t="s">
        <v>164</v>
      </c>
      <c r="C1037" s="548" t="s">
        <v>811</v>
      </c>
      <c r="D1037" s="549">
        <v>2019</v>
      </c>
      <c r="E1037" s="549" t="s">
        <v>775</v>
      </c>
      <c r="F1037" s="550">
        <v>7</v>
      </c>
      <c r="G1037" s="550">
        <v>0</v>
      </c>
      <c r="H1037" s="550">
        <v>0</v>
      </c>
      <c r="I1037" s="550">
        <v>0</v>
      </c>
      <c r="J1037" s="550">
        <v>4</v>
      </c>
      <c r="K1037" s="550">
        <v>0</v>
      </c>
      <c r="L1037" s="550">
        <v>0</v>
      </c>
      <c r="M1037" s="550">
        <v>0</v>
      </c>
      <c r="N1037" s="550">
        <v>5</v>
      </c>
      <c r="O1037" s="550">
        <v>0</v>
      </c>
      <c r="P1037" s="550">
        <v>11</v>
      </c>
      <c r="Q1037" s="550">
        <v>0</v>
      </c>
      <c r="R1037" s="574" t="s">
        <v>465</v>
      </c>
      <c r="S1037" s="255">
        <f>SUM(G1036:G1037) +SUM(K1036:K1037)</f>
        <v>0</v>
      </c>
      <c r="T1037" s="255">
        <f>F1037+J1037</f>
        <v>11</v>
      </c>
      <c r="U1037" s="255">
        <f>SUM(O1036:O1037)</f>
        <v>0</v>
      </c>
      <c r="V1037" s="255">
        <f>N1037</f>
        <v>5</v>
      </c>
      <c r="W1037" s="83">
        <f>SUM(Q1036:Q1037)</f>
        <v>0</v>
      </c>
      <c r="X1037" s="255">
        <f>P1037</f>
        <v>11</v>
      </c>
      <c r="Y1037" s="255">
        <f>S1037+U1037+SUM(Q1036:Q1037)</f>
        <v>0</v>
      </c>
      <c r="Z1037" s="255">
        <f>F1037+J1037+N1037+P1037</f>
        <v>27</v>
      </c>
      <c r="AA1037" s="553"/>
      <c r="AB1037" s="553"/>
    </row>
    <row r="1038" spans="1:28" ht="12.75">
      <c r="A1038" s="547" t="s">
        <v>466</v>
      </c>
      <c r="B1038" s="547" t="s">
        <v>164</v>
      </c>
      <c r="C1038" s="548" t="s">
        <v>177</v>
      </c>
      <c r="D1038" s="549">
        <v>2015</v>
      </c>
      <c r="E1038" s="549" t="s">
        <v>775</v>
      </c>
      <c r="F1038" s="550">
        <v>71</v>
      </c>
      <c r="G1038" s="550">
        <v>0</v>
      </c>
      <c r="H1038" s="550">
        <v>0</v>
      </c>
      <c r="I1038" s="550">
        <v>0</v>
      </c>
      <c r="J1038" s="550">
        <v>46</v>
      </c>
      <c r="K1038" s="550">
        <v>0</v>
      </c>
      <c r="L1038" s="550">
        <v>0</v>
      </c>
      <c r="M1038" s="550">
        <v>0</v>
      </c>
      <c r="N1038" s="550">
        <v>53</v>
      </c>
      <c r="O1038" s="550">
        <v>0</v>
      </c>
      <c r="P1038" s="550">
        <v>123</v>
      </c>
      <c r="Q1038" s="550">
        <v>0</v>
      </c>
      <c r="R1038" s="574" t="s">
        <v>466</v>
      </c>
      <c r="S1038" s="552"/>
      <c r="T1038" s="552"/>
      <c r="U1038" s="552"/>
      <c r="V1038" s="552"/>
      <c r="W1038" s="552"/>
      <c r="X1038" s="552"/>
      <c r="Y1038" s="552"/>
      <c r="Z1038" s="552"/>
      <c r="AA1038" s="553"/>
      <c r="AB1038" s="553"/>
    </row>
    <row r="1039" spans="1:28" ht="12.75">
      <c r="A1039" s="547" t="s">
        <v>466</v>
      </c>
      <c r="B1039" s="547" t="s">
        <v>164</v>
      </c>
      <c r="C1039" s="548" t="s">
        <v>177</v>
      </c>
      <c r="D1039" s="549">
        <v>2018</v>
      </c>
      <c r="E1039" s="549" t="s">
        <v>775</v>
      </c>
      <c r="F1039" s="550">
        <v>71</v>
      </c>
      <c r="G1039" s="555">
        <v>0</v>
      </c>
      <c r="H1039" s="555">
        <v>0</v>
      </c>
      <c r="I1039" s="555">
        <v>0</v>
      </c>
      <c r="J1039" s="550">
        <v>46</v>
      </c>
      <c r="K1039" s="555">
        <v>0</v>
      </c>
      <c r="L1039" s="555">
        <v>0</v>
      </c>
      <c r="M1039" s="555">
        <v>0</v>
      </c>
      <c r="N1039" s="550">
        <v>53</v>
      </c>
      <c r="O1039" s="555">
        <v>0</v>
      </c>
      <c r="P1039" s="550">
        <v>123</v>
      </c>
      <c r="Q1039" s="555">
        <v>0</v>
      </c>
      <c r="R1039" s="574" t="s">
        <v>466</v>
      </c>
      <c r="S1039" s="552"/>
      <c r="T1039" s="552"/>
      <c r="U1039" s="552"/>
      <c r="V1039" s="552"/>
      <c r="W1039" s="552"/>
      <c r="X1039" s="552"/>
      <c r="Y1039" s="552"/>
      <c r="Z1039" s="552"/>
      <c r="AA1039" s="553"/>
      <c r="AB1039" s="553"/>
    </row>
    <row r="1040" spans="1:28" ht="12.75">
      <c r="A1040" s="547" t="s">
        <v>466</v>
      </c>
      <c r="B1040" s="547" t="s">
        <v>164</v>
      </c>
      <c r="C1040" s="548" t="s">
        <v>811</v>
      </c>
      <c r="D1040" s="549">
        <v>2019</v>
      </c>
      <c r="E1040" s="549" t="s">
        <v>775</v>
      </c>
      <c r="F1040" s="550">
        <v>71</v>
      </c>
      <c r="G1040" s="550">
        <v>0</v>
      </c>
      <c r="H1040" s="550">
        <v>0</v>
      </c>
      <c r="I1040" s="550">
        <v>0</v>
      </c>
      <c r="J1040" s="550">
        <v>46</v>
      </c>
      <c r="K1040" s="550">
        <v>0</v>
      </c>
      <c r="L1040" s="550">
        <v>0</v>
      </c>
      <c r="M1040" s="550">
        <v>0</v>
      </c>
      <c r="N1040" s="550">
        <v>53</v>
      </c>
      <c r="O1040" s="550">
        <v>0</v>
      </c>
      <c r="P1040" s="550">
        <v>123</v>
      </c>
      <c r="Q1040" s="550">
        <v>0</v>
      </c>
      <c r="R1040" s="574" t="s">
        <v>466</v>
      </c>
      <c r="S1040" s="255">
        <f>SUM(G1038:G1040) +SUM(K1038:K1040)</f>
        <v>0</v>
      </c>
      <c r="T1040" s="255">
        <f>F1040+J1040</f>
        <v>117</v>
      </c>
      <c r="U1040" s="255">
        <f>SUM(O1038:O1040)</f>
        <v>0</v>
      </c>
      <c r="V1040" s="255">
        <f>N1040</f>
        <v>53</v>
      </c>
      <c r="W1040" s="83">
        <f>SUM(Q1038:Q1040)</f>
        <v>0</v>
      </c>
      <c r="X1040" s="255">
        <f>P1040</f>
        <v>123</v>
      </c>
      <c r="Y1040" s="255">
        <f>S1040+U1040+SUM(Q1038:Q1040)</f>
        <v>0</v>
      </c>
      <c r="Z1040" s="255">
        <f>F1040+J1040+N1040+P1040</f>
        <v>293</v>
      </c>
      <c r="AA1040" s="553"/>
      <c r="AB1040" s="553"/>
    </row>
    <row r="1041" spans="1:28" ht="12.75">
      <c r="A1041" s="547" t="s">
        <v>467</v>
      </c>
      <c r="B1041" s="547" t="s">
        <v>164</v>
      </c>
      <c r="C1041" s="548" t="s">
        <v>177</v>
      </c>
      <c r="D1041" s="549">
        <v>2018</v>
      </c>
      <c r="E1041" s="549" t="s">
        <v>775</v>
      </c>
      <c r="F1041" s="550">
        <v>87</v>
      </c>
      <c r="G1041" s="550">
        <v>0</v>
      </c>
      <c r="H1041" s="550">
        <v>0</v>
      </c>
      <c r="I1041" s="550">
        <v>0</v>
      </c>
      <c r="J1041" s="550">
        <v>57</v>
      </c>
      <c r="K1041" s="550">
        <v>0</v>
      </c>
      <c r="L1041" s="550">
        <v>0</v>
      </c>
      <c r="M1041" s="550">
        <v>0</v>
      </c>
      <c r="N1041" s="550">
        <v>66</v>
      </c>
      <c r="O1041" s="550">
        <v>1</v>
      </c>
      <c r="P1041" s="550">
        <v>153</v>
      </c>
      <c r="Q1041" s="550">
        <v>1</v>
      </c>
      <c r="R1041" s="574" t="s">
        <v>467</v>
      </c>
      <c r="S1041" s="552"/>
      <c r="T1041" s="552"/>
      <c r="U1041" s="552"/>
      <c r="V1041" s="552"/>
      <c r="W1041" s="552"/>
      <c r="X1041" s="552"/>
      <c r="Y1041" s="552"/>
      <c r="Z1041" s="552"/>
      <c r="AA1041" s="553"/>
      <c r="AB1041" s="553"/>
    </row>
    <row r="1042" spans="1:28" ht="12.75">
      <c r="A1042" s="547" t="s">
        <v>467</v>
      </c>
      <c r="B1042" s="547" t="s">
        <v>164</v>
      </c>
      <c r="C1042" s="548" t="s">
        <v>811</v>
      </c>
      <c r="D1042" s="549">
        <v>2019</v>
      </c>
      <c r="E1042" s="549" t="s">
        <v>775</v>
      </c>
      <c r="F1042" s="550">
        <v>87</v>
      </c>
      <c r="G1042" s="550">
        <v>0</v>
      </c>
      <c r="H1042" s="550">
        <v>0</v>
      </c>
      <c r="I1042" s="550">
        <v>0</v>
      </c>
      <c r="J1042" s="550">
        <v>57</v>
      </c>
      <c r="K1042" s="550">
        <v>0</v>
      </c>
      <c r="L1042" s="550">
        <v>0</v>
      </c>
      <c r="M1042" s="550">
        <v>0</v>
      </c>
      <c r="N1042" s="550">
        <v>66</v>
      </c>
      <c r="O1042" s="550">
        <v>0</v>
      </c>
      <c r="P1042" s="550">
        <v>153</v>
      </c>
      <c r="Q1042" s="550">
        <v>5</v>
      </c>
      <c r="R1042" s="574" t="s">
        <v>467</v>
      </c>
      <c r="S1042" s="255">
        <f>SUM(G1041:G1042) +SUM(K1041:K1042)</f>
        <v>0</v>
      </c>
      <c r="T1042" s="255">
        <f>F1042+J1042</f>
        <v>144</v>
      </c>
      <c r="U1042" s="255">
        <f>SUM(O1041:O1042)</f>
        <v>1</v>
      </c>
      <c r="V1042" s="255">
        <f>N1042</f>
        <v>66</v>
      </c>
      <c r="W1042" s="83">
        <f>SUM(Q1041:Q1042)</f>
        <v>6</v>
      </c>
      <c r="X1042" s="255">
        <f>P1042</f>
        <v>153</v>
      </c>
      <c r="Y1042" s="255">
        <f>S1042+U1042+SUM(Q1041:Q1042)</f>
        <v>7</v>
      </c>
      <c r="Z1042" s="255">
        <f>F1042+J1042+N1042+P1042</f>
        <v>363</v>
      </c>
      <c r="AA1042" s="553"/>
      <c r="AB1042" s="553"/>
    </row>
    <row r="1043" spans="1:28" ht="12.75">
      <c r="A1043" s="547" t="s">
        <v>468</v>
      </c>
      <c r="B1043" s="547" t="s">
        <v>164</v>
      </c>
      <c r="C1043" s="548" t="s">
        <v>177</v>
      </c>
      <c r="D1043" s="549">
        <v>2015</v>
      </c>
      <c r="E1043" s="549" t="s">
        <v>775</v>
      </c>
      <c r="F1043" s="550">
        <v>43</v>
      </c>
      <c r="G1043" s="550">
        <v>0</v>
      </c>
      <c r="H1043" s="550">
        <v>0</v>
      </c>
      <c r="I1043" s="550">
        <v>0</v>
      </c>
      <c r="J1043" s="550">
        <v>28</v>
      </c>
      <c r="K1043" s="550">
        <v>0</v>
      </c>
      <c r="L1043" s="550">
        <v>0</v>
      </c>
      <c r="M1043" s="550">
        <v>0</v>
      </c>
      <c r="N1043" s="550">
        <v>33</v>
      </c>
      <c r="O1043" s="550">
        <v>0</v>
      </c>
      <c r="P1043" s="550">
        <v>76</v>
      </c>
      <c r="Q1043" s="550">
        <v>25</v>
      </c>
      <c r="R1043" s="574" t="s">
        <v>468</v>
      </c>
      <c r="S1043" s="552"/>
      <c r="T1043" s="552"/>
      <c r="U1043" s="552"/>
      <c r="V1043" s="552"/>
      <c r="W1043" s="552"/>
      <c r="X1043" s="552"/>
      <c r="Y1043" s="552"/>
      <c r="Z1043" s="552"/>
      <c r="AA1043" s="553"/>
      <c r="AB1043" s="553"/>
    </row>
    <row r="1044" spans="1:28" ht="12.75">
      <c r="A1044" s="547" t="s">
        <v>468</v>
      </c>
      <c r="B1044" s="547" t="s">
        <v>164</v>
      </c>
      <c r="C1044" s="548" t="s">
        <v>177</v>
      </c>
      <c r="D1044" s="549">
        <v>2016</v>
      </c>
      <c r="E1044" s="549" t="s">
        <v>775</v>
      </c>
      <c r="F1044" s="550">
        <v>43</v>
      </c>
      <c r="G1044" s="550">
        <v>0</v>
      </c>
      <c r="H1044" s="550">
        <v>0</v>
      </c>
      <c r="I1044" s="550">
        <v>0</v>
      </c>
      <c r="J1044" s="550">
        <v>28</v>
      </c>
      <c r="K1044" s="550">
        <v>4</v>
      </c>
      <c r="L1044" s="550">
        <v>4</v>
      </c>
      <c r="M1044" s="550">
        <v>0</v>
      </c>
      <c r="N1044" s="550">
        <v>33</v>
      </c>
      <c r="O1044" s="550">
        <v>1</v>
      </c>
      <c r="P1044" s="550">
        <v>76</v>
      </c>
      <c r="Q1044" s="550">
        <v>30</v>
      </c>
      <c r="R1044" s="574" t="s">
        <v>468</v>
      </c>
      <c r="S1044" s="552"/>
      <c r="T1044" s="552"/>
      <c r="U1044" s="552"/>
      <c r="V1044" s="552"/>
      <c r="W1044" s="552"/>
      <c r="X1044" s="552"/>
      <c r="Y1044" s="552"/>
      <c r="Z1044" s="552"/>
      <c r="AA1044" s="553"/>
      <c r="AB1044" s="553"/>
    </row>
    <row r="1045" spans="1:28" ht="12.75">
      <c r="A1045" s="547" t="s">
        <v>468</v>
      </c>
      <c r="B1045" s="555" t="s">
        <v>164</v>
      </c>
      <c r="C1045" s="548" t="s">
        <v>177</v>
      </c>
      <c r="D1045" s="549">
        <v>2017</v>
      </c>
      <c r="E1045" s="549" t="s">
        <v>775</v>
      </c>
      <c r="F1045" s="550">
        <v>43</v>
      </c>
      <c r="G1045" s="550">
        <v>0</v>
      </c>
      <c r="H1045" s="550">
        <v>0</v>
      </c>
      <c r="I1045" s="550">
        <v>0</v>
      </c>
      <c r="J1045" s="550">
        <v>28</v>
      </c>
      <c r="K1045" s="550">
        <v>2</v>
      </c>
      <c r="L1045" s="550">
        <v>2</v>
      </c>
      <c r="M1045" s="550">
        <v>0</v>
      </c>
      <c r="N1045" s="550">
        <v>33</v>
      </c>
      <c r="O1045" s="550">
        <v>5</v>
      </c>
      <c r="P1045" s="550">
        <v>76</v>
      </c>
      <c r="Q1045" s="550">
        <v>31</v>
      </c>
      <c r="R1045" s="574" t="s">
        <v>468</v>
      </c>
      <c r="S1045" s="552"/>
      <c r="T1045" s="552"/>
      <c r="U1045" s="552"/>
      <c r="V1045" s="552"/>
      <c r="W1045" s="552"/>
      <c r="X1045" s="552"/>
      <c r="Y1045" s="552"/>
      <c r="Z1045" s="552"/>
      <c r="AA1045" s="553"/>
      <c r="AB1045" s="553"/>
    </row>
    <row r="1046" spans="1:28" ht="12.75">
      <c r="A1046" s="547" t="s">
        <v>468</v>
      </c>
      <c r="B1046" s="547" t="s">
        <v>164</v>
      </c>
      <c r="C1046" s="548" t="s">
        <v>177</v>
      </c>
      <c r="D1046" s="549">
        <v>2018</v>
      </c>
      <c r="E1046" s="549" t="s">
        <v>775</v>
      </c>
      <c r="F1046" s="550">
        <v>43</v>
      </c>
      <c r="G1046" s="550">
        <v>0</v>
      </c>
      <c r="H1046" s="550">
        <v>0</v>
      </c>
      <c r="I1046" s="550">
        <v>0</v>
      </c>
      <c r="J1046" s="550">
        <v>28</v>
      </c>
      <c r="K1046" s="550">
        <v>0</v>
      </c>
      <c r="L1046" s="550">
        <v>0</v>
      </c>
      <c r="M1046" s="550">
        <v>0</v>
      </c>
      <c r="N1046" s="550">
        <v>33</v>
      </c>
      <c r="O1046" s="550">
        <v>0</v>
      </c>
      <c r="P1046" s="550">
        <v>76</v>
      </c>
      <c r="Q1046" s="550">
        <v>40</v>
      </c>
      <c r="R1046" s="574" t="s">
        <v>468</v>
      </c>
      <c r="S1046" s="552"/>
      <c r="T1046" s="552"/>
      <c r="U1046" s="552"/>
      <c r="V1046" s="552"/>
      <c r="W1046" s="552"/>
      <c r="X1046" s="552"/>
      <c r="Y1046" s="552"/>
      <c r="Z1046" s="552"/>
      <c r="AA1046" s="553"/>
      <c r="AB1046" s="553"/>
    </row>
    <row r="1047" spans="1:28" ht="12.75">
      <c r="A1047" s="547" t="s">
        <v>468</v>
      </c>
      <c r="B1047" s="547" t="s">
        <v>164</v>
      </c>
      <c r="C1047" s="548" t="s">
        <v>811</v>
      </c>
      <c r="D1047" s="549">
        <v>2019</v>
      </c>
      <c r="E1047" s="549" t="s">
        <v>775</v>
      </c>
      <c r="F1047" s="550">
        <v>43</v>
      </c>
      <c r="G1047" s="550">
        <v>0</v>
      </c>
      <c r="H1047" s="550">
        <v>0</v>
      </c>
      <c r="I1047" s="550">
        <v>0</v>
      </c>
      <c r="J1047" s="550">
        <v>28</v>
      </c>
      <c r="K1047" s="550">
        <v>0</v>
      </c>
      <c r="L1047" s="550">
        <v>0</v>
      </c>
      <c r="M1047" s="550">
        <v>0</v>
      </c>
      <c r="N1047" s="550">
        <v>33</v>
      </c>
      <c r="O1047" s="550">
        <v>0</v>
      </c>
      <c r="P1047" s="550">
        <v>76</v>
      </c>
      <c r="Q1047" s="550">
        <v>50</v>
      </c>
      <c r="R1047" s="574" t="s">
        <v>468</v>
      </c>
      <c r="S1047" s="255">
        <f>SUM(G1043:G1047) +SUM(K1043:K1047)</f>
        <v>6</v>
      </c>
      <c r="T1047" s="255">
        <f>F1047+J1047</f>
        <v>71</v>
      </c>
      <c r="U1047" s="255">
        <f>SUM(O1043:O1047)</f>
        <v>6</v>
      </c>
      <c r="V1047" s="255">
        <f>N1047</f>
        <v>33</v>
      </c>
      <c r="W1047" s="83">
        <f>SUM(Q1043:Q1047)</f>
        <v>176</v>
      </c>
      <c r="X1047" s="255">
        <f>P1047</f>
        <v>76</v>
      </c>
      <c r="Y1047" s="255">
        <f>S1047+U1047+SUM(Q1043:Q1047)</f>
        <v>188</v>
      </c>
      <c r="Z1047" s="255">
        <f>F1047+J1047+N1047+P1047</f>
        <v>180</v>
      </c>
      <c r="AA1047" s="553"/>
      <c r="AB1047" s="553"/>
    </row>
    <row r="1048" spans="1:28" ht="12.75">
      <c r="A1048" s="547" t="s">
        <v>469</v>
      </c>
      <c r="B1048" s="547" t="s">
        <v>164</v>
      </c>
      <c r="C1048" s="548" t="s">
        <v>177</v>
      </c>
      <c r="D1048" s="549">
        <v>2015</v>
      </c>
      <c r="E1048" s="549" t="s">
        <v>775</v>
      </c>
      <c r="F1048" s="550">
        <v>315</v>
      </c>
      <c r="G1048" s="550">
        <v>0</v>
      </c>
      <c r="H1048" s="550">
        <v>0</v>
      </c>
      <c r="I1048" s="550">
        <v>0</v>
      </c>
      <c r="J1048" s="550">
        <v>206</v>
      </c>
      <c r="K1048" s="550">
        <v>0</v>
      </c>
      <c r="L1048" s="550">
        <v>0</v>
      </c>
      <c r="M1048" s="550">
        <v>0</v>
      </c>
      <c r="N1048" s="550">
        <v>239</v>
      </c>
      <c r="O1048" s="550">
        <v>0</v>
      </c>
      <c r="P1048" s="550">
        <v>548</v>
      </c>
      <c r="Q1048" s="550">
        <v>61</v>
      </c>
      <c r="R1048" s="574" t="s">
        <v>469</v>
      </c>
      <c r="S1048" s="552"/>
      <c r="T1048" s="552"/>
      <c r="U1048" s="552"/>
      <c r="V1048" s="552"/>
      <c r="W1048" s="552"/>
      <c r="X1048" s="552"/>
      <c r="Y1048" s="552"/>
      <c r="Z1048" s="552"/>
      <c r="AA1048" s="553"/>
      <c r="AB1048" s="553"/>
    </row>
    <row r="1049" spans="1:28" ht="12.75">
      <c r="A1049" s="547" t="s">
        <v>469</v>
      </c>
      <c r="B1049" s="547" t="s">
        <v>164</v>
      </c>
      <c r="C1049" s="548" t="s">
        <v>177</v>
      </c>
      <c r="D1049" s="549">
        <v>2016</v>
      </c>
      <c r="E1049" s="549" t="s">
        <v>775</v>
      </c>
      <c r="F1049" s="550">
        <v>315</v>
      </c>
      <c r="G1049" s="550">
        <v>0</v>
      </c>
      <c r="H1049" s="550">
        <v>0</v>
      </c>
      <c r="I1049" s="550">
        <v>0</v>
      </c>
      <c r="J1049" s="550">
        <v>206</v>
      </c>
      <c r="K1049" s="550">
        <v>0</v>
      </c>
      <c r="L1049" s="550">
        <v>0</v>
      </c>
      <c r="M1049" s="550">
        <v>0</v>
      </c>
      <c r="N1049" s="550">
        <v>239</v>
      </c>
      <c r="O1049" s="550">
        <v>0</v>
      </c>
      <c r="P1049" s="550">
        <v>548</v>
      </c>
      <c r="Q1049" s="550">
        <v>74</v>
      </c>
      <c r="R1049" s="574" t="s">
        <v>469</v>
      </c>
      <c r="S1049" s="552"/>
      <c r="T1049" s="552"/>
      <c r="U1049" s="552"/>
      <c r="V1049" s="552"/>
      <c r="W1049" s="552"/>
      <c r="X1049" s="552"/>
      <c r="Y1049" s="552"/>
      <c r="Z1049" s="552"/>
      <c r="AA1049" s="553"/>
      <c r="AB1049" s="553"/>
    </row>
    <row r="1050" spans="1:28" ht="12.75">
      <c r="A1050" s="547" t="s">
        <v>469</v>
      </c>
      <c r="B1050" s="547" t="s">
        <v>164</v>
      </c>
      <c r="C1050" s="548" t="s">
        <v>177</v>
      </c>
      <c r="D1050" s="549">
        <v>2017</v>
      </c>
      <c r="E1050" s="549" t="s">
        <v>775</v>
      </c>
      <c r="F1050" s="550">
        <v>315</v>
      </c>
      <c r="G1050" s="550">
        <v>42</v>
      </c>
      <c r="H1050" s="550">
        <v>1</v>
      </c>
      <c r="I1050" s="550">
        <v>41</v>
      </c>
      <c r="J1050" s="550">
        <v>206</v>
      </c>
      <c r="K1050" s="550">
        <v>6</v>
      </c>
      <c r="L1050" s="550">
        <v>1</v>
      </c>
      <c r="M1050" s="550">
        <v>5</v>
      </c>
      <c r="N1050" s="550">
        <v>239</v>
      </c>
      <c r="O1050" s="550">
        <v>147</v>
      </c>
      <c r="P1050" s="550">
        <v>548</v>
      </c>
      <c r="Q1050" s="550">
        <v>22</v>
      </c>
      <c r="R1050" s="574" t="s">
        <v>469</v>
      </c>
      <c r="S1050" s="552"/>
      <c r="T1050" s="552"/>
      <c r="U1050" s="552"/>
      <c r="V1050" s="552"/>
      <c r="W1050" s="552"/>
      <c r="X1050" s="552"/>
      <c r="Y1050" s="552"/>
      <c r="Z1050" s="552"/>
      <c r="AA1050" s="553"/>
      <c r="AB1050" s="553"/>
    </row>
    <row r="1051" spans="1:28" ht="12.75">
      <c r="A1051" s="547" t="s">
        <v>469</v>
      </c>
      <c r="B1051" s="547" t="s">
        <v>164</v>
      </c>
      <c r="C1051" s="548" t="s">
        <v>177</v>
      </c>
      <c r="D1051" s="549">
        <v>2018</v>
      </c>
      <c r="E1051" s="549" t="s">
        <v>775</v>
      </c>
      <c r="F1051" s="550">
        <v>315</v>
      </c>
      <c r="G1051" s="550">
        <v>0</v>
      </c>
      <c r="H1051" s="550">
        <v>0</v>
      </c>
      <c r="I1051" s="550">
        <v>0</v>
      </c>
      <c r="J1051" s="550">
        <v>206</v>
      </c>
      <c r="K1051" s="550">
        <v>0</v>
      </c>
      <c r="L1051" s="550">
        <v>0</v>
      </c>
      <c r="M1051" s="550">
        <v>0</v>
      </c>
      <c r="N1051" s="550">
        <v>239</v>
      </c>
      <c r="O1051" s="550">
        <v>0</v>
      </c>
      <c r="P1051" s="550">
        <v>548</v>
      </c>
      <c r="Q1051" s="550">
        <v>121</v>
      </c>
      <c r="R1051" s="574" t="s">
        <v>469</v>
      </c>
      <c r="S1051" s="552"/>
      <c r="T1051" s="552"/>
      <c r="U1051" s="552"/>
      <c r="V1051" s="552"/>
      <c r="W1051" s="552"/>
      <c r="X1051" s="552"/>
      <c r="Y1051" s="552"/>
      <c r="Z1051" s="552"/>
      <c r="AA1051" s="553"/>
      <c r="AB1051" s="553"/>
    </row>
    <row r="1052" spans="1:28" ht="12.75">
      <c r="A1052" s="547" t="s">
        <v>469</v>
      </c>
      <c r="B1052" s="547" t="s">
        <v>164</v>
      </c>
      <c r="C1052" s="548" t="s">
        <v>811</v>
      </c>
      <c r="D1052" s="549">
        <v>2019</v>
      </c>
      <c r="E1052" s="549" t="s">
        <v>775</v>
      </c>
      <c r="F1052" s="550">
        <v>315</v>
      </c>
      <c r="G1052" s="550">
        <v>0</v>
      </c>
      <c r="H1052" s="550">
        <v>0</v>
      </c>
      <c r="I1052" s="550">
        <v>0</v>
      </c>
      <c r="J1052" s="550">
        <v>206</v>
      </c>
      <c r="K1052" s="550">
        <v>0</v>
      </c>
      <c r="L1052" s="550">
        <v>0</v>
      </c>
      <c r="M1052" s="550">
        <v>0</v>
      </c>
      <c r="N1052" s="550">
        <v>239</v>
      </c>
      <c r="O1052" s="550">
        <v>0</v>
      </c>
      <c r="P1052" s="550">
        <v>548</v>
      </c>
      <c r="Q1052" s="550">
        <v>76</v>
      </c>
      <c r="R1052" s="574" t="s">
        <v>469</v>
      </c>
      <c r="S1052" s="255">
        <f>SUM(G1048:G1052) +SUM(K1048:K1052)</f>
        <v>48</v>
      </c>
      <c r="T1052" s="255">
        <f>F1052+J1052</f>
        <v>521</v>
      </c>
      <c r="U1052" s="255">
        <f>SUM(O1048:O1052)</f>
        <v>147</v>
      </c>
      <c r="V1052" s="255">
        <f>N1052</f>
        <v>239</v>
      </c>
      <c r="W1052" s="83">
        <f>SUM(Q1048:Q1052)</f>
        <v>354</v>
      </c>
      <c r="X1052" s="255">
        <f>P1052</f>
        <v>548</v>
      </c>
      <c r="Y1052" s="255">
        <f>S1052+U1052+SUM(Q1048:Q1052)</f>
        <v>549</v>
      </c>
      <c r="Z1052" s="255">
        <f>F1052+J1052+N1052+P1052</f>
        <v>1308</v>
      </c>
      <c r="AA1052" s="270"/>
      <c r="AB1052" s="572"/>
    </row>
    <row r="1053" spans="1:28" ht="12.75">
      <c r="A1053" s="547" t="s">
        <v>164</v>
      </c>
      <c r="B1053" s="547" t="s">
        <v>164</v>
      </c>
      <c r="C1053" s="548" t="s">
        <v>177</v>
      </c>
      <c r="D1053" s="549">
        <v>2015</v>
      </c>
      <c r="E1053" s="549" t="s">
        <v>775</v>
      </c>
      <c r="F1053" s="550">
        <v>157</v>
      </c>
      <c r="G1053" s="550">
        <v>0</v>
      </c>
      <c r="H1053" s="550">
        <v>0</v>
      </c>
      <c r="I1053" s="550">
        <v>0</v>
      </c>
      <c r="J1053" s="550">
        <v>102</v>
      </c>
      <c r="K1053" s="550">
        <v>0</v>
      </c>
      <c r="L1053" s="550">
        <v>0</v>
      </c>
      <c r="M1053" s="550">
        <v>0</v>
      </c>
      <c r="N1053" s="550">
        <v>119</v>
      </c>
      <c r="O1053" s="550">
        <v>2</v>
      </c>
      <c r="P1053" s="550">
        <v>272</v>
      </c>
      <c r="Q1053" s="550">
        <v>55</v>
      </c>
      <c r="R1053" s="574" t="s">
        <v>164</v>
      </c>
      <c r="S1053" s="552"/>
      <c r="T1053" s="552"/>
      <c r="U1053" s="552"/>
      <c r="V1053" s="552"/>
      <c r="W1053" s="552"/>
      <c r="X1053" s="552"/>
      <c r="Y1053" s="552"/>
      <c r="Z1053" s="552"/>
      <c r="AA1053" s="400"/>
      <c r="AB1053" s="572"/>
    </row>
    <row r="1054" spans="1:28" ht="12.75">
      <c r="A1054" s="547" t="s">
        <v>164</v>
      </c>
      <c r="B1054" s="547" t="s">
        <v>164</v>
      </c>
      <c r="C1054" s="548" t="s">
        <v>177</v>
      </c>
      <c r="D1054" s="549">
        <v>2016</v>
      </c>
      <c r="E1054" s="549" t="s">
        <v>775</v>
      </c>
      <c r="F1054" s="550">
        <v>157</v>
      </c>
      <c r="G1054" s="550">
        <v>0</v>
      </c>
      <c r="H1054" s="550">
        <v>0</v>
      </c>
      <c r="I1054" s="550">
        <v>0</v>
      </c>
      <c r="J1054" s="550">
        <v>102</v>
      </c>
      <c r="K1054" s="550">
        <v>0</v>
      </c>
      <c r="L1054" s="550">
        <v>0</v>
      </c>
      <c r="M1054" s="550">
        <v>0</v>
      </c>
      <c r="N1054" s="550">
        <v>119</v>
      </c>
      <c r="O1054" s="550">
        <v>0</v>
      </c>
      <c r="P1054" s="550">
        <v>272</v>
      </c>
      <c r="Q1054" s="550">
        <v>2</v>
      </c>
      <c r="R1054" s="574" t="s">
        <v>164</v>
      </c>
      <c r="S1054" s="552"/>
      <c r="T1054" s="552"/>
      <c r="U1054" s="552"/>
      <c r="V1054" s="552"/>
      <c r="W1054" s="552"/>
      <c r="X1054" s="552"/>
      <c r="Y1054" s="552"/>
      <c r="Z1054" s="552"/>
      <c r="AA1054" s="400"/>
      <c r="AB1054" s="572"/>
    </row>
    <row r="1055" spans="1:28" ht="12.75">
      <c r="A1055" s="547" t="s">
        <v>164</v>
      </c>
      <c r="B1055" s="547" t="s">
        <v>164</v>
      </c>
      <c r="C1055" s="548" t="s">
        <v>177</v>
      </c>
      <c r="D1055" s="549">
        <v>2017</v>
      </c>
      <c r="E1055" s="549" t="s">
        <v>775</v>
      </c>
      <c r="F1055" s="550">
        <v>157</v>
      </c>
      <c r="G1055" s="550">
        <v>19</v>
      </c>
      <c r="H1055" s="550">
        <v>19</v>
      </c>
      <c r="I1055" s="550">
        <v>0</v>
      </c>
      <c r="J1055" s="550">
        <v>102</v>
      </c>
      <c r="K1055" s="550">
        <v>0</v>
      </c>
      <c r="L1055" s="550">
        <v>0</v>
      </c>
      <c r="M1055" s="550">
        <v>0</v>
      </c>
      <c r="N1055" s="550">
        <v>119</v>
      </c>
      <c r="O1055" s="550">
        <v>0</v>
      </c>
      <c r="P1055" s="550">
        <v>272</v>
      </c>
      <c r="Q1055" s="550">
        <v>10</v>
      </c>
      <c r="R1055" s="574" t="s">
        <v>164</v>
      </c>
      <c r="S1055" s="552"/>
      <c r="T1055" s="552"/>
      <c r="U1055" s="552"/>
      <c r="V1055" s="552"/>
      <c r="W1055" s="552"/>
      <c r="X1055" s="552"/>
      <c r="Y1055" s="552"/>
      <c r="Z1055" s="552"/>
      <c r="AA1055" s="400"/>
      <c r="AB1055" s="572"/>
    </row>
    <row r="1056" spans="1:28" ht="12.75">
      <c r="A1056" s="547" t="s">
        <v>164</v>
      </c>
      <c r="B1056" s="547" t="s">
        <v>164</v>
      </c>
      <c r="C1056" s="548" t="s">
        <v>177</v>
      </c>
      <c r="D1056" s="549">
        <v>2018</v>
      </c>
      <c r="E1056" s="549" t="s">
        <v>775</v>
      </c>
      <c r="F1056" s="550">
        <v>157</v>
      </c>
      <c r="G1056" s="550">
        <v>0</v>
      </c>
      <c r="H1056" s="550">
        <v>0</v>
      </c>
      <c r="I1056" s="550">
        <v>0</v>
      </c>
      <c r="J1056" s="550">
        <v>102</v>
      </c>
      <c r="K1056" s="550">
        <v>0</v>
      </c>
      <c r="L1056" s="550">
        <v>0</v>
      </c>
      <c r="M1056" s="550">
        <v>0</v>
      </c>
      <c r="N1056" s="550">
        <v>119</v>
      </c>
      <c r="O1056" s="550">
        <v>0</v>
      </c>
      <c r="P1056" s="550">
        <v>272</v>
      </c>
      <c r="Q1056" s="550">
        <v>4</v>
      </c>
      <c r="R1056" s="574" t="s">
        <v>164</v>
      </c>
      <c r="S1056" s="552"/>
      <c r="T1056" s="552"/>
      <c r="U1056" s="552"/>
      <c r="V1056" s="552"/>
      <c r="W1056" s="552"/>
      <c r="X1056" s="552"/>
      <c r="Y1056" s="552"/>
      <c r="Z1056" s="552"/>
      <c r="AA1056" s="400"/>
      <c r="AB1056" s="572"/>
    </row>
    <row r="1057" spans="1:28" ht="12.75">
      <c r="A1057" s="547" t="s">
        <v>164</v>
      </c>
      <c r="B1057" s="547" t="s">
        <v>164</v>
      </c>
      <c r="C1057" s="548" t="s">
        <v>811</v>
      </c>
      <c r="D1057" s="549">
        <v>2019</v>
      </c>
      <c r="E1057" s="549" t="s">
        <v>775</v>
      </c>
      <c r="F1057" s="550">
        <v>157</v>
      </c>
      <c r="G1057" s="550">
        <v>0</v>
      </c>
      <c r="H1057" s="550">
        <v>0</v>
      </c>
      <c r="I1057" s="550">
        <v>0</v>
      </c>
      <c r="J1057" s="550">
        <v>102</v>
      </c>
      <c r="K1057" s="550">
        <v>0</v>
      </c>
      <c r="L1057" s="550">
        <v>0</v>
      </c>
      <c r="M1057" s="550">
        <v>0</v>
      </c>
      <c r="N1057" s="550">
        <v>119</v>
      </c>
      <c r="O1057" s="550">
        <v>0</v>
      </c>
      <c r="P1057" s="550">
        <v>272</v>
      </c>
      <c r="Q1057" s="550">
        <v>3</v>
      </c>
      <c r="R1057" s="574" t="s">
        <v>164</v>
      </c>
      <c r="S1057" s="255">
        <f>SUM(G1053:G1057) +SUM(K1053:K1057)</f>
        <v>19</v>
      </c>
      <c r="T1057" s="255">
        <f>F1057+J1057</f>
        <v>259</v>
      </c>
      <c r="U1057" s="255">
        <f>SUM(O1053:O1057)</f>
        <v>2</v>
      </c>
      <c r="V1057" s="255">
        <f>N1057</f>
        <v>119</v>
      </c>
      <c r="W1057" s="83">
        <f>SUM(Q1053:Q1057)</f>
        <v>74</v>
      </c>
      <c r="X1057" s="255">
        <f>P1057</f>
        <v>272</v>
      </c>
      <c r="Y1057" s="255">
        <f>S1057+U1057+SUM(Q1053:Q1057)</f>
        <v>95</v>
      </c>
      <c r="Z1057" s="255">
        <f>F1057+J1057+N1057+P1057</f>
        <v>650</v>
      </c>
      <c r="AA1057" s="400"/>
      <c r="AB1057" s="572"/>
    </row>
    <row r="1058" spans="1:28" ht="12.75">
      <c r="A1058" s="547" t="s">
        <v>470</v>
      </c>
      <c r="B1058" s="547" t="s">
        <v>164</v>
      </c>
      <c r="C1058" s="548" t="s">
        <v>177</v>
      </c>
      <c r="D1058" s="549">
        <v>2015</v>
      </c>
      <c r="E1058" s="549" t="s">
        <v>775</v>
      </c>
      <c r="F1058" s="550">
        <v>374</v>
      </c>
      <c r="G1058" s="550">
        <v>137</v>
      </c>
      <c r="H1058" s="550">
        <v>37</v>
      </c>
      <c r="I1058" s="550">
        <v>100</v>
      </c>
      <c r="J1058" s="550">
        <v>244</v>
      </c>
      <c r="K1058" s="550">
        <v>6</v>
      </c>
      <c r="L1058" s="550">
        <v>6</v>
      </c>
      <c r="M1058" s="550">
        <v>0</v>
      </c>
      <c r="N1058" s="550">
        <v>282</v>
      </c>
      <c r="O1058" s="550">
        <v>0</v>
      </c>
      <c r="P1058" s="550">
        <v>651</v>
      </c>
      <c r="Q1058" s="550">
        <v>189</v>
      </c>
      <c r="R1058" s="574" t="s">
        <v>470</v>
      </c>
      <c r="S1058" s="552"/>
      <c r="T1058" s="552"/>
      <c r="U1058" s="552"/>
      <c r="V1058" s="552"/>
      <c r="W1058" s="552"/>
      <c r="X1058" s="552"/>
      <c r="Y1058" s="552"/>
      <c r="Z1058" s="552"/>
      <c r="AA1058" s="400"/>
      <c r="AB1058" s="572"/>
    </row>
    <row r="1059" spans="1:28" ht="12.75">
      <c r="A1059" s="547" t="s">
        <v>470</v>
      </c>
      <c r="B1059" s="547" t="s">
        <v>164</v>
      </c>
      <c r="C1059" s="548" t="s">
        <v>177</v>
      </c>
      <c r="D1059" s="549">
        <v>2016</v>
      </c>
      <c r="E1059" s="549" t="s">
        <v>775</v>
      </c>
      <c r="F1059" s="550">
        <v>374</v>
      </c>
      <c r="G1059" s="550">
        <v>0</v>
      </c>
      <c r="H1059" s="550">
        <v>0</v>
      </c>
      <c r="I1059" s="550">
        <v>0</v>
      </c>
      <c r="J1059" s="550">
        <v>244</v>
      </c>
      <c r="K1059" s="550">
        <v>0</v>
      </c>
      <c r="L1059" s="550">
        <v>0</v>
      </c>
      <c r="M1059" s="550">
        <v>0</v>
      </c>
      <c r="N1059" s="550">
        <v>282</v>
      </c>
      <c r="O1059" s="550">
        <v>3</v>
      </c>
      <c r="P1059" s="550">
        <v>651</v>
      </c>
      <c r="Q1059" s="550">
        <v>260</v>
      </c>
      <c r="R1059" s="574" t="s">
        <v>470</v>
      </c>
      <c r="S1059" s="552"/>
      <c r="T1059" s="552"/>
      <c r="U1059" s="552"/>
      <c r="V1059" s="552"/>
      <c r="W1059" s="552"/>
      <c r="X1059" s="552"/>
      <c r="Y1059" s="552"/>
      <c r="Z1059" s="552"/>
      <c r="AA1059" s="400"/>
      <c r="AB1059" s="572"/>
    </row>
    <row r="1060" spans="1:28" ht="12.75">
      <c r="A1060" s="547" t="s">
        <v>470</v>
      </c>
      <c r="B1060" s="547" t="s">
        <v>164</v>
      </c>
      <c r="C1060" s="548" t="s">
        <v>177</v>
      </c>
      <c r="D1060" s="549">
        <v>2017</v>
      </c>
      <c r="E1060" s="549" t="s">
        <v>775</v>
      </c>
      <c r="F1060" s="550">
        <v>374</v>
      </c>
      <c r="G1060" s="550">
        <v>82</v>
      </c>
      <c r="H1060" s="550">
        <v>7</v>
      </c>
      <c r="I1060" s="550">
        <v>75</v>
      </c>
      <c r="J1060" s="550">
        <v>244</v>
      </c>
      <c r="K1060" s="550">
        <v>7</v>
      </c>
      <c r="L1060" s="550">
        <v>7</v>
      </c>
      <c r="M1060" s="550">
        <v>0</v>
      </c>
      <c r="N1060" s="550">
        <v>282</v>
      </c>
      <c r="O1060" s="550">
        <v>20</v>
      </c>
      <c r="P1060" s="550">
        <v>651</v>
      </c>
      <c r="Q1060" s="550">
        <v>316</v>
      </c>
      <c r="R1060" s="574" t="s">
        <v>470</v>
      </c>
      <c r="S1060" s="552"/>
      <c r="T1060" s="552"/>
      <c r="U1060" s="552"/>
      <c r="V1060" s="552"/>
      <c r="W1060" s="552"/>
      <c r="X1060" s="552"/>
      <c r="Y1060" s="552"/>
      <c r="Z1060" s="552"/>
      <c r="AA1060" s="400"/>
      <c r="AB1060" s="572"/>
    </row>
    <row r="1061" spans="1:28" ht="12.75">
      <c r="A1061" s="547" t="s">
        <v>470</v>
      </c>
      <c r="B1061" s="547" t="s">
        <v>164</v>
      </c>
      <c r="C1061" s="548" t="s">
        <v>177</v>
      </c>
      <c r="D1061" s="549">
        <v>2018</v>
      </c>
      <c r="E1061" s="549" t="s">
        <v>775</v>
      </c>
      <c r="F1061" s="550">
        <v>374</v>
      </c>
      <c r="G1061" s="550">
        <v>0</v>
      </c>
      <c r="H1061" s="550">
        <v>0</v>
      </c>
      <c r="I1061" s="550">
        <v>0</v>
      </c>
      <c r="J1061" s="550">
        <v>244</v>
      </c>
      <c r="K1061" s="550">
        <v>0</v>
      </c>
      <c r="L1061" s="550">
        <v>0</v>
      </c>
      <c r="M1061" s="550">
        <v>0</v>
      </c>
      <c r="N1061" s="550">
        <v>282</v>
      </c>
      <c r="O1061" s="550">
        <v>4</v>
      </c>
      <c r="P1061" s="550">
        <v>651</v>
      </c>
      <c r="Q1061" s="550">
        <v>230</v>
      </c>
      <c r="R1061" s="574" t="s">
        <v>470</v>
      </c>
      <c r="S1061" s="552"/>
      <c r="T1061" s="552"/>
      <c r="U1061" s="552"/>
      <c r="V1061" s="552"/>
      <c r="W1061" s="552"/>
      <c r="X1061" s="552"/>
      <c r="Y1061" s="552"/>
      <c r="Z1061" s="552"/>
      <c r="AA1061" s="400"/>
      <c r="AB1061" s="572"/>
    </row>
    <row r="1062" spans="1:28" ht="12.75">
      <c r="A1062" s="547" t="s">
        <v>470</v>
      </c>
      <c r="B1062" s="547" t="s">
        <v>164</v>
      </c>
      <c r="C1062" s="548" t="s">
        <v>811</v>
      </c>
      <c r="D1062" s="549">
        <v>2019</v>
      </c>
      <c r="E1062" s="549" t="s">
        <v>775</v>
      </c>
      <c r="F1062" s="550">
        <v>374</v>
      </c>
      <c r="G1062" s="550">
        <v>0</v>
      </c>
      <c r="H1062" s="550">
        <v>0</v>
      </c>
      <c r="I1062" s="550">
        <v>0</v>
      </c>
      <c r="J1062" s="550">
        <v>244</v>
      </c>
      <c r="K1062" s="550">
        <v>0</v>
      </c>
      <c r="L1062" s="550">
        <v>0</v>
      </c>
      <c r="M1062" s="550">
        <v>0</v>
      </c>
      <c r="N1062" s="550">
        <v>282</v>
      </c>
      <c r="O1062" s="550">
        <v>8</v>
      </c>
      <c r="P1062" s="550">
        <v>651</v>
      </c>
      <c r="Q1062" s="550">
        <v>215</v>
      </c>
      <c r="R1062" s="574" t="s">
        <v>470</v>
      </c>
      <c r="S1062" s="255">
        <f>SUM(G1058:G1062) +SUM(K1058:K1062)</f>
        <v>232</v>
      </c>
      <c r="T1062" s="255">
        <f>F1062+J1062</f>
        <v>618</v>
      </c>
      <c r="U1062" s="255">
        <f>SUM(O1058:O1062)</f>
        <v>35</v>
      </c>
      <c r="V1062" s="255">
        <f>N1062</f>
        <v>282</v>
      </c>
      <c r="W1062" s="83">
        <f>SUM(Q1058:Q1062)</f>
        <v>1210</v>
      </c>
      <c r="X1062" s="255">
        <f>P1062</f>
        <v>651</v>
      </c>
      <c r="Y1062" s="255">
        <f>S1062+U1062+SUM(Q1058:Q1062)</f>
        <v>1477</v>
      </c>
      <c r="Z1062" s="255">
        <f>F1062+J1062+N1062+P1062</f>
        <v>1551</v>
      </c>
      <c r="AA1062" s="400"/>
      <c r="AB1062" s="572"/>
    </row>
    <row r="1063" spans="1:28" ht="12.75">
      <c r="A1063" s="547" t="s">
        <v>471</v>
      </c>
      <c r="B1063" s="547" t="s">
        <v>164</v>
      </c>
      <c r="C1063" s="548" t="s">
        <v>177</v>
      </c>
      <c r="D1063" s="549">
        <v>2015</v>
      </c>
      <c r="E1063" s="549" t="s">
        <v>775</v>
      </c>
      <c r="F1063" s="550">
        <v>28</v>
      </c>
      <c r="G1063" s="550">
        <v>0</v>
      </c>
      <c r="H1063" s="550">
        <v>0</v>
      </c>
      <c r="I1063" s="550">
        <v>0</v>
      </c>
      <c r="J1063" s="550">
        <v>18</v>
      </c>
      <c r="K1063" s="550">
        <v>0</v>
      </c>
      <c r="L1063" s="550">
        <v>0</v>
      </c>
      <c r="M1063" s="550">
        <v>0</v>
      </c>
      <c r="N1063" s="550">
        <v>21</v>
      </c>
      <c r="O1063" s="550">
        <v>0</v>
      </c>
      <c r="P1063" s="550">
        <v>48</v>
      </c>
      <c r="Q1063" s="550">
        <v>0</v>
      </c>
      <c r="R1063" s="574" t="s">
        <v>471</v>
      </c>
      <c r="S1063" s="552"/>
      <c r="T1063" s="552"/>
      <c r="U1063" s="552"/>
      <c r="V1063" s="552"/>
      <c r="W1063" s="552"/>
      <c r="X1063" s="552"/>
      <c r="Y1063" s="552"/>
      <c r="Z1063" s="552"/>
      <c r="AA1063" s="400"/>
      <c r="AB1063" s="572"/>
    </row>
    <row r="1064" spans="1:28" ht="12.75">
      <c r="A1064" s="547" t="s">
        <v>471</v>
      </c>
      <c r="B1064" s="547" t="s">
        <v>164</v>
      </c>
      <c r="C1064" s="548" t="s">
        <v>177</v>
      </c>
      <c r="D1064" s="549">
        <v>2016</v>
      </c>
      <c r="E1064" s="549" t="s">
        <v>775</v>
      </c>
      <c r="F1064" s="550">
        <v>28</v>
      </c>
      <c r="G1064" s="550">
        <v>0</v>
      </c>
      <c r="H1064" s="550">
        <v>0</v>
      </c>
      <c r="I1064" s="550">
        <v>0</v>
      </c>
      <c r="J1064" s="550">
        <v>18</v>
      </c>
      <c r="K1064" s="550">
        <v>0</v>
      </c>
      <c r="L1064" s="550">
        <v>0</v>
      </c>
      <c r="M1064" s="550">
        <v>0</v>
      </c>
      <c r="N1064" s="550">
        <v>21</v>
      </c>
      <c r="O1064" s="550">
        <v>0</v>
      </c>
      <c r="P1064" s="550">
        <v>48</v>
      </c>
      <c r="Q1064" s="550">
        <v>4</v>
      </c>
      <c r="R1064" s="574" t="s">
        <v>471</v>
      </c>
      <c r="S1064" s="552"/>
      <c r="T1064" s="552"/>
      <c r="U1064" s="552"/>
      <c r="V1064" s="552"/>
      <c r="W1064" s="552"/>
      <c r="X1064" s="552"/>
      <c r="Y1064" s="552"/>
      <c r="Z1064" s="552"/>
      <c r="AA1064" s="400"/>
      <c r="AB1064" s="572"/>
    </row>
    <row r="1065" spans="1:28" ht="12.75">
      <c r="A1065" s="547" t="s">
        <v>471</v>
      </c>
      <c r="B1065" s="547" t="s">
        <v>164</v>
      </c>
      <c r="C1065" s="548" t="s">
        <v>177</v>
      </c>
      <c r="D1065" s="549">
        <v>2017</v>
      </c>
      <c r="E1065" s="549" t="s">
        <v>775</v>
      </c>
      <c r="F1065" s="550">
        <v>28</v>
      </c>
      <c r="G1065" s="550">
        <v>0</v>
      </c>
      <c r="H1065" s="550">
        <v>0</v>
      </c>
      <c r="I1065" s="550">
        <v>0</v>
      </c>
      <c r="J1065" s="550">
        <v>18</v>
      </c>
      <c r="K1065" s="550">
        <v>0</v>
      </c>
      <c r="L1065" s="550">
        <v>0</v>
      </c>
      <c r="M1065" s="550">
        <v>0</v>
      </c>
      <c r="N1065" s="550">
        <v>21</v>
      </c>
      <c r="O1065" s="550">
        <v>0</v>
      </c>
      <c r="P1065" s="550">
        <v>48</v>
      </c>
      <c r="Q1065" s="550">
        <v>1</v>
      </c>
      <c r="R1065" s="574" t="s">
        <v>471</v>
      </c>
      <c r="S1065" s="552"/>
      <c r="T1065" s="552"/>
      <c r="U1065" s="552"/>
      <c r="V1065" s="552"/>
      <c r="W1065" s="552"/>
      <c r="X1065" s="552"/>
      <c r="Y1065" s="552"/>
      <c r="Z1065" s="552"/>
      <c r="AA1065" s="553"/>
      <c r="AB1065" s="553"/>
    </row>
    <row r="1066" spans="1:28" ht="12.75">
      <c r="A1066" s="547" t="s">
        <v>471</v>
      </c>
      <c r="B1066" s="547" t="s">
        <v>164</v>
      </c>
      <c r="C1066" s="548" t="s">
        <v>811</v>
      </c>
      <c r="D1066" s="549">
        <v>2019</v>
      </c>
      <c r="E1066" s="549" t="s">
        <v>775</v>
      </c>
      <c r="F1066" s="550">
        <v>28</v>
      </c>
      <c r="G1066" s="550">
        <v>0</v>
      </c>
      <c r="H1066" s="550">
        <v>0</v>
      </c>
      <c r="I1066" s="550">
        <v>0</v>
      </c>
      <c r="J1066" s="550">
        <v>18</v>
      </c>
      <c r="K1066" s="550">
        <v>0</v>
      </c>
      <c r="L1066" s="550">
        <v>0</v>
      </c>
      <c r="M1066" s="550">
        <v>0</v>
      </c>
      <c r="N1066" s="550">
        <v>21</v>
      </c>
      <c r="O1066" s="550">
        <v>1</v>
      </c>
      <c r="P1066" s="550">
        <v>48</v>
      </c>
      <c r="Q1066" s="550">
        <v>1</v>
      </c>
      <c r="R1066" s="574" t="s">
        <v>471</v>
      </c>
      <c r="S1066" s="255">
        <f>SUM(G1063:G1066) +SUM(K1063:K1066)</f>
        <v>0</v>
      </c>
      <c r="T1066" s="255">
        <f>F1066+J1066</f>
        <v>46</v>
      </c>
      <c r="U1066" s="255">
        <f>SUM(O1063:O1066)</f>
        <v>1</v>
      </c>
      <c r="V1066" s="255">
        <f>N1066</f>
        <v>21</v>
      </c>
      <c r="W1066" s="83">
        <f>SUM(Q1063:Q1066)</f>
        <v>6</v>
      </c>
      <c r="X1066" s="255">
        <f>P1066</f>
        <v>48</v>
      </c>
      <c r="Y1066" s="255">
        <f>S1066+U1066+SUM(Q1063:Q1066)</f>
        <v>7</v>
      </c>
      <c r="Z1066" s="255">
        <f>F1066+J1066+N1066+P1066</f>
        <v>115</v>
      </c>
      <c r="AA1066" s="553"/>
      <c r="AB1066" s="553"/>
    </row>
    <row r="1067" spans="1:28" ht="12.75">
      <c r="A1067" s="547" t="s">
        <v>472</v>
      </c>
      <c r="B1067" s="547" t="s">
        <v>164</v>
      </c>
      <c r="C1067" s="548" t="s">
        <v>177</v>
      </c>
      <c r="D1067" s="549">
        <v>2015</v>
      </c>
      <c r="E1067" s="549" t="s">
        <v>775</v>
      </c>
      <c r="F1067" s="550">
        <v>537</v>
      </c>
      <c r="G1067" s="550">
        <v>0</v>
      </c>
      <c r="H1067" s="550">
        <v>0</v>
      </c>
      <c r="I1067" s="550">
        <v>0</v>
      </c>
      <c r="J1067" s="550">
        <v>351</v>
      </c>
      <c r="K1067" s="550">
        <v>0</v>
      </c>
      <c r="L1067" s="550">
        <v>0</v>
      </c>
      <c r="M1067" s="550">
        <v>0</v>
      </c>
      <c r="N1067" s="550">
        <v>407</v>
      </c>
      <c r="O1067" s="550">
        <v>0</v>
      </c>
      <c r="P1067" s="550">
        <v>934</v>
      </c>
      <c r="Q1067" s="550">
        <v>53</v>
      </c>
      <c r="R1067" s="574" t="s">
        <v>472</v>
      </c>
      <c r="S1067" s="552"/>
      <c r="T1067" s="552"/>
      <c r="U1067" s="552"/>
      <c r="V1067" s="552"/>
      <c r="W1067" s="552"/>
      <c r="X1067" s="552"/>
      <c r="Y1067" s="552"/>
      <c r="Z1067" s="552"/>
      <c r="AA1067" s="553"/>
      <c r="AB1067" s="553"/>
    </row>
    <row r="1068" spans="1:28" ht="12.75">
      <c r="A1068" s="547" t="s">
        <v>472</v>
      </c>
      <c r="B1068" s="547" t="s">
        <v>164</v>
      </c>
      <c r="C1068" s="548" t="s">
        <v>177</v>
      </c>
      <c r="D1068" s="549">
        <v>2016</v>
      </c>
      <c r="E1068" s="549" t="s">
        <v>775</v>
      </c>
      <c r="F1068" s="550">
        <v>537</v>
      </c>
      <c r="G1068" s="550">
        <v>24</v>
      </c>
      <c r="H1068" s="550">
        <v>24</v>
      </c>
      <c r="I1068" s="550">
        <v>0</v>
      </c>
      <c r="J1068" s="550">
        <v>351</v>
      </c>
      <c r="K1068" s="550">
        <v>16</v>
      </c>
      <c r="L1068" s="550">
        <v>16</v>
      </c>
      <c r="M1068" s="550">
        <v>0</v>
      </c>
      <c r="N1068" s="550">
        <v>407</v>
      </c>
      <c r="O1068" s="550">
        <v>1</v>
      </c>
      <c r="P1068" s="550">
        <v>934</v>
      </c>
      <c r="Q1068" s="550">
        <v>52</v>
      </c>
      <c r="R1068" s="574" t="s">
        <v>472</v>
      </c>
      <c r="S1068" s="552"/>
      <c r="T1068" s="552"/>
      <c r="U1068" s="552"/>
      <c r="V1068" s="552"/>
      <c r="W1068" s="552"/>
      <c r="X1068" s="552"/>
      <c r="Y1068" s="552"/>
      <c r="Z1068" s="552"/>
      <c r="AA1068" s="553"/>
      <c r="AB1068" s="553"/>
    </row>
    <row r="1069" spans="1:28" ht="12.75">
      <c r="A1069" s="547" t="s">
        <v>472</v>
      </c>
      <c r="B1069" s="547" t="s">
        <v>164</v>
      </c>
      <c r="C1069" s="548" t="s">
        <v>177</v>
      </c>
      <c r="D1069" s="549">
        <v>2017</v>
      </c>
      <c r="E1069" s="549" t="s">
        <v>775</v>
      </c>
      <c r="F1069" s="550">
        <v>537</v>
      </c>
      <c r="G1069" s="550">
        <v>50</v>
      </c>
      <c r="H1069" s="550">
        <v>50</v>
      </c>
      <c r="I1069" s="550">
        <v>0</v>
      </c>
      <c r="J1069" s="550">
        <v>351</v>
      </c>
      <c r="K1069" s="550">
        <v>0</v>
      </c>
      <c r="L1069" s="550">
        <v>0</v>
      </c>
      <c r="M1069" s="550">
        <v>0</v>
      </c>
      <c r="N1069" s="550">
        <v>407</v>
      </c>
      <c r="O1069" s="550">
        <v>3</v>
      </c>
      <c r="P1069" s="550">
        <v>934</v>
      </c>
      <c r="Q1069" s="550">
        <v>25</v>
      </c>
      <c r="R1069" s="574" t="s">
        <v>472</v>
      </c>
      <c r="S1069" s="552"/>
      <c r="T1069" s="552"/>
      <c r="U1069" s="552"/>
      <c r="V1069" s="552"/>
      <c r="W1069" s="552"/>
      <c r="X1069" s="552"/>
      <c r="Y1069" s="552"/>
      <c r="Z1069" s="552"/>
      <c r="AA1069" s="553"/>
      <c r="AB1069" s="553"/>
    </row>
    <row r="1070" spans="1:28" ht="12.75">
      <c r="A1070" s="547" t="s">
        <v>472</v>
      </c>
      <c r="B1070" s="547" t="s">
        <v>164</v>
      </c>
      <c r="C1070" s="548" t="s">
        <v>177</v>
      </c>
      <c r="D1070" s="549">
        <v>2018</v>
      </c>
      <c r="E1070" s="549" t="s">
        <v>775</v>
      </c>
      <c r="F1070" s="550">
        <v>537</v>
      </c>
      <c r="G1070" s="550">
        <v>42</v>
      </c>
      <c r="H1070" s="550">
        <v>42</v>
      </c>
      <c r="I1070" s="550">
        <v>0</v>
      </c>
      <c r="J1070" s="550">
        <v>351</v>
      </c>
      <c r="K1070" s="550">
        <v>53</v>
      </c>
      <c r="L1070" s="550">
        <v>53</v>
      </c>
      <c r="M1070" s="550">
        <v>0</v>
      </c>
      <c r="N1070" s="550">
        <v>407</v>
      </c>
      <c r="O1070" s="550">
        <v>0</v>
      </c>
      <c r="P1070" s="550">
        <v>934</v>
      </c>
      <c r="Q1070" s="550">
        <v>71</v>
      </c>
      <c r="R1070" s="574" t="s">
        <v>472</v>
      </c>
      <c r="S1070" s="552"/>
      <c r="T1070" s="552"/>
      <c r="U1070" s="552"/>
      <c r="V1070" s="552"/>
      <c r="W1070" s="552"/>
      <c r="X1070" s="552"/>
      <c r="Y1070" s="552"/>
      <c r="Z1070" s="552"/>
      <c r="AA1070" s="553"/>
      <c r="AB1070" s="553"/>
    </row>
    <row r="1071" spans="1:28" ht="12.75">
      <c r="A1071" s="547" t="s">
        <v>472</v>
      </c>
      <c r="B1071" s="547" t="s">
        <v>164</v>
      </c>
      <c r="C1071" s="548" t="s">
        <v>811</v>
      </c>
      <c r="D1071" s="549">
        <v>2019</v>
      </c>
      <c r="E1071" s="549" t="s">
        <v>775</v>
      </c>
      <c r="F1071" s="550">
        <v>537</v>
      </c>
      <c r="G1071" s="550">
        <v>0</v>
      </c>
      <c r="H1071" s="550">
        <v>0</v>
      </c>
      <c r="I1071" s="550">
        <v>0</v>
      </c>
      <c r="J1071" s="550">
        <v>351</v>
      </c>
      <c r="K1071" s="550">
        <v>8</v>
      </c>
      <c r="L1071" s="550">
        <v>8</v>
      </c>
      <c r="M1071" s="550">
        <v>0</v>
      </c>
      <c r="N1071" s="550">
        <v>407</v>
      </c>
      <c r="O1071" s="550">
        <v>0</v>
      </c>
      <c r="P1071" s="550">
        <v>934</v>
      </c>
      <c r="Q1071" s="550">
        <v>100</v>
      </c>
      <c r="R1071" s="574" t="s">
        <v>472</v>
      </c>
      <c r="S1071" s="255">
        <f>SUM(G1067:G1071) +SUM(K1067:K1071)</f>
        <v>193</v>
      </c>
      <c r="T1071" s="255">
        <f>F1071+J1071</f>
        <v>888</v>
      </c>
      <c r="U1071" s="255">
        <f>SUM(O1067:O1071)</f>
        <v>4</v>
      </c>
      <c r="V1071" s="255">
        <f>N1071</f>
        <v>407</v>
      </c>
      <c r="W1071" s="83">
        <f>SUM(Q1067:Q1071)</f>
        <v>301</v>
      </c>
      <c r="X1071" s="255">
        <f>P1071</f>
        <v>934</v>
      </c>
      <c r="Y1071" s="255">
        <f>S1071+U1071+SUM(Q1067:Q1071)</f>
        <v>498</v>
      </c>
      <c r="Z1071" s="255">
        <f>F1071+J1071+N1071+P1071</f>
        <v>2229</v>
      </c>
      <c r="AA1071" s="553"/>
      <c r="AB1071" s="553"/>
    </row>
    <row r="1072" spans="1:28" ht="12.75">
      <c r="A1072" s="547" t="s">
        <v>473</v>
      </c>
      <c r="B1072" s="547" t="s">
        <v>164</v>
      </c>
      <c r="C1072" s="548" t="s">
        <v>177</v>
      </c>
      <c r="D1072" s="549">
        <v>2018</v>
      </c>
      <c r="E1072" s="549" t="s">
        <v>775</v>
      </c>
      <c r="F1072" s="550">
        <v>13</v>
      </c>
      <c r="G1072" s="550">
        <v>0</v>
      </c>
      <c r="H1072" s="550">
        <v>0</v>
      </c>
      <c r="I1072" s="550">
        <v>0</v>
      </c>
      <c r="J1072" s="550">
        <v>9</v>
      </c>
      <c r="K1072" s="550">
        <v>0</v>
      </c>
      <c r="L1072" s="550">
        <v>0</v>
      </c>
      <c r="M1072" s="550">
        <v>0</v>
      </c>
      <c r="N1072" s="550">
        <v>10</v>
      </c>
      <c r="O1072" s="550">
        <v>0</v>
      </c>
      <c r="P1072" s="550">
        <v>23</v>
      </c>
      <c r="Q1072" s="550">
        <v>0</v>
      </c>
      <c r="R1072" s="574" t="s">
        <v>473</v>
      </c>
      <c r="S1072" s="552"/>
      <c r="T1072" s="552"/>
      <c r="U1072" s="552"/>
      <c r="V1072" s="552"/>
      <c r="W1072" s="552"/>
      <c r="X1072" s="552"/>
      <c r="Y1072" s="552"/>
      <c r="Z1072" s="552"/>
      <c r="AA1072" s="553"/>
      <c r="AB1072" s="553"/>
    </row>
    <row r="1073" spans="1:28" ht="12.75">
      <c r="A1073" s="547" t="s">
        <v>473</v>
      </c>
      <c r="B1073" s="547" t="s">
        <v>164</v>
      </c>
      <c r="C1073" s="548" t="s">
        <v>811</v>
      </c>
      <c r="D1073" s="549">
        <v>2019</v>
      </c>
      <c r="E1073" s="549" t="s">
        <v>775</v>
      </c>
      <c r="F1073" s="550">
        <v>13</v>
      </c>
      <c r="G1073" s="550">
        <v>0</v>
      </c>
      <c r="H1073" s="550">
        <v>0</v>
      </c>
      <c r="I1073" s="550">
        <v>0</v>
      </c>
      <c r="J1073" s="550">
        <v>9</v>
      </c>
      <c r="K1073" s="550">
        <v>0</v>
      </c>
      <c r="L1073" s="550">
        <v>0</v>
      </c>
      <c r="M1073" s="550">
        <v>0</v>
      </c>
      <c r="N1073" s="550">
        <v>10</v>
      </c>
      <c r="O1073" s="550">
        <v>0</v>
      </c>
      <c r="P1073" s="550">
        <v>23</v>
      </c>
      <c r="Q1073" s="550">
        <v>4</v>
      </c>
      <c r="R1073" s="574" t="s">
        <v>473</v>
      </c>
      <c r="S1073" s="255">
        <f>SUM(G1072:G1073) +SUM(K1072:K1073)</f>
        <v>0</v>
      </c>
      <c r="T1073" s="255">
        <f>F1073+J1073</f>
        <v>22</v>
      </c>
      <c r="U1073" s="255">
        <f>SUM(O1072:O1073)</f>
        <v>0</v>
      </c>
      <c r="V1073" s="255">
        <f>N1073</f>
        <v>10</v>
      </c>
      <c r="W1073" s="83">
        <f>SUM(Q1072:Q1073)</f>
        <v>4</v>
      </c>
      <c r="X1073" s="255">
        <f>P1073</f>
        <v>23</v>
      </c>
      <c r="Y1073" s="255">
        <f>S1073+U1073+SUM(Q1072:Q1073)</f>
        <v>4</v>
      </c>
      <c r="Z1073" s="255">
        <f>F1073+J1073+N1073+P1073</f>
        <v>55</v>
      </c>
      <c r="AA1073" s="553"/>
      <c r="AB1073" s="553"/>
    </row>
    <row r="1074" spans="1:28" ht="12.75">
      <c r="A1074" s="547" t="s">
        <v>474</v>
      </c>
      <c r="B1074" s="547" t="s">
        <v>164</v>
      </c>
      <c r="C1074" s="548" t="s">
        <v>177</v>
      </c>
      <c r="D1074" s="549">
        <v>2015</v>
      </c>
      <c r="E1074" s="549" t="s">
        <v>775</v>
      </c>
      <c r="F1074" s="550">
        <v>95</v>
      </c>
      <c r="G1074" s="550">
        <v>0</v>
      </c>
      <c r="H1074" s="550">
        <v>0</v>
      </c>
      <c r="I1074" s="550">
        <v>0</v>
      </c>
      <c r="J1074" s="550">
        <v>62</v>
      </c>
      <c r="K1074" s="550">
        <v>0</v>
      </c>
      <c r="L1074" s="550">
        <v>0</v>
      </c>
      <c r="M1074" s="550">
        <v>0</v>
      </c>
      <c r="N1074" s="550">
        <v>72</v>
      </c>
      <c r="O1074" s="550">
        <v>1</v>
      </c>
      <c r="P1074" s="550">
        <v>164</v>
      </c>
      <c r="Q1074" s="550">
        <v>0</v>
      </c>
      <c r="R1074" s="574" t="s">
        <v>474</v>
      </c>
      <c r="S1074" s="552"/>
      <c r="T1074" s="552"/>
      <c r="U1074" s="552"/>
      <c r="V1074" s="552"/>
      <c r="W1074" s="552"/>
      <c r="X1074" s="552"/>
      <c r="Y1074" s="552"/>
      <c r="Z1074" s="552"/>
      <c r="AA1074" s="553"/>
      <c r="AB1074" s="553"/>
    </row>
    <row r="1075" spans="1:28" ht="12.75">
      <c r="A1075" s="547" t="s">
        <v>474</v>
      </c>
      <c r="B1075" s="547" t="s">
        <v>164</v>
      </c>
      <c r="C1075" s="548" t="s">
        <v>177</v>
      </c>
      <c r="D1075" s="549">
        <v>2016</v>
      </c>
      <c r="E1075" s="549" t="s">
        <v>775</v>
      </c>
      <c r="F1075" s="550">
        <v>95</v>
      </c>
      <c r="G1075" s="550">
        <v>0</v>
      </c>
      <c r="H1075" s="550">
        <v>0</v>
      </c>
      <c r="I1075" s="550">
        <v>0</v>
      </c>
      <c r="J1075" s="550">
        <v>62</v>
      </c>
      <c r="K1075" s="550">
        <v>0</v>
      </c>
      <c r="L1075" s="550">
        <v>0</v>
      </c>
      <c r="M1075" s="550">
        <v>0</v>
      </c>
      <c r="N1075" s="550">
        <v>72</v>
      </c>
      <c r="O1075" s="550">
        <v>1</v>
      </c>
      <c r="P1075" s="550">
        <v>164</v>
      </c>
      <c r="Q1075" s="550">
        <v>0</v>
      </c>
      <c r="R1075" s="574" t="s">
        <v>474</v>
      </c>
      <c r="S1075" s="552"/>
      <c r="T1075" s="552"/>
      <c r="U1075" s="552"/>
      <c r="V1075" s="552"/>
      <c r="W1075" s="552"/>
      <c r="X1075" s="552"/>
      <c r="Y1075" s="552"/>
      <c r="Z1075" s="552"/>
      <c r="AA1075" s="553"/>
      <c r="AB1075" s="553"/>
    </row>
    <row r="1076" spans="1:28" ht="12.75">
      <c r="A1076" s="547" t="s">
        <v>474</v>
      </c>
      <c r="B1076" s="547" t="s">
        <v>164</v>
      </c>
      <c r="C1076" s="548" t="s">
        <v>177</v>
      </c>
      <c r="D1076" s="549">
        <v>2017</v>
      </c>
      <c r="E1076" s="549" t="s">
        <v>775</v>
      </c>
      <c r="F1076" s="550">
        <v>95</v>
      </c>
      <c r="G1076" s="550">
        <v>0</v>
      </c>
      <c r="H1076" s="550">
        <v>0</v>
      </c>
      <c r="I1076" s="550">
        <v>0</v>
      </c>
      <c r="J1076" s="550">
        <v>62</v>
      </c>
      <c r="K1076" s="550">
        <v>0</v>
      </c>
      <c r="L1076" s="550">
        <v>0</v>
      </c>
      <c r="M1076" s="550">
        <v>0</v>
      </c>
      <c r="N1076" s="550">
        <v>72</v>
      </c>
      <c r="O1076" s="550">
        <v>1</v>
      </c>
      <c r="P1076" s="550">
        <v>164</v>
      </c>
      <c r="Q1076" s="550">
        <v>0</v>
      </c>
      <c r="R1076" s="574" t="s">
        <v>474</v>
      </c>
      <c r="S1076" s="552"/>
      <c r="T1076" s="552"/>
      <c r="U1076" s="552"/>
      <c r="V1076" s="552"/>
      <c r="W1076" s="552"/>
      <c r="X1076" s="552"/>
      <c r="Y1076" s="552"/>
      <c r="Z1076" s="552"/>
      <c r="AA1076" s="553"/>
      <c r="AB1076" s="553"/>
    </row>
    <row r="1077" spans="1:28" ht="12.75">
      <c r="A1077" s="547" t="s">
        <v>474</v>
      </c>
      <c r="B1077" s="547" t="s">
        <v>164</v>
      </c>
      <c r="C1077" s="548" t="s">
        <v>177</v>
      </c>
      <c r="D1077" s="549">
        <v>2018</v>
      </c>
      <c r="E1077" s="549" t="s">
        <v>775</v>
      </c>
      <c r="F1077" s="550">
        <v>95</v>
      </c>
      <c r="G1077" s="550">
        <v>0</v>
      </c>
      <c r="H1077" s="550">
        <v>0</v>
      </c>
      <c r="I1077" s="550">
        <v>0</v>
      </c>
      <c r="J1077" s="550">
        <v>62</v>
      </c>
      <c r="K1077" s="550">
        <v>0</v>
      </c>
      <c r="L1077" s="550">
        <v>0</v>
      </c>
      <c r="M1077" s="550">
        <v>0</v>
      </c>
      <c r="N1077" s="550">
        <v>72</v>
      </c>
      <c r="O1077" s="550">
        <v>0</v>
      </c>
      <c r="P1077" s="550">
        <v>164</v>
      </c>
      <c r="Q1077" s="550">
        <v>3</v>
      </c>
      <c r="R1077" s="574" t="s">
        <v>474</v>
      </c>
      <c r="S1077" s="552"/>
      <c r="T1077" s="552"/>
      <c r="U1077" s="552"/>
      <c r="V1077" s="552"/>
      <c r="W1077" s="552"/>
      <c r="X1077" s="552"/>
      <c r="Y1077" s="552"/>
      <c r="Z1077" s="552"/>
      <c r="AA1077" s="553"/>
      <c r="AB1077" s="553"/>
    </row>
    <row r="1078" spans="1:28" ht="12.75">
      <c r="A1078" s="547" t="s">
        <v>474</v>
      </c>
      <c r="B1078" s="547" t="s">
        <v>164</v>
      </c>
      <c r="C1078" s="548" t="s">
        <v>811</v>
      </c>
      <c r="D1078" s="549">
        <v>2019</v>
      </c>
      <c r="E1078" s="549" t="s">
        <v>775</v>
      </c>
      <c r="F1078" s="550">
        <v>95</v>
      </c>
      <c r="G1078" s="550">
        <v>0</v>
      </c>
      <c r="H1078" s="550">
        <v>0</v>
      </c>
      <c r="I1078" s="550">
        <v>0</v>
      </c>
      <c r="J1078" s="550">
        <v>62</v>
      </c>
      <c r="K1078" s="550">
        <v>0</v>
      </c>
      <c r="L1078" s="550">
        <v>0</v>
      </c>
      <c r="M1078" s="550">
        <v>0</v>
      </c>
      <c r="N1078" s="550">
        <v>72</v>
      </c>
      <c r="O1078" s="550">
        <v>0</v>
      </c>
      <c r="P1078" s="550">
        <v>164</v>
      </c>
      <c r="Q1078" s="550">
        <v>5</v>
      </c>
      <c r="R1078" s="574" t="s">
        <v>474</v>
      </c>
      <c r="S1078" s="255">
        <f>SUM(G1074:G1078) +SUM(K1074:K1078)</f>
        <v>0</v>
      </c>
      <c r="T1078" s="255">
        <f>F1078+J1078</f>
        <v>157</v>
      </c>
      <c r="U1078" s="255">
        <f>SUM(O1074:O1078)</f>
        <v>3</v>
      </c>
      <c r="V1078" s="255">
        <f>N1078</f>
        <v>72</v>
      </c>
      <c r="W1078" s="83">
        <f>SUM(Q1074:Q1078)</f>
        <v>8</v>
      </c>
      <c r="X1078" s="255">
        <f>P1078</f>
        <v>164</v>
      </c>
      <c r="Y1078" s="255">
        <f>S1078+U1078+SUM(Q1074:Q1078)</f>
        <v>11</v>
      </c>
      <c r="Z1078" s="255">
        <f>F1078+J1078+N1078+P1078</f>
        <v>393</v>
      </c>
      <c r="AA1078" s="553"/>
      <c r="AB1078" s="553"/>
    </row>
    <row r="1079" spans="1:28" ht="12.75">
      <c r="A1079" s="547" t="s">
        <v>475</v>
      </c>
      <c r="B1079" s="547" t="s">
        <v>164</v>
      </c>
      <c r="C1079" s="548" t="s">
        <v>177</v>
      </c>
      <c r="D1079" s="549">
        <v>2015</v>
      </c>
      <c r="E1079" s="549" t="s">
        <v>775</v>
      </c>
      <c r="F1079" s="550">
        <v>46</v>
      </c>
      <c r="G1079" s="550">
        <v>0</v>
      </c>
      <c r="H1079" s="550">
        <v>0</v>
      </c>
      <c r="I1079" s="550">
        <v>0</v>
      </c>
      <c r="J1079" s="550">
        <v>30</v>
      </c>
      <c r="K1079" s="550">
        <v>0</v>
      </c>
      <c r="L1079" s="550">
        <v>0</v>
      </c>
      <c r="M1079" s="550">
        <v>0</v>
      </c>
      <c r="N1079" s="550">
        <v>35</v>
      </c>
      <c r="O1079" s="550">
        <v>0</v>
      </c>
      <c r="P1079" s="550">
        <v>80</v>
      </c>
      <c r="Q1079" s="550">
        <v>3</v>
      </c>
      <c r="R1079" s="574" t="s">
        <v>475</v>
      </c>
      <c r="S1079" s="552"/>
      <c r="T1079" s="552"/>
      <c r="U1079" s="552"/>
      <c r="V1079" s="552"/>
      <c r="W1079" s="552"/>
      <c r="X1079" s="552"/>
      <c r="Y1079" s="552"/>
      <c r="Z1079" s="552"/>
      <c r="AA1079" s="553"/>
      <c r="AB1079" s="553"/>
    </row>
    <row r="1080" spans="1:28" ht="12.75">
      <c r="A1080" s="547" t="s">
        <v>475</v>
      </c>
      <c r="B1080" s="547" t="s">
        <v>164</v>
      </c>
      <c r="C1080" s="548" t="s">
        <v>177</v>
      </c>
      <c r="D1080" s="549">
        <v>2016</v>
      </c>
      <c r="E1080" s="549" t="s">
        <v>775</v>
      </c>
      <c r="F1080" s="550">
        <v>46</v>
      </c>
      <c r="G1080" s="550">
        <v>0</v>
      </c>
      <c r="H1080" s="550">
        <v>0</v>
      </c>
      <c r="I1080" s="550">
        <v>0</v>
      </c>
      <c r="J1080" s="550">
        <v>30</v>
      </c>
      <c r="K1080" s="550">
        <v>0</v>
      </c>
      <c r="L1080" s="550">
        <v>0</v>
      </c>
      <c r="M1080" s="550">
        <v>0</v>
      </c>
      <c r="N1080" s="550">
        <v>35</v>
      </c>
      <c r="O1080" s="550">
        <v>0</v>
      </c>
      <c r="P1080" s="550">
        <v>80</v>
      </c>
      <c r="Q1080" s="550">
        <v>83</v>
      </c>
      <c r="R1080" s="574" t="s">
        <v>475</v>
      </c>
      <c r="S1080" s="552"/>
      <c r="T1080" s="552"/>
      <c r="U1080" s="552"/>
      <c r="V1080" s="552"/>
      <c r="W1080" s="552"/>
      <c r="X1080" s="552"/>
      <c r="Y1080" s="552"/>
      <c r="Z1080" s="552"/>
      <c r="AA1080" s="553"/>
      <c r="AB1080" s="553"/>
    </row>
    <row r="1081" spans="1:28" ht="12.75">
      <c r="A1081" s="547" t="s">
        <v>475</v>
      </c>
      <c r="B1081" s="547" t="s">
        <v>164</v>
      </c>
      <c r="C1081" s="548" t="s">
        <v>177</v>
      </c>
      <c r="D1081" s="549">
        <v>2017</v>
      </c>
      <c r="E1081" s="549" t="s">
        <v>775</v>
      </c>
      <c r="F1081" s="550">
        <v>46</v>
      </c>
      <c r="G1081" s="550">
        <v>0</v>
      </c>
      <c r="H1081" s="550">
        <v>0</v>
      </c>
      <c r="I1081" s="550">
        <v>0</v>
      </c>
      <c r="J1081" s="550">
        <v>30</v>
      </c>
      <c r="K1081" s="550">
        <v>0</v>
      </c>
      <c r="L1081" s="550">
        <v>0</v>
      </c>
      <c r="M1081" s="550">
        <v>0</v>
      </c>
      <c r="N1081" s="550">
        <v>35</v>
      </c>
      <c r="O1081" s="550">
        <v>0</v>
      </c>
      <c r="P1081" s="550">
        <v>80</v>
      </c>
      <c r="Q1081" s="550">
        <v>79</v>
      </c>
      <c r="R1081" s="574" t="s">
        <v>475</v>
      </c>
      <c r="S1081" s="552"/>
      <c r="T1081" s="552"/>
      <c r="U1081" s="552"/>
      <c r="V1081" s="552"/>
      <c r="W1081" s="552"/>
      <c r="X1081" s="552"/>
      <c r="Y1081" s="552"/>
      <c r="Z1081" s="552"/>
      <c r="AA1081" s="553"/>
      <c r="AB1081" s="553"/>
    </row>
    <row r="1082" spans="1:28" ht="12.75">
      <c r="A1082" s="547" t="s">
        <v>475</v>
      </c>
      <c r="B1082" s="547" t="s">
        <v>164</v>
      </c>
      <c r="C1082" s="548" t="s">
        <v>177</v>
      </c>
      <c r="D1082" s="549">
        <v>2018</v>
      </c>
      <c r="E1082" s="549" t="s">
        <v>775</v>
      </c>
      <c r="F1082" s="550">
        <v>46</v>
      </c>
      <c r="G1082" s="550">
        <v>0</v>
      </c>
      <c r="H1082" s="550">
        <v>0</v>
      </c>
      <c r="I1082" s="550">
        <v>0</v>
      </c>
      <c r="J1082" s="550">
        <v>30</v>
      </c>
      <c r="K1082" s="550">
        <v>0</v>
      </c>
      <c r="L1082" s="550">
        <v>0</v>
      </c>
      <c r="M1082" s="550">
        <v>0</v>
      </c>
      <c r="N1082" s="550">
        <v>35</v>
      </c>
      <c r="O1082" s="550">
        <v>0</v>
      </c>
      <c r="P1082" s="550">
        <v>80</v>
      </c>
      <c r="Q1082" s="550">
        <v>131</v>
      </c>
      <c r="R1082" s="574" t="s">
        <v>475</v>
      </c>
      <c r="S1082" s="561">
        <f>SUM(G1079:G1082) +SUM(K1079:K1082)</f>
        <v>0</v>
      </c>
      <c r="T1082" s="561">
        <f>F1082+J1082</f>
        <v>76</v>
      </c>
      <c r="U1082" s="561">
        <f>SUM(O1079:O1082)</f>
        <v>0</v>
      </c>
      <c r="V1082" s="561">
        <f>N1082</f>
        <v>35</v>
      </c>
      <c r="W1082" s="562">
        <f>SUM(Q1079:Q1082)</f>
        <v>296</v>
      </c>
      <c r="X1082" s="561">
        <f>P1082</f>
        <v>80</v>
      </c>
      <c r="Y1082" s="561">
        <f>S1082+U1082+SUM(Q1079:Q1082)</f>
        <v>296</v>
      </c>
      <c r="Z1082" s="561">
        <f>F1082+J1082+N1082+P1082</f>
        <v>191</v>
      </c>
      <c r="AA1082" s="553"/>
      <c r="AB1082" s="553"/>
    </row>
    <row r="1083" spans="1:28" ht="12.75">
      <c r="A1083" s="547"/>
      <c r="B1083" s="547"/>
      <c r="C1083" s="548"/>
      <c r="D1083" s="549"/>
      <c r="E1083" s="549"/>
      <c r="F1083" s="550"/>
      <c r="G1083" s="550"/>
      <c r="H1083" s="550"/>
      <c r="I1083" s="550"/>
      <c r="J1083" s="550"/>
      <c r="K1083" s="550"/>
      <c r="L1083" s="550"/>
      <c r="M1083" s="550"/>
      <c r="N1083" s="550"/>
      <c r="O1083" s="550"/>
      <c r="P1083" s="550"/>
      <c r="Q1083" s="550"/>
      <c r="R1083" s="574"/>
      <c r="S1083" s="563">
        <f t="shared" ref="S1083:Z1083" si="184">SUM(S1035:S1082)</f>
        <v>498</v>
      </c>
      <c r="T1083" s="563">
        <f t="shared" si="184"/>
        <v>2942</v>
      </c>
      <c r="U1083" s="563">
        <f t="shared" si="184"/>
        <v>199</v>
      </c>
      <c r="V1083" s="563">
        <f t="shared" si="184"/>
        <v>1348</v>
      </c>
      <c r="W1083" s="563">
        <f t="shared" si="184"/>
        <v>2435</v>
      </c>
      <c r="X1083" s="563">
        <f t="shared" si="184"/>
        <v>3096</v>
      </c>
      <c r="Y1083" s="563">
        <f t="shared" si="184"/>
        <v>3132</v>
      </c>
      <c r="Z1083" s="563">
        <f t="shared" si="184"/>
        <v>7386</v>
      </c>
      <c r="AA1083" s="553"/>
      <c r="AB1083" s="553"/>
    </row>
    <row r="1084" spans="1:28" ht="12.75">
      <c r="A1084" s="547"/>
      <c r="B1084" s="547"/>
      <c r="C1084" s="548"/>
      <c r="D1084" s="549"/>
      <c r="E1084" s="549"/>
      <c r="F1084" s="550"/>
      <c r="G1084" s="550"/>
      <c r="H1084" s="550"/>
      <c r="I1084" s="550"/>
      <c r="J1084" s="550"/>
      <c r="K1084" s="550"/>
      <c r="L1084" s="550"/>
      <c r="M1084" s="550"/>
      <c r="N1084" s="550"/>
      <c r="O1084" s="550"/>
      <c r="P1084" s="550"/>
      <c r="Q1084" s="550"/>
      <c r="R1084" s="574"/>
      <c r="S1084" s="552"/>
      <c r="T1084" s="552"/>
      <c r="U1084" s="552"/>
      <c r="V1084" s="552"/>
      <c r="W1084" s="552"/>
      <c r="X1084" s="552"/>
      <c r="Y1084" s="552"/>
      <c r="Z1084" s="552"/>
      <c r="AA1084" s="553"/>
      <c r="AB1084" s="553"/>
    </row>
    <row r="1085" spans="1:28" ht="12.75">
      <c r="A1085" s="547" t="s">
        <v>476</v>
      </c>
      <c r="B1085" s="547" t="s">
        <v>166</v>
      </c>
      <c r="C1085" s="548" t="s">
        <v>774</v>
      </c>
      <c r="D1085" s="549">
        <v>2015</v>
      </c>
      <c r="E1085" s="549" t="s">
        <v>775</v>
      </c>
      <c r="F1085" s="550">
        <v>116</v>
      </c>
      <c r="G1085" s="550">
        <v>0</v>
      </c>
      <c r="H1085" s="550">
        <v>0</v>
      </c>
      <c r="I1085" s="550">
        <v>0</v>
      </c>
      <c r="J1085" s="550">
        <v>54</v>
      </c>
      <c r="K1085" s="550">
        <v>9</v>
      </c>
      <c r="L1085" s="550">
        <v>9</v>
      </c>
      <c r="M1085" s="550">
        <v>0</v>
      </c>
      <c r="N1085" s="550">
        <v>58</v>
      </c>
      <c r="O1085" s="550">
        <v>140</v>
      </c>
      <c r="P1085" s="550">
        <v>164</v>
      </c>
      <c r="Q1085" s="550">
        <v>0</v>
      </c>
      <c r="R1085" s="574" t="s">
        <v>476</v>
      </c>
      <c r="S1085" s="552"/>
      <c r="T1085" s="552"/>
      <c r="U1085" s="552"/>
      <c r="V1085" s="552"/>
      <c r="W1085" s="552"/>
      <c r="X1085" s="552"/>
      <c r="Y1085" s="552"/>
      <c r="Z1085" s="552"/>
      <c r="AA1085" s="553"/>
      <c r="AB1085" s="553"/>
    </row>
    <row r="1086" spans="1:28" ht="12.75">
      <c r="A1086" s="547" t="s">
        <v>476</v>
      </c>
      <c r="B1086" s="547" t="s">
        <v>166</v>
      </c>
      <c r="C1086" s="548" t="s">
        <v>774</v>
      </c>
      <c r="D1086" s="549">
        <v>2016</v>
      </c>
      <c r="E1086" s="549" t="s">
        <v>775</v>
      </c>
      <c r="F1086" s="550">
        <v>116</v>
      </c>
      <c r="G1086" s="550">
        <v>0</v>
      </c>
      <c r="H1086" s="550">
        <v>0</v>
      </c>
      <c r="I1086" s="550">
        <v>0</v>
      </c>
      <c r="J1086" s="550">
        <v>54</v>
      </c>
      <c r="K1086" s="550">
        <v>0</v>
      </c>
      <c r="L1086" s="550">
        <v>0</v>
      </c>
      <c r="M1086" s="550">
        <v>0</v>
      </c>
      <c r="N1086" s="550">
        <v>58</v>
      </c>
      <c r="O1086" s="550">
        <v>0</v>
      </c>
      <c r="P1086" s="550">
        <v>164</v>
      </c>
      <c r="Q1086" s="550">
        <v>0</v>
      </c>
      <c r="R1086" s="574" t="s">
        <v>476</v>
      </c>
      <c r="S1086" s="552"/>
      <c r="T1086" s="552"/>
      <c r="U1086" s="552"/>
      <c r="V1086" s="552"/>
      <c r="W1086" s="552"/>
      <c r="X1086" s="552"/>
      <c r="Y1086" s="552"/>
      <c r="Z1086" s="552"/>
      <c r="AA1086" s="553"/>
      <c r="AB1086" s="553"/>
    </row>
    <row r="1087" spans="1:28" ht="12.75">
      <c r="A1087" s="547" t="s">
        <v>476</v>
      </c>
      <c r="B1087" s="547" t="s">
        <v>166</v>
      </c>
      <c r="C1087" s="548" t="s">
        <v>774</v>
      </c>
      <c r="D1087" s="549">
        <v>2017</v>
      </c>
      <c r="E1087" s="549" t="s">
        <v>775</v>
      </c>
      <c r="F1087" s="550">
        <v>116</v>
      </c>
      <c r="G1087" s="550">
        <v>49</v>
      </c>
      <c r="H1087" s="550">
        <v>49</v>
      </c>
      <c r="I1087" s="550">
        <v>0</v>
      </c>
      <c r="J1087" s="550">
        <v>54</v>
      </c>
      <c r="K1087" s="550">
        <v>20</v>
      </c>
      <c r="L1087" s="550">
        <v>20</v>
      </c>
      <c r="M1087" s="550">
        <v>0</v>
      </c>
      <c r="N1087" s="550">
        <v>58</v>
      </c>
      <c r="O1087" s="550">
        <v>1</v>
      </c>
      <c r="P1087" s="550">
        <v>164</v>
      </c>
      <c r="Q1087" s="550">
        <v>0</v>
      </c>
      <c r="R1087" s="574" t="s">
        <v>476</v>
      </c>
      <c r="S1087" s="552"/>
      <c r="T1087" s="552"/>
      <c r="U1087" s="552"/>
      <c r="V1087" s="552"/>
      <c r="W1087" s="552"/>
      <c r="X1087" s="552"/>
      <c r="Y1087" s="552"/>
      <c r="Z1087" s="552"/>
      <c r="AA1087" s="553"/>
      <c r="AB1087" s="553"/>
    </row>
    <row r="1088" spans="1:28" ht="12.75">
      <c r="A1088" s="547" t="s">
        <v>476</v>
      </c>
      <c r="B1088" s="547" t="s">
        <v>166</v>
      </c>
      <c r="C1088" s="548" t="s">
        <v>774</v>
      </c>
      <c r="D1088" s="549">
        <v>2018</v>
      </c>
      <c r="E1088" s="549" t="s">
        <v>775</v>
      </c>
      <c r="F1088" s="550">
        <v>116</v>
      </c>
      <c r="G1088" s="550">
        <v>8</v>
      </c>
      <c r="H1088" s="550">
        <v>8</v>
      </c>
      <c r="I1088" s="550">
        <v>0</v>
      </c>
      <c r="J1088" s="550">
        <v>54</v>
      </c>
      <c r="K1088" s="550">
        <v>11</v>
      </c>
      <c r="L1088" s="550">
        <v>8</v>
      </c>
      <c r="M1088" s="550">
        <v>3</v>
      </c>
      <c r="N1088" s="550">
        <v>58</v>
      </c>
      <c r="O1088" s="550">
        <v>0</v>
      </c>
      <c r="P1088" s="550">
        <v>164</v>
      </c>
      <c r="Q1088" s="550">
        <v>143</v>
      </c>
      <c r="R1088" s="574" t="s">
        <v>476</v>
      </c>
      <c r="S1088" s="552"/>
      <c r="T1088" s="552"/>
      <c r="U1088" s="552"/>
      <c r="V1088" s="552"/>
      <c r="W1088" s="552"/>
      <c r="X1088" s="552"/>
      <c r="Y1088" s="552"/>
      <c r="Z1088" s="552"/>
      <c r="AA1088" s="553"/>
      <c r="AB1088" s="553"/>
    </row>
    <row r="1089" spans="1:28" ht="12.75">
      <c r="A1089" s="547" t="s">
        <v>476</v>
      </c>
      <c r="B1089" s="547" t="s">
        <v>166</v>
      </c>
      <c r="C1089" s="548" t="s">
        <v>782</v>
      </c>
      <c r="D1089" s="549">
        <v>2019</v>
      </c>
      <c r="E1089" s="549" t="s">
        <v>775</v>
      </c>
      <c r="F1089" s="550">
        <v>116</v>
      </c>
      <c r="G1089" s="550">
        <v>1</v>
      </c>
      <c r="H1089" s="550">
        <v>0</v>
      </c>
      <c r="I1089" s="550">
        <v>1</v>
      </c>
      <c r="J1089" s="550">
        <v>54</v>
      </c>
      <c r="K1089" s="550">
        <v>0</v>
      </c>
      <c r="L1089" s="550">
        <v>0</v>
      </c>
      <c r="M1089" s="550">
        <v>0</v>
      </c>
      <c r="N1089" s="550">
        <v>58</v>
      </c>
      <c r="O1089" s="550">
        <v>0</v>
      </c>
      <c r="P1089" s="550">
        <v>164</v>
      </c>
      <c r="Q1089" s="550">
        <v>0</v>
      </c>
      <c r="R1089" s="574" t="s">
        <v>476</v>
      </c>
      <c r="S1089" s="255">
        <f>SUM(G1085:G1089) +SUM(K1085:K1089)</f>
        <v>98</v>
      </c>
      <c r="T1089" s="255">
        <f>F1089+J1089</f>
        <v>170</v>
      </c>
      <c r="U1089" s="255">
        <f>SUM(O1085:O1089)</f>
        <v>141</v>
      </c>
      <c r="V1089" s="255">
        <f>N1089</f>
        <v>58</v>
      </c>
      <c r="W1089" s="83">
        <f>SUM(Q1085:Q1089)</f>
        <v>143</v>
      </c>
      <c r="X1089" s="255">
        <f>P1089</f>
        <v>164</v>
      </c>
      <c r="Y1089" s="255">
        <f>S1089+U1089+SUM(Q1085:Q1089)</f>
        <v>382</v>
      </c>
      <c r="Z1089" s="255">
        <f>F1089+J1089+N1089+P1089</f>
        <v>392</v>
      </c>
      <c r="AA1089" s="553"/>
      <c r="AB1089" s="553"/>
    </row>
    <row r="1090" spans="1:28" ht="12.75">
      <c r="A1090" s="547" t="s">
        <v>477</v>
      </c>
      <c r="B1090" s="547" t="s">
        <v>166</v>
      </c>
      <c r="C1090" s="548" t="s">
        <v>774</v>
      </c>
      <c r="D1090" s="549">
        <v>2015</v>
      </c>
      <c r="E1090" s="549" t="s">
        <v>775</v>
      </c>
      <c r="F1090" s="550">
        <v>6</v>
      </c>
      <c r="G1090" s="550">
        <v>0</v>
      </c>
      <c r="H1090" s="550">
        <v>0</v>
      </c>
      <c r="I1090" s="550">
        <v>0</v>
      </c>
      <c r="J1090" s="550">
        <v>2</v>
      </c>
      <c r="K1090" s="550">
        <v>0</v>
      </c>
      <c r="L1090" s="550">
        <v>0</v>
      </c>
      <c r="M1090" s="550">
        <v>0</v>
      </c>
      <c r="N1090" s="550">
        <v>4</v>
      </c>
      <c r="O1090" s="550">
        <v>0</v>
      </c>
      <c r="P1090" s="550">
        <v>15</v>
      </c>
      <c r="Q1090" s="550">
        <v>4</v>
      </c>
      <c r="R1090" s="574" t="s">
        <v>477</v>
      </c>
      <c r="S1090" s="552"/>
      <c r="T1090" s="552"/>
      <c r="U1090" s="552"/>
      <c r="V1090" s="552"/>
      <c r="W1090" s="552"/>
      <c r="X1090" s="552"/>
      <c r="Y1090" s="552"/>
      <c r="Z1090" s="552"/>
      <c r="AA1090" s="553"/>
      <c r="AB1090" s="553"/>
    </row>
    <row r="1091" spans="1:28" ht="12.75">
      <c r="A1091" s="547" t="s">
        <v>477</v>
      </c>
      <c r="B1091" s="547" t="s">
        <v>166</v>
      </c>
      <c r="C1091" s="548" t="s">
        <v>774</v>
      </c>
      <c r="D1091" s="549">
        <v>2016</v>
      </c>
      <c r="E1091" s="549" t="s">
        <v>775</v>
      </c>
      <c r="F1091" s="550">
        <v>6</v>
      </c>
      <c r="G1091" s="550">
        <v>0</v>
      </c>
      <c r="H1091" s="550">
        <v>0</v>
      </c>
      <c r="I1091" s="550">
        <v>0</v>
      </c>
      <c r="J1091" s="550">
        <v>2</v>
      </c>
      <c r="K1091" s="550">
        <v>0</v>
      </c>
      <c r="L1091" s="550">
        <v>0</v>
      </c>
      <c r="M1091" s="550">
        <v>0</v>
      </c>
      <c r="N1091" s="550">
        <v>4</v>
      </c>
      <c r="O1091" s="550">
        <v>0</v>
      </c>
      <c r="P1091" s="550">
        <v>15</v>
      </c>
      <c r="Q1091" s="550">
        <v>4</v>
      </c>
      <c r="R1091" s="574" t="s">
        <v>477</v>
      </c>
      <c r="S1091" s="552"/>
      <c r="T1091" s="552"/>
      <c r="U1091" s="552"/>
      <c r="V1091" s="552"/>
      <c r="W1091" s="552"/>
      <c r="X1091" s="552"/>
      <c r="Y1091" s="552"/>
      <c r="Z1091" s="552"/>
      <c r="AA1091" s="553"/>
      <c r="AB1091" s="553"/>
    </row>
    <row r="1092" spans="1:28" ht="12.75">
      <c r="A1092" s="547" t="s">
        <v>477</v>
      </c>
      <c r="B1092" s="547" t="s">
        <v>166</v>
      </c>
      <c r="C1092" s="548" t="s">
        <v>774</v>
      </c>
      <c r="D1092" s="549">
        <v>2017</v>
      </c>
      <c r="E1092" s="549" t="s">
        <v>775</v>
      </c>
      <c r="F1092" s="550">
        <v>6</v>
      </c>
      <c r="G1092" s="550">
        <v>23</v>
      </c>
      <c r="H1092" s="550">
        <v>23</v>
      </c>
      <c r="I1092" s="550">
        <v>0</v>
      </c>
      <c r="J1092" s="550">
        <v>2</v>
      </c>
      <c r="K1092" s="550">
        <v>7</v>
      </c>
      <c r="L1092" s="550">
        <v>6</v>
      </c>
      <c r="M1092" s="550">
        <v>1</v>
      </c>
      <c r="N1092" s="550">
        <v>4</v>
      </c>
      <c r="O1092" s="550">
        <v>3</v>
      </c>
      <c r="P1092" s="550">
        <v>15</v>
      </c>
      <c r="Q1092" s="550">
        <v>22</v>
      </c>
      <c r="R1092" s="574" t="s">
        <v>477</v>
      </c>
      <c r="S1092" s="552"/>
      <c r="T1092" s="552"/>
      <c r="U1092" s="552"/>
      <c r="V1092" s="552"/>
      <c r="W1092" s="552"/>
      <c r="X1092" s="552"/>
      <c r="Y1092" s="552"/>
      <c r="Z1092" s="552"/>
      <c r="AA1092" s="553"/>
      <c r="AB1092" s="553"/>
    </row>
    <row r="1093" spans="1:28" ht="12.75">
      <c r="A1093" s="547" t="s">
        <v>477</v>
      </c>
      <c r="B1093" s="547" t="s">
        <v>166</v>
      </c>
      <c r="C1093" s="548" t="s">
        <v>774</v>
      </c>
      <c r="D1093" s="549">
        <v>2018</v>
      </c>
      <c r="E1093" s="549" t="s">
        <v>775</v>
      </c>
      <c r="F1093" s="550">
        <v>6</v>
      </c>
      <c r="G1093" s="550">
        <v>0</v>
      </c>
      <c r="H1093" s="550">
        <v>0</v>
      </c>
      <c r="I1093" s="550">
        <v>0</v>
      </c>
      <c r="J1093" s="550">
        <v>2</v>
      </c>
      <c r="K1093" s="550">
        <v>0</v>
      </c>
      <c r="L1093" s="550">
        <v>0</v>
      </c>
      <c r="M1093" s="550">
        <v>0</v>
      </c>
      <c r="N1093" s="550">
        <v>4</v>
      </c>
      <c r="O1093" s="550">
        <v>4</v>
      </c>
      <c r="P1093" s="550">
        <v>15</v>
      </c>
      <c r="Q1093" s="550">
        <v>6</v>
      </c>
      <c r="R1093" s="574" t="s">
        <v>477</v>
      </c>
      <c r="S1093" s="552"/>
      <c r="T1093" s="552"/>
      <c r="U1093" s="552"/>
      <c r="V1093" s="552"/>
      <c r="W1093" s="552"/>
      <c r="X1093" s="552"/>
      <c r="Y1093" s="552"/>
      <c r="Z1093" s="552"/>
      <c r="AA1093" s="553"/>
      <c r="AB1093" s="553"/>
    </row>
    <row r="1094" spans="1:28" ht="12.75">
      <c r="A1094" s="547" t="s">
        <v>477</v>
      </c>
      <c r="B1094" s="547" t="s">
        <v>166</v>
      </c>
      <c r="C1094" s="548" t="s">
        <v>782</v>
      </c>
      <c r="D1094" s="549">
        <v>2019</v>
      </c>
      <c r="E1094" s="549" t="s">
        <v>775</v>
      </c>
      <c r="F1094" s="550">
        <v>6</v>
      </c>
      <c r="G1094" s="550">
        <v>0</v>
      </c>
      <c r="H1094" s="550">
        <v>0</v>
      </c>
      <c r="I1094" s="550">
        <v>0</v>
      </c>
      <c r="J1094" s="550">
        <v>2</v>
      </c>
      <c r="K1094" s="550">
        <v>1</v>
      </c>
      <c r="L1094" s="550">
        <v>0</v>
      </c>
      <c r="M1094" s="550">
        <v>1</v>
      </c>
      <c r="N1094" s="550">
        <v>4</v>
      </c>
      <c r="O1094" s="550">
        <v>1</v>
      </c>
      <c r="P1094" s="550">
        <v>15</v>
      </c>
      <c r="Q1094" s="550">
        <v>3</v>
      </c>
      <c r="R1094" s="574" t="s">
        <v>477</v>
      </c>
      <c r="S1094" s="255">
        <f>SUM(G1090:G1094) +SUM(K1090:K1094)</f>
        <v>31</v>
      </c>
      <c r="T1094" s="255">
        <f>F1094+J1094</f>
        <v>8</v>
      </c>
      <c r="U1094" s="255">
        <f>SUM(O1090:O1094)</f>
        <v>8</v>
      </c>
      <c r="V1094" s="255">
        <f>N1094</f>
        <v>4</v>
      </c>
      <c r="W1094" s="83">
        <f>SUM(Q1090:Q1094)</f>
        <v>39</v>
      </c>
      <c r="X1094" s="255">
        <f>P1094</f>
        <v>15</v>
      </c>
      <c r="Y1094" s="255">
        <f>S1094+U1094+SUM(Q1090:Q1094)</f>
        <v>78</v>
      </c>
      <c r="Z1094" s="255">
        <f>F1094+J1094+N1094+P1094</f>
        <v>27</v>
      </c>
      <c r="AA1094" s="553"/>
      <c r="AB1094" s="553"/>
    </row>
    <row r="1095" spans="1:28" ht="12.75">
      <c r="A1095" s="547" t="s">
        <v>166</v>
      </c>
      <c r="B1095" s="547" t="s">
        <v>166</v>
      </c>
      <c r="C1095" s="548" t="s">
        <v>774</v>
      </c>
      <c r="D1095" s="549">
        <v>2015</v>
      </c>
      <c r="E1095" s="549" t="s">
        <v>775</v>
      </c>
      <c r="F1095" s="550">
        <v>185</v>
      </c>
      <c r="G1095" s="550">
        <v>0</v>
      </c>
      <c r="H1095" s="550">
        <v>0</v>
      </c>
      <c r="I1095" s="550">
        <v>0</v>
      </c>
      <c r="J1095" s="550">
        <v>106</v>
      </c>
      <c r="K1095" s="550">
        <v>0</v>
      </c>
      <c r="L1095" s="550">
        <v>0</v>
      </c>
      <c r="M1095" s="550">
        <v>0</v>
      </c>
      <c r="N1095" s="550">
        <v>141</v>
      </c>
      <c r="O1095" s="550">
        <v>0</v>
      </c>
      <c r="P1095" s="550">
        <v>403</v>
      </c>
      <c r="Q1095" s="550">
        <v>0</v>
      </c>
      <c r="R1095" s="574" t="s">
        <v>166</v>
      </c>
      <c r="S1095" s="552"/>
      <c r="T1095" s="552"/>
      <c r="U1095" s="552"/>
      <c r="V1095" s="552"/>
      <c r="W1095" s="552"/>
      <c r="X1095" s="552"/>
      <c r="Y1095" s="552"/>
      <c r="Z1095" s="552"/>
      <c r="AA1095" s="553"/>
      <c r="AB1095" s="553"/>
    </row>
    <row r="1096" spans="1:28" ht="12.75">
      <c r="A1096" s="547" t="s">
        <v>166</v>
      </c>
      <c r="B1096" s="547" t="s">
        <v>166</v>
      </c>
      <c r="C1096" s="548" t="s">
        <v>774</v>
      </c>
      <c r="D1096" s="549">
        <v>2016</v>
      </c>
      <c r="E1096" s="549" t="s">
        <v>775</v>
      </c>
      <c r="F1096" s="550">
        <v>185</v>
      </c>
      <c r="G1096" s="550">
        <v>0</v>
      </c>
      <c r="H1096" s="550">
        <v>0</v>
      </c>
      <c r="I1096" s="550">
        <v>0</v>
      </c>
      <c r="J1096" s="550">
        <v>106</v>
      </c>
      <c r="K1096" s="550">
        <v>6</v>
      </c>
      <c r="L1096" s="550">
        <v>6</v>
      </c>
      <c r="M1096" s="550">
        <v>0</v>
      </c>
      <c r="N1096" s="550">
        <v>141</v>
      </c>
      <c r="O1096" s="550">
        <v>4</v>
      </c>
      <c r="P1096" s="550">
        <v>403</v>
      </c>
      <c r="Q1096" s="550">
        <v>135</v>
      </c>
      <c r="R1096" s="574" t="s">
        <v>166</v>
      </c>
      <c r="S1096" s="552"/>
      <c r="T1096" s="552"/>
      <c r="U1096" s="552"/>
      <c r="V1096" s="552"/>
      <c r="W1096" s="552"/>
      <c r="X1096" s="552"/>
      <c r="Y1096" s="552"/>
      <c r="Z1096" s="552"/>
      <c r="AA1096" s="553"/>
      <c r="AB1096" s="553"/>
    </row>
    <row r="1097" spans="1:28" ht="12.75">
      <c r="A1097" s="547" t="s">
        <v>166</v>
      </c>
      <c r="B1097" s="547" t="s">
        <v>166</v>
      </c>
      <c r="C1097" s="548" t="s">
        <v>774</v>
      </c>
      <c r="D1097" s="549">
        <v>2017</v>
      </c>
      <c r="E1097" s="549" t="s">
        <v>775</v>
      </c>
      <c r="F1097" s="550">
        <v>185</v>
      </c>
      <c r="G1097" s="550">
        <v>0</v>
      </c>
      <c r="H1097" s="550">
        <v>0</v>
      </c>
      <c r="I1097" s="550">
        <v>0</v>
      </c>
      <c r="J1097" s="550">
        <v>106</v>
      </c>
      <c r="K1097" s="550">
        <v>1</v>
      </c>
      <c r="L1097" s="550">
        <v>1</v>
      </c>
      <c r="M1097" s="550">
        <v>0</v>
      </c>
      <c r="N1097" s="550">
        <v>141</v>
      </c>
      <c r="O1097" s="550">
        <v>0</v>
      </c>
      <c r="P1097" s="550">
        <v>403</v>
      </c>
      <c r="Q1097" s="550">
        <v>37</v>
      </c>
      <c r="R1097" s="574" t="s">
        <v>166</v>
      </c>
      <c r="S1097" s="552"/>
      <c r="T1097" s="552"/>
      <c r="U1097" s="552"/>
      <c r="V1097" s="552"/>
      <c r="W1097" s="552"/>
      <c r="X1097" s="552"/>
      <c r="Y1097" s="552"/>
      <c r="Z1097" s="552"/>
      <c r="AA1097" s="553"/>
      <c r="AB1097" s="553"/>
    </row>
    <row r="1098" spans="1:28" ht="12.75">
      <c r="A1098" s="547" t="s">
        <v>166</v>
      </c>
      <c r="B1098" s="547" t="s">
        <v>166</v>
      </c>
      <c r="C1098" s="548" t="s">
        <v>774</v>
      </c>
      <c r="D1098" s="549">
        <v>2018</v>
      </c>
      <c r="E1098" s="549" t="s">
        <v>775</v>
      </c>
      <c r="F1098" s="550">
        <v>185</v>
      </c>
      <c r="G1098" s="550">
        <v>53</v>
      </c>
      <c r="H1098" s="550">
        <v>53</v>
      </c>
      <c r="I1098" s="550">
        <v>0</v>
      </c>
      <c r="J1098" s="550">
        <v>106</v>
      </c>
      <c r="K1098" s="550">
        <v>15</v>
      </c>
      <c r="L1098" s="550">
        <v>15</v>
      </c>
      <c r="M1098" s="550">
        <v>0</v>
      </c>
      <c r="N1098" s="550">
        <v>141</v>
      </c>
      <c r="O1098" s="550">
        <v>0</v>
      </c>
      <c r="P1098" s="550">
        <v>403</v>
      </c>
      <c r="Q1098" s="550">
        <v>523</v>
      </c>
      <c r="R1098" s="574" t="s">
        <v>166</v>
      </c>
      <c r="S1098" s="552"/>
      <c r="T1098" s="552"/>
      <c r="U1098" s="552"/>
      <c r="V1098" s="552"/>
      <c r="W1098" s="552"/>
      <c r="X1098" s="552"/>
      <c r="Y1098" s="552"/>
      <c r="Z1098" s="552"/>
      <c r="AA1098" s="553"/>
      <c r="AB1098" s="553"/>
    </row>
    <row r="1099" spans="1:28" ht="12.75">
      <c r="A1099" s="547" t="s">
        <v>166</v>
      </c>
      <c r="B1099" s="547" t="s">
        <v>166</v>
      </c>
      <c r="C1099" s="548" t="s">
        <v>782</v>
      </c>
      <c r="D1099" s="549">
        <v>2019</v>
      </c>
      <c r="E1099" s="549" t="s">
        <v>775</v>
      </c>
      <c r="F1099" s="550">
        <v>185</v>
      </c>
      <c r="G1099" s="550">
        <v>0</v>
      </c>
      <c r="H1099" s="550">
        <v>0</v>
      </c>
      <c r="I1099" s="550">
        <v>0</v>
      </c>
      <c r="J1099" s="550">
        <v>106</v>
      </c>
      <c r="K1099" s="550">
        <v>27</v>
      </c>
      <c r="L1099" s="550">
        <v>16</v>
      </c>
      <c r="M1099" s="550">
        <v>11</v>
      </c>
      <c r="N1099" s="550">
        <v>141</v>
      </c>
      <c r="O1099" s="550">
        <v>41</v>
      </c>
      <c r="P1099" s="550">
        <v>403</v>
      </c>
      <c r="Q1099" s="550">
        <v>92</v>
      </c>
      <c r="R1099" s="574" t="s">
        <v>166</v>
      </c>
      <c r="S1099" s="255">
        <f>SUM(G1095:G1099) +SUM(K1095:K1099)</f>
        <v>102</v>
      </c>
      <c r="T1099" s="255">
        <f>F1099+J1099</f>
        <v>291</v>
      </c>
      <c r="U1099" s="255">
        <f>SUM(O1095:O1099)</f>
        <v>45</v>
      </c>
      <c r="V1099" s="255">
        <f>N1099</f>
        <v>141</v>
      </c>
      <c r="W1099" s="83">
        <f>SUM(Q1095:Q1099)</f>
        <v>787</v>
      </c>
      <c r="X1099" s="255">
        <f>P1099</f>
        <v>403</v>
      </c>
      <c r="Y1099" s="255">
        <f>S1099+U1099+SUM(Q1095:Q1099)</f>
        <v>934</v>
      </c>
      <c r="Z1099" s="255">
        <f>F1099+J1099+N1099+P1099</f>
        <v>835</v>
      </c>
      <c r="AA1099" s="553"/>
      <c r="AB1099" s="553"/>
    </row>
    <row r="1100" spans="1:28" ht="12.75">
      <c r="A1100" s="547" t="s">
        <v>478</v>
      </c>
      <c r="B1100" s="547" t="s">
        <v>166</v>
      </c>
      <c r="C1100" s="548" t="s">
        <v>774</v>
      </c>
      <c r="D1100" s="549">
        <v>2014</v>
      </c>
      <c r="E1100" s="549" t="s">
        <v>775</v>
      </c>
      <c r="F1100" s="550">
        <v>51</v>
      </c>
      <c r="G1100" s="550">
        <v>0</v>
      </c>
      <c r="H1100" s="550">
        <v>0</v>
      </c>
      <c r="I1100" s="550">
        <v>0</v>
      </c>
      <c r="J1100" s="550">
        <v>30</v>
      </c>
      <c r="K1100" s="550">
        <v>0</v>
      </c>
      <c r="L1100" s="550">
        <v>0</v>
      </c>
      <c r="M1100" s="550">
        <v>0</v>
      </c>
      <c r="N1100" s="550">
        <v>32</v>
      </c>
      <c r="O1100" s="550">
        <v>9</v>
      </c>
      <c r="P1100" s="550">
        <v>67</v>
      </c>
      <c r="Q1100" s="550">
        <v>17</v>
      </c>
      <c r="R1100" s="574" t="s">
        <v>478</v>
      </c>
      <c r="S1100" s="552"/>
      <c r="T1100" s="552"/>
      <c r="U1100" s="552"/>
      <c r="V1100" s="552"/>
      <c r="W1100" s="552"/>
      <c r="X1100" s="552"/>
      <c r="Y1100" s="552"/>
      <c r="Z1100" s="552"/>
      <c r="AA1100" s="553"/>
      <c r="AB1100" s="553"/>
    </row>
    <row r="1101" spans="1:28" ht="12.75">
      <c r="A1101" s="547" t="s">
        <v>478</v>
      </c>
      <c r="B1101" s="547" t="s">
        <v>166</v>
      </c>
      <c r="C1101" s="548" t="s">
        <v>774</v>
      </c>
      <c r="D1101" s="549">
        <v>2015</v>
      </c>
      <c r="E1101" s="549" t="s">
        <v>775</v>
      </c>
      <c r="F1101" s="550">
        <v>51</v>
      </c>
      <c r="G1101" s="550">
        <v>0</v>
      </c>
      <c r="H1101" s="550">
        <v>0</v>
      </c>
      <c r="I1101" s="550">
        <v>0</v>
      </c>
      <c r="J1101" s="550">
        <v>30</v>
      </c>
      <c r="K1101" s="550">
        <v>0</v>
      </c>
      <c r="L1101" s="550">
        <v>0</v>
      </c>
      <c r="M1101" s="550">
        <v>0</v>
      </c>
      <c r="N1101" s="550">
        <v>32</v>
      </c>
      <c r="O1101" s="550">
        <v>8</v>
      </c>
      <c r="P1101" s="550">
        <v>67</v>
      </c>
      <c r="Q1101" s="550">
        <v>11</v>
      </c>
      <c r="R1101" s="574" t="s">
        <v>478</v>
      </c>
      <c r="S1101" s="552"/>
      <c r="T1101" s="552"/>
      <c r="U1101" s="552"/>
      <c r="V1101" s="552"/>
      <c r="W1101" s="552"/>
      <c r="X1101" s="552"/>
      <c r="Y1101" s="552"/>
      <c r="Z1101" s="552"/>
      <c r="AA1101" s="553"/>
      <c r="AB1101" s="553"/>
    </row>
    <row r="1102" spans="1:28" ht="12.75">
      <c r="A1102" s="547" t="s">
        <v>478</v>
      </c>
      <c r="B1102" s="547" t="s">
        <v>166</v>
      </c>
      <c r="C1102" s="548" t="s">
        <v>774</v>
      </c>
      <c r="D1102" s="549">
        <v>2016</v>
      </c>
      <c r="E1102" s="549" t="s">
        <v>775</v>
      </c>
      <c r="F1102" s="550">
        <v>51</v>
      </c>
      <c r="G1102" s="550">
        <v>0</v>
      </c>
      <c r="H1102" s="550">
        <v>0</v>
      </c>
      <c r="I1102" s="550">
        <v>0</v>
      </c>
      <c r="J1102" s="550">
        <v>30</v>
      </c>
      <c r="K1102" s="550">
        <v>1</v>
      </c>
      <c r="L1102" s="550">
        <v>0</v>
      </c>
      <c r="M1102" s="550">
        <v>1</v>
      </c>
      <c r="N1102" s="550">
        <v>32</v>
      </c>
      <c r="O1102" s="550">
        <v>13</v>
      </c>
      <c r="P1102" s="550">
        <v>67</v>
      </c>
      <c r="Q1102" s="550">
        <v>14</v>
      </c>
      <c r="R1102" s="574" t="s">
        <v>478</v>
      </c>
      <c r="S1102" s="552"/>
      <c r="T1102" s="552"/>
      <c r="U1102" s="552"/>
      <c r="V1102" s="552"/>
      <c r="W1102" s="552"/>
      <c r="X1102" s="552"/>
      <c r="Y1102" s="552"/>
      <c r="Z1102" s="552"/>
      <c r="AA1102" s="553"/>
      <c r="AB1102" s="553"/>
    </row>
    <row r="1103" spans="1:28" ht="12.75">
      <c r="A1103" s="547" t="s">
        <v>478</v>
      </c>
      <c r="B1103" s="547" t="s">
        <v>166</v>
      </c>
      <c r="C1103" s="548" t="s">
        <v>774</v>
      </c>
      <c r="D1103" s="549">
        <v>2017</v>
      </c>
      <c r="E1103" s="549" t="s">
        <v>775</v>
      </c>
      <c r="F1103" s="550">
        <v>51</v>
      </c>
      <c r="G1103" s="550">
        <v>0</v>
      </c>
      <c r="H1103" s="550">
        <v>0</v>
      </c>
      <c r="I1103" s="550">
        <v>0</v>
      </c>
      <c r="J1103" s="550">
        <v>30</v>
      </c>
      <c r="K1103" s="550">
        <v>0</v>
      </c>
      <c r="L1103" s="550">
        <v>0</v>
      </c>
      <c r="M1103" s="550">
        <v>0</v>
      </c>
      <c r="N1103" s="550">
        <v>32</v>
      </c>
      <c r="O1103" s="550">
        <v>16</v>
      </c>
      <c r="P1103" s="550">
        <v>67</v>
      </c>
      <c r="Q1103" s="550">
        <v>14</v>
      </c>
      <c r="R1103" s="574" t="s">
        <v>478</v>
      </c>
      <c r="S1103" s="552"/>
      <c r="T1103" s="552"/>
      <c r="U1103" s="552"/>
      <c r="V1103" s="552"/>
      <c r="W1103" s="552"/>
      <c r="X1103" s="552"/>
      <c r="Y1103" s="552"/>
      <c r="Z1103" s="552"/>
      <c r="AA1103" s="553"/>
      <c r="AB1103" s="553"/>
    </row>
    <row r="1104" spans="1:28" ht="12.75">
      <c r="A1104" s="547" t="s">
        <v>478</v>
      </c>
      <c r="B1104" s="547" t="s">
        <v>166</v>
      </c>
      <c r="C1104" s="548" t="s">
        <v>774</v>
      </c>
      <c r="D1104" s="549">
        <v>2018</v>
      </c>
      <c r="E1104" s="549" t="s">
        <v>775</v>
      </c>
      <c r="F1104" s="550">
        <v>51</v>
      </c>
      <c r="G1104" s="550">
        <v>3</v>
      </c>
      <c r="H1104" s="550">
        <v>0</v>
      </c>
      <c r="I1104" s="550">
        <v>3</v>
      </c>
      <c r="J1104" s="550">
        <v>30</v>
      </c>
      <c r="K1104" s="550">
        <v>0</v>
      </c>
      <c r="L1104" s="550">
        <v>0</v>
      </c>
      <c r="M1104" s="550">
        <v>0</v>
      </c>
      <c r="N1104" s="550">
        <v>32</v>
      </c>
      <c r="O1104" s="550">
        <v>6</v>
      </c>
      <c r="P1104" s="550">
        <v>67</v>
      </c>
      <c r="Q1104" s="550">
        <v>22</v>
      </c>
      <c r="R1104" s="574" t="s">
        <v>478</v>
      </c>
      <c r="S1104" s="552"/>
      <c r="T1104" s="552"/>
      <c r="U1104" s="552"/>
      <c r="V1104" s="552"/>
      <c r="W1104" s="552"/>
      <c r="X1104" s="552"/>
      <c r="Y1104" s="552"/>
      <c r="Z1104" s="552"/>
      <c r="AA1104" s="553"/>
      <c r="AB1104" s="553"/>
    </row>
    <row r="1105" spans="1:28" ht="12.75">
      <c r="A1105" s="547" t="s">
        <v>478</v>
      </c>
      <c r="B1105" s="547" t="s">
        <v>166</v>
      </c>
      <c r="C1105" s="548" t="s">
        <v>782</v>
      </c>
      <c r="D1105" s="549">
        <v>2019</v>
      </c>
      <c r="E1105" s="549" t="s">
        <v>775</v>
      </c>
      <c r="F1105" s="550">
        <v>51</v>
      </c>
      <c r="G1105" s="550">
        <v>1</v>
      </c>
      <c r="H1105" s="550">
        <v>0</v>
      </c>
      <c r="I1105" s="550">
        <v>1</v>
      </c>
      <c r="J1105" s="550">
        <v>30</v>
      </c>
      <c r="K1105" s="550">
        <v>2</v>
      </c>
      <c r="L1105" s="550">
        <v>0</v>
      </c>
      <c r="M1105" s="550">
        <v>2</v>
      </c>
      <c r="N1105" s="550">
        <v>32</v>
      </c>
      <c r="O1105" s="550">
        <v>3</v>
      </c>
      <c r="P1105" s="550">
        <v>67</v>
      </c>
      <c r="Q1105" s="550">
        <v>17</v>
      </c>
      <c r="R1105" s="574" t="s">
        <v>478</v>
      </c>
      <c r="S1105" s="552">
        <f>SUM(G1100:G1105) +SUM(K1100:K1105)</f>
        <v>7</v>
      </c>
      <c r="T1105" s="552">
        <f>F1105+J1105</f>
        <v>81</v>
      </c>
      <c r="U1105" s="552">
        <f>SUM(O1100:O1105)</f>
        <v>55</v>
      </c>
      <c r="V1105" s="552">
        <f>N1105</f>
        <v>32</v>
      </c>
      <c r="W1105" s="554">
        <f>SUM(Q1100:Q1105)</f>
        <v>95</v>
      </c>
      <c r="X1105" s="552">
        <f>P1105</f>
        <v>67</v>
      </c>
      <c r="Y1105" s="552">
        <f>S1105+U1105+SUM(Q1100:Q1105)</f>
        <v>157</v>
      </c>
      <c r="Z1105" s="552">
        <f>F1105+J1105+N1105+P1105</f>
        <v>180</v>
      </c>
      <c r="AA1105" s="553"/>
      <c r="AB1105" s="553"/>
    </row>
    <row r="1106" spans="1:28" ht="12.75">
      <c r="A1106" s="547" t="s">
        <v>479</v>
      </c>
      <c r="B1106" s="547" t="s">
        <v>166</v>
      </c>
      <c r="C1106" s="548" t="s">
        <v>774</v>
      </c>
      <c r="D1106" s="549">
        <v>2015</v>
      </c>
      <c r="E1106" s="549" t="s">
        <v>775</v>
      </c>
      <c r="F1106" s="550">
        <v>8</v>
      </c>
      <c r="G1106" s="550">
        <v>0</v>
      </c>
      <c r="H1106" s="550">
        <v>0</v>
      </c>
      <c r="I1106" s="550">
        <v>0</v>
      </c>
      <c r="J1106" s="550">
        <v>5</v>
      </c>
      <c r="K1106" s="550">
        <v>0</v>
      </c>
      <c r="L1106" s="550">
        <v>0</v>
      </c>
      <c r="M1106" s="550">
        <v>0</v>
      </c>
      <c r="N1106" s="550">
        <v>5</v>
      </c>
      <c r="O1106" s="550">
        <v>4</v>
      </c>
      <c r="P1106" s="550">
        <v>13</v>
      </c>
      <c r="Q1106" s="550">
        <v>23</v>
      </c>
      <c r="R1106" s="574" t="s">
        <v>479</v>
      </c>
      <c r="S1106" s="552"/>
      <c r="T1106" s="552"/>
      <c r="U1106" s="552"/>
      <c r="V1106" s="552"/>
      <c r="W1106" s="552"/>
      <c r="X1106" s="552"/>
      <c r="Y1106" s="552"/>
      <c r="Z1106" s="552"/>
      <c r="AA1106" s="553"/>
      <c r="AB1106" s="553"/>
    </row>
    <row r="1107" spans="1:28" ht="12.75">
      <c r="A1107" s="547" t="s">
        <v>479</v>
      </c>
      <c r="B1107" s="547" t="s">
        <v>166</v>
      </c>
      <c r="C1107" s="548" t="s">
        <v>774</v>
      </c>
      <c r="D1107" s="549">
        <v>2016</v>
      </c>
      <c r="E1107" s="549" t="s">
        <v>775</v>
      </c>
      <c r="F1107" s="550">
        <v>8</v>
      </c>
      <c r="G1107" s="550">
        <v>5</v>
      </c>
      <c r="H1107" s="550">
        <v>5</v>
      </c>
      <c r="I1107" s="550">
        <v>0</v>
      </c>
      <c r="J1107" s="550">
        <v>5</v>
      </c>
      <c r="K1107" s="550">
        <v>3</v>
      </c>
      <c r="L1107" s="550">
        <v>3</v>
      </c>
      <c r="M1107" s="550">
        <v>0</v>
      </c>
      <c r="N1107" s="550">
        <v>5</v>
      </c>
      <c r="O1107" s="550">
        <v>0</v>
      </c>
      <c r="P1107" s="550">
        <v>13</v>
      </c>
      <c r="Q1107" s="550">
        <v>6</v>
      </c>
      <c r="R1107" s="574" t="s">
        <v>479</v>
      </c>
      <c r="S1107" s="552"/>
      <c r="T1107" s="552"/>
      <c r="U1107" s="552"/>
      <c r="V1107" s="552"/>
      <c r="W1107" s="552"/>
      <c r="X1107" s="552"/>
      <c r="Y1107" s="552"/>
      <c r="Z1107" s="552"/>
      <c r="AA1107" s="553"/>
      <c r="AB1107" s="553"/>
    </row>
    <row r="1108" spans="1:28" ht="12.75">
      <c r="A1108" s="547" t="s">
        <v>479</v>
      </c>
      <c r="B1108" s="547" t="s">
        <v>166</v>
      </c>
      <c r="C1108" s="548" t="s">
        <v>774</v>
      </c>
      <c r="D1108" s="549">
        <v>2017</v>
      </c>
      <c r="E1108" s="549" t="s">
        <v>775</v>
      </c>
      <c r="F1108" s="550">
        <v>8</v>
      </c>
      <c r="G1108" s="550">
        <v>0</v>
      </c>
      <c r="H1108" s="550">
        <v>0</v>
      </c>
      <c r="I1108" s="550">
        <v>0</v>
      </c>
      <c r="J1108" s="550">
        <v>5</v>
      </c>
      <c r="K1108" s="550">
        <v>0</v>
      </c>
      <c r="L1108" s="550">
        <v>0</v>
      </c>
      <c r="M1108" s="550">
        <v>0</v>
      </c>
      <c r="N1108" s="550">
        <v>5</v>
      </c>
      <c r="O1108" s="550">
        <v>0</v>
      </c>
      <c r="P1108" s="550">
        <v>13</v>
      </c>
      <c r="Q1108" s="550">
        <v>11</v>
      </c>
      <c r="R1108" s="574" t="s">
        <v>479</v>
      </c>
      <c r="S1108" s="552"/>
      <c r="T1108" s="552"/>
      <c r="U1108" s="552"/>
      <c r="V1108" s="552"/>
      <c r="W1108" s="552"/>
      <c r="X1108" s="552"/>
      <c r="Y1108" s="552"/>
      <c r="Z1108" s="552"/>
      <c r="AA1108" s="553"/>
      <c r="AB1108" s="553"/>
    </row>
    <row r="1109" spans="1:28" ht="12.75">
      <c r="A1109" s="547" t="s">
        <v>479</v>
      </c>
      <c r="B1109" s="547" t="s">
        <v>166</v>
      </c>
      <c r="C1109" s="548" t="s">
        <v>774</v>
      </c>
      <c r="D1109" s="549">
        <v>2018</v>
      </c>
      <c r="E1109" s="549" t="s">
        <v>775</v>
      </c>
      <c r="F1109" s="550">
        <v>8</v>
      </c>
      <c r="G1109" s="550">
        <v>0</v>
      </c>
      <c r="H1109" s="550">
        <v>0</v>
      </c>
      <c r="I1109" s="550">
        <v>0</v>
      </c>
      <c r="J1109" s="550">
        <v>5</v>
      </c>
      <c r="K1109" s="550">
        <v>0</v>
      </c>
      <c r="L1109" s="550">
        <v>0</v>
      </c>
      <c r="M1109" s="550">
        <v>0</v>
      </c>
      <c r="N1109" s="550">
        <v>5</v>
      </c>
      <c r="O1109" s="550">
        <v>0</v>
      </c>
      <c r="P1109" s="550">
        <v>13</v>
      </c>
      <c r="Q1109" s="550">
        <v>10</v>
      </c>
      <c r="R1109" s="574" t="s">
        <v>479</v>
      </c>
      <c r="S1109" s="552"/>
      <c r="T1109" s="552"/>
      <c r="U1109" s="552"/>
      <c r="V1109" s="552"/>
      <c r="W1109" s="552"/>
      <c r="X1109" s="552"/>
      <c r="Y1109" s="552"/>
      <c r="Z1109" s="552"/>
      <c r="AA1109" s="553"/>
      <c r="AB1109" s="553"/>
    </row>
    <row r="1110" spans="1:28" ht="12.75">
      <c r="A1110" s="547" t="s">
        <v>479</v>
      </c>
      <c r="B1110" s="547" t="s">
        <v>166</v>
      </c>
      <c r="C1110" s="548" t="s">
        <v>782</v>
      </c>
      <c r="D1110" s="549">
        <v>2019</v>
      </c>
      <c r="E1110" s="549" t="s">
        <v>775</v>
      </c>
      <c r="F1110" s="550">
        <v>8</v>
      </c>
      <c r="G1110" s="550">
        <v>2</v>
      </c>
      <c r="H1110" s="550">
        <v>2</v>
      </c>
      <c r="I1110" s="550">
        <v>0</v>
      </c>
      <c r="J1110" s="550">
        <v>5</v>
      </c>
      <c r="K1110" s="550">
        <v>6</v>
      </c>
      <c r="L1110" s="550">
        <v>6</v>
      </c>
      <c r="M1110" s="550">
        <v>0</v>
      </c>
      <c r="N1110" s="550">
        <v>5</v>
      </c>
      <c r="O1110" s="550">
        <v>0</v>
      </c>
      <c r="P1110" s="550">
        <v>13</v>
      </c>
      <c r="Q1110" s="550">
        <v>4</v>
      </c>
      <c r="R1110" s="574" t="s">
        <v>479</v>
      </c>
      <c r="S1110" s="255">
        <f>SUM(G1106:G1110) +SUM(K1106:K1110)</f>
        <v>16</v>
      </c>
      <c r="T1110" s="255">
        <f>F1110+J1110</f>
        <v>13</v>
      </c>
      <c r="U1110" s="255">
        <f>SUM(O1106:O1110)</f>
        <v>4</v>
      </c>
      <c r="V1110" s="255">
        <f>N1110</f>
        <v>5</v>
      </c>
      <c r="W1110" s="83">
        <f>SUM(Q1106:Q1110)</f>
        <v>54</v>
      </c>
      <c r="X1110" s="255">
        <f>P1110</f>
        <v>13</v>
      </c>
      <c r="Y1110" s="255">
        <f>S1110+U1110+SUM(Q1106:Q1110)</f>
        <v>74</v>
      </c>
      <c r="Z1110" s="255">
        <f>F1110+J1110+N1110+P1110</f>
        <v>31</v>
      </c>
      <c r="AA1110" s="553"/>
      <c r="AB1110" s="553"/>
    </row>
    <row r="1111" spans="1:28" ht="12.75">
      <c r="A1111" s="547" t="s">
        <v>480</v>
      </c>
      <c r="B1111" s="547" t="s">
        <v>166</v>
      </c>
      <c r="C1111" s="548" t="s">
        <v>774</v>
      </c>
      <c r="D1111" s="549">
        <v>2015</v>
      </c>
      <c r="E1111" s="549" t="s">
        <v>775</v>
      </c>
      <c r="F1111" s="550">
        <v>4</v>
      </c>
      <c r="G1111" s="550">
        <v>1</v>
      </c>
      <c r="H1111" s="550">
        <v>1</v>
      </c>
      <c r="I1111" s="550">
        <v>0</v>
      </c>
      <c r="J1111" s="550">
        <v>2</v>
      </c>
      <c r="K1111" s="550">
        <v>1</v>
      </c>
      <c r="L1111" s="550">
        <v>1</v>
      </c>
      <c r="M1111" s="550">
        <v>0</v>
      </c>
      <c r="N1111" s="550">
        <v>3</v>
      </c>
      <c r="O1111" s="550">
        <v>6</v>
      </c>
      <c r="P1111" s="550">
        <v>8</v>
      </c>
      <c r="Q1111" s="550">
        <v>11</v>
      </c>
      <c r="R1111" s="574" t="s">
        <v>480</v>
      </c>
      <c r="S1111" s="552"/>
      <c r="T1111" s="552"/>
      <c r="U1111" s="552"/>
      <c r="V1111" s="552"/>
      <c r="W1111" s="552"/>
      <c r="X1111" s="552"/>
      <c r="Y1111" s="552"/>
      <c r="Z1111" s="552"/>
      <c r="AA1111" s="553"/>
      <c r="AB1111" s="553"/>
    </row>
    <row r="1112" spans="1:28" ht="12.75">
      <c r="A1112" s="547" t="s">
        <v>480</v>
      </c>
      <c r="B1112" s="547" t="s">
        <v>166</v>
      </c>
      <c r="C1112" s="548" t="s">
        <v>774</v>
      </c>
      <c r="D1112" s="549">
        <v>2016</v>
      </c>
      <c r="E1112" s="549" t="s">
        <v>775</v>
      </c>
      <c r="F1112" s="550">
        <v>4</v>
      </c>
      <c r="G1112" s="550">
        <v>0</v>
      </c>
      <c r="H1112" s="550">
        <v>0</v>
      </c>
      <c r="I1112" s="550">
        <v>0</v>
      </c>
      <c r="J1112" s="550">
        <v>2</v>
      </c>
      <c r="K1112" s="550">
        <v>0</v>
      </c>
      <c r="L1112" s="550">
        <v>0</v>
      </c>
      <c r="M1112" s="550">
        <v>0</v>
      </c>
      <c r="N1112" s="550">
        <v>3</v>
      </c>
      <c r="O1112" s="550">
        <v>1</v>
      </c>
      <c r="P1112" s="550">
        <v>8</v>
      </c>
      <c r="Q1112" s="550">
        <v>0</v>
      </c>
      <c r="R1112" s="574" t="s">
        <v>480</v>
      </c>
      <c r="S1112" s="552"/>
      <c r="T1112" s="552"/>
      <c r="U1112" s="552"/>
      <c r="V1112" s="552"/>
      <c r="W1112" s="552"/>
      <c r="X1112" s="552"/>
      <c r="Y1112" s="552"/>
      <c r="Z1112" s="552"/>
      <c r="AA1112" s="553"/>
      <c r="AB1112" s="553"/>
    </row>
    <row r="1113" spans="1:28" ht="12.75">
      <c r="A1113" s="547" t="s">
        <v>480</v>
      </c>
      <c r="B1113" s="547" t="s">
        <v>166</v>
      </c>
      <c r="C1113" s="548" t="s">
        <v>774</v>
      </c>
      <c r="D1113" s="549">
        <v>2017</v>
      </c>
      <c r="E1113" s="549" t="s">
        <v>775</v>
      </c>
      <c r="F1113" s="550">
        <v>4</v>
      </c>
      <c r="G1113" s="550">
        <v>0</v>
      </c>
      <c r="H1113" s="550">
        <v>0</v>
      </c>
      <c r="I1113" s="550">
        <v>0</v>
      </c>
      <c r="J1113" s="550">
        <v>2</v>
      </c>
      <c r="K1113" s="550">
        <v>0</v>
      </c>
      <c r="L1113" s="550">
        <v>0</v>
      </c>
      <c r="M1113" s="550">
        <v>0</v>
      </c>
      <c r="N1113" s="550">
        <v>3</v>
      </c>
      <c r="O1113" s="550">
        <v>2</v>
      </c>
      <c r="P1113" s="550">
        <v>8</v>
      </c>
      <c r="Q1113" s="550">
        <v>3</v>
      </c>
      <c r="R1113" s="574" t="s">
        <v>480</v>
      </c>
      <c r="S1113" s="552"/>
      <c r="T1113" s="552"/>
      <c r="U1113" s="552"/>
      <c r="V1113" s="552"/>
      <c r="W1113" s="552"/>
      <c r="X1113" s="552"/>
      <c r="Y1113" s="552"/>
      <c r="Z1113" s="552"/>
      <c r="AA1113" s="553"/>
      <c r="AB1113" s="553"/>
    </row>
    <row r="1114" spans="1:28" ht="12.75">
      <c r="A1114" s="547" t="s">
        <v>480</v>
      </c>
      <c r="B1114" s="547" t="s">
        <v>166</v>
      </c>
      <c r="C1114" s="548" t="s">
        <v>774</v>
      </c>
      <c r="D1114" s="549">
        <v>2018</v>
      </c>
      <c r="E1114" s="549" t="s">
        <v>775</v>
      </c>
      <c r="F1114" s="550">
        <v>4</v>
      </c>
      <c r="G1114" s="550">
        <v>0</v>
      </c>
      <c r="H1114" s="550">
        <v>0</v>
      </c>
      <c r="I1114" s="550">
        <v>0</v>
      </c>
      <c r="J1114" s="550">
        <v>2</v>
      </c>
      <c r="K1114" s="550">
        <v>0</v>
      </c>
      <c r="L1114" s="550">
        <v>0</v>
      </c>
      <c r="M1114" s="550">
        <v>0</v>
      </c>
      <c r="N1114" s="550">
        <v>3</v>
      </c>
      <c r="O1114" s="550">
        <v>3</v>
      </c>
      <c r="P1114" s="550">
        <v>8</v>
      </c>
      <c r="Q1114" s="550">
        <v>0</v>
      </c>
      <c r="R1114" s="574" t="s">
        <v>480</v>
      </c>
      <c r="S1114" s="552"/>
      <c r="T1114" s="552"/>
      <c r="U1114" s="552"/>
      <c r="V1114" s="552"/>
      <c r="W1114" s="552"/>
      <c r="X1114" s="552"/>
      <c r="Y1114" s="552"/>
      <c r="Z1114" s="552"/>
      <c r="AA1114" s="553"/>
      <c r="AB1114" s="553"/>
    </row>
    <row r="1115" spans="1:28" ht="12.75">
      <c r="A1115" s="547" t="s">
        <v>480</v>
      </c>
      <c r="B1115" s="547" t="s">
        <v>166</v>
      </c>
      <c r="C1115" s="548" t="s">
        <v>782</v>
      </c>
      <c r="D1115" s="549">
        <v>2019</v>
      </c>
      <c r="E1115" s="549" t="s">
        <v>775</v>
      </c>
      <c r="F1115" s="550">
        <v>4</v>
      </c>
      <c r="G1115" s="550">
        <v>0</v>
      </c>
      <c r="H1115" s="550">
        <v>0</v>
      </c>
      <c r="I1115" s="550">
        <v>0</v>
      </c>
      <c r="J1115" s="550">
        <v>2</v>
      </c>
      <c r="K1115" s="550">
        <v>0</v>
      </c>
      <c r="L1115" s="550">
        <v>0</v>
      </c>
      <c r="M1115" s="550">
        <v>0</v>
      </c>
      <c r="N1115" s="550">
        <v>3</v>
      </c>
      <c r="O1115" s="550">
        <v>0</v>
      </c>
      <c r="P1115" s="550">
        <v>8</v>
      </c>
      <c r="Q1115" s="550">
        <v>0</v>
      </c>
      <c r="R1115" s="574" t="s">
        <v>480</v>
      </c>
      <c r="S1115" s="561">
        <f>SUM(G1111:G1115) +SUM(K1111:K1115)</f>
        <v>2</v>
      </c>
      <c r="T1115" s="561">
        <f>F1115+J1115</f>
        <v>6</v>
      </c>
      <c r="U1115" s="561">
        <f>SUM(O1111:O1115)</f>
        <v>12</v>
      </c>
      <c r="V1115" s="561">
        <f>N1115</f>
        <v>3</v>
      </c>
      <c r="W1115" s="562">
        <f>SUM(Q1111:Q1115)</f>
        <v>14</v>
      </c>
      <c r="X1115" s="561">
        <f>P1115</f>
        <v>8</v>
      </c>
      <c r="Y1115" s="561">
        <f>S1115+U1115+SUM(Q1111:Q1115)</f>
        <v>28</v>
      </c>
      <c r="Z1115" s="561">
        <f>F1115+J1115+N1115+P1115</f>
        <v>17</v>
      </c>
      <c r="AA1115" s="553"/>
      <c r="AB1115" s="553"/>
    </row>
    <row r="1116" spans="1:28" ht="12.75">
      <c r="A1116" s="547"/>
      <c r="B1116" s="547"/>
      <c r="C1116" s="548"/>
      <c r="D1116" s="549"/>
      <c r="E1116" s="549"/>
      <c r="F1116" s="550"/>
      <c r="G1116" s="550"/>
      <c r="H1116" s="550"/>
      <c r="I1116" s="550"/>
      <c r="J1116" s="550"/>
      <c r="K1116" s="550"/>
      <c r="L1116" s="550"/>
      <c r="M1116" s="550"/>
      <c r="N1116" s="550"/>
      <c r="O1116" s="550"/>
      <c r="P1116" s="550"/>
      <c r="Q1116" s="550"/>
      <c r="R1116" s="574"/>
      <c r="S1116" s="563">
        <f t="shared" ref="S1116:Z1116" si="185">SUM(S1089:S1115)</f>
        <v>256</v>
      </c>
      <c r="T1116" s="563">
        <f t="shared" si="185"/>
        <v>569</v>
      </c>
      <c r="U1116" s="563">
        <f t="shared" si="185"/>
        <v>265</v>
      </c>
      <c r="V1116" s="563">
        <f t="shared" si="185"/>
        <v>243</v>
      </c>
      <c r="W1116" s="563">
        <f t="shared" si="185"/>
        <v>1132</v>
      </c>
      <c r="X1116" s="563">
        <f t="shared" si="185"/>
        <v>670</v>
      </c>
      <c r="Y1116" s="563">
        <f t="shared" si="185"/>
        <v>1653</v>
      </c>
      <c r="Z1116" s="563">
        <f t="shared" si="185"/>
        <v>1482</v>
      </c>
      <c r="AA1116" s="553"/>
      <c r="AB1116" s="553"/>
    </row>
    <row r="1117" spans="1:28" ht="12.75">
      <c r="A1117" s="547" t="s">
        <v>481</v>
      </c>
      <c r="B1117" s="547" t="s">
        <v>168</v>
      </c>
      <c r="C1117" s="548" t="s">
        <v>784</v>
      </c>
      <c r="D1117" s="549">
        <v>2014</v>
      </c>
      <c r="E1117" s="549" t="s">
        <v>775</v>
      </c>
      <c r="F1117" s="550">
        <v>122</v>
      </c>
      <c r="G1117" s="550">
        <v>10</v>
      </c>
      <c r="H1117" s="550">
        <v>10</v>
      </c>
      <c r="I1117" s="550">
        <v>0</v>
      </c>
      <c r="J1117" s="550">
        <v>88</v>
      </c>
      <c r="K1117" s="550">
        <v>74</v>
      </c>
      <c r="L1117" s="550">
        <v>72</v>
      </c>
      <c r="M1117" s="550">
        <v>2</v>
      </c>
      <c r="N1117" s="550">
        <v>100</v>
      </c>
      <c r="O1117" s="550">
        <v>0</v>
      </c>
      <c r="P1117" s="550">
        <v>220</v>
      </c>
      <c r="Q1117" s="550">
        <v>0</v>
      </c>
      <c r="R1117" s="574" t="s">
        <v>481</v>
      </c>
      <c r="S1117" s="552"/>
      <c r="T1117" s="552"/>
      <c r="U1117" s="552"/>
      <c r="V1117" s="552"/>
      <c r="W1117" s="552"/>
      <c r="X1117" s="552"/>
      <c r="Y1117" s="552"/>
      <c r="Z1117" s="552"/>
      <c r="AA1117" s="553"/>
      <c r="AB1117" s="553"/>
    </row>
    <row r="1118" spans="1:28" ht="12.75">
      <c r="A1118" s="547" t="s">
        <v>481</v>
      </c>
      <c r="B1118" s="547" t="s">
        <v>168</v>
      </c>
      <c r="C1118" s="548" t="s">
        <v>784</v>
      </c>
      <c r="D1118" s="549">
        <v>2015</v>
      </c>
      <c r="E1118" s="549" t="s">
        <v>775</v>
      </c>
      <c r="F1118" s="550">
        <v>122</v>
      </c>
      <c r="G1118" s="550">
        <v>2</v>
      </c>
      <c r="H1118" s="550">
        <v>2</v>
      </c>
      <c r="I1118" s="550">
        <v>0</v>
      </c>
      <c r="J1118" s="550">
        <v>88</v>
      </c>
      <c r="K1118" s="550">
        <v>0</v>
      </c>
      <c r="L1118" s="550">
        <v>0</v>
      </c>
      <c r="M1118" s="550">
        <v>0</v>
      </c>
      <c r="N1118" s="550">
        <v>100</v>
      </c>
      <c r="O1118" s="550">
        <v>0</v>
      </c>
      <c r="P1118" s="550">
        <v>220</v>
      </c>
      <c r="Q1118" s="550">
        <v>5</v>
      </c>
      <c r="R1118" s="574" t="s">
        <v>481</v>
      </c>
      <c r="S1118" s="552"/>
      <c r="T1118" s="552"/>
      <c r="U1118" s="552"/>
      <c r="V1118" s="552"/>
      <c r="W1118" s="552"/>
      <c r="X1118" s="552"/>
      <c r="Y1118" s="552"/>
      <c r="Z1118" s="552"/>
      <c r="AA1118" s="553"/>
      <c r="AB1118" s="553"/>
    </row>
    <row r="1119" spans="1:28" ht="12.75">
      <c r="A1119" s="547" t="s">
        <v>481</v>
      </c>
      <c r="B1119" s="547" t="s">
        <v>168</v>
      </c>
      <c r="C1119" s="548" t="s">
        <v>784</v>
      </c>
      <c r="D1119" s="549">
        <v>2016</v>
      </c>
      <c r="E1119" s="549" t="s">
        <v>775</v>
      </c>
      <c r="F1119" s="550">
        <v>122</v>
      </c>
      <c r="G1119" s="550">
        <v>1</v>
      </c>
      <c r="H1119" s="550">
        <v>1</v>
      </c>
      <c r="I1119" s="550">
        <v>0</v>
      </c>
      <c r="J1119" s="550">
        <v>88</v>
      </c>
      <c r="K1119" s="550">
        <v>0</v>
      </c>
      <c r="L1119" s="550">
        <v>0</v>
      </c>
      <c r="M1119" s="550">
        <v>0</v>
      </c>
      <c r="N1119" s="550">
        <v>100</v>
      </c>
      <c r="O1119" s="550">
        <v>1</v>
      </c>
      <c r="P1119" s="550">
        <v>220</v>
      </c>
      <c r="Q1119" s="550">
        <v>0</v>
      </c>
      <c r="R1119" s="574" t="s">
        <v>481</v>
      </c>
      <c r="S1119" s="552"/>
      <c r="T1119" s="552"/>
      <c r="U1119" s="552"/>
      <c r="V1119" s="552"/>
      <c r="W1119" s="552"/>
      <c r="X1119" s="552"/>
      <c r="Y1119" s="552"/>
      <c r="Z1119" s="552"/>
      <c r="AA1119" s="553"/>
      <c r="AB1119" s="553"/>
    </row>
    <row r="1120" spans="1:28" ht="12.75">
      <c r="A1120" s="547" t="s">
        <v>481</v>
      </c>
      <c r="B1120" s="547" t="s">
        <v>168</v>
      </c>
      <c r="C1120" s="548" t="s">
        <v>784</v>
      </c>
      <c r="D1120" s="549">
        <v>2017</v>
      </c>
      <c r="E1120" s="549" t="s">
        <v>775</v>
      </c>
      <c r="F1120" s="550">
        <v>122</v>
      </c>
      <c r="G1120" s="550">
        <v>2</v>
      </c>
      <c r="H1120" s="550">
        <v>2</v>
      </c>
      <c r="I1120" s="550">
        <v>0</v>
      </c>
      <c r="J1120" s="550">
        <v>88</v>
      </c>
      <c r="K1120" s="550">
        <v>2</v>
      </c>
      <c r="L1120" s="550">
        <v>0</v>
      </c>
      <c r="M1120" s="550">
        <v>2</v>
      </c>
      <c r="N1120" s="550">
        <v>100</v>
      </c>
      <c r="O1120" s="550">
        <v>1</v>
      </c>
      <c r="P1120" s="550">
        <v>220</v>
      </c>
      <c r="Q1120" s="550">
        <v>38</v>
      </c>
      <c r="R1120" s="574" t="s">
        <v>481</v>
      </c>
      <c r="S1120" s="552"/>
      <c r="T1120" s="552"/>
      <c r="U1120" s="552"/>
      <c r="V1120" s="552"/>
      <c r="W1120" s="552"/>
      <c r="X1120" s="552"/>
      <c r="Y1120" s="552"/>
      <c r="Z1120" s="552"/>
      <c r="AA1120" s="553"/>
      <c r="AB1120" s="553"/>
    </row>
    <row r="1121" spans="1:28" ht="12.75">
      <c r="A1121" s="547" t="s">
        <v>481</v>
      </c>
      <c r="B1121" s="547" t="s">
        <v>168</v>
      </c>
      <c r="C1121" s="548" t="s">
        <v>784</v>
      </c>
      <c r="D1121" s="549">
        <v>2018</v>
      </c>
      <c r="E1121" s="549" t="s">
        <v>775</v>
      </c>
      <c r="F1121" s="550">
        <v>122</v>
      </c>
      <c r="G1121" s="550">
        <v>0</v>
      </c>
      <c r="H1121" s="550">
        <v>0</v>
      </c>
      <c r="I1121" s="550">
        <v>0</v>
      </c>
      <c r="J1121" s="550">
        <v>88</v>
      </c>
      <c r="K1121" s="550">
        <v>3</v>
      </c>
      <c r="L1121" s="550">
        <v>0</v>
      </c>
      <c r="M1121" s="550">
        <v>3</v>
      </c>
      <c r="N1121" s="550">
        <v>100</v>
      </c>
      <c r="O1121" s="550">
        <v>0</v>
      </c>
      <c r="P1121" s="550">
        <v>220</v>
      </c>
      <c r="Q1121" s="550">
        <v>6</v>
      </c>
      <c r="R1121" s="574" t="s">
        <v>481</v>
      </c>
      <c r="S1121" s="552"/>
      <c r="T1121" s="552"/>
      <c r="U1121" s="552"/>
      <c r="V1121" s="552"/>
      <c r="W1121" s="552"/>
      <c r="X1121" s="552"/>
      <c r="Y1121" s="552"/>
      <c r="Z1121" s="552"/>
      <c r="AA1121" s="553"/>
      <c r="AB1121" s="553"/>
    </row>
    <row r="1122" spans="1:28" ht="12.75">
      <c r="A1122" s="547" t="s">
        <v>481</v>
      </c>
      <c r="B1122" s="547" t="s">
        <v>168</v>
      </c>
      <c r="C1122" s="548" t="s">
        <v>785</v>
      </c>
      <c r="D1122" s="549">
        <v>2019</v>
      </c>
      <c r="E1122" s="549" t="s">
        <v>775</v>
      </c>
      <c r="F1122" s="550">
        <v>122</v>
      </c>
      <c r="G1122" s="550">
        <v>0</v>
      </c>
      <c r="H1122" s="550">
        <v>0</v>
      </c>
      <c r="I1122" s="550">
        <v>0</v>
      </c>
      <c r="J1122" s="550">
        <v>88</v>
      </c>
      <c r="K1122" s="550">
        <v>36</v>
      </c>
      <c r="L1122" s="550">
        <v>1</v>
      </c>
      <c r="M1122" s="550">
        <v>35</v>
      </c>
      <c r="N1122" s="550">
        <v>100</v>
      </c>
      <c r="O1122" s="550">
        <v>0</v>
      </c>
      <c r="P1122" s="550">
        <v>220</v>
      </c>
      <c r="Q1122" s="550">
        <v>25</v>
      </c>
      <c r="R1122" s="574" t="s">
        <v>481</v>
      </c>
      <c r="S1122" s="552">
        <f>SUM(G1117:G1122) +SUM(K1117:K1122)</f>
        <v>130</v>
      </c>
      <c r="T1122" s="552">
        <f>F1122+J1122</f>
        <v>210</v>
      </c>
      <c r="U1122" s="552">
        <f>SUM(O1117:O1122)</f>
        <v>2</v>
      </c>
      <c r="V1122" s="552">
        <f>N1122</f>
        <v>100</v>
      </c>
      <c r="W1122" s="554">
        <f>SUM(Q1117:Q1122)</f>
        <v>74</v>
      </c>
      <c r="X1122" s="552">
        <f>P1122</f>
        <v>220</v>
      </c>
      <c r="Y1122" s="552">
        <f>S1122+U1122+SUM(Q1117:Q1122)</f>
        <v>206</v>
      </c>
      <c r="Z1122" s="552">
        <f>F1122+J1122+N1122+P1122</f>
        <v>530</v>
      </c>
      <c r="AA1122" s="553"/>
      <c r="AB1122" s="553"/>
    </row>
    <row r="1123" spans="1:28" ht="12.75">
      <c r="A1123" s="547" t="s">
        <v>482</v>
      </c>
      <c r="B1123" s="547" t="s">
        <v>168</v>
      </c>
      <c r="C1123" s="548" t="s">
        <v>784</v>
      </c>
      <c r="D1123" s="549">
        <v>2018</v>
      </c>
      <c r="E1123" s="549" t="s">
        <v>775</v>
      </c>
      <c r="F1123" s="550">
        <v>19</v>
      </c>
      <c r="G1123" s="550">
        <v>0</v>
      </c>
      <c r="H1123" s="550">
        <v>0</v>
      </c>
      <c r="I1123" s="550">
        <v>0</v>
      </c>
      <c r="J1123" s="550">
        <v>14</v>
      </c>
      <c r="K1123" s="550">
        <v>1</v>
      </c>
      <c r="L1123" s="550">
        <v>0</v>
      </c>
      <c r="M1123" s="550">
        <v>1</v>
      </c>
      <c r="N1123" s="550">
        <v>16</v>
      </c>
      <c r="O1123" s="550">
        <v>1</v>
      </c>
      <c r="P1123" s="550">
        <v>36</v>
      </c>
      <c r="Q1123" s="550">
        <v>1</v>
      </c>
      <c r="R1123" s="574" t="s">
        <v>482</v>
      </c>
      <c r="S1123" s="552"/>
      <c r="T1123" s="552"/>
      <c r="U1123" s="552"/>
      <c r="V1123" s="552"/>
      <c r="W1123" s="552"/>
      <c r="X1123" s="552"/>
      <c r="Y1123" s="552"/>
      <c r="Z1123" s="552"/>
      <c r="AA1123" s="553"/>
      <c r="AB1123" s="553"/>
    </row>
    <row r="1124" spans="1:28" ht="12.75">
      <c r="A1124" s="547" t="s">
        <v>482</v>
      </c>
      <c r="B1124" s="555" t="s">
        <v>168</v>
      </c>
      <c r="C1124" s="548" t="s">
        <v>785</v>
      </c>
      <c r="D1124" s="549">
        <v>2019</v>
      </c>
      <c r="E1124" s="549" t="s">
        <v>775</v>
      </c>
      <c r="F1124" s="550">
        <v>19</v>
      </c>
      <c r="G1124" s="550">
        <v>0</v>
      </c>
      <c r="H1124" s="550">
        <v>0</v>
      </c>
      <c r="I1124" s="550">
        <v>0</v>
      </c>
      <c r="J1124" s="550">
        <v>14</v>
      </c>
      <c r="K1124" s="550">
        <v>0</v>
      </c>
      <c r="L1124" s="550">
        <v>0</v>
      </c>
      <c r="M1124" s="550">
        <v>0</v>
      </c>
      <c r="N1124" s="550">
        <v>16</v>
      </c>
      <c r="O1124" s="550">
        <v>1</v>
      </c>
      <c r="P1124" s="550">
        <v>36</v>
      </c>
      <c r="Q1124" s="550">
        <v>1</v>
      </c>
      <c r="R1124" s="574" t="s">
        <v>482</v>
      </c>
      <c r="S1124" s="255">
        <f>SUM(G1123:G1124) +SUM(K1123:K1124)</f>
        <v>1</v>
      </c>
      <c r="T1124" s="255">
        <f>F1124+J1124</f>
        <v>33</v>
      </c>
      <c r="U1124" s="255">
        <f>SUM(O1123:O1124)</f>
        <v>2</v>
      </c>
      <c r="V1124" s="255">
        <f>N1124</f>
        <v>16</v>
      </c>
      <c r="W1124" s="83">
        <f>SUM(Q1123:Q1124)</f>
        <v>2</v>
      </c>
      <c r="X1124" s="255">
        <f>P1124</f>
        <v>36</v>
      </c>
      <c r="Y1124" s="255">
        <f>S1124+U1124+SUM(Q1123:Q1124)</f>
        <v>5</v>
      </c>
      <c r="Z1124" s="255">
        <f>F1124+J1124+N1124+P1124</f>
        <v>85</v>
      </c>
      <c r="AA1124" s="553"/>
      <c r="AB1124" s="553"/>
    </row>
    <row r="1125" spans="1:28" ht="12.75">
      <c r="A1125" s="547" t="s">
        <v>483</v>
      </c>
      <c r="B1125" s="555" t="s">
        <v>168</v>
      </c>
      <c r="C1125" s="548" t="s">
        <v>784</v>
      </c>
      <c r="D1125" s="549">
        <v>2014</v>
      </c>
      <c r="E1125" s="549" t="s">
        <v>775</v>
      </c>
      <c r="F1125" s="550">
        <v>174</v>
      </c>
      <c r="G1125" s="550">
        <v>7</v>
      </c>
      <c r="H1125" s="550">
        <v>0</v>
      </c>
      <c r="I1125" s="550">
        <v>7</v>
      </c>
      <c r="J1125" s="550">
        <v>126</v>
      </c>
      <c r="K1125" s="550">
        <v>17</v>
      </c>
      <c r="L1125" s="550">
        <v>0</v>
      </c>
      <c r="M1125" s="550">
        <v>17</v>
      </c>
      <c r="N1125" s="550">
        <v>150</v>
      </c>
      <c r="O1125" s="550">
        <v>32</v>
      </c>
      <c r="P1125" s="550">
        <v>314</v>
      </c>
      <c r="Q1125" s="550">
        <v>75</v>
      </c>
      <c r="R1125" s="574" t="s">
        <v>483</v>
      </c>
      <c r="S1125" s="552"/>
      <c r="T1125" s="552"/>
      <c r="U1125" s="552"/>
      <c r="V1125" s="552"/>
      <c r="W1125" s="552"/>
      <c r="X1125" s="552"/>
      <c r="Y1125" s="552"/>
      <c r="Z1125" s="552"/>
      <c r="AA1125" s="553"/>
      <c r="AB1125" s="553"/>
    </row>
    <row r="1126" spans="1:28" ht="12.75">
      <c r="A1126" s="547" t="s">
        <v>483</v>
      </c>
      <c r="B1126" s="547" t="s">
        <v>168</v>
      </c>
      <c r="C1126" s="548" t="s">
        <v>784</v>
      </c>
      <c r="D1126" s="549">
        <v>2015</v>
      </c>
      <c r="E1126" s="549" t="s">
        <v>775</v>
      </c>
      <c r="F1126" s="550">
        <v>174</v>
      </c>
      <c r="G1126" s="550">
        <v>27</v>
      </c>
      <c r="H1126" s="550">
        <v>0</v>
      </c>
      <c r="I1126" s="550">
        <v>27</v>
      </c>
      <c r="J1126" s="550">
        <v>126</v>
      </c>
      <c r="K1126" s="550">
        <v>20</v>
      </c>
      <c r="L1126" s="550">
        <v>20</v>
      </c>
      <c r="M1126" s="550">
        <v>0</v>
      </c>
      <c r="N1126" s="550">
        <v>150</v>
      </c>
      <c r="O1126" s="550">
        <v>29</v>
      </c>
      <c r="P1126" s="550">
        <v>314</v>
      </c>
      <c r="Q1126" s="550">
        <v>70</v>
      </c>
      <c r="R1126" s="574" t="s">
        <v>483</v>
      </c>
      <c r="S1126" s="552"/>
      <c r="T1126" s="552"/>
      <c r="U1126" s="552"/>
      <c r="V1126" s="552"/>
      <c r="W1126" s="552"/>
      <c r="X1126" s="552"/>
      <c r="Y1126" s="552"/>
      <c r="Z1126" s="552"/>
      <c r="AA1126" s="553"/>
      <c r="AB1126" s="553"/>
    </row>
    <row r="1127" spans="1:28" ht="12.75">
      <c r="A1127" s="547" t="s">
        <v>483</v>
      </c>
      <c r="B1127" s="547" t="s">
        <v>168</v>
      </c>
      <c r="C1127" s="548" t="s">
        <v>784</v>
      </c>
      <c r="D1127" s="549">
        <v>2016</v>
      </c>
      <c r="E1127" s="549" t="s">
        <v>775</v>
      </c>
      <c r="F1127" s="550">
        <v>174</v>
      </c>
      <c r="G1127" s="550">
        <v>7</v>
      </c>
      <c r="H1127" s="550">
        <v>7</v>
      </c>
      <c r="I1127" s="550">
        <v>0</v>
      </c>
      <c r="J1127" s="550">
        <v>126</v>
      </c>
      <c r="K1127" s="550">
        <v>18</v>
      </c>
      <c r="L1127" s="550">
        <v>18</v>
      </c>
      <c r="M1127" s="550">
        <v>0</v>
      </c>
      <c r="N1127" s="550">
        <v>150</v>
      </c>
      <c r="O1127" s="550">
        <v>22</v>
      </c>
      <c r="P1127" s="550">
        <v>314</v>
      </c>
      <c r="Q1127" s="550">
        <v>54</v>
      </c>
      <c r="R1127" s="574" t="s">
        <v>483</v>
      </c>
      <c r="S1127" s="552"/>
      <c r="T1127" s="552"/>
      <c r="U1127" s="552"/>
      <c r="V1127" s="552"/>
      <c r="W1127" s="552"/>
      <c r="X1127" s="552"/>
      <c r="Y1127" s="552"/>
      <c r="Z1127" s="552"/>
      <c r="AA1127" s="553"/>
      <c r="AB1127" s="553"/>
    </row>
    <row r="1128" spans="1:28" ht="12.75">
      <c r="A1128" s="547" t="s">
        <v>483</v>
      </c>
      <c r="B1128" s="555" t="s">
        <v>168</v>
      </c>
      <c r="C1128" s="548" t="s">
        <v>784</v>
      </c>
      <c r="D1128" s="549">
        <v>2017</v>
      </c>
      <c r="E1128" s="549" t="s">
        <v>775</v>
      </c>
      <c r="F1128" s="550">
        <v>174</v>
      </c>
      <c r="G1128" s="550">
        <v>8</v>
      </c>
      <c r="H1128" s="550">
        <v>0</v>
      </c>
      <c r="I1128" s="550">
        <v>8</v>
      </c>
      <c r="J1128" s="550">
        <v>126</v>
      </c>
      <c r="K1128" s="550">
        <v>18</v>
      </c>
      <c r="L1128" s="550">
        <v>0</v>
      </c>
      <c r="M1128" s="550">
        <v>18</v>
      </c>
      <c r="N1128" s="550">
        <v>150</v>
      </c>
      <c r="O1128" s="550">
        <v>27</v>
      </c>
      <c r="P1128" s="550">
        <v>314</v>
      </c>
      <c r="Q1128" s="550">
        <v>60</v>
      </c>
      <c r="R1128" s="574" t="s">
        <v>483</v>
      </c>
      <c r="S1128" s="552"/>
      <c r="T1128" s="552"/>
      <c r="U1128" s="552"/>
      <c r="V1128" s="552"/>
      <c r="W1128" s="552"/>
      <c r="X1128" s="552"/>
      <c r="Y1128" s="552"/>
      <c r="Z1128" s="552"/>
      <c r="AA1128" s="553"/>
      <c r="AB1128" s="553"/>
    </row>
    <row r="1129" spans="1:28" ht="12.75">
      <c r="A1129" s="547" t="s">
        <v>483</v>
      </c>
      <c r="B1129" s="547" t="s">
        <v>168</v>
      </c>
      <c r="C1129" s="548" t="s">
        <v>784</v>
      </c>
      <c r="D1129" s="549">
        <v>2018</v>
      </c>
      <c r="E1129" s="549" t="s">
        <v>775</v>
      </c>
      <c r="F1129" s="550">
        <v>174</v>
      </c>
      <c r="G1129" s="550">
        <v>4</v>
      </c>
      <c r="H1129" s="550">
        <v>0</v>
      </c>
      <c r="I1129" s="550">
        <v>4</v>
      </c>
      <c r="J1129" s="550">
        <v>126</v>
      </c>
      <c r="K1129" s="550">
        <v>11</v>
      </c>
      <c r="L1129" s="550">
        <v>0</v>
      </c>
      <c r="M1129" s="550">
        <v>11</v>
      </c>
      <c r="N1129" s="550">
        <v>150</v>
      </c>
      <c r="O1129" s="550">
        <v>3</v>
      </c>
      <c r="P1129" s="550">
        <v>314</v>
      </c>
      <c r="Q1129" s="550">
        <v>10</v>
      </c>
      <c r="R1129" s="574" t="s">
        <v>483</v>
      </c>
      <c r="S1129" s="552"/>
      <c r="T1129" s="552"/>
      <c r="U1129" s="552"/>
      <c r="V1129" s="552"/>
      <c r="W1129" s="552"/>
      <c r="X1129" s="552"/>
      <c r="Y1129" s="552"/>
      <c r="Z1129" s="552"/>
      <c r="AA1129" s="553"/>
      <c r="AB1129" s="553"/>
    </row>
    <row r="1130" spans="1:28" ht="12.75">
      <c r="A1130" s="547" t="s">
        <v>483</v>
      </c>
      <c r="B1130" s="547" t="s">
        <v>168</v>
      </c>
      <c r="C1130" s="548" t="s">
        <v>785</v>
      </c>
      <c r="D1130" s="549">
        <v>2019</v>
      </c>
      <c r="E1130" s="549" t="s">
        <v>775</v>
      </c>
      <c r="F1130" s="550">
        <v>174</v>
      </c>
      <c r="G1130" s="550">
        <v>0</v>
      </c>
      <c r="H1130" s="550">
        <v>0</v>
      </c>
      <c r="I1130" s="550">
        <v>0</v>
      </c>
      <c r="J1130" s="550">
        <v>126</v>
      </c>
      <c r="K1130" s="550">
        <v>0</v>
      </c>
      <c r="L1130" s="550">
        <v>0</v>
      </c>
      <c r="M1130" s="550">
        <v>0</v>
      </c>
      <c r="N1130" s="550">
        <v>150</v>
      </c>
      <c r="O1130" s="550">
        <v>0</v>
      </c>
      <c r="P1130" s="550">
        <v>314</v>
      </c>
      <c r="Q1130" s="550">
        <v>0</v>
      </c>
      <c r="R1130" s="574" t="s">
        <v>483</v>
      </c>
      <c r="S1130" s="552">
        <f>SUM(G1125:G1130) +SUM(K1125:K1130)</f>
        <v>137</v>
      </c>
      <c r="T1130" s="552">
        <f>F1130+J1130</f>
        <v>300</v>
      </c>
      <c r="U1130" s="552">
        <f>SUM(O1125:O1130)</f>
        <v>113</v>
      </c>
      <c r="V1130" s="552">
        <f>N1130</f>
        <v>150</v>
      </c>
      <c r="W1130" s="554">
        <f>SUM(Q1125:Q1130)</f>
        <v>269</v>
      </c>
      <c r="X1130" s="552">
        <f>P1130</f>
        <v>314</v>
      </c>
      <c r="Y1130" s="552">
        <f>S1130+U1130+SUM(Q1125:Q1130)</f>
        <v>519</v>
      </c>
      <c r="Z1130" s="552">
        <f>F1130+J1130+N1130+P1130</f>
        <v>764</v>
      </c>
      <c r="AA1130" s="553"/>
      <c r="AB1130" s="553"/>
    </row>
    <row r="1131" spans="1:28" ht="12.75">
      <c r="A1131" s="547" t="s">
        <v>484</v>
      </c>
      <c r="B1131" s="547" t="s">
        <v>168</v>
      </c>
      <c r="C1131" s="548" t="s">
        <v>784</v>
      </c>
      <c r="D1131" s="549">
        <v>2014</v>
      </c>
      <c r="E1131" s="549" t="s">
        <v>775</v>
      </c>
      <c r="F1131" s="550">
        <v>108</v>
      </c>
      <c r="G1131" s="550">
        <v>0</v>
      </c>
      <c r="H1131" s="550">
        <v>0</v>
      </c>
      <c r="I1131" s="550">
        <v>0</v>
      </c>
      <c r="J1131" s="550">
        <v>75</v>
      </c>
      <c r="K1131" s="550">
        <v>0</v>
      </c>
      <c r="L1131" s="550">
        <v>0</v>
      </c>
      <c r="M1131" s="550">
        <v>0</v>
      </c>
      <c r="N1131" s="550">
        <v>78</v>
      </c>
      <c r="O1131" s="550">
        <v>0</v>
      </c>
      <c r="P1131" s="550">
        <v>199</v>
      </c>
      <c r="Q1131" s="550">
        <v>95</v>
      </c>
      <c r="R1131" s="574" t="s">
        <v>484</v>
      </c>
      <c r="S1131" s="552"/>
      <c r="T1131" s="552"/>
      <c r="U1131" s="552"/>
      <c r="V1131" s="552"/>
      <c r="W1131" s="552"/>
      <c r="X1131" s="552"/>
      <c r="Y1131" s="552"/>
      <c r="Z1131" s="552"/>
      <c r="AA1131" s="553"/>
      <c r="AB1131" s="553"/>
    </row>
    <row r="1132" spans="1:28" ht="12.75">
      <c r="A1132" s="547" t="s">
        <v>484</v>
      </c>
      <c r="B1132" s="547" t="s">
        <v>168</v>
      </c>
      <c r="C1132" s="548" t="s">
        <v>784</v>
      </c>
      <c r="D1132" s="549">
        <v>2015</v>
      </c>
      <c r="E1132" s="549" t="s">
        <v>775</v>
      </c>
      <c r="F1132" s="550">
        <v>108</v>
      </c>
      <c r="G1132" s="550">
        <v>0</v>
      </c>
      <c r="H1132" s="550">
        <v>0</v>
      </c>
      <c r="I1132" s="550">
        <v>0</v>
      </c>
      <c r="J1132" s="550">
        <v>75</v>
      </c>
      <c r="K1132" s="550">
        <v>0</v>
      </c>
      <c r="L1132" s="550">
        <v>0</v>
      </c>
      <c r="M1132" s="550">
        <v>0</v>
      </c>
      <c r="N1132" s="550">
        <v>78</v>
      </c>
      <c r="O1132" s="550">
        <v>0</v>
      </c>
      <c r="P1132" s="550">
        <v>199</v>
      </c>
      <c r="Q1132" s="550">
        <v>87</v>
      </c>
      <c r="R1132" s="574" t="s">
        <v>484</v>
      </c>
      <c r="S1132" s="552"/>
      <c r="T1132" s="552"/>
      <c r="U1132" s="552"/>
      <c r="V1132" s="552"/>
      <c r="W1132" s="552"/>
      <c r="X1132" s="552"/>
      <c r="Y1132" s="552"/>
      <c r="Z1132" s="552"/>
      <c r="AA1132" s="553"/>
      <c r="AB1132" s="553"/>
    </row>
    <row r="1133" spans="1:28" ht="12.75">
      <c r="A1133" s="547" t="s">
        <v>484</v>
      </c>
      <c r="B1133" s="547" t="s">
        <v>168</v>
      </c>
      <c r="C1133" s="548" t="s">
        <v>784</v>
      </c>
      <c r="D1133" s="549">
        <v>2016</v>
      </c>
      <c r="E1133" s="549" t="s">
        <v>775</v>
      </c>
      <c r="F1133" s="550">
        <v>108</v>
      </c>
      <c r="G1133" s="550">
        <v>0</v>
      </c>
      <c r="H1133" s="550">
        <v>0</v>
      </c>
      <c r="I1133" s="550">
        <v>0</v>
      </c>
      <c r="J1133" s="550">
        <v>75</v>
      </c>
      <c r="K1133" s="550">
        <v>0</v>
      </c>
      <c r="L1133" s="550">
        <v>0</v>
      </c>
      <c r="M1133" s="550">
        <v>0</v>
      </c>
      <c r="N1133" s="550">
        <v>78</v>
      </c>
      <c r="O1133" s="550">
        <v>0</v>
      </c>
      <c r="P1133" s="550">
        <v>199</v>
      </c>
      <c r="Q1133" s="550">
        <v>116</v>
      </c>
      <c r="R1133" s="574" t="s">
        <v>484</v>
      </c>
      <c r="S1133" s="552"/>
      <c r="T1133" s="552"/>
      <c r="U1133" s="552"/>
      <c r="V1133" s="552"/>
      <c r="W1133" s="552"/>
      <c r="X1133" s="552"/>
      <c r="Y1133" s="552"/>
      <c r="Z1133" s="552"/>
      <c r="AA1133" s="553"/>
      <c r="AB1133" s="553"/>
    </row>
    <row r="1134" spans="1:28" ht="12.75">
      <c r="A1134" s="547" t="s">
        <v>484</v>
      </c>
      <c r="B1134" s="547" t="s">
        <v>168</v>
      </c>
      <c r="C1134" s="548" t="s">
        <v>784</v>
      </c>
      <c r="D1134" s="549">
        <v>2017</v>
      </c>
      <c r="E1134" s="549" t="s">
        <v>775</v>
      </c>
      <c r="F1134" s="550">
        <v>108</v>
      </c>
      <c r="G1134" s="550">
        <v>0</v>
      </c>
      <c r="H1134" s="550">
        <v>0</v>
      </c>
      <c r="I1134" s="550">
        <v>0</v>
      </c>
      <c r="J1134" s="550">
        <v>75</v>
      </c>
      <c r="K1134" s="550">
        <v>0</v>
      </c>
      <c r="L1134" s="550">
        <v>0</v>
      </c>
      <c r="M1134" s="550">
        <v>0</v>
      </c>
      <c r="N1134" s="550">
        <v>78</v>
      </c>
      <c r="O1134" s="550">
        <v>0</v>
      </c>
      <c r="P1134" s="550">
        <v>199</v>
      </c>
      <c r="Q1134" s="550">
        <v>93</v>
      </c>
      <c r="R1134" s="574" t="s">
        <v>484</v>
      </c>
      <c r="S1134" s="552"/>
      <c r="T1134" s="552"/>
      <c r="U1134" s="552"/>
      <c r="V1134" s="552"/>
      <c r="W1134" s="552"/>
      <c r="X1134" s="552"/>
      <c r="Y1134" s="552"/>
      <c r="Z1134" s="552"/>
      <c r="AA1134" s="553"/>
      <c r="AB1134" s="553"/>
    </row>
    <row r="1135" spans="1:28" ht="12.75">
      <c r="A1135" s="547" t="s">
        <v>484</v>
      </c>
      <c r="B1135" s="547" t="s">
        <v>168</v>
      </c>
      <c r="C1135" s="548" t="s">
        <v>784</v>
      </c>
      <c r="D1135" s="549">
        <v>2018</v>
      </c>
      <c r="E1135" s="549" t="s">
        <v>775</v>
      </c>
      <c r="F1135" s="550">
        <v>108</v>
      </c>
      <c r="G1135" s="550">
        <v>0</v>
      </c>
      <c r="H1135" s="550">
        <v>0</v>
      </c>
      <c r="I1135" s="550">
        <v>0</v>
      </c>
      <c r="J1135" s="550">
        <v>75</v>
      </c>
      <c r="K1135" s="550">
        <v>33</v>
      </c>
      <c r="L1135" s="550">
        <v>6</v>
      </c>
      <c r="M1135" s="550">
        <v>27</v>
      </c>
      <c r="N1135" s="550">
        <v>78</v>
      </c>
      <c r="O1135" s="550">
        <v>96</v>
      </c>
      <c r="P1135" s="550">
        <v>199</v>
      </c>
      <c r="Q1135" s="550">
        <v>122</v>
      </c>
      <c r="R1135" s="574" t="s">
        <v>484</v>
      </c>
      <c r="S1135" s="552"/>
      <c r="T1135" s="552"/>
      <c r="U1135" s="552"/>
      <c r="V1135" s="552"/>
      <c r="W1135" s="552"/>
      <c r="X1135" s="552"/>
      <c r="Y1135" s="552"/>
      <c r="Z1135" s="552"/>
      <c r="AA1135" s="553"/>
      <c r="AB1135" s="553"/>
    </row>
    <row r="1136" spans="1:28" ht="12.75">
      <c r="A1136" s="547" t="s">
        <v>484</v>
      </c>
      <c r="B1136" s="547" t="s">
        <v>168</v>
      </c>
      <c r="C1136" s="548" t="s">
        <v>785</v>
      </c>
      <c r="D1136" s="549">
        <v>2019</v>
      </c>
      <c r="E1136" s="549" t="s">
        <v>775</v>
      </c>
      <c r="F1136" s="550">
        <v>108</v>
      </c>
      <c r="G1136" s="550">
        <v>64</v>
      </c>
      <c r="H1136" s="550">
        <v>64</v>
      </c>
      <c r="I1136" s="550">
        <v>0</v>
      </c>
      <c r="J1136" s="550">
        <v>75</v>
      </c>
      <c r="K1136" s="550">
        <v>16</v>
      </c>
      <c r="L1136" s="550">
        <v>15</v>
      </c>
      <c r="M1136" s="550">
        <v>1</v>
      </c>
      <c r="N1136" s="550">
        <v>78</v>
      </c>
      <c r="O1136" s="550">
        <v>0</v>
      </c>
      <c r="P1136" s="550">
        <v>199</v>
      </c>
      <c r="Q1136" s="550">
        <v>99</v>
      </c>
      <c r="R1136" s="574" t="s">
        <v>484</v>
      </c>
      <c r="S1136" s="556">
        <f>SUM(G1131:G1136) +SUM(K1131:K1136)</f>
        <v>113</v>
      </c>
      <c r="T1136" s="556">
        <f>F1136+J1136</f>
        <v>183</v>
      </c>
      <c r="U1136" s="556">
        <f>SUM(O1131:O1136)</f>
        <v>96</v>
      </c>
      <c r="V1136" s="556">
        <f>N1136</f>
        <v>78</v>
      </c>
      <c r="W1136" s="557">
        <f>SUM(Q1131:Q1136)</f>
        <v>612</v>
      </c>
      <c r="X1136" s="556">
        <f>P1136</f>
        <v>199</v>
      </c>
      <c r="Y1136" s="556">
        <f>S1136+U1136+SUM(Q1131:Q1136)</f>
        <v>821</v>
      </c>
      <c r="Z1136" s="556">
        <f>F1136+J1136+N1136+P1136</f>
        <v>460</v>
      </c>
      <c r="AA1136" s="553"/>
      <c r="AB1136" s="553"/>
    </row>
    <row r="1137" spans="1:28" ht="12.75">
      <c r="A1137" s="547"/>
      <c r="B1137" s="547"/>
      <c r="C1137" s="548"/>
      <c r="D1137" s="549"/>
      <c r="E1137" s="549"/>
      <c r="F1137" s="550"/>
      <c r="G1137" s="550"/>
      <c r="H1137" s="550"/>
      <c r="I1137" s="550"/>
      <c r="J1137" s="550"/>
      <c r="K1137" s="550"/>
      <c r="L1137" s="550"/>
      <c r="M1137" s="550"/>
      <c r="N1137" s="550"/>
      <c r="O1137" s="550"/>
      <c r="P1137" s="550"/>
      <c r="Q1137" s="550"/>
      <c r="R1137" s="574"/>
      <c r="S1137" s="563">
        <f t="shared" ref="S1137:Z1137" si="186">SUM(S1122:S1136)</f>
        <v>381</v>
      </c>
      <c r="T1137" s="563">
        <f t="shared" si="186"/>
        <v>726</v>
      </c>
      <c r="U1137" s="563">
        <f t="shared" si="186"/>
        <v>213</v>
      </c>
      <c r="V1137" s="563">
        <f t="shared" si="186"/>
        <v>344</v>
      </c>
      <c r="W1137" s="563">
        <f t="shared" si="186"/>
        <v>957</v>
      </c>
      <c r="X1137" s="563">
        <f t="shared" si="186"/>
        <v>769</v>
      </c>
      <c r="Y1137" s="563">
        <f t="shared" si="186"/>
        <v>1551</v>
      </c>
      <c r="Z1137" s="563">
        <f t="shared" si="186"/>
        <v>1839</v>
      </c>
      <c r="AA1137" s="553"/>
      <c r="AB1137" s="553"/>
    </row>
    <row r="1138" spans="1:28" ht="12.75">
      <c r="A1138" s="547" t="s">
        <v>485</v>
      </c>
      <c r="B1138" s="547" t="s">
        <v>169</v>
      </c>
      <c r="C1138" s="548" t="s">
        <v>812</v>
      </c>
      <c r="D1138" s="549">
        <v>2014</v>
      </c>
      <c r="E1138" s="549" t="s">
        <v>775</v>
      </c>
      <c r="F1138" s="550">
        <v>9</v>
      </c>
      <c r="G1138" s="550">
        <v>0</v>
      </c>
      <c r="H1138" s="550">
        <v>0</v>
      </c>
      <c r="I1138" s="550">
        <v>0</v>
      </c>
      <c r="J1138" s="550">
        <v>7</v>
      </c>
      <c r="K1138" s="550">
        <v>0</v>
      </c>
      <c r="L1138" s="550">
        <v>0</v>
      </c>
      <c r="M1138" s="550">
        <v>0</v>
      </c>
      <c r="N1138" s="550">
        <v>7</v>
      </c>
      <c r="O1138" s="550">
        <v>1</v>
      </c>
      <c r="P1138" s="550">
        <v>16</v>
      </c>
      <c r="Q1138" s="550">
        <v>0</v>
      </c>
      <c r="R1138" s="574" t="s">
        <v>485</v>
      </c>
      <c r="S1138" s="552"/>
      <c r="T1138" s="552"/>
      <c r="U1138" s="552"/>
      <c r="V1138" s="552"/>
      <c r="W1138" s="552"/>
      <c r="X1138" s="552"/>
      <c r="Y1138" s="552"/>
      <c r="Z1138" s="552"/>
      <c r="AA1138" s="553"/>
      <c r="AB1138" s="553"/>
    </row>
    <row r="1139" spans="1:28" ht="12.75">
      <c r="A1139" s="547" t="s">
        <v>485</v>
      </c>
      <c r="B1139" s="547" t="s">
        <v>169</v>
      </c>
      <c r="C1139" s="548" t="s">
        <v>812</v>
      </c>
      <c r="D1139" s="549">
        <v>2015</v>
      </c>
      <c r="E1139" s="549" t="s">
        <v>775</v>
      </c>
      <c r="F1139" s="550">
        <v>9</v>
      </c>
      <c r="G1139" s="550">
        <v>33</v>
      </c>
      <c r="H1139" s="550">
        <v>33</v>
      </c>
      <c r="I1139" s="550">
        <v>0</v>
      </c>
      <c r="J1139" s="550">
        <v>7</v>
      </c>
      <c r="K1139" s="550">
        <v>187</v>
      </c>
      <c r="L1139" s="550">
        <v>187</v>
      </c>
      <c r="M1139" s="550">
        <v>0</v>
      </c>
      <c r="N1139" s="550">
        <v>7</v>
      </c>
      <c r="O1139" s="550">
        <v>419</v>
      </c>
      <c r="P1139" s="550">
        <v>16</v>
      </c>
      <c r="Q1139" s="550">
        <v>0</v>
      </c>
      <c r="R1139" s="574" t="s">
        <v>485</v>
      </c>
      <c r="S1139" s="552"/>
      <c r="T1139" s="552"/>
      <c r="U1139" s="552"/>
      <c r="V1139" s="552"/>
      <c r="W1139" s="552"/>
      <c r="X1139" s="552"/>
      <c r="Y1139" s="552"/>
      <c r="Z1139" s="552"/>
      <c r="AA1139" s="553"/>
      <c r="AB1139" s="553"/>
    </row>
    <row r="1140" spans="1:28" ht="12.75">
      <c r="A1140" s="547" t="s">
        <v>485</v>
      </c>
      <c r="B1140" s="547" t="s">
        <v>169</v>
      </c>
      <c r="C1140" s="548" t="s">
        <v>812</v>
      </c>
      <c r="D1140" s="549">
        <v>2016</v>
      </c>
      <c r="E1140" s="549" t="s">
        <v>775</v>
      </c>
      <c r="F1140" s="550">
        <v>9</v>
      </c>
      <c r="G1140" s="550">
        <v>50</v>
      </c>
      <c r="H1140" s="550">
        <v>50</v>
      </c>
      <c r="I1140" s="550">
        <v>0</v>
      </c>
      <c r="J1140" s="550">
        <v>7</v>
      </c>
      <c r="K1140" s="550">
        <v>148</v>
      </c>
      <c r="L1140" s="550">
        <v>148</v>
      </c>
      <c r="M1140" s="550">
        <v>0</v>
      </c>
      <c r="N1140" s="550">
        <v>7</v>
      </c>
      <c r="O1140" s="550">
        <v>4</v>
      </c>
      <c r="P1140" s="550">
        <v>16</v>
      </c>
      <c r="Q1140" s="550">
        <v>0</v>
      </c>
      <c r="R1140" s="574" t="s">
        <v>485</v>
      </c>
      <c r="S1140" s="552"/>
      <c r="T1140" s="552"/>
      <c r="U1140" s="552"/>
      <c r="V1140" s="552"/>
      <c r="W1140" s="552"/>
      <c r="X1140" s="552"/>
      <c r="Y1140" s="552"/>
      <c r="Z1140" s="552"/>
      <c r="AA1140" s="553"/>
      <c r="AB1140" s="553"/>
    </row>
    <row r="1141" spans="1:28" ht="12.75">
      <c r="A1141" s="547" t="s">
        <v>485</v>
      </c>
      <c r="B1141" s="547" t="s">
        <v>169</v>
      </c>
      <c r="C1141" s="548" t="s">
        <v>812</v>
      </c>
      <c r="D1141" s="549">
        <v>2017</v>
      </c>
      <c r="E1141" s="549" t="s">
        <v>775</v>
      </c>
      <c r="F1141" s="550">
        <v>9</v>
      </c>
      <c r="G1141" s="550">
        <v>0</v>
      </c>
      <c r="H1141" s="550">
        <v>0</v>
      </c>
      <c r="I1141" s="550">
        <v>0</v>
      </c>
      <c r="J1141" s="550">
        <v>7</v>
      </c>
      <c r="K1141" s="550">
        <v>0</v>
      </c>
      <c r="L1141" s="550">
        <v>0</v>
      </c>
      <c r="M1141" s="550">
        <v>0</v>
      </c>
      <c r="N1141" s="550">
        <v>7</v>
      </c>
      <c r="O1141" s="550">
        <v>0</v>
      </c>
      <c r="P1141" s="550">
        <v>16</v>
      </c>
      <c r="Q1141" s="550">
        <v>0</v>
      </c>
      <c r="R1141" s="574" t="s">
        <v>485</v>
      </c>
      <c r="S1141" s="552"/>
      <c r="T1141" s="552"/>
      <c r="U1141" s="552"/>
      <c r="V1141" s="552"/>
      <c r="W1141" s="552"/>
      <c r="X1141" s="552"/>
      <c r="Y1141" s="552"/>
      <c r="Z1141" s="552"/>
      <c r="AA1141" s="553"/>
      <c r="AB1141" s="553"/>
    </row>
    <row r="1142" spans="1:28" ht="12.75">
      <c r="A1142" s="547" t="s">
        <v>485</v>
      </c>
      <c r="B1142" s="547" t="s">
        <v>169</v>
      </c>
      <c r="C1142" s="548" t="s">
        <v>812</v>
      </c>
      <c r="D1142" s="549">
        <v>2018</v>
      </c>
      <c r="E1142" s="549" t="s">
        <v>775</v>
      </c>
      <c r="F1142" s="550">
        <v>9</v>
      </c>
      <c r="G1142" s="564"/>
      <c r="H1142" s="564"/>
      <c r="I1142" s="564"/>
      <c r="J1142" s="550">
        <v>7</v>
      </c>
      <c r="K1142" s="564"/>
      <c r="L1142" s="564"/>
      <c r="M1142" s="564"/>
      <c r="N1142" s="550">
        <v>7</v>
      </c>
      <c r="O1142" s="564"/>
      <c r="P1142" s="550">
        <v>16</v>
      </c>
      <c r="Q1142" s="564"/>
      <c r="R1142" s="574" t="s">
        <v>485</v>
      </c>
      <c r="S1142" s="552"/>
      <c r="T1142" s="552"/>
      <c r="U1142" s="552"/>
      <c r="V1142" s="552"/>
      <c r="W1142" s="552"/>
      <c r="X1142" s="552"/>
      <c r="Y1142" s="552"/>
      <c r="Z1142" s="552"/>
      <c r="AA1142" s="553"/>
      <c r="AB1142" s="553"/>
    </row>
    <row r="1143" spans="1:28" ht="12.75">
      <c r="A1143" s="547" t="s">
        <v>485</v>
      </c>
      <c r="B1143" s="547" t="s">
        <v>169</v>
      </c>
      <c r="C1143" s="548" t="s">
        <v>813</v>
      </c>
      <c r="D1143" s="549">
        <v>2019</v>
      </c>
      <c r="E1143" s="549" t="s">
        <v>775</v>
      </c>
      <c r="F1143" s="550">
        <v>9</v>
      </c>
      <c r="G1143" s="550">
        <v>0</v>
      </c>
      <c r="H1143" s="550">
        <v>0</v>
      </c>
      <c r="I1143" s="550">
        <v>0</v>
      </c>
      <c r="J1143" s="550">
        <v>7</v>
      </c>
      <c r="K1143" s="550">
        <v>0</v>
      </c>
      <c r="L1143" s="550">
        <v>0</v>
      </c>
      <c r="M1143" s="550">
        <v>0</v>
      </c>
      <c r="N1143" s="550">
        <v>7</v>
      </c>
      <c r="O1143" s="550">
        <v>0</v>
      </c>
      <c r="P1143" s="550">
        <v>16</v>
      </c>
      <c r="Q1143" s="550">
        <v>0</v>
      </c>
      <c r="R1143" s="574" t="s">
        <v>485</v>
      </c>
      <c r="S1143" s="552">
        <f>SUM(G1138:G1143) +SUM(K1138:K1143)</f>
        <v>418</v>
      </c>
      <c r="T1143" s="552">
        <f>F1143+J1143</f>
        <v>16</v>
      </c>
      <c r="U1143" s="552">
        <f>SUM(O1138:O1143)</f>
        <v>424</v>
      </c>
      <c r="V1143" s="552">
        <f>N1143</f>
        <v>7</v>
      </c>
      <c r="W1143" s="554">
        <f>SUM(Q1138:Q1143)</f>
        <v>0</v>
      </c>
      <c r="X1143" s="552">
        <f>P1143</f>
        <v>16</v>
      </c>
      <c r="Y1143" s="552">
        <f>S1143+U1143+SUM(Q1138:Q1143)</f>
        <v>842</v>
      </c>
      <c r="Z1143" s="552">
        <f>F1143+J1143+N1143+P1143</f>
        <v>39</v>
      </c>
      <c r="AA1143" s="553"/>
      <c r="AB1143" s="553"/>
    </row>
    <row r="1144" spans="1:28" ht="12.75">
      <c r="A1144" s="547" t="s">
        <v>486</v>
      </c>
      <c r="B1144" s="547" t="s">
        <v>169</v>
      </c>
      <c r="C1144" s="548" t="s">
        <v>812</v>
      </c>
      <c r="D1144" s="549">
        <v>2014</v>
      </c>
      <c r="E1144" s="549" t="s">
        <v>775</v>
      </c>
      <c r="F1144" s="550">
        <v>1256</v>
      </c>
      <c r="G1144" s="550">
        <v>0</v>
      </c>
      <c r="H1144" s="550">
        <v>0</v>
      </c>
      <c r="I1144" s="550">
        <v>0</v>
      </c>
      <c r="J1144" s="550">
        <v>907</v>
      </c>
      <c r="K1144" s="550">
        <v>9</v>
      </c>
      <c r="L1144" s="550">
        <v>9</v>
      </c>
      <c r="M1144" s="550">
        <v>0</v>
      </c>
      <c r="N1144" s="550">
        <v>1038</v>
      </c>
      <c r="O1144" s="550">
        <v>21</v>
      </c>
      <c r="P1144" s="550">
        <v>2501</v>
      </c>
      <c r="Q1144" s="550">
        <v>1271</v>
      </c>
      <c r="R1144" s="574" t="s">
        <v>486</v>
      </c>
      <c r="S1144" s="552"/>
      <c r="T1144" s="552"/>
      <c r="U1144" s="552"/>
      <c r="V1144" s="552"/>
      <c r="W1144" s="552"/>
      <c r="X1144" s="552"/>
      <c r="Y1144" s="552"/>
      <c r="Z1144" s="552"/>
      <c r="AA1144" s="553"/>
      <c r="AB1144" s="553"/>
    </row>
    <row r="1145" spans="1:28" ht="12.75">
      <c r="A1145" s="547" t="s">
        <v>486</v>
      </c>
      <c r="B1145" s="547" t="s">
        <v>169</v>
      </c>
      <c r="C1145" s="548" t="s">
        <v>812</v>
      </c>
      <c r="D1145" s="549">
        <v>2015</v>
      </c>
      <c r="E1145" s="549" t="s">
        <v>775</v>
      </c>
      <c r="F1145" s="550">
        <v>1256</v>
      </c>
      <c r="G1145" s="550">
        <v>69</v>
      </c>
      <c r="H1145" s="550">
        <v>69</v>
      </c>
      <c r="I1145" s="550">
        <v>0</v>
      </c>
      <c r="J1145" s="550">
        <v>907</v>
      </c>
      <c r="K1145" s="550">
        <v>13</v>
      </c>
      <c r="L1145" s="550">
        <v>13</v>
      </c>
      <c r="M1145" s="550">
        <v>0</v>
      </c>
      <c r="N1145" s="550">
        <v>1038</v>
      </c>
      <c r="O1145" s="550">
        <v>23</v>
      </c>
      <c r="P1145" s="550">
        <v>2501</v>
      </c>
      <c r="Q1145" s="550">
        <v>1169</v>
      </c>
      <c r="R1145" s="574" t="s">
        <v>486</v>
      </c>
      <c r="S1145" s="552"/>
      <c r="T1145" s="552"/>
      <c r="U1145" s="552"/>
      <c r="V1145" s="552"/>
      <c r="W1145" s="552"/>
      <c r="X1145" s="552"/>
      <c r="Y1145" s="552"/>
      <c r="Z1145" s="552"/>
      <c r="AA1145" s="553"/>
      <c r="AB1145" s="553"/>
    </row>
    <row r="1146" spans="1:28" ht="12.75">
      <c r="A1146" s="547" t="s">
        <v>486</v>
      </c>
      <c r="B1146" s="547" t="s">
        <v>169</v>
      </c>
      <c r="C1146" s="548" t="s">
        <v>812</v>
      </c>
      <c r="D1146" s="549">
        <v>2016</v>
      </c>
      <c r="E1146" s="549" t="s">
        <v>775</v>
      </c>
      <c r="F1146" s="550">
        <v>1256</v>
      </c>
      <c r="G1146" s="550">
        <v>0</v>
      </c>
      <c r="H1146" s="550">
        <v>0</v>
      </c>
      <c r="I1146" s="550">
        <v>0</v>
      </c>
      <c r="J1146" s="550">
        <v>907</v>
      </c>
      <c r="K1146" s="550">
        <v>0</v>
      </c>
      <c r="L1146" s="550">
        <v>0</v>
      </c>
      <c r="M1146" s="550">
        <v>0</v>
      </c>
      <c r="N1146" s="550">
        <v>1038</v>
      </c>
      <c r="O1146" s="550">
        <v>0</v>
      </c>
      <c r="P1146" s="550">
        <v>2501</v>
      </c>
      <c r="Q1146" s="550">
        <v>1317</v>
      </c>
      <c r="R1146" s="574" t="s">
        <v>486</v>
      </c>
      <c r="S1146" s="552"/>
      <c r="T1146" s="552"/>
      <c r="U1146" s="552"/>
      <c r="V1146" s="552"/>
      <c r="W1146" s="552"/>
      <c r="X1146" s="552"/>
      <c r="Y1146" s="552"/>
      <c r="Z1146" s="552"/>
      <c r="AA1146" s="553"/>
      <c r="AB1146" s="553"/>
    </row>
    <row r="1147" spans="1:28" ht="12.75">
      <c r="A1147" s="547" t="s">
        <v>486</v>
      </c>
      <c r="B1147" s="547" t="s">
        <v>169</v>
      </c>
      <c r="C1147" s="548" t="s">
        <v>812</v>
      </c>
      <c r="D1147" s="549">
        <v>2017</v>
      </c>
      <c r="E1147" s="549" t="s">
        <v>775</v>
      </c>
      <c r="F1147" s="550">
        <v>1256</v>
      </c>
      <c r="G1147" s="550">
        <v>2</v>
      </c>
      <c r="H1147" s="550">
        <v>2</v>
      </c>
      <c r="I1147" s="550">
        <v>0</v>
      </c>
      <c r="J1147" s="550">
        <v>907</v>
      </c>
      <c r="K1147" s="550">
        <v>0</v>
      </c>
      <c r="L1147" s="550">
        <v>0</v>
      </c>
      <c r="M1147" s="550">
        <v>0</v>
      </c>
      <c r="N1147" s="550">
        <v>1038</v>
      </c>
      <c r="O1147" s="550">
        <v>0</v>
      </c>
      <c r="P1147" s="550">
        <v>2501</v>
      </c>
      <c r="Q1147" s="550">
        <v>1533</v>
      </c>
      <c r="R1147" s="574" t="s">
        <v>486</v>
      </c>
      <c r="S1147" s="552"/>
      <c r="T1147" s="552"/>
      <c r="U1147" s="552"/>
      <c r="V1147" s="552"/>
      <c r="W1147" s="552"/>
      <c r="X1147" s="552"/>
      <c r="Y1147" s="552"/>
      <c r="Z1147" s="552"/>
      <c r="AA1147" s="553"/>
      <c r="AB1147" s="553"/>
    </row>
    <row r="1148" spans="1:28" ht="12.75">
      <c r="A1148" s="547" t="s">
        <v>486</v>
      </c>
      <c r="B1148" s="547" t="s">
        <v>169</v>
      </c>
      <c r="C1148" s="548" t="s">
        <v>812</v>
      </c>
      <c r="D1148" s="549">
        <v>2018</v>
      </c>
      <c r="E1148" s="549" t="s">
        <v>775</v>
      </c>
      <c r="F1148" s="550">
        <v>1256</v>
      </c>
      <c r="G1148" s="550">
        <v>0</v>
      </c>
      <c r="H1148" s="550">
        <v>0</v>
      </c>
      <c r="I1148" s="550">
        <v>0</v>
      </c>
      <c r="J1148" s="550">
        <v>907</v>
      </c>
      <c r="K1148" s="550">
        <v>0</v>
      </c>
      <c r="L1148" s="550">
        <v>0</v>
      </c>
      <c r="M1148" s="550">
        <v>0</v>
      </c>
      <c r="N1148" s="550">
        <v>1038</v>
      </c>
      <c r="O1148" s="550">
        <v>5</v>
      </c>
      <c r="P1148" s="550">
        <v>2501</v>
      </c>
      <c r="Q1148" s="550">
        <v>944</v>
      </c>
      <c r="R1148" s="574" t="s">
        <v>486</v>
      </c>
      <c r="S1148" s="552"/>
      <c r="T1148" s="552"/>
      <c r="U1148" s="552"/>
      <c r="V1148" s="552"/>
      <c r="W1148" s="552"/>
      <c r="X1148" s="552"/>
      <c r="Y1148" s="552"/>
      <c r="Z1148" s="552"/>
      <c r="AA1148" s="553"/>
      <c r="AB1148" s="553"/>
    </row>
    <row r="1149" spans="1:28" ht="12.75">
      <c r="A1149" s="547" t="s">
        <v>486</v>
      </c>
      <c r="B1149" s="547" t="s">
        <v>169</v>
      </c>
      <c r="C1149" s="548" t="s">
        <v>813</v>
      </c>
      <c r="D1149" s="549">
        <v>2019</v>
      </c>
      <c r="E1149" s="549" t="s">
        <v>775</v>
      </c>
      <c r="F1149" s="550">
        <v>1256</v>
      </c>
      <c r="G1149" s="550">
        <v>43</v>
      </c>
      <c r="H1149" s="550">
        <v>43</v>
      </c>
      <c r="I1149" s="550">
        <v>0</v>
      </c>
      <c r="J1149" s="550">
        <v>907</v>
      </c>
      <c r="K1149" s="550">
        <v>10</v>
      </c>
      <c r="L1149" s="550">
        <v>10</v>
      </c>
      <c r="M1149" s="550">
        <v>0</v>
      </c>
      <c r="N1149" s="550">
        <v>1038</v>
      </c>
      <c r="O1149" s="550">
        <v>0</v>
      </c>
      <c r="P1149" s="550">
        <v>2501</v>
      </c>
      <c r="Q1149" s="550">
        <v>948</v>
      </c>
      <c r="R1149" s="574" t="s">
        <v>486</v>
      </c>
      <c r="S1149" s="552">
        <f>SUM(G1144:G1149) +SUM(K1144:K1149)</f>
        <v>146</v>
      </c>
      <c r="T1149" s="552">
        <f>F1149+J1149</f>
        <v>2163</v>
      </c>
      <c r="U1149" s="552">
        <f>SUM(O1144:O1149)</f>
        <v>49</v>
      </c>
      <c r="V1149" s="552">
        <f>N1149</f>
        <v>1038</v>
      </c>
      <c r="W1149" s="554">
        <f>SUM(Q1144:Q1149)</f>
        <v>7182</v>
      </c>
      <c r="X1149" s="552">
        <f>P1149</f>
        <v>2501</v>
      </c>
      <c r="Y1149" s="552">
        <f>S1149+U1149+SUM(Q1144:Q1149)</f>
        <v>7377</v>
      </c>
      <c r="Z1149" s="552">
        <f>F1149+J1149+N1149+P1149</f>
        <v>5702</v>
      </c>
      <c r="AA1149" s="553"/>
      <c r="AB1149" s="553"/>
    </row>
    <row r="1150" spans="1:28" ht="12.75">
      <c r="A1150" s="547" t="s">
        <v>487</v>
      </c>
      <c r="B1150" s="547" t="s">
        <v>169</v>
      </c>
      <c r="C1150" s="548" t="s">
        <v>812</v>
      </c>
      <c r="D1150" s="549">
        <v>2014</v>
      </c>
      <c r="E1150" s="549" t="s">
        <v>775</v>
      </c>
      <c r="F1150" s="550">
        <v>426</v>
      </c>
      <c r="G1150" s="550">
        <v>0</v>
      </c>
      <c r="H1150" s="550">
        <v>0</v>
      </c>
      <c r="I1150" s="550">
        <v>0</v>
      </c>
      <c r="J1150" s="550">
        <v>305</v>
      </c>
      <c r="K1150" s="550">
        <v>0</v>
      </c>
      <c r="L1150" s="550">
        <v>0</v>
      </c>
      <c r="M1150" s="550">
        <v>0</v>
      </c>
      <c r="N1150" s="550">
        <v>335</v>
      </c>
      <c r="O1150" s="550">
        <v>0</v>
      </c>
      <c r="P1150" s="550">
        <v>785</v>
      </c>
      <c r="Q1150" s="550">
        <v>321</v>
      </c>
      <c r="R1150" s="574" t="s">
        <v>487</v>
      </c>
      <c r="S1150" s="552"/>
      <c r="T1150" s="552"/>
      <c r="U1150" s="552"/>
      <c r="V1150" s="552"/>
      <c r="W1150" s="552"/>
      <c r="X1150" s="552"/>
      <c r="Y1150" s="552"/>
      <c r="Z1150" s="552"/>
      <c r="AA1150" s="553"/>
      <c r="AB1150" s="553"/>
    </row>
    <row r="1151" spans="1:28" ht="12.75">
      <c r="A1151" s="547" t="s">
        <v>487</v>
      </c>
      <c r="B1151" s="547" t="s">
        <v>169</v>
      </c>
      <c r="C1151" s="548" t="s">
        <v>812</v>
      </c>
      <c r="D1151" s="549">
        <v>2015</v>
      </c>
      <c r="E1151" s="549" t="s">
        <v>775</v>
      </c>
      <c r="F1151" s="550">
        <v>426</v>
      </c>
      <c r="G1151" s="550">
        <v>0</v>
      </c>
      <c r="H1151" s="550">
        <v>0</v>
      </c>
      <c r="I1151" s="550">
        <v>0</v>
      </c>
      <c r="J1151" s="550">
        <v>305</v>
      </c>
      <c r="K1151" s="550">
        <v>0</v>
      </c>
      <c r="L1151" s="550">
        <v>0</v>
      </c>
      <c r="M1151" s="550">
        <v>0</v>
      </c>
      <c r="N1151" s="550">
        <v>335</v>
      </c>
      <c r="O1151" s="550">
        <v>0</v>
      </c>
      <c r="P1151" s="550">
        <v>785</v>
      </c>
      <c r="Q1151" s="550">
        <v>461</v>
      </c>
      <c r="R1151" s="574" t="s">
        <v>487</v>
      </c>
      <c r="S1151" s="552"/>
      <c r="T1151" s="552"/>
      <c r="U1151" s="552"/>
      <c r="V1151" s="552"/>
      <c r="W1151" s="552"/>
      <c r="X1151" s="552"/>
      <c r="Y1151" s="552"/>
      <c r="Z1151" s="552"/>
      <c r="AA1151" s="553"/>
      <c r="AB1151" s="553"/>
    </row>
    <row r="1152" spans="1:28" ht="12.75">
      <c r="A1152" s="547" t="s">
        <v>487</v>
      </c>
      <c r="B1152" s="547" t="s">
        <v>169</v>
      </c>
      <c r="C1152" s="548" t="s">
        <v>812</v>
      </c>
      <c r="D1152" s="549">
        <v>2016</v>
      </c>
      <c r="E1152" s="549" t="s">
        <v>775</v>
      </c>
      <c r="F1152" s="550">
        <v>426</v>
      </c>
      <c r="G1152" s="550">
        <v>0</v>
      </c>
      <c r="H1152" s="550">
        <v>0</v>
      </c>
      <c r="I1152" s="550">
        <v>0</v>
      </c>
      <c r="J1152" s="550">
        <v>305</v>
      </c>
      <c r="K1152" s="550">
        <v>0</v>
      </c>
      <c r="L1152" s="550">
        <v>0</v>
      </c>
      <c r="M1152" s="550">
        <v>0</v>
      </c>
      <c r="N1152" s="550">
        <v>335</v>
      </c>
      <c r="O1152" s="550">
        <v>0</v>
      </c>
      <c r="P1152" s="550">
        <v>785</v>
      </c>
      <c r="Q1152" s="550">
        <v>194</v>
      </c>
      <c r="R1152" s="574" t="s">
        <v>487</v>
      </c>
      <c r="S1152" s="552"/>
      <c r="T1152" s="552"/>
      <c r="U1152" s="552"/>
      <c r="V1152" s="552"/>
      <c r="W1152" s="552"/>
      <c r="X1152" s="552"/>
      <c r="Y1152" s="552"/>
      <c r="Z1152" s="552"/>
      <c r="AA1152" s="553"/>
      <c r="AB1152" s="553"/>
    </row>
    <row r="1153" spans="1:28" ht="12.75">
      <c r="A1153" s="547" t="s">
        <v>487</v>
      </c>
      <c r="B1153" s="547" t="s">
        <v>169</v>
      </c>
      <c r="C1153" s="548" t="s">
        <v>812</v>
      </c>
      <c r="D1153" s="549">
        <v>2017</v>
      </c>
      <c r="E1153" s="549" t="s">
        <v>775</v>
      </c>
      <c r="F1153" s="550">
        <v>426</v>
      </c>
      <c r="G1153" s="550">
        <v>0</v>
      </c>
      <c r="H1153" s="550">
        <v>0</v>
      </c>
      <c r="I1153" s="550">
        <v>0</v>
      </c>
      <c r="J1153" s="550">
        <v>305</v>
      </c>
      <c r="K1153" s="550">
        <v>0</v>
      </c>
      <c r="L1153" s="550">
        <v>0</v>
      </c>
      <c r="M1153" s="550">
        <v>0</v>
      </c>
      <c r="N1153" s="550">
        <v>335</v>
      </c>
      <c r="O1153" s="550">
        <v>21</v>
      </c>
      <c r="P1153" s="550">
        <v>785</v>
      </c>
      <c r="Q1153" s="550">
        <v>435</v>
      </c>
      <c r="R1153" s="574" t="s">
        <v>487</v>
      </c>
      <c r="S1153" s="552"/>
      <c r="T1153" s="552"/>
      <c r="U1153" s="552"/>
      <c r="V1153" s="552"/>
      <c r="W1153" s="552"/>
      <c r="X1153" s="552"/>
      <c r="Y1153" s="552"/>
      <c r="Z1153" s="552"/>
      <c r="AA1153" s="553"/>
      <c r="AB1153" s="553"/>
    </row>
    <row r="1154" spans="1:28" ht="12.75">
      <c r="A1154" s="547" t="s">
        <v>487</v>
      </c>
      <c r="B1154" s="547" t="s">
        <v>169</v>
      </c>
      <c r="C1154" s="548" t="s">
        <v>812</v>
      </c>
      <c r="D1154" s="549">
        <v>2018</v>
      </c>
      <c r="E1154" s="549" t="s">
        <v>775</v>
      </c>
      <c r="F1154" s="550">
        <v>426</v>
      </c>
      <c r="G1154" s="550">
        <v>0</v>
      </c>
      <c r="H1154" s="550">
        <v>0</v>
      </c>
      <c r="I1154" s="550">
        <v>0</v>
      </c>
      <c r="J1154" s="550">
        <v>305</v>
      </c>
      <c r="K1154" s="550">
        <v>0</v>
      </c>
      <c r="L1154" s="550">
        <v>0</v>
      </c>
      <c r="M1154" s="550">
        <v>0</v>
      </c>
      <c r="N1154" s="550">
        <v>335</v>
      </c>
      <c r="O1154" s="550">
        <v>0</v>
      </c>
      <c r="P1154" s="550">
        <v>785</v>
      </c>
      <c r="Q1154" s="550">
        <v>7</v>
      </c>
      <c r="R1154" s="574" t="s">
        <v>487</v>
      </c>
      <c r="S1154" s="552"/>
      <c r="T1154" s="552"/>
      <c r="U1154" s="552"/>
      <c r="V1154" s="552"/>
      <c r="W1154" s="552"/>
      <c r="X1154" s="552"/>
      <c r="Y1154" s="552"/>
      <c r="Z1154" s="552"/>
      <c r="AA1154" s="553"/>
      <c r="AB1154" s="553"/>
    </row>
    <row r="1155" spans="1:28" ht="12.75">
      <c r="A1155" s="547" t="s">
        <v>487</v>
      </c>
      <c r="B1155" s="547" t="s">
        <v>169</v>
      </c>
      <c r="C1155" s="548" t="s">
        <v>813</v>
      </c>
      <c r="D1155" s="549">
        <v>2019</v>
      </c>
      <c r="E1155" s="549" t="s">
        <v>775</v>
      </c>
      <c r="F1155" s="550">
        <v>426</v>
      </c>
      <c r="G1155" s="550">
        <v>0</v>
      </c>
      <c r="H1155" s="550">
        <v>0</v>
      </c>
      <c r="I1155" s="550">
        <v>0</v>
      </c>
      <c r="J1155" s="550">
        <v>305</v>
      </c>
      <c r="K1155" s="550">
        <v>0</v>
      </c>
      <c r="L1155" s="550">
        <v>0</v>
      </c>
      <c r="M1155" s="550">
        <v>0</v>
      </c>
      <c r="N1155" s="550">
        <v>335</v>
      </c>
      <c r="O1155" s="550">
        <v>20</v>
      </c>
      <c r="P1155" s="550">
        <v>785</v>
      </c>
      <c r="Q1155" s="550">
        <v>695</v>
      </c>
      <c r="R1155" s="574" t="s">
        <v>487</v>
      </c>
      <c r="S1155" s="552">
        <f>SUM(G1150:G1155) +SUM(K1150:K1155)</f>
        <v>0</v>
      </c>
      <c r="T1155" s="552">
        <f>F1155+J1155</f>
        <v>731</v>
      </c>
      <c r="U1155" s="552">
        <f>SUM(O1150:O1155)</f>
        <v>41</v>
      </c>
      <c r="V1155" s="552">
        <f>N1155</f>
        <v>335</v>
      </c>
      <c r="W1155" s="554">
        <f>SUM(Q1150:Q1155)</f>
        <v>2113</v>
      </c>
      <c r="X1155" s="552">
        <f>P1155</f>
        <v>785</v>
      </c>
      <c r="Y1155" s="552">
        <f>S1155+U1155+SUM(Q1150:Q1155)</f>
        <v>2154</v>
      </c>
      <c r="Z1155" s="552">
        <f>F1155+J1155+N1155+P1155</f>
        <v>1851</v>
      </c>
      <c r="AA1155" s="553"/>
      <c r="AB1155" s="553"/>
    </row>
    <row r="1156" spans="1:28" ht="12.75">
      <c r="A1156" s="547" t="s">
        <v>488</v>
      </c>
      <c r="B1156" s="547" t="s">
        <v>169</v>
      </c>
      <c r="C1156" s="548" t="s">
        <v>812</v>
      </c>
      <c r="D1156" s="549">
        <v>2014</v>
      </c>
      <c r="E1156" s="549" t="s">
        <v>775</v>
      </c>
      <c r="F1156" s="550">
        <v>76</v>
      </c>
      <c r="G1156" s="550">
        <v>21</v>
      </c>
      <c r="H1156" s="550">
        <v>21</v>
      </c>
      <c r="I1156" s="550">
        <v>0</v>
      </c>
      <c r="J1156" s="550">
        <v>53</v>
      </c>
      <c r="K1156" s="550">
        <v>49</v>
      </c>
      <c r="L1156" s="550">
        <v>49</v>
      </c>
      <c r="M1156" s="550">
        <v>0</v>
      </c>
      <c r="N1156" s="550">
        <v>62</v>
      </c>
      <c r="O1156" s="550">
        <v>0</v>
      </c>
      <c r="P1156" s="550">
        <v>148</v>
      </c>
      <c r="Q1156" s="550">
        <v>0</v>
      </c>
      <c r="R1156" s="574" t="s">
        <v>488</v>
      </c>
      <c r="S1156" s="552"/>
      <c r="T1156" s="552"/>
      <c r="U1156" s="552"/>
      <c r="V1156" s="552"/>
      <c r="W1156" s="552"/>
      <c r="X1156" s="552"/>
      <c r="Y1156" s="552"/>
      <c r="Z1156" s="552"/>
      <c r="AA1156" s="553"/>
      <c r="AB1156" s="553"/>
    </row>
    <row r="1157" spans="1:28" ht="12.75">
      <c r="A1157" s="547" t="s">
        <v>488</v>
      </c>
      <c r="B1157" s="547" t="s">
        <v>169</v>
      </c>
      <c r="C1157" s="548" t="s">
        <v>812</v>
      </c>
      <c r="D1157" s="549">
        <v>2015</v>
      </c>
      <c r="E1157" s="549" t="s">
        <v>775</v>
      </c>
      <c r="F1157" s="550">
        <v>76</v>
      </c>
      <c r="G1157" s="550">
        <v>0</v>
      </c>
      <c r="H1157" s="550">
        <v>0</v>
      </c>
      <c r="I1157" s="550">
        <v>0</v>
      </c>
      <c r="J1157" s="550">
        <v>53</v>
      </c>
      <c r="K1157" s="550">
        <v>0</v>
      </c>
      <c r="L1157" s="550">
        <v>0</v>
      </c>
      <c r="M1157" s="550">
        <v>0</v>
      </c>
      <c r="N1157" s="550">
        <v>62</v>
      </c>
      <c r="O1157" s="550">
        <v>72</v>
      </c>
      <c r="P1157" s="550">
        <v>148</v>
      </c>
      <c r="Q1157" s="550">
        <v>65</v>
      </c>
      <c r="R1157" s="574" t="s">
        <v>488</v>
      </c>
      <c r="S1157" s="552"/>
      <c r="T1157" s="552"/>
      <c r="U1157" s="552"/>
      <c r="V1157" s="552"/>
      <c r="W1157" s="552"/>
      <c r="X1157" s="552"/>
      <c r="Y1157" s="552"/>
      <c r="Z1157" s="552"/>
      <c r="AA1157" s="553"/>
      <c r="AB1157" s="553"/>
    </row>
    <row r="1158" spans="1:28" ht="12.75">
      <c r="A1158" s="547" t="s">
        <v>488</v>
      </c>
      <c r="B1158" s="547" t="s">
        <v>169</v>
      </c>
      <c r="C1158" s="548" t="s">
        <v>812</v>
      </c>
      <c r="D1158" s="549">
        <v>2016</v>
      </c>
      <c r="E1158" s="549" t="s">
        <v>775</v>
      </c>
      <c r="F1158" s="550">
        <v>76</v>
      </c>
      <c r="G1158" s="550">
        <v>0</v>
      </c>
      <c r="H1158" s="550">
        <v>0</v>
      </c>
      <c r="I1158" s="550">
        <v>0</v>
      </c>
      <c r="J1158" s="550">
        <v>53</v>
      </c>
      <c r="K1158" s="550">
        <v>0</v>
      </c>
      <c r="L1158" s="550">
        <v>0</v>
      </c>
      <c r="M1158" s="550">
        <v>0</v>
      </c>
      <c r="N1158" s="550">
        <v>62</v>
      </c>
      <c r="O1158" s="550">
        <v>26</v>
      </c>
      <c r="P1158" s="550">
        <v>148</v>
      </c>
      <c r="Q1158" s="550">
        <v>116</v>
      </c>
      <c r="R1158" s="574" t="s">
        <v>488</v>
      </c>
      <c r="S1158" s="552"/>
      <c r="T1158" s="552"/>
      <c r="U1158" s="552"/>
      <c r="V1158" s="552"/>
      <c r="W1158" s="552"/>
      <c r="X1158" s="552"/>
      <c r="Y1158" s="552"/>
      <c r="Z1158" s="552"/>
      <c r="AA1158" s="553"/>
      <c r="AB1158" s="553"/>
    </row>
    <row r="1159" spans="1:28" ht="12.75">
      <c r="A1159" s="547" t="s">
        <v>488</v>
      </c>
      <c r="B1159" s="547" t="s">
        <v>169</v>
      </c>
      <c r="C1159" s="548" t="s">
        <v>812</v>
      </c>
      <c r="D1159" s="549">
        <v>2017</v>
      </c>
      <c r="E1159" s="549" t="s">
        <v>775</v>
      </c>
      <c r="F1159" s="550">
        <v>76</v>
      </c>
      <c r="G1159" s="550">
        <v>0</v>
      </c>
      <c r="H1159" s="550">
        <v>0</v>
      </c>
      <c r="I1159" s="550">
        <v>0</v>
      </c>
      <c r="J1159" s="550">
        <v>53</v>
      </c>
      <c r="K1159" s="550">
        <v>0</v>
      </c>
      <c r="L1159" s="550">
        <v>0</v>
      </c>
      <c r="M1159" s="550">
        <v>0</v>
      </c>
      <c r="N1159" s="550">
        <v>62</v>
      </c>
      <c r="O1159" s="550">
        <v>83</v>
      </c>
      <c r="P1159" s="550">
        <v>148</v>
      </c>
      <c r="Q1159" s="550">
        <v>0</v>
      </c>
      <c r="R1159" s="574" t="s">
        <v>488</v>
      </c>
      <c r="S1159" s="552"/>
      <c r="T1159" s="552"/>
      <c r="U1159" s="552"/>
      <c r="V1159" s="552"/>
      <c r="W1159" s="552"/>
      <c r="X1159" s="552"/>
      <c r="Y1159" s="552"/>
      <c r="Z1159" s="552"/>
      <c r="AA1159" s="553"/>
      <c r="AB1159" s="553"/>
    </row>
    <row r="1160" spans="1:28" ht="12.75">
      <c r="A1160" s="547" t="s">
        <v>488</v>
      </c>
      <c r="B1160" s="547" t="s">
        <v>169</v>
      </c>
      <c r="C1160" s="548" t="s">
        <v>812</v>
      </c>
      <c r="D1160" s="549">
        <v>2018</v>
      </c>
      <c r="E1160" s="549" t="s">
        <v>775</v>
      </c>
      <c r="F1160" s="550">
        <v>76</v>
      </c>
      <c r="G1160" s="550">
        <v>0</v>
      </c>
      <c r="H1160" s="550">
        <v>0</v>
      </c>
      <c r="I1160" s="550">
        <v>0</v>
      </c>
      <c r="J1160" s="550">
        <v>53</v>
      </c>
      <c r="K1160" s="550">
        <v>0</v>
      </c>
      <c r="L1160" s="550">
        <v>0</v>
      </c>
      <c r="M1160" s="550">
        <v>0</v>
      </c>
      <c r="N1160" s="550">
        <v>62</v>
      </c>
      <c r="O1160" s="550">
        <v>0</v>
      </c>
      <c r="P1160" s="550">
        <v>148</v>
      </c>
      <c r="Q1160" s="550">
        <v>7</v>
      </c>
      <c r="R1160" s="574" t="s">
        <v>488</v>
      </c>
      <c r="S1160" s="552"/>
      <c r="T1160" s="552"/>
      <c r="U1160" s="552"/>
      <c r="V1160" s="552"/>
      <c r="W1160" s="552"/>
      <c r="X1160" s="552"/>
      <c r="Y1160" s="552"/>
      <c r="Z1160" s="552"/>
      <c r="AA1160" s="553"/>
      <c r="AB1160" s="553"/>
    </row>
    <row r="1161" spans="1:28" ht="12.75">
      <c r="A1161" s="547" t="s">
        <v>488</v>
      </c>
      <c r="B1161" s="547" t="s">
        <v>169</v>
      </c>
      <c r="C1161" s="548" t="s">
        <v>813</v>
      </c>
      <c r="D1161" s="549">
        <v>2019</v>
      </c>
      <c r="E1161" s="549" t="s">
        <v>775</v>
      </c>
      <c r="F1161" s="550">
        <v>76</v>
      </c>
      <c r="G1161" s="550">
        <v>0</v>
      </c>
      <c r="H1161" s="550">
        <v>0</v>
      </c>
      <c r="I1161" s="550">
        <v>0</v>
      </c>
      <c r="J1161" s="550">
        <v>53</v>
      </c>
      <c r="K1161" s="550">
        <v>0</v>
      </c>
      <c r="L1161" s="550">
        <v>0</v>
      </c>
      <c r="M1161" s="550">
        <v>0</v>
      </c>
      <c r="N1161" s="550">
        <v>62</v>
      </c>
      <c r="O1161" s="550">
        <v>0</v>
      </c>
      <c r="P1161" s="550">
        <v>148</v>
      </c>
      <c r="Q1161" s="550">
        <v>1</v>
      </c>
      <c r="R1161" s="574" t="s">
        <v>488</v>
      </c>
      <c r="S1161" s="552">
        <f>SUM(G1156:G1161) +SUM(K1156:K1161)</f>
        <v>70</v>
      </c>
      <c r="T1161" s="552">
        <f>F1161+J1161</f>
        <v>129</v>
      </c>
      <c r="U1161" s="552">
        <f>SUM(O1156:O1161)</f>
        <v>181</v>
      </c>
      <c r="V1161" s="552">
        <f>N1161</f>
        <v>62</v>
      </c>
      <c r="W1161" s="554">
        <f>SUM(Q1156:Q1161)</f>
        <v>189</v>
      </c>
      <c r="X1161" s="552">
        <f>P1161</f>
        <v>148</v>
      </c>
      <c r="Y1161" s="552">
        <f>S1161+U1161+SUM(Q1156:Q1161)</f>
        <v>440</v>
      </c>
      <c r="Z1161" s="552">
        <f>F1161+J1161+N1161+P1161</f>
        <v>339</v>
      </c>
      <c r="AA1161" s="553"/>
      <c r="AB1161" s="553"/>
    </row>
    <row r="1162" spans="1:28" ht="12.75">
      <c r="A1162" s="547" t="s">
        <v>489</v>
      </c>
      <c r="B1162" s="547" t="s">
        <v>169</v>
      </c>
      <c r="C1162" s="548" t="s">
        <v>812</v>
      </c>
      <c r="D1162" s="549">
        <v>2014</v>
      </c>
      <c r="E1162" s="549" t="s">
        <v>775</v>
      </c>
      <c r="F1162" s="550">
        <v>1</v>
      </c>
      <c r="G1162" s="550">
        <v>0</v>
      </c>
      <c r="H1162" s="550">
        <v>0</v>
      </c>
      <c r="I1162" s="550">
        <v>0</v>
      </c>
      <c r="J1162" s="550">
        <v>1</v>
      </c>
      <c r="K1162" s="550">
        <v>0</v>
      </c>
      <c r="L1162" s="550">
        <v>0</v>
      </c>
      <c r="M1162" s="550">
        <v>0</v>
      </c>
      <c r="N1162" s="550">
        <v>0</v>
      </c>
      <c r="O1162" s="550">
        <v>50</v>
      </c>
      <c r="P1162" s="550">
        <v>0</v>
      </c>
      <c r="Q1162" s="550">
        <v>50</v>
      </c>
      <c r="R1162" s="574" t="s">
        <v>489</v>
      </c>
      <c r="S1162" s="552"/>
      <c r="T1162" s="552"/>
      <c r="U1162" s="552"/>
      <c r="V1162" s="552"/>
      <c r="W1162" s="552"/>
      <c r="X1162" s="552"/>
      <c r="Y1162" s="552"/>
      <c r="Z1162" s="552"/>
      <c r="AA1162" s="553"/>
      <c r="AB1162" s="553"/>
    </row>
    <row r="1163" spans="1:28" ht="12.75">
      <c r="A1163" s="547" t="s">
        <v>489</v>
      </c>
      <c r="B1163" s="547" t="s">
        <v>169</v>
      </c>
      <c r="C1163" s="548" t="s">
        <v>812</v>
      </c>
      <c r="D1163" s="549">
        <v>2015</v>
      </c>
      <c r="E1163" s="549" t="s">
        <v>775</v>
      </c>
      <c r="F1163" s="550">
        <v>1</v>
      </c>
      <c r="G1163" s="550">
        <v>0</v>
      </c>
      <c r="H1163" s="550">
        <v>0</v>
      </c>
      <c r="I1163" s="550">
        <v>0</v>
      </c>
      <c r="J1163" s="550">
        <v>1</v>
      </c>
      <c r="K1163" s="550">
        <v>0</v>
      </c>
      <c r="L1163" s="550">
        <v>0</v>
      </c>
      <c r="M1163" s="550">
        <v>0</v>
      </c>
      <c r="N1163" s="550">
        <v>0</v>
      </c>
      <c r="O1163" s="550">
        <v>0</v>
      </c>
      <c r="P1163" s="550">
        <v>0</v>
      </c>
      <c r="Q1163" s="550">
        <v>93</v>
      </c>
      <c r="R1163" s="574" t="s">
        <v>489</v>
      </c>
      <c r="S1163" s="552"/>
      <c r="T1163" s="552"/>
      <c r="U1163" s="552"/>
      <c r="V1163" s="552"/>
      <c r="W1163" s="552"/>
      <c r="X1163" s="552"/>
      <c r="Y1163" s="552"/>
      <c r="Z1163" s="552"/>
      <c r="AA1163" s="553"/>
      <c r="AB1163" s="553"/>
    </row>
    <row r="1164" spans="1:28" ht="12.75">
      <c r="A1164" s="547" t="s">
        <v>489</v>
      </c>
      <c r="B1164" s="547" t="s">
        <v>169</v>
      </c>
      <c r="C1164" s="548" t="s">
        <v>812</v>
      </c>
      <c r="D1164" s="549">
        <v>2016</v>
      </c>
      <c r="E1164" s="549" t="s">
        <v>775</v>
      </c>
      <c r="F1164" s="550">
        <v>1</v>
      </c>
      <c r="G1164" s="550">
        <v>0</v>
      </c>
      <c r="H1164" s="550">
        <v>0</v>
      </c>
      <c r="I1164" s="550">
        <v>0</v>
      </c>
      <c r="J1164" s="550">
        <v>1</v>
      </c>
      <c r="K1164" s="550">
        <v>0</v>
      </c>
      <c r="L1164" s="550">
        <v>0</v>
      </c>
      <c r="M1164" s="550">
        <v>0</v>
      </c>
      <c r="N1164" s="550">
        <v>0</v>
      </c>
      <c r="O1164" s="550">
        <v>0</v>
      </c>
      <c r="P1164" s="550">
        <v>0</v>
      </c>
      <c r="Q1164" s="550">
        <v>115</v>
      </c>
      <c r="R1164" s="574" t="s">
        <v>489</v>
      </c>
      <c r="S1164" s="552"/>
      <c r="T1164" s="552"/>
      <c r="U1164" s="552"/>
      <c r="V1164" s="552"/>
      <c r="W1164" s="552"/>
      <c r="X1164" s="552"/>
      <c r="Y1164" s="552"/>
      <c r="Z1164" s="552"/>
      <c r="AA1164" s="553"/>
      <c r="AB1164" s="553"/>
    </row>
    <row r="1165" spans="1:28" ht="12.75">
      <c r="A1165" s="547" t="s">
        <v>489</v>
      </c>
      <c r="B1165" s="547" t="s">
        <v>169</v>
      </c>
      <c r="C1165" s="548" t="s">
        <v>812</v>
      </c>
      <c r="D1165" s="549">
        <v>2017</v>
      </c>
      <c r="E1165" s="549" t="s">
        <v>775</v>
      </c>
      <c r="F1165" s="550">
        <v>1</v>
      </c>
      <c r="G1165" s="550">
        <v>0</v>
      </c>
      <c r="H1165" s="550">
        <v>0</v>
      </c>
      <c r="I1165" s="550">
        <v>0</v>
      </c>
      <c r="J1165" s="550">
        <v>1</v>
      </c>
      <c r="K1165" s="550">
        <v>0</v>
      </c>
      <c r="L1165" s="550">
        <v>0</v>
      </c>
      <c r="M1165" s="550">
        <v>0</v>
      </c>
      <c r="N1165" s="550">
        <v>0</v>
      </c>
      <c r="O1165" s="550">
        <v>0</v>
      </c>
      <c r="P1165" s="550">
        <v>0</v>
      </c>
      <c r="Q1165" s="550">
        <v>260</v>
      </c>
      <c r="R1165" s="574" t="s">
        <v>489</v>
      </c>
      <c r="S1165" s="552"/>
      <c r="T1165" s="552"/>
      <c r="U1165" s="552"/>
      <c r="V1165" s="552"/>
      <c r="W1165" s="552"/>
      <c r="X1165" s="552"/>
      <c r="Y1165" s="552"/>
      <c r="Z1165" s="552"/>
      <c r="AA1165" s="553"/>
      <c r="AB1165" s="553"/>
    </row>
    <row r="1166" spans="1:28" ht="12.75">
      <c r="A1166" s="547" t="s">
        <v>489</v>
      </c>
      <c r="B1166" s="547" t="s">
        <v>169</v>
      </c>
      <c r="C1166" s="548" t="s">
        <v>812</v>
      </c>
      <c r="D1166" s="549">
        <v>2018</v>
      </c>
      <c r="E1166" s="549" t="s">
        <v>775</v>
      </c>
      <c r="F1166" s="550">
        <v>1</v>
      </c>
      <c r="G1166" s="550">
        <v>0</v>
      </c>
      <c r="H1166" s="550">
        <v>0</v>
      </c>
      <c r="I1166" s="550">
        <v>0</v>
      </c>
      <c r="J1166" s="550">
        <v>1</v>
      </c>
      <c r="K1166" s="550">
        <v>4</v>
      </c>
      <c r="L1166" s="550">
        <v>0</v>
      </c>
      <c r="M1166" s="550">
        <v>4</v>
      </c>
      <c r="N1166" s="550">
        <v>0</v>
      </c>
      <c r="O1166" s="550">
        <v>0</v>
      </c>
      <c r="P1166" s="550">
        <v>0</v>
      </c>
      <c r="Q1166" s="550">
        <v>177</v>
      </c>
      <c r="R1166" s="574" t="s">
        <v>489</v>
      </c>
      <c r="S1166" s="552"/>
      <c r="T1166" s="552"/>
      <c r="U1166" s="552"/>
      <c r="V1166" s="552"/>
      <c r="W1166" s="552"/>
      <c r="X1166" s="552"/>
      <c r="Y1166" s="552"/>
      <c r="Z1166" s="552"/>
      <c r="AA1166" s="553"/>
      <c r="AB1166" s="553"/>
    </row>
    <row r="1167" spans="1:28" ht="12.75">
      <c r="A1167" s="547" t="s">
        <v>489</v>
      </c>
      <c r="B1167" s="547" t="s">
        <v>169</v>
      </c>
      <c r="C1167" s="548" t="s">
        <v>813</v>
      </c>
      <c r="D1167" s="549">
        <v>2019</v>
      </c>
      <c r="E1167" s="549" t="s">
        <v>775</v>
      </c>
      <c r="F1167" s="550">
        <v>1</v>
      </c>
      <c r="G1167" s="550">
        <v>0</v>
      </c>
      <c r="H1167" s="550">
        <v>0</v>
      </c>
      <c r="I1167" s="550">
        <v>0</v>
      </c>
      <c r="J1167" s="550">
        <v>1</v>
      </c>
      <c r="K1167" s="550">
        <v>4</v>
      </c>
      <c r="L1167" s="550">
        <v>0</v>
      </c>
      <c r="M1167" s="550">
        <v>4</v>
      </c>
      <c r="N1167" s="550">
        <v>0</v>
      </c>
      <c r="O1167" s="550">
        <v>2</v>
      </c>
      <c r="P1167" s="550">
        <v>0</v>
      </c>
      <c r="Q1167" s="550">
        <v>192</v>
      </c>
      <c r="R1167" s="574" t="s">
        <v>489</v>
      </c>
      <c r="S1167" s="552">
        <f>SUM(G1162:G1167) +SUM(K1162:K1167)</f>
        <v>8</v>
      </c>
      <c r="T1167" s="552">
        <f>F1167+J1167</f>
        <v>2</v>
      </c>
      <c r="U1167" s="552">
        <f>SUM(O1162:O1167)</f>
        <v>52</v>
      </c>
      <c r="V1167" s="552">
        <f>N1167</f>
        <v>0</v>
      </c>
      <c r="W1167" s="554">
        <f>SUM(Q1162:Q1167)</f>
        <v>887</v>
      </c>
      <c r="X1167" s="552">
        <f>P1167</f>
        <v>0</v>
      </c>
      <c r="Y1167" s="552">
        <f>S1167+U1167+SUM(Q1162:Q1167)</f>
        <v>947</v>
      </c>
      <c r="Z1167" s="552">
        <f>F1167+J1167+N1167+P1167</f>
        <v>2</v>
      </c>
      <c r="AA1167" s="553"/>
      <c r="AB1167" s="553"/>
    </row>
    <row r="1168" spans="1:28" ht="12.75">
      <c r="A1168" s="547" t="s">
        <v>490</v>
      </c>
      <c r="B1168" s="547" t="s">
        <v>169</v>
      </c>
      <c r="C1168" s="548" t="s">
        <v>812</v>
      </c>
      <c r="D1168" s="549">
        <v>2014</v>
      </c>
      <c r="E1168" s="549" t="s">
        <v>775</v>
      </c>
      <c r="F1168" s="550">
        <v>71</v>
      </c>
      <c r="G1168" s="550">
        <v>0</v>
      </c>
      <c r="H1168" s="550">
        <v>0</v>
      </c>
      <c r="I1168" s="550">
        <v>0</v>
      </c>
      <c r="J1168" s="550">
        <v>50</v>
      </c>
      <c r="K1168" s="550">
        <v>0</v>
      </c>
      <c r="L1168" s="550">
        <v>0</v>
      </c>
      <c r="M1168" s="550">
        <v>0</v>
      </c>
      <c r="N1168" s="550">
        <v>56</v>
      </c>
      <c r="O1168" s="550">
        <v>0</v>
      </c>
      <c r="P1168" s="550">
        <v>131</v>
      </c>
      <c r="Q1168" s="550">
        <v>39</v>
      </c>
      <c r="R1168" s="574" t="s">
        <v>490</v>
      </c>
      <c r="S1168" s="552"/>
      <c r="T1168" s="552"/>
      <c r="U1168" s="552"/>
      <c r="V1168" s="552"/>
      <c r="W1168" s="552"/>
      <c r="X1168" s="552"/>
      <c r="Y1168" s="552"/>
      <c r="Z1168" s="552"/>
      <c r="AA1168" s="553"/>
      <c r="AB1168" s="553"/>
    </row>
    <row r="1169" spans="1:28" ht="12.75">
      <c r="A1169" s="547" t="s">
        <v>490</v>
      </c>
      <c r="B1169" s="547" t="s">
        <v>169</v>
      </c>
      <c r="C1169" s="548" t="s">
        <v>812</v>
      </c>
      <c r="D1169" s="549">
        <v>2015</v>
      </c>
      <c r="E1169" s="549" t="s">
        <v>775</v>
      </c>
      <c r="F1169" s="550">
        <v>71</v>
      </c>
      <c r="G1169" s="550">
        <v>5</v>
      </c>
      <c r="H1169" s="550">
        <v>5</v>
      </c>
      <c r="I1169" s="550">
        <v>0</v>
      </c>
      <c r="J1169" s="550">
        <v>50</v>
      </c>
      <c r="K1169" s="550">
        <v>3</v>
      </c>
      <c r="L1169" s="550">
        <v>3</v>
      </c>
      <c r="M1169" s="550">
        <v>0</v>
      </c>
      <c r="N1169" s="550">
        <v>56</v>
      </c>
      <c r="O1169" s="550">
        <v>2</v>
      </c>
      <c r="P1169" s="550">
        <v>131</v>
      </c>
      <c r="Q1169" s="550">
        <v>5</v>
      </c>
      <c r="R1169" s="574" t="s">
        <v>490</v>
      </c>
      <c r="S1169" s="552"/>
      <c r="T1169" s="552"/>
      <c r="U1169" s="552"/>
      <c r="V1169" s="552"/>
      <c r="W1169" s="552"/>
      <c r="X1169" s="552"/>
      <c r="Y1169" s="552"/>
      <c r="Z1169" s="552"/>
      <c r="AA1169" s="553"/>
      <c r="AB1169" s="553"/>
    </row>
    <row r="1170" spans="1:28" ht="12.75">
      <c r="A1170" s="547" t="s">
        <v>490</v>
      </c>
      <c r="B1170" s="547" t="s">
        <v>169</v>
      </c>
      <c r="C1170" s="548" t="s">
        <v>812</v>
      </c>
      <c r="D1170" s="549">
        <v>2016</v>
      </c>
      <c r="E1170" s="549" t="s">
        <v>775</v>
      </c>
      <c r="F1170" s="550">
        <v>71</v>
      </c>
      <c r="G1170" s="550">
        <v>0</v>
      </c>
      <c r="H1170" s="550">
        <v>0</v>
      </c>
      <c r="I1170" s="550">
        <v>0</v>
      </c>
      <c r="J1170" s="550">
        <v>50</v>
      </c>
      <c r="K1170" s="550">
        <v>3</v>
      </c>
      <c r="L1170" s="550">
        <v>3</v>
      </c>
      <c r="M1170" s="550">
        <v>0</v>
      </c>
      <c r="N1170" s="550">
        <v>56</v>
      </c>
      <c r="O1170" s="550">
        <v>4</v>
      </c>
      <c r="P1170" s="550">
        <v>131</v>
      </c>
      <c r="Q1170" s="550">
        <v>132</v>
      </c>
      <c r="R1170" s="574" t="s">
        <v>490</v>
      </c>
      <c r="S1170" s="552"/>
      <c r="T1170" s="552"/>
      <c r="U1170" s="552"/>
      <c r="V1170" s="552"/>
      <c r="W1170" s="552"/>
      <c r="X1170" s="552"/>
      <c r="Y1170" s="552"/>
      <c r="Z1170" s="552"/>
      <c r="AA1170" s="553"/>
      <c r="AB1170" s="553"/>
    </row>
    <row r="1171" spans="1:28" ht="12.75">
      <c r="A1171" s="547" t="s">
        <v>490</v>
      </c>
      <c r="B1171" s="547" t="s">
        <v>169</v>
      </c>
      <c r="C1171" s="548" t="s">
        <v>812</v>
      </c>
      <c r="D1171" s="549">
        <v>2017</v>
      </c>
      <c r="E1171" s="549" t="s">
        <v>775</v>
      </c>
      <c r="F1171" s="550">
        <v>71</v>
      </c>
      <c r="G1171" s="550">
        <v>4</v>
      </c>
      <c r="H1171" s="550">
        <v>4</v>
      </c>
      <c r="I1171" s="550">
        <v>0</v>
      </c>
      <c r="J1171" s="550">
        <v>50</v>
      </c>
      <c r="K1171" s="550">
        <v>2</v>
      </c>
      <c r="L1171" s="550">
        <v>2</v>
      </c>
      <c r="M1171" s="550">
        <v>0</v>
      </c>
      <c r="N1171" s="550">
        <v>56</v>
      </c>
      <c r="O1171" s="550">
        <v>0</v>
      </c>
      <c r="P1171" s="550">
        <v>131</v>
      </c>
      <c r="Q1171" s="550">
        <v>144</v>
      </c>
      <c r="R1171" s="574" t="s">
        <v>490</v>
      </c>
      <c r="S1171" s="552"/>
      <c r="T1171" s="552"/>
      <c r="U1171" s="552"/>
      <c r="V1171" s="552"/>
      <c r="W1171" s="552"/>
      <c r="X1171" s="552"/>
      <c r="Y1171" s="552"/>
      <c r="Z1171" s="552"/>
      <c r="AA1171" s="553"/>
      <c r="AB1171" s="553"/>
    </row>
    <row r="1172" spans="1:28" ht="12.75">
      <c r="A1172" s="547" t="s">
        <v>490</v>
      </c>
      <c r="B1172" s="547" t="s">
        <v>169</v>
      </c>
      <c r="C1172" s="548" t="s">
        <v>813</v>
      </c>
      <c r="D1172" s="549">
        <v>2019</v>
      </c>
      <c r="E1172" s="549" t="s">
        <v>775</v>
      </c>
      <c r="F1172" s="550">
        <v>71</v>
      </c>
      <c r="G1172" s="550">
        <v>0</v>
      </c>
      <c r="H1172" s="550">
        <v>0</v>
      </c>
      <c r="I1172" s="550">
        <v>0</v>
      </c>
      <c r="J1172" s="550">
        <v>50</v>
      </c>
      <c r="K1172" s="550">
        <v>0</v>
      </c>
      <c r="L1172" s="550">
        <v>0</v>
      </c>
      <c r="M1172" s="550">
        <v>0</v>
      </c>
      <c r="N1172" s="550">
        <v>56</v>
      </c>
      <c r="O1172" s="550">
        <v>0</v>
      </c>
      <c r="P1172" s="550">
        <v>131</v>
      </c>
      <c r="Q1172" s="550">
        <v>0</v>
      </c>
      <c r="R1172" s="574" t="s">
        <v>490</v>
      </c>
      <c r="S1172" s="255">
        <f>SUM(G1168:G1172) +SUM(K1168:K1172)</f>
        <v>17</v>
      </c>
      <c r="T1172" s="255">
        <f>F1172+J1172</f>
        <v>121</v>
      </c>
      <c r="U1172" s="255">
        <f>SUM(O1168:O1172)</f>
        <v>6</v>
      </c>
      <c r="V1172" s="255">
        <f>N1172</f>
        <v>56</v>
      </c>
      <c r="W1172" s="83">
        <f>SUM(Q1168:Q1172)</f>
        <v>320</v>
      </c>
      <c r="X1172" s="255">
        <f>P1172</f>
        <v>131</v>
      </c>
      <c r="Y1172" s="255">
        <f>S1172+U1172+SUM(Q1168:Q1172)</f>
        <v>343</v>
      </c>
      <c r="Z1172" s="255">
        <f>F1172+J1172+N1172+P1172</f>
        <v>308</v>
      </c>
      <c r="AA1172" s="553"/>
      <c r="AB1172" s="553"/>
    </row>
    <row r="1173" spans="1:28" ht="12.75">
      <c r="A1173" s="547" t="s">
        <v>491</v>
      </c>
      <c r="B1173" s="547" t="s">
        <v>169</v>
      </c>
      <c r="C1173" s="548" t="s">
        <v>812</v>
      </c>
      <c r="D1173" s="549">
        <v>2014</v>
      </c>
      <c r="E1173" s="549" t="s">
        <v>775</v>
      </c>
      <c r="F1173" s="550">
        <v>76</v>
      </c>
      <c r="G1173" s="550">
        <v>0</v>
      </c>
      <c r="H1173" s="550">
        <v>0</v>
      </c>
      <c r="I1173" s="550">
        <v>0</v>
      </c>
      <c r="J1173" s="550">
        <v>53</v>
      </c>
      <c r="K1173" s="550">
        <v>0</v>
      </c>
      <c r="L1173" s="550">
        <v>0</v>
      </c>
      <c r="M1173" s="550">
        <v>0</v>
      </c>
      <c r="N1173" s="550">
        <v>61</v>
      </c>
      <c r="O1173" s="550">
        <v>3</v>
      </c>
      <c r="P1173" s="550">
        <v>137</v>
      </c>
      <c r="Q1173" s="550">
        <v>12</v>
      </c>
      <c r="R1173" s="574" t="s">
        <v>491</v>
      </c>
      <c r="S1173" s="552"/>
      <c r="T1173" s="552"/>
      <c r="U1173" s="552"/>
      <c r="V1173" s="552"/>
      <c r="W1173" s="552"/>
      <c r="X1173" s="552"/>
      <c r="Y1173" s="552"/>
      <c r="Z1173" s="552"/>
      <c r="AA1173" s="553"/>
      <c r="AB1173" s="553"/>
    </row>
    <row r="1174" spans="1:28" ht="12.75">
      <c r="A1174" s="547" t="s">
        <v>491</v>
      </c>
      <c r="B1174" s="547" t="s">
        <v>169</v>
      </c>
      <c r="C1174" s="548" t="s">
        <v>812</v>
      </c>
      <c r="D1174" s="549">
        <v>2015</v>
      </c>
      <c r="E1174" s="549" t="s">
        <v>775</v>
      </c>
      <c r="F1174" s="550">
        <v>76</v>
      </c>
      <c r="G1174" s="550">
        <v>0</v>
      </c>
      <c r="H1174" s="550">
        <v>0</v>
      </c>
      <c r="I1174" s="550">
        <v>0</v>
      </c>
      <c r="J1174" s="550">
        <v>53</v>
      </c>
      <c r="K1174" s="550">
        <v>0</v>
      </c>
      <c r="L1174" s="550">
        <v>0</v>
      </c>
      <c r="M1174" s="550">
        <v>0</v>
      </c>
      <c r="N1174" s="550">
        <v>61</v>
      </c>
      <c r="O1174" s="550">
        <v>2</v>
      </c>
      <c r="P1174" s="550">
        <v>137</v>
      </c>
      <c r="Q1174" s="550">
        <v>36</v>
      </c>
      <c r="R1174" s="574" t="s">
        <v>491</v>
      </c>
      <c r="S1174" s="552"/>
      <c r="T1174" s="552"/>
      <c r="U1174" s="552"/>
      <c r="V1174" s="552"/>
      <c r="W1174" s="552"/>
      <c r="X1174" s="552"/>
      <c r="Y1174" s="552"/>
      <c r="Z1174" s="552"/>
      <c r="AA1174" s="553"/>
      <c r="AB1174" s="553"/>
    </row>
    <row r="1175" spans="1:28" ht="12.75">
      <c r="A1175" s="547" t="s">
        <v>491</v>
      </c>
      <c r="B1175" s="547" t="s">
        <v>169</v>
      </c>
      <c r="C1175" s="548" t="s">
        <v>812</v>
      </c>
      <c r="D1175" s="549">
        <v>2016</v>
      </c>
      <c r="E1175" s="549" t="s">
        <v>775</v>
      </c>
      <c r="F1175" s="550">
        <v>76</v>
      </c>
      <c r="G1175" s="550">
        <v>0</v>
      </c>
      <c r="H1175" s="550">
        <v>0</v>
      </c>
      <c r="I1175" s="550">
        <v>0</v>
      </c>
      <c r="J1175" s="550">
        <v>53</v>
      </c>
      <c r="K1175" s="550">
        <v>0</v>
      </c>
      <c r="L1175" s="550">
        <v>0</v>
      </c>
      <c r="M1175" s="550">
        <v>0</v>
      </c>
      <c r="N1175" s="550">
        <v>61</v>
      </c>
      <c r="O1175" s="550">
        <v>4</v>
      </c>
      <c r="P1175" s="550">
        <v>137</v>
      </c>
      <c r="Q1175" s="550">
        <v>34</v>
      </c>
      <c r="R1175" s="574" t="s">
        <v>491</v>
      </c>
      <c r="S1175" s="552"/>
      <c r="T1175" s="552"/>
      <c r="U1175" s="552"/>
      <c r="V1175" s="552"/>
      <c r="W1175" s="552"/>
      <c r="X1175" s="552"/>
      <c r="Y1175" s="552"/>
      <c r="Z1175" s="552"/>
      <c r="AA1175" s="553"/>
      <c r="AB1175" s="553"/>
    </row>
    <row r="1176" spans="1:28" ht="12.75">
      <c r="A1176" s="547" t="s">
        <v>491</v>
      </c>
      <c r="B1176" s="547" t="s">
        <v>169</v>
      </c>
      <c r="C1176" s="548" t="s">
        <v>812</v>
      </c>
      <c r="D1176" s="549">
        <v>2017</v>
      </c>
      <c r="E1176" s="549" t="s">
        <v>775</v>
      </c>
      <c r="F1176" s="550">
        <v>76</v>
      </c>
      <c r="G1176" s="550">
        <v>0</v>
      </c>
      <c r="H1176" s="550">
        <v>0</v>
      </c>
      <c r="I1176" s="550">
        <v>0</v>
      </c>
      <c r="J1176" s="550">
        <v>53</v>
      </c>
      <c r="K1176" s="550">
        <v>0</v>
      </c>
      <c r="L1176" s="550">
        <v>0</v>
      </c>
      <c r="M1176" s="550">
        <v>0</v>
      </c>
      <c r="N1176" s="550">
        <v>61</v>
      </c>
      <c r="O1176" s="550">
        <v>8</v>
      </c>
      <c r="P1176" s="550">
        <v>137</v>
      </c>
      <c r="Q1176" s="550">
        <v>60</v>
      </c>
      <c r="R1176" s="574" t="s">
        <v>491</v>
      </c>
      <c r="S1176" s="552"/>
      <c r="T1176" s="552"/>
      <c r="U1176" s="552"/>
      <c r="V1176" s="552"/>
      <c r="W1176" s="552"/>
      <c r="X1176" s="552"/>
      <c r="Y1176" s="552"/>
      <c r="Z1176" s="552"/>
      <c r="AA1176" s="553"/>
      <c r="AB1176" s="553"/>
    </row>
    <row r="1177" spans="1:28" ht="12.75">
      <c r="A1177" s="547" t="s">
        <v>491</v>
      </c>
      <c r="B1177" s="547" t="s">
        <v>169</v>
      </c>
      <c r="C1177" s="548" t="s">
        <v>812</v>
      </c>
      <c r="D1177" s="549">
        <v>2018</v>
      </c>
      <c r="E1177" s="549" t="s">
        <v>775</v>
      </c>
      <c r="F1177" s="550">
        <v>76</v>
      </c>
      <c r="G1177" s="550">
        <v>0</v>
      </c>
      <c r="H1177" s="550">
        <v>0</v>
      </c>
      <c r="I1177" s="550">
        <v>0</v>
      </c>
      <c r="J1177" s="550">
        <v>53</v>
      </c>
      <c r="K1177" s="550">
        <v>1</v>
      </c>
      <c r="L1177" s="550">
        <v>0</v>
      </c>
      <c r="M1177" s="550">
        <v>1</v>
      </c>
      <c r="N1177" s="550">
        <v>61</v>
      </c>
      <c r="O1177" s="550">
        <v>8</v>
      </c>
      <c r="P1177" s="550">
        <v>137</v>
      </c>
      <c r="Q1177" s="550">
        <v>168</v>
      </c>
      <c r="R1177" s="574" t="s">
        <v>491</v>
      </c>
      <c r="S1177" s="552"/>
      <c r="T1177" s="552"/>
      <c r="U1177" s="552"/>
      <c r="V1177" s="552"/>
      <c r="W1177" s="552"/>
      <c r="X1177" s="552"/>
      <c r="Y1177" s="552"/>
      <c r="Z1177" s="552"/>
      <c r="AA1177" s="553"/>
      <c r="AB1177" s="553"/>
    </row>
    <row r="1178" spans="1:28" ht="12.75">
      <c r="A1178" s="547" t="s">
        <v>491</v>
      </c>
      <c r="B1178" s="547" t="s">
        <v>169</v>
      </c>
      <c r="C1178" s="548" t="s">
        <v>813</v>
      </c>
      <c r="D1178" s="549">
        <v>2019</v>
      </c>
      <c r="E1178" s="549" t="s">
        <v>775</v>
      </c>
      <c r="F1178" s="550">
        <v>76</v>
      </c>
      <c r="G1178" s="550">
        <v>0</v>
      </c>
      <c r="H1178" s="550">
        <v>0</v>
      </c>
      <c r="I1178" s="550">
        <v>0</v>
      </c>
      <c r="J1178" s="550">
        <v>53</v>
      </c>
      <c r="K1178" s="550">
        <v>8</v>
      </c>
      <c r="L1178" s="550">
        <v>0</v>
      </c>
      <c r="M1178" s="550">
        <v>8</v>
      </c>
      <c r="N1178" s="550">
        <v>61</v>
      </c>
      <c r="O1178" s="550">
        <v>1</v>
      </c>
      <c r="P1178" s="550">
        <v>137</v>
      </c>
      <c r="Q1178" s="550">
        <v>96</v>
      </c>
      <c r="R1178" s="574" t="s">
        <v>491</v>
      </c>
      <c r="S1178" s="552">
        <f>SUM(G1173:G1178) +SUM(K1173:K1178)</f>
        <v>9</v>
      </c>
      <c r="T1178" s="552">
        <f>F1178+J1178</f>
        <v>129</v>
      </c>
      <c r="U1178" s="552">
        <f>SUM(O1173:O1178)</f>
        <v>26</v>
      </c>
      <c r="V1178" s="552">
        <f>N1178</f>
        <v>61</v>
      </c>
      <c r="W1178" s="554">
        <f>SUM(Q1173:Q1178)</f>
        <v>406</v>
      </c>
      <c r="X1178" s="552">
        <f>P1178</f>
        <v>137</v>
      </c>
      <c r="Y1178" s="552">
        <f>S1178+U1178+SUM(Q1173:Q1178)</f>
        <v>441</v>
      </c>
      <c r="Z1178" s="552">
        <f>F1178+J1178+N1178+P1178</f>
        <v>327</v>
      </c>
      <c r="AA1178" s="553"/>
      <c r="AB1178" s="553"/>
    </row>
    <row r="1179" spans="1:28" ht="12.75">
      <c r="A1179" s="547" t="s">
        <v>492</v>
      </c>
      <c r="B1179" s="547" t="s">
        <v>169</v>
      </c>
      <c r="C1179" s="548" t="s">
        <v>812</v>
      </c>
      <c r="D1179" s="549">
        <v>2014</v>
      </c>
      <c r="E1179" s="549" t="s">
        <v>775</v>
      </c>
      <c r="F1179" s="550">
        <v>83</v>
      </c>
      <c r="G1179" s="550">
        <v>0</v>
      </c>
      <c r="H1179" s="550">
        <v>0</v>
      </c>
      <c r="I1179" s="550">
        <v>0</v>
      </c>
      <c r="J1179" s="550">
        <v>59</v>
      </c>
      <c r="K1179" s="550">
        <v>0</v>
      </c>
      <c r="L1179" s="550">
        <v>0</v>
      </c>
      <c r="M1179" s="550">
        <v>0</v>
      </c>
      <c r="N1179" s="550">
        <v>65</v>
      </c>
      <c r="O1179" s="550">
        <v>0</v>
      </c>
      <c r="P1179" s="550">
        <v>151</v>
      </c>
      <c r="Q1179" s="550">
        <v>6</v>
      </c>
      <c r="R1179" s="574" t="s">
        <v>492</v>
      </c>
      <c r="S1179" s="552"/>
      <c r="T1179" s="552"/>
      <c r="U1179" s="552"/>
      <c r="V1179" s="552"/>
      <c r="W1179" s="552"/>
      <c r="X1179" s="552"/>
      <c r="Y1179" s="552"/>
      <c r="Z1179" s="552"/>
      <c r="AA1179" s="553"/>
      <c r="AB1179" s="553"/>
    </row>
    <row r="1180" spans="1:28" ht="12.75">
      <c r="A1180" s="547" t="s">
        <v>492</v>
      </c>
      <c r="B1180" s="547" t="s">
        <v>169</v>
      </c>
      <c r="C1180" s="548" t="s">
        <v>812</v>
      </c>
      <c r="D1180" s="549">
        <v>2015</v>
      </c>
      <c r="E1180" s="549" t="s">
        <v>775</v>
      </c>
      <c r="F1180" s="550">
        <v>83</v>
      </c>
      <c r="G1180" s="550">
        <v>0</v>
      </c>
      <c r="H1180" s="550">
        <v>0</v>
      </c>
      <c r="I1180" s="550">
        <v>0</v>
      </c>
      <c r="J1180" s="550">
        <v>59</v>
      </c>
      <c r="K1180" s="550">
        <v>0</v>
      </c>
      <c r="L1180" s="550">
        <v>0</v>
      </c>
      <c r="M1180" s="550">
        <v>0</v>
      </c>
      <c r="N1180" s="550">
        <v>65</v>
      </c>
      <c r="O1180" s="550">
        <v>0</v>
      </c>
      <c r="P1180" s="550">
        <v>151</v>
      </c>
      <c r="Q1180" s="550">
        <v>6</v>
      </c>
      <c r="R1180" s="574" t="s">
        <v>492</v>
      </c>
      <c r="S1180" s="552"/>
      <c r="T1180" s="552"/>
      <c r="U1180" s="552"/>
      <c r="V1180" s="552"/>
      <c r="W1180" s="552"/>
      <c r="X1180" s="552"/>
      <c r="Y1180" s="552"/>
      <c r="Z1180" s="552"/>
      <c r="AA1180" s="553"/>
      <c r="AB1180" s="553"/>
    </row>
    <row r="1181" spans="1:28" ht="12.75">
      <c r="A1181" s="547" t="s">
        <v>492</v>
      </c>
      <c r="B1181" s="547" t="s">
        <v>169</v>
      </c>
      <c r="C1181" s="548" t="s">
        <v>812</v>
      </c>
      <c r="D1181" s="549">
        <v>2016</v>
      </c>
      <c r="E1181" s="549" t="s">
        <v>775</v>
      </c>
      <c r="F1181" s="550">
        <v>83</v>
      </c>
      <c r="G1181" s="550">
        <v>0</v>
      </c>
      <c r="H1181" s="550">
        <v>0</v>
      </c>
      <c r="I1181" s="550">
        <v>0</v>
      </c>
      <c r="J1181" s="550">
        <v>59</v>
      </c>
      <c r="K1181" s="550">
        <v>0</v>
      </c>
      <c r="L1181" s="550">
        <v>0</v>
      </c>
      <c r="M1181" s="550">
        <v>0</v>
      </c>
      <c r="N1181" s="550">
        <v>65</v>
      </c>
      <c r="O1181" s="550">
        <v>0</v>
      </c>
      <c r="P1181" s="550">
        <v>151</v>
      </c>
      <c r="Q1181" s="550">
        <v>10</v>
      </c>
      <c r="R1181" s="574" t="s">
        <v>492</v>
      </c>
      <c r="S1181" s="552"/>
      <c r="T1181" s="552"/>
      <c r="U1181" s="552"/>
      <c r="V1181" s="552"/>
      <c r="W1181" s="552"/>
      <c r="X1181" s="552"/>
      <c r="Y1181" s="552"/>
      <c r="Z1181" s="552"/>
      <c r="AA1181" s="553"/>
      <c r="AB1181" s="553"/>
    </row>
    <row r="1182" spans="1:28" ht="12.75">
      <c r="A1182" s="547" t="s">
        <v>492</v>
      </c>
      <c r="B1182" s="547" t="s">
        <v>169</v>
      </c>
      <c r="C1182" s="548" t="s">
        <v>812</v>
      </c>
      <c r="D1182" s="549">
        <v>2017</v>
      </c>
      <c r="E1182" s="549" t="s">
        <v>775</v>
      </c>
      <c r="F1182" s="550">
        <v>83</v>
      </c>
      <c r="G1182" s="550">
        <v>0</v>
      </c>
      <c r="H1182" s="550">
        <v>0</v>
      </c>
      <c r="I1182" s="550">
        <v>0</v>
      </c>
      <c r="J1182" s="550">
        <v>59</v>
      </c>
      <c r="K1182" s="550">
        <v>0</v>
      </c>
      <c r="L1182" s="550">
        <v>0</v>
      </c>
      <c r="M1182" s="550">
        <v>0</v>
      </c>
      <c r="N1182" s="550">
        <v>65</v>
      </c>
      <c r="O1182" s="550">
        <v>6</v>
      </c>
      <c r="P1182" s="550">
        <v>151</v>
      </c>
      <c r="Q1182" s="550">
        <v>8</v>
      </c>
      <c r="R1182" s="574" t="s">
        <v>492</v>
      </c>
      <c r="S1182" s="552"/>
      <c r="T1182" s="552"/>
      <c r="U1182" s="552"/>
      <c r="V1182" s="552"/>
      <c r="W1182" s="552"/>
      <c r="X1182" s="552"/>
      <c r="Y1182" s="552"/>
      <c r="Z1182" s="552"/>
      <c r="AA1182" s="553"/>
      <c r="AB1182" s="553"/>
    </row>
    <row r="1183" spans="1:28" ht="12.75">
      <c r="A1183" s="547" t="s">
        <v>492</v>
      </c>
      <c r="B1183" s="547" t="s">
        <v>169</v>
      </c>
      <c r="C1183" s="548" t="s">
        <v>812</v>
      </c>
      <c r="D1183" s="549">
        <v>2018</v>
      </c>
      <c r="E1183" s="549" t="s">
        <v>775</v>
      </c>
      <c r="F1183" s="550">
        <v>83</v>
      </c>
      <c r="G1183" s="550">
        <v>0</v>
      </c>
      <c r="H1183" s="550">
        <v>0</v>
      </c>
      <c r="I1183" s="550">
        <v>0</v>
      </c>
      <c r="J1183" s="550">
        <v>59</v>
      </c>
      <c r="K1183" s="550">
        <v>13</v>
      </c>
      <c r="L1183" s="550">
        <v>0</v>
      </c>
      <c r="M1183" s="550">
        <v>13</v>
      </c>
      <c r="N1183" s="550">
        <v>65</v>
      </c>
      <c r="O1183" s="550">
        <v>0</v>
      </c>
      <c r="P1183" s="550">
        <v>151</v>
      </c>
      <c r="Q1183" s="550">
        <v>4</v>
      </c>
      <c r="R1183" s="574" t="s">
        <v>492</v>
      </c>
      <c r="S1183" s="552"/>
      <c r="T1183" s="552"/>
      <c r="U1183" s="552"/>
      <c r="V1183" s="552"/>
      <c r="W1183" s="552"/>
      <c r="X1183" s="552"/>
      <c r="Y1183" s="552"/>
      <c r="Z1183" s="552"/>
      <c r="AA1183" s="553"/>
      <c r="AB1183" s="553"/>
    </row>
    <row r="1184" spans="1:28" ht="12.75">
      <c r="A1184" s="547" t="s">
        <v>492</v>
      </c>
      <c r="B1184" s="547" t="s">
        <v>169</v>
      </c>
      <c r="C1184" s="548" t="s">
        <v>813</v>
      </c>
      <c r="D1184" s="549">
        <v>2019</v>
      </c>
      <c r="E1184" s="549" t="s">
        <v>775</v>
      </c>
      <c r="F1184" s="550">
        <v>83</v>
      </c>
      <c r="G1184" s="550">
        <v>0</v>
      </c>
      <c r="H1184" s="550">
        <v>0</v>
      </c>
      <c r="I1184" s="550">
        <v>0</v>
      </c>
      <c r="J1184" s="550">
        <v>59</v>
      </c>
      <c r="K1184" s="550">
        <v>17</v>
      </c>
      <c r="L1184" s="550">
        <v>0</v>
      </c>
      <c r="M1184" s="550">
        <v>17</v>
      </c>
      <c r="N1184" s="550">
        <v>65</v>
      </c>
      <c r="O1184" s="550">
        <v>6</v>
      </c>
      <c r="P1184" s="550">
        <v>151</v>
      </c>
      <c r="Q1184" s="550">
        <v>155</v>
      </c>
      <c r="R1184" s="574" t="s">
        <v>492</v>
      </c>
      <c r="S1184" s="552">
        <f>SUM(G1179:G1184) +SUM(K1179:K1184)</f>
        <v>30</v>
      </c>
      <c r="T1184" s="552">
        <f>F1184+J1184</f>
        <v>142</v>
      </c>
      <c r="U1184" s="552">
        <f>SUM(O1179:O1184)</f>
        <v>12</v>
      </c>
      <c r="V1184" s="552">
        <f>N1184</f>
        <v>65</v>
      </c>
      <c r="W1184" s="554">
        <f>SUM(Q1179:Q1184)</f>
        <v>189</v>
      </c>
      <c r="X1184" s="552">
        <f>P1184</f>
        <v>151</v>
      </c>
      <c r="Y1184" s="552">
        <f>S1184+U1184+SUM(Q1179:Q1184)</f>
        <v>231</v>
      </c>
      <c r="Z1184" s="552">
        <f>F1184+J1184+N1184+P1184</f>
        <v>358</v>
      </c>
      <c r="AA1184" s="553"/>
      <c r="AB1184" s="553"/>
    </row>
    <row r="1185" spans="1:28" ht="12.75">
      <c r="A1185" s="547" t="s">
        <v>493</v>
      </c>
      <c r="B1185" s="547" t="s">
        <v>169</v>
      </c>
      <c r="C1185" s="548" t="s">
        <v>812</v>
      </c>
      <c r="D1185" s="549">
        <v>2014</v>
      </c>
      <c r="E1185" s="549" t="s">
        <v>775</v>
      </c>
      <c r="F1185" s="550">
        <v>411</v>
      </c>
      <c r="G1185" s="550">
        <v>8</v>
      </c>
      <c r="H1185" s="550">
        <v>8</v>
      </c>
      <c r="I1185" s="550">
        <v>0</v>
      </c>
      <c r="J1185" s="550">
        <v>299</v>
      </c>
      <c r="K1185" s="550">
        <v>0</v>
      </c>
      <c r="L1185" s="550">
        <v>0</v>
      </c>
      <c r="M1185" s="550">
        <v>0</v>
      </c>
      <c r="N1185" s="550">
        <v>337</v>
      </c>
      <c r="O1185" s="550">
        <v>0</v>
      </c>
      <c r="P1185" s="550">
        <v>794</v>
      </c>
      <c r="Q1185" s="550">
        <v>72</v>
      </c>
      <c r="R1185" s="574" t="s">
        <v>493</v>
      </c>
      <c r="S1185" s="552"/>
      <c r="T1185" s="552"/>
      <c r="U1185" s="552"/>
      <c r="V1185" s="552"/>
      <c r="W1185" s="552"/>
      <c r="X1185" s="552"/>
      <c r="Y1185" s="552"/>
      <c r="Z1185" s="552"/>
      <c r="AA1185" s="553"/>
      <c r="AB1185" s="553"/>
    </row>
    <row r="1186" spans="1:28" ht="12.75">
      <c r="A1186" s="547" t="s">
        <v>493</v>
      </c>
      <c r="B1186" s="547" t="s">
        <v>169</v>
      </c>
      <c r="C1186" s="548" t="s">
        <v>812</v>
      </c>
      <c r="D1186" s="549">
        <v>2015</v>
      </c>
      <c r="E1186" s="549" t="s">
        <v>775</v>
      </c>
      <c r="F1186" s="550">
        <v>411</v>
      </c>
      <c r="G1186" s="550">
        <v>0</v>
      </c>
      <c r="H1186" s="550">
        <v>0</v>
      </c>
      <c r="I1186" s="550">
        <v>0</v>
      </c>
      <c r="J1186" s="550">
        <v>299</v>
      </c>
      <c r="K1186" s="550">
        <v>0</v>
      </c>
      <c r="L1186" s="550">
        <v>0</v>
      </c>
      <c r="M1186" s="550">
        <v>0</v>
      </c>
      <c r="N1186" s="550">
        <v>337</v>
      </c>
      <c r="O1186" s="550">
        <v>0</v>
      </c>
      <c r="P1186" s="550">
        <v>794</v>
      </c>
      <c r="Q1186" s="550">
        <v>131</v>
      </c>
      <c r="R1186" s="574" t="s">
        <v>493</v>
      </c>
      <c r="S1186" s="552"/>
      <c r="T1186" s="552"/>
      <c r="U1186" s="552"/>
      <c r="V1186" s="552"/>
      <c r="W1186" s="552"/>
      <c r="X1186" s="552"/>
      <c r="Y1186" s="552"/>
      <c r="Z1186" s="552"/>
      <c r="AA1186" s="553"/>
      <c r="AB1186" s="553"/>
    </row>
    <row r="1187" spans="1:28" ht="12.75">
      <c r="A1187" s="547" t="s">
        <v>493</v>
      </c>
      <c r="B1187" s="547" t="s">
        <v>169</v>
      </c>
      <c r="C1187" s="548" t="s">
        <v>812</v>
      </c>
      <c r="D1187" s="549">
        <v>2016</v>
      </c>
      <c r="E1187" s="549" t="s">
        <v>775</v>
      </c>
      <c r="F1187" s="550">
        <v>411</v>
      </c>
      <c r="G1187" s="550">
        <v>191</v>
      </c>
      <c r="H1187" s="550">
        <v>43</v>
      </c>
      <c r="I1187" s="550">
        <v>148</v>
      </c>
      <c r="J1187" s="550">
        <v>299</v>
      </c>
      <c r="K1187" s="550">
        <v>97</v>
      </c>
      <c r="L1187" s="550">
        <v>97</v>
      </c>
      <c r="M1187" s="550">
        <v>0</v>
      </c>
      <c r="N1187" s="550">
        <v>337</v>
      </c>
      <c r="O1187" s="550">
        <v>1</v>
      </c>
      <c r="P1187" s="550">
        <v>794</v>
      </c>
      <c r="Q1187" s="550">
        <v>236</v>
      </c>
      <c r="R1187" s="574" t="s">
        <v>493</v>
      </c>
      <c r="S1187" s="552"/>
      <c r="T1187" s="552"/>
      <c r="U1187" s="552"/>
      <c r="V1187" s="552"/>
      <c r="W1187" s="552"/>
      <c r="X1187" s="552"/>
      <c r="Y1187" s="552"/>
      <c r="Z1187" s="552"/>
      <c r="AA1187" s="553"/>
      <c r="AB1187" s="553"/>
    </row>
    <row r="1188" spans="1:28" ht="12.75">
      <c r="A1188" s="547" t="s">
        <v>493</v>
      </c>
      <c r="B1188" s="547" t="s">
        <v>169</v>
      </c>
      <c r="C1188" s="548" t="s">
        <v>812</v>
      </c>
      <c r="D1188" s="549">
        <v>2017</v>
      </c>
      <c r="E1188" s="549" t="s">
        <v>775</v>
      </c>
      <c r="F1188" s="550">
        <v>411</v>
      </c>
      <c r="G1188" s="550">
        <v>39</v>
      </c>
      <c r="H1188" s="550">
        <v>39</v>
      </c>
      <c r="I1188" s="550">
        <v>0</v>
      </c>
      <c r="J1188" s="550">
        <v>299</v>
      </c>
      <c r="K1188" s="550">
        <v>17</v>
      </c>
      <c r="L1188" s="550">
        <v>17</v>
      </c>
      <c r="M1188" s="550">
        <v>0</v>
      </c>
      <c r="N1188" s="550">
        <v>337</v>
      </c>
      <c r="O1188" s="550">
        <v>2</v>
      </c>
      <c r="P1188" s="550">
        <v>794</v>
      </c>
      <c r="Q1188" s="550">
        <v>363</v>
      </c>
      <c r="R1188" s="574" t="s">
        <v>493</v>
      </c>
      <c r="S1188" s="552"/>
      <c r="T1188" s="552"/>
      <c r="U1188" s="552"/>
      <c r="V1188" s="552"/>
      <c r="W1188" s="552"/>
      <c r="X1188" s="552"/>
      <c r="Y1188" s="552"/>
      <c r="Z1188" s="552"/>
      <c r="AA1188" s="553"/>
      <c r="AB1188" s="553"/>
    </row>
    <row r="1189" spans="1:28" ht="12.75">
      <c r="A1189" s="547" t="s">
        <v>493</v>
      </c>
      <c r="B1189" s="547" t="s">
        <v>169</v>
      </c>
      <c r="C1189" s="548" t="s">
        <v>812</v>
      </c>
      <c r="D1189" s="549">
        <v>2018</v>
      </c>
      <c r="E1189" s="549" t="s">
        <v>775</v>
      </c>
      <c r="F1189" s="550">
        <v>411</v>
      </c>
      <c r="G1189" s="550">
        <v>26</v>
      </c>
      <c r="H1189" s="550">
        <v>26</v>
      </c>
      <c r="I1189" s="550">
        <v>0</v>
      </c>
      <c r="J1189" s="550">
        <v>299</v>
      </c>
      <c r="K1189" s="550">
        <v>19</v>
      </c>
      <c r="L1189" s="550">
        <v>19</v>
      </c>
      <c r="M1189" s="550">
        <v>0</v>
      </c>
      <c r="N1189" s="550">
        <v>337</v>
      </c>
      <c r="O1189" s="550">
        <v>0</v>
      </c>
      <c r="P1189" s="550">
        <v>794</v>
      </c>
      <c r="Q1189" s="550">
        <v>41</v>
      </c>
      <c r="R1189" s="574" t="s">
        <v>493</v>
      </c>
      <c r="S1189" s="552"/>
      <c r="T1189" s="552"/>
      <c r="U1189" s="552"/>
      <c r="V1189" s="552"/>
      <c r="W1189" s="552"/>
      <c r="X1189" s="552"/>
      <c r="Y1189" s="552"/>
      <c r="Z1189" s="552"/>
      <c r="AA1189" s="553"/>
      <c r="AB1189" s="553"/>
    </row>
    <row r="1190" spans="1:28" ht="12.75">
      <c r="A1190" s="547" t="s">
        <v>493</v>
      </c>
      <c r="B1190" s="547" t="s">
        <v>169</v>
      </c>
      <c r="C1190" s="548" t="s">
        <v>813</v>
      </c>
      <c r="D1190" s="549">
        <v>2019</v>
      </c>
      <c r="E1190" s="549" t="s">
        <v>775</v>
      </c>
      <c r="F1190" s="550">
        <v>411</v>
      </c>
      <c r="G1190" s="550">
        <v>1</v>
      </c>
      <c r="H1190" s="550">
        <v>1</v>
      </c>
      <c r="I1190" s="550">
        <v>0</v>
      </c>
      <c r="J1190" s="550">
        <v>299</v>
      </c>
      <c r="K1190" s="550">
        <v>8</v>
      </c>
      <c r="L1190" s="550">
        <v>8</v>
      </c>
      <c r="M1190" s="550">
        <v>0</v>
      </c>
      <c r="N1190" s="550">
        <v>337</v>
      </c>
      <c r="O1190" s="550">
        <v>10</v>
      </c>
      <c r="P1190" s="550">
        <v>794</v>
      </c>
      <c r="Q1190" s="550">
        <v>323</v>
      </c>
      <c r="R1190" s="574" t="s">
        <v>493</v>
      </c>
      <c r="S1190" s="552">
        <f>SUM(G1185:G1190) +SUM(K1185:K1190)</f>
        <v>406</v>
      </c>
      <c r="T1190" s="552">
        <f>F1190+J1190</f>
        <v>710</v>
      </c>
      <c r="U1190" s="552">
        <f>SUM(O1185:O1190)</f>
        <v>13</v>
      </c>
      <c r="V1190" s="552">
        <f>N1190</f>
        <v>337</v>
      </c>
      <c r="W1190" s="554">
        <f>SUM(Q1185:Q1190)</f>
        <v>1166</v>
      </c>
      <c r="X1190" s="552">
        <f>P1190</f>
        <v>794</v>
      </c>
      <c r="Y1190" s="552">
        <f>S1190+U1190+SUM(Q1185:Q1190)</f>
        <v>1585</v>
      </c>
      <c r="Z1190" s="552">
        <f>F1190+J1190+N1190+P1190</f>
        <v>1841</v>
      </c>
      <c r="AA1190" s="553"/>
      <c r="AB1190" s="553"/>
    </row>
    <row r="1191" spans="1:28" ht="12.75">
      <c r="A1191" s="547" t="s">
        <v>494</v>
      </c>
      <c r="B1191" s="547" t="s">
        <v>169</v>
      </c>
      <c r="C1191" s="548" t="s">
        <v>812</v>
      </c>
      <c r="D1191" s="549">
        <v>2014</v>
      </c>
      <c r="E1191" s="549" t="s">
        <v>775</v>
      </c>
      <c r="F1191" s="550">
        <v>164</v>
      </c>
      <c r="G1191" s="550">
        <v>0</v>
      </c>
      <c r="H1191" s="550">
        <v>0</v>
      </c>
      <c r="I1191" s="550">
        <v>0</v>
      </c>
      <c r="J1191" s="550">
        <v>120</v>
      </c>
      <c r="K1191" s="550">
        <v>14</v>
      </c>
      <c r="L1191" s="550">
        <v>14</v>
      </c>
      <c r="M1191" s="550">
        <v>0</v>
      </c>
      <c r="N1191" s="550">
        <v>135</v>
      </c>
      <c r="O1191" s="550">
        <v>50</v>
      </c>
      <c r="P1191" s="550">
        <v>328</v>
      </c>
      <c r="Q1191" s="550">
        <v>37</v>
      </c>
      <c r="R1191" s="574" t="s">
        <v>494</v>
      </c>
      <c r="S1191" s="552"/>
      <c r="T1191" s="552"/>
      <c r="U1191" s="552"/>
      <c r="V1191" s="552"/>
      <c r="W1191" s="552"/>
      <c r="X1191" s="552"/>
      <c r="Y1191" s="552"/>
      <c r="Z1191" s="552"/>
      <c r="AA1191" s="553"/>
      <c r="AB1191" s="553"/>
    </row>
    <row r="1192" spans="1:28" ht="12.75">
      <c r="A1192" s="547" t="s">
        <v>494</v>
      </c>
      <c r="B1192" s="547" t="s">
        <v>169</v>
      </c>
      <c r="C1192" s="548" t="s">
        <v>812</v>
      </c>
      <c r="D1192" s="549">
        <v>2015</v>
      </c>
      <c r="E1192" s="549" t="s">
        <v>775</v>
      </c>
      <c r="F1192" s="550">
        <v>164</v>
      </c>
      <c r="G1192" s="550">
        <v>0</v>
      </c>
      <c r="H1192" s="550">
        <v>0</v>
      </c>
      <c r="I1192" s="550">
        <v>0</v>
      </c>
      <c r="J1192" s="550">
        <v>120</v>
      </c>
      <c r="K1192" s="550">
        <v>0</v>
      </c>
      <c r="L1192" s="550">
        <v>0</v>
      </c>
      <c r="M1192" s="550">
        <v>0</v>
      </c>
      <c r="N1192" s="550">
        <v>135</v>
      </c>
      <c r="O1192" s="550">
        <v>7</v>
      </c>
      <c r="P1192" s="550">
        <v>328</v>
      </c>
      <c r="Q1192" s="550">
        <v>46</v>
      </c>
      <c r="R1192" s="574" t="s">
        <v>494</v>
      </c>
      <c r="S1192" s="552"/>
      <c r="T1192" s="552"/>
      <c r="U1192" s="552"/>
      <c r="V1192" s="552"/>
      <c r="W1192" s="552"/>
      <c r="X1192" s="552"/>
      <c r="Y1192" s="552"/>
      <c r="Z1192" s="552"/>
      <c r="AA1192" s="553"/>
      <c r="AB1192" s="553"/>
    </row>
    <row r="1193" spans="1:28" ht="12.75">
      <c r="A1193" s="547" t="s">
        <v>494</v>
      </c>
      <c r="B1193" s="547" t="s">
        <v>169</v>
      </c>
      <c r="C1193" s="548" t="s">
        <v>812</v>
      </c>
      <c r="D1193" s="549">
        <v>2016</v>
      </c>
      <c r="E1193" s="549" t="s">
        <v>775</v>
      </c>
      <c r="F1193" s="550">
        <v>164</v>
      </c>
      <c r="G1193" s="550">
        <v>0</v>
      </c>
      <c r="H1193" s="550">
        <v>0</v>
      </c>
      <c r="I1193" s="550">
        <v>0</v>
      </c>
      <c r="J1193" s="550">
        <v>120</v>
      </c>
      <c r="K1193" s="550">
        <v>0</v>
      </c>
      <c r="L1193" s="550">
        <v>0</v>
      </c>
      <c r="M1193" s="550">
        <v>0</v>
      </c>
      <c r="N1193" s="550">
        <v>135</v>
      </c>
      <c r="O1193" s="550">
        <v>9</v>
      </c>
      <c r="P1193" s="550">
        <v>328</v>
      </c>
      <c r="Q1193" s="550">
        <v>10</v>
      </c>
      <c r="R1193" s="574" t="s">
        <v>494</v>
      </c>
      <c r="S1193" s="552"/>
      <c r="T1193" s="552"/>
      <c r="U1193" s="552"/>
      <c r="V1193" s="552"/>
      <c r="W1193" s="552"/>
      <c r="X1193" s="552"/>
      <c r="Y1193" s="552"/>
      <c r="Z1193" s="552"/>
      <c r="AA1193" s="553"/>
      <c r="AB1193" s="553"/>
    </row>
    <row r="1194" spans="1:28" ht="12.75">
      <c r="A1194" s="547" t="s">
        <v>494</v>
      </c>
      <c r="B1194" s="547" t="s">
        <v>169</v>
      </c>
      <c r="C1194" s="548" t="s">
        <v>812</v>
      </c>
      <c r="D1194" s="549">
        <v>2017</v>
      </c>
      <c r="E1194" s="549" t="s">
        <v>775</v>
      </c>
      <c r="F1194" s="550">
        <v>164</v>
      </c>
      <c r="G1194" s="550">
        <v>13</v>
      </c>
      <c r="H1194" s="550">
        <v>13</v>
      </c>
      <c r="I1194" s="550">
        <v>0</v>
      </c>
      <c r="J1194" s="550">
        <v>120</v>
      </c>
      <c r="K1194" s="550">
        <v>33</v>
      </c>
      <c r="L1194" s="550">
        <v>33</v>
      </c>
      <c r="M1194" s="550">
        <v>0</v>
      </c>
      <c r="N1194" s="550">
        <v>135</v>
      </c>
      <c r="O1194" s="550">
        <v>13</v>
      </c>
      <c r="P1194" s="550">
        <v>328</v>
      </c>
      <c r="Q1194" s="550">
        <v>9</v>
      </c>
      <c r="R1194" s="574" t="s">
        <v>494</v>
      </c>
      <c r="S1194" s="552"/>
      <c r="T1194" s="552"/>
      <c r="U1194" s="552"/>
      <c r="V1194" s="552"/>
      <c r="W1194" s="552"/>
      <c r="X1194" s="552"/>
      <c r="Y1194" s="552"/>
      <c r="Z1194" s="552"/>
      <c r="AA1194" s="553"/>
      <c r="AB1194" s="553"/>
    </row>
    <row r="1195" spans="1:28" ht="12.75">
      <c r="A1195" s="547" t="s">
        <v>494</v>
      </c>
      <c r="B1195" s="547" t="s">
        <v>169</v>
      </c>
      <c r="C1195" s="548" t="s">
        <v>813</v>
      </c>
      <c r="D1195" s="549">
        <v>2019</v>
      </c>
      <c r="E1195" s="549" t="s">
        <v>775</v>
      </c>
      <c r="F1195" s="550">
        <v>164</v>
      </c>
      <c r="G1195" s="550">
        <v>0</v>
      </c>
      <c r="H1195" s="550">
        <v>0</v>
      </c>
      <c r="I1195" s="550">
        <v>0</v>
      </c>
      <c r="J1195" s="550">
        <v>120</v>
      </c>
      <c r="K1195" s="550">
        <v>0</v>
      </c>
      <c r="L1195" s="550">
        <v>0</v>
      </c>
      <c r="M1195" s="550">
        <v>0</v>
      </c>
      <c r="N1195" s="550">
        <v>135</v>
      </c>
      <c r="O1195" s="550">
        <v>0</v>
      </c>
      <c r="P1195" s="550">
        <v>328</v>
      </c>
      <c r="Q1195" s="550">
        <v>125</v>
      </c>
      <c r="R1195" s="574" t="s">
        <v>494</v>
      </c>
      <c r="S1195" s="255">
        <f>SUM(G1191:G1195) +SUM(K1191:K1195)</f>
        <v>60</v>
      </c>
      <c r="T1195" s="255">
        <f t="shared" ref="T1195:T1196" si="187">F1195+J1195</f>
        <v>284</v>
      </c>
      <c r="U1195" s="255">
        <f>SUM(O1191:O1195)</f>
        <v>79</v>
      </c>
      <c r="V1195" s="255">
        <f t="shared" ref="V1195:V1196" si="188">N1195</f>
        <v>135</v>
      </c>
      <c r="W1195" s="83">
        <f>SUM(Q1191:Q1195)</f>
        <v>227</v>
      </c>
      <c r="X1195" s="255">
        <f t="shared" ref="X1195:X1196" si="189">P1195</f>
        <v>328</v>
      </c>
      <c r="Y1195" s="255">
        <f>S1195+U1195+SUM(Q1191:Q1195)</f>
        <v>366</v>
      </c>
      <c r="Z1195" s="255">
        <f t="shared" ref="Z1195:Z1196" si="190">F1195+J1195+N1195+P1195</f>
        <v>747</v>
      </c>
      <c r="AA1195" s="553"/>
      <c r="AB1195" s="553"/>
    </row>
    <row r="1196" spans="1:28" ht="12.75">
      <c r="A1196" s="547" t="s">
        <v>495</v>
      </c>
      <c r="B1196" s="547" t="s">
        <v>169</v>
      </c>
      <c r="C1196" s="548" t="s">
        <v>813</v>
      </c>
      <c r="D1196" s="549">
        <v>2019</v>
      </c>
      <c r="E1196" s="549" t="s">
        <v>775</v>
      </c>
      <c r="F1196" s="550">
        <v>313</v>
      </c>
      <c r="G1196" s="550">
        <v>0</v>
      </c>
      <c r="H1196" s="550">
        <v>0</v>
      </c>
      <c r="I1196" s="550">
        <v>0</v>
      </c>
      <c r="J1196" s="550">
        <v>220</v>
      </c>
      <c r="K1196" s="550">
        <v>0</v>
      </c>
      <c r="L1196" s="550">
        <v>0</v>
      </c>
      <c r="M1196" s="550">
        <v>0</v>
      </c>
      <c r="N1196" s="550">
        <v>248</v>
      </c>
      <c r="O1196" s="550">
        <v>23</v>
      </c>
      <c r="P1196" s="550">
        <v>572</v>
      </c>
      <c r="Q1196" s="550">
        <v>135</v>
      </c>
      <c r="R1196" s="574" t="s">
        <v>495</v>
      </c>
      <c r="S1196" s="552">
        <f>G1196+K1196</f>
        <v>0</v>
      </c>
      <c r="T1196" s="552">
        <f t="shared" si="187"/>
        <v>533</v>
      </c>
      <c r="U1196" s="552">
        <f>O1196</f>
        <v>23</v>
      </c>
      <c r="V1196" s="552">
        <f t="shared" si="188"/>
        <v>248</v>
      </c>
      <c r="W1196" s="552">
        <f>Q1196</f>
        <v>135</v>
      </c>
      <c r="X1196" s="552">
        <f t="shared" si="189"/>
        <v>572</v>
      </c>
      <c r="Y1196" s="552">
        <f>S1196+U1196+W1196</f>
        <v>158</v>
      </c>
      <c r="Z1196" s="552">
        <f t="shared" si="190"/>
        <v>1353</v>
      </c>
      <c r="AA1196" s="553"/>
      <c r="AB1196" s="553"/>
    </row>
    <row r="1197" spans="1:28" ht="12.75">
      <c r="A1197" s="547" t="s">
        <v>496</v>
      </c>
      <c r="B1197" s="547" t="s">
        <v>169</v>
      </c>
      <c r="C1197" s="548" t="s">
        <v>812</v>
      </c>
      <c r="D1197" s="549">
        <v>2014</v>
      </c>
      <c r="E1197" s="549" t="s">
        <v>775</v>
      </c>
      <c r="F1197" s="550">
        <v>2817</v>
      </c>
      <c r="G1197" s="550">
        <v>137</v>
      </c>
      <c r="H1197" s="550">
        <v>137</v>
      </c>
      <c r="I1197" s="550">
        <v>0</v>
      </c>
      <c r="J1197" s="550">
        <v>2034</v>
      </c>
      <c r="K1197" s="550">
        <v>0</v>
      </c>
      <c r="L1197" s="550">
        <v>0</v>
      </c>
      <c r="M1197" s="550">
        <v>0</v>
      </c>
      <c r="N1197" s="550">
        <v>2239</v>
      </c>
      <c r="O1197" s="550">
        <v>1702</v>
      </c>
      <c r="P1197" s="550">
        <v>5059</v>
      </c>
      <c r="Q1197" s="550">
        <v>1654</v>
      </c>
      <c r="R1197" s="574" t="s">
        <v>496</v>
      </c>
      <c r="S1197" s="552"/>
      <c r="T1197" s="552"/>
      <c r="U1197" s="552"/>
      <c r="V1197" s="552"/>
      <c r="W1197" s="552"/>
      <c r="X1197" s="552"/>
      <c r="Y1197" s="552"/>
      <c r="Z1197" s="552"/>
      <c r="AA1197" s="553"/>
      <c r="AB1197" s="553"/>
    </row>
    <row r="1198" spans="1:28" ht="12.75">
      <c r="A1198" s="547" t="s">
        <v>496</v>
      </c>
      <c r="B1198" s="547" t="s">
        <v>169</v>
      </c>
      <c r="C1198" s="548" t="s">
        <v>812</v>
      </c>
      <c r="D1198" s="549">
        <v>2015</v>
      </c>
      <c r="E1198" s="549" t="s">
        <v>775</v>
      </c>
      <c r="F1198" s="550">
        <v>2817</v>
      </c>
      <c r="G1198" s="550">
        <v>22</v>
      </c>
      <c r="H1198" s="550">
        <v>22</v>
      </c>
      <c r="I1198" s="550">
        <v>0</v>
      </c>
      <c r="J1198" s="550">
        <v>2034</v>
      </c>
      <c r="K1198" s="550">
        <v>1</v>
      </c>
      <c r="L1198" s="550">
        <v>1</v>
      </c>
      <c r="M1198" s="550">
        <v>0</v>
      </c>
      <c r="N1198" s="550">
        <v>2239</v>
      </c>
      <c r="O1198" s="550">
        <v>4531</v>
      </c>
      <c r="P1198" s="550">
        <v>5059</v>
      </c>
      <c r="Q1198" s="550">
        <v>1645</v>
      </c>
      <c r="R1198" s="574" t="s">
        <v>496</v>
      </c>
      <c r="S1198" s="552"/>
      <c r="T1198" s="552"/>
      <c r="U1198" s="552"/>
      <c r="V1198" s="552"/>
      <c r="W1198" s="552"/>
      <c r="X1198" s="552"/>
      <c r="Y1198" s="552"/>
      <c r="Z1198" s="552"/>
      <c r="AA1198" s="553"/>
      <c r="AB1198" s="553"/>
    </row>
    <row r="1199" spans="1:28" ht="12.75">
      <c r="A1199" s="547" t="s">
        <v>496</v>
      </c>
      <c r="B1199" s="547" t="s">
        <v>169</v>
      </c>
      <c r="C1199" s="548" t="s">
        <v>812</v>
      </c>
      <c r="D1199" s="549">
        <v>2016</v>
      </c>
      <c r="E1199" s="549" t="s">
        <v>775</v>
      </c>
      <c r="F1199" s="550">
        <v>2817</v>
      </c>
      <c r="G1199" s="550">
        <v>724</v>
      </c>
      <c r="H1199" s="550">
        <v>724</v>
      </c>
      <c r="I1199" s="550">
        <v>0</v>
      </c>
      <c r="J1199" s="550">
        <v>2034</v>
      </c>
      <c r="K1199" s="550">
        <v>2</v>
      </c>
      <c r="L1199" s="550">
        <v>2</v>
      </c>
      <c r="M1199" s="550">
        <v>0</v>
      </c>
      <c r="N1199" s="550">
        <v>2239</v>
      </c>
      <c r="O1199" s="550">
        <v>4582</v>
      </c>
      <c r="P1199" s="550">
        <v>5059</v>
      </c>
      <c r="Q1199" s="550">
        <v>2987</v>
      </c>
      <c r="R1199" s="574" t="s">
        <v>496</v>
      </c>
      <c r="S1199" s="552"/>
      <c r="T1199" s="552"/>
      <c r="U1199" s="552"/>
      <c r="V1199" s="552"/>
      <c r="W1199" s="552"/>
      <c r="X1199" s="552"/>
      <c r="Y1199" s="552"/>
      <c r="Z1199" s="552"/>
      <c r="AA1199" s="553"/>
      <c r="AB1199" s="553"/>
    </row>
    <row r="1200" spans="1:28" ht="12.75">
      <c r="A1200" s="547" t="s">
        <v>496</v>
      </c>
      <c r="B1200" s="547" t="s">
        <v>169</v>
      </c>
      <c r="C1200" s="548" t="s">
        <v>812</v>
      </c>
      <c r="D1200" s="549">
        <v>2017</v>
      </c>
      <c r="E1200" s="549" t="s">
        <v>775</v>
      </c>
      <c r="F1200" s="550">
        <v>2817</v>
      </c>
      <c r="G1200" s="550">
        <v>24</v>
      </c>
      <c r="H1200" s="550">
        <v>24</v>
      </c>
      <c r="I1200" s="550">
        <v>0</v>
      </c>
      <c r="J1200" s="550">
        <v>2034</v>
      </c>
      <c r="K1200" s="550">
        <v>0</v>
      </c>
      <c r="L1200" s="550">
        <v>0</v>
      </c>
      <c r="M1200" s="550">
        <v>0</v>
      </c>
      <c r="N1200" s="550">
        <v>2239</v>
      </c>
      <c r="O1200" s="550">
        <v>2158</v>
      </c>
      <c r="P1200" s="550">
        <v>5059</v>
      </c>
      <c r="Q1200" s="550">
        <v>2396</v>
      </c>
      <c r="R1200" s="574" t="s">
        <v>496</v>
      </c>
      <c r="S1200" s="552"/>
      <c r="T1200" s="552"/>
      <c r="U1200" s="552"/>
      <c r="V1200" s="552"/>
      <c r="W1200" s="552"/>
      <c r="X1200" s="552"/>
      <c r="Y1200" s="552"/>
      <c r="Z1200" s="552"/>
      <c r="AA1200" s="553"/>
      <c r="AB1200" s="553"/>
    </row>
    <row r="1201" spans="1:28" ht="12.75">
      <c r="A1201" s="547" t="s">
        <v>496</v>
      </c>
      <c r="B1201" s="547" t="s">
        <v>169</v>
      </c>
      <c r="C1201" s="548" t="s">
        <v>812</v>
      </c>
      <c r="D1201" s="549">
        <v>2018</v>
      </c>
      <c r="E1201" s="549" t="s">
        <v>775</v>
      </c>
      <c r="F1201" s="550">
        <v>2817</v>
      </c>
      <c r="G1201" s="550">
        <v>0</v>
      </c>
      <c r="H1201" s="550">
        <v>0</v>
      </c>
      <c r="I1201" s="550">
        <v>0</v>
      </c>
      <c r="J1201" s="550">
        <v>2034</v>
      </c>
      <c r="K1201" s="550">
        <v>0</v>
      </c>
      <c r="L1201" s="550">
        <v>0</v>
      </c>
      <c r="M1201" s="550">
        <v>0</v>
      </c>
      <c r="N1201" s="550">
        <v>2239</v>
      </c>
      <c r="O1201" s="550">
        <v>0</v>
      </c>
      <c r="P1201" s="550">
        <v>5059</v>
      </c>
      <c r="Q1201" s="550">
        <v>3455</v>
      </c>
      <c r="R1201" s="574" t="s">
        <v>496</v>
      </c>
      <c r="S1201" s="552"/>
      <c r="T1201" s="552"/>
      <c r="U1201" s="552"/>
      <c r="V1201" s="552"/>
      <c r="W1201" s="552"/>
      <c r="X1201" s="552"/>
      <c r="Y1201" s="552"/>
      <c r="Z1201" s="552"/>
      <c r="AA1201" s="553"/>
      <c r="AB1201" s="553"/>
    </row>
    <row r="1202" spans="1:28" ht="12.75">
      <c r="A1202" s="547" t="s">
        <v>496</v>
      </c>
      <c r="B1202" s="547" t="s">
        <v>169</v>
      </c>
      <c r="C1202" s="548" t="s">
        <v>813</v>
      </c>
      <c r="D1202" s="549">
        <v>2019</v>
      </c>
      <c r="E1202" s="549" t="s">
        <v>775</v>
      </c>
      <c r="F1202" s="550">
        <v>2817</v>
      </c>
      <c r="G1202" s="550">
        <v>220</v>
      </c>
      <c r="H1202" s="550">
        <v>220</v>
      </c>
      <c r="I1202" s="550">
        <v>0</v>
      </c>
      <c r="J1202" s="550">
        <v>2034</v>
      </c>
      <c r="K1202" s="550">
        <v>34</v>
      </c>
      <c r="L1202" s="550">
        <v>34</v>
      </c>
      <c r="M1202" s="550">
        <v>0</v>
      </c>
      <c r="N1202" s="550">
        <v>2239</v>
      </c>
      <c r="O1202" s="550">
        <v>25</v>
      </c>
      <c r="P1202" s="550">
        <v>5059</v>
      </c>
      <c r="Q1202" s="550">
        <v>2725</v>
      </c>
      <c r="R1202" s="574" t="s">
        <v>496</v>
      </c>
      <c r="S1202" s="552">
        <f>SUM(G1197:G1202) +SUM(K1197:K1202)</f>
        <v>1164</v>
      </c>
      <c r="T1202" s="552">
        <f>F1202+J1202</f>
        <v>4851</v>
      </c>
      <c r="U1202" s="552">
        <f>SUM(O1197:O1202)</f>
        <v>12998</v>
      </c>
      <c r="V1202" s="552">
        <f>N1202</f>
        <v>2239</v>
      </c>
      <c r="W1202" s="554">
        <f>SUM(Q1197:Q1202)</f>
        <v>14862</v>
      </c>
      <c r="X1202" s="552">
        <f>P1202</f>
        <v>5059</v>
      </c>
      <c r="Y1202" s="552">
        <f>S1202+U1202+SUM(Q1197:Q1202)</f>
        <v>29024</v>
      </c>
      <c r="Z1202" s="552">
        <f>F1202+J1202+N1202+P1202</f>
        <v>12149</v>
      </c>
      <c r="AA1202" s="553"/>
      <c r="AB1202" s="553"/>
    </row>
    <row r="1203" spans="1:28" ht="12.75">
      <c r="A1203" s="547" t="s">
        <v>497</v>
      </c>
      <c r="B1203" s="547" t="s">
        <v>169</v>
      </c>
      <c r="C1203" s="548" t="s">
        <v>812</v>
      </c>
      <c r="D1203" s="549">
        <v>2014</v>
      </c>
      <c r="E1203" s="549" t="s">
        <v>775</v>
      </c>
      <c r="F1203" s="550">
        <v>1</v>
      </c>
      <c r="G1203" s="550">
        <v>0</v>
      </c>
      <c r="H1203" s="550">
        <v>0</v>
      </c>
      <c r="I1203" s="550">
        <v>0</v>
      </c>
      <c r="J1203" s="550">
        <v>1</v>
      </c>
      <c r="K1203" s="550">
        <v>0</v>
      </c>
      <c r="L1203" s="550">
        <v>0</v>
      </c>
      <c r="M1203" s="550">
        <v>0</v>
      </c>
      <c r="N1203" s="550">
        <v>1</v>
      </c>
      <c r="O1203" s="550">
        <v>7</v>
      </c>
      <c r="P1203" s="550">
        <v>1</v>
      </c>
      <c r="Q1203" s="550">
        <v>0</v>
      </c>
      <c r="R1203" s="574" t="s">
        <v>497</v>
      </c>
      <c r="S1203" s="552"/>
      <c r="T1203" s="552"/>
      <c r="U1203" s="552"/>
      <c r="V1203" s="552"/>
      <c r="W1203" s="552"/>
      <c r="X1203" s="552"/>
      <c r="Y1203" s="552"/>
      <c r="Z1203" s="552"/>
      <c r="AA1203" s="553"/>
      <c r="AB1203" s="553"/>
    </row>
    <row r="1204" spans="1:28" ht="12.75">
      <c r="A1204" s="547" t="s">
        <v>497</v>
      </c>
      <c r="B1204" s="547" t="s">
        <v>169</v>
      </c>
      <c r="C1204" s="548" t="s">
        <v>812</v>
      </c>
      <c r="D1204" s="549">
        <v>2015</v>
      </c>
      <c r="E1204" s="549" t="s">
        <v>775</v>
      </c>
      <c r="F1204" s="550">
        <v>1</v>
      </c>
      <c r="G1204" s="550">
        <v>0</v>
      </c>
      <c r="H1204" s="550">
        <v>0</v>
      </c>
      <c r="I1204" s="550">
        <v>0</v>
      </c>
      <c r="J1204" s="550">
        <v>1</v>
      </c>
      <c r="K1204" s="550">
        <v>3</v>
      </c>
      <c r="L1204" s="550">
        <v>3</v>
      </c>
      <c r="M1204" s="550">
        <v>0</v>
      </c>
      <c r="N1204" s="550">
        <v>1</v>
      </c>
      <c r="O1204" s="550">
        <v>4</v>
      </c>
      <c r="P1204" s="550">
        <v>1</v>
      </c>
      <c r="Q1204" s="550">
        <v>22</v>
      </c>
      <c r="R1204" s="574" t="s">
        <v>497</v>
      </c>
      <c r="S1204" s="552"/>
      <c r="T1204" s="552"/>
      <c r="U1204" s="552"/>
      <c r="V1204" s="552"/>
      <c r="W1204" s="552"/>
      <c r="X1204" s="552"/>
      <c r="Y1204" s="552"/>
      <c r="Z1204" s="552"/>
      <c r="AA1204" s="553"/>
      <c r="AB1204" s="553"/>
    </row>
    <row r="1205" spans="1:28" ht="12.75">
      <c r="A1205" s="547" t="s">
        <v>497</v>
      </c>
      <c r="B1205" s="547" t="s">
        <v>169</v>
      </c>
      <c r="C1205" s="548" t="s">
        <v>812</v>
      </c>
      <c r="D1205" s="549">
        <v>2016</v>
      </c>
      <c r="E1205" s="549" t="s">
        <v>775</v>
      </c>
      <c r="F1205" s="550">
        <v>1</v>
      </c>
      <c r="G1205" s="550">
        <v>0</v>
      </c>
      <c r="H1205" s="550">
        <v>0</v>
      </c>
      <c r="I1205" s="550">
        <v>0</v>
      </c>
      <c r="J1205" s="550">
        <v>1</v>
      </c>
      <c r="K1205" s="550">
        <v>0</v>
      </c>
      <c r="L1205" s="550">
        <v>0</v>
      </c>
      <c r="M1205" s="550">
        <v>0</v>
      </c>
      <c r="N1205" s="550">
        <v>1</v>
      </c>
      <c r="O1205" s="550">
        <v>0</v>
      </c>
      <c r="P1205" s="550">
        <v>1</v>
      </c>
      <c r="Q1205" s="550">
        <v>357</v>
      </c>
      <c r="R1205" s="574" t="s">
        <v>497</v>
      </c>
      <c r="S1205" s="552"/>
      <c r="T1205" s="552"/>
      <c r="U1205" s="552"/>
      <c r="V1205" s="552"/>
      <c r="W1205" s="552"/>
      <c r="X1205" s="552"/>
      <c r="Y1205" s="552"/>
      <c r="Z1205" s="552"/>
      <c r="AA1205" s="553"/>
      <c r="AB1205" s="553"/>
    </row>
    <row r="1206" spans="1:28" ht="12.75">
      <c r="A1206" s="547" t="s">
        <v>497</v>
      </c>
      <c r="B1206" s="547" t="s">
        <v>169</v>
      </c>
      <c r="C1206" s="548" t="s">
        <v>812</v>
      </c>
      <c r="D1206" s="549">
        <v>2017</v>
      </c>
      <c r="E1206" s="549" t="s">
        <v>775</v>
      </c>
      <c r="F1206" s="550">
        <v>1</v>
      </c>
      <c r="G1206" s="550">
        <v>0</v>
      </c>
      <c r="H1206" s="550">
        <v>0</v>
      </c>
      <c r="I1206" s="550">
        <v>0</v>
      </c>
      <c r="J1206" s="550">
        <v>1</v>
      </c>
      <c r="K1206" s="550">
        <v>0</v>
      </c>
      <c r="L1206" s="550">
        <v>0</v>
      </c>
      <c r="M1206" s="550">
        <v>0</v>
      </c>
      <c r="N1206" s="550">
        <v>1</v>
      </c>
      <c r="O1206" s="550">
        <v>0</v>
      </c>
      <c r="P1206" s="550">
        <v>1</v>
      </c>
      <c r="Q1206" s="550">
        <v>41</v>
      </c>
      <c r="R1206" s="574" t="s">
        <v>497</v>
      </c>
      <c r="S1206" s="552"/>
      <c r="T1206" s="552"/>
      <c r="U1206" s="552"/>
      <c r="V1206" s="552"/>
      <c r="W1206" s="552"/>
      <c r="X1206" s="552"/>
      <c r="Y1206" s="552"/>
      <c r="Z1206" s="552"/>
      <c r="AA1206" s="553"/>
      <c r="AB1206" s="553"/>
    </row>
    <row r="1207" spans="1:28" ht="12.75">
      <c r="A1207" s="547" t="s">
        <v>497</v>
      </c>
      <c r="B1207" s="547" t="s">
        <v>169</v>
      </c>
      <c r="C1207" s="548" t="s">
        <v>812</v>
      </c>
      <c r="D1207" s="549">
        <v>2018</v>
      </c>
      <c r="E1207" s="549" t="s">
        <v>775</v>
      </c>
      <c r="F1207" s="550">
        <v>1</v>
      </c>
      <c r="G1207" s="550">
        <v>2</v>
      </c>
      <c r="H1207" s="550">
        <v>0</v>
      </c>
      <c r="I1207" s="550">
        <v>2</v>
      </c>
      <c r="J1207" s="550">
        <v>1</v>
      </c>
      <c r="K1207" s="550">
        <v>2</v>
      </c>
      <c r="L1207" s="550">
        <v>0</v>
      </c>
      <c r="M1207" s="550">
        <v>2</v>
      </c>
      <c r="N1207" s="550">
        <v>1</v>
      </c>
      <c r="O1207" s="550">
        <v>3</v>
      </c>
      <c r="P1207" s="550">
        <v>1</v>
      </c>
      <c r="Q1207" s="550">
        <v>47</v>
      </c>
      <c r="R1207" s="574" t="s">
        <v>497</v>
      </c>
      <c r="S1207" s="552"/>
      <c r="T1207" s="552"/>
      <c r="U1207" s="552"/>
      <c r="V1207" s="552"/>
      <c r="W1207" s="552"/>
      <c r="X1207" s="552"/>
      <c r="Y1207" s="552"/>
      <c r="Z1207" s="552"/>
      <c r="AA1207" s="553"/>
      <c r="AB1207" s="553"/>
    </row>
    <row r="1208" spans="1:28" ht="12.75">
      <c r="A1208" s="547" t="s">
        <v>497</v>
      </c>
      <c r="B1208" s="547" t="s">
        <v>169</v>
      </c>
      <c r="C1208" s="548" t="s">
        <v>813</v>
      </c>
      <c r="D1208" s="549">
        <v>2019</v>
      </c>
      <c r="E1208" s="549" t="s">
        <v>775</v>
      </c>
      <c r="F1208" s="550">
        <v>1</v>
      </c>
      <c r="G1208" s="550">
        <v>0</v>
      </c>
      <c r="H1208" s="550">
        <v>0</v>
      </c>
      <c r="I1208" s="550">
        <v>0</v>
      </c>
      <c r="J1208" s="550">
        <v>1</v>
      </c>
      <c r="K1208" s="550">
        <v>5</v>
      </c>
      <c r="L1208" s="550">
        <v>0</v>
      </c>
      <c r="M1208" s="550">
        <v>5</v>
      </c>
      <c r="N1208" s="550">
        <v>1</v>
      </c>
      <c r="O1208" s="550">
        <v>2</v>
      </c>
      <c r="P1208" s="550">
        <v>1</v>
      </c>
      <c r="Q1208" s="550">
        <v>23</v>
      </c>
      <c r="R1208" s="574" t="s">
        <v>497</v>
      </c>
      <c r="S1208" s="552">
        <f>SUM(G1203:G1208) +SUM(K1203:K1208)</f>
        <v>12</v>
      </c>
      <c r="T1208" s="552">
        <f>F1208+J1208</f>
        <v>2</v>
      </c>
      <c r="U1208" s="552">
        <f>SUM(O1203:O1208)</f>
        <v>16</v>
      </c>
      <c r="V1208" s="552">
        <f>N1208</f>
        <v>1</v>
      </c>
      <c r="W1208" s="554">
        <f>SUM(Q1203:Q1208)</f>
        <v>490</v>
      </c>
      <c r="X1208" s="552">
        <f>P1208</f>
        <v>1</v>
      </c>
      <c r="Y1208" s="552">
        <f>S1208+U1208+SUM(Q1203:Q1208)</f>
        <v>518</v>
      </c>
      <c r="Z1208" s="552">
        <f>F1208+J1208+N1208+P1208</f>
        <v>4</v>
      </c>
      <c r="AA1208" s="553"/>
      <c r="AB1208" s="553"/>
    </row>
    <row r="1209" spans="1:28" ht="12.75">
      <c r="A1209" s="547" t="s">
        <v>498</v>
      </c>
      <c r="B1209" s="547" t="s">
        <v>169</v>
      </c>
      <c r="C1209" s="548" t="s">
        <v>812</v>
      </c>
      <c r="D1209" s="549">
        <v>2014</v>
      </c>
      <c r="E1209" s="549" t="s">
        <v>775</v>
      </c>
      <c r="F1209" s="550">
        <v>2</v>
      </c>
      <c r="G1209" s="550">
        <v>0</v>
      </c>
      <c r="H1209" s="550">
        <v>0</v>
      </c>
      <c r="I1209" s="550">
        <v>0</v>
      </c>
      <c r="J1209" s="550">
        <v>2</v>
      </c>
      <c r="K1209" s="550">
        <v>0</v>
      </c>
      <c r="L1209" s="550">
        <v>0</v>
      </c>
      <c r="M1209" s="550">
        <v>0</v>
      </c>
      <c r="N1209" s="550">
        <v>2</v>
      </c>
      <c r="O1209" s="550">
        <v>0</v>
      </c>
      <c r="P1209" s="550">
        <v>3</v>
      </c>
      <c r="Q1209" s="550">
        <v>0</v>
      </c>
      <c r="R1209" s="574" t="s">
        <v>498</v>
      </c>
      <c r="S1209" s="552"/>
      <c r="T1209" s="552"/>
      <c r="U1209" s="552"/>
      <c r="V1209" s="552"/>
      <c r="W1209" s="552"/>
      <c r="X1209" s="552"/>
      <c r="Y1209" s="552"/>
      <c r="Z1209" s="552"/>
      <c r="AA1209" s="553"/>
      <c r="AB1209" s="553"/>
    </row>
    <row r="1210" spans="1:28" ht="12.75">
      <c r="A1210" s="547" t="s">
        <v>498</v>
      </c>
      <c r="B1210" s="547" t="s">
        <v>169</v>
      </c>
      <c r="C1210" s="548" t="s">
        <v>812</v>
      </c>
      <c r="D1210" s="549">
        <v>2015</v>
      </c>
      <c r="E1210" s="549" t="s">
        <v>775</v>
      </c>
      <c r="F1210" s="550">
        <v>2</v>
      </c>
      <c r="G1210" s="550">
        <v>0</v>
      </c>
      <c r="H1210" s="550">
        <v>0</v>
      </c>
      <c r="I1210" s="550">
        <v>0</v>
      </c>
      <c r="J1210" s="550">
        <v>2</v>
      </c>
      <c r="K1210" s="550">
        <v>0</v>
      </c>
      <c r="L1210" s="550">
        <v>0</v>
      </c>
      <c r="M1210" s="550">
        <v>0</v>
      </c>
      <c r="N1210" s="550">
        <v>2</v>
      </c>
      <c r="O1210" s="550">
        <v>0</v>
      </c>
      <c r="P1210" s="550">
        <v>3</v>
      </c>
      <c r="Q1210" s="550">
        <v>0</v>
      </c>
      <c r="R1210" s="574" t="s">
        <v>498</v>
      </c>
      <c r="S1210" s="552"/>
      <c r="T1210" s="552"/>
      <c r="U1210" s="552"/>
      <c r="V1210" s="552"/>
      <c r="W1210" s="552"/>
      <c r="X1210" s="552"/>
      <c r="Y1210" s="552"/>
      <c r="Z1210" s="552"/>
      <c r="AA1210" s="553"/>
      <c r="AB1210" s="553"/>
    </row>
    <row r="1211" spans="1:28" ht="12.75">
      <c r="A1211" s="547" t="s">
        <v>498</v>
      </c>
      <c r="B1211" s="547" t="s">
        <v>169</v>
      </c>
      <c r="C1211" s="548" t="s">
        <v>812</v>
      </c>
      <c r="D1211" s="549">
        <v>2016</v>
      </c>
      <c r="E1211" s="549" t="s">
        <v>775</v>
      </c>
      <c r="F1211" s="550">
        <v>2</v>
      </c>
      <c r="G1211" s="550">
        <v>0</v>
      </c>
      <c r="H1211" s="550">
        <v>0</v>
      </c>
      <c r="I1211" s="550">
        <v>0</v>
      </c>
      <c r="J1211" s="550">
        <v>2</v>
      </c>
      <c r="K1211" s="550">
        <v>0</v>
      </c>
      <c r="L1211" s="550">
        <v>0</v>
      </c>
      <c r="M1211" s="550">
        <v>0</v>
      </c>
      <c r="N1211" s="550">
        <v>2</v>
      </c>
      <c r="O1211" s="550">
        <v>0</v>
      </c>
      <c r="P1211" s="550">
        <v>3</v>
      </c>
      <c r="Q1211" s="550">
        <v>0</v>
      </c>
      <c r="R1211" s="574" t="s">
        <v>498</v>
      </c>
      <c r="S1211" s="552"/>
      <c r="T1211" s="552"/>
      <c r="U1211" s="552"/>
      <c r="V1211" s="552"/>
      <c r="W1211" s="552"/>
      <c r="X1211" s="552"/>
      <c r="Y1211" s="552"/>
      <c r="Z1211" s="552"/>
      <c r="AA1211" s="553"/>
      <c r="AB1211" s="553"/>
    </row>
    <row r="1212" spans="1:28" ht="12.75">
      <c r="A1212" s="547" t="s">
        <v>498</v>
      </c>
      <c r="B1212" s="547" t="s">
        <v>169</v>
      </c>
      <c r="C1212" s="548" t="s">
        <v>812</v>
      </c>
      <c r="D1212" s="549">
        <v>2017</v>
      </c>
      <c r="E1212" s="549" t="s">
        <v>775</v>
      </c>
      <c r="F1212" s="550">
        <v>2</v>
      </c>
      <c r="G1212" s="550">
        <v>0</v>
      </c>
      <c r="H1212" s="550">
        <v>0</v>
      </c>
      <c r="I1212" s="550">
        <v>0</v>
      </c>
      <c r="J1212" s="550">
        <v>2</v>
      </c>
      <c r="K1212" s="550">
        <v>0</v>
      </c>
      <c r="L1212" s="550">
        <v>0</v>
      </c>
      <c r="M1212" s="550">
        <v>0</v>
      </c>
      <c r="N1212" s="550">
        <v>2</v>
      </c>
      <c r="O1212" s="550">
        <v>0</v>
      </c>
      <c r="P1212" s="550">
        <v>3</v>
      </c>
      <c r="Q1212" s="550">
        <v>10</v>
      </c>
      <c r="R1212" s="574" t="s">
        <v>498</v>
      </c>
      <c r="S1212" s="552"/>
      <c r="T1212" s="552"/>
      <c r="U1212" s="552"/>
      <c r="V1212" s="552"/>
      <c r="W1212" s="552"/>
      <c r="X1212" s="552"/>
      <c r="Y1212" s="552"/>
      <c r="Z1212" s="552"/>
      <c r="AA1212" s="553"/>
      <c r="AB1212" s="553"/>
    </row>
    <row r="1213" spans="1:28" ht="12.75">
      <c r="A1213" s="547" t="s">
        <v>498</v>
      </c>
      <c r="B1213" s="547" t="s">
        <v>169</v>
      </c>
      <c r="C1213" s="548" t="s">
        <v>812</v>
      </c>
      <c r="D1213" s="549">
        <v>2018</v>
      </c>
      <c r="E1213" s="549" t="s">
        <v>775</v>
      </c>
      <c r="F1213" s="550">
        <v>2</v>
      </c>
      <c r="G1213" s="564"/>
      <c r="H1213" s="564"/>
      <c r="I1213" s="564"/>
      <c r="J1213" s="550">
        <v>2</v>
      </c>
      <c r="K1213" s="564"/>
      <c r="L1213" s="564"/>
      <c r="M1213" s="564"/>
      <c r="N1213" s="550">
        <v>2</v>
      </c>
      <c r="O1213" s="564"/>
      <c r="P1213" s="550">
        <v>3</v>
      </c>
      <c r="Q1213" s="564"/>
      <c r="R1213" s="574" t="s">
        <v>498</v>
      </c>
      <c r="S1213" s="552"/>
      <c r="T1213" s="552"/>
      <c r="U1213" s="552"/>
      <c r="V1213" s="552"/>
      <c r="W1213" s="552"/>
      <c r="X1213" s="552"/>
      <c r="Y1213" s="552"/>
      <c r="Z1213" s="552"/>
      <c r="AA1213" s="553"/>
      <c r="AB1213" s="553"/>
    </row>
    <row r="1214" spans="1:28" ht="12.75">
      <c r="A1214" s="547" t="s">
        <v>498</v>
      </c>
      <c r="B1214" s="547" t="s">
        <v>169</v>
      </c>
      <c r="C1214" s="548" t="s">
        <v>813</v>
      </c>
      <c r="D1214" s="549">
        <v>2019</v>
      </c>
      <c r="E1214" s="549" t="s">
        <v>775</v>
      </c>
      <c r="F1214" s="550">
        <v>2</v>
      </c>
      <c r="G1214" s="550">
        <v>0</v>
      </c>
      <c r="H1214" s="550">
        <v>0</v>
      </c>
      <c r="I1214" s="550">
        <v>0</v>
      </c>
      <c r="J1214" s="550">
        <v>2</v>
      </c>
      <c r="K1214" s="550">
        <v>1</v>
      </c>
      <c r="L1214" s="550">
        <v>0</v>
      </c>
      <c r="M1214" s="550">
        <v>1</v>
      </c>
      <c r="N1214" s="550">
        <v>2</v>
      </c>
      <c r="O1214" s="550">
        <v>0</v>
      </c>
      <c r="P1214" s="550">
        <v>3</v>
      </c>
      <c r="Q1214" s="550">
        <v>0</v>
      </c>
      <c r="R1214" s="574" t="s">
        <v>498</v>
      </c>
      <c r="S1214" s="552">
        <f>SUM(G1209:G1214) +SUM(K1209:K1214)</f>
        <v>1</v>
      </c>
      <c r="T1214" s="552">
        <f>F1214+J1214</f>
        <v>4</v>
      </c>
      <c r="U1214" s="552">
        <f>SUM(O1209:O1214)</f>
        <v>0</v>
      </c>
      <c r="V1214" s="552">
        <f>N1214</f>
        <v>2</v>
      </c>
      <c r="W1214" s="554">
        <f>SUM(Q1209:Q1214)</f>
        <v>10</v>
      </c>
      <c r="X1214" s="552">
        <f>P1214</f>
        <v>3</v>
      </c>
      <c r="Y1214" s="552">
        <f>S1214+U1214+SUM(Q1209:Q1214)</f>
        <v>11</v>
      </c>
      <c r="Z1214" s="552">
        <f>F1214+J1214+N1214+P1214</f>
        <v>9</v>
      </c>
      <c r="AA1214" s="553"/>
      <c r="AB1214" s="553"/>
    </row>
    <row r="1215" spans="1:28" ht="12.75">
      <c r="A1215" s="547" t="s">
        <v>499</v>
      </c>
      <c r="B1215" s="547" t="s">
        <v>169</v>
      </c>
      <c r="C1215" s="548" t="s">
        <v>812</v>
      </c>
      <c r="D1215" s="549">
        <v>2014</v>
      </c>
      <c r="E1215" s="549" t="s">
        <v>775</v>
      </c>
      <c r="F1215" s="550">
        <v>1</v>
      </c>
      <c r="G1215" s="550">
        <v>0</v>
      </c>
      <c r="H1215" s="550">
        <v>0</v>
      </c>
      <c r="I1215" s="550">
        <v>0</v>
      </c>
      <c r="J1215" s="550">
        <v>1</v>
      </c>
      <c r="K1215" s="550">
        <v>0</v>
      </c>
      <c r="L1215" s="550">
        <v>0</v>
      </c>
      <c r="M1215" s="550">
        <v>0</v>
      </c>
      <c r="N1215" s="550">
        <v>0</v>
      </c>
      <c r="O1215" s="550">
        <v>0</v>
      </c>
      <c r="P1215" s="550">
        <v>0</v>
      </c>
      <c r="Q1215" s="550">
        <v>15</v>
      </c>
      <c r="R1215" s="574" t="s">
        <v>499</v>
      </c>
      <c r="S1215" s="552"/>
      <c r="T1215" s="552"/>
      <c r="U1215" s="552"/>
      <c r="V1215" s="552"/>
      <c r="W1215" s="552"/>
      <c r="X1215" s="552"/>
      <c r="Y1215" s="552"/>
      <c r="Z1215" s="552"/>
      <c r="AA1215" s="553"/>
      <c r="AB1215" s="553"/>
    </row>
    <row r="1216" spans="1:28" ht="12.75">
      <c r="A1216" s="547" t="s">
        <v>499</v>
      </c>
      <c r="B1216" s="547" t="s">
        <v>169</v>
      </c>
      <c r="C1216" s="548" t="s">
        <v>812</v>
      </c>
      <c r="D1216" s="549">
        <v>2015</v>
      </c>
      <c r="E1216" s="549" t="s">
        <v>775</v>
      </c>
      <c r="F1216" s="550">
        <v>1</v>
      </c>
      <c r="G1216" s="550">
        <v>0</v>
      </c>
      <c r="H1216" s="550">
        <v>0</v>
      </c>
      <c r="I1216" s="550">
        <v>0</v>
      </c>
      <c r="J1216" s="550">
        <v>1</v>
      </c>
      <c r="K1216" s="550">
        <v>0</v>
      </c>
      <c r="L1216" s="550">
        <v>0</v>
      </c>
      <c r="M1216" s="550">
        <v>0</v>
      </c>
      <c r="N1216" s="550">
        <v>0</v>
      </c>
      <c r="O1216" s="550">
        <v>0</v>
      </c>
      <c r="P1216" s="550">
        <v>0</v>
      </c>
      <c r="Q1216" s="550">
        <v>15</v>
      </c>
      <c r="R1216" s="574" t="s">
        <v>499</v>
      </c>
      <c r="S1216" s="552"/>
      <c r="T1216" s="552"/>
      <c r="U1216" s="552"/>
      <c r="V1216" s="552"/>
      <c r="W1216" s="552"/>
      <c r="X1216" s="552"/>
      <c r="Y1216" s="552"/>
      <c r="Z1216" s="552"/>
      <c r="AA1216" s="553"/>
      <c r="AB1216" s="553"/>
    </row>
    <row r="1217" spans="1:28" ht="12.75">
      <c r="A1217" s="547" t="s">
        <v>499</v>
      </c>
      <c r="B1217" s="547" t="s">
        <v>169</v>
      </c>
      <c r="C1217" s="548" t="s">
        <v>812</v>
      </c>
      <c r="D1217" s="549">
        <v>2016</v>
      </c>
      <c r="E1217" s="549" t="s">
        <v>775</v>
      </c>
      <c r="F1217" s="550">
        <v>1</v>
      </c>
      <c r="G1217" s="550">
        <v>0</v>
      </c>
      <c r="H1217" s="550">
        <v>0</v>
      </c>
      <c r="I1217" s="550">
        <v>0</v>
      </c>
      <c r="J1217" s="550">
        <v>1</v>
      </c>
      <c r="K1217" s="550">
        <v>0</v>
      </c>
      <c r="L1217" s="550">
        <v>0</v>
      </c>
      <c r="M1217" s="550">
        <v>0</v>
      </c>
      <c r="N1217" s="550">
        <v>0</v>
      </c>
      <c r="O1217" s="550">
        <v>4</v>
      </c>
      <c r="P1217" s="550">
        <v>0</v>
      </c>
      <c r="Q1217" s="550">
        <v>8</v>
      </c>
      <c r="R1217" s="574" t="s">
        <v>499</v>
      </c>
      <c r="S1217" s="552"/>
      <c r="T1217" s="552"/>
      <c r="U1217" s="552"/>
      <c r="V1217" s="552"/>
      <c r="W1217" s="552"/>
      <c r="X1217" s="552"/>
      <c r="Y1217" s="552"/>
      <c r="Z1217" s="552"/>
      <c r="AA1217" s="553"/>
      <c r="AB1217" s="553"/>
    </row>
    <row r="1218" spans="1:28" ht="12.75">
      <c r="A1218" s="547" t="s">
        <v>499</v>
      </c>
      <c r="B1218" s="547" t="s">
        <v>169</v>
      </c>
      <c r="C1218" s="548" t="s">
        <v>812</v>
      </c>
      <c r="D1218" s="549">
        <v>2017</v>
      </c>
      <c r="E1218" s="549" t="s">
        <v>775</v>
      </c>
      <c r="F1218" s="550">
        <v>1</v>
      </c>
      <c r="G1218" s="550">
        <v>0</v>
      </c>
      <c r="H1218" s="550">
        <v>0</v>
      </c>
      <c r="I1218" s="550">
        <v>0</v>
      </c>
      <c r="J1218" s="550">
        <v>1</v>
      </c>
      <c r="K1218" s="550">
        <v>1</v>
      </c>
      <c r="L1218" s="550">
        <v>1</v>
      </c>
      <c r="M1218" s="550">
        <v>0</v>
      </c>
      <c r="N1218" s="550">
        <v>0</v>
      </c>
      <c r="O1218" s="550">
        <v>3</v>
      </c>
      <c r="P1218" s="550">
        <v>0</v>
      </c>
      <c r="Q1218" s="550">
        <v>19</v>
      </c>
      <c r="R1218" s="574" t="s">
        <v>499</v>
      </c>
      <c r="S1218" s="552"/>
      <c r="T1218" s="552"/>
      <c r="U1218" s="552"/>
      <c r="V1218" s="552"/>
      <c r="W1218" s="552"/>
      <c r="X1218" s="552"/>
      <c r="Y1218" s="552"/>
      <c r="Z1218" s="552"/>
      <c r="AA1218" s="553"/>
      <c r="AB1218" s="553"/>
    </row>
    <row r="1219" spans="1:28" ht="12.75">
      <c r="A1219" s="547" t="s">
        <v>499</v>
      </c>
      <c r="B1219" s="547" t="s">
        <v>169</v>
      </c>
      <c r="C1219" s="548" t="s">
        <v>812</v>
      </c>
      <c r="D1219" s="549">
        <v>2018</v>
      </c>
      <c r="E1219" s="549" t="s">
        <v>775</v>
      </c>
      <c r="F1219" s="550">
        <v>1</v>
      </c>
      <c r="G1219" s="550">
        <v>0</v>
      </c>
      <c r="H1219" s="550">
        <v>0</v>
      </c>
      <c r="I1219" s="550">
        <v>0</v>
      </c>
      <c r="J1219" s="550">
        <v>1</v>
      </c>
      <c r="K1219" s="550">
        <v>1</v>
      </c>
      <c r="L1219" s="550">
        <v>1</v>
      </c>
      <c r="M1219" s="550">
        <v>0</v>
      </c>
      <c r="N1219" s="550">
        <v>0</v>
      </c>
      <c r="O1219" s="550">
        <v>4</v>
      </c>
      <c r="P1219" s="550">
        <v>0</v>
      </c>
      <c r="Q1219" s="550">
        <v>7</v>
      </c>
      <c r="R1219" s="574" t="s">
        <v>499</v>
      </c>
      <c r="S1219" s="552"/>
      <c r="T1219" s="552"/>
      <c r="U1219" s="552"/>
      <c r="V1219" s="552"/>
      <c r="W1219" s="552"/>
      <c r="X1219" s="552"/>
      <c r="Y1219" s="552"/>
      <c r="Z1219" s="552"/>
      <c r="AA1219" s="553"/>
      <c r="AB1219" s="553"/>
    </row>
    <row r="1220" spans="1:28" ht="12.75">
      <c r="A1220" s="547" t="s">
        <v>499</v>
      </c>
      <c r="B1220" s="547" t="s">
        <v>169</v>
      </c>
      <c r="C1220" s="548" t="s">
        <v>813</v>
      </c>
      <c r="D1220" s="549">
        <v>2019</v>
      </c>
      <c r="E1220" s="549" t="s">
        <v>775</v>
      </c>
      <c r="F1220" s="550">
        <v>1</v>
      </c>
      <c r="G1220" s="550">
        <v>0</v>
      </c>
      <c r="H1220" s="550">
        <v>0</v>
      </c>
      <c r="I1220" s="550">
        <v>0</v>
      </c>
      <c r="J1220" s="550">
        <v>1</v>
      </c>
      <c r="K1220" s="550">
        <v>0</v>
      </c>
      <c r="L1220" s="550">
        <v>0</v>
      </c>
      <c r="M1220" s="550">
        <v>0</v>
      </c>
      <c r="N1220" s="550">
        <v>0</v>
      </c>
      <c r="O1220" s="550">
        <v>8</v>
      </c>
      <c r="P1220" s="550">
        <v>0</v>
      </c>
      <c r="Q1220" s="550">
        <v>8</v>
      </c>
      <c r="R1220" s="574" t="s">
        <v>499</v>
      </c>
      <c r="S1220" s="552">
        <f>SUM(G1215:G1220) +SUM(K1215:K1220)</f>
        <v>2</v>
      </c>
      <c r="T1220" s="552">
        <f>F1220+J1220</f>
        <v>2</v>
      </c>
      <c r="U1220" s="552">
        <f>SUM(O1215:O1220)</f>
        <v>19</v>
      </c>
      <c r="V1220" s="552">
        <f>N1220</f>
        <v>0</v>
      </c>
      <c r="W1220" s="554">
        <f>SUM(Q1215:Q1220)</f>
        <v>72</v>
      </c>
      <c r="X1220" s="552">
        <f>P1220</f>
        <v>0</v>
      </c>
      <c r="Y1220" s="552">
        <f>S1220+U1220+SUM(Q1215:Q1220)</f>
        <v>93</v>
      </c>
      <c r="Z1220" s="552">
        <f>F1220+J1220+N1220+P1220</f>
        <v>2</v>
      </c>
      <c r="AA1220" s="553"/>
      <c r="AB1220" s="553"/>
    </row>
    <row r="1221" spans="1:28" ht="12.75">
      <c r="A1221" s="547" t="s">
        <v>500</v>
      </c>
      <c r="B1221" s="547" t="s">
        <v>169</v>
      </c>
      <c r="C1221" s="548" t="s">
        <v>812</v>
      </c>
      <c r="D1221" s="549">
        <v>2014</v>
      </c>
      <c r="E1221" s="549" t="s">
        <v>775</v>
      </c>
      <c r="F1221" s="550">
        <v>1</v>
      </c>
      <c r="G1221" s="550">
        <v>0</v>
      </c>
      <c r="H1221" s="550">
        <v>0</v>
      </c>
      <c r="I1221" s="550">
        <v>0</v>
      </c>
      <c r="J1221" s="550">
        <v>1</v>
      </c>
      <c r="K1221" s="550">
        <v>0</v>
      </c>
      <c r="L1221" s="550">
        <v>0</v>
      </c>
      <c r="M1221" s="550">
        <v>0</v>
      </c>
      <c r="N1221" s="550">
        <v>0</v>
      </c>
      <c r="O1221" s="550">
        <v>0</v>
      </c>
      <c r="P1221" s="550">
        <v>0</v>
      </c>
      <c r="Q1221" s="550">
        <v>0</v>
      </c>
      <c r="R1221" s="574" t="s">
        <v>500</v>
      </c>
      <c r="S1221" s="552"/>
      <c r="T1221" s="552"/>
      <c r="U1221" s="552"/>
      <c r="V1221" s="552"/>
      <c r="W1221" s="552"/>
      <c r="X1221" s="552"/>
      <c r="Y1221" s="552"/>
      <c r="Z1221" s="552"/>
      <c r="AA1221" s="553"/>
      <c r="AB1221" s="553"/>
    </row>
    <row r="1222" spans="1:28" ht="12.75">
      <c r="A1222" s="547" t="s">
        <v>500</v>
      </c>
      <c r="B1222" s="547" t="s">
        <v>169</v>
      </c>
      <c r="C1222" s="548" t="s">
        <v>812</v>
      </c>
      <c r="D1222" s="549">
        <v>2015</v>
      </c>
      <c r="E1222" s="549" t="s">
        <v>775</v>
      </c>
      <c r="F1222" s="550">
        <v>1</v>
      </c>
      <c r="G1222" s="550">
        <v>0</v>
      </c>
      <c r="H1222" s="550">
        <v>0</v>
      </c>
      <c r="I1222" s="550">
        <v>0</v>
      </c>
      <c r="J1222" s="550">
        <v>1</v>
      </c>
      <c r="K1222" s="550">
        <v>0</v>
      </c>
      <c r="L1222" s="550">
        <v>0</v>
      </c>
      <c r="M1222" s="550">
        <v>0</v>
      </c>
      <c r="N1222" s="550">
        <v>0</v>
      </c>
      <c r="O1222" s="550">
        <v>0</v>
      </c>
      <c r="P1222" s="550">
        <v>0</v>
      </c>
      <c r="Q1222" s="550">
        <v>0</v>
      </c>
      <c r="R1222" s="574" t="s">
        <v>500</v>
      </c>
      <c r="S1222" s="552"/>
      <c r="T1222" s="552"/>
      <c r="U1222" s="552"/>
      <c r="V1222" s="552"/>
      <c r="W1222" s="552"/>
      <c r="X1222" s="552"/>
      <c r="Y1222" s="552"/>
      <c r="Z1222" s="552"/>
      <c r="AA1222" s="553"/>
      <c r="AB1222" s="553"/>
    </row>
    <row r="1223" spans="1:28" ht="12.75">
      <c r="A1223" s="547" t="s">
        <v>500</v>
      </c>
      <c r="B1223" s="547" t="s">
        <v>169</v>
      </c>
      <c r="C1223" s="548" t="s">
        <v>812</v>
      </c>
      <c r="D1223" s="549">
        <v>2016</v>
      </c>
      <c r="E1223" s="549" t="s">
        <v>775</v>
      </c>
      <c r="F1223" s="550">
        <v>1</v>
      </c>
      <c r="G1223" s="550">
        <v>0</v>
      </c>
      <c r="H1223" s="550">
        <v>0</v>
      </c>
      <c r="I1223" s="550">
        <v>0</v>
      </c>
      <c r="J1223" s="550">
        <v>1</v>
      </c>
      <c r="K1223" s="550">
        <v>0</v>
      </c>
      <c r="L1223" s="550">
        <v>0</v>
      </c>
      <c r="M1223" s="550">
        <v>0</v>
      </c>
      <c r="N1223" s="550">
        <v>0</v>
      </c>
      <c r="O1223" s="550">
        <v>291</v>
      </c>
      <c r="P1223" s="550">
        <v>0</v>
      </c>
      <c r="Q1223" s="550">
        <v>1</v>
      </c>
      <c r="R1223" s="574" t="s">
        <v>500</v>
      </c>
      <c r="S1223" s="552"/>
      <c r="T1223" s="552"/>
      <c r="U1223" s="552"/>
      <c r="V1223" s="552"/>
      <c r="W1223" s="552"/>
      <c r="X1223" s="552"/>
      <c r="Y1223" s="552"/>
      <c r="Z1223" s="552"/>
      <c r="AA1223" s="553"/>
      <c r="AB1223" s="553"/>
    </row>
    <row r="1224" spans="1:28" ht="12.75">
      <c r="A1224" s="547" t="s">
        <v>500</v>
      </c>
      <c r="B1224" s="547" t="s">
        <v>169</v>
      </c>
      <c r="C1224" s="548" t="s">
        <v>812</v>
      </c>
      <c r="D1224" s="549">
        <v>2017</v>
      </c>
      <c r="E1224" s="549" t="s">
        <v>775</v>
      </c>
      <c r="F1224" s="550">
        <v>1</v>
      </c>
      <c r="G1224" s="550">
        <v>0</v>
      </c>
      <c r="H1224" s="550">
        <v>0</v>
      </c>
      <c r="I1224" s="550">
        <v>0</v>
      </c>
      <c r="J1224" s="550">
        <v>1</v>
      </c>
      <c r="K1224" s="550">
        <v>0</v>
      </c>
      <c r="L1224" s="550">
        <v>0</v>
      </c>
      <c r="M1224" s="550">
        <v>0</v>
      </c>
      <c r="N1224" s="550">
        <v>0</v>
      </c>
      <c r="O1224" s="550">
        <v>1</v>
      </c>
      <c r="P1224" s="550">
        <v>0</v>
      </c>
      <c r="Q1224" s="550">
        <v>1</v>
      </c>
      <c r="R1224" s="574" t="s">
        <v>500</v>
      </c>
      <c r="S1224" s="552"/>
      <c r="T1224" s="552"/>
      <c r="U1224" s="552"/>
      <c r="V1224" s="552"/>
      <c r="W1224" s="552"/>
      <c r="X1224" s="552"/>
      <c r="Y1224" s="552"/>
      <c r="Z1224" s="552"/>
      <c r="AA1224" s="553"/>
      <c r="AB1224" s="553"/>
    </row>
    <row r="1225" spans="1:28" ht="12.75">
      <c r="A1225" s="547" t="s">
        <v>500</v>
      </c>
      <c r="B1225" s="547" t="s">
        <v>169</v>
      </c>
      <c r="C1225" s="548" t="s">
        <v>813</v>
      </c>
      <c r="D1225" s="549">
        <v>2019</v>
      </c>
      <c r="E1225" s="549" t="s">
        <v>775</v>
      </c>
      <c r="F1225" s="550">
        <v>1</v>
      </c>
      <c r="G1225" s="550">
        <v>0</v>
      </c>
      <c r="H1225" s="550">
        <v>0</v>
      </c>
      <c r="I1225" s="550">
        <v>0</v>
      </c>
      <c r="J1225" s="550">
        <v>1</v>
      </c>
      <c r="K1225" s="550">
        <v>0</v>
      </c>
      <c r="L1225" s="550">
        <v>0</v>
      </c>
      <c r="M1225" s="550">
        <v>0</v>
      </c>
      <c r="N1225" s="550">
        <v>0</v>
      </c>
      <c r="O1225" s="550">
        <v>0</v>
      </c>
      <c r="P1225" s="550">
        <v>0</v>
      </c>
      <c r="Q1225" s="550">
        <v>2</v>
      </c>
      <c r="R1225" s="574" t="s">
        <v>500</v>
      </c>
      <c r="S1225" s="552">
        <f>SUM(G1221:G1225) +SUM(K1221:K1225)</f>
        <v>0</v>
      </c>
      <c r="T1225" s="552">
        <f>F1225+J1225</f>
        <v>2</v>
      </c>
      <c r="U1225" s="552">
        <f>SUM(O1221:O1225)</f>
        <v>292</v>
      </c>
      <c r="V1225" s="552">
        <f>N1225</f>
        <v>0</v>
      </c>
      <c r="W1225" s="554">
        <f>SUM(Q1221:Q1225)</f>
        <v>4</v>
      </c>
      <c r="X1225" s="552">
        <f>P1225</f>
        <v>0</v>
      </c>
      <c r="Y1225" s="552">
        <f>S1225+U1225+SUM(Q1221:Q1225)</f>
        <v>296</v>
      </c>
      <c r="Z1225" s="552">
        <f>F1225+J1225+N1225+P1225</f>
        <v>2</v>
      </c>
      <c r="AA1225" s="553"/>
      <c r="AB1225" s="553"/>
    </row>
    <row r="1226" spans="1:28" ht="12.75">
      <c r="A1226" s="547" t="s">
        <v>501</v>
      </c>
      <c r="B1226" s="547" t="s">
        <v>169</v>
      </c>
      <c r="C1226" s="548" t="s">
        <v>812</v>
      </c>
      <c r="D1226" s="549">
        <v>2014</v>
      </c>
      <c r="E1226" s="549" t="s">
        <v>775</v>
      </c>
      <c r="F1226" s="550">
        <v>43</v>
      </c>
      <c r="G1226" s="550">
        <v>14</v>
      </c>
      <c r="H1226" s="550">
        <v>14</v>
      </c>
      <c r="I1226" s="550">
        <v>0</v>
      </c>
      <c r="J1226" s="550">
        <v>30</v>
      </c>
      <c r="K1226" s="550">
        <v>14</v>
      </c>
      <c r="L1226" s="550">
        <v>14</v>
      </c>
      <c r="M1226" s="550">
        <v>0</v>
      </c>
      <c r="N1226" s="550">
        <v>34</v>
      </c>
      <c r="O1226" s="550">
        <v>0</v>
      </c>
      <c r="P1226" s="550">
        <v>75</v>
      </c>
      <c r="Q1226" s="550">
        <v>427</v>
      </c>
      <c r="R1226" s="574" t="s">
        <v>501</v>
      </c>
      <c r="S1226" s="552"/>
      <c r="T1226" s="552"/>
      <c r="U1226" s="552"/>
      <c r="V1226" s="552"/>
      <c r="W1226" s="552"/>
      <c r="X1226" s="552"/>
      <c r="Y1226" s="552"/>
      <c r="Z1226" s="552"/>
      <c r="AA1226" s="553"/>
      <c r="AB1226" s="553"/>
    </row>
    <row r="1227" spans="1:28" ht="12.75">
      <c r="A1227" s="547" t="s">
        <v>501</v>
      </c>
      <c r="B1227" s="547" t="s">
        <v>169</v>
      </c>
      <c r="C1227" s="548" t="s">
        <v>812</v>
      </c>
      <c r="D1227" s="549">
        <v>2015</v>
      </c>
      <c r="E1227" s="549" t="s">
        <v>775</v>
      </c>
      <c r="F1227" s="550">
        <v>43</v>
      </c>
      <c r="G1227" s="550">
        <v>0</v>
      </c>
      <c r="H1227" s="550">
        <v>0</v>
      </c>
      <c r="I1227" s="550">
        <v>0</v>
      </c>
      <c r="J1227" s="550">
        <v>30</v>
      </c>
      <c r="K1227" s="550">
        <v>0</v>
      </c>
      <c r="L1227" s="550">
        <v>0</v>
      </c>
      <c r="M1227" s="550">
        <v>0</v>
      </c>
      <c r="N1227" s="550">
        <v>34</v>
      </c>
      <c r="O1227" s="550">
        <v>2</v>
      </c>
      <c r="P1227" s="550">
        <v>75</v>
      </c>
      <c r="Q1227" s="550">
        <v>4</v>
      </c>
      <c r="R1227" s="574" t="s">
        <v>501</v>
      </c>
      <c r="S1227" s="552"/>
      <c r="T1227" s="552"/>
      <c r="U1227" s="552"/>
      <c r="V1227" s="552"/>
      <c r="W1227" s="552"/>
      <c r="X1227" s="552"/>
      <c r="Y1227" s="552"/>
      <c r="Z1227" s="552"/>
      <c r="AA1227" s="553"/>
      <c r="AB1227" s="553"/>
    </row>
    <row r="1228" spans="1:28" ht="12.75">
      <c r="A1228" s="547" t="s">
        <v>501</v>
      </c>
      <c r="B1228" s="547" t="s">
        <v>169</v>
      </c>
      <c r="C1228" s="548" t="s">
        <v>812</v>
      </c>
      <c r="D1228" s="549">
        <v>2016</v>
      </c>
      <c r="E1228" s="549" t="s">
        <v>775</v>
      </c>
      <c r="F1228" s="550">
        <v>43</v>
      </c>
      <c r="G1228" s="550">
        <v>18</v>
      </c>
      <c r="H1228" s="550">
        <v>18</v>
      </c>
      <c r="I1228" s="550">
        <v>0</v>
      </c>
      <c r="J1228" s="550">
        <v>30</v>
      </c>
      <c r="K1228" s="550">
        <v>0</v>
      </c>
      <c r="L1228" s="550">
        <v>0</v>
      </c>
      <c r="M1228" s="550">
        <v>0</v>
      </c>
      <c r="N1228" s="550">
        <v>34</v>
      </c>
      <c r="O1228" s="550">
        <v>0</v>
      </c>
      <c r="P1228" s="550">
        <v>75</v>
      </c>
      <c r="Q1228" s="550">
        <v>508</v>
      </c>
      <c r="R1228" s="574" t="s">
        <v>501</v>
      </c>
      <c r="S1228" s="552"/>
      <c r="T1228" s="552"/>
      <c r="U1228" s="552"/>
      <c r="V1228" s="552"/>
      <c r="W1228" s="552"/>
      <c r="X1228" s="552"/>
      <c r="Y1228" s="552"/>
      <c r="Z1228" s="552"/>
      <c r="AA1228" s="553"/>
      <c r="AB1228" s="553"/>
    </row>
    <row r="1229" spans="1:28" ht="12.75">
      <c r="A1229" s="547" t="s">
        <v>501</v>
      </c>
      <c r="B1229" s="547" t="s">
        <v>169</v>
      </c>
      <c r="C1229" s="548" t="s">
        <v>812</v>
      </c>
      <c r="D1229" s="549">
        <v>2017</v>
      </c>
      <c r="E1229" s="549" t="s">
        <v>775</v>
      </c>
      <c r="F1229" s="550">
        <v>43</v>
      </c>
      <c r="G1229" s="550">
        <v>0</v>
      </c>
      <c r="H1229" s="550">
        <v>0</v>
      </c>
      <c r="I1229" s="550">
        <v>0</v>
      </c>
      <c r="J1229" s="550">
        <v>30</v>
      </c>
      <c r="K1229" s="550">
        <v>24</v>
      </c>
      <c r="L1229" s="550">
        <v>24</v>
      </c>
      <c r="M1229" s="550">
        <v>0</v>
      </c>
      <c r="N1229" s="550">
        <v>34</v>
      </c>
      <c r="O1229" s="550">
        <v>0</v>
      </c>
      <c r="P1229" s="550">
        <v>75</v>
      </c>
      <c r="Q1229" s="550">
        <v>211</v>
      </c>
      <c r="R1229" s="574" t="s">
        <v>501</v>
      </c>
      <c r="S1229" s="552"/>
      <c r="T1229" s="552"/>
      <c r="U1229" s="552"/>
      <c r="V1229" s="552"/>
      <c r="W1229" s="552"/>
      <c r="X1229" s="552"/>
      <c r="Y1229" s="552"/>
      <c r="Z1229" s="552"/>
      <c r="AA1229" s="553"/>
      <c r="AB1229" s="553"/>
    </row>
    <row r="1230" spans="1:28" ht="12.75">
      <c r="A1230" s="547" t="s">
        <v>501</v>
      </c>
      <c r="B1230" s="547" t="s">
        <v>169</v>
      </c>
      <c r="C1230" s="548" t="s">
        <v>812</v>
      </c>
      <c r="D1230" s="549">
        <v>2018</v>
      </c>
      <c r="E1230" s="549" t="s">
        <v>775</v>
      </c>
      <c r="F1230" s="550">
        <v>43</v>
      </c>
      <c r="G1230" s="550">
        <v>9</v>
      </c>
      <c r="H1230" s="550">
        <v>9</v>
      </c>
      <c r="I1230" s="550">
        <v>0</v>
      </c>
      <c r="J1230" s="550">
        <v>30</v>
      </c>
      <c r="K1230" s="550">
        <v>0</v>
      </c>
      <c r="L1230" s="550">
        <v>0</v>
      </c>
      <c r="M1230" s="550">
        <v>0</v>
      </c>
      <c r="N1230" s="550">
        <v>34</v>
      </c>
      <c r="O1230" s="550">
        <v>0</v>
      </c>
      <c r="P1230" s="550">
        <v>75</v>
      </c>
      <c r="Q1230" s="550">
        <v>291</v>
      </c>
      <c r="R1230" s="574" t="s">
        <v>501</v>
      </c>
      <c r="S1230" s="552"/>
      <c r="T1230" s="552"/>
      <c r="U1230" s="552"/>
      <c r="V1230" s="552"/>
      <c r="W1230" s="552"/>
      <c r="X1230" s="552"/>
      <c r="Y1230" s="552"/>
      <c r="Z1230" s="552"/>
      <c r="AA1230" s="553"/>
      <c r="AB1230" s="553"/>
    </row>
    <row r="1231" spans="1:28" ht="12.75">
      <c r="A1231" s="547" t="s">
        <v>501</v>
      </c>
      <c r="B1231" s="547" t="s">
        <v>169</v>
      </c>
      <c r="C1231" s="548" t="s">
        <v>813</v>
      </c>
      <c r="D1231" s="549">
        <v>2019</v>
      </c>
      <c r="E1231" s="549" t="s">
        <v>775</v>
      </c>
      <c r="F1231" s="550">
        <v>43</v>
      </c>
      <c r="G1231" s="550">
        <v>0</v>
      </c>
      <c r="H1231" s="550">
        <v>0</v>
      </c>
      <c r="I1231" s="550">
        <v>0</v>
      </c>
      <c r="J1231" s="550">
        <v>30</v>
      </c>
      <c r="K1231" s="550">
        <v>0</v>
      </c>
      <c r="L1231" s="550">
        <v>0</v>
      </c>
      <c r="M1231" s="550">
        <v>0</v>
      </c>
      <c r="N1231" s="550">
        <v>34</v>
      </c>
      <c r="O1231" s="550">
        <v>3</v>
      </c>
      <c r="P1231" s="550">
        <v>75</v>
      </c>
      <c r="Q1231" s="550">
        <v>1</v>
      </c>
      <c r="R1231" s="574" t="s">
        <v>501</v>
      </c>
      <c r="S1231" s="552">
        <f>SUM(G1226:G1231) +SUM(K1226:K1231)</f>
        <v>79</v>
      </c>
      <c r="T1231" s="552">
        <f>F1231+J1231</f>
        <v>73</v>
      </c>
      <c r="U1231" s="552">
        <f>SUM(O1226:O1231)</f>
        <v>5</v>
      </c>
      <c r="V1231" s="552">
        <f>N1231</f>
        <v>34</v>
      </c>
      <c r="W1231" s="554">
        <f>SUM(Q1226:Q1231)</f>
        <v>1442</v>
      </c>
      <c r="X1231" s="552">
        <f>P1231</f>
        <v>75</v>
      </c>
      <c r="Y1231" s="552">
        <f>S1231+U1231+SUM(Q1226:Q1231)</f>
        <v>1526</v>
      </c>
      <c r="Z1231" s="552">
        <f>F1231+J1231+N1231+P1231</f>
        <v>182</v>
      </c>
      <c r="AA1231" s="553"/>
      <c r="AB1231" s="553"/>
    </row>
    <row r="1232" spans="1:28" ht="12.75">
      <c r="A1232" s="547" t="s">
        <v>502</v>
      </c>
      <c r="B1232" s="547" t="s">
        <v>169</v>
      </c>
      <c r="C1232" s="548" t="s">
        <v>812</v>
      </c>
      <c r="D1232" s="549">
        <v>2014</v>
      </c>
      <c r="E1232" s="549" t="s">
        <v>775</v>
      </c>
      <c r="F1232" s="550">
        <v>1</v>
      </c>
      <c r="G1232" s="550">
        <v>0</v>
      </c>
      <c r="H1232" s="550">
        <v>0</v>
      </c>
      <c r="I1232" s="550">
        <v>0</v>
      </c>
      <c r="J1232" s="550">
        <v>1</v>
      </c>
      <c r="K1232" s="550">
        <v>0</v>
      </c>
      <c r="L1232" s="550">
        <v>0</v>
      </c>
      <c r="M1232" s="550">
        <v>0</v>
      </c>
      <c r="N1232" s="550">
        <v>0</v>
      </c>
      <c r="O1232" s="550">
        <v>0</v>
      </c>
      <c r="P1232" s="550">
        <v>0</v>
      </c>
      <c r="Q1232" s="550">
        <v>0</v>
      </c>
      <c r="R1232" s="574" t="s">
        <v>502</v>
      </c>
      <c r="S1232" s="552"/>
      <c r="T1232" s="552"/>
      <c r="U1232" s="552"/>
      <c r="V1232" s="552"/>
      <c r="W1232" s="552"/>
      <c r="X1232" s="552"/>
      <c r="Y1232" s="552"/>
      <c r="Z1232" s="552"/>
      <c r="AA1232" s="553"/>
      <c r="AB1232" s="553"/>
    </row>
    <row r="1233" spans="1:28" ht="12.75">
      <c r="A1233" s="547" t="s">
        <v>502</v>
      </c>
      <c r="B1233" s="547" t="s">
        <v>169</v>
      </c>
      <c r="C1233" s="548" t="s">
        <v>812</v>
      </c>
      <c r="D1233" s="549">
        <v>2015</v>
      </c>
      <c r="E1233" s="549" t="s">
        <v>775</v>
      </c>
      <c r="F1233" s="550">
        <v>1</v>
      </c>
      <c r="G1233" s="550">
        <v>0</v>
      </c>
      <c r="H1233" s="550">
        <v>0</v>
      </c>
      <c r="I1233" s="550">
        <v>0</v>
      </c>
      <c r="J1233" s="550">
        <v>1</v>
      </c>
      <c r="K1233" s="550">
        <v>0</v>
      </c>
      <c r="L1233" s="550">
        <v>0</v>
      </c>
      <c r="M1233" s="550">
        <v>0</v>
      </c>
      <c r="N1233" s="550">
        <v>0</v>
      </c>
      <c r="O1233" s="550">
        <v>0</v>
      </c>
      <c r="P1233" s="550">
        <v>0</v>
      </c>
      <c r="Q1233" s="550">
        <v>0</v>
      </c>
      <c r="R1233" s="574" t="s">
        <v>502</v>
      </c>
      <c r="S1233" s="552"/>
      <c r="T1233" s="552"/>
      <c r="U1233" s="552"/>
      <c r="V1233" s="552"/>
      <c r="W1233" s="552"/>
      <c r="X1233" s="552"/>
      <c r="Y1233" s="552"/>
      <c r="Z1233" s="552"/>
      <c r="AA1233" s="553"/>
      <c r="AB1233" s="553"/>
    </row>
    <row r="1234" spans="1:28" ht="12.75">
      <c r="A1234" s="547" t="s">
        <v>502</v>
      </c>
      <c r="B1234" s="547" t="s">
        <v>169</v>
      </c>
      <c r="C1234" s="548" t="s">
        <v>812</v>
      </c>
      <c r="D1234" s="549">
        <v>2016</v>
      </c>
      <c r="E1234" s="549" t="s">
        <v>775</v>
      </c>
      <c r="F1234" s="550">
        <v>1</v>
      </c>
      <c r="G1234" s="550">
        <v>0</v>
      </c>
      <c r="H1234" s="550">
        <v>0</v>
      </c>
      <c r="I1234" s="550">
        <v>0</v>
      </c>
      <c r="J1234" s="550">
        <v>1</v>
      </c>
      <c r="K1234" s="550">
        <v>0</v>
      </c>
      <c r="L1234" s="550">
        <v>0</v>
      </c>
      <c r="M1234" s="550">
        <v>0</v>
      </c>
      <c r="N1234" s="550">
        <v>0</v>
      </c>
      <c r="O1234" s="550">
        <v>0</v>
      </c>
      <c r="P1234" s="550">
        <v>0</v>
      </c>
      <c r="Q1234" s="550">
        <v>0</v>
      </c>
      <c r="R1234" s="574" t="s">
        <v>502</v>
      </c>
      <c r="S1234" s="552"/>
      <c r="T1234" s="552"/>
      <c r="U1234" s="552"/>
      <c r="V1234" s="552"/>
      <c r="W1234" s="552"/>
      <c r="X1234" s="552"/>
      <c r="Y1234" s="552"/>
      <c r="Z1234" s="552"/>
      <c r="AA1234" s="553"/>
      <c r="AB1234" s="553"/>
    </row>
    <row r="1235" spans="1:28" ht="12.75">
      <c r="A1235" s="547" t="s">
        <v>502</v>
      </c>
      <c r="B1235" s="547" t="s">
        <v>169</v>
      </c>
      <c r="C1235" s="548" t="s">
        <v>812</v>
      </c>
      <c r="D1235" s="549">
        <v>2017</v>
      </c>
      <c r="E1235" s="549" t="s">
        <v>775</v>
      </c>
      <c r="F1235" s="550">
        <v>1</v>
      </c>
      <c r="G1235" s="550">
        <v>0</v>
      </c>
      <c r="H1235" s="550">
        <v>0</v>
      </c>
      <c r="I1235" s="550">
        <v>0</v>
      </c>
      <c r="J1235" s="550">
        <v>1</v>
      </c>
      <c r="K1235" s="550">
        <v>0</v>
      </c>
      <c r="L1235" s="550">
        <v>0</v>
      </c>
      <c r="M1235" s="550">
        <v>0</v>
      </c>
      <c r="N1235" s="550">
        <v>0</v>
      </c>
      <c r="O1235" s="550">
        <v>0</v>
      </c>
      <c r="P1235" s="550">
        <v>0</v>
      </c>
      <c r="Q1235" s="550">
        <v>0</v>
      </c>
      <c r="R1235" s="574" t="s">
        <v>502</v>
      </c>
      <c r="S1235" s="552"/>
      <c r="T1235" s="552"/>
      <c r="U1235" s="552"/>
      <c r="V1235" s="552"/>
      <c r="W1235" s="552"/>
      <c r="X1235" s="552"/>
      <c r="Y1235" s="552"/>
      <c r="Z1235" s="552"/>
      <c r="AA1235" s="553"/>
      <c r="AB1235" s="553"/>
    </row>
    <row r="1236" spans="1:28" ht="12.75">
      <c r="A1236" s="547" t="s">
        <v>502</v>
      </c>
      <c r="B1236" s="547" t="s">
        <v>169</v>
      </c>
      <c r="C1236" s="548" t="s">
        <v>812</v>
      </c>
      <c r="D1236" s="549">
        <v>2018</v>
      </c>
      <c r="E1236" s="549" t="s">
        <v>775</v>
      </c>
      <c r="F1236" s="550">
        <v>1</v>
      </c>
      <c r="G1236" s="564"/>
      <c r="H1236" s="564"/>
      <c r="I1236" s="564"/>
      <c r="J1236" s="550">
        <v>1</v>
      </c>
      <c r="K1236" s="564"/>
      <c r="L1236" s="564"/>
      <c r="M1236" s="564"/>
      <c r="N1236" s="550">
        <v>0</v>
      </c>
      <c r="O1236" s="564"/>
      <c r="P1236" s="550">
        <v>0</v>
      </c>
      <c r="Q1236" s="564"/>
      <c r="R1236" s="574" t="s">
        <v>502</v>
      </c>
      <c r="S1236" s="552"/>
      <c r="T1236" s="552"/>
      <c r="U1236" s="552"/>
      <c r="V1236" s="552"/>
      <c r="W1236" s="552"/>
      <c r="X1236" s="552"/>
      <c r="Y1236" s="552"/>
      <c r="Z1236" s="552"/>
      <c r="AA1236" s="553"/>
      <c r="AB1236" s="553"/>
    </row>
    <row r="1237" spans="1:28" ht="12.75">
      <c r="A1237" s="547" t="s">
        <v>502</v>
      </c>
      <c r="B1237" s="547" t="s">
        <v>169</v>
      </c>
      <c r="C1237" s="548" t="s">
        <v>813</v>
      </c>
      <c r="D1237" s="549">
        <v>2019</v>
      </c>
      <c r="E1237" s="549" t="s">
        <v>775</v>
      </c>
      <c r="F1237" s="550">
        <v>1</v>
      </c>
      <c r="G1237" s="550">
        <v>0</v>
      </c>
      <c r="H1237" s="550">
        <v>0</v>
      </c>
      <c r="I1237" s="550">
        <v>0</v>
      </c>
      <c r="J1237" s="550">
        <v>1</v>
      </c>
      <c r="K1237" s="550">
        <v>0</v>
      </c>
      <c r="L1237" s="550">
        <v>0</v>
      </c>
      <c r="M1237" s="550">
        <v>0</v>
      </c>
      <c r="N1237" s="550">
        <v>0</v>
      </c>
      <c r="O1237" s="550">
        <v>0</v>
      </c>
      <c r="P1237" s="550">
        <v>0</v>
      </c>
      <c r="Q1237" s="550">
        <v>0</v>
      </c>
      <c r="R1237" s="574" t="s">
        <v>502</v>
      </c>
      <c r="S1237" s="552">
        <f>SUM(G1232:G1237) +SUM(K1232:K1237)</f>
        <v>0</v>
      </c>
      <c r="T1237" s="552">
        <f>F1237+J1237</f>
        <v>2</v>
      </c>
      <c r="U1237" s="552">
        <f>SUM(O1232:O1237)</f>
        <v>0</v>
      </c>
      <c r="V1237" s="552">
        <f>N1237</f>
        <v>0</v>
      </c>
      <c r="W1237" s="554">
        <f>SUM(Q1232:Q1237)</f>
        <v>0</v>
      </c>
      <c r="X1237" s="552">
        <f>P1237</f>
        <v>0</v>
      </c>
      <c r="Y1237" s="552">
        <f>S1237+U1237+SUM(Q1232:Q1237)</f>
        <v>0</v>
      </c>
      <c r="Z1237" s="552">
        <f>F1237+J1237+N1237+P1237</f>
        <v>2</v>
      </c>
      <c r="AA1237" s="553"/>
      <c r="AB1237" s="553"/>
    </row>
    <row r="1238" spans="1:28" ht="12.75">
      <c r="A1238" s="547" t="s">
        <v>503</v>
      </c>
      <c r="B1238" s="547" t="s">
        <v>169</v>
      </c>
      <c r="C1238" s="548" t="s">
        <v>812</v>
      </c>
      <c r="D1238" s="549">
        <v>2014</v>
      </c>
      <c r="E1238" s="549" t="s">
        <v>775</v>
      </c>
      <c r="F1238" s="550">
        <v>647</v>
      </c>
      <c r="G1238" s="550">
        <v>0</v>
      </c>
      <c r="H1238" s="550">
        <v>0</v>
      </c>
      <c r="I1238" s="550">
        <v>0</v>
      </c>
      <c r="J1238" s="550">
        <v>450</v>
      </c>
      <c r="K1238" s="550">
        <v>0</v>
      </c>
      <c r="L1238" s="550">
        <v>0</v>
      </c>
      <c r="M1238" s="550">
        <v>0</v>
      </c>
      <c r="N1238" s="550">
        <v>497</v>
      </c>
      <c r="O1238" s="550">
        <v>145</v>
      </c>
      <c r="P1238" s="550">
        <v>1133</v>
      </c>
      <c r="Q1238" s="550">
        <v>688</v>
      </c>
      <c r="R1238" s="574" t="s">
        <v>503</v>
      </c>
      <c r="S1238" s="552"/>
      <c r="T1238" s="552"/>
      <c r="U1238" s="552"/>
      <c r="V1238" s="552"/>
      <c r="W1238" s="552"/>
      <c r="X1238" s="552"/>
      <c r="Y1238" s="552"/>
      <c r="Z1238" s="552"/>
      <c r="AA1238" s="553"/>
      <c r="AB1238" s="553"/>
    </row>
    <row r="1239" spans="1:28" ht="12.75">
      <c r="A1239" s="547" t="s">
        <v>503</v>
      </c>
      <c r="B1239" s="547" t="s">
        <v>169</v>
      </c>
      <c r="C1239" s="548" t="s">
        <v>812</v>
      </c>
      <c r="D1239" s="549">
        <v>2015</v>
      </c>
      <c r="E1239" s="549" t="s">
        <v>775</v>
      </c>
      <c r="F1239" s="550">
        <v>647</v>
      </c>
      <c r="G1239" s="550">
        <v>0</v>
      </c>
      <c r="H1239" s="550">
        <v>0</v>
      </c>
      <c r="I1239" s="550">
        <v>0</v>
      </c>
      <c r="J1239" s="550">
        <v>450</v>
      </c>
      <c r="K1239" s="550">
        <v>0</v>
      </c>
      <c r="L1239" s="550">
        <v>0</v>
      </c>
      <c r="M1239" s="550">
        <v>0</v>
      </c>
      <c r="N1239" s="550">
        <v>497</v>
      </c>
      <c r="O1239" s="550">
        <v>48</v>
      </c>
      <c r="P1239" s="550">
        <v>1133</v>
      </c>
      <c r="Q1239" s="550">
        <v>461</v>
      </c>
      <c r="R1239" s="574" t="s">
        <v>503</v>
      </c>
      <c r="S1239" s="552"/>
      <c r="T1239" s="552"/>
      <c r="U1239" s="552"/>
      <c r="V1239" s="552"/>
      <c r="W1239" s="552"/>
      <c r="X1239" s="552"/>
      <c r="Y1239" s="552"/>
      <c r="Z1239" s="552"/>
      <c r="AA1239" s="553"/>
      <c r="AB1239" s="553"/>
    </row>
    <row r="1240" spans="1:28" ht="12.75">
      <c r="A1240" s="547" t="s">
        <v>503</v>
      </c>
      <c r="B1240" s="547" t="s">
        <v>169</v>
      </c>
      <c r="C1240" s="548" t="s">
        <v>812</v>
      </c>
      <c r="D1240" s="549">
        <v>2016</v>
      </c>
      <c r="E1240" s="549" t="s">
        <v>775</v>
      </c>
      <c r="F1240" s="550">
        <v>647</v>
      </c>
      <c r="G1240" s="550">
        <v>0</v>
      </c>
      <c r="H1240" s="550">
        <v>0</v>
      </c>
      <c r="I1240" s="550">
        <v>0</v>
      </c>
      <c r="J1240" s="550">
        <v>450</v>
      </c>
      <c r="K1240" s="550">
        <v>0</v>
      </c>
      <c r="L1240" s="550">
        <v>0</v>
      </c>
      <c r="M1240" s="550">
        <v>0</v>
      </c>
      <c r="N1240" s="550">
        <v>497</v>
      </c>
      <c r="O1240" s="550">
        <v>8</v>
      </c>
      <c r="P1240" s="550">
        <v>1133</v>
      </c>
      <c r="Q1240" s="550">
        <v>489</v>
      </c>
      <c r="R1240" s="574" t="s">
        <v>503</v>
      </c>
      <c r="S1240" s="552"/>
      <c r="T1240" s="552"/>
      <c r="U1240" s="552"/>
      <c r="V1240" s="552"/>
      <c r="W1240" s="552"/>
      <c r="X1240" s="552"/>
      <c r="Y1240" s="552"/>
      <c r="Z1240" s="552"/>
      <c r="AA1240" s="553"/>
      <c r="AB1240" s="553"/>
    </row>
    <row r="1241" spans="1:28" ht="12.75">
      <c r="A1241" s="547" t="s">
        <v>503</v>
      </c>
      <c r="B1241" s="547" t="s">
        <v>169</v>
      </c>
      <c r="C1241" s="548" t="s">
        <v>812</v>
      </c>
      <c r="D1241" s="549">
        <v>2017</v>
      </c>
      <c r="E1241" s="549" t="s">
        <v>775</v>
      </c>
      <c r="F1241" s="550">
        <v>647</v>
      </c>
      <c r="G1241" s="550">
        <v>0</v>
      </c>
      <c r="H1241" s="550">
        <v>0</v>
      </c>
      <c r="I1241" s="550">
        <v>0</v>
      </c>
      <c r="J1241" s="550">
        <v>450</v>
      </c>
      <c r="K1241" s="550">
        <v>0</v>
      </c>
      <c r="L1241" s="550">
        <v>0</v>
      </c>
      <c r="M1241" s="550">
        <v>0</v>
      </c>
      <c r="N1241" s="550">
        <v>497</v>
      </c>
      <c r="O1241" s="550">
        <v>0</v>
      </c>
      <c r="P1241" s="550">
        <v>1133</v>
      </c>
      <c r="Q1241" s="550">
        <v>749</v>
      </c>
      <c r="R1241" s="574" t="s">
        <v>503</v>
      </c>
      <c r="S1241" s="552"/>
      <c r="T1241" s="552"/>
      <c r="U1241" s="552"/>
      <c r="V1241" s="552"/>
      <c r="W1241" s="552"/>
      <c r="X1241" s="552"/>
      <c r="Y1241" s="552"/>
      <c r="Z1241" s="552"/>
      <c r="AA1241" s="553"/>
      <c r="AB1241" s="553"/>
    </row>
    <row r="1242" spans="1:28" ht="12.75">
      <c r="A1242" s="547" t="s">
        <v>503</v>
      </c>
      <c r="B1242" s="547" t="s">
        <v>169</v>
      </c>
      <c r="C1242" s="548" t="s">
        <v>812</v>
      </c>
      <c r="D1242" s="549">
        <v>2018</v>
      </c>
      <c r="E1242" s="549" t="s">
        <v>775</v>
      </c>
      <c r="F1242" s="550">
        <v>647</v>
      </c>
      <c r="G1242" s="550">
        <v>0</v>
      </c>
      <c r="H1242" s="550">
        <v>0</v>
      </c>
      <c r="I1242" s="550">
        <v>0</v>
      </c>
      <c r="J1242" s="550">
        <v>450</v>
      </c>
      <c r="K1242" s="550">
        <v>0</v>
      </c>
      <c r="L1242" s="550">
        <v>0</v>
      </c>
      <c r="M1242" s="550">
        <v>0</v>
      </c>
      <c r="N1242" s="550">
        <v>497</v>
      </c>
      <c r="O1242" s="550">
        <v>1</v>
      </c>
      <c r="P1242" s="550">
        <v>1133</v>
      </c>
      <c r="Q1242" s="550">
        <v>237</v>
      </c>
      <c r="R1242" s="574" t="s">
        <v>503</v>
      </c>
      <c r="S1242" s="552"/>
      <c r="T1242" s="552"/>
      <c r="U1242" s="552"/>
      <c r="V1242" s="552"/>
      <c r="W1242" s="552"/>
      <c r="X1242" s="552"/>
      <c r="Y1242" s="552"/>
      <c r="Z1242" s="552"/>
      <c r="AA1242" s="553"/>
      <c r="AB1242" s="553"/>
    </row>
    <row r="1243" spans="1:28" ht="12.75">
      <c r="A1243" s="547" t="s">
        <v>503</v>
      </c>
      <c r="B1243" s="547" t="s">
        <v>169</v>
      </c>
      <c r="C1243" s="548" t="s">
        <v>813</v>
      </c>
      <c r="D1243" s="549">
        <v>2019</v>
      </c>
      <c r="E1243" s="549" t="s">
        <v>775</v>
      </c>
      <c r="F1243" s="550">
        <v>647</v>
      </c>
      <c r="G1243" s="550">
        <v>32</v>
      </c>
      <c r="H1243" s="550">
        <v>32</v>
      </c>
      <c r="I1243" s="550">
        <v>0</v>
      </c>
      <c r="J1243" s="550">
        <v>450</v>
      </c>
      <c r="K1243" s="550">
        <v>25</v>
      </c>
      <c r="L1243" s="550">
        <v>25</v>
      </c>
      <c r="M1243" s="550">
        <v>0</v>
      </c>
      <c r="N1243" s="550">
        <v>497</v>
      </c>
      <c r="O1243" s="550">
        <v>1</v>
      </c>
      <c r="P1243" s="550">
        <v>1133</v>
      </c>
      <c r="Q1243" s="550">
        <v>355</v>
      </c>
      <c r="R1243" s="574" t="s">
        <v>503</v>
      </c>
      <c r="S1243" s="552">
        <f>SUM(G1238:G1243) +SUM(K1238:K1243)</f>
        <v>57</v>
      </c>
      <c r="T1243" s="552">
        <f t="shared" ref="T1243:T1244" si="191">F1243+J1243</f>
        <v>1097</v>
      </c>
      <c r="U1243" s="552">
        <f>SUM(O1238:O1243)</f>
        <v>203</v>
      </c>
      <c r="V1243" s="552">
        <f t="shared" ref="V1243:V1244" si="192">N1243</f>
        <v>497</v>
      </c>
      <c r="W1243" s="554">
        <f>SUM(Q1238:Q1243)</f>
        <v>2979</v>
      </c>
      <c r="X1243" s="552">
        <f t="shared" ref="X1243:X1244" si="193">P1243</f>
        <v>1133</v>
      </c>
      <c r="Y1243" s="552">
        <f>S1243+U1243+SUM(Q1238:Q1243)</f>
        <v>3239</v>
      </c>
      <c r="Z1243" s="552">
        <f t="shared" ref="Z1243:Z1244" si="194">F1243+J1243+N1243+P1243</f>
        <v>2727</v>
      </c>
      <c r="AA1243" s="553"/>
      <c r="AB1243" s="553"/>
    </row>
    <row r="1244" spans="1:28" ht="12.75">
      <c r="A1244" s="547" t="s">
        <v>504</v>
      </c>
      <c r="B1244" s="547" t="s">
        <v>169</v>
      </c>
      <c r="C1244" s="548" t="s">
        <v>812</v>
      </c>
      <c r="D1244" s="549">
        <v>2017</v>
      </c>
      <c r="E1244" s="549" t="s">
        <v>775</v>
      </c>
      <c r="F1244" s="550">
        <v>14</v>
      </c>
      <c r="G1244" s="550">
        <v>0</v>
      </c>
      <c r="H1244" s="550">
        <v>0</v>
      </c>
      <c r="I1244" s="550">
        <v>0</v>
      </c>
      <c r="J1244" s="550">
        <v>10</v>
      </c>
      <c r="K1244" s="550">
        <v>0</v>
      </c>
      <c r="L1244" s="550">
        <v>0</v>
      </c>
      <c r="M1244" s="550">
        <v>0</v>
      </c>
      <c r="N1244" s="550">
        <v>11</v>
      </c>
      <c r="O1244" s="550">
        <v>0</v>
      </c>
      <c r="P1244" s="550">
        <v>26</v>
      </c>
      <c r="Q1244" s="550">
        <v>5</v>
      </c>
      <c r="R1244" s="574" t="s">
        <v>504</v>
      </c>
      <c r="S1244" s="552">
        <f>G1244+K1244</f>
        <v>0</v>
      </c>
      <c r="T1244" s="552">
        <f t="shared" si="191"/>
        <v>24</v>
      </c>
      <c r="U1244" s="552">
        <f>O1244</f>
        <v>0</v>
      </c>
      <c r="V1244" s="552">
        <f t="shared" si="192"/>
        <v>11</v>
      </c>
      <c r="W1244" s="552">
        <f>Q1244</f>
        <v>5</v>
      </c>
      <c r="X1244" s="552">
        <f t="shared" si="193"/>
        <v>26</v>
      </c>
      <c r="Y1244" s="552">
        <f>S1244+U1244+W1244</f>
        <v>5</v>
      </c>
      <c r="Z1244" s="552">
        <f t="shared" si="194"/>
        <v>61</v>
      </c>
      <c r="AA1244" s="553"/>
      <c r="AB1244" s="553"/>
    </row>
    <row r="1245" spans="1:28" ht="12.75">
      <c r="A1245" s="547" t="s">
        <v>505</v>
      </c>
      <c r="B1245" s="547" t="s">
        <v>169</v>
      </c>
      <c r="C1245" s="548" t="s">
        <v>812</v>
      </c>
      <c r="D1245" s="549">
        <v>2014</v>
      </c>
      <c r="E1245" s="549" t="s">
        <v>775</v>
      </c>
      <c r="F1245" s="550">
        <v>42</v>
      </c>
      <c r="G1245" s="550">
        <v>9</v>
      </c>
      <c r="H1245" s="550">
        <v>9</v>
      </c>
      <c r="I1245" s="550">
        <v>0</v>
      </c>
      <c r="J1245" s="550">
        <v>29</v>
      </c>
      <c r="K1245" s="550">
        <v>6</v>
      </c>
      <c r="L1245" s="550">
        <v>6</v>
      </c>
      <c r="M1245" s="550">
        <v>0</v>
      </c>
      <c r="N1245" s="550">
        <v>33</v>
      </c>
      <c r="O1245" s="550">
        <v>16</v>
      </c>
      <c r="P1245" s="550">
        <v>73</v>
      </c>
      <c r="Q1245" s="550">
        <v>296</v>
      </c>
      <c r="R1245" s="574" t="s">
        <v>505</v>
      </c>
      <c r="S1245" s="552"/>
      <c r="T1245" s="552"/>
      <c r="U1245" s="552"/>
      <c r="V1245" s="552"/>
      <c r="W1245" s="552"/>
      <c r="X1245" s="552"/>
      <c r="Y1245" s="552"/>
      <c r="Z1245" s="552"/>
      <c r="AA1245" s="553"/>
      <c r="AB1245" s="553"/>
    </row>
    <row r="1246" spans="1:28" ht="12.75">
      <c r="A1246" s="547" t="s">
        <v>505</v>
      </c>
      <c r="B1246" s="547" t="s">
        <v>169</v>
      </c>
      <c r="C1246" s="548" t="s">
        <v>812</v>
      </c>
      <c r="D1246" s="549">
        <v>2015</v>
      </c>
      <c r="E1246" s="549" t="s">
        <v>775</v>
      </c>
      <c r="F1246" s="550">
        <v>42</v>
      </c>
      <c r="G1246" s="550">
        <v>3</v>
      </c>
      <c r="H1246" s="550">
        <v>3</v>
      </c>
      <c r="I1246" s="550">
        <v>0</v>
      </c>
      <c r="J1246" s="550">
        <v>29</v>
      </c>
      <c r="K1246" s="550">
        <v>22</v>
      </c>
      <c r="L1246" s="550">
        <v>22</v>
      </c>
      <c r="M1246" s="550">
        <v>0</v>
      </c>
      <c r="N1246" s="550">
        <v>33</v>
      </c>
      <c r="O1246" s="550">
        <v>0</v>
      </c>
      <c r="P1246" s="550">
        <v>73</v>
      </c>
      <c r="Q1246" s="550">
        <v>468</v>
      </c>
      <c r="R1246" s="574" t="s">
        <v>505</v>
      </c>
      <c r="S1246" s="552"/>
      <c r="T1246" s="552"/>
      <c r="U1246" s="552"/>
      <c r="V1246" s="552"/>
      <c r="W1246" s="552"/>
      <c r="X1246" s="552"/>
      <c r="Y1246" s="552"/>
      <c r="Z1246" s="552"/>
      <c r="AA1246" s="553"/>
      <c r="AB1246" s="553"/>
    </row>
    <row r="1247" spans="1:28" ht="12.75">
      <c r="A1247" s="547" t="s">
        <v>505</v>
      </c>
      <c r="B1247" s="547" t="s">
        <v>169</v>
      </c>
      <c r="C1247" s="548" t="s">
        <v>812</v>
      </c>
      <c r="D1247" s="549">
        <v>2016</v>
      </c>
      <c r="E1247" s="549" t="s">
        <v>775</v>
      </c>
      <c r="F1247" s="550">
        <v>42</v>
      </c>
      <c r="G1247" s="550">
        <v>1</v>
      </c>
      <c r="H1247" s="550">
        <v>1</v>
      </c>
      <c r="I1247" s="550">
        <v>0</v>
      </c>
      <c r="J1247" s="550">
        <v>29</v>
      </c>
      <c r="K1247" s="550">
        <v>0</v>
      </c>
      <c r="L1247" s="550">
        <v>0</v>
      </c>
      <c r="M1247" s="550">
        <v>0</v>
      </c>
      <c r="N1247" s="550">
        <v>33</v>
      </c>
      <c r="O1247" s="550">
        <v>0</v>
      </c>
      <c r="P1247" s="550">
        <v>73</v>
      </c>
      <c r="Q1247" s="550">
        <v>6</v>
      </c>
      <c r="R1247" s="574" t="s">
        <v>505</v>
      </c>
      <c r="S1247" s="552"/>
      <c r="T1247" s="552"/>
      <c r="U1247" s="552"/>
      <c r="V1247" s="552"/>
      <c r="W1247" s="552"/>
      <c r="X1247" s="552"/>
      <c r="Y1247" s="552"/>
      <c r="Z1247" s="552"/>
      <c r="AA1247" s="553"/>
      <c r="AB1247" s="553"/>
    </row>
    <row r="1248" spans="1:28" ht="12.75">
      <c r="A1248" s="547" t="s">
        <v>505</v>
      </c>
      <c r="B1248" s="547" t="s">
        <v>169</v>
      </c>
      <c r="C1248" s="548" t="s">
        <v>812</v>
      </c>
      <c r="D1248" s="549">
        <v>2017</v>
      </c>
      <c r="E1248" s="549" t="s">
        <v>775</v>
      </c>
      <c r="F1248" s="550">
        <v>42</v>
      </c>
      <c r="G1248" s="550">
        <v>0</v>
      </c>
      <c r="H1248" s="550">
        <v>0</v>
      </c>
      <c r="I1248" s="550">
        <v>0</v>
      </c>
      <c r="J1248" s="550">
        <v>29</v>
      </c>
      <c r="K1248" s="550">
        <v>0</v>
      </c>
      <c r="L1248" s="550">
        <v>0</v>
      </c>
      <c r="M1248" s="550">
        <v>0</v>
      </c>
      <c r="N1248" s="550">
        <v>33</v>
      </c>
      <c r="O1248" s="550">
        <v>0</v>
      </c>
      <c r="P1248" s="550">
        <v>73</v>
      </c>
      <c r="Q1248" s="550">
        <v>35</v>
      </c>
      <c r="R1248" s="574" t="s">
        <v>505</v>
      </c>
      <c r="S1248" s="552"/>
      <c r="T1248" s="552"/>
      <c r="U1248" s="552"/>
      <c r="V1248" s="552"/>
      <c r="W1248" s="552"/>
      <c r="X1248" s="552"/>
      <c r="Y1248" s="552"/>
      <c r="Z1248" s="552"/>
      <c r="AA1248" s="553"/>
      <c r="AB1248" s="553"/>
    </row>
    <row r="1249" spans="1:28" ht="12.75">
      <c r="A1249" s="547" t="s">
        <v>505</v>
      </c>
      <c r="B1249" s="547" t="s">
        <v>169</v>
      </c>
      <c r="C1249" s="548" t="s">
        <v>812</v>
      </c>
      <c r="D1249" s="549">
        <v>2018</v>
      </c>
      <c r="E1249" s="549" t="s">
        <v>775</v>
      </c>
      <c r="F1249" s="550">
        <v>42</v>
      </c>
      <c r="G1249" s="550">
        <v>0</v>
      </c>
      <c r="H1249" s="550">
        <v>0</v>
      </c>
      <c r="I1249" s="550">
        <v>0</v>
      </c>
      <c r="J1249" s="550">
        <v>29</v>
      </c>
      <c r="K1249" s="550">
        <v>0</v>
      </c>
      <c r="L1249" s="550">
        <v>0</v>
      </c>
      <c r="M1249" s="550">
        <v>0</v>
      </c>
      <c r="N1249" s="550">
        <v>33</v>
      </c>
      <c r="O1249" s="550">
        <v>0</v>
      </c>
      <c r="P1249" s="550">
        <v>73</v>
      </c>
      <c r="Q1249" s="550">
        <v>5</v>
      </c>
      <c r="R1249" s="574" t="s">
        <v>505</v>
      </c>
      <c r="S1249" s="552"/>
      <c r="T1249" s="552"/>
      <c r="U1249" s="552"/>
      <c r="V1249" s="552"/>
      <c r="W1249" s="552"/>
      <c r="X1249" s="552"/>
      <c r="Y1249" s="552"/>
      <c r="Z1249" s="552"/>
      <c r="AA1249" s="553"/>
      <c r="AB1249" s="553"/>
    </row>
    <row r="1250" spans="1:28" ht="12.75">
      <c r="A1250" s="547" t="s">
        <v>505</v>
      </c>
      <c r="B1250" s="547" t="s">
        <v>169</v>
      </c>
      <c r="C1250" s="548" t="s">
        <v>813</v>
      </c>
      <c r="D1250" s="549">
        <v>2019</v>
      </c>
      <c r="E1250" s="549" t="s">
        <v>775</v>
      </c>
      <c r="F1250" s="550">
        <v>42</v>
      </c>
      <c r="G1250" s="550">
        <v>0</v>
      </c>
      <c r="H1250" s="550">
        <v>0</v>
      </c>
      <c r="I1250" s="550">
        <v>0</v>
      </c>
      <c r="J1250" s="550">
        <v>29</v>
      </c>
      <c r="K1250" s="550">
        <v>0</v>
      </c>
      <c r="L1250" s="550">
        <v>0</v>
      </c>
      <c r="M1250" s="550">
        <v>0</v>
      </c>
      <c r="N1250" s="550">
        <v>33</v>
      </c>
      <c r="O1250" s="550">
        <v>0</v>
      </c>
      <c r="P1250" s="550">
        <v>73</v>
      </c>
      <c r="Q1250" s="550">
        <v>0</v>
      </c>
      <c r="R1250" s="574" t="s">
        <v>505</v>
      </c>
      <c r="S1250" s="552">
        <f>SUM(G1245:G1250) +SUM(K1245:K1250)</f>
        <v>41</v>
      </c>
      <c r="T1250" s="552">
        <f>F1250+J1250</f>
        <v>71</v>
      </c>
      <c r="U1250" s="552">
        <f>SUM(O1245:O1250)</f>
        <v>16</v>
      </c>
      <c r="V1250" s="552">
        <f>N1250</f>
        <v>33</v>
      </c>
      <c r="W1250" s="554">
        <f>SUM(Q1245:Q1250)</f>
        <v>810</v>
      </c>
      <c r="X1250" s="552">
        <f>P1250</f>
        <v>73</v>
      </c>
      <c r="Y1250" s="552">
        <f>S1250+U1250+SUM(Q1245:Q1250)</f>
        <v>867</v>
      </c>
      <c r="Z1250" s="552">
        <f>F1250+J1250+N1250+P1250</f>
        <v>177</v>
      </c>
      <c r="AA1250" s="553"/>
      <c r="AB1250" s="553"/>
    </row>
    <row r="1251" spans="1:28" ht="12.75">
      <c r="A1251" s="547" t="s">
        <v>506</v>
      </c>
      <c r="B1251" s="547" t="s">
        <v>169</v>
      </c>
      <c r="C1251" s="548" t="s">
        <v>812</v>
      </c>
      <c r="D1251" s="549">
        <v>2014</v>
      </c>
      <c r="E1251" s="549" t="s">
        <v>775</v>
      </c>
      <c r="F1251" s="550">
        <v>1</v>
      </c>
      <c r="G1251" s="550">
        <v>0</v>
      </c>
      <c r="H1251" s="550">
        <v>0</v>
      </c>
      <c r="I1251" s="550">
        <v>0</v>
      </c>
      <c r="J1251" s="550">
        <v>1</v>
      </c>
      <c r="K1251" s="550">
        <v>0</v>
      </c>
      <c r="L1251" s="550">
        <v>0</v>
      </c>
      <c r="M1251" s="550">
        <v>0</v>
      </c>
      <c r="N1251" s="550">
        <v>1</v>
      </c>
      <c r="O1251" s="550">
        <v>0</v>
      </c>
      <c r="P1251" s="550">
        <v>2</v>
      </c>
      <c r="Q1251" s="550">
        <v>115</v>
      </c>
      <c r="R1251" s="574" t="s">
        <v>506</v>
      </c>
      <c r="S1251" s="552"/>
      <c r="T1251" s="552"/>
      <c r="U1251" s="552"/>
      <c r="V1251" s="552"/>
      <c r="W1251" s="552"/>
      <c r="X1251" s="552"/>
      <c r="Y1251" s="552"/>
      <c r="Z1251" s="552"/>
      <c r="AA1251" s="553"/>
      <c r="AB1251" s="553"/>
    </row>
    <row r="1252" spans="1:28" ht="12.75">
      <c r="A1252" s="547" t="s">
        <v>506</v>
      </c>
      <c r="B1252" s="547" t="s">
        <v>169</v>
      </c>
      <c r="C1252" s="548" t="s">
        <v>812</v>
      </c>
      <c r="D1252" s="549">
        <v>2015</v>
      </c>
      <c r="E1252" s="549" t="s">
        <v>775</v>
      </c>
      <c r="F1252" s="550">
        <v>1</v>
      </c>
      <c r="G1252" s="550">
        <v>0</v>
      </c>
      <c r="H1252" s="550">
        <v>0</v>
      </c>
      <c r="I1252" s="550">
        <v>0</v>
      </c>
      <c r="J1252" s="550">
        <v>1</v>
      </c>
      <c r="K1252" s="550">
        <v>0</v>
      </c>
      <c r="L1252" s="550">
        <v>0</v>
      </c>
      <c r="M1252" s="550">
        <v>0</v>
      </c>
      <c r="N1252" s="550">
        <v>1</v>
      </c>
      <c r="O1252" s="550">
        <v>0</v>
      </c>
      <c r="P1252" s="550">
        <v>2</v>
      </c>
      <c r="Q1252" s="550">
        <v>197</v>
      </c>
      <c r="R1252" s="574" t="s">
        <v>506</v>
      </c>
      <c r="S1252" s="552"/>
      <c r="T1252" s="552"/>
      <c r="U1252" s="552"/>
      <c r="V1252" s="552"/>
      <c r="W1252" s="552"/>
      <c r="X1252" s="552"/>
      <c r="Y1252" s="552"/>
      <c r="Z1252" s="552"/>
      <c r="AA1252" s="553"/>
      <c r="AB1252" s="553"/>
    </row>
    <row r="1253" spans="1:28" ht="12.75">
      <c r="A1253" s="547" t="s">
        <v>506</v>
      </c>
      <c r="B1253" s="547" t="s">
        <v>169</v>
      </c>
      <c r="C1253" s="548" t="s">
        <v>812</v>
      </c>
      <c r="D1253" s="549">
        <v>2016</v>
      </c>
      <c r="E1253" s="549" t="s">
        <v>775</v>
      </c>
      <c r="F1253" s="550">
        <v>1</v>
      </c>
      <c r="G1253" s="550">
        <v>0</v>
      </c>
      <c r="H1253" s="550">
        <v>0</v>
      </c>
      <c r="I1253" s="550">
        <v>0</v>
      </c>
      <c r="J1253" s="550">
        <v>1</v>
      </c>
      <c r="K1253" s="550">
        <v>0</v>
      </c>
      <c r="L1253" s="550">
        <v>0</v>
      </c>
      <c r="M1253" s="550">
        <v>0</v>
      </c>
      <c r="N1253" s="550">
        <v>1</v>
      </c>
      <c r="O1253" s="550">
        <v>0</v>
      </c>
      <c r="P1253" s="550">
        <v>2</v>
      </c>
      <c r="Q1253" s="550">
        <v>186</v>
      </c>
      <c r="R1253" s="574" t="s">
        <v>506</v>
      </c>
      <c r="S1253" s="552"/>
      <c r="T1253" s="552"/>
      <c r="U1253" s="552"/>
      <c r="V1253" s="552"/>
      <c r="W1253" s="552"/>
      <c r="X1253" s="552"/>
      <c r="Y1253" s="552"/>
      <c r="Z1253" s="552"/>
      <c r="AA1253" s="553"/>
      <c r="AB1253" s="553"/>
    </row>
    <row r="1254" spans="1:28" ht="12.75">
      <c r="A1254" s="547" t="s">
        <v>506</v>
      </c>
      <c r="B1254" s="547" t="s">
        <v>169</v>
      </c>
      <c r="C1254" s="548" t="s">
        <v>812</v>
      </c>
      <c r="D1254" s="549">
        <v>2017</v>
      </c>
      <c r="E1254" s="549" t="s">
        <v>775</v>
      </c>
      <c r="F1254" s="550">
        <v>1</v>
      </c>
      <c r="G1254" s="550">
        <v>0</v>
      </c>
      <c r="H1254" s="550">
        <v>0</v>
      </c>
      <c r="I1254" s="550">
        <v>0</v>
      </c>
      <c r="J1254" s="550">
        <v>1</v>
      </c>
      <c r="K1254" s="550">
        <v>0</v>
      </c>
      <c r="L1254" s="550">
        <v>0</v>
      </c>
      <c r="M1254" s="550">
        <v>0</v>
      </c>
      <c r="N1254" s="550">
        <v>1</v>
      </c>
      <c r="O1254" s="550">
        <v>0</v>
      </c>
      <c r="P1254" s="550">
        <v>2</v>
      </c>
      <c r="Q1254" s="550">
        <v>716</v>
      </c>
      <c r="R1254" s="574" t="s">
        <v>506</v>
      </c>
      <c r="S1254" s="552"/>
      <c r="T1254" s="552"/>
      <c r="U1254" s="552"/>
      <c r="V1254" s="552"/>
      <c r="W1254" s="552"/>
      <c r="X1254" s="552"/>
      <c r="Y1254" s="552"/>
      <c r="Z1254" s="552"/>
      <c r="AA1254" s="553"/>
      <c r="AB1254" s="553"/>
    </row>
    <row r="1255" spans="1:28" ht="12.75">
      <c r="A1255" s="547" t="s">
        <v>506</v>
      </c>
      <c r="B1255" s="547" t="s">
        <v>169</v>
      </c>
      <c r="C1255" s="548" t="s">
        <v>812</v>
      </c>
      <c r="D1255" s="549">
        <v>2018</v>
      </c>
      <c r="E1255" s="549" t="s">
        <v>775</v>
      </c>
      <c r="F1255" s="550">
        <v>1</v>
      </c>
      <c r="G1255" s="550">
        <v>1</v>
      </c>
      <c r="H1255" s="550">
        <v>0</v>
      </c>
      <c r="I1255" s="550">
        <v>1</v>
      </c>
      <c r="J1255" s="550">
        <v>1</v>
      </c>
      <c r="K1255" s="550">
        <v>0</v>
      </c>
      <c r="L1255" s="550">
        <v>0</v>
      </c>
      <c r="M1255" s="550">
        <v>0</v>
      </c>
      <c r="N1255" s="550">
        <v>1</v>
      </c>
      <c r="O1255" s="550">
        <v>0</v>
      </c>
      <c r="P1255" s="550">
        <v>2</v>
      </c>
      <c r="Q1255" s="550">
        <v>35</v>
      </c>
      <c r="R1255" s="574" t="s">
        <v>506</v>
      </c>
      <c r="S1255" s="552"/>
      <c r="T1255" s="552"/>
      <c r="U1255" s="552"/>
      <c r="V1255" s="552"/>
      <c r="W1255" s="552"/>
      <c r="X1255" s="552"/>
      <c r="Y1255" s="552"/>
      <c r="Z1255" s="552"/>
      <c r="AA1255" s="553"/>
      <c r="AB1255" s="553"/>
    </row>
    <row r="1256" spans="1:28" ht="12.75">
      <c r="A1256" s="547" t="s">
        <v>506</v>
      </c>
      <c r="B1256" s="547" t="s">
        <v>169</v>
      </c>
      <c r="C1256" s="548" t="s">
        <v>813</v>
      </c>
      <c r="D1256" s="549">
        <v>2019</v>
      </c>
      <c r="E1256" s="549" t="s">
        <v>775</v>
      </c>
      <c r="F1256" s="550">
        <v>1</v>
      </c>
      <c r="G1256" s="550">
        <v>2</v>
      </c>
      <c r="H1256" s="550">
        <v>0</v>
      </c>
      <c r="I1256" s="550">
        <v>2</v>
      </c>
      <c r="J1256" s="550">
        <v>1</v>
      </c>
      <c r="K1256" s="550">
        <v>1</v>
      </c>
      <c r="L1256" s="550">
        <v>0</v>
      </c>
      <c r="M1256" s="550">
        <v>1</v>
      </c>
      <c r="N1256" s="550">
        <v>1</v>
      </c>
      <c r="O1256" s="550">
        <v>0</v>
      </c>
      <c r="P1256" s="550">
        <v>2</v>
      </c>
      <c r="Q1256" s="550">
        <v>23</v>
      </c>
      <c r="R1256" s="574" t="s">
        <v>506</v>
      </c>
      <c r="S1256" s="552">
        <f>SUM(G1251:G1256) +SUM(K1251:K1256)</f>
        <v>4</v>
      </c>
      <c r="T1256" s="552">
        <f>F1256+J1256</f>
        <v>2</v>
      </c>
      <c r="U1256" s="552">
        <f>SUM(O1251:O1256)</f>
        <v>0</v>
      </c>
      <c r="V1256" s="552">
        <f>N1256</f>
        <v>1</v>
      </c>
      <c r="W1256" s="554">
        <f>SUM(Q1251:Q1256)</f>
        <v>1272</v>
      </c>
      <c r="X1256" s="552">
        <f>P1256</f>
        <v>2</v>
      </c>
      <c r="Y1256" s="552">
        <f>S1256+U1256+SUM(Q1251:Q1256)</f>
        <v>1276</v>
      </c>
      <c r="Z1256" s="552">
        <f>F1256+J1256+N1256+P1256</f>
        <v>5</v>
      </c>
      <c r="AA1256" s="553"/>
      <c r="AB1256" s="553"/>
    </row>
    <row r="1257" spans="1:28" ht="12.75">
      <c r="A1257" s="547" t="s">
        <v>169</v>
      </c>
      <c r="B1257" s="547" t="s">
        <v>169</v>
      </c>
      <c r="C1257" s="548" t="s">
        <v>812</v>
      </c>
      <c r="D1257" s="549">
        <v>2014</v>
      </c>
      <c r="E1257" s="549" t="s">
        <v>775</v>
      </c>
      <c r="F1257" s="550">
        <v>83</v>
      </c>
      <c r="G1257" s="550">
        <v>0</v>
      </c>
      <c r="H1257" s="550">
        <v>0</v>
      </c>
      <c r="I1257" s="550">
        <v>0</v>
      </c>
      <c r="J1257" s="550">
        <v>59</v>
      </c>
      <c r="K1257" s="550">
        <v>0</v>
      </c>
      <c r="L1257" s="550">
        <v>0</v>
      </c>
      <c r="M1257" s="550">
        <v>0</v>
      </c>
      <c r="N1257" s="550">
        <v>66</v>
      </c>
      <c r="O1257" s="550">
        <v>2</v>
      </c>
      <c r="P1257" s="550">
        <v>155</v>
      </c>
      <c r="Q1257" s="550">
        <v>1</v>
      </c>
      <c r="R1257" s="574" t="s">
        <v>169</v>
      </c>
      <c r="S1257" s="552"/>
      <c r="T1257" s="552"/>
      <c r="U1257" s="552"/>
      <c r="V1257" s="552"/>
      <c r="W1257" s="552"/>
      <c r="X1257" s="552"/>
      <c r="Y1257" s="552"/>
      <c r="Z1257" s="552"/>
      <c r="AA1257" s="553"/>
      <c r="AB1257" s="553"/>
    </row>
    <row r="1258" spans="1:28" ht="12.75">
      <c r="A1258" s="547" t="s">
        <v>169</v>
      </c>
      <c r="B1258" s="547" t="s">
        <v>169</v>
      </c>
      <c r="C1258" s="548" t="s">
        <v>812</v>
      </c>
      <c r="D1258" s="549">
        <v>2015</v>
      </c>
      <c r="E1258" s="549" t="s">
        <v>775</v>
      </c>
      <c r="F1258" s="550">
        <v>83</v>
      </c>
      <c r="G1258" s="550">
        <v>0</v>
      </c>
      <c r="H1258" s="550">
        <v>0</v>
      </c>
      <c r="I1258" s="550">
        <v>0</v>
      </c>
      <c r="J1258" s="550">
        <v>59</v>
      </c>
      <c r="K1258" s="550">
        <v>1</v>
      </c>
      <c r="L1258" s="550">
        <v>1</v>
      </c>
      <c r="M1258" s="550">
        <v>0</v>
      </c>
      <c r="N1258" s="550">
        <v>66</v>
      </c>
      <c r="O1258" s="550">
        <v>7</v>
      </c>
      <c r="P1258" s="550">
        <v>155</v>
      </c>
      <c r="Q1258" s="550">
        <v>1</v>
      </c>
      <c r="R1258" s="574" t="s">
        <v>169</v>
      </c>
      <c r="S1258" s="552"/>
      <c r="T1258" s="552"/>
      <c r="U1258" s="552"/>
      <c r="V1258" s="552"/>
      <c r="W1258" s="552"/>
      <c r="X1258" s="552"/>
      <c r="Y1258" s="552"/>
      <c r="Z1258" s="552"/>
      <c r="AA1258" s="553"/>
      <c r="AB1258" s="553"/>
    </row>
    <row r="1259" spans="1:28" ht="12.75">
      <c r="A1259" s="547" t="s">
        <v>169</v>
      </c>
      <c r="B1259" s="547" t="s">
        <v>169</v>
      </c>
      <c r="C1259" s="548" t="s">
        <v>812</v>
      </c>
      <c r="D1259" s="549">
        <v>2016</v>
      </c>
      <c r="E1259" s="549" t="s">
        <v>775</v>
      </c>
      <c r="F1259" s="550">
        <v>83</v>
      </c>
      <c r="G1259" s="550">
        <v>0</v>
      </c>
      <c r="H1259" s="550">
        <v>0</v>
      </c>
      <c r="I1259" s="550">
        <v>0</v>
      </c>
      <c r="J1259" s="550">
        <v>59</v>
      </c>
      <c r="K1259" s="550">
        <v>0</v>
      </c>
      <c r="L1259" s="550">
        <v>0</v>
      </c>
      <c r="M1259" s="550">
        <v>0</v>
      </c>
      <c r="N1259" s="550">
        <v>66</v>
      </c>
      <c r="O1259" s="550">
        <v>0</v>
      </c>
      <c r="P1259" s="550">
        <v>155</v>
      </c>
      <c r="Q1259" s="550">
        <v>5</v>
      </c>
      <c r="R1259" s="574" t="s">
        <v>169</v>
      </c>
      <c r="S1259" s="552"/>
      <c r="T1259" s="552"/>
      <c r="U1259" s="552"/>
      <c r="V1259" s="552"/>
      <c r="W1259" s="552"/>
      <c r="X1259" s="552"/>
      <c r="Y1259" s="552"/>
      <c r="Z1259" s="552"/>
      <c r="AA1259" s="553"/>
      <c r="AB1259" s="553"/>
    </row>
    <row r="1260" spans="1:28" ht="12.75">
      <c r="A1260" s="547" t="s">
        <v>169</v>
      </c>
      <c r="B1260" s="547" t="s">
        <v>169</v>
      </c>
      <c r="C1260" s="548" t="s">
        <v>812</v>
      </c>
      <c r="D1260" s="549">
        <v>2017</v>
      </c>
      <c r="E1260" s="549" t="s">
        <v>775</v>
      </c>
      <c r="F1260" s="550">
        <v>83</v>
      </c>
      <c r="G1260" s="550">
        <v>7</v>
      </c>
      <c r="H1260" s="550">
        <v>7</v>
      </c>
      <c r="I1260" s="550">
        <v>0</v>
      </c>
      <c r="J1260" s="550">
        <v>59</v>
      </c>
      <c r="K1260" s="550">
        <v>2</v>
      </c>
      <c r="L1260" s="550">
        <v>2</v>
      </c>
      <c r="M1260" s="550">
        <v>0</v>
      </c>
      <c r="N1260" s="550">
        <v>66</v>
      </c>
      <c r="O1260" s="550">
        <v>72</v>
      </c>
      <c r="P1260" s="550">
        <v>155</v>
      </c>
      <c r="Q1260" s="550">
        <v>393</v>
      </c>
      <c r="R1260" s="574" t="s">
        <v>169</v>
      </c>
      <c r="S1260" s="552"/>
      <c r="T1260" s="552"/>
      <c r="U1260" s="552"/>
      <c r="V1260" s="552"/>
      <c r="W1260" s="552"/>
      <c r="X1260" s="552"/>
      <c r="Y1260" s="552"/>
      <c r="Z1260" s="552"/>
      <c r="AA1260" s="553"/>
      <c r="AB1260" s="553"/>
    </row>
    <row r="1261" spans="1:28" ht="12.75">
      <c r="A1261" s="547" t="s">
        <v>169</v>
      </c>
      <c r="B1261" s="547" t="s">
        <v>169</v>
      </c>
      <c r="C1261" s="548" t="s">
        <v>812</v>
      </c>
      <c r="D1261" s="549">
        <v>2018</v>
      </c>
      <c r="E1261" s="549" t="s">
        <v>775</v>
      </c>
      <c r="F1261" s="550">
        <v>83</v>
      </c>
      <c r="G1261" s="550">
        <v>0</v>
      </c>
      <c r="H1261" s="550">
        <v>0</v>
      </c>
      <c r="I1261" s="550">
        <v>0</v>
      </c>
      <c r="J1261" s="550">
        <v>59</v>
      </c>
      <c r="K1261" s="550">
        <v>0</v>
      </c>
      <c r="L1261" s="550">
        <v>0</v>
      </c>
      <c r="M1261" s="550">
        <v>0</v>
      </c>
      <c r="N1261" s="550">
        <v>66</v>
      </c>
      <c r="O1261" s="550">
        <v>10</v>
      </c>
      <c r="P1261" s="550">
        <v>155</v>
      </c>
      <c r="Q1261" s="550">
        <v>19</v>
      </c>
      <c r="R1261" s="574" t="s">
        <v>169</v>
      </c>
      <c r="S1261" s="552"/>
      <c r="T1261" s="552"/>
      <c r="U1261" s="552"/>
      <c r="V1261" s="552"/>
      <c r="W1261" s="552"/>
      <c r="X1261" s="552"/>
      <c r="Y1261" s="552"/>
      <c r="Z1261" s="552"/>
      <c r="AA1261" s="553"/>
      <c r="AB1261" s="553"/>
    </row>
    <row r="1262" spans="1:28" ht="12.75">
      <c r="A1262" s="547" t="s">
        <v>169</v>
      </c>
      <c r="B1262" s="547" t="s">
        <v>169</v>
      </c>
      <c r="C1262" s="548" t="s">
        <v>813</v>
      </c>
      <c r="D1262" s="549">
        <v>2019</v>
      </c>
      <c r="E1262" s="549" t="s">
        <v>775</v>
      </c>
      <c r="F1262" s="550">
        <v>83</v>
      </c>
      <c r="G1262" s="550">
        <v>0</v>
      </c>
      <c r="H1262" s="550">
        <v>0</v>
      </c>
      <c r="I1262" s="550">
        <v>0</v>
      </c>
      <c r="J1262" s="550">
        <v>59</v>
      </c>
      <c r="K1262" s="550">
        <v>0</v>
      </c>
      <c r="L1262" s="550">
        <v>0</v>
      </c>
      <c r="M1262" s="550">
        <v>0</v>
      </c>
      <c r="N1262" s="550">
        <v>66</v>
      </c>
      <c r="O1262" s="550">
        <v>662</v>
      </c>
      <c r="P1262" s="550">
        <v>155</v>
      </c>
      <c r="Q1262" s="550">
        <v>418</v>
      </c>
      <c r="R1262" s="574" t="s">
        <v>169</v>
      </c>
      <c r="S1262" s="552">
        <f>SUM(G1257:G1262) +SUM(K1257:K1262)</f>
        <v>10</v>
      </c>
      <c r="T1262" s="552">
        <f>F1262+J1262</f>
        <v>142</v>
      </c>
      <c r="U1262" s="552">
        <f>SUM(O1257:O1262)</f>
        <v>753</v>
      </c>
      <c r="V1262" s="552">
        <f>N1262</f>
        <v>66</v>
      </c>
      <c r="W1262" s="554">
        <f>SUM(Q1257:Q1262)</f>
        <v>837</v>
      </c>
      <c r="X1262" s="552">
        <f>P1262</f>
        <v>155</v>
      </c>
      <c r="Y1262" s="552">
        <f>S1262+U1262+SUM(Q1257:Q1262)</f>
        <v>1600</v>
      </c>
      <c r="Z1262" s="552">
        <f>F1262+J1262+N1262+P1262</f>
        <v>363</v>
      </c>
      <c r="AA1262" s="553"/>
      <c r="AB1262" s="553"/>
    </row>
    <row r="1263" spans="1:28" ht="12.75">
      <c r="A1263" s="547" t="s">
        <v>507</v>
      </c>
      <c r="B1263" s="547" t="s">
        <v>169</v>
      </c>
      <c r="C1263" s="548" t="s">
        <v>812</v>
      </c>
      <c r="D1263" s="549">
        <v>2014</v>
      </c>
      <c r="E1263" s="549" t="s">
        <v>775</v>
      </c>
      <c r="F1263" s="550">
        <v>1240</v>
      </c>
      <c r="G1263" s="550">
        <v>0</v>
      </c>
      <c r="H1263" s="550">
        <v>0</v>
      </c>
      <c r="I1263" s="550">
        <v>0</v>
      </c>
      <c r="J1263" s="550">
        <v>879</v>
      </c>
      <c r="K1263" s="550">
        <v>0</v>
      </c>
      <c r="L1263" s="550">
        <v>0</v>
      </c>
      <c r="M1263" s="550">
        <v>0</v>
      </c>
      <c r="N1263" s="550">
        <v>979</v>
      </c>
      <c r="O1263" s="550">
        <v>180</v>
      </c>
      <c r="P1263" s="550">
        <v>2174</v>
      </c>
      <c r="Q1263" s="550">
        <v>593</v>
      </c>
      <c r="R1263" s="574" t="s">
        <v>507</v>
      </c>
      <c r="S1263" s="552"/>
      <c r="T1263" s="552"/>
      <c r="U1263" s="552"/>
      <c r="V1263" s="552"/>
      <c r="W1263" s="552"/>
      <c r="X1263" s="552"/>
      <c r="Y1263" s="552"/>
      <c r="Z1263" s="552"/>
      <c r="AA1263" s="553"/>
      <c r="AB1263" s="553"/>
    </row>
    <row r="1264" spans="1:28" ht="12.75">
      <c r="A1264" s="547" t="s">
        <v>507</v>
      </c>
      <c r="B1264" s="547" t="s">
        <v>169</v>
      </c>
      <c r="C1264" s="548" t="s">
        <v>812</v>
      </c>
      <c r="D1264" s="549">
        <v>2015</v>
      </c>
      <c r="E1264" s="549" t="s">
        <v>775</v>
      </c>
      <c r="F1264" s="550">
        <v>1240</v>
      </c>
      <c r="G1264" s="550">
        <v>0</v>
      </c>
      <c r="H1264" s="550">
        <v>0</v>
      </c>
      <c r="I1264" s="550">
        <v>0</v>
      </c>
      <c r="J1264" s="550">
        <v>879</v>
      </c>
      <c r="K1264" s="550">
        <v>0</v>
      </c>
      <c r="L1264" s="550">
        <v>0</v>
      </c>
      <c r="M1264" s="550">
        <v>0</v>
      </c>
      <c r="N1264" s="550">
        <v>979</v>
      </c>
      <c r="O1264" s="550">
        <v>0</v>
      </c>
      <c r="P1264" s="550">
        <v>2174</v>
      </c>
      <c r="Q1264" s="550">
        <v>513</v>
      </c>
      <c r="R1264" s="574" t="s">
        <v>507</v>
      </c>
      <c r="S1264" s="552"/>
      <c r="T1264" s="552"/>
      <c r="U1264" s="552"/>
      <c r="V1264" s="552"/>
      <c r="W1264" s="552"/>
      <c r="X1264" s="552"/>
      <c r="Y1264" s="552"/>
      <c r="Z1264" s="552"/>
      <c r="AA1264" s="553"/>
      <c r="AB1264" s="553"/>
    </row>
    <row r="1265" spans="1:28" ht="12.75">
      <c r="A1265" s="547" t="s">
        <v>507</v>
      </c>
      <c r="B1265" s="547" t="s">
        <v>169</v>
      </c>
      <c r="C1265" s="548" t="s">
        <v>812</v>
      </c>
      <c r="D1265" s="549">
        <v>2016</v>
      </c>
      <c r="E1265" s="549" t="s">
        <v>775</v>
      </c>
      <c r="F1265" s="550">
        <v>1240</v>
      </c>
      <c r="G1265" s="550">
        <v>81</v>
      </c>
      <c r="H1265" s="550">
        <v>81</v>
      </c>
      <c r="I1265" s="550">
        <v>0</v>
      </c>
      <c r="J1265" s="550">
        <v>879</v>
      </c>
      <c r="K1265" s="550">
        <v>151</v>
      </c>
      <c r="L1265" s="550">
        <v>151</v>
      </c>
      <c r="M1265" s="550">
        <v>0</v>
      </c>
      <c r="N1265" s="550">
        <v>979</v>
      </c>
      <c r="O1265" s="550">
        <v>0</v>
      </c>
      <c r="P1265" s="550">
        <v>2174</v>
      </c>
      <c r="Q1265" s="550">
        <v>780</v>
      </c>
      <c r="R1265" s="574" t="s">
        <v>507</v>
      </c>
      <c r="S1265" s="552"/>
      <c r="T1265" s="552"/>
      <c r="U1265" s="552"/>
      <c r="V1265" s="552"/>
      <c r="W1265" s="552"/>
      <c r="X1265" s="552"/>
      <c r="Y1265" s="552"/>
      <c r="Z1265" s="552"/>
      <c r="AA1265" s="553"/>
      <c r="AB1265" s="553"/>
    </row>
    <row r="1266" spans="1:28" ht="12.75">
      <c r="A1266" s="547" t="s">
        <v>507</v>
      </c>
      <c r="B1266" s="547" t="s">
        <v>169</v>
      </c>
      <c r="C1266" s="548" t="s">
        <v>812</v>
      </c>
      <c r="D1266" s="549">
        <v>2017</v>
      </c>
      <c r="E1266" s="549" t="s">
        <v>775</v>
      </c>
      <c r="F1266" s="550">
        <v>1240</v>
      </c>
      <c r="G1266" s="550">
        <v>0</v>
      </c>
      <c r="H1266" s="550">
        <v>0</v>
      </c>
      <c r="I1266" s="550">
        <v>0</v>
      </c>
      <c r="J1266" s="550">
        <v>879</v>
      </c>
      <c r="K1266" s="550">
        <v>0</v>
      </c>
      <c r="L1266" s="550">
        <v>0</v>
      </c>
      <c r="M1266" s="550">
        <v>0</v>
      </c>
      <c r="N1266" s="550">
        <v>979</v>
      </c>
      <c r="O1266" s="550">
        <v>0</v>
      </c>
      <c r="P1266" s="550">
        <v>2174</v>
      </c>
      <c r="Q1266" s="550">
        <v>1388</v>
      </c>
      <c r="R1266" s="574" t="s">
        <v>507</v>
      </c>
      <c r="S1266" s="552"/>
      <c r="T1266" s="552"/>
      <c r="U1266" s="552"/>
      <c r="V1266" s="552"/>
      <c r="W1266" s="552"/>
      <c r="X1266" s="552"/>
      <c r="Y1266" s="552"/>
      <c r="Z1266" s="552"/>
      <c r="AA1266" s="553"/>
      <c r="AB1266" s="553"/>
    </row>
    <row r="1267" spans="1:28" ht="12.75">
      <c r="A1267" s="547" t="s">
        <v>507</v>
      </c>
      <c r="B1267" s="547" t="s">
        <v>169</v>
      </c>
      <c r="C1267" s="548" t="s">
        <v>812</v>
      </c>
      <c r="D1267" s="549">
        <v>2018</v>
      </c>
      <c r="E1267" s="549" t="s">
        <v>775</v>
      </c>
      <c r="F1267" s="550">
        <v>1240</v>
      </c>
      <c r="G1267" s="550">
        <v>0</v>
      </c>
      <c r="H1267" s="550">
        <v>0</v>
      </c>
      <c r="I1267" s="550">
        <v>0</v>
      </c>
      <c r="J1267" s="550">
        <v>879</v>
      </c>
      <c r="K1267" s="550">
        <v>0</v>
      </c>
      <c r="L1267" s="550">
        <v>0</v>
      </c>
      <c r="M1267" s="550">
        <v>0</v>
      </c>
      <c r="N1267" s="550">
        <v>979</v>
      </c>
      <c r="O1267" s="550">
        <v>0</v>
      </c>
      <c r="P1267" s="550">
        <v>2174</v>
      </c>
      <c r="Q1267" s="550">
        <v>606</v>
      </c>
      <c r="R1267" s="574" t="s">
        <v>507</v>
      </c>
      <c r="S1267" s="552"/>
      <c r="T1267" s="552"/>
      <c r="U1267" s="552"/>
      <c r="V1267" s="552"/>
      <c r="W1267" s="552"/>
      <c r="X1267" s="552"/>
      <c r="Y1267" s="552"/>
      <c r="Z1267" s="552"/>
      <c r="AA1267" s="553"/>
      <c r="AB1267" s="553"/>
    </row>
    <row r="1268" spans="1:28" ht="12.75">
      <c r="A1268" s="547" t="s">
        <v>507</v>
      </c>
      <c r="B1268" s="547" t="s">
        <v>169</v>
      </c>
      <c r="C1268" s="548" t="s">
        <v>813</v>
      </c>
      <c r="D1268" s="549">
        <v>2019</v>
      </c>
      <c r="E1268" s="549" t="s">
        <v>775</v>
      </c>
      <c r="F1268" s="550">
        <v>1240</v>
      </c>
      <c r="G1268" s="550">
        <v>0</v>
      </c>
      <c r="H1268" s="550">
        <v>0</v>
      </c>
      <c r="I1268" s="550">
        <v>0</v>
      </c>
      <c r="J1268" s="550">
        <v>879</v>
      </c>
      <c r="K1268" s="550">
        <v>0</v>
      </c>
      <c r="L1268" s="550">
        <v>0</v>
      </c>
      <c r="M1268" s="550">
        <v>0</v>
      </c>
      <c r="N1268" s="550">
        <v>979</v>
      </c>
      <c r="O1268" s="550">
        <v>0</v>
      </c>
      <c r="P1268" s="550">
        <v>2174</v>
      </c>
      <c r="Q1268" s="550">
        <v>273</v>
      </c>
      <c r="R1268" s="574" t="s">
        <v>507</v>
      </c>
      <c r="S1268" s="552">
        <f>SUM(G1263:G1268) +SUM(K1263:K1268)</f>
        <v>232</v>
      </c>
      <c r="T1268" s="552">
        <f>F1268+J1268</f>
        <v>2119</v>
      </c>
      <c r="U1268" s="552">
        <f>SUM(O1263:O1268)</f>
        <v>180</v>
      </c>
      <c r="V1268" s="552">
        <f>N1268</f>
        <v>979</v>
      </c>
      <c r="W1268" s="554">
        <f>SUM(Q1263:Q1268)</f>
        <v>4153</v>
      </c>
      <c r="X1268" s="552">
        <f>P1268</f>
        <v>2174</v>
      </c>
      <c r="Y1268" s="552">
        <f>S1268+U1268+SUM(Q1263:Q1268)</f>
        <v>4565</v>
      </c>
      <c r="Z1268" s="552">
        <f>F1268+J1268+N1268+P1268</f>
        <v>5272</v>
      </c>
      <c r="AA1268" s="553"/>
      <c r="AB1268" s="553"/>
    </row>
    <row r="1269" spans="1:28" ht="12.75">
      <c r="A1269" s="547" t="s">
        <v>508</v>
      </c>
      <c r="B1269" s="547" t="s">
        <v>169</v>
      </c>
      <c r="C1269" s="548" t="s">
        <v>812</v>
      </c>
      <c r="D1269" s="549">
        <v>2014</v>
      </c>
      <c r="E1269" s="549" t="s">
        <v>775</v>
      </c>
      <c r="F1269" s="550">
        <v>112</v>
      </c>
      <c r="G1269" s="550">
        <v>0</v>
      </c>
      <c r="H1269" s="550">
        <v>0</v>
      </c>
      <c r="I1269" s="550">
        <v>0</v>
      </c>
      <c r="J1269" s="550">
        <v>81</v>
      </c>
      <c r="K1269" s="550">
        <v>0</v>
      </c>
      <c r="L1269" s="550">
        <v>0</v>
      </c>
      <c r="M1269" s="550">
        <v>0</v>
      </c>
      <c r="N1269" s="550">
        <v>90</v>
      </c>
      <c r="O1269" s="550">
        <v>11</v>
      </c>
      <c r="P1269" s="550">
        <v>209</v>
      </c>
      <c r="Q1269" s="550">
        <v>35</v>
      </c>
      <c r="R1269" s="574" t="s">
        <v>508</v>
      </c>
      <c r="S1269" s="552"/>
      <c r="T1269" s="552"/>
      <c r="U1269" s="552"/>
      <c r="V1269" s="552"/>
      <c r="W1269" s="552"/>
      <c r="X1269" s="552"/>
      <c r="Y1269" s="552"/>
      <c r="Z1269" s="552"/>
      <c r="AA1269" s="553"/>
      <c r="AB1269" s="553"/>
    </row>
    <row r="1270" spans="1:28" ht="12.75">
      <c r="A1270" s="547" t="s">
        <v>508</v>
      </c>
      <c r="B1270" s="547" t="s">
        <v>169</v>
      </c>
      <c r="C1270" s="548" t="s">
        <v>812</v>
      </c>
      <c r="D1270" s="549">
        <v>2015</v>
      </c>
      <c r="E1270" s="549" t="s">
        <v>775</v>
      </c>
      <c r="F1270" s="550">
        <v>112</v>
      </c>
      <c r="G1270" s="550">
        <v>0</v>
      </c>
      <c r="H1270" s="550">
        <v>0</v>
      </c>
      <c r="I1270" s="550">
        <v>0</v>
      </c>
      <c r="J1270" s="550">
        <v>81</v>
      </c>
      <c r="K1270" s="550">
        <v>0</v>
      </c>
      <c r="L1270" s="550">
        <v>0</v>
      </c>
      <c r="M1270" s="550">
        <v>0</v>
      </c>
      <c r="N1270" s="550">
        <v>90</v>
      </c>
      <c r="O1270" s="550">
        <v>10</v>
      </c>
      <c r="P1270" s="550">
        <v>209</v>
      </c>
      <c r="Q1270" s="550">
        <v>45</v>
      </c>
      <c r="R1270" s="574" t="s">
        <v>508</v>
      </c>
      <c r="S1270" s="552"/>
      <c r="T1270" s="552"/>
      <c r="U1270" s="552"/>
      <c r="V1270" s="552"/>
      <c r="W1270" s="552"/>
      <c r="X1270" s="552"/>
      <c r="Y1270" s="552"/>
      <c r="Z1270" s="552"/>
      <c r="AA1270" s="553"/>
      <c r="AB1270" s="553"/>
    </row>
    <row r="1271" spans="1:28" ht="12.75">
      <c r="A1271" s="547" t="s">
        <v>508</v>
      </c>
      <c r="B1271" s="547" t="s">
        <v>169</v>
      </c>
      <c r="C1271" s="548" t="s">
        <v>812</v>
      </c>
      <c r="D1271" s="549">
        <v>2016</v>
      </c>
      <c r="E1271" s="549" t="s">
        <v>775</v>
      </c>
      <c r="F1271" s="550">
        <v>112</v>
      </c>
      <c r="G1271" s="550">
        <v>0</v>
      </c>
      <c r="H1271" s="550">
        <v>0</v>
      </c>
      <c r="I1271" s="550">
        <v>0</v>
      </c>
      <c r="J1271" s="550">
        <v>81</v>
      </c>
      <c r="K1271" s="550">
        <v>0</v>
      </c>
      <c r="L1271" s="550">
        <v>0</v>
      </c>
      <c r="M1271" s="550">
        <v>0</v>
      </c>
      <c r="N1271" s="550">
        <v>90</v>
      </c>
      <c r="O1271" s="550">
        <v>10</v>
      </c>
      <c r="P1271" s="550">
        <v>209</v>
      </c>
      <c r="Q1271" s="550">
        <v>23</v>
      </c>
      <c r="R1271" s="574" t="s">
        <v>508</v>
      </c>
      <c r="S1271" s="552"/>
      <c r="T1271" s="552"/>
      <c r="U1271" s="552"/>
      <c r="V1271" s="552"/>
      <c r="W1271" s="552"/>
      <c r="X1271" s="552"/>
      <c r="Y1271" s="552"/>
      <c r="Z1271" s="552"/>
      <c r="AA1271" s="553"/>
      <c r="AB1271" s="553"/>
    </row>
    <row r="1272" spans="1:28" ht="12.75">
      <c r="A1272" s="547" t="s">
        <v>508</v>
      </c>
      <c r="B1272" s="547" t="s">
        <v>169</v>
      </c>
      <c r="C1272" s="548" t="s">
        <v>812</v>
      </c>
      <c r="D1272" s="549">
        <v>2017</v>
      </c>
      <c r="E1272" s="549" t="s">
        <v>775</v>
      </c>
      <c r="F1272" s="550">
        <v>112</v>
      </c>
      <c r="G1272" s="550">
        <v>0</v>
      </c>
      <c r="H1272" s="550">
        <v>0</v>
      </c>
      <c r="I1272" s="550">
        <v>0</v>
      </c>
      <c r="J1272" s="550">
        <v>81</v>
      </c>
      <c r="K1272" s="550">
        <v>0</v>
      </c>
      <c r="L1272" s="550">
        <v>0</v>
      </c>
      <c r="M1272" s="550">
        <v>0</v>
      </c>
      <c r="N1272" s="550">
        <v>90</v>
      </c>
      <c r="O1272" s="550">
        <v>0</v>
      </c>
      <c r="P1272" s="550">
        <v>209</v>
      </c>
      <c r="Q1272" s="550">
        <v>9</v>
      </c>
      <c r="R1272" s="574" t="s">
        <v>508</v>
      </c>
      <c r="S1272" s="552"/>
      <c r="T1272" s="552"/>
      <c r="U1272" s="552"/>
      <c r="V1272" s="552"/>
      <c r="W1272" s="552"/>
      <c r="X1272" s="552"/>
      <c r="Y1272" s="552"/>
      <c r="Z1272" s="552"/>
      <c r="AA1272" s="553"/>
      <c r="AB1272" s="553"/>
    </row>
    <row r="1273" spans="1:28" ht="12.75">
      <c r="A1273" s="547" t="s">
        <v>508</v>
      </c>
      <c r="B1273" s="547" t="s">
        <v>169</v>
      </c>
      <c r="C1273" s="548" t="s">
        <v>812</v>
      </c>
      <c r="D1273" s="549">
        <v>2018</v>
      </c>
      <c r="E1273" s="549" t="s">
        <v>775</v>
      </c>
      <c r="F1273" s="550">
        <v>112</v>
      </c>
      <c r="G1273" s="550">
        <v>49</v>
      </c>
      <c r="H1273" s="550">
        <v>49</v>
      </c>
      <c r="I1273" s="550">
        <v>0</v>
      </c>
      <c r="J1273" s="550">
        <v>81</v>
      </c>
      <c r="K1273" s="550">
        <v>0</v>
      </c>
      <c r="L1273" s="550">
        <v>0</v>
      </c>
      <c r="M1273" s="550">
        <v>0</v>
      </c>
      <c r="N1273" s="550">
        <v>90</v>
      </c>
      <c r="O1273" s="550">
        <v>2</v>
      </c>
      <c r="P1273" s="550">
        <v>209</v>
      </c>
      <c r="Q1273" s="550">
        <v>3</v>
      </c>
      <c r="R1273" s="574" t="s">
        <v>508</v>
      </c>
      <c r="S1273" s="552"/>
      <c r="T1273" s="552"/>
      <c r="U1273" s="552"/>
      <c r="V1273" s="552"/>
      <c r="W1273" s="552"/>
      <c r="X1273" s="552"/>
      <c r="Y1273" s="552"/>
      <c r="Z1273" s="552"/>
      <c r="AA1273" s="553"/>
      <c r="AB1273" s="553"/>
    </row>
    <row r="1274" spans="1:28" ht="12.75">
      <c r="A1274" s="547" t="s">
        <v>508</v>
      </c>
      <c r="B1274" s="547" t="s">
        <v>169</v>
      </c>
      <c r="C1274" s="548" t="s">
        <v>813</v>
      </c>
      <c r="D1274" s="549">
        <v>2019</v>
      </c>
      <c r="E1274" s="549" t="s">
        <v>775</v>
      </c>
      <c r="F1274" s="550">
        <v>112</v>
      </c>
      <c r="G1274" s="550">
        <v>0</v>
      </c>
      <c r="H1274" s="550">
        <v>0</v>
      </c>
      <c r="I1274" s="550">
        <v>0</v>
      </c>
      <c r="J1274" s="550">
        <v>81</v>
      </c>
      <c r="K1274" s="550">
        <v>0</v>
      </c>
      <c r="L1274" s="550">
        <v>0</v>
      </c>
      <c r="M1274" s="550">
        <v>0</v>
      </c>
      <c r="N1274" s="550">
        <v>90</v>
      </c>
      <c r="O1274" s="550">
        <v>2</v>
      </c>
      <c r="P1274" s="550">
        <v>209</v>
      </c>
      <c r="Q1274" s="550">
        <v>218</v>
      </c>
      <c r="R1274" s="574" t="s">
        <v>508</v>
      </c>
      <c r="S1274" s="552">
        <f>SUM(G1269:G1274) +SUM(K1269:K1274)</f>
        <v>49</v>
      </c>
      <c r="T1274" s="552">
        <f>F1274+J1274</f>
        <v>193</v>
      </c>
      <c r="U1274" s="552">
        <f>SUM(O1269:O1274)</f>
        <v>35</v>
      </c>
      <c r="V1274" s="552">
        <f>N1274</f>
        <v>90</v>
      </c>
      <c r="W1274" s="554">
        <f>SUM(Q1269:Q1274)</f>
        <v>333</v>
      </c>
      <c r="X1274" s="552">
        <f>P1274</f>
        <v>209</v>
      </c>
      <c r="Y1274" s="552">
        <f>S1274+U1274+SUM(Q1269:Q1274)</f>
        <v>417</v>
      </c>
      <c r="Z1274" s="552">
        <f>F1274+J1274+N1274+P1274</f>
        <v>492</v>
      </c>
      <c r="AA1274" s="553"/>
      <c r="AB1274" s="553"/>
    </row>
    <row r="1275" spans="1:28" ht="12.75">
      <c r="A1275" s="547" t="s">
        <v>509</v>
      </c>
      <c r="B1275" s="547" t="s">
        <v>169</v>
      </c>
      <c r="C1275" s="548" t="s">
        <v>812</v>
      </c>
      <c r="D1275" s="549">
        <v>2014</v>
      </c>
      <c r="E1275" s="549" t="s">
        <v>775</v>
      </c>
      <c r="F1275" s="550">
        <v>1</v>
      </c>
      <c r="G1275" s="550">
        <v>0</v>
      </c>
      <c r="H1275" s="550">
        <v>0</v>
      </c>
      <c r="I1275" s="550">
        <v>0</v>
      </c>
      <c r="J1275" s="550">
        <v>1</v>
      </c>
      <c r="K1275" s="550">
        <v>0</v>
      </c>
      <c r="L1275" s="550">
        <v>0</v>
      </c>
      <c r="M1275" s="550">
        <v>0</v>
      </c>
      <c r="N1275" s="550">
        <v>0</v>
      </c>
      <c r="O1275" s="550">
        <v>0</v>
      </c>
      <c r="P1275" s="550">
        <v>0</v>
      </c>
      <c r="Q1275" s="550">
        <v>0</v>
      </c>
      <c r="R1275" s="574" t="s">
        <v>509</v>
      </c>
      <c r="S1275" s="552"/>
      <c r="T1275" s="552"/>
      <c r="U1275" s="552"/>
      <c r="V1275" s="552"/>
      <c r="W1275" s="552"/>
      <c r="X1275" s="552"/>
      <c r="Y1275" s="552"/>
      <c r="Z1275" s="552"/>
      <c r="AA1275" s="553"/>
      <c r="AB1275" s="553"/>
    </row>
    <row r="1276" spans="1:28" ht="12.75">
      <c r="A1276" s="547" t="s">
        <v>509</v>
      </c>
      <c r="B1276" s="547" t="s">
        <v>169</v>
      </c>
      <c r="C1276" s="548" t="s">
        <v>812</v>
      </c>
      <c r="D1276" s="549">
        <v>2015</v>
      </c>
      <c r="E1276" s="549" t="s">
        <v>775</v>
      </c>
      <c r="F1276" s="550">
        <v>1</v>
      </c>
      <c r="G1276" s="550">
        <v>0</v>
      </c>
      <c r="H1276" s="550">
        <v>0</v>
      </c>
      <c r="I1276" s="550">
        <v>0</v>
      </c>
      <c r="J1276" s="550">
        <v>1</v>
      </c>
      <c r="K1276" s="550">
        <v>0</v>
      </c>
      <c r="L1276" s="550">
        <v>0</v>
      </c>
      <c r="M1276" s="550">
        <v>0</v>
      </c>
      <c r="N1276" s="550">
        <v>0</v>
      </c>
      <c r="O1276" s="550">
        <v>0</v>
      </c>
      <c r="P1276" s="550">
        <v>0</v>
      </c>
      <c r="Q1276" s="550">
        <v>0</v>
      </c>
      <c r="R1276" s="574" t="s">
        <v>509</v>
      </c>
      <c r="S1276" s="552"/>
      <c r="T1276" s="552"/>
      <c r="U1276" s="552"/>
      <c r="V1276" s="552"/>
      <c r="W1276" s="552"/>
      <c r="X1276" s="552"/>
      <c r="Y1276" s="552"/>
      <c r="Z1276" s="552"/>
      <c r="AA1276" s="553"/>
      <c r="AB1276" s="553"/>
    </row>
    <row r="1277" spans="1:28" ht="12.75">
      <c r="A1277" s="547" t="s">
        <v>509</v>
      </c>
      <c r="B1277" s="547" t="s">
        <v>169</v>
      </c>
      <c r="C1277" s="548" t="s">
        <v>812</v>
      </c>
      <c r="D1277" s="549">
        <v>2016</v>
      </c>
      <c r="E1277" s="549" t="s">
        <v>775</v>
      </c>
      <c r="F1277" s="550">
        <v>1</v>
      </c>
      <c r="G1277" s="550">
        <v>0</v>
      </c>
      <c r="H1277" s="550">
        <v>0</v>
      </c>
      <c r="I1277" s="550">
        <v>0</v>
      </c>
      <c r="J1277" s="550">
        <v>1</v>
      </c>
      <c r="K1277" s="550">
        <v>0</v>
      </c>
      <c r="L1277" s="550">
        <v>0</v>
      </c>
      <c r="M1277" s="550">
        <v>0</v>
      </c>
      <c r="N1277" s="550">
        <v>0</v>
      </c>
      <c r="O1277" s="550">
        <v>0</v>
      </c>
      <c r="P1277" s="550">
        <v>0</v>
      </c>
      <c r="Q1277" s="550">
        <v>0</v>
      </c>
      <c r="R1277" s="574" t="s">
        <v>509</v>
      </c>
      <c r="S1277" s="552"/>
      <c r="T1277" s="552"/>
      <c r="U1277" s="552"/>
      <c r="V1277" s="552"/>
      <c r="W1277" s="552"/>
      <c r="X1277" s="552"/>
      <c r="Y1277" s="552"/>
      <c r="Z1277" s="552"/>
      <c r="AA1277" s="553"/>
      <c r="AB1277" s="553"/>
    </row>
    <row r="1278" spans="1:28" ht="12.75">
      <c r="A1278" s="547" t="s">
        <v>509</v>
      </c>
      <c r="B1278" s="547" t="s">
        <v>169</v>
      </c>
      <c r="C1278" s="548" t="s">
        <v>812</v>
      </c>
      <c r="D1278" s="549">
        <v>2017</v>
      </c>
      <c r="E1278" s="549" t="s">
        <v>775</v>
      </c>
      <c r="F1278" s="550">
        <v>1</v>
      </c>
      <c r="G1278" s="550">
        <v>0</v>
      </c>
      <c r="H1278" s="550">
        <v>0</v>
      </c>
      <c r="I1278" s="550">
        <v>0</v>
      </c>
      <c r="J1278" s="550">
        <v>1</v>
      </c>
      <c r="K1278" s="550">
        <v>0</v>
      </c>
      <c r="L1278" s="550">
        <v>0</v>
      </c>
      <c r="M1278" s="550">
        <v>0</v>
      </c>
      <c r="N1278" s="550">
        <v>0</v>
      </c>
      <c r="O1278" s="550">
        <v>0</v>
      </c>
      <c r="P1278" s="550">
        <v>0</v>
      </c>
      <c r="Q1278" s="550">
        <v>0</v>
      </c>
      <c r="R1278" s="574" t="s">
        <v>509</v>
      </c>
      <c r="S1278" s="552"/>
      <c r="T1278" s="552"/>
      <c r="U1278" s="552"/>
      <c r="V1278" s="552"/>
      <c r="W1278" s="552"/>
      <c r="X1278" s="552"/>
      <c r="Y1278" s="552"/>
      <c r="Z1278" s="552"/>
      <c r="AA1278" s="553"/>
      <c r="AB1278" s="553"/>
    </row>
    <row r="1279" spans="1:28" ht="12.75">
      <c r="A1279" s="547" t="s">
        <v>509</v>
      </c>
      <c r="B1279" s="547" t="s">
        <v>169</v>
      </c>
      <c r="C1279" s="548" t="s">
        <v>812</v>
      </c>
      <c r="D1279" s="549">
        <v>2018</v>
      </c>
      <c r="E1279" s="549" t="s">
        <v>775</v>
      </c>
      <c r="F1279" s="550">
        <v>1</v>
      </c>
      <c r="G1279" s="564"/>
      <c r="H1279" s="564"/>
      <c r="I1279" s="564"/>
      <c r="J1279" s="550">
        <v>1</v>
      </c>
      <c r="K1279" s="564"/>
      <c r="L1279" s="564"/>
      <c r="M1279" s="564"/>
      <c r="N1279" s="550">
        <v>0</v>
      </c>
      <c r="O1279" s="564"/>
      <c r="P1279" s="550">
        <v>0</v>
      </c>
      <c r="Q1279" s="564"/>
      <c r="R1279" s="574" t="s">
        <v>509</v>
      </c>
      <c r="S1279" s="552"/>
      <c r="T1279" s="552"/>
      <c r="U1279" s="552"/>
      <c r="V1279" s="552"/>
      <c r="W1279" s="552"/>
      <c r="X1279" s="552"/>
      <c r="Y1279" s="552"/>
      <c r="Z1279" s="552"/>
      <c r="AA1279" s="553"/>
      <c r="AB1279" s="553"/>
    </row>
    <row r="1280" spans="1:28" ht="12.75">
      <c r="A1280" s="547" t="s">
        <v>509</v>
      </c>
      <c r="B1280" s="547" t="s">
        <v>169</v>
      </c>
      <c r="C1280" s="548" t="s">
        <v>813</v>
      </c>
      <c r="D1280" s="549">
        <v>2019</v>
      </c>
      <c r="E1280" s="549" t="s">
        <v>775</v>
      </c>
      <c r="F1280" s="550">
        <v>1</v>
      </c>
      <c r="G1280" s="550">
        <v>0</v>
      </c>
      <c r="H1280" s="550">
        <v>0</v>
      </c>
      <c r="I1280" s="550">
        <v>0</v>
      </c>
      <c r="J1280" s="550">
        <v>1</v>
      </c>
      <c r="K1280" s="550">
        <v>1</v>
      </c>
      <c r="L1280" s="550">
        <v>0</v>
      </c>
      <c r="M1280" s="550">
        <v>1</v>
      </c>
      <c r="N1280" s="550">
        <v>0</v>
      </c>
      <c r="O1280" s="550">
        <v>0</v>
      </c>
      <c r="P1280" s="550">
        <v>0</v>
      </c>
      <c r="Q1280" s="550">
        <v>0</v>
      </c>
      <c r="R1280" s="574" t="s">
        <v>509</v>
      </c>
      <c r="S1280" s="552">
        <f>SUM(G1275:G1280) +SUM(K1275:K1280)</f>
        <v>1</v>
      </c>
      <c r="T1280" s="552">
        <f>F1280+J1280</f>
        <v>2</v>
      </c>
      <c r="U1280" s="552">
        <f>SUM(O1275:O1280)</f>
        <v>0</v>
      </c>
      <c r="V1280" s="552">
        <f>N1280</f>
        <v>0</v>
      </c>
      <c r="W1280" s="554">
        <f>SUM(Q1275:Q1280)</f>
        <v>0</v>
      </c>
      <c r="X1280" s="552">
        <f>P1280</f>
        <v>0</v>
      </c>
      <c r="Y1280" s="552">
        <f>S1280+U1280+SUM(Q1275:Q1280)</f>
        <v>1</v>
      </c>
      <c r="Z1280" s="552">
        <f>F1280+J1280+N1280+P1280</f>
        <v>2</v>
      </c>
      <c r="AA1280" s="553"/>
      <c r="AB1280" s="553"/>
    </row>
    <row r="1281" spans="1:28" ht="12.75">
      <c r="A1281" s="547" t="s">
        <v>510</v>
      </c>
      <c r="B1281" s="547" t="s">
        <v>169</v>
      </c>
      <c r="C1281" s="548" t="s">
        <v>812</v>
      </c>
      <c r="D1281" s="549">
        <v>2014</v>
      </c>
      <c r="E1281" s="549" t="s">
        <v>775</v>
      </c>
      <c r="F1281" s="550">
        <v>134</v>
      </c>
      <c r="G1281" s="550">
        <v>65</v>
      </c>
      <c r="H1281" s="550">
        <v>65</v>
      </c>
      <c r="I1281" s="550">
        <v>0</v>
      </c>
      <c r="J1281" s="550">
        <v>95</v>
      </c>
      <c r="K1281" s="550">
        <v>28</v>
      </c>
      <c r="L1281" s="550">
        <v>28</v>
      </c>
      <c r="M1281" s="550">
        <v>0</v>
      </c>
      <c r="N1281" s="550">
        <v>108</v>
      </c>
      <c r="O1281" s="550">
        <v>2</v>
      </c>
      <c r="P1281" s="550">
        <v>244</v>
      </c>
      <c r="Q1281" s="550">
        <v>84</v>
      </c>
      <c r="R1281" s="574" t="s">
        <v>510</v>
      </c>
      <c r="S1281" s="552"/>
      <c r="T1281" s="552"/>
      <c r="U1281" s="552"/>
      <c r="V1281" s="552"/>
      <c r="W1281" s="552"/>
      <c r="X1281" s="552"/>
      <c r="Y1281" s="552"/>
      <c r="Z1281" s="552"/>
      <c r="AA1281" s="553"/>
      <c r="AB1281" s="553"/>
    </row>
    <row r="1282" spans="1:28" ht="12.75">
      <c r="A1282" s="547" t="s">
        <v>510</v>
      </c>
      <c r="B1282" s="547" t="s">
        <v>169</v>
      </c>
      <c r="C1282" s="548" t="s">
        <v>812</v>
      </c>
      <c r="D1282" s="549">
        <v>2015</v>
      </c>
      <c r="E1282" s="549" t="s">
        <v>775</v>
      </c>
      <c r="F1282" s="550">
        <v>134</v>
      </c>
      <c r="G1282" s="550">
        <v>0</v>
      </c>
      <c r="H1282" s="550">
        <v>0</v>
      </c>
      <c r="I1282" s="550">
        <v>0</v>
      </c>
      <c r="J1282" s="550">
        <v>95</v>
      </c>
      <c r="K1282" s="550">
        <v>0</v>
      </c>
      <c r="L1282" s="550">
        <v>0</v>
      </c>
      <c r="M1282" s="550">
        <v>0</v>
      </c>
      <c r="N1282" s="550">
        <v>108</v>
      </c>
      <c r="O1282" s="550">
        <v>1</v>
      </c>
      <c r="P1282" s="550">
        <v>244</v>
      </c>
      <c r="Q1282" s="550">
        <v>129</v>
      </c>
      <c r="R1282" s="574" t="s">
        <v>510</v>
      </c>
      <c r="S1282" s="552"/>
      <c r="T1282" s="552"/>
      <c r="U1282" s="552"/>
      <c r="V1282" s="552"/>
      <c r="W1282" s="552"/>
      <c r="X1282" s="552"/>
      <c r="Y1282" s="552"/>
      <c r="Z1282" s="552"/>
      <c r="AA1282" s="553"/>
      <c r="AB1282" s="553"/>
    </row>
    <row r="1283" spans="1:28" ht="12.75">
      <c r="A1283" s="547" t="s">
        <v>510</v>
      </c>
      <c r="B1283" s="547" t="s">
        <v>169</v>
      </c>
      <c r="C1283" s="548" t="s">
        <v>812</v>
      </c>
      <c r="D1283" s="549">
        <v>2016</v>
      </c>
      <c r="E1283" s="549" t="s">
        <v>775</v>
      </c>
      <c r="F1283" s="550">
        <v>134</v>
      </c>
      <c r="G1283" s="550">
        <v>0</v>
      </c>
      <c r="H1283" s="550">
        <v>0</v>
      </c>
      <c r="I1283" s="550">
        <v>0</v>
      </c>
      <c r="J1283" s="550">
        <v>95</v>
      </c>
      <c r="K1283" s="550">
        <v>0</v>
      </c>
      <c r="L1283" s="550">
        <v>0</v>
      </c>
      <c r="M1283" s="550">
        <v>0</v>
      </c>
      <c r="N1283" s="550">
        <v>108</v>
      </c>
      <c r="O1283" s="550">
        <v>0</v>
      </c>
      <c r="P1283" s="550">
        <v>244</v>
      </c>
      <c r="Q1283" s="550">
        <v>107</v>
      </c>
      <c r="R1283" s="574" t="s">
        <v>510</v>
      </c>
      <c r="S1283" s="552"/>
      <c r="T1283" s="552"/>
      <c r="U1283" s="552"/>
      <c r="V1283" s="552"/>
      <c r="W1283" s="552"/>
      <c r="X1283" s="552"/>
      <c r="Y1283" s="552"/>
      <c r="Z1283" s="552"/>
      <c r="AA1283" s="553"/>
      <c r="AB1283" s="553"/>
    </row>
    <row r="1284" spans="1:28" ht="12.75">
      <c r="A1284" s="547" t="s">
        <v>510</v>
      </c>
      <c r="B1284" s="547" t="s">
        <v>169</v>
      </c>
      <c r="C1284" s="548" t="s">
        <v>812</v>
      </c>
      <c r="D1284" s="549">
        <v>2017</v>
      </c>
      <c r="E1284" s="549" t="s">
        <v>775</v>
      </c>
      <c r="F1284" s="550">
        <v>134</v>
      </c>
      <c r="G1284" s="550">
        <v>0</v>
      </c>
      <c r="H1284" s="550">
        <v>0</v>
      </c>
      <c r="I1284" s="550">
        <v>0</v>
      </c>
      <c r="J1284" s="550">
        <v>95</v>
      </c>
      <c r="K1284" s="550">
        <v>0</v>
      </c>
      <c r="L1284" s="550">
        <v>0</v>
      </c>
      <c r="M1284" s="550">
        <v>0</v>
      </c>
      <c r="N1284" s="550">
        <v>108</v>
      </c>
      <c r="O1284" s="550">
        <v>4</v>
      </c>
      <c r="P1284" s="550">
        <v>244</v>
      </c>
      <c r="Q1284" s="550">
        <v>96</v>
      </c>
      <c r="R1284" s="574" t="s">
        <v>510</v>
      </c>
      <c r="S1284" s="552"/>
      <c r="T1284" s="552"/>
      <c r="U1284" s="552"/>
      <c r="V1284" s="552"/>
      <c r="W1284" s="552"/>
      <c r="X1284" s="552"/>
      <c r="Y1284" s="552"/>
      <c r="Z1284" s="552"/>
      <c r="AA1284" s="553"/>
      <c r="AB1284" s="553"/>
    </row>
    <row r="1285" spans="1:28" ht="12.75">
      <c r="A1285" s="547" t="s">
        <v>510</v>
      </c>
      <c r="B1285" s="547" t="s">
        <v>169</v>
      </c>
      <c r="C1285" s="548" t="s">
        <v>812</v>
      </c>
      <c r="D1285" s="549">
        <v>2018</v>
      </c>
      <c r="E1285" s="549" t="s">
        <v>775</v>
      </c>
      <c r="F1285" s="550">
        <v>134</v>
      </c>
      <c r="G1285" s="550">
        <v>0</v>
      </c>
      <c r="H1285" s="550">
        <v>0</v>
      </c>
      <c r="I1285" s="550">
        <v>0</v>
      </c>
      <c r="J1285" s="550">
        <v>95</v>
      </c>
      <c r="K1285" s="550">
        <v>0</v>
      </c>
      <c r="L1285" s="550">
        <v>0</v>
      </c>
      <c r="M1285" s="550">
        <v>0</v>
      </c>
      <c r="N1285" s="550">
        <v>108</v>
      </c>
      <c r="O1285" s="550">
        <v>11</v>
      </c>
      <c r="P1285" s="550">
        <v>244</v>
      </c>
      <c r="Q1285" s="550">
        <v>69</v>
      </c>
      <c r="R1285" s="574" t="s">
        <v>510</v>
      </c>
      <c r="S1285" s="552"/>
      <c r="T1285" s="552"/>
      <c r="U1285" s="552"/>
      <c r="V1285" s="552"/>
      <c r="W1285" s="552"/>
      <c r="X1285" s="552"/>
      <c r="Y1285" s="552"/>
      <c r="Z1285" s="552"/>
      <c r="AA1285" s="553"/>
      <c r="AB1285" s="553"/>
    </row>
    <row r="1286" spans="1:28" ht="12.75">
      <c r="A1286" s="547" t="s">
        <v>510</v>
      </c>
      <c r="B1286" s="547" t="s">
        <v>169</v>
      </c>
      <c r="C1286" s="548" t="s">
        <v>813</v>
      </c>
      <c r="D1286" s="549">
        <v>2019</v>
      </c>
      <c r="E1286" s="549" t="s">
        <v>775</v>
      </c>
      <c r="F1286" s="550">
        <v>134</v>
      </c>
      <c r="G1286" s="550">
        <v>0</v>
      </c>
      <c r="H1286" s="550">
        <v>0</v>
      </c>
      <c r="I1286" s="550">
        <v>0</v>
      </c>
      <c r="J1286" s="550">
        <v>95</v>
      </c>
      <c r="K1286" s="550">
        <v>0</v>
      </c>
      <c r="L1286" s="550">
        <v>0</v>
      </c>
      <c r="M1286" s="550">
        <v>0</v>
      </c>
      <c r="N1286" s="550">
        <v>108</v>
      </c>
      <c r="O1286" s="550">
        <v>13</v>
      </c>
      <c r="P1286" s="550">
        <v>244</v>
      </c>
      <c r="Q1286" s="550">
        <v>33</v>
      </c>
      <c r="R1286" s="574" t="s">
        <v>510</v>
      </c>
      <c r="S1286" s="552">
        <f>SUM(G1281:G1286) +SUM(K1281:K1286)</f>
        <v>93</v>
      </c>
      <c r="T1286" s="552">
        <f>F1286+J1286</f>
        <v>229</v>
      </c>
      <c r="U1286" s="552">
        <f>SUM(O1281:O1286)</f>
        <v>31</v>
      </c>
      <c r="V1286" s="552">
        <f>N1286</f>
        <v>108</v>
      </c>
      <c r="W1286" s="554">
        <f>SUM(Q1281:Q1286)</f>
        <v>518</v>
      </c>
      <c r="X1286" s="552">
        <f>P1286</f>
        <v>244</v>
      </c>
      <c r="Y1286" s="552">
        <f>S1286+U1286+SUM(Q1281:Q1286)</f>
        <v>642</v>
      </c>
      <c r="Z1286" s="552">
        <f>F1286+J1286+N1286+P1286</f>
        <v>581</v>
      </c>
      <c r="AA1286" s="553"/>
      <c r="AB1286" s="553"/>
    </row>
    <row r="1287" spans="1:28" ht="12.75">
      <c r="A1287" s="547" t="s">
        <v>511</v>
      </c>
      <c r="B1287" s="547" t="s">
        <v>169</v>
      </c>
      <c r="C1287" s="548" t="s">
        <v>812</v>
      </c>
      <c r="D1287" s="549">
        <v>2014</v>
      </c>
      <c r="E1287" s="549" t="s">
        <v>775</v>
      </c>
      <c r="F1287" s="550">
        <v>147</v>
      </c>
      <c r="G1287" s="550">
        <v>0</v>
      </c>
      <c r="H1287" s="550">
        <v>0</v>
      </c>
      <c r="I1287" s="550">
        <v>0</v>
      </c>
      <c r="J1287" s="550">
        <v>104</v>
      </c>
      <c r="K1287" s="550">
        <v>2</v>
      </c>
      <c r="L1287" s="550">
        <v>2</v>
      </c>
      <c r="M1287" s="550">
        <v>0</v>
      </c>
      <c r="N1287" s="550">
        <v>120</v>
      </c>
      <c r="O1287" s="550">
        <v>2</v>
      </c>
      <c r="P1287" s="550">
        <v>267</v>
      </c>
      <c r="Q1287" s="550">
        <v>90</v>
      </c>
      <c r="R1287" s="574" t="s">
        <v>511</v>
      </c>
      <c r="S1287" s="552"/>
      <c r="T1287" s="552"/>
      <c r="U1287" s="552"/>
      <c r="V1287" s="552"/>
      <c r="W1287" s="552"/>
      <c r="X1287" s="552"/>
      <c r="Y1287" s="552"/>
      <c r="Z1287" s="552"/>
      <c r="AA1287" s="553"/>
      <c r="AB1287" s="553"/>
    </row>
    <row r="1288" spans="1:28" ht="12.75">
      <c r="A1288" s="547" t="s">
        <v>511</v>
      </c>
      <c r="B1288" s="547" t="s">
        <v>169</v>
      </c>
      <c r="C1288" s="548" t="s">
        <v>812</v>
      </c>
      <c r="D1288" s="549">
        <v>2015</v>
      </c>
      <c r="E1288" s="549" t="s">
        <v>775</v>
      </c>
      <c r="F1288" s="550">
        <v>147</v>
      </c>
      <c r="G1288" s="550">
        <v>0</v>
      </c>
      <c r="H1288" s="550">
        <v>0</v>
      </c>
      <c r="I1288" s="550">
        <v>0</v>
      </c>
      <c r="J1288" s="550">
        <v>104</v>
      </c>
      <c r="K1288" s="550">
        <v>0</v>
      </c>
      <c r="L1288" s="550">
        <v>0</v>
      </c>
      <c r="M1288" s="550">
        <v>0</v>
      </c>
      <c r="N1288" s="550">
        <v>120</v>
      </c>
      <c r="O1288" s="550">
        <v>0</v>
      </c>
      <c r="P1288" s="550">
        <v>267</v>
      </c>
      <c r="Q1288" s="550">
        <v>96</v>
      </c>
      <c r="R1288" s="574" t="s">
        <v>511</v>
      </c>
      <c r="S1288" s="552"/>
      <c r="T1288" s="552"/>
      <c r="U1288" s="552"/>
      <c r="V1288" s="552"/>
      <c r="W1288" s="552"/>
      <c r="X1288" s="552"/>
      <c r="Y1288" s="552"/>
      <c r="Z1288" s="552"/>
      <c r="AA1288" s="553"/>
      <c r="AB1288" s="553"/>
    </row>
    <row r="1289" spans="1:28" ht="12.75">
      <c r="A1289" s="547" t="s">
        <v>511</v>
      </c>
      <c r="B1289" s="547" t="s">
        <v>169</v>
      </c>
      <c r="C1289" s="548" t="s">
        <v>812</v>
      </c>
      <c r="D1289" s="549">
        <v>2016</v>
      </c>
      <c r="E1289" s="549" t="s">
        <v>775</v>
      </c>
      <c r="F1289" s="550">
        <v>147</v>
      </c>
      <c r="G1289" s="550">
        <v>0</v>
      </c>
      <c r="H1289" s="550">
        <v>0</v>
      </c>
      <c r="I1289" s="550">
        <v>0</v>
      </c>
      <c r="J1289" s="550">
        <v>104</v>
      </c>
      <c r="K1289" s="550">
        <v>0</v>
      </c>
      <c r="L1289" s="550">
        <v>0</v>
      </c>
      <c r="M1289" s="550">
        <v>0</v>
      </c>
      <c r="N1289" s="550">
        <v>120</v>
      </c>
      <c r="O1289" s="550">
        <v>0</v>
      </c>
      <c r="P1289" s="550">
        <v>267</v>
      </c>
      <c r="Q1289" s="550">
        <v>62</v>
      </c>
      <c r="R1289" s="574" t="s">
        <v>511</v>
      </c>
      <c r="S1289" s="552"/>
      <c r="T1289" s="552"/>
      <c r="U1289" s="552"/>
      <c r="V1289" s="552"/>
      <c r="W1289" s="552"/>
      <c r="X1289" s="552"/>
      <c r="Y1289" s="552"/>
      <c r="Z1289" s="552"/>
      <c r="AA1289" s="553"/>
      <c r="AB1289" s="553"/>
    </row>
    <row r="1290" spans="1:28" ht="12.75">
      <c r="A1290" s="547" t="s">
        <v>511</v>
      </c>
      <c r="B1290" s="547" t="s">
        <v>169</v>
      </c>
      <c r="C1290" s="548" t="s">
        <v>812</v>
      </c>
      <c r="D1290" s="549">
        <v>2017</v>
      </c>
      <c r="E1290" s="549" t="s">
        <v>775</v>
      </c>
      <c r="F1290" s="550">
        <v>147</v>
      </c>
      <c r="G1290" s="550">
        <v>0</v>
      </c>
      <c r="H1290" s="550">
        <v>0</v>
      </c>
      <c r="I1290" s="550">
        <v>0</v>
      </c>
      <c r="J1290" s="550">
        <v>104</v>
      </c>
      <c r="K1290" s="550">
        <v>0</v>
      </c>
      <c r="L1290" s="550">
        <v>0</v>
      </c>
      <c r="M1290" s="550">
        <v>0</v>
      </c>
      <c r="N1290" s="550">
        <v>120</v>
      </c>
      <c r="O1290" s="550">
        <v>0</v>
      </c>
      <c r="P1290" s="550">
        <v>267</v>
      </c>
      <c r="Q1290" s="550">
        <v>103</v>
      </c>
      <c r="R1290" s="574" t="s">
        <v>511</v>
      </c>
      <c r="S1290" s="552"/>
      <c r="T1290" s="552"/>
      <c r="U1290" s="552"/>
      <c r="V1290" s="552"/>
      <c r="W1290" s="552"/>
      <c r="X1290" s="552"/>
      <c r="Y1290" s="552"/>
      <c r="Z1290" s="552"/>
      <c r="AA1290" s="553"/>
      <c r="AB1290" s="553"/>
    </row>
    <row r="1291" spans="1:28" ht="12.75">
      <c r="A1291" s="547" t="s">
        <v>511</v>
      </c>
      <c r="B1291" s="547" t="s">
        <v>169</v>
      </c>
      <c r="C1291" s="548" t="s">
        <v>812</v>
      </c>
      <c r="D1291" s="549">
        <v>2018</v>
      </c>
      <c r="E1291" s="549" t="s">
        <v>775</v>
      </c>
      <c r="F1291" s="550">
        <v>147</v>
      </c>
      <c r="G1291" s="550">
        <v>0</v>
      </c>
      <c r="H1291" s="550">
        <v>0</v>
      </c>
      <c r="I1291" s="550">
        <v>0</v>
      </c>
      <c r="J1291" s="550">
        <v>104</v>
      </c>
      <c r="K1291" s="550">
        <v>0</v>
      </c>
      <c r="L1291" s="550">
        <v>0</v>
      </c>
      <c r="M1291" s="550">
        <v>0</v>
      </c>
      <c r="N1291" s="550">
        <v>120</v>
      </c>
      <c r="O1291" s="550">
        <v>24</v>
      </c>
      <c r="P1291" s="550">
        <v>267</v>
      </c>
      <c r="Q1291" s="550">
        <v>64</v>
      </c>
      <c r="R1291" s="574" t="s">
        <v>511</v>
      </c>
      <c r="S1291" s="552"/>
      <c r="T1291" s="552"/>
      <c r="U1291" s="552"/>
      <c r="V1291" s="552"/>
      <c r="W1291" s="552"/>
      <c r="X1291" s="552"/>
      <c r="Y1291" s="552"/>
      <c r="Z1291" s="552"/>
      <c r="AA1291" s="553"/>
      <c r="AB1291" s="553"/>
    </row>
    <row r="1292" spans="1:28" ht="12.75">
      <c r="A1292" s="547" t="s">
        <v>511</v>
      </c>
      <c r="B1292" s="547" t="s">
        <v>169</v>
      </c>
      <c r="C1292" s="548" t="s">
        <v>813</v>
      </c>
      <c r="D1292" s="549">
        <v>2019</v>
      </c>
      <c r="E1292" s="549" t="s">
        <v>775</v>
      </c>
      <c r="F1292" s="550">
        <v>147</v>
      </c>
      <c r="G1292" s="550">
        <v>0</v>
      </c>
      <c r="H1292" s="550">
        <v>0</v>
      </c>
      <c r="I1292" s="550">
        <v>0</v>
      </c>
      <c r="J1292" s="550">
        <v>104</v>
      </c>
      <c r="K1292" s="550">
        <v>0</v>
      </c>
      <c r="L1292" s="550">
        <v>0</v>
      </c>
      <c r="M1292" s="550">
        <v>0</v>
      </c>
      <c r="N1292" s="550">
        <v>120</v>
      </c>
      <c r="O1292" s="550">
        <v>3</v>
      </c>
      <c r="P1292" s="550">
        <v>267</v>
      </c>
      <c r="Q1292" s="550">
        <v>82</v>
      </c>
      <c r="R1292" s="574" t="s">
        <v>511</v>
      </c>
      <c r="S1292" s="552">
        <f>SUM(G1287:G1292) +SUM(K1287:K1292)</f>
        <v>2</v>
      </c>
      <c r="T1292" s="552">
        <f>F1292+J1292</f>
        <v>251</v>
      </c>
      <c r="U1292" s="552">
        <f>SUM(O1287:O1292)</f>
        <v>29</v>
      </c>
      <c r="V1292" s="552">
        <f>N1292</f>
        <v>120</v>
      </c>
      <c r="W1292" s="554">
        <f>SUM(Q1287:Q1292)</f>
        <v>497</v>
      </c>
      <c r="X1292" s="552">
        <f>P1292</f>
        <v>267</v>
      </c>
      <c r="Y1292" s="552">
        <f>S1292+U1292+SUM(Q1287:Q1292)</f>
        <v>528</v>
      </c>
      <c r="Z1292" s="552">
        <f>F1292+J1292+N1292+P1292</f>
        <v>638</v>
      </c>
      <c r="AA1292" s="553"/>
      <c r="AB1292" s="553"/>
    </row>
    <row r="1293" spans="1:28" ht="12.75">
      <c r="A1293" s="547" t="s">
        <v>512</v>
      </c>
      <c r="B1293" s="547" t="s">
        <v>169</v>
      </c>
      <c r="C1293" s="548" t="s">
        <v>812</v>
      </c>
      <c r="D1293" s="549">
        <v>2014</v>
      </c>
      <c r="E1293" s="549" t="s">
        <v>775</v>
      </c>
      <c r="F1293" s="550">
        <v>45</v>
      </c>
      <c r="G1293" s="550">
        <v>20</v>
      </c>
      <c r="H1293" s="550">
        <v>20</v>
      </c>
      <c r="I1293" s="550">
        <v>0</v>
      </c>
      <c r="J1293" s="550">
        <v>32</v>
      </c>
      <c r="K1293" s="550">
        <v>20</v>
      </c>
      <c r="L1293" s="550">
        <v>20</v>
      </c>
      <c r="M1293" s="550">
        <v>0</v>
      </c>
      <c r="N1293" s="550">
        <v>37</v>
      </c>
      <c r="O1293" s="550">
        <v>0</v>
      </c>
      <c r="P1293" s="550">
        <v>90</v>
      </c>
      <c r="Q1293" s="550">
        <v>242</v>
      </c>
      <c r="R1293" s="574" t="s">
        <v>512</v>
      </c>
      <c r="S1293" s="552"/>
      <c r="T1293" s="552"/>
      <c r="U1293" s="552"/>
      <c r="V1293" s="552"/>
      <c r="W1293" s="552"/>
      <c r="X1293" s="552"/>
      <c r="Y1293" s="552"/>
      <c r="Z1293" s="552"/>
      <c r="AA1293" s="553"/>
      <c r="AB1293" s="553"/>
    </row>
    <row r="1294" spans="1:28" ht="12.75">
      <c r="A1294" s="547" t="s">
        <v>512</v>
      </c>
      <c r="B1294" s="547" t="s">
        <v>169</v>
      </c>
      <c r="C1294" s="548" t="s">
        <v>812</v>
      </c>
      <c r="D1294" s="549">
        <v>2015</v>
      </c>
      <c r="E1294" s="549" t="s">
        <v>775</v>
      </c>
      <c r="F1294" s="550">
        <v>45</v>
      </c>
      <c r="G1294" s="550">
        <v>0</v>
      </c>
      <c r="H1294" s="550">
        <v>0</v>
      </c>
      <c r="I1294" s="550">
        <v>0</v>
      </c>
      <c r="J1294" s="550">
        <v>32</v>
      </c>
      <c r="K1294" s="550">
        <v>0</v>
      </c>
      <c r="L1294" s="550">
        <v>0</v>
      </c>
      <c r="M1294" s="550">
        <v>0</v>
      </c>
      <c r="N1294" s="550">
        <v>37</v>
      </c>
      <c r="O1294" s="550">
        <v>11</v>
      </c>
      <c r="P1294" s="550">
        <v>90</v>
      </c>
      <c r="Q1294" s="550">
        <v>127</v>
      </c>
      <c r="R1294" s="574" t="s">
        <v>512</v>
      </c>
      <c r="S1294" s="552"/>
      <c r="T1294" s="552"/>
      <c r="U1294" s="552"/>
      <c r="V1294" s="552"/>
      <c r="W1294" s="552"/>
      <c r="X1294" s="552"/>
      <c r="Y1294" s="552"/>
      <c r="Z1294" s="552"/>
      <c r="AA1294" s="553"/>
      <c r="AB1294" s="553"/>
    </row>
    <row r="1295" spans="1:28" ht="12.75">
      <c r="A1295" s="547" t="s">
        <v>512</v>
      </c>
      <c r="B1295" s="547" t="s">
        <v>169</v>
      </c>
      <c r="C1295" s="548" t="s">
        <v>812</v>
      </c>
      <c r="D1295" s="549">
        <v>2016</v>
      </c>
      <c r="E1295" s="549" t="s">
        <v>775</v>
      </c>
      <c r="F1295" s="550">
        <v>45</v>
      </c>
      <c r="G1295" s="550">
        <v>0</v>
      </c>
      <c r="H1295" s="550">
        <v>0</v>
      </c>
      <c r="I1295" s="550">
        <v>0</v>
      </c>
      <c r="J1295" s="550">
        <v>32</v>
      </c>
      <c r="K1295" s="550">
        <v>12</v>
      </c>
      <c r="L1295" s="550">
        <v>12</v>
      </c>
      <c r="M1295" s="550">
        <v>0</v>
      </c>
      <c r="N1295" s="550">
        <v>37</v>
      </c>
      <c r="O1295" s="550">
        <v>2</v>
      </c>
      <c r="P1295" s="550">
        <v>90</v>
      </c>
      <c r="Q1295" s="550">
        <v>285</v>
      </c>
      <c r="R1295" s="574" t="s">
        <v>512</v>
      </c>
      <c r="S1295" s="552"/>
      <c r="T1295" s="552"/>
      <c r="U1295" s="552"/>
      <c r="V1295" s="552"/>
      <c r="W1295" s="552"/>
      <c r="X1295" s="552"/>
      <c r="Y1295" s="552"/>
      <c r="Z1295" s="552"/>
      <c r="AA1295" s="553"/>
      <c r="AB1295" s="553"/>
    </row>
    <row r="1296" spans="1:28" ht="12.75">
      <c r="A1296" s="547" t="s">
        <v>512</v>
      </c>
      <c r="B1296" s="547" t="s">
        <v>169</v>
      </c>
      <c r="C1296" s="548" t="s">
        <v>812</v>
      </c>
      <c r="D1296" s="549">
        <v>2017</v>
      </c>
      <c r="E1296" s="549" t="s">
        <v>775</v>
      </c>
      <c r="F1296" s="550">
        <v>45</v>
      </c>
      <c r="G1296" s="550">
        <v>49</v>
      </c>
      <c r="H1296" s="550">
        <v>49</v>
      </c>
      <c r="I1296" s="550">
        <v>0</v>
      </c>
      <c r="J1296" s="550">
        <v>32</v>
      </c>
      <c r="K1296" s="550">
        <v>20</v>
      </c>
      <c r="L1296" s="550">
        <v>20</v>
      </c>
      <c r="M1296" s="550">
        <v>0</v>
      </c>
      <c r="N1296" s="550">
        <v>37</v>
      </c>
      <c r="O1296" s="550">
        <v>11</v>
      </c>
      <c r="P1296" s="550">
        <v>90</v>
      </c>
      <c r="Q1296" s="550">
        <v>115</v>
      </c>
      <c r="R1296" s="574" t="s">
        <v>512</v>
      </c>
      <c r="S1296" s="552"/>
      <c r="T1296" s="552"/>
      <c r="U1296" s="552"/>
      <c r="V1296" s="552"/>
      <c r="W1296" s="552"/>
      <c r="X1296" s="552"/>
      <c r="Y1296" s="552"/>
      <c r="Z1296" s="552"/>
      <c r="AA1296" s="553"/>
      <c r="AB1296" s="553"/>
    </row>
    <row r="1297" spans="1:28" ht="12.75">
      <c r="A1297" s="547" t="s">
        <v>512</v>
      </c>
      <c r="B1297" s="547" t="s">
        <v>169</v>
      </c>
      <c r="C1297" s="548" t="s">
        <v>812</v>
      </c>
      <c r="D1297" s="549">
        <v>2018</v>
      </c>
      <c r="E1297" s="549" t="s">
        <v>775</v>
      </c>
      <c r="F1297" s="550">
        <v>45</v>
      </c>
      <c r="G1297" s="550">
        <v>172</v>
      </c>
      <c r="H1297" s="550">
        <v>172</v>
      </c>
      <c r="I1297" s="550">
        <v>0</v>
      </c>
      <c r="J1297" s="550">
        <v>32</v>
      </c>
      <c r="K1297" s="550">
        <v>388</v>
      </c>
      <c r="L1297" s="550">
        <v>388</v>
      </c>
      <c r="M1297" s="550">
        <v>0</v>
      </c>
      <c r="N1297" s="550">
        <v>37</v>
      </c>
      <c r="O1297" s="550">
        <v>17</v>
      </c>
      <c r="P1297" s="550">
        <v>90</v>
      </c>
      <c r="Q1297" s="550">
        <v>796</v>
      </c>
      <c r="R1297" s="574" t="s">
        <v>512</v>
      </c>
      <c r="S1297" s="552"/>
      <c r="T1297" s="552"/>
      <c r="U1297" s="552"/>
      <c r="V1297" s="552"/>
      <c r="W1297" s="552"/>
      <c r="X1297" s="552"/>
      <c r="Y1297" s="552"/>
      <c r="Z1297" s="552"/>
      <c r="AA1297" s="553"/>
      <c r="AB1297" s="553"/>
    </row>
    <row r="1298" spans="1:28" ht="12.75">
      <c r="A1298" s="547" t="s">
        <v>512</v>
      </c>
      <c r="B1298" s="547" t="s">
        <v>169</v>
      </c>
      <c r="C1298" s="548" t="s">
        <v>813</v>
      </c>
      <c r="D1298" s="549">
        <v>2019</v>
      </c>
      <c r="E1298" s="549" t="s">
        <v>775</v>
      </c>
      <c r="F1298" s="550">
        <v>45</v>
      </c>
      <c r="G1298" s="550">
        <v>80</v>
      </c>
      <c r="H1298" s="550">
        <v>76</v>
      </c>
      <c r="I1298" s="550">
        <v>4</v>
      </c>
      <c r="J1298" s="550">
        <v>32</v>
      </c>
      <c r="K1298" s="550">
        <v>83</v>
      </c>
      <c r="L1298" s="550">
        <v>30</v>
      </c>
      <c r="M1298" s="550">
        <v>53</v>
      </c>
      <c r="N1298" s="550">
        <v>37</v>
      </c>
      <c r="O1298" s="550">
        <v>1</v>
      </c>
      <c r="P1298" s="550">
        <v>90</v>
      </c>
      <c r="Q1298" s="550">
        <v>538</v>
      </c>
      <c r="R1298" s="574" t="s">
        <v>512</v>
      </c>
      <c r="S1298" s="552">
        <f>SUM(G1293:G1298) +SUM(K1293:K1298)</f>
        <v>844</v>
      </c>
      <c r="T1298" s="552">
        <f>F1298+J1298</f>
        <v>77</v>
      </c>
      <c r="U1298" s="552">
        <f>SUM(O1293:O1298)</f>
        <v>42</v>
      </c>
      <c r="V1298" s="552">
        <f>N1298</f>
        <v>37</v>
      </c>
      <c r="W1298" s="554">
        <f>SUM(Q1293:Q1298)</f>
        <v>2103</v>
      </c>
      <c r="X1298" s="552">
        <f>P1298</f>
        <v>90</v>
      </c>
      <c r="Y1298" s="552">
        <f>S1298+U1298+SUM(Q1293:Q1298)</f>
        <v>2989</v>
      </c>
      <c r="Z1298" s="552">
        <f>F1298+J1298+N1298+P1298</f>
        <v>204</v>
      </c>
      <c r="AA1298" s="553"/>
      <c r="AB1298" s="553"/>
    </row>
    <row r="1299" spans="1:28" ht="12.75">
      <c r="A1299" s="547" t="s">
        <v>513</v>
      </c>
      <c r="B1299" s="547" t="s">
        <v>169</v>
      </c>
      <c r="C1299" s="548" t="s">
        <v>812</v>
      </c>
      <c r="D1299" s="549">
        <v>2018</v>
      </c>
      <c r="E1299" s="549" t="s">
        <v>775</v>
      </c>
      <c r="F1299" s="550">
        <v>1</v>
      </c>
      <c r="G1299" s="564"/>
      <c r="H1299" s="564"/>
      <c r="I1299" s="564"/>
      <c r="J1299" s="550">
        <v>1</v>
      </c>
      <c r="K1299" s="564"/>
      <c r="L1299" s="564"/>
      <c r="M1299" s="564"/>
      <c r="N1299" s="550">
        <v>0</v>
      </c>
      <c r="O1299" s="564"/>
      <c r="P1299" s="550">
        <v>0</v>
      </c>
      <c r="Q1299" s="564"/>
      <c r="R1299" s="574" t="s">
        <v>513</v>
      </c>
      <c r="S1299" s="552"/>
      <c r="T1299" s="552"/>
      <c r="U1299" s="552"/>
      <c r="V1299" s="552"/>
      <c r="W1299" s="552"/>
      <c r="X1299" s="552"/>
      <c r="Y1299" s="552"/>
      <c r="Z1299" s="552"/>
      <c r="AA1299" s="553"/>
      <c r="AB1299" s="553"/>
    </row>
    <row r="1300" spans="1:28" ht="12.75">
      <c r="A1300" s="547" t="s">
        <v>513</v>
      </c>
      <c r="B1300" s="547" t="s">
        <v>169</v>
      </c>
      <c r="C1300" s="548" t="s">
        <v>813</v>
      </c>
      <c r="D1300" s="549">
        <v>2019</v>
      </c>
      <c r="E1300" s="549" t="s">
        <v>775</v>
      </c>
      <c r="F1300" s="550">
        <v>1</v>
      </c>
      <c r="G1300" s="550">
        <v>0</v>
      </c>
      <c r="H1300" s="550">
        <v>0</v>
      </c>
      <c r="I1300" s="550">
        <v>0</v>
      </c>
      <c r="J1300" s="550">
        <v>1</v>
      </c>
      <c r="K1300" s="550">
        <v>0</v>
      </c>
      <c r="L1300" s="550">
        <v>0</v>
      </c>
      <c r="M1300" s="550">
        <v>0</v>
      </c>
      <c r="N1300" s="550">
        <v>0</v>
      </c>
      <c r="O1300" s="550">
        <v>0</v>
      </c>
      <c r="P1300" s="550">
        <v>0</v>
      </c>
      <c r="Q1300" s="550">
        <v>12</v>
      </c>
      <c r="R1300" s="574" t="s">
        <v>513</v>
      </c>
      <c r="S1300" s="255">
        <f>SUM(G1299:G1300) +SUM(K1299:K1300)</f>
        <v>0</v>
      </c>
      <c r="T1300" s="255">
        <f>F1300+J1300</f>
        <v>2</v>
      </c>
      <c r="U1300" s="255">
        <f>SUM(O1299:O1300)</f>
        <v>0</v>
      </c>
      <c r="V1300" s="255">
        <f>N1300</f>
        <v>0</v>
      </c>
      <c r="W1300" s="83">
        <f>SUM(Q1299:Q1300)</f>
        <v>12</v>
      </c>
      <c r="X1300" s="255">
        <f>P1300</f>
        <v>0</v>
      </c>
      <c r="Y1300" s="255">
        <f>S1300+U1300+SUM(Q1299:Q1300)</f>
        <v>12</v>
      </c>
      <c r="Z1300" s="255">
        <f>F1300+J1300+N1300+P1300</f>
        <v>2</v>
      </c>
      <c r="AA1300" s="553"/>
      <c r="AB1300" s="553"/>
    </row>
    <row r="1301" spans="1:28" ht="12.75">
      <c r="A1301" s="547" t="s">
        <v>514</v>
      </c>
      <c r="B1301" s="547" t="s">
        <v>169</v>
      </c>
      <c r="C1301" s="548" t="s">
        <v>812</v>
      </c>
      <c r="D1301" s="549">
        <v>2014</v>
      </c>
      <c r="E1301" s="549" t="s">
        <v>775</v>
      </c>
      <c r="F1301" s="550">
        <v>68</v>
      </c>
      <c r="G1301" s="550">
        <v>0</v>
      </c>
      <c r="H1301" s="550">
        <v>0</v>
      </c>
      <c r="I1301" s="550">
        <v>0</v>
      </c>
      <c r="J1301" s="550">
        <v>49</v>
      </c>
      <c r="K1301" s="550">
        <v>0</v>
      </c>
      <c r="L1301" s="550">
        <v>0</v>
      </c>
      <c r="M1301" s="550">
        <v>0</v>
      </c>
      <c r="N1301" s="550">
        <v>56</v>
      </c>
      <c r="O1301" s="550">
        <v>0</v>
      </c>
      <c r="P1301" s="550">
        <v>140</v>
      </c>
      <c r="Q1301" s="550">
        <v>32</v>
      </c>
      <c r="R1301" s="574" t="s">
        <v>514</v>
      </c>
      <c r="S1301" s="552"/>
      <c r="T1301" s="552"/>
      <c r="U1301" s="552"/>
      <c r="V1301" s="552"/>
      <c r="W1301" s="552"/>
      <c r="X1301" s="552"/>
      <c r="Y1301" s="552"/>
      <c r="Z1301" s="552"/>
      <c r="AA1301" s="553"/>
      <c r="AB1301" s="553"/>
    </row>
    <row r="1302" spans="1:28" ht="12.75">
      <c r="A1302" s="547" t="s">
        <v>514</v>
      </c>
      <c r="B1302" s="547" t="s">
        <v>169</v>
      </c>
      <c r="C1302" s="548" t="s">
        <v>812</v>
      </c>
      <c r="D1302" s="549">
        <v>2015</v>
      </c>
      <c r="E1302" s="549" t="s">
        <v>775</v>
      </c>
      <c r="F1302" s="550">
        <v>68</v>
      </c>
      <c r="G1302" s="550">
        <v>0</v>
      </c>
      <c r="H1302" s="550">
        <v>0</v>
      </c>
      <c r="I1302" s="550">
        <v>0</v>
      </c>
      <c r="J1302" s="550">
        <v>49</v>
      </c>
      <c r="K1302" s="550">
        <v>0</v>
      </c>
      <c r="L1302" s="550">
        <v>0</v>
      </c>
      <c r="M1302" s="550">
        <v>0</v>
      </c>
      <c r="N1302" s="550">
        <v>56</v>
      </c>
      <c r="O1302" s="550">
        <v>0</v>
      </c>
      <c r="P1302" s="550">
        <v>140</v>
      </c>
      <c r="Q1302" s="550">
        <v>37</v>
      </c>
      <c r="R1302" s="574" t="s">
        <v>514</v>
      </c>
      <c r="S1302" s="552"/>
      <c r="T1302" s="552"/>
      <c r="U1302" s="552"/>
      <c r="V1302" s="552"/>
      <c r="W1302" s="552"/>
      <c r="X1302" s="552"/>
      <c r="Y1302" s="552"/>
      <c r="Z1302" s="552"/>
      <c r="AA1302" s="553"/>
      <c r="AB1302" s="553"/>
    </row>
    <row r="1303" spans="1:28" ht="12.75">
      <c r="A1303" s="547" t="s">
        <v>514</v>
      </c>
      <c r="B1303" s="547" t="s">
        <v>169</v>
      </c>
      <c r="C1303" s="548" t="s">
        <v>812</v>
      </c>
      <c r="D1303" s="549">
        <v>2016</v>
      </c>
      <c r="E1303" s="549" t="s">
        <v>775</v>
      </c>
      <c r="F1303" s="550">
        <v>68</v>
      </c>
      <c r="G1303" s="550">
        <v>0</v>
      </c>
      <c r="H1303" s="550">
        <v>0</v>
      </c>
      <c r="I1303" s="550">
        <v>0</v>
      </c>
      <c r="J1303" s="550">
        <v>49</v>
      </c>
      <c r="K1303" s="550">
        <v>0</v>
      </c>
      <c r="L1303" s="550">
        <v>0</v>
      </c>
      <c r="M1303" s="550">
        <v>0</v>
      </c>
      <c r="N1303" s="550">
        <v>56</v>
      </c>
      <c r="O1303" s="550">
        <v>0</v>
      </c>
      <c r="P1303" s="550">
        <v>140</v>
      </c>
      <c r="Q1303" s="550">
        <v>25</v>
      </c>
      <c r="R1303" s="574" t="s">
        <v>514</v>
      </c>
      <c r="S1303" s="552"/>
      <c r="T1303" s="552"/>
      <c r="U1303" s="552"/>
      <c r="V1303" s="552"/>
      <c r="W1303" s="552"/>
      <c r="X1303" s="552"/>
      <c r="Y1303" s="552"/>
      <c r="Z1303" s="552"/>
      <c r="AA1303" s="553"/>
      <c r="AB1303" s="553"/>
    </row>
    <row r="1304" spans="1:28" ht="12.75">
      <c r="A1304" s="547" t="s">
        <v>514</v>
      </c>
      <c r="B1304" s="547" t="s">
        <v>169</v>
      </c>
      <c r="C1304" s="548" t="s">
        <v>812</v>
      </c>
      <c r="D1304" s="549">
        <v>2017</v>
      </c>
      <c r="E1304" s="549" t="s">
        <v>775</v>
      </c>
      <c r="F1304" s="550">
        <v>68</v>
      </c>
      <c r="G1304" s="550">
        <v>0</v>
      </c>
      <c r="H1304" s="550">
        <v>0</v>
      </c>
      <c r="I1304" s="550">
        <v>0</v>
      </c>
      <c r="J1304" s="550">
        <v>49</v>
      </c>
      <c r="K1304" s="550">
        <v>0</v>
      </c>
      <c r="L1304" s="550">
        <v>0</v>
      </c>
      <c r="M1304" s="550">
        <v>0</v>
      </c>
      <c r="N1304" s="550">
        <v>56</v>
      </c>
      <c r="O1304" s="550">
        <v>2</v>
      </c>
      <c r="P1304" s="550">
        <v>140</v>
      </c>
      <c r="Q1304" s="550">
        <v>0</v>
      </c>
      <c r="R1304" s="574" t="s">
        <v>514</v>
      </c>
      <c r="S1304" s="552"/>
      <c r="T1304" s="552"/>
      <c r="U1304" s="552"/>
      <c r="V1304" s="552"/>
      <c r="W1304" s="552"/>
      <c r="X1304" s="552"/>
      <c r="Y1304" s="552"/>
      <c r="Z1304" s="552"/>
      <c r="AA1304" s="553"/>
      <c r="AB1304" s="553"/>
    </row>
    <row r="1305" spans="1:28" ht="12.75">
      <c r="A1305" s="547" t="s">
        <v>514</v>
      </c>
      <c r="B1305" s="547" t="s">
        <v>169</v>
      </c>
      <c r="C1305" s="548" t="s">
        <v>812</v>
      </c>
      <c r="D1305" s="549">
        <v>2018</v>
      </c>
      <c r="E1305" s="549" t="s">
        <v>775</v>
      </c>
      <c r="F1305" s="550">
        <v>68</v>
      </c>
      <c r="G1305" s="550">
        <v>0</v>
      </c>
      <c r="H1305" s="550">
        <v>0</v>
      </c>
      <c r="I1305" s="550">
        <v>0</v>
      </c>
      <c r="J1305" s="550">
        <v>49</v>
      </c>
      <c r="K1305" s="550">
        <v>0</v>
      </c>
      <c r="L1305" s="550">
        <v>0</v>
      </c>
      <c r="M1305" s="550">
        <v>0</v>
      </c>
      <c r="N1305" s="550">
        <v>56</v>
      </c>
      <c r="O1305" s="550">
        <v>12</v>
      </c>
      <c r="P1305" s="550">
        <v>140</v>
      </c>
      <c r="Q1305" s="550">
        <v>45</v>
      </c>
      <c r="R1305" s="574" t="s">
        <v>514</v>
      </c>
      <c r="S1305" s="552"/>
      <c r="T1305" s="552"/>
      <c r="U1305" s="552"/>
      <c r="V1305" s="552"/>
      <c r="W1305" s="552"/>
      <c r="X1305" s="552"/>
      <c r="Y1305" s="552"/>
      <c r="Z1305" s="552"/>
      <c r="AA1305" s="553"/>
      <c r="AB1305" s="553"/>
    </row>
    <row r="1306" spans="1:28" ht="12.75">
      <c r="A1306" s="547" t="s">
        <v>514</v>
      </c>
      <c r="B1306" s="547" t="s">
        <v>169</v>
      </c>
      <c r="C1306" s="548" t="s">
        <v>813</v>
      </c>
      <c r="D1306" s="549">
        <v>2019</v>
      </c>
      <c r="E1306" s="549" t="s">
        <v>775</v>
      </c>
      <c r="F1306" s="550">
        <v>68</v>
      </c>
      <c r="G1306" s="550">
        <v>0</v>
      </c>
      <c r="H1306" s="550">
        <v>0</v>
      </c>
      <c r="I1306" s="550">
        <v>0</v>
      </c>
      <c r="J1306" s="550">
        <v>49</v>
      </c>
      <c r="K1306" s="550">
        <v>0</v>
      </c>
      <c r="L1306" s="550">
        <v>0</v>
      </c>
      <c r="M1306" s="550">
        <v>0</v>
      </c>
      <c r="N1306" s="550">
        <v>56</v>
      </c>
      <c r="O1306" s="550">
        <v>0</v>
      </c>
      <c r="P1306" s="550">
        <v>140</v>
      </c>
      <c r="Q1306" s="550">
        <v>115</v>
      </c>
      <c r="R1306" s="574" t="s">
        <v>514</v>
      </c>
      <c r="S1306" s="552">
        <f>SUM(G1301:G1306) +SUM(K1301:K1306)</f>
        <v>0</v>
      </c>
      <c r="T1306" s="552">
        <f>F1306+J1306</f>
        <v>117</v>
      </c>
      <c r="U1306" s="552">
        <f>SUM(O1301:O1306)</f>
        <v>14</v>
      </c>
      <c r="V1306" s="552">
        <f>N1306</f>
        <v>56</v>
      </c>
      <c r="W1306" s="554">
        <f>SUM(Q1301:Q1306)</f>
        <v>254</v>
      </c>
      <c r="X1306" s="552">
        <f>P1306</f>
        <v>140</v>
      </c>
      <c r="Y1306" s="552">
        <f>S1306+U1306+SUM(Q1301:Q1306)</f>
        <v>268</v>
      </c>
      <c r="Z1306" s="552">
        <f>F1306+J1306+N1306+P1306</f>
        <v>313</v>
      </c>
      <c r="AA1306" s="553"/>
      <c r="AB1306" s="553"/>
    </row>
    <row r="1307" spans="1:28" ht="12.75">
      <c r="A1307" s="547" t="s">
        <v>515</v>
      </c>
      <c r="B1307" s="547" t="s">
        <v>169</v>
      </c>
      <c r="C1307" s="548" t="s">
        <v>812</v>
      </c>
      <c r="D1307" s="549">
        <v>2014</v>
      </c>
      <c r="E1307" s="549" t="s">
        <v>775</v>
      </c>
      <c r="F1307" s="550">
        <v>283</v>
      </c>
      <c r="G1307" s="550">
        <v>88</v>
      </c>
      <c r="H1307" s="550">
        <v>88</v>
      </c>
      <c r="I1307" s="550">
        <v>0</v>
      </c>
      <c r="J1307" s="550">
        <v>195</v>
      </c>
      <c r="K1307" s="550">
        <v>73</v>
      </c>
      <c r="L1307" s="550">
        <v>73</v>
      </c>
      <c r="M1307" s="550">
        <v>0</v>
      </c>
      <c r="N1307" s="550">
        <v>224</v>
      </c>
      <c r="O1307" s="550">
        <v>101</v>
      </c>
      <c r="P1307" s="550">
        <v>525</v>
      </c>
      <c r="Q1307" s="550">
        <v>496</v>
      </c>
      <c r="R1307" s="574" t="s">
        <v>515</v>
      </c>
      <c r="S1307" s="552"/>
      <c r="T1307" s="552"/>
      <c r="U1307" s="552"/>
      <c r="V1307" s="552"/>
      <c r="W1307" s="552"/>
      <c r="X1307" s="552"/>
      <c r="Y1307" s="552"/>
      <c r="Z1307" s="552"/>
      <c r="AA1307" s="553"/>
      <c r="AB1307" s="553"/>
    </row>
    <row r="1308" spans="1:28" ht="12.75">
      <c r="A1308" s="547" t="s">
        <v>515</v>
      </c>
      <c r="B1308" s="547" t="s">
        <v>169</v>
      </c>
      <c r="C1308" s="548" t="s">
        <v>812</v>
      </c>
      <c r="D1308" s="549">
        <v>2015</v>
      </c>
      <c r="E1308" s="549" t="s">
        <v>775</v>
      </c>
      <c r="F1308" s="550">
        <v>283</v>
      </c>
      <c r="G1308" s="550">
        <v>0</v>
      </c>
      <c r="H1308" s="550">
        <v>0</v>
      </c>
      <c r="I1308" s="550">
        <v>0</v>
      </c>
      <c r="J1308" s="550">
        <v>195</v>
      </c>
      <c r="K1308" s="550">
        <v>0</v>
      </c>
      <c r="L1308" s="550">
        <v>0</v>
      </c>
      <c r="M1308" s="550">
        <v>0</v>
      </c>
      <c r="N1308" s="550">
        <v>224</v>
      </c>
      <c r="O1308" s="550">
        <v>0</v>
      </c>
      <c r="P1308" s="550">
        <v>525</v>
      </c>
      <c r="Q1308" s="550">
        <v>240</v>
      </c>
      <c r="R1308" s="574" t="s">
        <v>515</v>
      </c>
      <c r="S1308" s="552"/>
      <c r="T1308" s="552"/>
      <c r="U1308" s="552"/>
      <c r="V1308" s="552"/>
      <c r="W1308" s="552"/>
      <c r="X1308" s="552"/>
      <c r="Y1308" s="552"/>
      <c r="Z1308" s="552"/>
      <c r="AA1308" s="553"/>
      <c r="AB1308" s="553"/>
    </row>
    <row r="1309" spans="1:28" ht="12.75">
      <c r="A1309" s="547" t="s">
        <v>515</v>
      </c>
      <c r="B1309" s="547" t="s">
        <v>169</v>
      </c>
      <c r="C1309" s="548" t="s">
        <v>812</v>
      </c>
      <c r="D1309" s="549">
        <v>2016</v>
      </c>
      <c r="E1309" s="549" t="s">
        <v>775</v>
      </c>
      <c r="F1309" s="550">
        <v>283</v>
      </c>
      <c r="G1309" s="550">
        <v>1</v>
      </c>
      <c r="H1309" s="550">
        <v>1</v>
      </c>
      <c r="I1309" s="550">
        <v>0</v>
      </c>
      <c r="J1309" s="550">
        <v>195</v>
      </c>
      <c r="K1309" s="550">
        <v>0</v>
      </c>
      <c r="L1309" s="550">
        <v>0</v>
      </c>
      <c r="M1309" s="550">
        <v>0</v>
      </c>
      <c r="N1309" s="550">
        <v>224</v>
      </c>
      <c r="O1309" s="550">
        <v>0</v>
      </c>
      <c r="P1309" s="550">
        <v>525</v>
      </c>
      <c r="Q1309" s="550">
        <v>157</v>
      </c>
      <c r="R1309" s="574" t="s">
        <v>515</v>
      </c>
      <c r="S1309" s="552"/>
      <c r="T1309" s="552"/>
      <c r="U1309" s="552"/>
      <c r="V1309" s="552"/>
      <c r="W1309" s="552"/>
      <c r="X1309" s="552"/>
      <c r="Y1309" s="552"/>
      <c r="Z1309" s="552"/>
      <c r="AA1309" s="553"/>
      <c r="AB1309" s="553"/>
    </row>
    <row r="1310" spans="1:28" ht="12.75">
      <c r="A1310" s="547" t="s">
        <v>515</v>
      </c>
      <c r="B1310" s="547" t="s">
        <v>169</v>
      </c>
      <c r="C1310" s="548" t="s">
        <v>812</v>
      </c>
      <c r="D1310" s="549">
        <v>2017</v>
      </c>
      <c r="E1310" s="549" t="s">
        <v>775</v>
      </c>
      <c r="F1310" s="550">
        <v>283</v>
      </c>
      <c r="G1310" s="550">
        <v>1</v>
      </c>
      <c r="H1310" s="550">
        <v>1</v>
      </c>
      <c r="I1310" s="550">
        <v>0</v>
      </c>
      <c r="J1310" s="550">
        <v>195</v>
      </c>
      <c r="K1310" s="550">
        <v>0</v>
      </c>
      <c r="L1310" s="550">
        <v>0</v>
      </c>
      <c r="M1310" s="550">
        <v>0</v>
      </c>
      <c r="N1310" s="550">
        <v>224</v>
      </c>
      <c r="O1310" s="550">
        <v>0</v>
      </c>
      <c r="P1310" s="550">
        <v>525</v>
      </c>
      <c r="Q1310" s="550">
        <v>13</v>
      </c>
      <c r="R1310" s="574" t="s">
        <v>515</v>
      </c>
      <c r="S1310" s="552"/>
      <c r="T1310" s="552"/>
      <c r="U1310" s="552"/>
      <c r="V1310" s="552"/>
      <c r="W1310" s="552"/>
      <c r="X1310" s="552"/>
      <c r="Y1310" s="552"/>
      <c r="Z1310" s="552"/>
      <c r="AA1310" s="553"/>
      <c r="AB1310" s="553"/>
    </row>
    <row r="1311" spans="1:28" ht="12.75">
      <c r="A1311" s="547" t="s">
        <v>515</v>
      </c>
      <c r="B1311" s="547" t="s">
        <v>169</v>
      </c>
      <c r="C1311" s="548" t="s">
        <v>813</v>
      </c>
      <c r="D1311" s="549">
        <v>2019</v>
      </c>
      <c r="E1311" s="549" t="s">
        <v>775</v>
      </c>
      <c r="F1311" s="550">
        <v>283</v>
      </c>
      <c r="G1311" s="550">
        <v>0</v>
      </c>
      <c r="H1311" s="550">
        <v>0</v>
      </c>
      <c r="I1311" s="550">
        <v>0</v>
      </c>
      <c r="J1311" s="550">
        <v>195</v>
      </c>
      <c r="K1311" s="550">
        <v>0</v>
      </c>
      <c r="L1311" s="550">
        <v>0</v>
      </c>
      <c r="M1311" s="550">
        <v>0</v>
      </c>
      <c r="N1311" s="550">
        <v>224</v>
      </c>
      <c r="O1311" s="550">
        <v>5</v>
      </c>
      <c r="P1311" s="550">
        <v>525</v>
      </c>
      <c r="Q1311" s="550">
        <v>257</v>
      </c>
      <c r="R1311" s="574" t="s">
        <v>515</v>
      </c>
      <c r="S1311" s="552">
        <f>SUM(G1307:G1311) +SUM(K1307:K1311)</f>
        <v>163</v>
      </c>
      <c r="T1311" s="552">
        <f>F1311+J1311</f>
        <v>478</v>
      </c>
      <c r="U1311" s="552">
        <f>SUM(O1307:O1311)</f>
        <v>106</v>
      </c>
      <c r="V1311" s="552">
        <f>N1311</f>
        <v>224</v>
      </c>
      <c r="W1311" s="554">
        <f>SUM(Q1307:Q1311)</f>
        <v>1163</v>
      </c>
      <c r="X1311" s="552">
        <f>P1311</f>
        <v>525</v>
      </c>
      <c r="Y1311" s="552">
        <f>S1311+U1311+SUM(Q1307:Q1311)</f>
        <v>1432</v>
      </c>
      <c r="Z1311" s="552">
        <f>F1311+J1311+N1311+P1311</f>
        <v>1227</v>
      </c>
      <c r="AA1311" s="553"/>
      <c r="AB1311" s="553"/>
    </row>
    <row r="1312" spans="1:28" ht="12.75">
      <c r="A1312" s="547" t="s">
        <v>516</v>
      </c>
      <c r="B1312" s="547" t="s">
        <v>169</v>
      </c>
      <c r="C1312" s="548" t="s">
        <v>812</v>
      </c>
      <c r="D1312" s="549">
        <v>2017</v>
      </c>
      <c r="E1312" s="549" t="s">
        <v>775</v>
      </c>
      <c r="F1312" s="550">
        <v>3</v>
      </c>
      <c r="G1312" s="550">
        <v>0</v>
      </c>
      <c r="H1312" s="550">
        <v>0</v>
      </c>
      <c r="I1312" s="550">
        <v>0</v>
      </c>
      <c r="J1312" s="550">
        <v>2</v>
      </c>
      <c r="K1312" s="550">
        <v>0</v>
      </c>
      <c r="L1312" s="550">
        <v>0</v>
      </c>
      <c r="M1312" s="550">
        <v>0</v>
      </c>
      <c r="N1312" s="550">
        <v>3</v>
      </c>
      <c r="O1312" s="550">
        <v>0</v>
      </c>
      <c r="P1312" s="550">
        <v>6</v>
      </c>
      <c r="Q1312" s="550">
        <v>1</v>
      </c>
      <c r="R1312" s="574" t="s">
        <v>516</v>
      </c>
      <c r="S1312" s="552"/>
      <c r="T1312" s="552"/>
      <c r="U1312" s="552"/>
      <c r="V1312" s="552"/>
      <c r="W1312" s="552"/>
      <c r="X1312" s="552"/>
      <c r="Y1312" s="552"/>
      <c r="Z1312" s="552"/>
      <c r="AA1312" s="553"/>
      <c r="AB1312" s="553"/>
    </row>
    <row r="1313" spans="1:28" ht="12.75">
      <c r="A1313" s="547" t="s">
        <v>516</v>
      </c>
      <c r="B1313" s="547" t="s">
        <v>169</v>
      </c>
      <c r="C1313" s="548" t="s">
        <v>812</v>
      </c>
      <c r="D1313" s="549">
        <v>2018</v>
      </c>
      <c r="E1313" s="549" t="s">
        <v>775</v>
      </c>
      <c r="F1313" s="550">
        <v>3</v>
      </c>
      <c r="G1313" s="550">
        <v>0</v>
      </c>
      <c r="H1313" s="550">
        <v>0</v>
      </c>
      <c r="I1313" s="550">
        <v>0</v>
      </c>
      <c r="J1313" s="550">
        <v>2</v>
      </c>
      <c r="K1313" s="550">
        <v>0</v>
      </c>
      <c r="L1313" s="550">
        <v>0</v>
      </c>
      <c r="M1313" s="550">
        <v>0</v>
      </c>
      <c r="N1313" s="550">
        <v>3</v>
      </c>
      <c r="O1313" s="550">
        <v>3</v>
      </c>
      <c r="P1313" s="550">
        <v>6</v>
      </c>
      <c r="Q1313" s="550">
        <v>3</v>
      </c>
      <c r="R1313" s="574" t="s">
        <v>516</v>
      </c>
      <c r="S1313" s="552"/>
      <c r="T1313" s="552"/>
      <c r="U1313" s="552"/>
      <c r="V1313" s="552"/>
      <c r="W1313" s="552"/>
      <c r="X1313" s="552"/>
      <c r="Y1313" s="552"/>
      <c r="Z1313" s="552"/>
      <c r="AA1313" s="553"/>
      <c r="AB1313" s="553"/>
    </row>
    <row r="1314" spans="1:28" ht="12.75">
      <c r="A1314" s="547" t="s">
        <v>516</v>
      </c>
      <c r="B1314" s="547" t="s">
        <v>169</v>
      </c>
      <c r="C1314" s="548" t="s">
        <v>813</v>
      </c>
      <c r="D1314" s="549">
        <v>2019</v>
      </c>
      <c r="E1314" s="549" t="s">
        <v>775</v>
      </c>
      <c r="F1314" s="550">
        <v>3</v>
      </c>
      <c r="G1314" s="550">
        <v>0</v>
      </c>
      <c r="H1314" s="550">
        <v>0</v>
      </c>
      <c r="I1314" s="550">
        <v>0</v>
      </c>
      <c r="J1314" s="550">
        <v>2</v>
      </c>
      <c r="K1314" s="550">
        <v>0</v>
      </c>
      <c r="L1314" s="550">
        <v>0</v>
      </c>
      <c r="M1314" s="550">
        <v>0</v>
      </c>
      <c r="N1314" s="550">
        <v>3</v>
      </c>
      <c r="O1314" s="550">
        <v>2</v>
      </c>
      <c r="P1314" s="550">
        <v>6</v>
      </c>
      <c r="Q1314" s="550">
        <v>3</v>
      </c>
      <c r="R1314" s="574" t="s">
        <v>516</v>
      </c>
      <c r="S1314" s="255">
        <f>SUM(G1312:G1314) +SUM(K1312:K1314)</f>
        <v>0</v>
      </c>
      <c r="T1314" s="255">
        <f>F1314+J1314</f>
        <v>5</v>
      </c>
      <c r="U1314" s="255">
        <f>SUM(O1312:O1314)</f>
        <v>5</v>
      </c>
      <c r="V1314" s="255">
        <f>N1314</f>
        <v>3</v>
      </c>
      <c r="W1314" s="83">
        <f>SUM(Q1312:Q1314)</f>
        <v>7</v>
      </c>
      <c r="X1314" s="255">
        <f>P1314</f>
        <v>6</v>
      </c>
      <c r="Y1314" s="255">
        <f>S1314+U1314+SUM(Q1312:Q1314)</f>
        <v>12</v>
      </c>
      <c r="Z1314" s="255">
        <f>F1314+J1314+N1314+P1314</f>
        <v>14</v>
      </c>
      <c r="AA1314" s="553"/>
      <c r="AB1314" s="553"/>
    </row>
    <row r="1315" spans="1:28" ht="12.75">
      <c r="A1315" s="547" t="s">
        <v>517</v>
      </c>
      <c r="B1315" s="547" t="s">
        <v>169</v>
      </c>
      <c r="C1315" s="548" t="s">
        <v>812</v>
      </c>
      <c r="D1315" s="549">
        <v>2014</v>
      </c>
      <c r="E1315" s="549" t="s">
        <v>775</v>
      </c>
      <c r="F1315" s="550">
        <v>1</v>
      </c>
      <c r="G1315" s="550">
        <v>0</v>
      </c>
      <c r="H1315" s="550">
        <v>0</v>
      </c>
      <c r="I1315" s="550">
        <v>0</v>
      </c>
      <c r="J1315" s="550">
        <v>1</v>
      </c>
      <c r="K1315" s="550">
        <v>0</v>
      </c>
      <c r="L1315" s="550">
        <v>0</v>
      </c>
      <c r="M1315" s="550">
        <v>0</v>
      </c>
      <c r="N1315" s="550">
        <v>0</v>
      </c>
      <c r="O1315" s="550">
        <v>0</v>
      </c>
      <c r="P1315" s="550">
        <v>0</v>
      </c>
      <c r="Q1315" s="550">
        <v>18</v>
      </c>
      <c r="R1315" s="574" t="s">
        <v>517</v>
      </c>
      <c r="S1315" s="552"/>
      <c r="T1315" s="552"/>
      <c r="U1315" s="552"/>
      <c r="V1315" s="552"/>
      <c r="W1315" s="552"/>
      <c r="X1315" s="552"/>
      <c r="Y1315" s="552"/>
      <c r="Z1315" s="552"/>
      <c r="AA1315" s="553"/>
      <c r="AB1315" s="553"/>
    </row>
    <row r="1316" spans="1:28" ht="12.75">
      <c r="A1316" s="547" t="s">
        <v>517</v>
      </c>
      <c r="B1316" s="547" t="s">
        <v>169</v>
      </c>
      <c r="C1316" s="548" t="s">
        <v>812</v>
      </c>
      <c r="D1316" s="549">
        <v>2015</v>
      </c>
      <c r="E1316" s="549" t="s">
        <v>775</v>
      </c>
      <c r="F1316" s="550">
        <v>1</v>
      </c>
      <c r="G1316" s="550">
        <v>0</v>
      </c>
      <c r="H1316" s="550">
        <v>0</v>
      </c>
      <c r="I1316" s="550">
        <v>0</v>
      </c>
      <c r="J1316" s="550">
        <v>1</v>
      </c>
      <c r="K1316" s="550">
        <v>0</v>
      </c>
      <c r="L1316" s="550">
        <v>0</v>
      </c>
      <c r="M1316" s="550">
        <v>0</v>
      </c>
      <c r="N1316" s="550">
        <v>0</v>
      </c>
      <c r="O1316" s="550">
        <v>0</v>
      </c>
      <c r="P1316" s="550">
        <v>0</v>
      </c>
      <c r="Q1316" s="550">
        <v>81</v>
      </c>
      <c r="R1316" s="574" t="s">
        <v>517</v>
      </c>
      <c r="S1316" s="552"/>
      <c r="T1316" s="552"/>
      <c r="U1316" s="552"/>
      <c r="V1316" s="552"/>
      <c r="W1316" s="552"/>
      <c r="X1316" s="552"/>
      <c r="Y1316" s="552"/>
      <c r="Z1316" s="552"/>
      <c r="AA1316" s="553"/>
      <c r="AB1316" s="553"/>
    </row>
    <row r="1317" spans="1:28" ht="12.75">
      <c r="A1317" s="547" t="s">
        <v>517</v>
      </c>
      <c r="B1317" s="547" t="s">
        <v>169</v>
      </c>
      <c r="C1317" s="548" t="s">
        <v>812</v>
      </c>
      <c r="D1317" s="549">
        <v>2016</v>
      </c>
      <c r="E1317" s="549" t="s">
        <v>775</v>
      </c>
      <c r="F1317" s="550">
        <v>1</v>
      </c>
      <c r="G1317" s="550">
        <v>0</v>
      </c>
      <c r="H1317" s="550">
        <v>0</v>
      </c>
      <c r="I1317" s="550">
        <v>0</v>
      </c>
      <c r="J1317" s="550">
        <v>1</v>
      </c>
      <c r="K1317" s="550">
        <v>0</v>
      </c>
      <c r="L1317" s="550">
        <v>0</v>
      </c>
      <c r="M1317" s="550">
        <v>0</v>
      </c>
      <c r="N1317" s="550">
        <v>0</v>
      </c>
      <c r="O1317" s="550">
        <v>0</v>
      </c>
      <c r="P1317" s="550">
        <v>0</v>
      </c>
      <c r="Q1317" s="550">
        <v>9</v>
      </c>
      <c r="R1317" s="574" t="s">
        <v>517</v>
      </c>
      <c r="S1317" s="552"/>
      <c r="T1317" s="552"/>
      <c r="U1317" s="552"/>
      <c r="V1317" s="552"/>
      <c r="W1317" s="552"/>
      <c r="X1317" s="552"/>
      <c r="Y1317" s="552"/>
      <c r="Z1317" s="552"/>
      <c r="AA1317" s="553"/>
      <c r="AB1317" s="553"/>
    </row>
    <row r="1318" spans="1:28" ht="12.75">
      <c r="A1318" s="547" t="s">
        <v>517</v>
      </c>
      <c r="B1318" s="547" t="s">
        <v>169</v>
      </c>
      <c r="C1318" s="548" t="s">
        <v>812</v>
      </c>
      <c r="D1318" s="549">
        <v>2017</v>
      </c>
      <c r="E1318" s="549" t="s">
        <v>775</v>
      </c>
      <c r="F1318" s="550">
        <v>1</v>
      </c>
      <c r="G1318" s="550">
        <v>0</v>
      </c>
      <c r="H1318" s="550">
        <v>0</v>
      </c>
      <c r="I1318" s="550">
        <v>0</v>
      </c>
      <c r="J1318" s="550">
        <v>1</v>
      </c>
      <c r="K1318" s="550">
        <v>0</v>
      </c>
      <c r="L1318" s="550">
        <v>0</v>
      </c>
      <c r="M1318" s="550">
        <v>0</v>
      </c>
      <c r="N1318" s="550">
        <v>0</v>
      </c>
      <c r="O1318" s="550">
        <v>0</v>
      </c>
      <c r="P1318" s="550">
        <v>0</v>
      </c>
      <c r="Q1318" s="550">
        <v>80</v>
      </c>
      <c r="R1318" s="574" t="s">
        <v>517</v>
      </c>
      <c r="S1318" s="552"/>
      <c r="T1318" s="552"/>
      <c r="U1318" s="552"/>
      <c r="V1318" s="552"/>
      <c r="W1318" s="552"/>
      <c r="X1318" s="552"/>
      <c r="Y1318" s="552"/>
      <c r="Z1318" s="552"/>
      <c r="AA1318" s="553"/>
      <c r="AB1318" s="553"/>
    </row>
    <row r="1319" spans="1:28" ht="12.75">
      <c r="A1319" s="547" t="s">
        <v>517</v>
      </c>
      <c r="B1319" s="547" t="s">
        <v>169</v>
      </c>
      <c r="C1319" s="548" t="s">
        <v>812</v>
      </c>
      <c r="D1319" s="549">
        <v>2018</v>
      </c>
      <c r="E1319" s="549" t="s">
        <v>775</v>
      </c>
      <c r="F1319" s="550">
        <v>1</v>
      </c>
      <c r="G1319" s="550">
        <v>2</v>
      </c>
      <c r="H1319" s="550">
        <v>2</v>
      </c>
      <c r="I1319" s="550">
        <v>0</v>
      </c>
      <c r="J1319" s="550">
        <v>1</v>
      </c>
      <c r="K1319" s="550">
        <v>3</v>
      </c>
      <c r="L1319" s="550">
        <v>3</v>
      </c>
      <c r="M1319" s="550">
        <v>0</v>
      </c>
      <c r="N1319" s="550">
        <v>0</v>
      </c>
      <c r="O1319" s="550">
        <v>0</v>
      </c>
      <c r="P1319" s="550">
        <v>0</v>
      </c>
      <c r="Q1319" s="550">
        <v>103</v>
      </c>
      <c r="R1319" s="574" t="s">
        <v>517</v>
      </c>
      <c r="S1319" s="552"/>
      <c r="T1319" s="552"/>
      <c r="U1319" s="552"/>
      <c r="V1319" s="552"/>
      <c r="W1319" s="552"/>
      <c r="X1319" s="552"/>
      <c r="Y1319" s="552"/>
      <c r="Z1319" s="552"/>
      <c r="AA1319" s="553"/>
      <c r="AB1319" s="553"/>
    </row>
    <row r="1320" spans="1:28" ht="12.75">
      <c r="A1320" s="547" t="s">
        <v>517</v>
      </c>
      <c r="B1320" s="547" t="s">
        <v>169</v>
      </c>
      <c r="C1320" s="548" t="s">
        <v>813</v>
      </c>
      <c r="D1320" s="549">
        <v>2019</v>
      </c>
      <c r="E1320" s="549" t="s">
        <v>775</v>
      </c>
      <c r="F1320" s="550">
        <v>1</v>
      </c>
      <c r="G1320" s="550">
        <v>36</v>
      </c>
      <c r="H1320" s="550">
        <v>36</v>
      </c>
      <c r="I1320" s="550">
        <v>0</v>
      </c>
      <c r="J1320" s="550">
        <v>1</v>
      </c>
      <c r="K1320" s="550">
        <v>28</v>
      </c>
      <c r="L1320" s="550">
        <v>28</v>
      </c>
      <c r="M1320" s="550">
        <v>0</v>
      </c>
      <c r="N1320" s="550">
        <v>0</v>
      </c>
      <c r="O1320" s="550">
        <v>1</v>
      </c>
      <c r="P1320" s="550">
        <v>0</v>
      </c>
      <c r="Q1320" s="550">
        <v>29</v>
      </c>
      <c r="R1320" s="574" t="s">
        <v>517</v>
      </c>
      <c r="S1320" s="552">
        <f>SUM(G1315:G1320) +SUM(K1315:K1320)</f>
        <v>69</v>
      </c>
      <c r="T1320" s="552">
        <f>F1320+J1320</f>
        <v>2</v>
      </c>
      <c r="U1320" s="552">
        <f>SUM(O1315:O1320)</f>
        <v>1</v>
      </c>
      <c r="V1320" s="552">
        <f>N1320</f>
        <v>0</v>
      </c>
      <c r="W1320" s="554">
        <f>SUM(Q1315:Q1320)</f>
        <v>320</v>
      </c>
      <c r="X1320" s="552">
        <f>P1320</f>
        <v>0</v>
      </c>
      <c r="Y1320" s="552">
        <f>S1320+U1320+SUM(Q1315:Q1320)</f>
        <v>390</v>
      </c>
      <c r="Z1320" s="552">
        <f>F1320+J1320+N1320+P1320</f>
        <v>2</v>
      </c>
      <c r="AA1320" s="553"/>
      <c r="AB1320" s="553"/>
    </row>
    <row r="1321" spans="1:28" ht="12.75">
      <c r="A1321" s="547" t="s">
        <v>518</v>
      </c>
      <c r="B1321" s="547" t="s">
        <v>169</v>
      </c>
      <c r="C1321" s="548" t="s">
        <v>812</v>
      </c>
      <c r="D1321" s="549">
        <v>2014</v>
      </c>
      <c r="E1321" s="549" t="s">
        <v>775</v>
      </c>
      <c r="F1321" s="550">
        <v>160</v>
      </c>
      <c r="G1321" s="550">
        <v>4</v>
      </c>
      <c r="H1321" s="550">
        <v>0</v>
      </c>
      <c r="I1321" s="550">
        <v>4</v>
      </c>
      <c r="J1321" s="550">
        <v>113</v>
      </c>
      <c r="K1321" s="550">
        <v>0</v>
      </c>
      <c r="L1321" s="550">
        <v>0</v>
      </c>
      <c r="M1321" s="550">
        <v>0</v>
      </c>
      <c r="N1321" s="550">
        <v>126</v>
      </c>
      <c r="O1321" s="550">
        <v>1</v>
      </c>
      <c r="P1321" s="550">
        <v>270</v>
      </c>
      <c r="Q1321" s="550">
        <v>89</v>
      </c>
      <c r="R1321" s="574" t="s">
        <v>518</v>
      </c>
      <c r="S1321" s="552"/>
      <c r="T1321" s="552"/>
      <c r="U1321" s="552"/>
      <c r="V1321" s="552"/>
      <c r="W1321" s="552"/>
      <c r="X1321" s="552"/>
      <c r="Y1321" s="552"/>
      <c r="Z1321" s="552"/>
      <c r="AA1321" s="553"/>
      <c r="AB1321" s="553"/>
    </row>
    <row r="1322" spans="1:28" ht="12.75">
      <c r="A1322" s="547" t="s">
        <v>518</v>
      </c>
      <c r="B1322" s="547" t="s">
        <v>169</v>
      </c>
      <c r="C1322" s="548" t="s">
        <v>812</v>
      </c>
      <c r="D1322" s="549">
        <v>2015</v>
      </c>
      <c r="E1322" s="549" t="s">
        <v>775</v>
      </c>
      <c r="F1322" s="550">
        <v>160</v>
      </c>
      <c r="G1322" s="550">
        <v>57</v>
      </c>
      <c r="H1322" s="550">
        <v>54</v>
      </c>
      <c r="I1322" s="550">
        <v>3</v>
      </c>
      <c r="J1322" s="550">
        <v>113</v>
      </c>
      <c r="K1322" s="550">
        <v>14</v>
      </c>
      <c r="L1322" s="550">
        <v>14</v>
      </c>
      <c r="M1322" s="550">
        <v>0</v>
      </c>
      <c r="N1322" s="550">
        <v>126</v>
      </c>
      <c r="O1322" s="550">
        <v>14</v>
      </c>
      <c r="P1322" s="550">
        <v>270</v>
      </c>
      <c r="Q1322" s="550">
        <v>285</v>
      </c>
      <c r="R1322" s="574" t="s">
        <v>518</v>
      </c>
      <c r="S1322" s="552"/>
      <c r="T1322" s="552"/>
      <c r="U1322" s="552"/>
      <c r="V1322" s="552"/>
      <c r="W1322" s="552"/>
      <c r="X1322" s="552"/>
      <c r="Y1322" s="552"/>
      <c r="Z1322" s="552"/>
      <c r="AA1322" s="553"/>
      <c r="AB1322" s="553"/>
    </row>
    <row r="1323" spans="1:28" ht="12.75">
      <c r="A1323" s="547" t="s">
        <v>518</v>
      </c>
      <c r="B1323" s="547" t="s">
        <v>169</v>
      </c>
      <c r="C1323" s="548" t="s">
        <v>812</v>
      </c>
      <c r="D1323" s="549">
        <v>2016</v>
      </c>
      <c r="E1323" s="549" t="s">
        <v>775</v>
      </c>
      <c r="F1323" s="550">
        <v>160</v>
      </c>
      <c r="G1323" s="550">
        <v>24</v>
      </c>
      <c r="H1323" s="550">
        <v>20</v>
      </c>
      <c r="I1323" s="550">
        <v>4</v>
      </c>
      <c r="J1323" s="550">
        <v>113</v>
      </c>
      <c r="K1323" s="550">
        <v>4</v>
      </c>
      <c r="L1323" s="550">
        <v>4</v>
      </c>
      <c r="M1323" s="550">
        <v>0</v>
      </c>
      <c r="N1323" s="550">
        <v>126</v>
      </c>
      <c r="O1323" s="550">
        <v>0</v>
      </c>
      <c r="P1323" s="550">
        <v>270</v>
      </c>
      <c r="Q1323" s="550">
        <v>130</v>
      </c>
      <c r="R1323" s="574" t="s">
        <v>518</v>
      </c>
      <c r="S1323" s="552"/>
      <c r="T1323" s="552"/>
      <c r="U1323" s="552"/>
      <c r="V1323" s="552"/>
      <c r="W1323" s="552"/>
      <c r="X1323" s="552"/>
      <c r="Y1323" s="552"/>
      <c r="Z1323" s="552"/>
      <c r="AA1323" s="553"/>
      <c r="AB1323" s="553"/>
    </row>
    <row r="1324" spans="1:28" ht="12.75">
      <c r="A1324" s="547" t="s">
        <v>518</v>
      </c>
      <c r="B1324" s="547" t="s">
        <v>169</v>
      </c>
      <c r="C1324" s="548" t="s">
        <v>812</v>
      </c>
      <c r="D1324" s="549">
        <v>2017</v>
      </c>
      <c r="E1324" s="549" t="s">
        <v>775</v>
      </c>
      <c r="F1324" s="550">
        <v>160</v>
      </c>
      <c r="G1324" s="550">
        <v>26</v>
      </c>
      <c r="H1324" s="550">
        <v>25</v>
      </c>
      <c r="I1324" s="550">
        <v>1</v>
      </c>
      <c r="J1324" s="550">
        <v>113</v>
      </c>
      <c r="K1324" s="550">
        <v>4</v>
      </c>
      <c r="L1324" s="550">
        <v>4</v>
      </c>
      <c r="M1324" s="550">
        <v>0</v>
      </c>
      <c r="N1324" s="550">
        <v>126</v>
      </c>
      <c r="O1324" s="550">
        <v>7</v>
      </c>
      <c r="P1324" s="550">
        <v>270</v>
      </c>
      <c r="Q1324" s="550">
        <v>64</v>
      </c>
      <c r="R1324" s="574" t="s">
        <v>518</v>
      </c>
      <c r="S1324" s="552"/>
      <c r="T1324" s="552"/>
      <c r="U1324" s="552"/>
      <c r="V1324" s="552"/>
      <c r="W1324" s="552"/>
      <c r="X1324" s="552"/>
      <c r="Y1324" s="552"/>
      <c r="Z1324" s="552"/>
      <c r="AA1324" s="553"/>
      <c r="AB1324" s="553"/>
    </row>
    <row r="1325" spans="1:28" ht="12.75">
      <c r="A1325" s="547" t="s">
        <v>518</v>
      </c>
      <c r="B1325" s="547" t="s">
        <v>169</v>
      </c>
      <c r="C1325" s="548" t="s">
        <v>812</v>
      </c>
      <c r="D1325" s="549">
        <v>2018</v>
      </c>
      <c r="E1325" s="549" t="s">
        <v>775</v>
      </c>
      <c r="F1325" s="550">
        <v>160</v>
      </c>
      <c r="G1325" s="550">
        <v>2</v>
      </c>
      <c r="H1325" s="550">
        <v>0</v>
      </c>
      <c r="I1325" s="550">
        <v>2</v>
      </c>
      <c r="J1325" s="550">
        <v>113</v>
      </c>
      <c r="K1325" s="550">
        <v>1</v>
      </c>
      <c r="L1325" s="550">
        <v>0</v>
      </c>
      <c r="M1325" s="550">
        <v>1</v>
      </c>
      <c r="N1325" s="550">
        <v>126</v>
      </c>
      <c r="O1325" s="550">
        <v>0</v>
      </c>
      <c r="P1325" s="550">
        <v>270</v>
      </c>
      <c r="Q1325" s="550">
        <v>117</v>
      </c>
      <c r="R1325" s="574" t="s">
        <v>518</v>
      </c>
      <c r="S1325" s="552"/>
      <c r="T1325" s="552"/>
      <c r="U1325" s="552"/>
      <c r="V1325" s="552"/>
      <c r="W1325" s="552"/>
      <c r="X1325" s="552"/>
      <c r="Y1325" s="552"/>
      <c r="Z1325" s="552"/>
      <c r="AA1325" s="553"/>
      <c r="AB1325" s="553"/>
    </row>
    <row r="1326" spans="1:28" ht="12.75">
      <c r="A1326" s="547" t="s">
        <v>518</v>
      </c>
      <c r="B1326" s="547" t="s">
        <v>169</v>
      </c>
      <c r="C1326" s="548" t="s">
        <v>813</v>
      </c>
      <c r="D1326" s="549">
        <v>2019</v>
      </c>
      <c r="E1326" s="549" t="s">
        <v>775</v>
      </c>
      <c r="F1326" s="550">
        <v>160</v>
      </c>
      <c r="G1326" s="550">
        <v>3</v>
      </c>
      <c r="H1326" s="550">
        <v>0</v>
      </c>
      <c r="I1326" s="550">
        <v>3</v>
      </c>
      <c r="J1326" s="550">
        <v>113</v>
      </c>
      <c r="K1326" s="550">
        <v>0</v>
      </c>
      <c r="L1326" s="550">
        <v>0</v>
      </c>
      <c r="M1326" s="550">
        <v>0</v>
      </c>
      <c r="N1326" s="550">
        <v>126</v>
      </c>
      <c r="O1326" s="550">
        <v>0</v>
      </c>
      <c r="P1326" s="550">
        <v>270</v>
      </c>
      <c r="Q1326" s="550">
        <v>77</v>
      </c>
      <c r="R1326" s="574" t="s">
        <v>518</v>
      </c>
      <c r="S1326" s="556">
        <f>SUM(G1321:G1326) +SUM(K1321:K1326)</f>
        <v>139</v>
      </c>
      <c r="T1326" s="556">
        <f>F1326+J1326</f>
        <v>273</v>
      </c>
      <c r="U1326" s="556">
        <f>SUM(O1321:O1326)</f>
        <v>22</v>
      </c>
      <c r="V1326" s="556">
        <f>N1326</f>
        <v>126</v>
      </c>
      <c r="W1326" s="557">
        <f>SUM(Q1321:Q1326)</f>
        <v>762</v>
      </c>
      <c r="X1326" s="556">
        <f>P1326</f>
        <v>270</v>
      </c>
      <c r="Y1326" s="556">
        <f>S1326+U1326+SUM(Q1321:Q1326)</f>
        <v>923</v>
      </c>
      <c r="Z1326" s="556">
        <f>F1326+J1326+N1326+P1326</f>
        <v>669</v>
      </c>
      <c r="AA1326" s="553"/>
      <c r="AB1326" s="553"/>
    </row>
    <row r="1327" spans="1:28" ht="12.75">
      <c r="A1327" s="547"/>
      <c r="B1327" s="547"/>
      <c r="C1327" s="548"/>
      <c r="D1327" s="549"/>
      <c r="E1327" s="549"/>
      <c r="F1327" s="550"/>
      <c r="G1327" s="550"/>
      <c r="H1327" s="550"/>
      <c r="I1327" s="550"/>
      <c r="J1327" s="550"/>
      <c r="K1327" s="550"/>
      <c r="L1327" s="550"/>
      <c r="M1327" s="550"/>
      <c r="N1327" s="550"/>
      <c r="O1327" s="550"/>
      <c r="P1327" s="550"/>
      <c r="Q1327" s="550"/>
      <c r="R1327" s="574"/>
      <c r="S1327" s="552">
        <f t="shared" ref="S1327:Z1327" si="195">SUM(S1139:S1326)</f>
        <v>4126</v>
      </c>
      <c r="T1327" s="552">
        <f t="shared" si="195"/>
        <v>14980</v>
      </c>
      <c r="U1327" s="552">
        <f t="shared" si="195"/>
        <v>15673</v>
      </c>
      <c r="V1327" s="552">
        <f t="shared" si="195"/>
        <v>6971</v>
      </c>
      <c r="W1327" s="552">
        <f t="shared" si="195"/>
        <v>45719</v>
      </c>
      <c r="X1327" s="552">
        <f t="shared" si="195"/>
        <v>16015</v>
      </c>
      <c r="Y1327" s="552">
        <f t="shared" si="195"/>
        <v>65518</v>
      </c>
      <c r="Z1327" s="552">
        <f t="shared" si="195"/>
        <v>37966</v>
      </c>
      <c r="AA1327" s="553"/>
      <c r="AB1327" s="553"/>
    </row>
    <row r="1328" spans="1:28" ht="12.75">
      <c r="A1328" s="547"/>
      <c r="B1328" s="547"/>
      <c r="C1328" s="548"/>
      <c r="D1328" s="549"/>
      <c r="E1328" s="549"/>
      <c r="F1328" s="550"/>
      <c r="G1328" s="550"/>
      <c r="H1328" s="550"/>
      <c r="I1328" s="550"/>
      <c r="J1328" s="550"/>
      <c r="K1328" s="550"/>
      <c r="L1328" s="550"/>
      <c r="M1328" s="550"/>
      <c r="N1328" s="550"/>
      <c r="O1328" s="550"/>
      <c r="P1328" s="550"/>
      <c r="Q1328" s="550"/>
      <c r="R1328" s="574"/>
      <c r="S1328" s="552"/>
      <c r="T1328" s="552"/>
      <c r="U1328" s="552"/>
      <c r="V1328" s="552"/>
      <c r="W1328" s="552"/>
      <c r="X1328" s="552"/>
      <c r="Y1328" s="552"/>
      <c r="Z1328" s="552"/>
      <c r="AA1328" s="553"/>
      <c r="AB1328" s="553"/>
    </row>
    <row r="1329" spans="1:28" ht="12.75">
      <c r="A1329" s="547" t="s">
        <v>519</v>
      </c>
      <c r="B1329" s="547" t="s">
        <v>170</v>
      </c>
      <c r="C1329" s="548" t="s">
        <v>799</v>
      </c>
      <c r="D1329" s="549">
        <v>2013</v>
      </c>
      <c r="E1329" s="549" t="s">
        <v>775</v>
      </c>
      <c r="F1329" s="550">
        <v>74</v>
      </c>
      <c r="G1329" s="550">
        <v>0</v>
      </c>
      <c r="H1329" s="550">
        <v>0</v>
      </c>
      <c r="I1329" s="550">
        <v>0</v>
      </c>
      <c r="J1329" s="550">
        <v>52</v>
      </c>
      <c r="K1329" s="550">
        <v>0</v>
      </c>
      <c r="L1329" s="550">
        <v>0</v>
      </c>
      <c r="M1329" s="550">
        <v>0</v>
      </c>
      <c r="N1329" s="550">
        <v>57</v>
      </c>
      <c r="O1329" s="550">
        <v>2</v>
      </c>
      <c r="P1329" s="550">
        <v>125</v>
      </c>
      <c r="Q1329" s="550">
        <v>10</v>
      </c>
      <c r="R1329" s="574" t="s">
        <v>519</v>
      </c>
      <c r="S1329" s="552"/>
      <c r="T1329" s="552"/>
      <c r="U1329" s="552"/>
      <c r="V1329" s="552"/>
      <c r="W1329" s="552"/>
      <c r="X1329" s="552"/>
      <c r="Y1329" s="552"/>
      <c r="Z1329" s="552"/>
      <c r="AA1329" s="553"/>
      <c r="AB1329" s="553"/>
    </row>
    <row r="1330" spans="1:28" ht="12.75">
      <c r="A1330" s="547" t="s">
        <v>519</v>
      </c>
      <c r="B1330" s="547" t="s">
        <v>170</v>
      </c>
      <c r="C1330" s="548" t="s">
        <v>799</v>
      </c>
      <c r="D1330" s="549">
        <v>2014</v>
      </c>
      <c r="E1330" s="549" t="s">
        <v>775</v>
      </c>
      <c r="F1330" s="550">
        <v>74</v>
      </c>
      <c r="G1330" s="550">
        <v>0</v>
      </c>
      <c r="H1330" s="550">
        <v>0</v>
      </c>
      <c r="I1330" s="550">
        <v>0</v>
      </c>
      <c r="J1330" s="550">
        <v>52</v>
      </c>
      <c r="K1330" s="550">
        <v>0</v>
      </c>
      <c r="L1330" s="550">
        <v>0</v>
      </c>
      <c r="M1330" s="550">
        <v>0</v>
      </c>
      <c r="N1330" s="550">
        <v>57</v>
      </c>
      <c r="O1330" s="550">
        <v>0</v>
      </c>
      <c r="P1330" s="550">
        <v>125</v>
      </c>
      <c r="Q1330" s="550">
        <v>13</v>
      </c>
      <c r="R1330" s="574" t="s">
        <v>519</v>
      </c>
      <c r="S1330" s="552"/>
      <c r="T1330" s="552"/>
      <c r="U1330" s="552"/>
      <c r="V1330" s="552"/>
      <c r="W1330" s="552"/>
      <c r="X1330" s="552"/>
      <c r="Y1330" s="552"/>
      <c r="Z1330" s="552"/>
      <c r="AA1330" s="553"/>
      <c r="AB1330" s="553"/>
    </row>
    <row r="1331" spans="1:28" ht="12.75">
      <c r="A1331" s="547" t="s">
        <v>519</v>
      </c>
      <c r="B1331" s="547" t="s">
        <v>170</v>
      </c>
      <c r="C1331" s="548" t="s">
        <v>799</v>
      </c>
      <c r="D1331" s="549">
        <v>2015</v>
      </c>
      <c r="E1331" s="549" t="s">
        <v>775</v>
      </c>
      <c r="F1331" s="550">
        <v>74</v>
      </c>
      <c r="G1331" s="550">
        <v>0</v>
      </c>
      <c r="H1331" s="550">
        <v>0</v>
      </c>
      <c r="I1331" s="550">
        <v>0</v>
      </c>
      <c r="J1331" s="550">
        <v>52</v>
      </c>
      <c r="K1331" s="550">
        <v>0</v>
      </c>
      <c r="L1331" s="550">
        <v>0</v>
      </c>
      <c r="M1331" s="550">
        <v>0</v>
      </c>
      <c r="N1331" s="550">
        <v>57</v>
      </c>
      <c r="O1331" s="550">
        <v>0</v>
      </c>
      <c r="P1331" s="550">
        <v>125</v>
      </c>
      <c r="Q1331" s="550">
        <v>10</v>
      </c>
      <c r="R1331" s="574" t="s">
        <v>519</v>
      </c>
      <c r="S1331" s="552"/>
      <c r="T1331" s="552"/>
      <c r="U1331" s="552"/>
      <c r="V1331" s="552"/>
      <c r="W1331" s="552"/>
      <c r="X1331" s="552"/>
      <c r="Y1331" s="552"/>
      <c r="Z1331" s="552"/>
      <c r="AA1331" s="553"/>
      <c r="AB1331" s="553"/>
    </row>
    <row r="1332" spans="1:28" ht="12.75">
      <c r="A1332" s="547" t="s">
        <v>519</v>
      </c>
      <c r="B1332" s="547" t="s">
        <v>170</v>
      </c>
      <c r="C1332" s="548" t="s">
        <v>799</v>
      </c>
      <c r="D1332" s="549">
        <v>2016</v>
      </c>
      <c r="E1332" s="549" t="s">
        <v>775</v>
      </c>
      <c r="F1332" s="550">
        <v>74</v>
      </c>
      <c r="G1332" s="550">
        <v>0</v>
      </c>
      <c r="H1332" s="550">
        <v>0</v>
      </c>
      <c r="I1332" s="550">
        <v>0</v>
      </c>
      <c r="J1332" s="550">
        <v>52</v>
      </c>
      <c r="K1332" s="550">
        <v>0</v>
      </c>
      <c r="L1332" s="550">
        <v>0</v>
      </c>
      <c r="M1332" s="550">
        <v>0</v>
      </c>
      <c r="N1332" s="550">
        <v>57</v>
      </c>
      <c r="O1332" s="550">
        <v>9</v>
      </c>
      <c r="P1332" s="550">
        <v>125</v>
      </c>
      <c r="Q1332" s="550">
        <v>13</v>
      </c>
      <c r="R1332" s="574" t="s">
        <v>519</v>
      </c>
      <c r="S1332" s="552"/>
      <c r="T1332" s="552"/>
      <c r="U1332" s="552"/>
      <c r="V1332" s="552"/>
      <c r="W1332" s="552"/>
      <c r="X1332" s="552"/>
      <c r="Y1332" s="552"/>
      <c r="Z1332" s="552"/>
      <c r="AA1332" s="553"/>
      <c r="AB1332" s="553"/>
    </row>
    <row r="1333" spans="1:28" ht="12.75">
      <c r="A1333" s="547" t="s">
        <v>519</v>
      </c>
      <c r="B1333" s="547" t="s">
        <v>170</v>
      </c>
      <c r="C1333" s="548" t="s">
        <v>799</v>
      </c>
      <c r="D1333" s="549">
        <v>2017</v>
      </c>
      <c r="E1333" s="549" t="s">
        <v>775</v>
      </c>
      <c r="F1333" s="550">
        <v>74</v>
      </c>
      <c r="G1333" s="550">
        <v>0</v>
      </c>
      <c r="H1333" s="550">
        <v>0</v>
      </c>
      <c r="I1333" s="550">
        <v>0</v>
      </c>
      <c r="J1333" s="550">
        <v>52</v>
      </c>
      <c r="K1333" s="550">
        <v>0</v>
      </c>
      <c r="L1333" s="550">
        <v>0</v>
      </c>
      <c r="M1333" s="550">
        <v>0</v>
      </c>
      <c r="N1333" s="550">
        <v>57</v>
      </c>
      <c r="O1333" s="550">
        <v>22</v>
      </c>
      <c r="P1333" s="550">
        <v>125</v>
      </c>
      <c r="Q1333" s="550">
        <v>17</v>
      </c>
      <c r="R1333" s="574" t="s">
        <v>519</v>
      </c>
      <c r="S1333" s="552"/>
      <c r="T1333" s="552"/>
      <c r="U1333" s="552"/>
      <c r="V1333" s="552"/>
      <c r="W1333" s="552"/>
      <c r="X1333" s="552"/>
      <c r="Y1333" s="552"/>
      <c r="Z1333" s="552"/>
      <c r="AA1333" s="553"/>
      <c r="AB1333" s="553"/>
    </row>
    <row r="1334" spans="1:28" ht="12.75">
      <c r="A1334" s="547" t="s">
        <v>519</v>
      </c>
      <c r="B1334" s="547" t="s">
        <v>170</v>
      </c>
      <c r="C1334" s="548" t="s">
        <v>799</v>
      </c>
      <c r="D1334" s="549">
        <v>2018</v>
      </c>
      <c r="E1334" s="549" t="s">
        <v>775</v>
      </c>
      <c r="F1334" s="550">
        <v>74</v>
      </c>
      <c r="G1334" s="550">
        <v>0</v>
      </c>
      <c r="H1334" s="550">
        <v>0</v>
      </c>
      <c r="I1334" s="550">
        <v>0</v>
      </c>
      <c r="J1334" s="550">
        <v>52</v>
      </c>
      <c r="K1334" s="550">
        <v>1</v>
      </c>
      <c r="L1334" s="550">
        <v>0</v>
      </c>
      <c r="M1334" s="550">
        <v>1</v>
      </c>
      <c r="N1334" s="550">
        <v>57</v>
      </c>
      <c r="O1334" s="550">
        <v>6</v>
      </c>
      <c r="P1334" s="550">
        <v>125</v>
      </c>
      <c r="Q1334" s="550">
        <v>26</v>
      </c>
      <c r="R1334" s="574" t="s">
        <v>519</v>
      </c>
      <c r="S1334" s="552"/>
      <c r="T1334" s="552"/>
      <c r="U1334" s="552"/>
      <c r="V1334" s="552"/>
      <c r="W1334" s="552"/>
      <c r="X1334" s="552"/>
      <c r="Y1334" s="552"/>
      <c r="Z1334" s="552"/>
      <c r="AA1334" s="553"/>
      <c r="AB1334" s="553"/>
    </row>
    <row r="1335" spans="1:28" ht="12.75">
      <c r="A1335" s="547" t="s">
        <v>519</v>
      </c>
      <c r="B1335" s="547" t="s">
        <v>170</v>
      </c>
      <c r="C1335" s="548" t="s">
        <v>801</v>
      </c>
      <c r="D1335" s="549">
        <v>2019</v>
      </c>
      <c r="E1335" s="549" t="s">
        <v>775</v>
      </c>
      <c r="F1335" s="550">
        <v>74</v>
      </c>
      <c r="G1335" s="550">
        <v>0</v>
      </c>
      <c r="H1335" s="550">
        <v>0</v>
      </c>
      <c r="I1335" s="550">
        <v>0</v>
      </c>
      <c r="J1335" s="550">
        <v>52</v>
      </c>
      <c r="K1335" s="550">
        <v>0</v>
      </c>
      <c r="L1335" s="550">
        <v>0</v>
      </c>
      <c r="M1335" s="550">
        <v>0</v>
      </c>
      <c r="N1335" s="550">
        <v>57</v>
      </c>
      <c r="O1335" s="550">
        <v>3</v>
      </c>
      <c r="P1335" s="550">
        <v>125</v>
      </c>
      <c r="Q1335" s="550">
        <v>9</v>
      </c>
      <c r="R1335" s="574" t="s">
        <v>519</v>
      </c>
      <c r="S1335" s="552">
        <f>SUM(G1329:G1335) +SUM(K1329:K1335)</f>
        <v>1</v>
      </c>
      <c r="T1335" s="552">
        <f>F1335+J1335</f>
        <v>126</v>
      </c>
      <c r="U1335" s="552">
        <f>SUM(O1329:O1335)</f>
        <v>42</v>
      </c>
      <c r="V1335" s="552">
        <f>N1335</f>
        <v>57</v>
      </c>
      <c r="W1335" s="554">
        <f>SUM(Q1329:Q1335)</f>
        <v>98</v>
      </c>
      <c r="X1335" s="552">
        <f>P1335</f>
        <v>125</v>
      </c>
      <c r="Y1335" s="552">
        <f>S1335+U1335+SUM(Q1329:Q1335)</f>
        <v>141</v>
      </c>
      <c r="Z1335" s="552">
        <f>F1335+J1335+N1335+P1335</f>
        <v>308</v>
      </c>
      <c r="AA1335" s="553"/>
      <c r="AB1335" s="553"/>
    </row>
    <row r="1336" spans="1:28" ht="12.75">
      <c r="A1336" s="547" t="s">
        <v>520</v>
      </c>
      <c r="B1336" s="547" t="s">
        <v>170</v>
      </c>
      <c r="C1336" s="548" t="s">
        <v>799</v>
      </c>
      <c r="D1336" s="549">
        <v>2013</v>
      </c>
      <c r="E1336" s="549" t="s">
        <v>775</v>
      </c>
      <c r="F1336" s="550">
        <v>10</v>
      </c>
      <c r="G1336" s="550">
        <v>0</v>
      </c>
      <c r="H1336" s="550">
        <v>0</v>
      </c>
      <c r="I1336" s="550">
        <v>0</v>
      </c>
      <c r="J1336" s="550">
        <v>7</v>
      </c>
      <c r="K1336" s="550">
        <v>0</v>
      </c>
      <c r="L1336" s="550">
        <v>0</v>
      </c>
      <c r="M1336" s="550">
        <v>0</v>
      </c>
      <c r="N1336" s="550">
        <v>10</v>
      </c>
      <c r="O1336" s="550">
        <v>0</v>
      </c>
      <c r="P1336" s="550">
        <v>24</v>
      </c>
      <c r="Q1336" s="550">
        <v>0</v>
      </c>
      <c r="R1336" s="574" t="s">
        <v>520</v>
      </c>
      <c r="S1336" s="552"/>
      <c r="T1336" s="552"/>
      <c r="U1336" s="552"/>
      <c r="V1336" s="552"/>
      <c r="W1336" s="552"/>
      <c r="X1336" s="552"/>
      <c r="Y1336" s="552"/>
      <c r="Z1336" s="552"/>
      <c r="AA1336" s="553"/>
      <c r="AB1336" s="553"/>
    </row>
    <row r="1337" spans="1:28" ht="12.75">
      <c r="A1337" s="547" t="s">
        <v>520</v>
      </c>
      <c r="B1337" s="547" t="s">
        <v>170</v>
      </c>
      <c r="C1337" s="548" t="s">
        <v>799</v>
      </c>
      <c r="D1337" s="549">
        <v>2017</v>
      </c>
      <c r="E1337" s="549" t="s">
        <v>775</v>
      </c>
      <c r="F1337" s="550">
        <v>10</v>
      </c>
      <c r="G1337" s="550">
        <v>0</v>
      </c>
      <c r="H1337" s="550">
        <v>0</v>
      </c>
      <c r="I1337" s="550">
        <v>0</v>
      </c>
      <c r="J1337" s="550">
        <v>7</v>
      </c>
      <c r="K1337" s="550">
        <v>0</v>
      </c>
      <c r="L1337" s="550">
        <v>0</v>
      </c>
      <c r="M1337" s="550">
        <v>0</v>
      </c>
      <c r="N1337" s="550">
        <v>10</v>
      </c>
      <c r="O1337" s="550">
        <v>0</v>
      </c>
      <c r="P1337" s="550">
        <v>24</v>
      </c>
      <c r="Q1337" s="550">
        <v>0</v>
      </c>
      <c r="R1337" s="574" t="s">
        <v>520</v>
      </c>
      <c r="S1337" s="552"/>
      <c r="T1337" s="552"/>
      <c r="U1337" s="552"/>
      <c r="V1337" s="552"/>
      <c r="W1337" s="552"/>
      <c r="X1337" s="552"/>
      <c r="Y1337" s="552"/>
      <c r="Z1337" s="552"/>
      <c r="AA1337" s="553"/>
      <c r="AB1337" s="553"/>
    </row>
    <row r="1338" spans="1:28" ht="12.75">
      <c r="A1338" s="547" t="s">
        <v>520</v>
      </c>
      <c r="B1338" s="547" t="s">
        <v>170</v>
      </c>
      <c r="C1338" s="548" t="s">
        <v>799</v>
      </c>
      <c r="D1338" s="549">
        <v>2018</v>
      </c>
      <c r="E1338" s="549" t="s">
        <v>775</v>
      </c>
      <c r="F1338" s="550">
        <v>10</v>
      </c>
      <c r="G1338" s="564"/>
      <c r="H1338" s="564"/>
      <c r="I1338" s="564"/>
      <c r="J1338" s="550">
        <v>7</v>
      </c>
      <c r="K1338" s="564"/>
      <c r="L1338" s="564"/>
      <c r="M1338" s="564"/>
      <c r="N1338" s="550">
        <v>10</v>
      </c>
      <c r="O1338" s="564"/>
      <c r="P1338" s="550">
        <v>24</v>
      </c>
      <c r="Q1338" s="564"/>
      <c r="R1338" s="574" t="s">
        <v>520</v>
      </c>
      <c r="S1338" s="552"/>
      <c r="T1338" s="552"/>
      <c r="U1338" s="552"/>
      <c r="V1338" s="552"/>
      <c r="W1338" s="552"/>
      <c r="X1338" s="552"/>
      <c r="Y1338" s="552"/>
      <c r="Z1338" s="552"/>
      <c r="AA1338" s="553"/>
      <c r="AB1338" s="553"/>
    </row>
    <row r="1339" spans="1:28" ht="12.75">
      <c r="A1339" s="547" t="s">
        <v>520</v>
      </c>
      <c r="B1339" s="547" t="s">
        <v>170</v>
      </c>
      <c r="C1339" s="548" t="s">
        <v>801</v>
      </c>
      <c r="D1339" s="549">
        <v>2019</v>
      </c>
      <c r="E1339" s="549" t="s">
        <v>775</v>
      </c>
      <c r="F1339" s="550">
        <v>10</v>
      </c>
      <c r="G1339" s="550">
        <v>0</v>
      </c>
      <c r="H1339" s="550">
        <v>0</v>
      </c>
      <c r="I1339" s="550">
        <v>0</v>
      </c>
      <c r="J1339" s="550">
        <v>7</v>
      </c>
      <c r="K1339" s="550">
        <v>0</v>
      </c>
      <c r="L1339" s="550">
        <v>0</v>
      </c>
      <c r="M1339" s="550">
        <v>0</v>
      </c>
      <c r="N1339" s="550">
        <v>10</v>
      </c>
      <c r="O1339" s="550">
        <v>0</v>
      </c>
      <c r="P1339" s="550">
        <v>24</v>
      </c>
      <c r="Q1339" s="550">
        <v>20</v>
      </c>
      <c r="R1339" s="574" t="s">
        <v>520</v>
      </c>
      <c r="S1339" s="255">
        <f>SUM(G1336:G1339) +SUM(K1336:K1339)</f>
        <v>0</v>
      </c>
      <c r="T1339" s="255">
        <f>F1339+J1339</f>
        <v>17</v>
      </c>
      <c r="U1339" s="255">
        <f>SUM(O1336:O1339)</f>
        <v>0</v>
      </c>
      <c r="V1339" s="255">
        <f>N1339</f>
        <v>10</v>
      </c>
      <c r="W1339" s="83">
        <f>SUM(Q1336:Q1339)</f>
        <v>20</v>
      </c>
      <c r="X1339" s="255">
        <f>P1339</f>
        <v>24</v>
      </c>
      <c r="Y1339" s="255">
        <f>S1339+U1339+SUM(Q1336:Q1339)</f>
        <v>20</v>
      </c>
      <c r="Z1339" s="255">
        <f>F1339+J1339+N1339+P1339</f>
        <v>51</v>
      </c>
      <c r="AA1339" s="553"/>
      <c r="AB1339" s="553"/>
    </row>
    <row r="1340" spans="1:28" ht="12.75">
      <c r="A1340" s="547" t="s">
        <v>521</v>
      </c>
      <c r="B1340" s="547" t="s">
        <v>170</v>
      </c>
      <c r="C1340" s="548" t="s">
        <v>799</v>
      </c>
      <c r="D1340" s="549">
        <v>2013</v>
      </c>
      <c r="E1340" s="549" t="s">
        <v>775</v>
      </c>
      <c r="F1340" s="550">
        <v>953</v>
      </c>
      <c r="G1340" s="550">
        <v>0</v>
      </c>
      <c r="H1340" s="550">
        <v>0</v>
      </c>
      <c r="I1340" s="550">
        <v>0</v>
      </c>
      <c r="J1340" s="550">
        <v>668</v>
      </c>
      <c r="K1340" s="550">
        <v>0</v>
      </c>
      <c r="L1340" s="550">
        <v>0</v>
      </c>
      <c r="M1340" s="550">
        <v>0</v>
      </c>
      <c r="N1340" s="550">
        <v>705</v>
      </c>
      <c r="O1340" s="550">
        <v>0</v>
      </c>
      <c r="P1340" s="550">
        <v>1464</v>
      </c>
      <c r="Q1340" s="550">
        <v>246</v>
      </c>
      <c r="R1340" s="574" t="s">
        <v>521</v>
      </c>
      <c r="S1340" s="552"/>
      <c r="T1340" s="552"/>
      <c r="U1340" s="552"/>
      <c r="V1340" s="552"/>
      <c r="W1340" s="552"/>
      <c r="X1340" s="552"/>
      <c r="Y1340" s="552"/>
      <c r="Z1340" s="552"/>
      <c r="AA1340" s="553"/>
      <c r="AB1340" s="553"/>
    </row>
    <row r="1341" spans="1:28" ht="12.75">
      <c r="A1341" s="547" t="s">
        <v>521</v>
      </c>
      <c r="B1341" s="547" t="s">
        <v>170</v>
      </c>
      <c r="C1341" s="548" t="s">
        <v>799</v>
      </c>
      <c r="D1341" s="549">
        <v>2014</v>
      </c>
      <c r="E1341" s="549" t="s">
        <v>775</v>
      </c>
      <c r="F1341" s="550">
        <v>953</v>
      </c>
      <c r="G1341" s="550">
        <v>0</v>
      </c>
      <c r="H1341" s="550">
        <v>0</v>
      </c>
      <c r="I1341" s="550">
        <v>0</v>
      </c>
      <c r="J1341" s="550">
        <v>668</v>
      </c>
      <c r="K1341" s="550">
        <v>0</v>
      </c>
      <c r="L1341" s="550">
        <v>0</v>
      </c>
      <c r="M1341" s="550">
        <v>0</v>
      </c>
      <c r="N1341" s="550">
        <v>705</v>
      </c>
      <c r="O1341" s="550">
        <v>0</v>
      </c>
      <c r="P1341" s="550">
        <v>1464</v>
      </c>
      <c r="Q1341" s="550">
        <v>286</v>
      </c>
      <c r="R1341" s="574" t="s">
        <v>521</v>
      </c>
      <c r="S1341" s="552"/>
      <c r="T1341" s="552"/>
      <c r="U1341" s="552"/>
      <c r="V1341" s="552"/>
      <c r="W1341" s="552"/>
      <c r="X1341" s="552"/>
      <c r="Y1341" s="552"/>
      <c r="Z1341" s="552"/>
      <c r="AA1341" s="553"/>
      <c r="AB1341" s="553"/>
    </row>
    <row r="1342" spans="1:28" ht="12.75">
      <c r="A1342" s="547" t="s">
        <v>521</v>
      </c>
      <c r="B1342" s="555" t="s">
        <v>170</v>
      </c>
      <c r="C1342" s="548" t="s">
        <v>799</v>
      </c>
      <c r="D1342" s="549">
        <v>2015</v>
      </c>
      <c r="E1342" s="549" t="s">
        <v>775</v>
      </c>
      <c r="F1342" s="550">
        <v>953</v>
      </c>
      <c r="G1342" s="550">
        <v>0</v>
      </c>
      <c r="H1342" s="550">
        <v>0</v>
      </c>
      <c r="I1342" s="550">
        <v>0</v>
      </c>
      <c r="J1342" s="550">
        <v>668</v>
      </c>
      <c r="K1342" s="550">
        <v>0</v>
      </c>
      <c r="L1342" s="550">
        <v>0</v>
      </c>
      <c r="M1342" s="550">
        <v>0</v>
      </c>
      <c r="N1342" s="550">
        <v>705</v>
      </c>
      <c r="O1342" s="550">
        <v>0</v>
      </c>
      <c r="P1342" s="550">
        <v>1464</v>
      </c>
      <c r="Q1342" s="550">
        <v>234</v>
      </c>
      <c r="R1342" s="574" t="s">
        <v>521</v>
      </c>
      <c r="S1342" s="552"/>
      <c r="T1342" s="552"/>
      <c r="U1342" s="552"/>
      <c r="V1342" s="552"/>
      <c r="W1342" s="552"/>
      <c r="X1342" s="552"/>
      <c r="Y1342" s="552"/>
      <c r="Z1342" s="552"/>
      <c r="AA1342" s="553"/>
      <c r="AB1342" s="553"/>
    </row>
    <row r="1343" spans="1:28" ht="12.75">
      <c r="A1343" s="547" t="s">
        <v>521</v>
      </c>
      <c r="B1343" s="547" t="s">
        <v>170</v>
      </c>
      <c r="C1343" s="548" t="s">
        <v>799</v>
      </c>
      <c r="D1343" s="549">
        <v>2016</v>
      </c>
      <c r="E1343" s="549" t="s">
        <v>775</v>
      </c>
      <c r="F1343" s="550">
        <v>953</v>
      </c>
      <c r="G1343" s="550">
        <v>0</v>
      </c>
      <c r="H1343" s="550">
        <v>0</v>
      </c>
      <c r="I1343" s="550">
        <v>0</v>
      </c>
      <c r="J1343" s="550">
        <v>668</v>
      </c>
      <c r="K1343" s="550">
        <v>0</v>
      </c>
      <c r="L1343" s="550">
        <v>0</v>
      </c>
      <c r="M1343" s="550">
        <v>0</v>
      </c>
      <c r="N1343" s="550">
        <v>705</v>
      </c>
      <c r="O1343" s="550">
        <v>0</v>
      </c>
      <c r="P1343" s="550">
        <v>1464</v>
      </c>
      <c r="Q1343" s="550">
        <v>217</v>
      </c>
      <c r="R1343" s="574" t="s">
        <v>521</v>
      </c>
      <c r="S1343" s="552"/>
      <c r="T1343" s="552"/>
      <c r="U1343" s="552"/>
      <c r="V1343" s="552"/>
      <c r="W1343" s="552"/>
      <c r="X1343" s="552"/>
      <c r="Y1343" s="552"/>
      <c r="Z1343" s="552"/>
      <c r="AA1343" s="553"/>
      <c r="AB1343" s="553"/>
    </row>
    <row r="1344" spans="1:28" ht="12.75">
      <c r="A1344" s="547" t="s">
        <v>521</v>
      </c>
      <c r="B1344" s="547" t="s">
        <v>170</v>
      </c>
      <c r="C1344" s="548" t="s">
        <v>799</v>
      </c>
      <c r="D1344" s="549">
        <v>2017</v>
      </c>
      <c r="E1344" s="549" t="s">
        <v>775</v>
      </c>
      <c r="F1344" s="550">
        <v>953</v>
      </c>
      <c r="G1344" s="550">
        <v>0</v>
      </c>
      <c r="H1344" s="550">
        <v>0</v>
      </c>
      <c r="I1344" s="550">
        <v>0</v>
      </c>
      <c r="J1344" s="550">
        <v>668</v>
      </c>
      <c r="K1344" s="550">
        <v>0</v>
      </c>
      <c r="L1344" s="550">
        <v>0</v>
      </c>
      <c r="M1344" s="550">
        <v>0</v>
      </c>
      <c r="N1344" s="550">
        <v>705</v>
      </c>
      <c r="O1344" s="550">
        <v>4</v>
      </c>
      <c r="P1344" s="550">
        <v>1464</v>
      </c>
      <c r="Q1344" s="550">
        <v>223</v>
      </c>
      <c r="R1344" s="574" t="s">
        <v>521</v>
      </c>
      <c r="S1344" s="552"/>
      <c r="T1344" s="552"/>
      <c r="U1344" s="552"/>
      <c r="V1344" s="552"/>
      <c r="W1344" s="552"/>
      <c r="X1344" s="552"/>
      <c r="Y1344" s="552"/>
      <c r="Z1344" s="552"/>
      <c r="AA1344" s="553"/>
      <c r="AB1344" s="553"/>
    </row>
    <row r="1345" spans="1:28" ht="12.75">
      <c r="A1345" s="547" t="s">
        <v>521</v>
      </c>
      <c r="B1345" s="547" t="s">
        <v>170</v>
      </c>
      <c r="C1345" s="548" t="s">
        <v>801</v>
      </c>
      <c r="D1345" s="549">
        <v>2019</v>
      </c>
      <c r="E1345" s="549" t="s">
        <v>775</v>
      </c>
      <c r="F1345" s="550">
        <v>953</v>
      </c>
      <c r="G1345" s="550">
        <v>0</v>
      </c>
      <c r="H1345" s="550">
        <v>0</v>
      </c>
      <c r="I1345" s="550">
        <v>0</v>
      </c>
      <c r="J1345" s="550">
        <v>668</v>
      </c>
      <c r="K1345" s="550">
        <v>0</v>
      </c>
      <c r="L1345" s="550">
        <v>0</v>
      </c>
      <c r="M1345" s="550">
        <v>0</v>
      </c>
      <c r="N1345" s="550">
        <v>705</v>
      </c>
      <c r="O1345" s="550">
        <v>61</v>
      </c>
      <c r="P1345" s="550">
        <v>1464</v>
      </c>
      <c r="Q1345" s="550">
        <v>1</v>
      </c>
      <c r="R1345" s="574" t="s">
        <v>521</v>
      </c>
      <c r="S1345" s="552">
        <f>SUM(G1340:G1345) +SUM(K1340:K1345)</f>
        <v>0</v>
      </c>
      <c r="T1345" s="552">
        <f>F1345+J1345</f>
        <v>1621</v>
      </c>
      <c r="U1345" s="552">
        <f>SUM(O1340:O1345)</f>
        <v>65</v>
      </c>
      <c r="V1345" s="552">
        <f>N1345</f>
        <v>705</v>
      </c>
      <c r="W1345" s="554">
        <f>SUM(Q1340:Q1345)</f>
        <v>1207</v>
      </c>
      <c r="X1345" s="552">
        <f>P1345</f>
        <v>1464</v>
      </c>
      <c r="Y1345" s="552">
        <f>S1345+U1345+SUM(Q1340:Q1345)</f>
        <v>1272</v>
      </c>
      <c r="Z1345" s="552">
        <f>F1345+J1345+N1345+P1345</f>
        <v>3790</v>
      </c>
      <c r="AA1345" s="553"/>
      <c r="AB1345" s="553"/>
    </row>
    <row r="1346" spans="1:28" ht="12.75">
      <c r="A1346" s="547" t="s">
        <v>522</v>
      </c>
      <c r="B1346" s="547" t="s">
        <v>170</v>
      </c>
      <c r="C1346" s="548" t="s">
        <v>799</v>
      </c>
      <c r="D1346" s="549">
        <v>2017</v>
      </c>
      <c r="E1346" s="549" t="s">
        <v>775</v>
      </c>
      <c r="F1346" s="550">
        <v>39</v>
      </c>
      <c r="G1346" s="550">
        <v>0</v>
      </c>
      <c r="H1346" s="550">
        <v>0</v>
      </c>
      <c r="I1346" s="550">
        <v>0</v>
      </c>
      <c r="J1346" s="550">
        <v>27</v>
      </c>
      <c r="K1346" s="550">
        <v>0</v>
      </c>
      <c r="L1346" s="550">
        <v>0</v>
      </c>
      <c r="M1346" s="550">
        <v>0</v>
      </c>
      <c r="N1346" s="550">
        <v>29</v>
      </c>
      <c r="O1346" s="550">
        <v>1</v>
      </c>
      <c r="P1346" s="550">
        <v>59</v>
      </c>
      <c r="Q1346" s="550">
        <v>11</v>
      </c>
      <c r="R1346" s="574" t="s">
        <v>522</v>
      </c>
      <c r="S1346" s="552"/>
      <c r="T1346" s="552"/>
      <c r="U1346" s="552"/>
      <c r="V1346" s="552"/>
      <c r="W1346" s="552"/>
      <c r="X1346" s="552"/>
      <c r="Y1346" s="552"/>
      <c r="Z1346" s="552"/>
      <c r="AA1346" s="553"/>
      <c r="AB1346" s="553"/>
    </row>
    <row r="1347" spans="1:28" ht="12.75">
      <c r="A1347" s="547" t="s">
        <v>522</v>
      </c>
      <c r="B1347" s="547" t="s">
        <v>170</v>
      </c>
      <c r="C1347" s="548" t="s">
        <v>799</v>
      </c>
      <c r="D1347" s="549">
        <v>2018</v>
      </c>
      <c r="E1347" s="549" t="s">
        <v>775</v>
      </c>
      <c r="F1347" s="550">
        <v>39</v>
      </c>
      <c r="G1347" s="564"/>
      <c r="H1347" s="564"/>
      <c r="I1347" s="564"/>
      <c r="J1347" s="550">
        <v>27</v>
      </c>
      <c r="K1347" s="564"/>
      <c r="L1347" s="564"/>
      <c r="M1347" s="564"/>
      <c r="N1347" s="550">
        <v>29</v>
      </c>
      <c r="O1347" s="564"/>
      <c r="P1347" s="550">
        <v>59</v>
      </c>
      <c r="Q1347" s="564"/>
      <c r="R1347" s="574" t="s">
        <v>522</v>
      </c>
      <c r="S1347" s="552"/>
      <c r="T1347" s="552"/>
      <c r="U1347" s="552"/>
      <c r="V1347" s="552"/>
      <c r="W1347" s="552"/>
      <c r="X1347" s="552"/>
      <c r="Y1347" s="552"/>
      <c r="Z1347" s="552"/>
      <c r="AA1347" s="553"/>
      <c r="AB1347" s="553"/>
    </row>
    <row r="1348" spans="1:28" ht="12.75">
      <c r="A1348" s="547" t="s">
        <v>522</v>
      </c>
      <c r="B1348" s="547" t="s">
        <v>170</v>
      </c>
      <c r="C1348" s="548" t="s">
        <v>801</v>
      </c>
      <c r="D1348" s="549">
        <v>2019</v>
      </c>
      <c r="E1348" s="549" t="s">
        <v>775</v>
      </c>
      <c r="F1348" s="550">
        <v>39</v>
      </c>
      <c r="G1348" s="550">
        <v>0</v>
      </c>
      <c r="H1348" s="550">
        <v>0</v>
      </c>
      <c r="I1348" s="550">
        <v>0</v>
      </c>
      <c r="J1348" s="550">
        <v>27</v>
      </c>
      <c r="K1348" s="550">
        <v>0</v>
      </c>
      <c r="L1348" s="550">
        <v>0</v>
      </c>
      <c r="M1348" s="550">
        <v>0</v>
      </c>
      <c r="N1348" s="550">
        <v>29</v>
      </c>
      <c r="O1348" s="550">
        <v>1</v>
      </c>
      <c r="P1348" s="550">
        <v>59</v>
      </c>
      <c r="Q1348" s="550">
        <v>0</v>
      </c>
      <c r="R1348" s="574" t="s">
        <v>522</v>
      </c>
      <c r="S1348" s="255">
        <f>SUM(G1346:G1348) +SUM(K1346:K1348)</f>
        <v>0</v>
      </c>
      <c r="T1348" s="255">
        <f>F1348+J1348</f>
        <v>66</v>
      </c>
      <c r="U1348" s="255">
        <f>SUM(O1346:O1348)</f>
        <v>2</v>
      </c>
      <c r="V1348" s="255">
        <f>N1348</f>
        <v>29</v>
      </c>
      <c r="W1348" s="83">
        <f>SUM(Q1346:Q1348)</f>
        <v>11</v>
      </c>
      <c r="X1348" s="255">
        <f>P1348</f>
        <v>59</v>
      </c>
      <c r="Y1348" s="255">
        <f>S1348+U1348+SUM(Q1346:Q1348)</f>
        <v>13</v>
      </c>
      <c r="Z1348" s="255">
        <f>F1348+J1348+N1348+P1348</f>
        <v>154</v>
      </c>
      <c r="AA1348" s="553"/>
      <c r="AB1348" s="553"/>
    </row>
    <row r="1349" spans="1:28" ht="12.75">
      <c r="A1349" s="547" t="s">
        <v>523</v>
      </c>
      <c r="B1349" s="547" t="s">
        <v>170</v>
      </c>
      <c r="C1349" s="548" t="s">
        <v>799</v>
      </c>
      <c r="D1349" s="549">
        <v>2013</v>
      </c>
      <c r="E1349" s="549" t="s">
        <v>775</v>
      </c>
      <c r="F1349" s="550">
        <v>1365</v>
      </c>
      <c r="G1349" s="550">
        <v>0</v>
      </c>
      <c r="H1349" s="550">
        <v>0</v>
      </c>
      <c r="I1349" s="550">
        <v>0</v>
      </c>
      <c r="J1349" s="550">
        <v>957</v>
      </c>
      <c r="K1349" s="550">
        <v>18</v>
      </c>
      <c r="L1349" s="550">
        <v>4</v>
      </c>
      <c r="M1349" s="550">
        <v>14</v>
      </c>
      <c r="N1349" s="550">
        <v>936</v>
      </c>
      <c r="O1349" s="550">
        <v>2</v>
      </c>
      <c r="P1349" s="550">
        <v>1773</v>
      </c>
      <c r="Q1349" s="550">
        <v>241</v>
      </c>
      <c r="R1349" s="574" t="s">
        <v>523</v>
      </c>
      <c r="S1349" s="552"/>
      <c r="T1349" s="552"/>
      <c r="U1349" s="552"/>
      <c r="V1349" s="552"/>
      <c r="W1349" s="552"/>
      <c r="X1349" s="552"/>
      <c r="Y1349" s="552"/>
      <c r="Z1349" s="552"/>
      <c r="AA1349" s="553"/>
      <c r="AB1349" s="553"/>
    </row>
    <row r="1350" spans="1:28" ht="12.75">
      <c r="A1350" s="547" t="s">
        <v>523</v>
      </c>
      <c r="B1350" s="547" t="s">
        <v>170</v>
      </c>
      <c r="C1350" s="548" t="s">
        <v>799</v>
      </c>
      <c r="D1350" s="549">
        <v>2014</v>
      </c>
      <c r="E1350" s="549" t="s">
        <v>775</v>
      </c>
      <c r="F1350" s="550">
        <v>1365</v>
      </c>
      <c r="G1350" s="550">
        <v>0</v>
      </c>
      <c r="H1350" s="550">
        <v>0</v>
      </c>
      <c r="I1350" s="550">
        <v>0</v>
      </c>
      <c r="J1350" s="550">
        <v>957</v>
      </c>
      <c r="K1350" s="550">
        <v>17</v>
      </c>
      <c r="L1350" s="550">
        <v>2</v>
      </c>
      <c r="M1350" s="550">
        <v>15</v>
      </c>
      <c r="N1350" s="550">
        <v>936</v>
      </c>
      <c r="O1350" s="550">
        <v>0</v>
      </c>
      <c r="P1350" s="550">
        <v>1773</v>
      </c>
      <c r="Q1350" s="550">
        <v>326</v>
      </c>
      <c r="R1350" s="574" t="s">
        <v>523</v>
      </c>
      <c r="S1350" s="552"/>
      <c r="T1350" s="552"/>
      <c r="U1350" s="552"/>
      <c r="V1350" s="552"/>
      <c r="W1350" s="552"/>
      <c r="X1350" s="552"/>
      <c r="Y1350" s="552"/>
      <c r="Z1350" s="552"/>
      <c r="AA1350" s="553"/>
      <c r="AB1350" s="553"/>
    </row>
    <row r="1351" spans="1:28" ht="12.75">
      <c r="A1351" s="547" t="s">
        <v>523</v>
      </c>
      <c r="B1351" s="547" t="s">
        <v>170</v>
      </c>
      <c r="C1351" s="548" t="s">
        <v>799</v>
      </c>
      <c r="D1351" s="549">
        <v>2015</v>
      </c>
      <c r="E1351" s="549" t="s">
        <v>775</v>
      </c>
      <c r="F1351" s="550">
        <v>1365</v>
      </c>
      <c r="G1351" s="550">
        <v>0</v>
      </c>
      <c r="H1351" s="550">
        <v>0</v>
      </c>
      <c r="I1351" s="550">
        <v>0</v>
      </c>
      <c r="J1351" s="550">
        <v>957</v>
      </c>
      <c r="K1351" s="550">
        <v>16</v>
      </c>
      <c r="L1351" s="550">
        <v>1</v>
      </c>
      <c r="M1351" s="550">
        <v>15</v>
      </c>
      <c r="N1351" s="550">
        <v>936</v>
      </c>
      <c r="O1351" s="550">
        <v>0</v>
      </c>
      <c r="P1351" s="550">
        <v>1773</v>
      </c>
      <c r="Q1351" s="550">
        <v>282</v>
      </c>
      <c r="R1351" s="574" t="s">
        <v>523</v>
      </c>
      <c r="S1351" s="552"/>
      <c r="T1351" s="552"/>
      <c r="U1351" s="552"/>
      <c r="V1351" s="552"/>
      <c r="W1351" s="552"/>
      <c r="X1351" s="552"/>
      <c r="Y1351" s="552"/>
      <c r="Z1351" s="552"/>
      <c r="AA1351" s="553"/>
      <c r="AB1351" s="553"/>
    </row>
    <row r="1352" spans="1:28" ht="12.75">
      <c r="A1352" s="547" t="s">
        <v>523</v>
      </c>
      <c r="B1352" s="547" t="s">
        <v>170</v>
      </c>
      <c r="C1352" s="548" t="s">
        <v>799</v>
      </c>
      <c r="D1352" s="549">
        <v>2016</v>
      </c>
      <c r="E1352" s="549" t="s">
        <v>775</v>
      </c>
      <c r="F1352" s="550">
        <v>1365</v>
      </c>
      <c r="G1352" s="550">
        <v>36</v>
      </c>
      <c r="H1352" s="550">
        <v>36</v>
      </c>
      <c r="I1352" s="550">
        <v>0</v>
      </c>
      <c r="J1352" s="550">
        <v>957</v>
      </c>
      <c r="K1352" s="550">
        <v>31</v>
      </c>
      <c r="L1352" s="550">
        <v>31</v>
      </c>
      <c r="M1352" s="550">
        <v>0</v>
      </c>
      <c r="N1352" s="550">
        <v>936</v>
      </c>
      <c r="O1352" s="550">
        <v>15</v>
      </c>
      <c r="P1352" s="550">
        <v>1773</v>
      </c>
      <c r="Q1352" s="550">
        <v>334</v>
      </c>
      <c r="R1352" s="574" t="s">
        <v>523</v>
      </c>
      <c r="S1352" s="552"/>
      <c r="T1352" s="552"/>
      <c r="U1352" s="552"/>
      <c r="V1352" s="552"/>
      <c r="W1352" s="552"/>
      <c r="X1352" s="552"/>
      <c r="Y1352" s="552"/>
      <c r="Z1352" s="552"/>
      <c r="AA1352" s="553"/>
      <c r="AB1352" s="553"/>
    </row>
    <row r="1353" spans="1:28" ht="12.75">
      <c r="A1353" s="547" t="s">
        <v>523</v>
      </c>
      <c r="B1353" s="547" t="s">
        <v>170</v>
      </c>
      <c r="C1353" s="548" t="s">
        <v>799</v>
      </c>
      <c r="D1353" s="549">
        <v>2017</v>
      </c>
      <c r="E1353" s="549" t="s">
        <v>775</v>
      </c>
      <c r="F1353" s="550">
        <v>1365</v>
      </c>
      <c r="G1353" s="550">
        <v>0</v>
      </c>
      <c r="H1353" s="550">
        <v>0</v>
      </c>
      <c r="I1353" s="550">
        <v>0</v>
      </c>
      <c r="J1353" s="550">
        <v>957</v>
      </c>
      <c r="K1353" s="550">
        <v>3</v>
      </c>
      <c r="L1353" s="550">
        <v>3</v>
      </c>
      <c r="M1353" s="550">
        <v>0</v>
      </c>
      <c r="N1353" s="550">
        <v>936</v>
      </c>
      <c r="O1353" s="550">
        <v>50</v>
      </c>
      <c r="P1353" s="550">
        <v>1773</v>
      </c>
      <c r="Q1353" s="550">
        <v>283</v>
      </c>
      <c r="R1353" s="574" t="s">
        <v>523</v>
      </c>
      <c r="S1353" s="552"/>
      <c r="T1353" s="552"/>
      <c r="U1353" s="552"/>
      <c r="V1353" s="552"/>
      <c r="W1353" s="552"/>
      <c r="X1353" s="552"/>
      <c r="Y1353" s="552"/>
      <c r="Z1353" s="552"/>
      <c r="AA1353" s="553"/>
      <c r="AB1353" s="553"/>
    </row>
    <row r="1354" spans="1:28" ht="12.75">
      <c r="A1354" s="547" t="s">
        <v>523</v>
      </c>
      <c r="B1354" s="547" t="s">
        <v>170</v>
      </c>
      <c r="C1354" s="548" t="s">
        <v>799</v>
      </c>
      <c r="D1354" s="549">
        <v>2018</v>
      </c>
      <c r="E1354" s="549" t="s">
        <v>775</v>
      </c>
      <c r="F1354" s="550">
        <v>1365</v>
      </c>
      <c r="G1354" s="550">
        <v>0</v>
      </c>
      <c r="H1354" s="550">
        <v>0</v>
      </c>
      <c r="I1354" s="550">
        <v>0</v>
      </c>
      <c r="J1354" s="550">
        <v>957</v>
      </c>
      <c r="K1354" s="550">
        <v>1</v>
      </c>
      <c r="L1354" s="550">
        <v>1</v>
      </c>
      <c r="M1354" s="550">
        <v>0</v>
      </c>
      <c r="N1354" s="550">
        <v>936</v>
      </c>
      <c r="O1354" s="550">
        <v>48</v>
      </c>
      <c r="P1354" s="550">
        <v>1773</v>
      </c>
      <c r="Q1354" s="550">
        <v>290</v>
      </c>
      <c r="R1354" s="574" t="s">
        <v>523</v>
      </c>
      <c r="S1354" s="552"/>
      <c r="T1354" s="552"/>
      <c r="U1354" s="552"/>
      <c r="V1354" s="552"/>
      <c r="W1354" s="552"/>
      <c r="X1354" s="552"/>
      <c r="Y1354" s="552"/>
      <c r="Z1354" s="552"/>
      <c r="AA1354" s="553"/>
      <c r="AB1354" s="553"/>
    </row>
    <row r="1355" spans="1:28" ht="12.75">
      <c r="A1355" s="547" t="s">
        <v>523</v>
      </c>
      <c r="B1355" s="547" t="s">
        <v>170</v>
      </c>
      <c r="C1355" s="548" t="s">
        <v>801</v>
      </c>
      <c r="D1355" s="549">
        <v>2019</v>
      </c>
      <c r="E1355" s="549" t="s">
        <v>775</v>
      </c>
      <c r="F1355" s="550">
        <v>1365</v>
      </c>
      <c r="G1355" s="550">
        <v>0</v>
      </c>
      <c r="H1355" s="550">
        <v>0</v>
      </c>
      <c r="I1355" s="550">
        <v>0</v>
      </c>
      <c r="J1355" s="550">
        <v>957</v>
      </c>
      <c r="K1355" s="550">
        <v>0</v>
      </c>
      <c r="L1355" s="550">
        <v>0</v>
      </c>
      <c r="M1355" s="550">
        <v>0</v>
      </c>
      <c r="N1355" s="550">
        <v>936</v>
      </c>
      <c r="O1355" s="550">
        <v>24</v>
      </c>
      <c r="P1355" s="550">
        <v>1773</v>
      </c>
      <c r="Q1355" s="550">
        <v>386</v>
      </c>
      <c r="R1355" s="574" t="s">
        <v>523</v>
      </c>
      <c r="S1355" s="552">
        <f>SUM(G1349:G1355) +SUM(K1349:K1355)</f>
        <v>122</v>
      </c>
      <c r="T1355" s="552">
        <f>F1355+J1355</f>
        <v>2322</v>
      </c>
      <c r="U1355" s="552">
        <f>SUM(O1349:O1355)</f>
        <v>139</v>
      </c>
      <c r="V1355" s="552">
        <f>N1355</f>
        <v>936</v>
      </c>
      <c r="W1355" s="554">
        <f>SUM(Q1349:Q1355)</f>
        <v>2142</v>
      </c>
      <c r="X1355" s="552">
        <f>P1355</f>
        <v>1773</v>
      </c>
      <c r="Y1355" s="552">
        <f>S1355+U1355+SUM(Q1349:Q1355)</f>
        <v>2403</v>
      </c>
      <c r="Z1355" s="552">
        <f>F1355+J1355+N1355+P1355</f>
        <v>5031</v>
      </c>
      <c r="AA1355" s="553"/>
      <c r="AB1355" s="553"/>
    </row>
    <row r="1356" spans="1:28" ht="12.75">
      <c r="A1356" s="547" t="s">
        <v>524</v>
      </c>
      <c r="B1356" s="547" t="s">
        <v>170</v>
      </c>
      <c r="C1356" s="548" t="s">
        <v>799</v>
      </c>
      <c r="D1356" s="549">
        <v>2013</v>
      </c>
      <c r="E1356" s="549" t="s">
        <v>775</v>
      </c>
      <c r="F1356" s="550">
        <v>1040</v>
      </c>
      <c r="G1356" s="550">
        <v>0</v>
      </c>
      <c r="H1356" s="550">
        <v>0</v>
      </c>
      <c r="I1356" s="550">
        <v>0</v>
      </c>
      <c r="J1356" s="550">
        <v>729</v>
      </c>
      <c r="K1356" s="550">
        <v>0</v>
      </c>
      <c r="L1356" s="550">
        <v>0</v>
      </c>
      <c r="M1356" s="550">
        <v>0</v>
      </c>
      <c r="N1356" s="550">
        <v>709</v>
      </c>
      <c r="O1356" s="550">
        <v>0</v>
      </c>
      <c r="P1356" s="550">
        <v>1335</v>
      </c>
      <c r="Q1356" s="550">
        <v>0</v>
      </c>
      <c r="R1356" s="574" t="s">
        <v>524</v>
      </c>
      <c r="S1356" s="552"/>
      <c r="T1356" s="552"/>
      <c r="U1356" s="552"/>
      <c r="V1356" s="552"/>
      <c r="W1356" s="552"/>
      <c r="X1356" s="552"/>
      <c r="Y1356" s="552"/>
      <c r="Z1356" s="552"/>
      <c r="AA1356" s="553"/>
      <c r="AB1356" s="553"/>
    </row>
    <row r="1357" spans="1:28" ht="12.75">
      <c r="A1357" s="547" t="s">
        <v>524</v>
      </c>
      <c r="B1357" s="547" t="s">
        <v>170</v>
      </c>
      <c r="C1357" s="548" t="s">
        <v>799</v>
      </c>
      <c r="D1357" s="549">
        <v>2014</v>
      </c>
      <c r="E1357" s="549" t="s">
        <v>775</v>
      </c>
      <c r="F1357" s="550">
        <v>1040</v>
      </c>
      <c r="G1357" s="550">
        <v>0</v>
      </c>
      <c r="H1357" s="550">
        <v>0</v>
      </c>
      <c r="I1357" s="550">
        <v>0</v>
      </c>
      <c r="J1357" s="550">
        <v>729</v>
      </c>
      <c r="K1357" s="550">
        <v>0</v>
      </c>
      <c r="L1357" s="550">
        <v>0</v>
      </c>
      <c r="M1357" s="550">
        <v>0</v>
      </c>
      <c r="N1357" s="550">
        <v>709</v>
      </c>
      <c r="O1357" s="550">
        <v>37</v>
      </c>
      <c r="P1357" s="550">
        <v>1335</v>
      </c>
      <c r="Q1357" s="550">
        <v>360</v>
      </c>
      <c r="R1357" s="574" t="s">
        <v>524</v>
      </c>
      <c r="S1357" s="552"/>
      <c r="T1357" s="552"/>
      <c r="U1357" s="552"/>
      <c r="V1357" s="552"/>
      <c r="W1357" s="552"/>
      <c r="X1357" s="552"/>
      <c r="Y1357" s="552"/>
      <c r="Z1357" s="552"/>
      <c r="AA1357" s="553"/>
      <c r="AB1357" s="553"/>
    </row>
    <row r="1358" spans="1:28" ht="12.75">
      <c r="A1358" s="547" t="s">
        <v>524</v>
      </c>
      <c r="B1358" s="547" t="s">
        <v>170</v>
      </c>
      <c r="C1358" s="548" t="s">
        <v>799</v>
      </c>
      <c r="D1358" s="549">
        <v>2015</v>
      </c>
      <c r="E1358" s="549" t="s">
        <v>775</v>
      </c>
      <c r="F1358" s="550">
        <v>1040</v>
      </c>
      <c r="G1358" s="550">
        <v>0</v>
      </c>
      <c r="H1358" s="550">
        <v>0</v>
      </c>
      <c r="I1358" s="550">
        <v>0</v>
      </c>
      <c r="J1358" s="550">
        <v>729</v>
      </c>
      <c r="K1358" s="550">
        <v>0</v>
      </c>
      <c r="L1358" s="550">
        <v>0</v>
      </c>
      <c r="M1358" s="550">
        <v>0</v>
      </c>
      <c r="N1358" s="550">
        <v>709</v>
      </c>
      <c r="O1358" s="550">
        <v>385</v>
      </c>
      <c r="P1358" s="550">
        <v>1335</v>
      </c>
      <c r="Q1358" s="550">
        <v>312</v>
      </c>
      <c r="R1358" s="574" t="s">
        <v>524</v>
      </c>
      <c r="S1358" s="552"/>
      <c r="T1358" s="552"/>
      <c r="U1358" s="552"/>
      <c r="V1358" s="552"/>
      <c r="W1358" s="552"/>
      <c r="X1358" s="552"/>
      <c r="Y1358" s="552"/>
      <c r="Z1358" s="552"/>
      <c r="AA1358" s="553"/>
      <c r="AB1358" s="553"/>
    </row>
    <row r="1359" spans="1:28" ht="12.75">
      <c r="A1359" s="547" t="s">
        <v>524</v>
      </c>
      <c r="B1359" s="547" t="s">
        <v>170</v>
      </c>
      <c r="C1359" s="548" t="s">
        <v>799</v>
      </c>
      <c r="D1359" s="549">
        <v>2016</v>
      </c>
      <c r="E1359" s="549" t="s">
        <v>775</v>
      </c>
      <c r="F1359" s="550">
        <v>1040</v>
      </c>
      <c r="G1359" s="550">
        <v>0</v>
      </c>
      <c r="H1359" s="550">
        <v>0</v>
      </c>
      <c r="I1359" s="550">
        <v>0</v>
      </c>
      <c r="J1359" s="550">
        <v>729</v>
      </c>
      <c r="K1359" s="550">
        <v>0</v>
      </c>
      <c r="L1359" s="550">
        <v>0</v>
      </c>
      <c r="M1359" s="550">
        <v>0</v>
      </c>
      <c r="N1359" s="550">
        <v>709</v>
      </c>
      <c r="O1359" s="550">
        <v>184</v>
      </c>
      <c r="P1359" s="550">
        <v>1335</v>
      </c>
      <c r="Q1359" s="550">
        <v>352</v>
      </c>
      <c r="R1359" s="574" t="s">
        <v>524</v>
      </c>
      <c r="S1359" s="552"/>
      <c r="T1359" s="552"/>
      <c r="U1359" s="552"/>
      <c r="V1359" s="552"/>
      <c r="W1359" s="552"/>
      <c r="X1359" s="552"/>
      <c r="Y1359" s="552"/>
      <c r="Z1359" s="552"/>
      <c r="AA1359" s="553"/>
      <c r="AB1359" s="553"/>
    </row>
    <row r="1360" spans="1:28" ht="12.75">
      <c r="A1360" s="547" t="s">
        <v>524</v>
      </c>
      <c r="B1360" s="547" t="s">
        <v>170</v>
      </c>
      <c r="C1360" s="548" t="s">
        <v>799</v>
      </c>
      <c r="D1360" s="549">
        <v>2017</v>
      </c>
      <c r="E1360" s="549" t="s">
        <v>775</v>
      </c>
      <c r="F1360" s="550">
        <v>1040</v>
      </c>
      <c r="G1360" s="550">
        <v>0</v>
      </c>
      <c r="H1360" s="550">
        <v>0</v>
      </c>
      <c r="I1360" s="550">
        <v>0</v>
      </c>
      <c r="J1360" s="550">
        <v>729</v>
      </c>
      <c r="K1360" s="550">
        <v>0</v>
      </c>
      <c r="L1360" s="550">
        <v>0</v>
      </c>
      <c r="M1360" s="550">
        <v>0</v>
      </c>
      <c r="N1360" s="550">
        <v>709</v>
      </c>
      <c r="O1360" s="550">
        <v>181</v>
      </c>
      <c r="P1360" s="550">
        <v>1335</v>
      </c>
      <c r="Q1360" s="550">
        <v>643</v>
      </c>
      <c r="R1360" s="574" t="s">
        <v>524</v>
      </c>
      <c r="S1360" s="552"/>
      <c r="T1360" s="552"/>
      <c r="U1360" s="552"/>
      <c r="V1360" s="552"/>
      <c r="W1360" s="552"/>
      <c r="X1360" s="552"/>
      <c r="Y1360" s="552"/>
      <c r="Z1360" s="552"/>
      <c r="AA1360" s="553"/>
      <c r="AB1360" s="553"/>
    </row>
    <row r="1361" spans="1:28" ht="12.75">
      <c r="A1361" s="547" t="s">
        <v>524</v>
      </c>
      <c r="B1361" s="547" t="s">
        <v>170</v>
      </c>
      <c r="C1361" s="548" t="s">
        <v>799</v>
      </c>
      <c r="D1361" s="549">
        <v>2018</v>
      </c>
      <c r="E1361" s="549" t="s">
        <v>775</v>
      </c>
      <c r="F1361" s="550">
        <v>1040</v>
      </c>
      <c r="G1361" s="550">
        <v>0</v>
      </c>
      <c r="H1361" s="550">
        <v>0</v>
      </c>
      <c r="I1361" s="550">
        <v>0</v>
      </c>
      <c r="J1361" s="550">
        <v>729</v>
      </c>
      <c r="K1361" s="550">
        <v>0</v>
      </c>
      <c r="L1361" s="550">
        <v>0</v>
      </c>
      <c r="M1361" s="550">
        <v>0</v>
      </c>
      <c r="N1361" s="550">
        <v>709</v>
      </c>
      <c r="O1361" s="550">
        <v>45</v>
      </c>
      <c r="P1361" s="550">
        <v>1335</v>
      </c>
      <c r="Q1361" s="550">
        <v>540</v>
      </c>
      <c r="R1361" s="574" t="s">
        <v>524</v>
      </c>
      <c r="S1361" s="552"/>
      <c r="T1361" s="552"/>
      <c r="U1361" s="552"/>
      <c r="V1361" s="552"/>
      <c r="W1361" s="552"/>
      <c r="X1361" s="552"/>
      <c r="Y1361" s="552"/>
      <c r="Z1361" s="552"/>
      <c r="AA1361" s="553"/>
      <c r="AB1361" s="553"/>
    </row>
    <row r="1362" spans="1:28" ht="12.75">
      <c r="A1362" s="547" t="s">
        <v>524</v>
      </c>
      <c r="B1362" s="547" t="s">
        <v>170</v>
      </c>
      <c r="C1362" s="548" t="s">
        <v>801</v>
      </c>
      <c r="D1362" s="549">
        <v>2019</v>
      </c>
      <c r="E1362" s="549" t="s">
        <v>775</v>
      </c>
      <c r="F1362" s="550">
        <v>1040</v>
      </c>
      <c r="G1362" s="550">
        <v>2</v>
      </c>
      <c r="H1362" s="550">
        <v>0</v>
      </c>
      <c r="I1362" s="550">
        <v>2</v>
      </c>
      <c r="J1362" s="550">
        <v>729</v>
      </c>
      <c r="K1362" s="550">
        <v>0</v>
      </c>
      <c r="L1362" s="550">
        <v>0</v>
      </c>
      <c r="M1362" s="550">
        <v>0</v>
      </c>
      <c r="N1362" s="550">
        <v>709</v>
      </c>
      <c r="O1362" s="550">
        <v>82</v>
      </c>
      <c r="P1362" s="550">
        <v>1335</v>
      </c>
      <c r="Q1362" s="550">
        <v>355</v>
      </c>
      <c r="R1362" s="574" t="s">
        <v>524</v>
      </c>
      <c r="S1362" s="552">
        <f>SUM(G1356:G1362) +SUM(K1356:K1362)</f>
        <v>2</v>
      </c>
      <c r="T1362" s="552">
        <f>F1362+J1362</f>
        <v>1769</v>
      </c>
      <c r="U1362" s="552">
        <f>SUM(O1356:O1362)</f>
        <v>914</v>
      </c>
      <c r="V1362" s="552">
        <f>N1362</f>
        <v>709</v>
      </c>
      <c r="W1362" s="554">
        <f>SUM(Q1356:Q1362)</f>
        <v>2562</v>
      </c>
      <c r="X1362" s="552">
        <f>P1362</f>
        <v>1335</v>
      </c>
      <c r="Y1362" s="552">
        <f>S1362+U1362+SUM(Q1356:Q1362)</f>
        <v>3478</v>
      </c>
      <c r="Z1362" s="552">
        <f>F1362+J1362+N1362+P1362</f>
        <v>3813</v>
      </c>
      <c r="AA1362" s="553"/>
      <c r="AB1362" s="553"/>
    </row>
    <row r="1363" spans="1:28" ht="12.75">
      <c r="A1363" s="547" t="s">
        <v>525</v>
      </c>
      <c r="B1363" s="547" t="s">
        <v>170</v>
      </c>
      <c r="C1363" s="548" t="s">
        <v>799</v>
      </c>
      <c r="D1363" s="549">
        <v>2013</v>
      </c>
      <c r="E1363" s="549" t="s">
        <v>775</v>
      </c>
      <c r="F1363" s="550">
        <v>2268</v>
      </c>
      <c r="G1363" s="550">
        <v>0</v>
      </c>
      <c r="H1363" s="550">
        <v>0</v>
      </c>
      <c r="I1363" s="550">
        <v>0</v>
      </c>
      <c r="J1363" s="550">
        <v>1590</v>
      </c>
      <c r="K1363" s="550">
        <v>0</v>
      </c>
      <c r="L1363" s="550">
        <v>0</v>
      </c>
      <c r="M1363" s="550">
        <v>0</v>
      </c>
      <c r="N1363" s="550">
        <v>1577</v>
      </c>
      <c r="O1363" s="550">
        <v>142</v>
      </c>
      <c r="P1363" s="550">
        <v>3043</v>
      </c>
      <c r="Q1363" s="550">
        <v>384</v>
      </c>
      <c r="R1363" s="574" t="s">
        <v>525</v>
      </c>
      <c r="S1363" s="552"/>
      <c r="T1363" s="552"/>
      <c r="U1363" s="552"/>
      <c r="V1363" s="552"/>
      <c r="W1363" s="552"/>
      <c r="X1363" s="552"/>
      <c r="Y1363" s="552"/>
      <c r="Z1363" s="552"/>
      <c r="AA1363" s="553"/>
      <c r="AB1363" s="553"/>
    </row>
    <row r="1364" spans="1:28" ht="12.75">
      <c r="A1364" s="547" t="s">
        <v>525</v>
      </c>
      <c r="B1364" s="547" t="s">
        <v>170</v>
      </c>
      <c r="C1364" s="548" t="s">
        <v>799</v>
      </c>
      <c r="D1364" s="549">
        <v>2014</v>
      </c>
      <c r="E1364" s="549" t="s">
        <v>775</v>
      </c>
      <c r="F1364" s="550">
        <v>2268</v>
      </c>
      <c r="G1364" s="550">
        <v>9</v>
      </c>
      <c r="H1364" s="550">
        <v>9</v>
      </c>
      <c r="I1364" s="550">
        <v>0</v>
      </c>
      <c r="J1364" s="550">
        <v>1590</v>
      </c>
      <c r="K1364" s="550">
        <v>14</v>
      </c>
      <c r="L1364" s="550">
        <v>14</v>
      </c>
      <c r="M1364" s="550">
        <v>0</v>
      </c>
      <c r="N1364" s="550">
        <v>1577</v>
      </c>
      <c r="O1364" s="550">
        <v>438</v>
      </c>
      <c r="P1364" s="550">
        <v>3043</v>
      </c>
      <c r="Q1364" s="550">
        <v>333</v>
      </c>
      <c r="R1364" s="574" t="s">
        <v>525</v>
      </c>
      <c r="S1364" s="552"/>
      <c r="T1364" s="552"/>
      <c r="U1364" s="552"/>
      <c r="V1364" s="552"/>
      <c r="W1364" s="552"/>
      <c r="X1364" s="552"/>
      <c r="Y1364" s="552"/>
      <c r="Z1364" s="552"/>
      <c r="AA1364" s="553"/>
      <c r="AB1364" s="553"/>
    </row>
    <row r="1365" spans="1:28" ht="12.75">
      <c r="A1365" s="547" t="s">
        <v>525</v>
      </c>
      <c r="B1365" s="547" t="s">
        <v>170</v>
      </c>
      <c r="C1365" s="548" t="s">
        <v>799</v>
      </c>
      <c r="D1365" s="549">
        <v>2015</v>
      </c>
      <c r="E1365" s="549" t="s">
        <v>775</v>
      </c>
      <c r="F1365" s="550">
        <v>2268</v>
      </c>
      <c r="G1365" s="550">
        <v>0</v>
      </c>
      <c r="H1365" s="550">
        <v>0</v>
      </c>
      <c r="I1365" s="550">
        <v>0</v>
      </c>
      <c r="J1365" s="550">
        <v>1590</v>
      </c>
      <c r="K1365" s="550">
        <v>0</v>
      </c>
      <c r="L1365" s="550">
        <v>0</v>
      </c>
      <c r="M1365" s="550">
        <v>0</v>
      </c>
      <c r="N1365" s="550">
        <v>1577</v>
      </c>
      <c r="O1365" s="550">
        <v>378</v>
      </c>
      <c r="P1365" s="550">
        <v>3043</v>
      </c>
      <c r="Q1365" s="550">
        <v>544</v>
      </c>
      <c r="R1365" s="574" t="s">
        <v>525</v>
      </c>
      <c r="S1365" s="552"/>
      <c r="T1365" s="552"/>
      <c r="U1365" s="552"/>
      <c r="V1365" s="552"/>
      <c r="W1365" s="552"/>
      <c r="X1365" s="552"/>
      <c r="Y1365" s="552"/>
      <c r="Z1365" s="552"/>
      <c r="AA1365" s="553"/>
      <c r="AB1365" s="553"/>
    </row>
    <row r="1366" spans="1:28" ht="12.75">
      <c r="A1366" s="547" t="s">
        <v>525</v>
      </c>
      <c r="B1366" s="547" t="s">
        <v>170</v>
      </c>
      <c r="C1366" s="548" t="s">
        <v>799</v>
      </c>
      <c r="D1366" s="549">
        <v>2016</v>
      </c>
      <c r="E1366" s="549" t="s">
        <v>775</v>
      </c>
      <c r="F1366" s="550">
        <v>2268</v>
      </c>
      <c r="G1366" s="550">
        <v>42</v>
      </c>
      <c r="H1366" s="550">
        <v>42</v>
      </c>
      <c r="I1366" s="550">
        <v>0</v>
      </c>
      <c r="J1366" s="550">
        <v>1590</v>
      </c>
      <c r="K1366" s="550">
        <v>15</v>
      </c>
      <c r="L1366" s="550">
        <v>15</v>
      </c>
      <c r="M1366" s="550">
        <v>0</v>
      </c>
      <c r="N1366" s="550">
        <v>1577</v>
      </c>
      <c r="O1366" s="550">
        <v>216</v>
      </c>
      <c r="P1366" s="550">
        <v>3043</v>
      </c>
      <c r="Q1366" s="550">
        <v>584</v>
      </c>
      <c r="R1366" s="574" t="s">
        <v>525</v>
      </c>
      <c r="S1366" s="552"/>
      <c r="T1366" s="552"/>
      <c r="U1366" s="552"/>
      <c r="V1366" s="552"/>
      <c r="W1366" s="552"/>
      <c r="X1366" s="552"/>
      <c r="Y1366" s="552"/>
      <c r="Z1366" s="552"/>
      <c r="AA1366" s="553"/>
      <c r="AB1366" s="553"/>
    </row>
    <row r="1367" spans="1:28" ht="12.75">
      <c r="A1367" s="547" t="s">
        <v>525</v>
      </c>
      <c r="B1367" s="547" t="s">
        <v>170</v>
      </c>
      <c r="C1367" s="548" t="s">
        <v>799</v>
      </c>
      <c r="D1367" s="549">
        <v>2017</v>
      </c>
      <c r="E1367" s="549" t="s">
        <v>775</v>
      </c>
      <c r="F1367" s="550">
        <v>2268</v>
      </c>
      <c r="G1367" s="550">
        <v>43</v>
      </c>
      <c r="H1367" s="550">
        <v>43</v>
      </c>
      <c r="I1367" s="550">
        <v>0</v>
      </c>
      <c r="J1367" s="550">
        <v>1590</v>
      </c>
      <c r="K1367" s="550">
        <v>0</v>
      </c>
      <c r="L1367" s="550">
        <v>0</v>
      </c>
      <c r="M1367" s="550">
        <v>0</v>
      </c>
      <c r="N1367" s="550">
        <v>1577</v>
      </c>
      <c r="O1367" s="550">
        <v>1000</v>
      </c>
      <c r="P1367" s="550">
        <v>3043</v>
      </c>
      <c r="Q1367" s="550">
        <v>644</v>
      </c>
      <c r="R1367" s="574" t="s">
        <v>525</v>
      </c>
      <c r="S1367" s="552"/>
      <c r="T1367" s="552"/>
      <c r="U1367" s="552"/>
      <c r="V1367" s="552"/>
      <c r="W1367" s="552"/>
      <c r="X1367" s="552"/>
      <c r="Y1367" s="552"/>
      <c r="Z1367" s="552"/>
      <c r="AA1367" s="553"/>
      <c r="AB1367" s="553"/>
    </row>
    <row r="1368" spans="1:28" ht="12.75">
      <c r="A1368" s="547" t="s">
        <v>525</v>
      </c>
      <c r="B1368" s="547" t="s">
        <v>170</v>
      </c>
      <c r="C1368" s="548" t="s">
        <v>799</v>
      </c>
      <c r="D1368" s="549">
        <v>2018</v>
      </c>
      <c r="E1368" s="549" t="s">
        <v>775</v>
      </c>
      <c r="F1368" s="550">
        <v>2268</v>
      </c>
      <c r="G1368" s="550">
        <v>0</v>
      </c>
      <c r="H1368" s="550">
        <v>0</v>
      </c>
      <c r="I1368" s="550">
        <v>0</v>
      </c>
      <c r="J1368" s="550">
        <v>1590</v>
      </c>
      <c r="K1368" s="550">
        <v>3</v>
      </c>
      <c r="L1368" s="550">
        <v>0</v>
      </c>
      <c r="M1368" s="550">
        <v>3</v>
      </c>
      <c r="N1368" s="550">
        <v>1577</v>
      </c>
      <c r="O1368" s="550">
        <v>333</v>
      </c>
      <c r="P1368" s="550">
        <v>3043</v>
      </c>
      <c r="Q1368" s="550">
        <v>472</v>
      </c>
      <c r="R1368" s="574" t="s">
        <v>525</v>
      </c>
      <c r="S1368" s="552"/>
      <c r="T1368" s="552"/>
      <c r="U1368" s="552"/>
      <c r="V1368" s="552"/>
      <c r="W1368" s="552"/>
      <c r="X1368" s="552"/>
      <c r="Y1368" s="552"/>
      <c r="Z1368" s="552"/>
      <c r="AA1368" s="553"/>
      <c r="AB1368" s="553"/>
    </row>
    <row r="1369" spans="1:28" ht="12.75">
      <c r="A1369" s="547" t="s">
        <v>525</v>
      </c>
      <c r="B1369" s="547" t="s">
        <v>170</v>
      </c>
      <c r="C1369" s="548" t="s">
        <v>801</v>
      </c>
      <c r="D1369" s="549">
        <v>2019</v>
      </c>
      <c r="E1369" s="549" t="s">
        <v>775</v>
      </c>
      <c r="F1369" s="550">
        <v>2268</v>
      </c>
      <c r="G1369" s="550">
        <v>43</v>
      </c>
      <c r="H1369" s="550">
        <v>43</v>
      </c>
      <c r="I1369" s="550">
        <v>0</v>
      </c>
      <c r="J1369" s="550">
        <v>1590</v>
      </c>
      <c r="K1369" s="550">
        <v>25</v>
      </c>
      <c r="L1369" s="550">
        <v>20</v>
      </c>
      <c r="M1369" s="550">
        <v>5</v>
      </c>
      <c r="N1369" s="550">
        <v>1577</v>
      </c>
      <c r="O1369" s="550">
        <v>474</v>
      </c>
      <c r="P1369" s="550">
        <v>3043</v>
      </c>
      <c r="Q1369" s="550">
        <v>500</v>
      </c>
      <c r="R1369" s="574" t="s">
        <v>525</v>
      </c>
      <c r="S1369" s="556">
        <f>SUM(G1363:G1369) +SUM(K1363:K1369)</f>
        <v>194</v>
      </c>
      <c r="T1369" s="556">
        <f>F1369+J1369</f>
        <v>3858</v>
      </c>
      <c r="U1369" s="556">
        <f>SUM(O1363:O1369)</f>
        <v>2981</v>
      </c>
      <c r="V1369" s="556">
        <f>N1369</f>
        <v>1577</v>
      </c>
      <c r="W1369" s="557">
        <f>SUM(Q1363:Q1369)</f>
        <v>3461</v>
      </c>
      <c r="X1369" s="556">
        <f>P1369</f>
        <v>3043</v>
      </c>
      <c r="Y1369" s="556">
        <f>S1369+U1369+SUM(Q1363:Q1369)</f>
        <v>6636</v>
      </c>
      <c r="Z1369" s="556">
        <f>F1369+J1369+N1369+P1369</f>
        <v>8478</v>
      </c>
      <c r="AA1369" s="553"/>
      <c r="AB1369" s="553"/>
    </row>
    <row r="1370" spans="1:28" ht="12.75">
      <c r="A1370" s="547"/>
      <c r="B1370" s="547"/>
      <c r="C1370" s="548"/>
      <c r="D1370" s="549"/>
      <c r="E1370" s="549"/>
      <c r="F1370" s="550"/>
      <c r="G1370" s="550"/>
      <c r="H1370" s="550"/>
      <c r="I1370" s="550"/>
      <c r="J1370" s="550"/>
      <c r="K1370" s="550"/>
      <c r="L1370" s="550"/>
      <c r="M1370" s="550"/>
      <c r="N1370" s="550"/>
      <c r="O1370" s="550"/>
      <c r="P1370" s="550"/>
      <c r="Q1370" s="550"/>
      <c r="R1370" s="574"/>
      <c r="S1370" s="563">
        <f t="shared" ref="S1370:Z1370" si="196">SUM(S1335:S1369)</f>
        <v>319</v>
      </c>
      <c r="T1370" s="563">
        <f t="shared" si="196"/>
        <v>9779</v>
      </c>
      <c r="U1370" s="563">
        <f t="shared" si="196"/>
        <v>4143</v>
      </c>
      <c r="V1370" s="563">
        <f t="shared" si="196"/>
        <v>4023</v>
      </c>
      <c r="W1370" s="563">
        <f t="shared" si="196"/>
        <v>9501</v>
      </c>
      <c r="X1370" s="563">
        <f t="shared" si="196"/>
        <v>7823</v>
      </c>
      <c r="Y1370" s="563">
        <f t="shared" si="196"/>
        <v>13963</v>
      </c>
      <c r="Z1370" s="563">
        <f t="shared" si="196"/>
        <v>21625</v>
      </c>
      <c r="AA1370" s="553"/>
      <c r="AB1370" s="553"/>
    </row>
    <row r="1371" spans="1:28" ht="12.75">
      <c r="A1371" s="547"/>
      <c r="B1371" s="547"/>
      <c r="C1371" s="548"/>
      <c r="D1371" s="549"/>
      <c r="E1371" s="549"/>
      <c r="F1371" s="550"/>
      <c r="G1371" s="550"/>
      <c r="H1371" s="550"/>
      <c r="I1371" s="550"/>
      <c r="J1371" s="550"/>
      <c r="K1371" s="550"/>
      <c r="L1371" s="550"/>
      <c r="M1371" s="550"/>
      <c r="N1371" s="550"/>
      <c r="O1371" s="550"/>
      <c r="P1371" s="550"/>
      <c r="Q1371" s="550"/>
      <c r="R1371" s="574"/>
      <c r="S1371" s="552"/>
      <c r="T1371" s="552"/>
      <c r="U1371" s="552"/>
      <c r="V1371" s="552"/>
      <c r="W1371" s="552"/>
      <c r="X1371" s="552"/>
      <c r="Y1371" s="552"/>
      <c r="Z1371" s="552"/>
      <c r="AA1371" s="553"/>
      <c r="AB1371" s="553"/>
    </row>
    <row r="1372" spans="1:28" ht="12.75">
      <c r="A1372" s="547" t="s">
        <v>526</v>
      </c>
      <c r="B1372" s="547" t="s">
        <v>171</v>
      </c>
      <c r="C1372" s="548" t="s">
        <v>784</v>
      </c>
      <c r="D1372" s="549">
        <v>2016</v>
      </c>
      <c r="E1372" s="549" t="s">
        <v>775</v>
      </c>
      <c r="F1372" s="550">
        <v>12</v>
      </c>
      <c r="G1372" s="550">
        <v>0</v>
      </c>
      <c r="H1372" s="550">
        <v>0</v>
      </c>
      <c r="I1372" s="550">
        <v>0</v>
      </c>
      <c r="J1372" s="550">
        <v>8</v>
      </c>
      <c r="K1372" s="550">
        <v>0</v>
      </c>
      <c r="L1372" s="550">
        <v>0</v>
      </c>
      <c r="M1372" s="550">
        <v>0</v>
      </c>
      <c r="N1372" s="550">
        <v>12</v>
      </c>
      <c r="O1372" s="550">
        <v>4</v>
      </c>
      <c r="P1372" s="550">
        <v>25</v>
      </c>
      <c r="Q1372" s="550">
        <v>34</v>
      </c>
      <c r="R1372" s="574" t="s">
        <v>526</v>
      </c>
      <c r="S1372" s="552"/>
      <c r="T1372" s="552"/>
      <c r="U1372" s="552"/>
      <c r="V1372" s="552"/>
      <c r="W1372" s="552"/>
      <c r="X1372" s="552"/>
      <c r="Y1372" s="552"/>
      <c r="Z1372" s="552"/>
      <c r="AA1372" s="553"/>
      <c r="AB1372" s="553"/>
    </row>
    <row r="1373" spans="1:28" ht="12.75">
      <c r="A1373" s="547" t="s">
        <v>526</v>
      </c>
      <c r="B1373" s="547" t="s">
        <v>171</v>
      </c>
      <c r="C1373" s="548" t="s">
        <v>784</v>
      </c>
      <c r="D1373" s="549">
        <v>2017</v>
      </c>
      <c r="E1373" s="549" t="s">
        <v>775</v>
      </c>
      <c r="F1373" s="550">
        <v>12</v>
      </c>
      <c r="G1373" s="550">
        <v>0</v>
      </c>
      <c r="H1373" s="550">
        <v>0</v>
      </c>
      <c r="I1373" s="550">
        <v>0</v>
      </c>
      <c r="J1373" s="550">
        <v>8</v>
      </c>
      <c r="K1373" s="550">
        <v>0</v>
      </c>
      <c r="L1373" s="550">
        <v>0</v>
      </c>
      <c r="M1373" s="550">
        <v>0</v>
      </c>
      <c r="N1373" s="550">
        <v>12</v>
      </c>
      <c r="O1373" s="550">
        <v>15</v>
      </c>
      <c r="P1373" s="550">
        <v>25</v>
      </c>
      <c r="Q1373" s="550">
        <v>25</v>
      </c>
      <c r="R1373" s="574" t="s">
        <v>526</v>
      </c>
      <c r="S1373" s="552"/>
      <c r="T1373" s="552"/>
      <c r="U1373" s="552"/>
      <c r="V1373" s="552"/>
      <c r="W1373" s="552"/>
      <c r="X1373" s="552"/>
      <c r="Y1373" s="552"/>
      <c r="Z1373" s="552"/>
      <c r="AA1373" s="553"/>
      <c r="AB1373" s="553"/>
    </row>
    <row r="1374" spans="1:28" ht="12.75">
      <c r="A1374" s="547" t="s">
        <v>526</v>
      </c>
      <c r="B1374" s="547" t="s">
        <v>171</v>
      </c>
      <c r="C1374" s="548" t="s">
        <v>784</v>
      </c>
      <c r="D1374" s="549">
        <v>2018</v>
      </c>
      <c r="E1374" s="549" t="s">
        <v>775</v>
      </c>
      <c r="F1374" s="550">
        <v>12</v>
      </c>
      <c r="G1374" s="550">
        <v>0</v>
      </c>
      <c r="H1374" s="550">
        <v>0</v>
      </c>
      <c r="I1374" s="550">
        <v>0</v>
      </c>
      <c r="J1374" s="550">
        <v>8</v>
      </c>
      <c r="K1374" s="550">
        <v>0</v>
      </c>
      <c r="L1374" s="550">
        <v>0</v>
      </c>
      <c r="M1374" s="550">
        <v>0</v>
      </c>
      <c r="N1374" s="550">
        <v>12</v>
      </c>
      <c r="O1374" s="550">
        <v>15</v>
      </c>
      <c r="P1374" s="550">
        <v>25</v>
      </c>
      <c r="Q1374" s="550">
        <v>41</v>
      </c>
      <c r="R1374" s="574" t="s">
        <v>526</v>
      </c>
      <c r="S1374" s="552"/>
      <c r="T1374" s="552"/>
      <c r="U1374" s="552"/>
      <c r="V1374" s="552"/>
      <c r="W1374" s="552"/>
      <c r="X1374" s="552"/>
      <c r="Y1374" s="552"/>
      <c r="Z1374" s="552"/>
      <c r="AA1374" s="553"/>
      <c r="AB1374" s="553"/>
    </row>
    <row r="1375" spans="1:28" ht="12.75">
      <c r="A1375" s="547" t="s">
        <v>526</v>
      </c>
      <c r="B1375" s="547" t="s">
        <v>171</v>
      </c>
      <c r="C1375" s="548" t="s">
        <v>785</v>
      </c>
      <c r="D1375" s="549">
        <v>2019</v>
      </c>
      <c r="E1375" s="549" t="s">
        <v>775</v>
      </c>
      <c r="F1375" s="550">
        <v>12</v>
      </c>
      <c r="G1375" s="550">
        <v>0</v>
      </c>
      <c r="H1375" s="550">
        <v>0</v>
      </c>
      <c r="I1375" s="550">
        <v>0</v>
      </c>
      <c r="J1375" s="550">
        <v>8</v>
      </c>
      <c r="K1375" s="550">
        <v>1</v>
      </c>
      <c r="L1375" s="550">
        <v>0</v>
      </c>
      <c r="M1375" s="550">
        <v>1</v>
      </c>
      <c r="N1375" s="550">
        <v>12</v>
      </c>
      <c r="O1375" s="550">
        <v>12</v>
      </c>
      <c r="P1375" s="550">
        <v>25</v>
      </c>
      <c r="Q1375" s="550">
        <v>30</v>
      </c>
      <c r="R1375" s="574" t="s">
        <v>526</v>
      </c>
      <c r="S1375" s="255">
        <f>SUM(G1372:G1375) +SUM(K1372:K1375)</f>
        <v>1</v>
      </c>
      <c r="T1375" s="255">
        <f t="shared" ref="T1375:T1376" si="197">F1375+J1375</f>
        <v>20</v>
      </c>
      <c r="U1375" s="255">
        <f>SUM(O1372:O1375)</f>
        <v>46</v>
      </c>
      <c r="V1375" s="255">
        <f t="shared" ref="V1375:V1376" si="198">N1375</f>
        <v>12</v>
      </c>
      <c r="W1375" s="83">
        <f>SUM(Q1372:Q1375)</f>
        <v>130</v>
      </c>
      <c r="X1375" s="255">
        <f>P1375</f>
        <v>25</v>
      </c>
      <c r="Y1375" s="255">
        <f>S1375+U1375+SUM(Q1372:Q1375)</f>
        <v>177</v>
      </c>
      <c r="Z1375" s="255">
        <f t="shared" ref="Z1375:Z1376" si="199">F1375+J1375+N1375+P1375</f>
        <v>57</v>
      </c>
      <c r="AA1375" s="553"/>
      <c r="AB1375" s="553"/>
    </row>
    <row r="1376" spans="1:28" ht="12.75">
      <c r="A1376" s="547" t="s">
        <v>527</v>
      </c>
      <c r="B1376" s="547" t="s">
        <v>171</v>
      </c>
      <c r="C1376" s="548" t="s">
        <v>785</v>
      </c>
      <c r="D1376" s="549">
        <v>2019</v>
      </c>
      <c r="E1376" s="549" t="s">
        <v>775</v>
      </c>
      <c r="F1376" s="550">
        <v>3</v>
      </c>
      <c r="G1376" s="550">
        <v>0</v>
      </c>
      <c r="H1376" s="550">
        <v>0</v>
      </c>
      <c r="I1376" s="550">
        <v>0</v>
      </c>
      <c r="J1376" s="550">
        <v>2</v>
      </c>
      <c r="K1376" s="550">
        <v>0</v>
      </c>
      <c r="L1376" s="550">
        <v>0</v>
      </c>
      <c r="M1376" s="550">
        <v>0</v>
      </c>
      <c r="N1376" s="550">
        <v>3</v>
      </c>
      <c r="O1376" s="550">
        <v>0</v>
      </c>
      <c r="P1376" s="550">
        <v>5</v>
      </c>
      <c r="Q1376" s="550">
        <v>0</v>
      </c>
      <c r="R1376" s="574" t="s">
        <v>527</v>
      </c>
      <c r="S1376" s="556">
        <f>G1376</f>
        <v>0</v>
      </c>
      <c r="T1376" s="561">
        <f t="shared" si="197"/>
        <v>5</v>
      </c>
      <c r="U1376" s="556">
        <f>K1376</f>
        <v>0</v>
      </c>
      <c r="V1376" s="561">
        <f t="shared" si="198"/>
        <v>3</v>
      </c>
      <c r="W1376" s="556">
        <f t="shared" ref="W1376:Y1376" si="200">O1376</f>
        <v>0</v>
      </c>
      <c r="X1376" s="561">
        <f t="shared" si="200"/>
        <v>5</v>
      </c>
      <c r="Y1376" s="556">
        <f t="shared" si="200"/>
        <v>0</v>
      </c>
      <c r="Z1376" s="561">
        <f t="shared" si="199"/>
        <v>13</v>
      </c>
      <c r="AA1376" s="553"/>
      <c r="AB1376" s="553"/>
    </row>
    <row r="1377" spans="1:28" ht="12.75">
      <c r="A1377" s="547"/>
      <c r="B1377" s="547"/>
      <c r="C1377" s="548"/>
      <c r="D1377" s="549"/>
      <c r="E1377" s="549"/>
      <c r="F1377" s="550"/>
      <c r="G1377" s="550"/>
      <c r="H1377" s="550"/>
      <c r="I1377" s="550"/>
      <c r="J1377" s="550"/>
      <c r="K1377" s="550"/>
      <c r="L1377" s="550"/>
      <c r="M1377" s="550"/>
      <c r="N1377" s="550"/>
      <c r="O1377" s="550"/>
      <c r="P1377" s="550"/>
      <c r="Q1377" s="550"/>
      <c r="R1377" s="574"/>
      <c r="S1377" s="563">
        <f t="shared" ref="S1377:Z1377" si="201">S1375+S1376</f>
        <v>1</v>
      </c>
      <c r="T1377" s="563">
        <f t="shared" si="201"/>
        <v>25</v>
      </c>
      <c r="U1377" s="563">
        <f t="shared" si="201"/>
        <v>46</v>
      </c>
      <c r="V1377" s="563">
        <f t="shared" si="201"/>
        <v>15</v>
      </c>
      <c r="W1377" s="563">
        <f t="shared" si="201"/>
        <v>130</v>
      </c>
      <c r="X1377" s="563">
        <f t="shared" si="201"/>
        <v>30</v>
      </c>
      <c r="Y1377" s="563">
        <f t="shared" si="201"/>
        <v>177</v>
      </c>
      <c r="Z1377" s="563">
        <f t="shared" si="201"/>
        <v>70</v>
      </c>
      <c r="AA1377" s="553"/>
      <c r="AB1377" s="553"/>
    </row>
    <row r="1378" spans="1:28" ht="12.75">
      <c r="A1378" s="547" t="s">
        <v>528</v>
      </c>
      <c r="B1378" s="547" t="s">
        <v>173</v>
      </c>
      <c r="C1378" s="548" t="s">
        <v>812</v>
      </c>
      <c r="D1378" s="549">
        <v>2014</v>
      </c>
      <c r="E1378" s="549" t="s">
        <v>775</v>
      </c>
      <c r="F1378" s="550">
        <v>872</v>
      </c>
      <c r="G1378" s="550">
        <v>0</v>
      </c>
      <c r="H1378" s="550">
        <v>0</v>
      </c>
      <c r="I1378" s="550">
        <v>0</v>
      </c>
      <c r="J1378" s="550">
        <v>593</v>
      </c>
      <c r="K1378" s="550">
        <v>0</v>
      </c>
      <c r="L1378" s="550">
        <v>0</v>
      </c>
      <c r="M1378" s="550">
        <v>0</v>
      </c>
      <c r="N1378" s="550">
        <v>685</v>
      </c>
      <c r="O1378" s="550">
        <v>0</v>
      </c>
      <c r="P1378" s="550">
        <v>1642</v>
      </c>
      <c r="Q1378" s="550">
        <v>0</v>
      </c>
      <c r="R1378" s="574" t="s">
        <v>528</v>
      </c>
      <c r="S1378" s="552"/>
      <c r="T1378" s="552"/>
      <c r="U1378" s="552"/>
      <c r="V1378" s="552"/>
      <c r="W1378" s="552"/>
      <c r="X1378" s="552"/>
      <c r="Y1378" s="552"/>
      <c r="Z1378" s="552"/>
      <c r="AA1378" s="553"/>
      <c r="AB1378" s="553"/>
    </row>
    <row r="1379" spans="1:28" ht="12.75">
      <c r="A1379" s="547" t="s">
        <v>528</v>
      </c>
      <c r="B1379" s="547" t="s">
        <v>173</v>
      </c>
      <c r="C1379" s="548" t="s">
        <v>812</v>
      </c>
      <c r="D1379" s="549">
        <v>2015</v>
      </c>
      <c r="E1379" s="549" t="s">
        <v>775</v>
      </c>
      <c r="F1379" s="550">
        <v>872</v>
      </c>
      <c r="G1379" s="550">
        <v>0</v>
      </c>
      <c r="H1379" s="550">
        <v>0</v>
      </c>
      <c r="I1379" s="550">
        <v>0</v>
      </c>
      <c r="J1379" s="550">
        <v>593</v>
      </c>
      <c r="K1379" s="550">
        <v>0</v>
      </c>
      <c r="L1379" s="550">
        <v>0</v>
      </c>
      <c r="M1379" s="550">
        <v>0</v>
      </c>
      <c r="N1379" s="550">
        <v>685</v>
      </c>
      <c r="O1379" s="550">
        <v>0</v>
      </c>
      <c r="P1379" s="550">
        <v>1642</v>
      </c>
      <c r="Q1379" s="550">
        <v>0</v>
      </c>
      <c r="R1379" s="574" t="s">
        <v>528</v>
      </c>
      <c r="S1379" s="552"/>
      <c r="T1379" s="552"/>
      <c r="U1379" s="552"/>
      <c r="V1379" s="552"/>
      <c r="W1379" s="552"/>
      <c r="X1379" s="552"/>
      <c r="Y1379" s="552"/>
      <c r="Z1379" s="552"/>
      <c r="AA1379" s="553"/>
      <c r="AB1379" s="553"/>
    </row>
    <row r="1380" spans="1:28" ht="12.75">
      <c r="A1380" s="547" t="s">
        <v>528</v>
      </c>
      <c r="B1380" s="547" t="s">
        <v>173</v>
      </c>
      <c r="C1380" s="548" t="s">
        <v>812</v>
      </c>
      <c r="D1380" s="549">
        <v>2016</v>
      </c>
      <c r="E1380" s="549" t="s">
        <v>775</v>
      </c>
      <c r="F1380" s="550">
        <v>872</v>
      </c>
      <c r="G1380" s="550">
        <v>0</v>
      </c>
      <c r="H1380" s="550">
        <v>0</v>
      </c>
      <c r="I1380" s="550">
        <v>0</v>
      </c>
      <c r="J1380" s="550">
        <v>593</v>
      </c>
      <c r="K1380" s="550">
        <v>0</v>
      </c>
      <c r="L1380" s="550">
        <v>0</v>
      </c>
      <c r="M1380" s="550">
        <v>0</v>
      </c>
      <c r="N1380" s="550">
        <v>685</v>
      </c>
      <c r="O1380" s="550">
        <v>0</v>
      </c>
      <c r="P1380" s="550">
        <v>1642</v>
      </c>
      <c r="Q1380" s="550">
        <v>0</v>
      </c>
      <c r="R1380" s="574" t="s">
        <v>528</v>
      </c>
      <c r="S1380" s="552"/>
      <c r="T1380" s="552"/>
      <c r="U1380" s="552"/>
      <c r="V1380" s="552"/>
      <c r="W1380" s="552"/>
      <c r="X1380" s="552"/>
      <c r="Y1380" s="552"/>
      <c r="Z1380" s="552"/>
      <c r="AA1380" s="553"/>
      <c r="AB1380" s="553"/>
    </row>
    <row r="1381" spans="1:28" ht="12.75">
      <c r="A1381" s="547" t="s">
        <v>528</v>
      </c>
      <c r="B1381" s="547" t="s">
        <v>173</v>
      </c>
      <c r="C1381" s="548" t="s">
        <v>812</v>
      </c>
      <c r="D1381" s="549">
        <v>2017</v>
      </c>
      <c r="E1381" s="549" t="s">
        <v>775</v>
      </c>
      <c r="F1381" s="550">
        <v>872</v>
      </c>
      <c r="G1381" s="550">
        <v>0</v>
      </c>
      <c r="H1381" s="550">
        <v>0</v>
      </c>
      <c r="I1381" s="550">
        <v>0</v>
      </c>
      <c r="J1381" s="550">
        <v>593</v>
      </c>
      <c r="K1381" s="550">
        <v>0</v>
      </c>
      <c r="L1381" s="550">
        <v>0</v>
      </c>
      <c r="M1381" s="550">
        <v>0</v>
      </c>
      <c r="N1381" s="550">
        <v>685</v>
      </c>
      <c r="O1381" s="550">
        <v>0</v>
      </c>
      <c r="P1381" s="550">
        <v>1642</v>
      </c>
      <c r="Q1381" s="550">
        <v>0</v>
      </c>
      <c r="R1381" s="574" t="s">
        <v>528</v>
      </c>
      <c r="S1381" s="552"/>
      <c r="T1381" s="552"/>
      <c r="U1381" s="552"/>
      <c r="V1381" s="552"/>
      <c r="W1381" s="552"/>
      <c r="X1381" s="552"/>
      <c r="Y1381" s="552"/>
      <c r="Z1381" s="552"/>
      <c r="AA1381" s="553"/>
      <c r="AB1381" s="553"/>
    </row>
    <row r="1382" spans="1:28" ht="12.75">
      <c r="A1382" s="547" t="s">
        <v>528</v>
      </c>
      <c r="B1382" s="547" t="s">
        <v>173</v>
      </c>
      <c r="C1382" s="548" t="s">
        <v>812</v>
      </c>
      <c r="D1382" s="549">
        <v>2018</v>
      </c>
      <c r="E1382" s="549" t="s">
        <v>775</v>
      </c>
      <c r="F1382" s="550">
        <v>872</v>
      </c>
      <c r="G1382" s="550">
        <v>0</v>
      </c>
      <c r="H1382" s="550">
        <v>0</v>
      </c>
      <c r="I1382" s="550">
        <v>0</v>
      </c>
      <c r="J1382" s="550">
        <v>593</v>
      </c>
      <c r="K1382" s="550">
        <v>0</v>
      </c>
      <c r="L1382" s="550">
        <v>0</v>
      </c>
      <c r="M1382" s="550">
        <v>0</v>
      </c>
      <c r="N1382" s="550">
        <v>685</v>
      </c>
      <c r="O1382" s="550">
        <v>0</v>
      </c>
      <c r="P1382" s="550">
        <v>1642</v>
      </c>
      <c r="Q1382" s="550">
        <v>1</v>
      </c>
      <c r="R1382" s="574" t="s">
        <v>528</v>
      </c>
      <c r="S1382" s="552"/>
      <c r="T1382" s="552"/>
      <c r="U1382" s="552"/>
      <c r="V1382" s="552"/>
      <c r="W1382" s="552"/>
      <c r="X1382" s="552"/>
      <c r="Y1382" s="552"/>
      <c r="Z1382" s="552"/>
      <c r="AA1382" s="553"/>
      <c r="AB1382" s="553"/>
    </row>
    <row r="1383" spans="1:28" ht="12.75">
      <c r="A1383" s="547" t="s">
        <v>528</v>
      </c>
      <c r="B1383" s="547" t="s">
        <v>173</v>
      </c>
      <c r="C1383" s="548" t="s">
        <v>813</v>
      </c>
      <c r="D1383" s="549">
        <v>2019</v>
      </c>
      <c r="E1383" s="549" t="s">
        <v>775</v>
      </c>
      <c r="F1383" s="550">
        <v>872</v>
      </c>
      <c r="G1383" s="550">
        <v>0</v>
      </c>
      <c r="H1383" s="550">
        <v>0</v>
      </c>
      <c r="I1383" s="550">
        <v>0</v>
      </c>
      <c r="J1383" s="550">
        <v>593</v>
      </c>
      <c r="K1383" s="550">
        <v>0</v>
      </c>
      <c r="L1383" s="550">
        <v>0</v>
      </c>
      <c r="M1383" s="550">
        <v>0</v>
      </c>
      <c r="N1383" s="550">
        <v>685</v>
      </c>
      <c r="O1383" s="550">
        <v>0</v>
      </c>
      <c r="P1383" s="550">
        <v>1642</v>
      </c>
      <c r="Q1383" s="550">
        <v>9</v>
      </c>
      <c r="R1383" s="574" t="s">
        <v>528</v>
      </c>
      <c r="S1383" s="552">
        <f>SUM(G1378:G1383) +SUM(K1378:K1383)</f>
        <v>0</v>
      </c>
      <c r="T1383" s="552">
        <f>F1383+J1383</f>
        <v>1465</v>
      </c>
      <c r="U1383" s="552">
        <f>SUM(O1378:O1383)</f>
        <v>0</v>
      </c>
      <c r="V1383" s="552">
        <f>N1383</f>
        <v>685</v>
      </c>
      <c r="W1383" s="554">
        <f>SUM(Q1378:Q1383)</f>
        <v>10</v>
      </c>
      <c r="X1383" s="552">
        <f>P1383</f>
        <v>1642</v>
      </c>
      <c r="Y1383" s="552">
        <f>S1383+U1383+SUM(Q1378:Q1383)</f>
        <v>10</v>
      </c>
      <c r="Z1383" s="552">
        <f>F1383+J1383+N1383+P1383</f>
        <v>3792</v>
      </c>
      <c r="AA1383" s="553"/>
      <c r="AB1383" s="553"/>
    </row>
    <row r="1384" spans="1:28" ht="12.75">
      <c r="A1384" s="547" t="s">
        <v>529</v>
      </c>
      <c r="B1384" s="547" t="s">
        <v>173</v>
      </c>
      <c r="C1384" s="548" t="s">
        <v>812</v>
      </c>
      <c r="D1384" s="549">
        <v>2017</v>
      </c>
      <c r="E1384" s="549" t="s">
        <v>775</v>
      </c>
      <c r="F1384" s="550">
        <v>1267</v>
      </c>
      <c r="G1384" s="550">
        <v>0</v>
      </c>
      <c r="H1384" s="550">
        <v>0</v>
      </c>
      <c r="I1384" s="550">
        <v>0</v>
      </c>
      <c r="J1384" s="550">
        <v>854</v>
      </c>
      <c r="K1384" s="550">
        <v>0</v>
      </c>
      <c r="L1384" s="550">
        <v>0</v>
      </c>
      <c r="M1384" s="550">
        <v>0</v>
      </c>
      <c r="N1384" s="550">
        <v>969</v>
      </c>
      <c r="O1384" s="550">
        <v>323</v>
      </c>
      <c r="P1384" s="550">
        <v>2160</v>
      </c>
      <c r="Q1384" s="550">
        <v>423</v>
      </c>
      <c r="R1384" s="574" t="s">
        <v>529</v>
      </c>
      <c r="S1384" s="552"/>
      <c r="T1384" s="552"/>
      <c r="U1384" s="552"/>
      <c r="V1384" s="552"/>
      <c r="W1384" s="552"/>
      <c r="X1384" s="552"/>
      <c r="Y1384" s="552"/>
      <c r="Z1384" s="552"/>
      <c r="AA1384" s="553"/>
      <c r="AB1384" s="553"/>
    </row>
    <row r="1385" spans="1:28" ht="12.75">
      <c r="A1385" s="547" t="s">
        <v>529</v>
      </c>
      <c r="B1385" s="547" t="s">
        <v>173</v>
      </c>
      <c r="C1385" s="548" t="s">
        <v>812</v>
      </c>
      <c r="D1385" s="549">
        <v>2018</v>
      </c>
      <c r="E1385" s="549" t="s">
        <v>775</v>
      </c>
      <c r="F1385" s="550">
        <v>1267</v>
      </c>
      <c r="G1385" s="550">
        <v>0</v>
      </c>
      <c r="H1385" s="550">
        <v>0</v>
      </c>
      <c r="I1385" s="550">
        <v>0</v>
      </c>
      <c r="J1385" s="550">
        <v>854</v>
      </c>
      <c r="K1385" s="550">
        <v>0</v>
      </c>
      <c r="L1385" s="550">
        <v>0</v>
      </c>
      <c r="M1385" s="550">
        <v>0</v>
      </c>
      <c r="N1385" s="550">
        <v>969</v>
      </c>
      <c r="O1385" s="550">
        <v>0</v>
      </c>
      <c r="P1385" s="550">
        <v>2160</v>
      </c>
      <c r="Q1385" s="550">
        <v>343</v>
      </c>
      <c r="R1385" s="574" t="s">
        <v>529</v>
      </c>
      <c r="S1385" s="552">
        <f>SUM(G1384:G1385) +SUM(K1384:K1385)</f>
        <v>0</v>
      </c>
      <c r="T1385" s="552">
        <f>F1385+J1385</f>
        <v>2121</v>
      </c>
      <c r="U1385" s="552">
        <f>SUM(O1384:O1385)</f>
        <v>323</v>
      </c>
      <c r="V1385" s="552">
        <f>N1385</f>
        <v>969</v>
      </c>
      <c r="W1385" s="554">
        <f>SUM(Q1384:Q1385)</f>
        <v>766</v>
      </c>
      <c r="X1385" s="552">
        <f>P1385</f>
        <v>2160</v>
      </c>
      <c r="Y1385" s="552">
        <f>S1385+U1385+SUM(Q1384:Q1385)</f>
        <v>1089</v>
      </c>
      <c r="Z1385" s="552">
        <f>F1385+J1385+N1385+P1385</f>
        <v>5250</v>
      </c>
      <c r="AA1385" s="553"/>
      <c r="AB1385" s="553"/>
    </row>
    <row r="1386" spans="1:28" ht="12.75">
      <c r="A1386" s="547" t="s">
        <v>530</v>
      </c>
      <c r="B1386" s="547" t="s">
        <v>173</v>
      </c>
      <c r="C1386" s="548" t="s">
        <v>812</v>
      </c>
      <c r="D1386" s="549">
        <v>2017</v>
      </c>
      <c r="E1386" s="549" t="s">
        <v>775</v>
      </c>
      <c r="F1386" s="550">
        <v>91</v>
      </c>
      <c r="G1386" s="550">
        <v>0</v>
      </c>
      <c r="H1386" s="550">
        <v>0</v>
      </c>
      <c r="I1386" s="550">
        <v>0</v>
      </c>
      <c r="J1386" s="550">
        <v>64</v>
      </c>
      <c r="K1386" s="550">
        <v>0</v>
      </c>
      <c r="L1386" s="550">
        <v>0</v>
      </c>
      <c r="M1386" s="550">
        <v>0</v>
      </c>
      <c r="N1386" s="550">
        <v>75</v>
      </c>
      <c r="O1386" s="550">
        <v>2</v>
      </c>
      <c r="P1386" s="550">
        <v>172</v>
      </c>
      <c r="Q1386" s="550">
        <v>1</v>
      </c>
      <c r="R1386" s="574" t="s">
        <v>530</v>
      </c>
      <c r="S1386" s="552"/>
      <c r="T1386" s="552"/>
      <c r="U1386" s="552"/>
      <c r="V1386" s="552"/>
      <c r="W1386" s="552"/>
      <c r="X1386" s="552"/>
      <c r="Y1386" s="552"/>
      <c r="Z1386" s="552"/>
      <c r="AA1386" s="553"/>
      <c r="AB1386" s="553"/>
    </row>
    <row r="1387" spans="1:28" ht="12.75">
      <c r="A1387" s="547" t="s">
        <v>530</v>
      </c>
      <c r="B1387" s="547" t="s">
        <v>173</v>
      </c>
      <c r="C1387" s="548" t="s">
        <v>813</v>
      </c>
      <c r="D1387" s="549">
        <v>2018</v>
      </c>
      <c r="E1387" s="549" t="s">
        <v>775</v>
      </c>
      <c r="F1387" s="550">
        <v>91</v>
      </c>
      <c r="G1387" s="550">
        <v>0</v>
      </c>
      <c r="H1387" s="550">
        <v>0</v>
      </c>
      <c r="I1387" s="550">
        <v>0</v>
      </c>
      <c r="J1387" s="550">
        <v>64</v>
      </c>
      <c r="K1387" s="550">
        <v>0</v>
      </c>
      <c r="L1387" s="550">
        <v>0</v>
      </c>
      <c r="M1387" s="550">
        <v>0</v>
      </c>
      <c r="N1387" s="550">
        <v>75</v>
      </c>
      <c r="O1387" s="550">
        <v>5</v>
      </c>
      <c r="P1387" s="550">
        <v>172</v>
      </c>
      <c r="Q1387" s="550">
        <v>0</v>
      </c>
      <c r="R1387" s="574" t="s">
        <v>530</v>
      </c>
      <c r="S1387" s="552"/>
      <c r="T1387" s="552"/>
      <c r="U1387" s="552"/>
      <c r="V1387" s="552"/>
      <c r="W1387" s="552"/>
      <c r="X1387" s="552"/>
      <c r="Y1387" s="552"/>
      <c r="Z1387" s="552"/>
      <c r="AA1387" s="553"/>
      <c r="AB1387" s="553"/>
    </row>
    <row r="1388" spans="1:28" ht="12.75">
      <c r="A1388" s="547" t="s">
        <v>530</v>
      </c>
      <c r="B1388" s="547" t="s">
        <v>173</v>
      </c>
      <c r="C1388" s="548" t="s">
        <v>813</v>
      </c>
      <c r="D1388" s="549">
        <v>2019</v>
      </c>
      <c r="E1388" s="549" t="s">
        <v>775</v>
      </c>
      <c r="F1388" s="550">
        <v>91</v>
      </c>
      <c r="G1388" s="550">
        <v>0</v>
      </c>
      <c r="H1388" s="550">
        <v>0</v>
      </c>
      <c r="I1388" s="550">
        <v>0</v>
      </c>
      <c r="J1388" s="550">
        <v>64</v>
      </c>
      <c r="K1388" s="550">
        <v>0</v>
      </c>
      <c r="L1388" s="550">
        <v>0</v>
      </c>
      <c r="M1388" s="550">
        <v>0</v>
      </c>
      <c r="N1388" s="550">
        <v>75</v>
      </c>
      <c r="O1388" s="550">
        <v>6</v>
      </c>
      <c r="P1388" s="550">
        <v>172</v>
      </c>
      <c r="Q1388" s="550">
        <v>0</v>
      </c>
      <c r="R1388" s="574" t="s">
        <v>530</v>
      </c>
      <c r="S1388" s="552">
        <f>SUM(G1386:G1388) +SUM(K1386:K1388)</f>
        <v>0</v>
      </c>
      <c r="T1388" s="552">
        <f>F1388+J1388</f>
        <v>155</v>
      </c>
      <c r="U1388" s="552">
        <f>SUM(O1386:O1388)</f>
        <v>13</v>
      </c>
      <c r="V1388" s="552">
        <f>N1388</f>
        <v>75</v>
      </c>
      <c r="W1388" s="554">
        <f>SUM(Q1386:Q1388)</f>
        <v>1</v>
      </c>
      <c r="X1388" s="552">
        <f>P1388</f>
        <v>172</v>
      </c>
      <c r="Y1388" s="552">
        <f>S1388+U1388+SUM(Q1386:Q1388)</f>
        <v>14</v>
      </c>
      <c r="Z1388" s="552">
        <f>F1388+J1388+N1388+P1388</f>
        <v>402</v>
      </c>
      <c r="AA1388" s="553"/>
      <c r="AB1388" s="553"/>
    </row>
    <row r="1389" spans="1:28" ht="12.75">
      <c r="A1389" s="547" t="s">
        <v>531</v>
      </c>
      <c r="B1389" s="547" t="s">
        <v>173</v>
      </c>
      <c r="C1389" s="548" t="s">
        <v>812</v>
      </c>
      <c r="D1389" s="549">
        <v>2014</v>
      </c>
      <c r="E1389" s="549" t="s">
        <v>775</v>
      </c>
      <c r="F1389" s="550">
        <v>543</v>
      </c>
      <c r="G1389" s="550">
        <v>0</v>
      </c>
      <c r="H1389" s="550">
        <v>0</v>
      </c>
      <c r="I1389" s="550">
        <v>0</v>
      </c>
      <c r="J1389" s="550">
        <v>383</v>
      </c>
      <c r="K1389" s="550">
        <v>0</v>
      </c>
      <c r="L1389" s="550">
        <v>0</v>
      </c>
      <c r="M1389" s="550">
        <v>0</v>
      </c>
      <c r="N1389" s="550">
        <v>433</v>
      </c>
      <c r="O1389" s="550">
        <v>0</v>
      </c>
      <c r="P1389" s="550">
        <v>982</v>
      </c>
      <c r="Q1389" s="550">
        <v>37</v>
      </c>
      <c r="R1389" s="574" t="s">
        <v>531</v>
      </c>
      <c r="S1389" s="552"/>
      <c r="T1389" s="552"/>
      <c r="U1389" s="552"/>
      <c r="V1389" s="552"/>
      <c r="W1389" s="552"/>
      <c r="X1389" s="552"/>
      <c r="Y1389" s="552"/>
      <c r="Z1389" s="552"/>
      <c r="AA1389" s="553"/>
      <c r="AB1389" s="553"/>
    </row>
    <row r="1390" spans="1:28" ht="12.75">
      <c r="A1390" s="547" t="s">
        <v>531</v>
      </c>
      <c r="B1390" s="547" t="s">
        <v>173</v>
      </c>
      <c r="C1390" s="548" t="s">
        <v>812</v>
      </c>
      <c r="D1390" s="549">
        <v>2015</v>
      </c>
      <c r="E1390" s="549" t="s">
        <v>775</v>
      </c>
      <c r="F1390" s="550">
        <v>543</v>
      </c>
      <c r="G1390" s="550">
        <v>0</v>
      </c>
      <c r="H1390" s="550">
        <v>0</v>
      </c>
      <c r="I1390" s="550">
        <v>0</v>
      </c>
      <c r="J1390" s="550">
        <v>383</v>
      </c>
      <c r="K1390" s="550">
        <v>0</v>
      </c>
      <c r="L1390" s="550">
        <v>0</v>
      </c>
      <c r="M1390" s="550">
        <v>0</v>
      </c>
      <c r="N1390" s="550">
        <v>433</v>
      </c>
      <c r="O1390" s="550">
        <v>0</v>
      </c>
      <c r="P1390" s="550">
        <v>982</v>
      </c>
      <c r="Q1390" s="550">
        <v>77</v>
      </c>
      <c r="R1390" s="574" t="s">
        <v>531</v>
      </c>
      <c r="S1390" s="552"/>
      <c r="T1390" s="552"/>
      <c r="U1390" s="552"/>
      <c r="V1390" s="552"/>
      <c r="W1390" s="552"/>
      <c r="X1390" s="552"/>
      <c r="Y1390" s="552"/>
      <c r="Z1390" s="552"/>
      <c r="AA1390" s="553"/>
      <c r="AB1390" s="553"/>
    </row>
    <row r="1391" spans="1:28" ht="12.75">
      <c r="A1391" s="547" t="s">
        <v>531</v>
      </c>
      <c r="B1391" s="547" t="s">
        <v>173</v>
      </c>
      <c r="C1391" s="548" t="s">
        <v>812</v>
      </c>
      <c r="D1391" s="549">
        <v>2016</v>
      </c>
      <c r="E1391" s="549" t="s">
        <v>775</v>
      </c>
      <c r="F1391" s="550">
        <v>543</v>
      </c>
      <c r="G1391" s="550">
        <v>0</v>
      </c>
      <c r="H1391" s="550">
        <v>0</v>
      </c>
      <c r="I1391" s="550">
        <v>0</v>
      </c>
      <c r="J1391" s="550">
        <v>383</v>
      </c>
      <c r="K1391" s="550">
        <v>0</v>
      </c>
      <c r="L1391" s="550">
        <v>0</v>
      </c>
      <c r="M1391" s="550">
        <v>0</v>
      </c>
      <c r="N1391" s="550">
        <v>433</v>
      </c>
      <c r="O1391" s="550">
        <v>0</v>
      </c>
      <c r="P1391" s="550">
        <v>982</v>
      </c>
      <c r="Q1391" s="550">
        <v>116</v>
      </c>
      <c r="R1391" s="574" t="s">
        <v>531</v>
      </c>
      <c r="S1391" s="552"/>
      <c r="T1391" s="552"/>
      <c r="U1391" s="552"/>
      <c r="V1391" s="552"/>
      <c r="W1391" s="552"/>
      <c r="X1391" s="552"/>
      <c r="Y1391" s="552"/>
      <c r="Z1391" s="552"/>
      <c r="AA1391" s="553"/>
      <c r="AB1391" s="553"/>
    </row>
    <row r="1392" spans="1:28" ht="12.75">
      <c r="A1392" s="547" t="s">
        <v>531</v>
      </c>
      <c r="B1392" s="547" t="s">
        <v>173</v>
      </c>
      <c r="C1392" s="548" t="s">
        <v>812</v>
      </c>
      <c r="D1392" s="549">
        <v>2017</v>
      </c>
      <c r="E1392" s="549" t="s">
        <v>775</v>
      </c>
      <c r="F1392" s="550">
        <v>543</v>
      </c>
      <c r="G1392" s="550">
        <v>0</v>
      </c>
      <c r="H1392" s="550">
        <v>0</v>
      </c>
      <c r="I1392" s="550">
        <v>0</v>
      </c>
      <c r="J1392" s="550">
        <v>383</v>
      </c>
      <c r="K1392" s="550">
        <v>0</v>
      </c>
      <c r="L1392" s="550">
        <v>0</v>
      </c>
      <c r="M1392" s="550">
        <v>0</v>
      </c>
      <c r="N1392" s="550">
        <v>433</v>
      </c>
      <c r="O1392" s="550">
        <v>0</v>
      </c>
      <c r="P1392" s="550">
        <v>982</v>
      </c>
      <c r="Q1392" s="550">
        <v>43</v>
      </c>
      <c r="R1392" s="574" t="s">
        <v>531</v>
      </c>
      <c r="S1392" s="552"/>
      <c r="T1392" s="552"/>
      <c r="U1392" s="552"/>
      <c r="V1392" s="552"/>
      <c r="W1392" s="552"/>
      <c r="X1392" s="552"/>
      <c r="Y1392" s="552"/>
      <c r="Z1392" s="552"/>
      <c r="AA1392" s="553"/>
      <c r="AB1392" s="553"/>
    </row>
    <row r="1393" spans="1:28" ht="12.75">
      <c r="A1393" s="547" t="s">
        <v>531</v>
      </c>
      <c r="B1393" s="547" t="s">
        <v>173</v>
      </c>
      <c r="C1393" s="548" t="s">
        <v>812</v>
      </c>
      <c r="D1393" s="549">
        <v>2018</v>
      </c>
      <c r="E1393" s="549" t="s">
        <v>775</v>
      </c>
      <c r="F1393" s="550">
        <v>543</v>
      </c>
      <c r="G1393" s="550">
        <v>0</v>
      </c>
      <c r="H1393" s="550">
        <v>0</v>
      </c>
      <c r="I1393" s="550">
        <v>0</v>
      </c>
      <c r="J1393" s="550">
        <v>383</v>
      </c>
      <c r="K1393" s="550">
        <v>0</v>
      </c>
      <c r="L1393" s="550">
        <v>0</v>
      </c>
      <c r="M1393" s="550">
        <v>0</v>
      </c>
      <c r="N1393" s="550">
        <v>433</v>
      </c>
      <c r="O1393" s="550">
        <v>0</v>
      </c>
      <c r="P1393" s="550">
        <v>982</v>
      </c>
      <c r="Q1393" s="550">
        <v>86</v>
      </c>
      <c r="R1393" s="574" t="s">
        <v>531</v>
      </c>
      <c r="S1393" s="552"/>
      <c r="T1393" s="552"/>
      <c r="U1393" s="552"/>
      <c r="V1393" s="552"/>
      <c r="W1393" s="552"/>
      <c r="X1393" s="552"/>
      <c r="Y1393" s="552"/>
      <c r="Z1393" s="552"/>
      <c r="AA1393" s="553"/>
      <c r="AB1393" s="553"/>
    </row>
    <row r="1394" spans="1:28" ht="12.75">
      <c r="A1394" s="547" t="s">
        <v>531</v>
      </c>
      <c r="B1394" s="547" t="s">
        <v>173</v>
      </c>
      <c r="C1394" s="548" t="s">
        <v>813</v>
      </c>
      <c r="D1394" s="549">
        <v>2019</v>
      </c>
      <c r="E1394" s="549" t="s">
        <v>775</v>
      </c>
      <c r="F1394" s="550">
        <v>543</v>
      </c>
      <c r="G1394" s="550">
        <v>0</v>
      </c>
      <c r="H1394" s="550">
        <v>0</v>
      </c>
      <c r="I1394" s="550">
        <v>0</v>
      </c>
      <c r="J1394" s="550">
        <v>383</v>
      </c>
      <c r="K1394" s="550">
        <v>0</v>
      </c>
      <c r="L1394" s="550">
        <v>0</v>
      </c>
      <c r="M1394" s="550">
        <v>0</v>
      </c>
      <c r="N1394" s="550">
        <v>433</v>
      </c>
      <c r="O1394" s="550">
        <v>0</v>
      </c>
      <c r="P1394" s="550">
        <v>982</v>
      </c>
      <c r="Q1394" s="550">
        <v>286</v>
      </c>
      <c r="R1394" s="574" t="s">
        <v>531</v>
      </c>
      <c r="S1394" s="552">
        <f>SUM(G1389:G1394) +SUM(K1389:K1394)</f>
        <v>0</v>
      </c>
      <c r="T1394" s="552">
        <f>F1394+J1394</f>
        <v>926</v>
      </c>
      <c r="U1394" s="552">
        <f>SUM(O1389:O1394)</f>
        <v>0</v>
      </c>
      <c r="V1394" s="552">
        <f>N1394</f>
        <v>433</v>
      </c>
      <c r="W1394" s="554">
        <f>SUM(Q1389:Q1394)</f>
        <v>645</v>
      </c>
      <c r="X1394" s="552">
        <f>P1394</f>
        <v>982</v>
      </c>
      <c r="Y1394" s="552">
        <f>S1394+U1394+SUM(Q1389:Q1394)</f>
        <v>645</v>
      </c>
      <c r="Z1394" s="552">
        <f>F1394+J1394+N1394+P1394</f>
        <v>2341</v>
      </c>
      <c r="AA1394" s="553"/>
      <c r="AB1394" s="553"/>
    </row>
    <row r="1395" spans="1:28" ht="12.75">
      <c r="A1395" s="547" t="s">
        <v>532</v>
      </c>
      <c r="B1395" s="547" t="s">
        <v>173</v>
      </c>
      <c r="C1395" s="548" t="s">
        <v>812</v>
      </c>
      <c r="D1395" s="549">
        <v>2014</v>
      </c>
      <c r="E1395" s="549" t="s">
        <v>775</v>
      </c>
      <c r="F1395" s="550">
        <v>21</v>
      </c>
      <c r="G1395" s="550">
        <v>0</v>
      </c>
      <c r="H1395" s="550">
        <v>0</v>
      </c>
      <c r="I1395" s="550">
        <v>0</v>
      </c>
      <c r="J1395" s="550">
        <v>14</v>
      </c>
      <c r="K1395" s="550">
        <v>0</v>
      </c>
      <c r="L1395" s="550">
        <v>0</v>
      </c>
      <c r="M1395" s="550">
        <v>0</v>
      </c>
      <c r="N1395" s="550">
        <v>16</v>
      </c>
      <c r="O1395" s="550">
        <v>1</v>
      </c>
      <c r="P1395" s="550">
        <v>32</v>
      </c>
      <c r="Q1395" s="550">
        <v>4</v>
      </c>
      <c r="R1395" s="574" t="s">
        <v>532</v>
      </c>
      <c r="S1395" s="552"/>
      <c r="T1395" s="552"/>
      <c r="U1395" s="552"/>
      <c r="V1395" s="552"/>
      <c r="W1395" s="552"/>
      <c r="X1395" s="552"/>
      <c r="Y1395" s="552"/>
      <c r="Z1395" s="552"/>
      <c r="AA1395" s="553"/>
      <c r="AB1395" s="553"/>
    </row>
    <row r="1396" spans="1:28" ht="12.75">
      <c r="A1396" s="547" t="s">
        <v>532</v>
      </c>
      <c r="B1396" s="547" t="s">
        <v>173</v>
      </c>
      <c r="C1396" s="548" t="s">
        <v>812</v>
      </c>
      <c r="D1396" s="549">
        <v>2015</v>
      </c>
      <c r="E1396" s="549" t="s">
        <v>775</v>
      </c>
      <c r="F1396" s="550">
        <v>21</v>
      </c>
      <c r="G1396" s="550">
        <v>0</v>
      </c>
      <c r="H1396" s="550">
        <v>0</v>
      </c>
      <c r="I1396" s="550">
        <v>0</v>
      </c>
      <c r="J1396" s="550">
        <v>14</v>
      </c>
      <c r="K1396" s="550">
        <v>0</v>
      </c>
      <c r="L1396" s="550">
        <v>0</v>
      </c>
      <c r="M1396" s="550">
        <v>0</v>
      </c>
      <c r="N1396" s="550">
        <v>16</v>
      </c>
      <c r="O1396" s="550">
        <v>4</v>
      </c>
      <c r="P1396" s="550">
        <v>32</v>
      </c>
      <c r="Q1396" s="550">
        <v>6</v>
      </c>
      <c r="R1396" s="574" t="s">
        <v>532</v>
      </c>
      <c r="S1396" s="552"/>
      <c r="T1396" s="552"/>
      <c r="U1396" s="552"/>
      <c r="V1396" s="552"/>
      <c r="W1396" s="552"/>
      <c r="X1396" s="552"/>
      <c r="Y1396" s="552"/>
      <c r="Z1396" s="552"/>
      <c r="AA1396" s="553"/>
      <c r="AB1396" s="553"/>
    </row>
    <row r="1397" spans="1:28" ht="12.75">
      <c r="A1397" s="547" t="s">
        <v>532</v>
      </c>
      <c r="B1397" s="547" t="s">
        <v>173</v>
      </c>
      <c r="C1397" s="548" t="s">
        <v>812</v>
      </c>
      <c r="D1397" s="549">
        <v>2016</v>
      </c>
      <c r="E1397" s="549" t="s">
        <v>775</v>
      </c>
      <c r="F1397" s="550">
        <v>21</v>
      </c>
      <c r="G1397" s="550">
        <v>0</v>
      </c>
      <c r="H1397" s="550">
        <v>0</v>
      </c>
      <c r="I1397" s="550">
        <v>0</v>
      </c>
      <c r="J1397" s="550">
        <v>14</v>
      </c>
      <c r="K1397" s="550">
        <v>0</v>
      </c>
      <c r="L1397" s="550">
        <v>0</v>
      </c>
      <c r="M1397" s="550">
        <v>0</v>
      </c>
      <c r="N1397" s="550">
        <v>16</v>
      </c>
      <c r="O1397" s="550">
        <v>3</v>
      </c>
      <c r="P1397" s="550">
        <v>32</v>
      </c>
      <c r="Q1397" s="550">
        <v>5</v>
      </c>
      <c r="R1397" s="574" t="s">
        <v>532</v>
      </c>
      <c r="S1397" s="552"/>
      <c r="T1397" s="552"/>
      <c r="U1397" s="552"/>
      <c r="V1397" s="552"/>
      <c r="W1397" s="552"/>
      <c r="X1397" s="552"/>
      <c r="Y1397" s="552"/>
      <c r="Z1397" s="552"/>
      <c r="AA1397" s="553"/>
      <c r="AB1397" s="553"/>
    </row>
    <row r="1398" spans="1:28" ht="12.75">
      <c r="A1398" s="547" t="s">
        <v>532</v>
      </c>
      <c r="B1398" s="547" t="s">
        <v>173</v>
      </c>
      <c r="C1398" s="548" t="s">
        <v>812</v>
      </c>
      <c r="D1398" s="549">
        <v>2017</v>
      </c>
      <c r="E1398" s="549" t="s">
        <v>775</v>
      </c>
      <c r="F1398" s="550">
        <v>21</v>
      </c>
      <c r="G1398" s="550">
        <v>0</v>
      </c>
      <c r="H1398" s="550">
        <v>0</v>
      </c>
      <c r="I1398" s="550">
        <v>0</v>
      </c>
      <c r="J1398" s="550">
        <v>14</v>
      </c>
      <c r="K1398" s="550">
        <v>0</v>
      </c>
      <c r="L1398" s="550">
        <v>0</v>
      </c>
      <c r="M1398" s="550">
        <v>0</v>
      </c>
      <c r="N1398" s="550">
        <v>16</v>
      </c>
      <c r="O1398" s="550">
        <v>2</v>
      </c>
      <c r="P1398" s="550">
        <v>32</v>
      </c>
      <c r="Q1398" s="550">
        <v>3</v>
      </c>
      <c r="R1398" s="574" t="s">
        <v>532</v>
      </c>
      <c r="S1398" s="552"/>
      <c r="T1398" s="552"/>
      <c r="U1398" s="552"/>
      <c r="V1398" s="552"/>
      <c r="W1398" s="552"/>
      <c r="X1398" s="552"/>
      <c r="Y1398" s="552"/>
      <c r="Z1398" s="552"/>
      <c r="AA1398" s="553"/>
      <c r="AB1398" s="553"/>
    </row>
    <row r="1399" spans="1:28" ht="12.75">
      <c r="A1399" s="547" t="s">
        <v>532</v>
      </c>
      <c r="B1399" s="547" t="s">
        <v>173</v>
      </c>
      <c r="C1399" s="548" t="s">
        <v>812</v>
      </c>
      <c r="D1399" s="549">
        <v>2018</v>
      </c>
      <c r="E1399" s="549" t="s">
        <v>775</v>
      </c>
      <c r="F1399" s="550">
        <v>21</v>
      </c>
      <c r="G1399" s="550"/>
      <c r="H1399" s="550"/>
      <c r="I1399" s="550"/>
      <c r="J1399" s="550">
        <v>14</v>
      </c>
      <c r="K1399" s="550"/>
      <c r="L1399" s="550"/>
      <c r="M1399" s="550"/>
      <c r="N1399" s="550">
        <v>16</v>
      </c>
      <c r="O1399" s="550">
        <v>0</v>
      </c>
      <c r="P1399" s="550">
        <v>32</v>
      </c>
      <c r="Q1399" s="550">
        <v>14</v>
      </c>
      <c r="R1399" s="574" t="s">
        <v>532</v>
      </c>
      <c r="S1399" s="255"/>
      <c r="T1399" s="255"/>
      <c r="U1399" s="255"/>
      <c r="V1399" s="255"/>
      <c r="W1399" s="83"/>
      <c r="X1399" s="255"/>
      <c r="Y1399" s="255"/>
      <c r="Z1399" s="255"/>
      <c r="AA1399" s="553"/>
      <c r="AB1399" s="553"/>
    </row>
    <row r="1400" spans="1:28" ht="12.75">
      <c r="A1400" s="547" t="s">
        <v>532</v>
      </c>
      <c r="B1400" s="547" t="s">
        <v>173</v>
      </c>
      <c r="C1400" s="548" t="s">
        <v>813</v>
      </c>
      <c r="D1400" s="549">
        <v>2019</v>
      </c>
      <c r="E1400" s="549" t="s">
        <v>775</v>
      </c>
      <c r="F1400" s="550">
        <v>21</v>
      </c>
      <c r="G1400" s="550">
        <v>0</v>
      </c>
      <c r="H1400" s="550">
        <v>0</v>
      </c>
      <c r="I1400" s="550">
        <v>0</v>
      </c>
      <c r="J1400" s="550">
        <v>14</v>
      </c>
      <c r="K1400" s="550">
        <v>0</v>
      </c>
      <c r="L1400" s="550">
        <v>0</v>
      </c>
      <c r="M1400" s="550">
        <v>0</v>
      </c>
      <c r="N1400" s="550">
        <v>16</v>
      </c>
      <c r="O1400" s="550">
        <v>0</v>
      </c>
      <c r="P1400" s="550">
        <v>32</v>
      </c>
      <c r="Q1400" s="550">
        <v>0</v>
      </c>
      <c r="R1400" s="574" t="s">
        <v>532</v>
      </c>
      <c r="S1400" s="255">
        <f>SUM(G1395:G1400) +SUM(K1395:K1400)</f>
        <v>0</v>
      </c>
      <c r="T1400" s="255">
        <f>F1400+J1400</f>
        <v>35</v>
      </c>
      <c r="U1400" s="255">
        <f>SUM(O1395:O1400)</f>
        <v>10</v>
      </c>
      <c r="V1400" s="255">
        <f>N1400</f>
        <v>16</v>
      </c>
      <c r="W1400" s="83">
        <f>SUM(Q1395:Q1400)</f>
        <v>32</v>
      </c>
      <c r="X1400" s="255">
        <f>P1400</f>
        <v>32</v>
      </c>
      <c r="Y1400" s="255">
        <f>S1400+U1400+SUM(Q1395:Q1400)</f>
        <v>42</v>
      </c>
      <c r="Z1400" s="255">
        <f>F1400+J1400+N1400+P1400</f>
        <v>83</v>
      </c>
      <c r="AA1400" s="553"/>
      <c r="AB1400" s="553"/>
    </row>
    <row r="1401" spans="1:28" ht="12.75">
      <c r="A1401" s="547" t="s">
        <v>533</v>
      </c>
      <c r="B1401" s="547" t="s">
        <v>173</v>
      </c>
      <c r="C1401" s="548" t="s">
        <v>812</v>
      </c>
      <c r="D1401" s="549">
        <v>2014</v>
      </c>
      <c r="E1401" s="549" t="s">
        <v>775</v>
      </c>
      <c r="F1401" s="550">
        <v>141</v>
      </c>
      <c r="G1401" s="550">
        <v>0</v>
      </c>
      <c r="H1401" s="550">
        <v>0</v>
      </c>
      <c r="I1401" s="550">
        <v>0</v>
      </c>
      <c r="J1401" s="550">
        <v>95</v>
      </c>
      <c r="K1401" s="550">
        <v>0</v>
      </c>
      <c r="L1401" s="550">
        <v>0</v>
      </c>
      <c r="M1401" s="550">
        <v>0</v>
      </c>
      <c r="N1401" s="550">
        <v>110</v>
      </c>
      <c r="O1401" s="550">
        <v>32</v>
      </c>
      <c r="P1401" s="550">
        <v>254</v>
      </c>
      <c r="Q1401" s="550">
        <v>0</v>
      </c>
      <c r="R1401" s="574" t="s">
        <v>533</v>
      </c>
      <c r="S1401" s="552"/>
      <c r="T1401" s="552"/>
      <c r="U1401" s="552"/>
      <c r="V1401" s="552"/>
      <c r="W1401" s="552"/>
      <c r="X1401" s="552"/>
      <c r="Y1401" s="552"/>
      <c r="Z1401" s="552"/>
      <c r="AA1401" s="553"/>
      <c r="AB1401" s="553"/>
    </row>
    <row r="1402" spans="1:28" ht="12.75">
      <c r="A1402" s="547" t="s">
        <v>533</v>
      </c>
      <c r="B1402" s="547" t="s">
        <v>173</v>
      </c>
      <c r="C1402" s="548" t="s">
        <v>812</v>
      </c>
      <c r="D1402" s="549">
        <v>2015</v>
      </c>
      <c r="E1402" s="549" t="s">
        <v>775</v>
      </c>
      <c r="F1402" s="550">
        <v>141</v>
      </c>
      <c r="G1402" s="550">
        <v>0</v>
      </c>
      <c r="H1402" s="550">
        <v>0</v>
      </c>
      <c r="I1402" s="550">
        <v>0</v>
      </c>
      <c r="J1402" s="550">
        <v>95</v>
      </c>
      <c r="K1402" s="550">
        <v>0</v>
      </c>
      <c r="L1402" s="550">
        <v>0</v>
      </c>
      <c r="M1402" s="550">
        <v>0</v>
      </c>
      <c r="N1402" s="550">
        <v>110</v>
      </c>
      <c r="O1402" s="550">
        <v>21</v>
      </c>
      <c r="P1402" s="550">
        <v>254</v>
      </c>
      <c r="Q1402" s="550">
        <v>3</v>
      </c>
      <c r="R1402" s="574" t="s">
        <v>533</v>
      </c>
      <c r="S1402" s="552"/>
      <c r="T1402" s="552"/>
      <c r="U1402" s="552"/>
      <c r="V1402" s="552"/>
      <c r="W1402" s="552"/>
      <c r="X1402" s="552"/>
      <c r="Y1402" s="552"/>
      <c r="Z1402" s="552"/>
      <c r="AA1402" s="553"/>
      <c r="AB1402" s="553"/>
    </row>
    <row r="1403" spans="1:28" ht="12.75">
      <c r="A1403" s="547" t="s">
        <v>533</v>
      </c>
      <c r="B1403" s="547" t="s">
        <v>173</v>
      </c>
      <c r="C1403" s="548" t="s">
        <v>812</v>
      </c>
      <c r="D1403" s="549">
        <v>2016</v>
      </c>
      <c r="E1403" s="549" t="s">
        <v>775</v>
      </c>
      <c r="F1403" s="550">
        <v>141</v>
      </c>
      <c r="G1403" s="550">
        <v>0</v>
      </c>
      <c r="H1403" s="550">
        <v>0</v>
      </c>
      <c r="I1403" s="550">
        <v>0</v>
      </c>
      <c r="J1403" s="550">
        <v>95</v>
      </c>
      <c r="K1403" s="550">
        <v>0</v>
      </c>
      <c r="L1403" s="550">
        <v>0</v>
      </c>
      <c r="M1403" s="550">
        <v>0</v>
      </c>
      <c r="N1403" s="550">
        <v>110</v>
      </c>
      <c r="O1403" s="550">
        <v>0</v>
      </c>
      <c r="P1403" s="550">
        <v>254</v>
      </c>
      <c r="Q1403" s="550">
        <v>0</v>
      </c>
      <c r="R1403" s="574" t="s">
        <v>533</v>
      </c>
      <c r="S1403" s="552"/>
      <c r="T1403" s="552"/>
      <c r="U1403" s="552"/>
      <c r="V1403" s="552"/>
      <c r="W1403" s="552"/>
      <c r="X1403" s="552"/>
      <c r="Y1403" s="552"/>
      <c r="Z1403" s="552"/>
      <c r="AA1403" s="553"/>
      <c r="AB1403" s="553"/>
    </row>
    <row r="1404" spans="1:28" ht="12.75">
      <c r="A1404" s="547" t="s">
        <v>533</v>
      </c>
      <c r="B1404" s="547" t="s">
        <v>173</v>
      </c>
      <c r="C1404" s="548" t="s">
        <v>812</v>
      </c>
      <c r="D1404" s="549">
        <v>2017</v>
      </c>
      <c r="E1404" s="549" t="s">
        <v>775</v>
      </c>
      <c r="F1404" s="550">
        <v>141</v>
      </c>
      <c r="G1404" s="550">
        <v>0</v>
      </c>
      <c r="H1404" s="550">
        <v>0</v>
      </c>
      <c r="I1404" s="550">
        <v>0</v>
      </c>
      <c r="J1404" s="550">
        <v>95</v>
      </c>
      <c r="K1404" s="550">
        <v>0</v>
      </c>
      <c r="L1404" s="550">
        <v>0</v>
      </c>
      <c r="M1404" s="550">
        <v>0</v>
      </c>
      <c r="N1404" s="550">
        <v>110</v>
      </c>
      <c r="O1404" s="550">
        <v>69</v>
      </c>
      <c r="P1404" s="550">
        <v>254</v>
      </c>
      <c r="Q1404" s="550">
        <v>0</v>
      </c>
      <c r="R1404" s="574" t="s">
        <v>533</v>
      </c>
      <c r="S1404" s="552"/>
      <c r="T1404" s="552"/>
      <c r="U1404" s="552"/>
      <c r="V1404" s="552"/>
      <c r="W1404" s="552"/>
      <c r="X1404" s="552"/>
      <c r="Y1404" s="552"/>
      <c r="Z1404" s="552"/>
      <c r="AA1404" s="553"/>
      <c r="AB1404" s="553"/>
    </row>
    <row r="1405" spans="1:28" ht="12.75">
      <c r="A1405" s="547" t="s">
        <v>533</v>
      </c>
      <c r="B1405" s="547" t="s">
        <v>173</v>
      </c>
      <c r="C1405" s="548" t="s">
        <v>812</v>
      </c>
      <c r="D1405" s="549">
        <v>2018</v>
      </c>
      <c r="E1405" s="549" t="s">
        <v>775</v>
      </c>
      <c r="F1405" s="550">
        <v>141</v>
      </c>
      <c r="G1405" s="550">
        <v>0</v>
      </c>
      <c r="H1405" s="550">
        <v>0</v>
      </c>
      <c r="I1405" s="550">
        <v>0</v>
      </c>
      <c r="J1405" s="550">
        <v>95</v>
      </c>
      <c r="K1405" s="550">
        <v>0</v>
      </c>
      <c r="L1405" s="550">
        <v>0</v>
      </c>
      <c r="M1405" s="550">
        <v>0</v>
      </c>
      <c r="N1405" s="550">
        <v>110</v>
      </c>
      <c r="O1405" s="550">
        <v>0</v>
      </c>
      <c r="P1405" s="550">
        <v>254</v>
      </c>
      <c r="Q1405" s="550">
        <v>89</v>
      </c>
      <c r="R1405" s="574" t="s">
        <v>533</v>
      </c>
      <c r="S1405" s="552"/>
      <c r="T1405" s="552"/>
      <c r="U1405" s="552"/>
      <c r="V1405" s="552"/>
      <c r="W1405" s="552"/>
      <c r="X1405" s="552"/>
      <c r="Y1405" s="552"/>
      <c r="Z1405" s="552"/>
      <c r="AA1405" s="553"/>
      <c r="AB1405" s="553"/>
    </row>
    <row r="1406" spans="1:28" ht="12.75">
      <c r="A1406" s="547" t="s">
        <v>533</v>
      </c>
      <c r="B1406" s="547" t="s">
        <v>173</v>
      </c>
      <c r="C1406" s="548" t="s">
        <v>813</v>
      </c>
      <c r="D1406" s="549">
        <v>2019</v>
      </c>
      <c r="E1406" s="549" t="s">
        <v>775</v>
      </c>
      <c r="F1406" s="550">
        <v>141</v>
      </c>
      <c r="G1406" s="550">
        <v>0</v>
      </c>
      <c r="H1406" s="550">
        <v>0</v>
      </c>
      <c r="I1406" s="550">
        <v>0</v>
      </c>
      <c r="J1406" s="550">
        <v>95</v>
      </c>
      <c r="K1406" s="550">
        <v>0</v>
      </c>
      <c r="L1406" s="550">
        <v>0</v>
      </c>
      <c r="M1406" s="550">
        <v>0</v>
      </c>
      <c r="N1406" s="550">
        <v>110</v>
      </c>
      <c r="O1406" s="550">
        <v>0</v>
      </c>
      <c r="P1406" s="550">
        <v>254</v>
      </c>
      <c r="Q1406" s="550">
        <v>144</v>
      </c>
      <c r="R1406" s="574" t="s">
        <v>533</v>
      </c>
      <c r="S1406" s="552">
        <f>SUM(G1401:G1406) +SUM(K1401:K1406)</f>
        <v>0</v>
      </c>
      <c r="T1406" s="552">
        <f>F1406+J1406</f>
        <v>236</v>
      </c>
      <c r="U1406" s="552">
        <f>SUM(O1401:O1406)</f>
        <v>122</v>
      </c>
      <c r="V1406" s="552">
        <f>N1406</f>
        <v>110</v>
      </c>
      <c r="W1406" s="554">
        <f>SUM(Q1401:Q1406)</f>
        <v>236</v>
      </c>
      <c r="X1406" s="552">
        <f>P1406</f>
        <v>254</v>
      </c>
      <c r="Y1406" s="552">
        <f>S1406+U1406+SUM(Q1401:Q1406)</f>
        <v>358</v>
      </c>
      <c r="Z1406" s="552">
        <f>F1406+J1406+N1406+P1406</f>
        <v>600</v>
      </c>
      <c r="AA1406" s="553"/>
      <c r="AB1406" s="553"/>
    </row>
    <row r="1407" spans="1:28" ht="12.75">
      <c r="A1407" s="547" t="s">
        <v>534</v>
      </c>
      <c r="B1407" s="547" t="s">
        <v>173</v>
      </c>
      <c r="C1407" s="548" t="s">
        <v>812</v>
      </c>
      <c r="D1407" s="549">
        <v>2014</v>
      </c>
      <c r="E1407" s="549" t="s">
        <v>775</v>
      </c>
      <c r="F1407" s="550">
        <v>1555</v>
      </c>
      <c r="G1407" s="550">
        <v>52</v>
      </c>
      <c r="H1407" s="550">
        <v>52</v>
      </c>
      <c r="I1407" s="550">
        <v>0</v>
      </c>
      <c r="J1407" s="550">
        <v>1059</v>
      </c>
      <c r="K1407" s="550">
        <v>32</v>
      </c>
      <c r="L1407" s="550">
        <v>32</v>
      </c>
      <c r="M1407" s="550">
        <v>0</v>
      </c>
      <c r="N1407" s="550">
        <v>1212</v>
      </c>
      <c r="O1407" s="550">
        <v>0</v>
      </c>
      <c r="P1407" s="550">
        <v>2945</v>
      </c>
      <c r="Q1407" s="550">
        <v>64</v>
      </c>
      <c r="R1407" s="574" t="s">
        <v>534</v>
      </c>
      <c r="S1407" s="552"/>
      <c r="T1407" s="552"/>
      <c r="U1407" s="552"/>
      <c r="V1407" s="552"/>
      <c r="W1407" s="552"/>
      <c r="X1407" s="552"/>
      <c r="Y1407" s="552"/>
      <c r="Z1407" s="552"/>
      <c r="AA1407" s="553"/>
      <c r="AB1407" s="553"/>
    </row>
    <row r="1408" spans="1:28" ht="12.75">
      <c r="A1408" s="547" t="s">
        <v>534</v>
      </c>
      <c r="B1408" s="547" t="s">
        <v>173</v>
      </c>
      <c r="C1408" s="548" t="s">
        <v>812</v>
      </c>
      <c r="D1408" s="549">
        <v>2015</v>
      </c>
      <c r="E1408" s="549" t="s">
        <v>775</v>
      </c>
      <c r="F1408" s="550">
        <v>1555</v>
      </c>
      <c r="G1408" s="550">
        <v>0</v>
      </c>
      <c r="H1408" s="550">
        <v>0</v>
      </c>
      <c r="I1408" s="550">
        <v>0</v>
      </c>
      <c r="J1408" s="550">
        <v>1059</v>
      </c>
      <c r="K1408" s="550">
        <v>0</v>
      </c>
      <c r="L1408" s="550">
        <v>0</v>
      </c>
      <c r="M1408" s="550">
        <v>0</v>
      </c>
      <c r="N1408" s="550">
        <v>1212</v>
      </c>
      <c r="O1408" s="550">
        <v>0</v>
      </c>
      <c r="P1408" s="550">
        <v>2945</v>
      </c>
      <c r="Q1408" s="550">
        <v>24</v>
      </c>
      <c r="R1408" s="574" t="s">
        <v>534</v>
      </c>
      <c r="S1408" s="552"/>
      <c r="T1408" s="552"/>
      <c r="U1408" s="552"/>
      <c r="V1408" s="552"/>
      <c r="W1408" s="552"/>
      <c r="X1408" s="552"/>
      <c r="Y1408" s="552"/>
      <c r="Z1408" s="552"/>
      <c r="AA1408" s="553"/>
      <c r="AB1408" s="553"/>
    </row>
    <row r="1409" spans="1:28" ht="12.75">
      <c r="A1409" s="547" t="s">
        <v>534</v>
      </c>
      <c r="B1409" s="547" t="s">
        <v>173</v>
      </c>
      <c r="C1409" s="548" t="s">
        <v>812</v>
      </c>
      <c r="D1409" s="549">
        <v>2016</v>
      </c>
      <c r="E1409" s="549" t="s">
        <v>775</v>
      </c>
      <c r="F1409" s="550">
        <v>1555</v>
      </c>
      <c r="G1409" s="550">
        <v>0</v>
      </c>
      <c r="H1409" s="550">
        <v>0</v>
      </c>
      <c r="I1409" s="550">
        <v>0</v>
      </c>
      <c r="J1409" s="550">
        <v>1059</v>
      </c>
      <c r="K1409" s="550">
        <v>0</v>
      </c>
      <c r="L1409" s="550">
        <v>0</v>
      </c>
      <c r="M1409" s="550">
        <v>0</v>
      </c>
      <c r="N1409" s="550">
        <v>1212</v>
      </c>
      <c r="O1409" s="550">
        <v>0</v>
      </c>
      <c r="P1409" s="550">
        <v>2945</v>
      </c>
      <c r="Q1409" s="550">
        <v>0</v>
      </c>
      <c r="R1409" s="574" t="s">
        <v>534</v>
      </c>
      <c r="S1409" s="552"/>
      <c r="T1409" s="552"/>
      <c r="U1409" s="552"/>
      <c r="V1409" s="552"/>
      <c r="W1409" s="552"/>
      <c r="X1409" s="552"/>
      <c r="Y1409" s="552"/>
      <c r="Z1409" s="552"/>
      <c r="AA1409" s="553"/>
      <c r="AB1409" s="553"/>
    </row>
    <row r="1410" spans="1:28" ht="12.75">
      <c r="A1410" s="547" t="s">
        <v>534</v>
      </c>
      <c r="B1410" s="547" t="s">
        <v>173</v>
      </c>
      <c r="C1410" s="548" t="s">
        <v>812</v>
      </c>
      <c r="D1410" s="549">
        <v>2017</v>
      </c>
      <c r="E1410" s="549" t="s">
        <v>775</v>
      </c>
      <c r="F1410" s="550">
        <v>1555</v>
      </c>
      <c r="G1410" s="550">
        <v>26</v>
      </c>
      <c r="H1410" s="550">
        <v>26</v>
      </c>
      <c r="I1410" s="550">
        <v>0</v>
      </c>
      <c r="J1410" s="550">
        <v>1059</v>
      </c>
      <c r="K1410" s="550">
        <v>19</v>
      </c>
      <c r="L1410" s="550">
        <v>19</v>
      </c>
      <c r="M1410" s="550">
        <v>0</v>
      </c>
      <c r="N1410" s="550">
        <v>1212</v>
      </c>
      <c r="O1410" s="550">
        <v>0</v>
      </c>
      <c r="P1410" s="550">
        <v>2945</v>
      </c>
      <c r="Q1410" s="550">
        <v>0</v>
      </c>
      <c r="R1410" s="574" t="s">
        <v>534</v>
      </c>
      <c r="S1410" s="552"/>
      <c r="T1410" s="552"/>
      <c r="U1410" s="552"/>
      <c r="V1410" s="552"/>
      <c r="W1410" s="552"/>
      <c r="X1410" s="552"/>
      <c r="Y1410" s="552"/>
      <c r="Z1410" s="552"/>
      <c r="AA1410" s="553"/>
      <c r="AB1410" s="553"/>
    </row>
    <row r="1411" spans="1:28" ht="12.75">
      <c r="A1411" s="547" t="s">
        <v>534</v>
      </c>
      <c r="B1411" s="547" t="s">
        <v>173</v>
      </c>
      <c r="C1411" s="548" t="s">
        <v>812</v>
      </c>
      <c r="D1411" s="549">
        <v>2018</v>
      </c>
      <c r="E1411" s="549" t="s">
        <v>775</v>
      </c>
      <c r="F1411" s="550">
        <v>1555</v>
      </c>
      <c r="G1411" s="555">
        <v>0</v>
      </c>
      <c r="H1411" s="555">
        <v>0</v>
      </c>
      <c r="I1411" s="555">
        <v>0</v>
      </c>
      <c r="J1411" s="550">
        <v>1059</v>
      </c>
      <c r="K1411" s="555">
        <v>0</v>
      </c>
      <c r="L1411" s="555">
        <v>0</v>
      </c>
      <c r="M1411" s="555">
        <v>0</v>
      </c>
      <c r="N1411" s="550">
        <v>1212</v>
      </c>
      <c r="O1411" s="555">
        <v>0</v>
      </c>
      <c r="P1411" s="550">
        <v>2945</v>
      </c>
      <c r="Q1411" s="555">
        <v>0</v>
      </c>
      <c r="R1411" s="574" t="s">
        <v>534</v>
      </c>
      <c r="S1411" s="255">
        <f>SUM(G1407:G1411) +SUM(K1407:K1411)</f>
        <v>129</v>
      </c>
      <c r="T1411" s="255">
        <f>F1411+J1411</f>
        <v>2614</v>
      </c>
      <c r="U1411" s="255">
        <f>SUM(O1407:O1411)</f>
        <v>0</v>
      </c>
      <c r="V1411" s="255">
        <f>N1411</f>
        <v>1212</v>
      </c>
      <c r="W1411" s="83">
        <f>SUM(Q1407:Q1411)</f>
        <v>88</v>
      </c>
      <c r="X1411" s="255">
        <f>P1411</f>
        <v>2945</v>
      </c>
      <c r="Y1411" s="255">
        <f>S1411+U1411+SUM(Q1407:Q1411)</f>
        <v>217</v>
      </c>
      <c r="Z1411" s="255">
        <f>F1411+J1411+N1411+P1411</f>
        <v>6771</v>
      </c>
      <c r="AA1411" s="553"/>
      <c r="AB1411" s="553"/>
    </row>
    <row r="1412" spans="1:28" ht="12.75">
      <c r="A1412" s="547" t="s">
        <v>535</v>
      </c>
      <c r="B1412" s="547" t="s">
        <v>173</v>
      </c>
      <c r="C1412" s="548" t="s">
        <v>812</v>
      </c>
      <c r="D1412" s="549">
        <v>2014</v>
      </c>
      <c r="E1412" s="549" t="s">
        <v>775</v>
      </c>
      <c r="F1412" s="550">
        <v>192</v>
      </c>
      <c r="G1412" s="550">
        <v>53</v>
      </c>
      <c r="H1412" s="550">
        <v>53</v>
      </c>
      <c r="I1412" s="550">
        <v>0</v>
      </c>
      <c r="J1412" s="550">
        <v>128</v>
      </c>
      <c r="K1412" s="550">
        <v>18</v>
      </c>
      <c r="L1412" s="550">
        <v>18</v>
      </c>
      <c r="M1412" s="550">
        <v>0</v>
      </c>
      <c r="N1412" s="550">
        <v>142</v>
      </c>
      <c r="O1412" s="550">
        <v>3</v>
      </c>
      <c r="P1412" s="550">
        <v>308</v>
      </c>
      <c r="Q1412" s="550">
        <v>622</v>
      </c>
      <c r="R1412" s="574" t="s">
        <v>535</v>
      </c>
      <c r="S1412" s="552"/>
      <c r="T1412" s="552"/>
      <c r="U1412" s="552"/>
      <c r="V1412" s="552"/>
      <c r="W1412" s="552"/>
      <c r="X1412" s="552"/>
      <c r="Y1412" s="552"/>
      <c r="Z1412" s="552"/>
      <c r="AA1412" s="553"/>
      <c r="AB1412" s="553"/>
    </row>
    <row r="1413" spans="1:28" ht="12.75">
      <c r="A1413" s="547" t="s">
        <v>535</v>
      </c>
      <c r="B1413" s="547" t="s">
        <v>173</v>
      </c>
      <c r="C1413" s="548" t="s">
        <v>812</v>
      </c>
      <c r="D1413" s="549">
        <v>2015</v>
      </c>
      <c r="E1413" s="549" t="s">
        <v>775</v>
      </c>
      <c r="F1413" s="550">
        <v>192</v>
      </c>
      <c r="G1413" s="550">
        <v>0</v>
      </c>
      <c r="H1413" s="550">
        <v>0</v>
      </c>
      <c r="I1413" s="550">
        <v>0</v>
      </c>
      <c r="J1413" s="550">
        <v>128</v>
      </c>
      <c r="K1413" s="550">
        <v>0</v>
      </c>
      <c r="L1413" s="550">
        <v>0</v>
      </c>
      <c r="M1413" s="550">
        <v>0</v>
      </c>
      <c r="N1413" s="550">
        <v>142</v>
      </c>
      <c r="O1413" s="550">
        <v>2</v>
      </c>
      <c r="P1413" s="550">
        <v>308</v>
      </c>
      <c r="Q1413" s="550">
        <v>559</v>
      </c>
      <c r="R1413" s="574" t="s">
        <v>535</v>
      </c>
      <c r="S1413" s="552"/>
      <c r="T1413" s="552"/>
      <c r="U1413" s="552"/>
      <c r="V1413" s="552"/>
      <c r="W1413" s="552"/>
      <c r="X1413" s="552"/>
      <c r="Y1413" s="552"/>
      <c r="Z1413" s="552"/>
      <c r="AA1413" s="553"/>
      <c r="AB1413" s="553"/>
    </row>
    <row r="1414" spans="1:28" ht="12.75">
      <c r="A1414" s="547" t="s">
        <v>535</v>
      </c>
      <c r="B1414" s="547" t="s">
        <v>173</v>
      </c>
      <c r="C1414" s="548" t="s">
        <v>812</v>
      </c>
      <c r="D1414" s="549">
        <v>2016</v>
      </c>
      <c r="E1414" s="549" t="s">
        <v>775</v>
      </c>
      <c r="F1414" s="550">
        <v>192</v>
      </c>
      <c r="G1414" s="550">
        <v>0</v>
      </c>
      <c r="H1414" s="550">
        <v>0</v>
      </c>
      <c r="I1414" s="550">
        <v>0</v>
      </c>
      <c r="J1414" s="550">
        <v>128</v>
      </c>
      <c r="K1414" s="550">
        <v>0</v>
      </c>
      <c r="L1414" s="550">
        <v>0</v>
      </c>
      <c r="M1414" s="550">
        <v>0</v>
      </c>
      <c r="N1414" s="550">
        <v>142</v>
      </c>
      <c r="O1414" s="550">
        <v>57</v>
      </c>
      <c r="P1414" s="550">
        <v>308</v>
      </c>
      <c r="Q1414" s="550">
        <v>8</v>
      </c>
      <c r="R1414" s="574" t="s">
        <v>535</v>
      </c>
      <c r="S1414" s="552"/>
      <c r="T1414" s="552"/>
      <c r="U1414" s="552"/>
      <c r="V1414" s="552"/>
      <c r="W1414" s="552"/>
      <c r="X1414" s="552"/>
      <c r="Y1414" s="552"/>
      <c r="Z1414" s="552"/>
      <c r="AA1414" s="553"/>
      <c r="AB1414" s="553"/>
    </row>
    <row r="1415" spans="1:28" ht="12.75">
      <c r="A1415" s="547" t="s">
        <v>535</v>
      </c>
      <c r="B1415" s="547" t="s">
        <v>173</v>
      </c>
      <c r="C1415" s="548" t="s">
        <v>812</v>
      </c>
      <c r="D1415" s="549">
        <v>2017</v>
      </c>
      <c r="E1415" s="549" t="s">
        <v>775</v>
      </c>
      <c r="F1415" s="550">
        <v>192</v>
      </c>
      <c r="G1415" s="550">
        <v>0</v>
      </c>
      <c r="H1415" s="550">
        <v>0</v>
      </c>
      <c r="I1415" s="550">
        <v>0</v>
      </c>
      <c r="J1415" s="550">
        <v>128</v>
      </c>
      <c r="K1415" s="550">
        <v>0</v>
      </c>
      <c r="L1415" s="550">
        <v>0</v>
      </c>
      <c r="M1415" s="550">
        <v>0</v>
      </c>
      <c r="N1415" s="550">
        <v>142</v>
      </c>
      <c r="O1415" s="550">
        <v>4</v>
      </c>
      <c r="P1415" s="550">
        <v>308</v>
      </c>
      <c r="Q1415" s="550">
        <v>207</v>
      </c>
      <c r="R1415" s="574" t="s">
        <v>535</v>
      </c>
      <c r="S1415" s="552"/>
      <c r="T1415" s="552"/>
      <c r="U1415" s="552"/>
      <c r="V1415" s="552"/>
      <c r="W1415" s="552"/>
      <c r="X1415" s="552"/>
      <c r="Y1415" s="552"/>
      <c r="Z1415" s="552"/>
      <c r="AA1415" s="553"/>
      <c r="AB1415" s="553"/>
    </row>
    <row r="1416" spans="1:28" ht="12.75">
      <c r="A1416" s="547" t="s">
        <v>535</v>
      </c>
      <c r="B1416" s="547" t="s">
        <v>173</v>
      </c>
      <c r="C1416" s="548" t="s">
        <v>812</v>
      </c>
      <c r="D1416" s="549">
        <v>2018</v>
      </c>
      <c r="E1416" s="549" t="s">
        <v>775</v>
      </c>
      <c r="F1416" s="550">
        <v>192</v>
      </c>
      <c r="G1416" s="550">
        <v>11</v>
      </c>
      <c r="H1416" s="550">
        <v>11</v>
      </c>
      <c r="I1416" s="550">
        <v>0</v>
      </c>
      <c r="J1416" s="550">
        <v>128</v>
      </c>
      <c r="K1416" s="550">
        <v>73</v>
      </c>
      <c r="L1416" s="550">
        <v>73</v>
      </c>
      <c r="M1416" s="550">
        <v>0</v>
      </c>
      <c r="N1416" s="550">
        <v>142</v>
      </c>
      <c r="O1416" s="550">
        <v>1</v>
      </c>
      <c r="P1416" s="550">
        <v>308</v>
      </c>
      <c r="Q1416" s="550">
        <v>336</v>
      </c>
      <c r="R1416" s="574" t="s">
        <v>535</v>
      </c>
      <c r="S1416" s="255"/>
      <c r="T1416" s="255"/>
      <c r="U1416" s="255"/>
      <c r="V1416" s="255"/>
      <c r="W1416" s="83"/>
      <c r="X1416" s="255"/>
      <c r="Y1416" s="255"/>
      <c r="Z1416" s="255"/>
      <c r="AA1416" s="553"/>
      <c r="AB1416" s="553"/>
    </row>
    <row r="1417" spans="1:28" ht="12.75">
      <c r="A1417" s="547" t="s">
        <v>535</v>
      </c>
      <c r="B1417" s="547" t="s">
        <v>173</v>
      </c>
      <c r="C1417" s="548" t="s">
        <v>812</v>
      </c>
      <c r="D1417" s="549">
        <v>2019</v>
      </c>
      <c r="E1417" s="549" t="s">
        <v>775</v>
      </c>
      <c r="F1417" s="550">
        <v>192</v>
      </c>
      <c r="G1417" s="550">
        <v>0</v>
      </c>
      <c r="H1417" s="550">
        <v>0</v>
      </c>
      <c r="I1417" s="550">
        <v>0</v>
      </c>
      <c r="J1417" s="550">
        <v>128</v>
      </c>
      <c r="K1417" s="550">
        <v>0</v>
      </c>
      <c r="L1417" s="550">
        <v>0</v>
      </c>
      <c r="M1417" s="550">
        <v>0</v>
      </c>
      <c r="N1417" s="550">
        <v>142</v>
      </c>
      <c r="O1417" s="550">
        <v>0</v>
      </c>
      <c r="P1417" s="550">
        <v>308</v>
      </c>
      <c r="Q1417" s="550">
        <v>609</v>
      </c>
      <c r="R1417" s="574" t="s">
        <v>535</v>
      </c>
      <c r="S1417" s="255">
        <f>SUM(G1412:G1417) +SUM(K1412:K1417)</f>
        <v>155</v>
      </c>
      <c r="T1417" s="255">
        <f>F1417+J1417</f>
        <v>320</v>
      </c>
      <c r="U1417" s="255">
        <f>SUM(O1412:O1417)</f>
        <v>67</v>
      </c>
      <c r="V1417" s="255">
        <f>N1417</f>
        <v>142</v>
      </c>
      <c r="W1417" s="83">
        <f>SUM(Q1412:Q1417)</f>
        <v>2341</v>
      </c>
      <c r="X1417" s="255">
        <f>P1417</f>
        <v>308</v>
      </c>
      <c r="Y1417" s="255">
        <f>S1417+U1417+SUM(Q1412:Q1417)</f>
        <v>2563</v>
      </c>
      <c r="Z1417" s="255">
        <f>F1417+J1417+N1417+P1417</f>
        <v>770</v>
      </c>
      <c r="AA1417" s="553"/>
      <c r="AB1417" s="553"/>
    </row>
    <row r="1418" spans="1:28" ht="12.75">
      <c r="A1418" s="547" t="s">
        <v>536</v>
      </c>
      <c r="B1418" s="547" t="s">
        <v>173</v>
      </c>
      <c r="C1418" s="548" t="s">
        <v>812</v>
      </c>
      <c r="D1418" s="549">
        <v>2017</v>
      </c>
      <c r="E1418" s="549" t="s">
        <v>775</v>
      </c>
      <c r="F1418" s="550">
        <v>946</v>
      </c>
      <c r="G1418" s="550">
        <v>43</v>
      </c>
      <c r="H1418" s="550">
        <v>0</v>
      </c>
      <c r="I1418" s="550">
        <v>43</v>
      </c>
      <c r="J1418" s="550">
        <v>661</v>
      </c>
      <c r="K1418" s="550">
        <v>0</v>
      </c>
      <c r="L1418" s="550">
        <v>0</v>
      </c>
      <c r="M1418" s="550">
        <v>0</v>
      </c>
      <c r="N1418" s="550">
        <v>772</v>
      </c>
      <c r="O1418" s="550">
        <v>0</v>
      </c>
      <c r="P1418" s="550">
        <v>1817</v>
      </c>
      <c r="Q1418" s="550">
        <v>0</v>
      </c>
      <c r="R1418" s="574" t="s">
        <v>536</v>
      </c>
      <c r="S1418" s="552"/>
      <c r="T1418" s="552"/>
      <c r="U1418" s="552"/>
      <c r="V1418" s="552"/>
      <c r="W1418" s="552"/>
      <c r="X1418" s="552"/>
      <c r="Y1418" s="552"/>
      <c r="Z1418" s="552"/>
      <c r="AA1418" s="553"/>
      <c r="AB1418" s="553"/>
    </row>
    <row r="1419" spans="1:28" ht="12.75">
      <c r="A1419" s="547" t="s">
        <v>536</v>
      </c>
      <c r="B1419" s="547" t="s">
        <v>173</v>
      </c>
      <c r="C1419" s="548" t="s">
        <v>812</v>
      </c>
      <c r="D1419" s="549">
        <v>2018</v>
      </c>
      <c r="E1419" s="549" t="s">
        <v>775</v>
      </c>
      <c r="F1419" s="550">
        <v>946</v>
      </c>
      <c r="G1419" s="550">
        <v>10</v>
      </c>
      <c r="H1419" s="550">
        <v>10</v>
      </c>
      <c r="I1419" s="550">
        <v>0</v>
      </c>
      <c r="J1419" s="550">
        <v>661</v>
      </c>
      <c r="K1419" s="550">
        <v>1</v>
      </c>
      <c r="L1419" s="550">
        <v>0</v>
      </c>
      <c r="M1419" s="550">
        <v>1</v>
      </c>
      <c r="N1419" s="550">
        <v>772</v>
      </c>
      <c r="O1419" s="550">
        <v>34</v>
      </c>
      <c r="P1419" s="550">
        <v>1817</v>
      </c>
      <c r="Q1419" s="550">
        <v>0</v>
      </c>
      <c r="R1419" s="574" t="s">
        <v>536</v>
      </c>
      <c r="S1419" s="552"/>
      <c r="T1419" s="552"/>
      <c r="U1419" s="552"/>
      <c r="V1419" s="552"/>
      <c r="W1419" s="552"/>
      <c r="X1419" s="552"/>
      <c r="Y1419" s="552"/>
      <c r="Z1419" s="552"/>
      <c r="AA1419" s="553"/>
      <c r="AB1419" s="553"/>
    </row>
    <row r="1420" spans="1:28" ht="12.75">
      <c r="A1420" s="547" t="s">
        <v>536</v>
      </c>
      <c r="B1420" s="547" t="s">
        <v>173</v>
      </c>
      <c r="C1420" s="548" t="s">
        <v>813</v>
      </c>
      <c r="D1420" s="549">
        <v>2019</v>
      </c>
      <c r="E1420" s="549" t="s">
        <v>775</v>
      </c>
      <c r="F1420" s="550">
        <v>946</v>
      </c>
      <c r="G1420" s="550">
        <v>0</v>
      </c>
      <c r="H1420" s="550">
        <v>0</v>
      </c>
      <c r="I1420" s="550">
        <v>0</v>
      </c>
      <c r="J1420" s="550">
        <v>661</v>
      </c>
      <c r="K1420" s="550">
        <v>1</v>
      </c>
      <c r="L1420" s="550">
        <v>0</v>
      </c>
      <c r="M1420" s="550">
        <v>1</v>
      </c>
      <c r="N1420" s="550">
        <v>772</v>
      </c>
      <c r="O1420" s="550">
        <v>20</v>
      </c>
      <c r="P1420" s="550">
        <v>1817</v>
      </c>
      <c r="Q1420" s="550">
        <v>0</v>
      </c>
      <c r="R1420" s="574" t="s">
        <v>536</v>
      </c>
      <c r="S1420" s="255">
        <f>SUM(G1418:G1420) +SUM(K1418:K1420)</f>
        <v>55</v>
      </c>
      <c r="T1420" s="255">
        <f>F1420+J1420</f>
        <v>1607</v>
      </c>
      <c r="U1420" s="255">
        <f>SUM(O1418:O1420)</f>
        <v>54</v>
      </c>
      <c r="V1420" s="255">
        <f>N1420</f>
        <v>772</v>
      </c>
      <c r="W1420" s="83">
        <f>SUM(Q1418:Q1420)</f>
        <v>0</v>
      </c>
      <c r="X1420" s="255">
        <f>P1420</f>
        <v>1817</v>
      </c>
      <c r="Y1420" s="255">
        <f>S1420+U1420+SUM(Q1418:Q1420)</f>
        <v>109</v>
      </c>
      <c r="Z1420" s="255">
        <f>F1420+J1420+N1420+P1420</f>
        <v>4196</v>
      </c>
      <c r="AA1420" s="553"/>
      <c r="AB1420" s="553"/>
    </row>
    <row r="1421" spans="1:28" ht="12.75">
      <c r="A1421" s="547" t="s">
        <v>537</v>
      </c>
      <c r="B1421" s="547" t="s">
        <v>173</v>
      </c>
      <c r="C1421" s="548" t="s">
        <v>812</v>
      </c>
      <c r="D1421" s="549">
        <v>2014</v>
      </c>
      <c r="E1421" s="549" t="s">
        <v>775</v>
      </c>
      <c r="F1421" s="550">
        <v>374</v>
      </c>
      <c r="G1421" s="550">
        <v>0</v>
      </c>
      <c r="H1421" s="550">
        <v>0</v>
      </c>
      <c r="I1421" s="550">
        <v>0</v>
      </c>
      <c r="J1421" s="550">
        <v>250</v>
      </c>
      <c r="K1421" s="550">
        <v>0</v>
      </c>
      <c r="L1421" s="550">
        <v>0</v>
      </c>
      <c r="M1421" s="550">
        <v>0</v>
      </c>
      <c r="N1421" s="550">
        <v>274</v>
      </c>
      <c r="O1421" s="550">
        <v>0</v>
      </c>
      <c r="P1421" s="550">
        <v>565</v>
      </c>
      <c r="Q1421" s="550">
        <v>429</v>
      </c>
      <c r="R1421" s="574" t="s">
        <v>537</v>
      </c>
      <c r="S1421" s="552"/>
      <c r="T1421" s="552"/>
      <c r="U1421" s="552"/>
      <c r="V1421" s="552"/>
      <c r="W1421" s="552"/>
      <c r="X1421" s="552"/>
      <c r="Y1421" s="552"/>
      <c r="Z1421" s="552"/>
      <c r="AA1421" s="553"/>
      <c r="AB1421" s="553"/>
    </row>
    <row r="1422" spans="1:28" ht="12.75">
      <c r="A1422" s="547" t="s">
        <v>537</v>
      </c>
      <c r="B1422" s="547" t="s">
        <v>173</v>
      </c>
      <c r="C1422" s="548" t="s">
        <v>812</v>
      </c>
      <c r="D1422" s="549">
        <v>2015</v>
      </c>
      <c r="E1422" s="549" t="s">
        <v>775</v>
      </c>
      <c r="F1422" s="550">
        <v>374</v>
      </c>
      <c r="G1422" s="550">
        <v>0</v>
      </c>
      <c r="H1422" s="550">
        <v>0</v>
      </c>
      <c r="I1422" s="550">
        <v>0</v>
      </c>
      <c r="J1422" s="550">
        <v>250</v>
      </c>
      <c r="K1422" s="550">
        <v>0</v>
      </c>
      <c r="L1422" s="550">
        <v>0</v>
      </c>
      <c r="M1422" s="550">
        <v>0</v>
      </c>
      <c r="N1422" s="550">
        <v>274</v>
      </c>
      <c r="O1422" s="550">
        <v>0</v>
      </c>
      <c r="P1422" s="550">
        <v>565</v>
      </c>
      <c r="Q1422" s="550">
        <v>306</v>
      </c>
      <c r="R1422" s="574" t="s">
        <v>537</v>
      </c>
      <c r="S1422" s="552"/>
      <c r="T1422" s="552"/>
      <c r="U1422" s="552"/>
      <c r="V1422" s="552"/>
      <c r="W1422" s="552"/>
      <c r="X1422" s="552"/>
      <c r="Y1422" s="552"/>
      <c r="Z1422" s="552"/>
      <c r="AA1422" s="553"/>
      <c r="AB1422" s="553"/>
    </row>
    <row r="1423" spans="1:28" ht="12.75">
      <c r="A1423" s="547" t="s">
        <v>537</v>
      </c>
      <c r="B1423" s="547" t="s">
        <v>173</v>
      </c>
      <c r="C1423" s="548" t="s">
        <v>812</v>
      </c>
      <c r="D1423" s="549">
        <v>2016</v>
      </c>
      <c r="E1423" s="549" t="s">
        <v>775</v>
      </c>
      <c r="F1423" s="550">
        <v>374</v>
      </c>
      <c r="G1423" s="550">
        <v>0</v>
      </c>
      <c r="H1423" s="550">
        <v>0</v>
      </c>
      <c r="I1423" s="550">
        <v>0</v>
      </c>
      <c r="J1423" s="550">
        <v>250</v>
      </c>
      <c r="K1423" s="550">
        <v>0</v>
      </c>
      <c r="L1423" s="550">
        <v>0</v>
      </c>
      <c r="M1423" s="550">
        <v>0</v>
      </c>
      <c r="N1423" s="550">
        <v>274</v>
      </c>
      <c r="O1423" s="550">
        <v>0</v>
      </c>
      <c r="P1423" s="550">
        <v>565</v>
      </c>
      <c r="Q1423" s="550">
        <v>515</v>
      </c>
      <c r="R1423" s="574" t="s">
        <v>537</v>
      </c>
      <c r="S1423" s="552"/>
      <c r="T1423" s="552"/>
      <c r="U1423" s="552"/>
      <c r="V1423" s="552"/>
      <c r="W1423" s="552"/>
      <c r="X1423" s="552"/>
      <c r="Y1423" s="552"/>
      <c r="Z1423" s="552"/>
      <c r="AA1423" s="553"/>
      <c r="AB1423" s="553"/>
    </row>
    <row r="1424" spans="1:28" ht="12.75">
      <c r="A1424" s="547" t="s">
        <v>537</v>
      </c>
      <c r="B1424" s="547" t="s">
        <v>173</v>
      </c>
      <c r="C1424" s="548" t="s">
        <v>812</v>
      </c>
      <c r="D1424" s="549">
        <v>2017</v>
      </c>
      <c r="E1424" s="549" t="s">
        <v>775</v>
      </c>
      <c r="F1424" s="550">
        <v>374</v>
      </c>
      <c r="G1424" s="550">
        <v>0</v>
      </c>
      <c r="H1424" s="550">
        <v>0</v>
      </c>
      <c r="I1424" s="550">
        <v>0</v>
      </c>
      <c r="J1424" s="550">
        <v>250</v>
      </c>
      <c r="K1424" s="550">
        <v>0</v>
      </c>
      <c r="L1424" s="550">
        <v>0</v>
      </c>
      <c r="M1424" s="550">
        <v>0</v>
      </c>
      <c r="N1424" s="550">
        <v>274</v>
      </c>
      <c r="O1424" s="550">
        <v>0</v>
      </c>
      <c r="P1424" s="550">
        <v>565</v>
      </c>
      <c r="Q1424" s="550">
        <v>233</v>
      </c>
      <c r="R1424" s="574" t="s">
        <v>537</v>
      </c>
      <c r="S1424" s="552"/>
      <c r="T1424" s="552"/>
      <c r="U1424" s="552"/>
      <c r="V1424" s="552"/>
      <c r="W1424" s="552"/>
      <c r="X1424" s="552"/>
      <c r="Y1424" s="552"/>
      <c r="Z1424" s="552"/>
      <c r="AA1424" s="553"/>
      <c r="AB1424" s="553"/>
    </row>
    <row r="1425" spans="1:28" ht="12.75">
      <c r="A1425" s="547" t="s">
        <v>537</v>
      </c>
      <c r="B1425" s="547" t="s">
        <v>173</v>
      </c>
      <c r="C1425" s="548" t="s">
        <v>812</v>
      </c>
      <c r="D1425" s="549">
        <v>2018</v>
      </c>
      <c r="E1425" s="549" t="s">
        <v>775</v>
      </c>
      <c r="F1425" s="550">
        <v>374</v>
      </c>
      <c r="G1425" s="550">
        <v>0</v>
      </c>
      <c r="H1425" s="550">
        <v>0</v>
      </c>
      <c r="I1425" s="550">
        <v>0</v>
      </c>
      <c r="J1425" s="550">
        <v>250</v>
      </c>
      <c r="K1425" s="550">
        <v>0</v>
      </c>
      <c r="L1425" s="550">
        <v>0</v>
      </c>
      <c r="M1425" s="550">
        <v>0</v>
      </c>
      <c r="N1425" s="550">
        <v>274</v>
      </c>
      <c r="O1425" s="550">
        <v>0</v>
      </c>
      <c r="P1425" s="550">
        <v>565</v>
      </c>
      <c r="Q1425" s="550">
        <v>117</v>
      </c>
      <c r="R1425" s="574" t="s">
        <v>537</v>
      </c>
      <c r="S1425" s="255">
        <f>SUM(G1421:G1425) +SUM(K1421:K1425)</f>
        <v>0</v>
      </c>
      <c r="T1425" s="255">
        <f>F1425+J1425</f>
        <v>624</v>
      </c>
      <c r="U1425" s="255">
        <f>SUM(O1421:O1425)</f>
        <v>0</v>
      </c>
      <c r="V1425" s="255">
        <f>N1425</f>
        <v>274</v>
      </c>
      <c r="W1425" s="83">
        <f>SUM(Q1421:Q1425)</f>
        <v>1600</v>
      </c>
      <c r="X1425" s="255">
        <f>P1425</f>
        <v>565</v>
      </c>
      <c r="Y1425" s="255">
        <f>S1425+U1425+SUM(Q1421:Q1425)</f>
        <v>1600</v>
      </c>
      <c r="Z1425" s="255">
        <f>F1425+J1425+N1425+P1425</f>
        <v>1463</v>
      </c>
      <c r="AA1425" s="553"/>
      <c r="AB1425" s="553"/>
    </row>
    <row r="1426" spans="1:28" ht="12.75">
      <c r="A1426" s="547" t="s">
        <v>538</v>
      </c>
      <c r="B1426" s="555" t="s">
        <v>173</v>
      </c>
      <c r="C1426" s="548" t="s">
        <v>812</v>
      </c>
      <c r="D1426" s="549">
        <v>2014</v>
      </c>
      <c r="E1426" s="549" t="s">
        <v>775</v>
      </c>
      <c r="F1426" s="550">
        <v>134</v>
      </c>
      <c r="G1426" s="550">
        <v>0</v>
      </c>
      <c r="H1426" s="550">
        <v>0</v>
      </c>
      <c r="I1426" s="550">
        <v>0</v>
      </c>
      <c r="J1426" s="550">
        <v>96</v>
      </c>
      <c r="K1426" s="550">
        <v>3</v>
      </c>
      <c r="L1426" s="550">
        <v>0</v>
      </c>
      <c r="M1426" s="550">
        <v>3</v>
      </c>
      <c r="N1426" s="550">
        <v>112</v>
      </c>
      <c r="O1426" s="550">
        <v>114</v>
      </c>
      <c r="P1426" s="550">
        <v>262</v>
      </c>
      <c r="Q1426" s="550">
        <v>32</v>
      </c>
      <c r="R1426" s="574" t="s">
        <v>538</v>
      </c>
      <c r="S1426" s="552"/>
      <c r="T1426" s="552"/>
      <c r="U1426" s="552"/>
      <c r="V1426" s="552"/>
      <c r="W1426" s="552"/>
      <c r="X1426" s="552"/>
      <c r="Y1426" s="552"/>
      <c r="Z1426" s="552"/>
      <c r="AA1426" s="553"/>
      <c r="AB1426" s="553"/>
    </row>
    <row r="1427" spans="1:28" ht="12.75">
      <c r="A1427" s="547" t="s">
        <v>538</v>
      </c>
      <c r="B1427" s="547" t="s">
        <v>173</v>
      </c>
      <c r="C1427" s="548" t="s">
        <v>812</v>
      </c>
      <c r="D1427" s="549">
        <v>2015</v>
      </c>
      <c r="E1427" s="549" t="s">
        <v>775</v>
      </c>
      <c r="F1427" s="550">
        <v>134</v>
      </c>
      <c r="G1427" s="550">
        <v>0</v>
      </c>
      <c r="H1427" s="550">
        <v>0</v>
      </c>
      <c r="I1427" s="550">
        <v>0</v>
      </c>
      <c r="J1427" s="550">
        <v>96</v>
      </c>
      <c r="K1427" s="550">
        <v>14</v>
      </c>
      <c r="L1427" s="550">
        <v>12</v>
      </c>
      <c r="M1427" s="550">
        <v>2</v>
      </c>
      <c r="N1427" s="550">
        <v>112</v>
      </c>
      <c r="O1427" s="550">
        <v>76</v>
      </c>
      <c r="P1427" s="550">
        <v>262</v>
      </c>
      <c r="Q1427" s="550">
        <v>17</v>
      </c>
      <c r="R1427" s="574" t="s">
        <v>538</v>
      </c>
      <c r="S1427" s="552"/>
      <c r="T1427" s="552"/>
      <c r="U1427" s="552"/>
      <c r="V1427" s="552"/>
      <c r="W1427" s="552"/>
      <c r="X1427" s="552"/>
      <c r="Y1427" s="552"/>
      <c r="Z1427" s="552"/>
      <c r="AA1427" s="553"/>
      <c r="AB1427" s="553"/>
    </row>
    <row r="1428" spans="1:28" ht="12.75">
      <c r="A1428" s="547" t="s">
        <v>538</v>
      </c>
      <c r="B1428" s="547" t="s">
        <v>173</v>
      </c>
      <c r="C1428" s="548" t="s">
        <v>812</v>
      </c>
      <c r="D1428" s="549">
        <v>2016</v>
      </c>
      <c r="E1428" s="549" t="s">
        <v>775</v>
      </c>
      <c r="F1428" s="550">
        <v>134</v>
      </c>
      <c r="G1428" s="550">
        <v>0</v>
      </c>
      <c r="H1428" s="550">
        <v>0</v>
      </c>
      <c r="I1428" s="550">
        <v>0</v>
      </c>
      <c r="J1428" s="550">
        <v>96</v>
      </c>
      <c r="K1428" s="550">
        <v>29</v>
      </c>
      <c r="L1428" s="550">
        <v>29</v>
      </c>
      <c r="M1428" s="550">
        <v>0</v>
      </c>
      <c r="N1428" s="550">
        <v>112</v>
      </c>
      <c r="O1428" s="550">
        <v>25</v>
      </c>
      <c r="P1428" s="550">
        <v>262</v>
      </c>
      <c r="Q1428" s="550">
        <v>8</v>
      </c>
      <c r="R1428" s="574" t="s">
        <v>538</v>
      </c>
      <c r="S1428" s="552"/>
      <c r="T1428" s="552"/>
      <c r="U1428" s="552"/>
      <c r="V1428" s="552"/>
      <c r="W1428" s="552"/>
      <c r="X1428" s="552"/>
      <c r="Y1428" s="552"/>
      <c r="Z1428" s="552"/>
      <c r="AA1428" s="553"/>
      <c r="AB1428" s="553"/>
    </row>
    <row r="1429" spans="1:28" ht="12.75">
      <c r="A1429" s="547" t="s">
        <v>538</v>
      </c>
      <c r="B1429" s="547" t="s">
        <v>173</v>
      </c>
      <c r="C1429" s="548" t="s">
        <v>812</v>
      </c>
      <c r="D1429" s="549">
        <v>2017</v>
      </c>
      <c r="E1429" s="549" t="s">
        <v>775</v>
      </c>
      <c r="F1429" s="550">
        <v>134</v>
      </c>
      <c r="G1429" s="550">
        <v>0</v>
      </c>
      <c r="H1429" s="550">
        <v>0</v>
      </c>
      <c r="I1429" s="550">
        <v>0</v>
      </c>
      <c r="J1429" s="550">
        <v>96</v>
      </c>
      <c r="K1429" s="550">
        <v>0</v>
      </c>
      <c r="L1429" s="550">
        <v>0</v>
      </c>
      <c r="M1429" s="550">
        <v>0</v>
      </c>
      <c r="N1429" s="550">
        <v>112</v>
      </c>
      <c r="O1429" s="550">
        <v>2</v>
      </c>
      <c r="P1429" s="550">
        <v>262</v>
      </c>
      <c r="Q1429" s="550">
        <v>12</v>
      </c>
      <c r="R1429" s="574" t="s">
        <v>538</v>
      </c>
      <c r="S1429" s="552"/>
      <c r="T1429" s="552"/>
      <c r="U1429" s="552"/>
      <c r="V1429" s="552"/>
      <c r="W1429" s="552"/>
      <c r="X1429" s="552"/>
      <c r="Y1429" s="552"/>
      <c r="Z1429" s="552"/>
      <c r="AA1429" s="553"/>
      <c r="AB1429" s="553"/>
    </row>
    <row r="1430" spans="1:28" ht="12.75">
      <c r="A1430" s="547" t="s">
        <v>538</v>
      </c>
      <c r="B1430" s="547" t="s">
        <v>173</v>
      </c>
      <c r="C1430" s="548" t="s">
        <v>812</v>
      </c>
      <c r="D1430" s="549">
        <v>2018</v>
      </c>
      <c r="E1430" s="549" t="s">
        <v>775</v>
      </c>
      <c r="F1430" s="550">
        <v>134</v>
      </c>
      <c r="G1430" s="550">
        <v>0</v>
      </c>
      <c r="H1430" s="550">
        <v>0</v>
      </c>
      <c r="I1430" s="550">
        <v>0</v>
      </c>
      <c r="J1430" s="550">
        <v>96</v>
      </c>
      <c r="K1430" s="550">
        <v>3</v>
      </c>
      <c r="L1430" s="550">
        <v>0</v>
      </c>
      <c r="M1430" s="550">
        <v>3</v>
      </c>
      <c r="N1430" s="550">
        <v>112</v>
      </c>
      <c r="O1430" s="550">
        <v>59</v>
      </c>
      <c r="P1430" s="550">
        <v>262</v>
      </c>
      <c r="Q1430" s="550">
        <v>1</v>
      </c>
      <c r="R1430" s="574" t="s">
        <v>538</v>
      </c>
      <c r="S1430" s="552"/>
      <c r="T1430" s="552"/>
      <c r="U1430" s="552"/>
      <c r="V1430" s="552"/>
      <c r="W1430" s="552"/>
      <c r="X1430" s="552"/>
      <c r="Y1430" s="552"/>
      <c r="Z1430" s="552"/>
      <c r="AA1430" s="553"/>
      <c r="AB1430" s="553"/>
    </row>
    <row r="1431" spans="1:28" ht="12.75">
      <c r="A1431" s="547" t="s">
        <v>538</v>
      </c>
      <c r="B1431" s="547" t="s">
        <v>173</v>
      </c>
      <c r="C1431" s="548" t="s">
        <v>813</v>
      </c>
      <c r="D1431" s="549">
        <v>2019</v>
      </c>
      <c r="E1431" s="549" t="s">
        <v>775</v>
      </c>
      <c r="F1431" s="550">
        <v>134</v>
      </c>
      <c r="G1431" s="550">
        <v>0</v>
      </c>
      <c r="H1431" s="550">
        <v>0</v>
      </c>
      <c r="I1431" s="550">
        <v>0</v>
      </c>
      <c r="J1431" s="550">
        <v>96</v>
      </c>
      <c r="K1431" s="550">
        <v>1</v>
      </c>
      <c r="L1431" s="550">
        <v>0</v>
      </c>
      <c r="M1431" s="550">
        <v>1</v>
      </c>
      <c r="N1431" s="550">
        <v>112</v>
      </c>
      <c r="O1431" s="550">
        <v>72</v>
      </c>
      <c r="P1431" s="550">
        <v>262</v>
      </c>
      <c r="Q1431" s="550">
        <v>3</v>
      </c>
      <c r="R1431" s="574" t="s">
        <v>538</v>
      </c>
      <c r="S1431" s="552">
        <f>SUM(G1426:G1431) +SUM(K1426:K1431)</f>
        <v>50</v>
      </c>
      <c r="T1431" s="552">
        <f>F1431+J1431</f>
        <v>230</v>
      </c>
      <c r="U1431" s="552">
        <f>SUM(O1426:O1431)</f>
        <v>348</v>
      </c>
      <c r="V1431" s="552">
        <f>N1431</f>
        <v>112</v>
      </c>
      <c r="W1431" s="554">
        <f>SUM(Q1426:Q1431)</f>
        <v>73</v>
      </c>
      <c r="X1431" s="552">
        <f>P1431</f>
        <v>262</v>
      </c>
      <c r="Y1431" s="552">
        <f>S1431+U1431+SUM(Q1426:Q1431)</f>
        <v>471</v>
      </c>
      <c r="Z1431" s="552">
        <f>F1431+J1431+N1431+P1431</f>
        <v>604</v>
      </c>
      <c r="AA1431" s="553"/>
      <c r="AB1431" s="553"/>
    </row>
    <row r="1432" spans="1:28" ht="12.75">
      <c r="A1432" s="547" t="s">
        <v>539</v>
      </c>
      <c r="B1432" s="547" t="s">
        <v>173</v>
      </c>
      <c r="C1432" s="548" t="s">
        <v>812</v>
      </c>
      <c r="D1432" s="549">
        <v>2014</v>
      </c>
      <c r="E1432" s="549" t="s">
        <v>775</v>
      </c>
      <c r="F1432" s="550">
        <v>40</v>
      </c>
      <c r="G1432" s="550">
        <v>0</v>
      </c>
      <c r="H1432" s="550">
        <v>0</v>
      </c>
      <c r="I1432" s="550">
        <v>0</v>
      </c>
      <c r="J1432" s="550">
        <v>27</v>
      </c>
      <c r="K1432" s="550">
        <v>0</v>
      </c>
      <c r="L1432" s="550">
        <v>0</v>
      </c>
      <c r="M1432" s="550">
        <v>0</v>
      </c>
      <c r="N1432" s="550">
        <v>31</v>
      </c>
      <c r="O1432" s="550">
        <v>0</v>
      </c>
      <c r="P1432" s="550">
        <v>62</v>
      </c>
      <c r="Q1432" s="550">
        <v>40</v>
      </c>
      <c r="R1432" s="574" t="s">
        <v>539</v>
      </c>
      <c r="S1432" s="552"/>
      <c r="T1432" s="552"/>
      <c r="U1432" s="552"/>
      <c r="V1432" s="552"/>
      <c r="W1432" s="552"/>
      <c r="X1432" s="552"/>
      <c r="Y1432" s="552"/>
      <c r="Z1432" s="552"/>
      <c r="AA1432" s="553"/>
      <c r="AB1432" s="553"/>
    </row>
    <row r="1433" spans="1:28" ht="12.75">
      <c r="A1433" s="547" t="s">
        <v>539</v>
      </c>
      <c r="B1433" s="547" t="s">
        <v>173</v>
      </c>
      <c r="C1433" s="548" t="s">
        <v>812</v>
      </c>
      <c r="D1433" s="549">
        <v>2015</v>
      </c>
      <c r="E1433" s="549" t="s">
        <v>775</v>
      </c>
      <c r="F1433" s="550">
        <v>40</v>
      </c>
      <c r="G1433" s="550">
        <v>0</v>
      </c>
      <c r="H1433" s="550">
        <v>0</v>
      </c>
      <c r="I1433" s="550">
        <v>0</v>
      </c>
      <c r="J1433" s="550">
        <v>27</v>
      </c>
      <c r="K1433" s="550">
        <v>0</v>
      </c>
      <c r="L1433" s="550">
        <v>0</v>
      </c>
      <c r="M1433" s="550">
        <v>0</v>
      </c>
      <c r="N1433" s="550">
        <v>31</v>
      </c>
      <c r="O1433" s="550">
        <v>0</v>
      </c>
      <c r="P1433" s="550">
        <v>62</v>
      </c>
      <c r="Q1433" s="550">
        <v>43</v>
      </c>
      <c r="R1433" s="574" t="s">
        <v>539</v>
      </c>
      <c r="S1433" s="552"/>
      <c r="T1433" s="552"/>
      <c r="U1433" s="552"/>
      <c r="V1433" s="552"/>
      <c r="W1433" s="552"/>
      <c r="X1433" s="552"/>
      <c r="Y1433" s="552"/>
      <c r="Z1433" s="552"/>
      <c r="AA1433" s="553"/>
      <c r="AB1433" s="553"/>
    </row>
    <row r="1434" spans="1:28" ht="12.75">
      <c r="A1434" s="547" t="s">
        <v>539</v>
      </c>
      <c r="B1434" s="547" t="s">
        <v>173</v>
      </c>
      <c r="C1434" s="548" t="s">
        <v>812</v>
      </c>
      <c r="D1434" s="549">
        <v>2016</v>
      </c>
      <c r="E1434" s="549" t="s">
        <v>775</v>
      </c>
      <c r="F1434" s="550">
        <v>40</v>
      </c>
      <c r="G1434" s="550">
        <v>0</v>
      </c>
      <c r="H1434" s="550">
        <v>0</v>
      </c>
      <c r="I1434" s="550">
        <v>0</v>
      </c>
      <c r="J1434" s="550">
        <v>27</v>
      </c>
      <c r="K1434" s="550">
        <v>0</v>
      </c>
      <c r="L1434" s="550">
        <v>0</v>
      </c>
      <c r="M1434" s="550">
        <v>0</v>
      </c>
      <c r="N1434" s="550">
        <v>31</v>
      </c>
      <c r="O1434" s="550">
        <v>0</v>
      </c>
      <c r="P1434" s="550">
        <v>62</v>
      </c>
      <c r="Q1434" s="550">
        <v>36</v>
      </c>
      <c r="R1434" s="574" t="s">
        <v>539</v>
      </c>
      <c r="S1434" s="552"/>
      <c r="T1434" s="552"/>
      <c r="U1434" s="552"/>
      <c r="V1434" s="552"/>
      <c r="W1434" s="552"/>
      <c r="X1434" s="552"/>
      <c r="Y1434" s="552"/>
      <c r="Z1434" s="552"/>
      <c r="AA1434" s="553"/>
      <c r="AB1434" s="553"/>
    </row>
    <row r="1435" spans="1:28" ht="12.75">
      <c r="A1435" s="547" t="s">
        <v>539</v>
      </c>
      <c r="B1435" s="547" t="s">
        <v>173</v>
      </c>
      <c r="C1435" s="548" t="s">
        <v>812</v>
      </c>
      <c r="D1435" s="549">
        <v>2017</v>
      </c>
      <c r="E1435" s="549" t="s">
        <v>775</v>
      </c>
      <c r="F1435" s="550">
        <v>40</v>
      </c>
      <c r="G1435" s="550">
        <v>0</v>
      </c>
      <c r="H1435" s="550">
        <v>0</v>
      </c>
      <c r="I1435" s="550">
        <v>0</v>
      </c>
      <c r="J1435" s="550">
        <v>27</v>
      </c>
      <c r="K1435" s="550">
        <v>0</v>
      </c>
      <c r="L1435" s="550">
        <v>0</v>
      </c>
      <c r="M1435" s="550">
        <v>0</v>
      </c>
      <c r="N1435" s="550">
        <v>31</v>
      </c>
      <c r="O1435" s="550">
        <v>0</v>
      </c>
      <c r="P1435" s="550">
        <v>62</v>
      </c>
      <c r="Q1435" s="550">
        <v>24</v>
      </c>
      <c r="R1435" s="574" t="s">
        <v>539</v>
      </c>
      <c r="S1435" s="552"/>
      <c r="T1435" s="552"/>
      <c r="U1435" s="552"/>
      <c r="V1435" s="552"/>
      <c r="W1435" s="552"/>
      <c r="X1435" s="552"/>
      <c r="Y1435" s="552"/>
      <c r="Z1435" s="552"/>
      <c r="AA1435" s="553"/>
      <c r="AB1435" s="553"/>
    </row>
    <row r="1436" spans="1:28" ht="15" customHeight="1">
      <c r="A1436" s="547" t="s">
        <v>539</v>
      </c>
      <c r="B1436" s="547" t="s">
        <v>173</v>
      </c>
      <c r="C1436" s="548" t="s">
        <v>812</v>
      </c>
      <c r="D1436" s="549">
        <v>2018</v>
      </c>
      <c r="E1436" s="549" t="s">
        <v>775</v>
      </c>
      <c r="F1436" s="550">
        <v>40</v>
      </c>
      <c r="G1436" s="550">
        <v>0</v>
      </c>
      <c r="H1436" s="550">
        <v>0</v>
      </c>
      <c r="I1436" s="550">
        <v>0</v>
      </c>
      <c r="J1436" s="550">
        <v>27</v>
      </c>
      <c r="K1436" s="550">
        <v>0</v>
      </c>
      <c r="L1436" s="550">
        <v>0</v>
      </c>
      <c r="M1436" s="550">
        <v>0</v>
      </c>
      <c r="N1436" s="550">
        <v>31</v>
      </c>
      <c r="O1436" s="550">
        <v>0</v>
      </c>
      <c r="P1436" s="550">
        <v>62</v>
      </c>
      <c r="Q1436" s="550">
        <v>46</v>
      </c>
      <c r="R1436" s="574" t="s">
        <v>539</v>
      </c>
      <c r="S1436" s="552"/>
      <c r="T1436" s="552"/>
      <c r="U1436" s="552"/>
      <c r="V1436" s="552"/>
      <c r="W1436" s="552"/>
      <c r="X1436" s="552"/>
      <c r="Y1436" s="552"/>
      <c r="Z1436" s="552"/>
      <c r="AA1436" s="553"/>
      <c r="AB1436" s="553"/>
    </row>
    <row r="1437" spans="1:28" ht="12.75">
      <c r="A1437" s="547" t="s">
        <v>539</v>
      </c>
      <c r="B1437" s="547" t="s">
        <v>173</v>
      </c>
      <c r="C1437" s="548" t="s">
        <v>813</v>
      </c>
      <c r="D1437" s="549">
        <v>2019</v>
      </c>
      <c r="E1437" s="549" t="s">
        <v>775</v>
      </c>
      <c r="F1437" s="550">
        <v>40</v>
      </c>
      <c r="G1437" s="550">
        <v>0</v>
      </c>
      <c r="H1437" s="550">
        <v>0</v>
      </c>
      <c r="I1437" s="550">
        <v>0</v>
      </c>
      <c r="J1437" s="550">
        <v>27</v>
      </c>
      <c r="K1437" s="550">
        <v>0</v>
      </c>
      <c r="L1437" s="550">
        <v>0</v>
      </c>
      <c r="M1437" s="550">
        <v>0</v>
      </c>
      <c r="N1437" s="550">
        <v>31</v>
      </c>
      <c r="O1437" s="550">
        <v>0</v>
      </c>
      <c r="P1437" s="550">
        <v>62</v>
      </c>
      <c r="Q1437" s="550">
        <v>71</v>
      </c>
      <c r="R1437" s="574" t="s">
        <v>539</v>
      </c>
      <c r="S1437" s="552">
        <f>SUM(G1432:G1437) +SUM(K1432:K1437)</f>
        <v>0</v>
      </c>
      <c r="T1437" s="552">
        <f>F1437+J1437</f>
        <v>67</v>
      </c>
      <c r="U1437" s="552">
        <f>SUM(O1432:O1437)</f>
        <v>0</v>
      </c>
      <c r="V1437" s="552">
        <f>N1437</f>
        <v>31</v>
      </c>
      <c r="W1437" s="554">
        <f>SUM(Q1432:Q1437)</f>
        <v>260</v>
      </c>
      <c r="X1437" s="552">
        <f>P1437</f>
        <v>62</v>
      </c>
      <c r="Y1437" s="552">
        <f>S1437+U1437+SUM(Q1432:Q1437)</f>
        <v>260</v>
      </c>
      <c r="Z1437" s="552">
        <f>F1437+J1437+N1437+P1437</f>
        <v>160</v>
      </c>
      <c r="AA1437" s="553"/>
      <c r="AB1437" s="553"/>
    </row>
    <row r="1438" spans="1:28" ht="12.75">
      <c r="A1438" s="547" t="s">
        <v>540</v>
      </c>
      <c r="B1438" s="547" t="s">
        <v>173</v>
      </c>
      <c r="C1438" s="548" t="s">
        <v>812</v>
      </c>
      <c r="D1438" s="549">
        <v>2014</v>
      </c>
      <c r="E1438" s="549" t="s">
        <v>775</v>
      </c>
      <c r="F1438" s="550">
        <v>714</v>
      </c>
      <c r="G1438" s="550">
        <v>84</v>
      </c>
      <c r="H1438" s="550">
        <v>84</v>
      </c>
      <c r="I1438" s="550">
        <v>0</v>
      </c>
      <c r="J1438" s="550">
        <v>487</v>
      </c>
      <c r="K1438" s="550">
        <v>0</v>
      </c>
      <c r="L1438" s="550">
        <v>0</v>
      </c>
      <c r="M1438" s="550">
        <v>0</v>
      </c>
      <c r="N1438" s="550">
        <v>553</v>
      </c>
      <c r="O1438" s="550">
        <v>1</v>
      </c>
      <c r="P1438" s="550">
        <v>1271</v>
      </c>
      <c r="Q1438" s="550">
        <v>367</v>
      </c>
      <c r="R1438" s="574" t="s">
        <v>540</v>
      </c>
      <c r="S1438" s="552"/>
      <c r="T1438" s="552"/>
      <c r="U1438" s="552"/>
      <c r="V1438" s="552"/>
      <c r="W1438" s="552"/>
      <c r="X1438" s="552"/>
      <c r="Y1438" s="552"/>
      <c r="Z1438" s="552"/>
      <c r="AA1438" s="553"/>
      <c r="AB1438" s="553"/>
    </row>
    <row r="1439" spans="1:28" ht="12.75">
      <c r="A1439" s="547" t="s">
        <v>540</v>
      </c>
      <c r="B1439" s="547" t="s">
        <v>173</v>
      </c>
      <c r="C1439" s="548" t="s">
        <v>812</v>
      </c>
      <c r="D1439" s="549">
        <v>2015</v>
      </c>
      <c r="E1439" s="549" t="s">
        <v>775</v>
      </c>
      <c r="F1439" s="550">
        <v>714</v>
      </c>
      <c r="G1439" s="550">
        <v>0</v>
      </c>
      <c r="H1439" s="550">
        <v>0</v>
      </c>
      <c r="I1439" s="550">
        <v>0</v>
      </c>
      <c r="J1439" s="550">
        <v>487</v>
      </c>
      <c r="K1439" s="550">
        <v>0</v>
      </c>
      <c r="L1439" s="550">
        <v>0</v>
      </c>
      <c r="M1439" s="550">
        <v>0</v>
      </c>
      <c r="N1439" s="550">
        <v>553</v>
      </c>
      <c r="O1439" s="550">
        <v>0</v>
      </c>
      <c r="P1439" s="550">
        <v>1271</v>
      </c>
      <c r="Q1439" s="550">
        <v>319</v>
      </c>
      <c r="R1439" s="574" t="s">
        <v>540</v>
      </c>
      <c r="S1439" s="552"/>
      <c r="T1439" s="552"/>
      <c r="U1439" s="552"/>
      <c r="V1439" s="552"/>
      <c r="W1439" s="552"/>
      <c r="X1439" s="552"/>
      <c r="Y1439" s="552"/>
      <c r="Z1439" s="552"/>
      <c r="AA1439" s="553"/>
      <c r="AB1439" s="553"/>
    </row>
    <row r="1440" spans="1:28" ht="12.75">
      <c r="A1440" s="547" t="s">
        <v>540</v>
      </c>
      <c r="B1440" s="547" t="s">
        <v>173</v>
      </c>
      <c r="C1440" s="548" t="s">
        <v>812</v>
      </c>
      <c r="D1440" s="549">
        <v>2016</v>
      </c>
      <c r="E1440" s="549" t="s">
        <v>775</v>
      </c>
      <c r="F1440" s="550">
        <v>714</v>
      </c>
      <c r="G1440" s="550">
        <v>0</v>
      </c>
      <c r="H1440" s="550">
        <v>0</v>
      </c>
      <c r="I1440" s="550">
        <v>0</v>
      </c>
      <c r="J1440" s="550">
        <v>487</v>
      </c>
      <c r="K1440" s="550">
        <v>0</v>
      </c>
      <c r="L1440" s="550">
        <v>0</v>
      </c>
      <c r="M1440" s="550">
        <v>0</v>
      </c>
      <c r="N1440" s="550">
        <v>553</v>
      </c>
      <c r="O1440" s="550">
        <v>0</v>
      </c>
      <c r="P1440" s="550">
        <v>1271</v>
      </c>
      <c r="Q1440" s="550">
        <v>228</v>
      </c>
      <c r="R1440" s="574" t="s">
        <v>540</v>
      </c>
      <c r="S1440" s="552"/>
      <c r="T1440" s="552"/>
      <c r="U1440" s="552"/>
      <c r="V1440" s="552"/>
      <c r="W1440" s="552"/>
      <c r="X1440" s="552"/>
      <c r="Y1440" s="552"/>
      <c r="Z1440" s="552"/>
      <c r="AA1440" s="553"/>
      <c r="AB1440" s="553"/>
    </row>
    <row r="1441" spans="1:28" ht="12.75">
      <c r="A1441" s="547" t="s">
        <v>540</v>
      </c>
      <c r="B1441" s="547" t="s">
        <v>173</v>
      </c>
      <c r="C1441" s="548" t="s">
        <v>812</v>
      </c>
      <c r="D1441" s="549">
        <v>2017</v>
      </c>
      <c r="E1441" s="549" t="s">
        <v>775</v>
      </c>
      <c r="F1441" s="550">
        <v>714</v>
      </c>
      <c r="G1441" s="550">
        <v>0</v>
      </c>
      <c r="H1441" s="550">
        <v>0</v>
      </c>
      <c r="I1441" s="550">
        <v>0</v>
      </c>
      <c r="J1441" s="550">
        <v>487</v>
      </c>
      <c r="K1441" s="550">
        <v>0</v>
      </c>
      <c r="L1441" s="550">
        <v>0</v>
      </c>
      <c r="M1441" s="550">
        <v>0</v>
      </c>
      <c r="N1441" s="550">
        <v>553</v>
      </c>
      <c r="O1441" s="550">
        <v>0</v>
      </c>
      <c r="P1441" s="550">
        <v>1271</v>
      </c>
      <c r="Q1441" s="550">
        <v>247</v>
      </c>
      <c r="R1441" s="574" t="s">
        <v>540</v>
      </c>
      <c r="S1441" s="552"/>
      <c r="T1441" s="552"/>
      <c r="U1441" s="552"/>
      <c r="V1441" s="552"/>
      <c r="W1441" s="552"/>
      <c r="X1441" s="552"/>
      <c r="Y1441" s="552"/>
      <c r="Z1441" s="552"/>
      <c r="AA1441" s="553"/>
      <c r="AB1441" s="553"/>
    </row>
    <row r="1442" spans="1:28" ht="12.75">
      <c r="A1442" s="547" t="s">
        <v>540</v>
      </c>
      <c r="B1442" s="547" t="s">
        <v>173</v>
      </c>
      <c r="C1442" s="548" t="s">
        <v>812</v>
      </c>
      <c r="D1442" s="549">
        <v>2018</v>
      </c>
      <c r="E1442" s="549" t="s">
        <v>775</v>
      </c>
      <c r="F1442" s="550">
        <v>714</v>
      </c>
      <c r="G1442" s="550">
        <v>0</v>
      </c>
      <c r="H1442" s="550">
        <v>0</v>
      </c>
      <c r="I1442" s="550">
        <v>0</v>
      </c>
      <c r="J1442" s="550">
        <v>487</v>
      </c>
      <c r="K1442" s="550">
        <v>0</v>
      </c>
      <c r="L1442" s="550">
        <v>0</v>
      </c>
      <c r="M1442" s="550">
        <v>0</v>
      </c>
      <c r="N1442" s="550">
        <v>553</v>
      </c>
      <c r="O1442" s="550">
        <v>0</v>
      </c>
      <c r="P1442" s="550">
        <v>1271</v>
      </c>
      <c r="Q1442" s="550">
        <v>31</v>
      </c>
      <c r="R1442" s="574" t="s">
        <v>540</v>
      </c>
      <c r="S1442" s="552"/>
      <c r="T1442" s="552"/>
      <c r="U1442" s="552"/>
      <c r="V1442" s="552"/>
      <c r="W1442" s="552"/>
      <c r="X1442" s="552"/>
      <c r="Y1442" s="552"/>
      <c r="Z1442" s="552"/>
      <c r="AA1442" s="553"/>
      <c r="AB1442" s="553"/>
    </row>
    <row r="1443" spans="1:28" ht="12.75">
      <c r="A1443" s="547" t="s">
        <v>540</v>
      </c>
      <c r="B1443" s="547" t="s">
        <v>173</v>
      </c>
      <c r="C1443" s="548" t="s">
        <v>813</v>
      </c>
      <c r="D1443" s="549">
        <v>2019</v>
      </c>
      <c r="E1443" s="549" t="s">
        <v>775</v>
      </c>
      <c r="F1443" s="550">
        <v>714</v>
      </c>
      <c r="G1443" s="550">
        <v>0</v>
      </c>
      <c r="H1443" s="550">
        <v>0</v>
      </c>
      <c r="I1443" s="550">
        <v>0</v>
      </c>
      <c r="J1443" s="550">
        <v>487</v>
      </c>
      <c r="K1443" s="550">
        <v>0</v>
      </c>
      <c r="L1443" s="550">
        <v>0</v>
      </c>
      <c r="M1443" s="550">
        <v>0</v>
      </c>
      <c r="N1443" s="550">
        <v>553</v>
      </c>
      <c r="O1443" s="550">
        <v>0</v>
      </c>
      <c r="P1443" s="550">
        <v>1271</v>
      </c>
      <c r="Q1443" s="550">
        <v>265</v>
      </c>
      <c r="R1443" s="574" t="s">
        <v>540</v>
      </c>
      <c r="S1443" s="552">
        <f>SUM(G1438:G1443) +SUM(K1438:K1443)</f>
        <v>84</v>
      </c>
      <c r="T1443" s="552">
        <f>F1443+J1443</f>
        <v>1201</v>
      </c>
      <c r="U1443" s="552">
        <f>SUM(O1438:O1443)</f>
        <v>1</v>
      </c>
      <c r="V1443" s="552">
        <f>N1443</f>
        <v>553</v>
      </c>
      <c r="W1443" s="554">
        <f>SUM(Q1438:Q1443)</f>
        <v>1457</v>
      </c>
      <c r="X1443" s="552">
        <f>P1443</f>
        <v>1271</v>
      </c>
      <c r="Y1443" s="552">
        <f>S1443+U1443+SUM(Q1438:Q1443)</f>
        <v>1542</v>
      </c>
      <c r="Z1443" s="552">
        <f>F1443+J1443+N1443+P1443</f>
        <v>3025</v>
      </c>
      <c r="AA1443" s="553"/>
      <c r="AB1443" s="553"/>
    </row>
    <row r="1444" spans="1:28" ht="12.75">
      <c r="A1444" s="547" t="s">
        <v>541</v>
      </c>
      <c r="B1444" s="547" t="s">
        <v>173</v>
      </c>
      <c r="C1444" s="548" t="s">
        <v>812</v>
      </c>
      <c r="D1444" s="549">
        <v>2018</v>
      </c>
      <c r="E1444" s="549" t="s">
        <v>775</v>
      </c>
      <c r="F1444" s="550">
        <v>409</v>
      </c>
      <c r="G1444" s="550">
        <v>0</v>
      </c>
      <c r="H1444" s="550">
        <v>0</v>
      </c>
      <c r="I1444" s="550">
        <v>0</v>
      </c>
      <c r="J1444" s="550">
        <v>275</v>
      </c>
      <c r="K1444" s="550">
        <v>0</v>
      </c>
      <c r="L1444" s="550">
        <v>0</v>
      </c>
      <c r="M1444" s="550">
        <v>0</v>
      </c>
      <c r="N1444" s="550">
        <v>307</v>
      </c>
      <c r="O1444" s="550">
        <v>0</v>
      </c>
      <c r="P1444" s="550">
        <v>721</v>
      </c>
      <c r="Q1444" s="550">
        <v>340</v>
      </c>
      <c r="R1444" s="574" t="s">
        <v>541</v>
      </c>
      <c r="S1444" s="552"/>
      <c r="T1444" s="552"/>
      <c r="U1444" s="552"/>
      <c r="V1444" s="552"/>
      <c r="W1444" s="552"/>
      <c r="X1444" s="552"/>
      <c r="Y1444" s="552"/>
      <c r="Z1444" s="552"/>
      <c r="AA1444" s="553"/>
      <c r="AB1444" s="553"/>
    </row>
    <row r="1445" spans="1:28" ht="12.75">
      <c r="A1445" s="547" t="s">
        <v>541</v>
      </c>
      <c r="B1445" s="547" t="s">
        <v>173</v>
      </c>
      <c r="C1445" s="548" t="s">
        <v>813</v>
      </c>
      <c r="D1445" s="549">
        <v>2019</v>
      </c>
      <c r="E1445" s="549" t="s">
        <v>775</v>
      </c>
      <c r="F1445" s="550">
        <v>409</v>
      </c>
      <c r="G1445" s="550">
        <v>0</v>
      </c>
      <c r="H1445" s="550">
        <v>0</v>
      </c>
      <c r="I1445" s="550">
        <v>0</v>
      </c>
      <c r="J1445" s="550">
        <v>275</v>
      </c>
      <c r="K1445" s="550">
        <v>0</v>
      </c>
      <c r="L1445" s="550">
        <v>0</v>
      </c>
      <c r="M1445" s="550">
        <v>0</v>
      </c>
      <c r="N1445" s="550">
        <v>307</v>
      </c>
      <c r="O1445" s="550">
        <v>0</v>
      </c>
      <c r="P1445" s="550">
        <v>721</v>
      </c>
      <c r="Q1445" s="550">
        <v>0</v>
      </c>
      <c r="R1445" s="574" t="s">
        <v>541</v>
      </c>
      <c r="S1445" s="255">
        <f>SUM(G1444:G1445) +SUM(K1444:K1445)</f>
        <v>0</v>
      </c>
      <c r="T1445" s="255">
        <f>F1445+J1445</f>
        <v>684</v>
      </c>
      <c r="U1445" s="255">
        <f>SUM(O1444:O1445)</f>
        <v>0</v>
      </c>
      <c r="V1445" s="255">
        <f>N1445</f>
        <v>307</v>
      </c>
      <c r="W1445" s="83">
        <f>SUM(Q1444:Q1445)</f>
        <v>340</v>
      </c>
      <c r="X1445" s="255">
        <f>P1445</f>
        <v>721</v>
      </c>
      <c r="Y1445" s="255">
        <f>S1445+U1445+SUM(Q1444:Q1445)</f>
        <v>340</v>
      </c>
      <c r="Z1445" s="255">
        <f>F1445+J1445+N1445+P1445</f>
        <v>1712</v>
      </c>
      <c r="AA1445" s="553"/>
      <c r="AB1445" s="553"/>
    </row>
    <row r="1446" spans="1:28" ht="12.75">
      <c r="A1446" s="547" t="s">
        <v>542</v>
      </c>
      <c r="B1446" s="547" t="s">
        <v>173</v>
      </c>
      <c r="C1446" s="548" t="s">
        <v>812</v>
      </c>
      <c r="D1446" s="549">
        <v>2017</v>
      </c>
      <c r="E1446" s="549" t="s">
        <v>775</v>
      </c>
      <c r="F1446" s="550">
        <v>91</v>
      </c>
      <c r="G1446" s="550">
        <v>0</v>
      </c>
      <c r="H1446" s="550">
        <v>0</v>
      </c>
      <c r="I1446" s="550">
        <v>0</v>
      </c>
      <c r="J1446" s="550">
        <v>61</v>
      </c>
      <c r="K1446" s="550">
        <v>0</v>
      </c>
      <c r="L1446" s="550">
        <v>0</v>
      </c>
      <c r="M1446" s="550">
        <v>0</v>
      </c>
      <c r="N1446" s="550">
        <v>66</v>
      </c>
      <c r="O1446" s="550">
        <v>0</v>
      </c>
      <c r="P1446" s="550">
        <v>146</v>
      </c>
      <c r="Q1446" s="550">
        <v>102</v>
      </c>
      <c r="R1446" s="574" t="s">
        <v>542</v>
      </c>
      <c r="S1446" s="552"/>
      <c r="T1446" s="552"/>
      <c r="U1446" s="552"/>
      <c r="V1446" s="552"/>
      <c r="W1446" s="552"/>
      <c r="X1446" s="552"/>
      <c r="Y1446" s="552"/>
      <c r="Z1446" s="552"/>
      <c r="AA1446" s="553"/>
      <c r="AB1446" s="553"/>
    </row>
    <row r="1447" spans="1:28" ht="12.75">
      <c r="A1447" s="547" t="s">
        <v>542</v>
      </c>
      <c r="B1447" s="547" t="s">
        <v>173</v>
      </c>
      <c r="C1447" s="548" t="s">
        <v>812</v>
      </c>
      <c r="D1447" s="549">
        <v>2018</v>
      </c>
      <c r="E1447" s="549" t="s">
        <v>775</v>
      </c>
      <c r="F1447" s="550">
        <v>91</v>
      </c>
      <c r="G1447" s="550">
        <v>68</v>
      </c>
      <c r="H1447" s="550">
        <v>68</v>
      </c>
      <c r="I1447" s="550">
        <v>0</v>
      </c>
      <c r="J1447" s="550">
        <v>61</v>
      </c>
      <c r="K1447" s="550">
        <v>0</v>
      </c>
      <c r="L1447" s="550">
        <v>0</v>
      </c>
      <c r="M1447" s="550">
        <v>0</v>
      </c>
      <c r="N1447" s="550">
        <v>66</v>
      </c>
      <c r="O1447" s="550">
        <v>4</v>
      </c>
      <c r="P1447" s="550">
        <v>146</v>
      </c>
      <c r="Q1447" s="550">
        <v>123</v>
      </c>
      <c r="R1447" s="574" t="s">
        <v>542</v>
      </c>
      <c r="S1447" s="552"/>
      <c r="T1447" s="552"/>
      <c r="U1447" s="552"/>
      <c r="V1447" s="552"/>
      <c r="W1447" s="552"/>
      <c r="X1447" s="552"/>
      <c r="Y1447" s="552"/>
      <c r="Z1447" s="552"/>
      <c r="AA1447" s="553"/>
      <c r="AB1447" s="553"/>
    </row>
    <row r="1448" spans="1:28" ht="12.75">
      <c r="A1448" s="547" t="s">
        <v>542</v>
      </c>
      <c r="B1448" s="547" t="s">
        <v>173</v>
      </c>
      <c r="C1448" s="548" t="s">
        <v>813</v>
      </c>
      <c r="D1448" s="549">
        <v>2019</v>
      </c>
      <c r="E1448" s="549" t="s">
        <v>775</v>
      </c>
      <c r="F1448" s="550">
        <v>91</v>
      </c>
      <c r="G1448" s="550">
        <v>0</v>
      </c>
      <c r="H1448" s="550">
        <v>0</v>
      </c>
      <c r="I1448" s="550">
        <v>0</v>
      </c>
      <c r="J1448" s="550">
        <v>61</v>
      </c>
      <c r="K1448" s="550">
        <v>0</v>
      </c>
      <c r="L1448" s="550">
        <v>0</v>
      </c>
      <c r="M1448" s="550">
        <v>0</v>
      </c>
      <c r="N1448" s="550">
        <v>66</v>
      </c>
      <c r="O1448" s="550">
        <v>6</v>
      </c>
      <c r="P1448" s="550">
        <v>146</v>
      </c>
      <c r="Q1448" s="550">
        <v>131</v>
      </c>
      <c r="R1448" s="574" t="s">
        <v>542</v>
      </c>
      <c r="S1448" s="255">
        <f>SUM(G1446:G1448) +SUM(K1446:K1448)</f>
        <v>68</v>
      </c>
      <c r="T1448" s="255">
        <f>F1448+J1448</f>
        <v>152</v>
      </c>
      <c r="U1448" s="255">
        <f>SUM(O1446:O1448)</f>
        <v>10</v>
      </c>
      <c r="V1448" s="255">
        <f>N1448</f>
        <v>66</v>
      </c>
      <c r="W1448" s="83">
        <f>SUM(Q1446:Q1448)</f>
        <v>356</v>
      </c>
      <c r="X1448" s="255">
        <f>P1448</f>
        <v>146</v>
      </c>
      <c r="Y1448" s="255">
        <f>S1448+U1448+SUM(Q1446:Q1448)</f>
        <v>434</v>
      </c>
      <c r="Z1448" s="255">
        <f>F1448+J1448+N1448+P1448</f>
        <v>364</v>
      </c>
      <c r="AA1448" s="553"/>
      <c r="AB1448" s="553"/>
    </row>
    <row r="1449" spans="1:28" ht="12.75">
      <c r="A1449" s="547" t="s">
        <v>543</v>
      </c>
      <c r="B1449" s="547" t="s">
        <v>173</v>
      </c>
      <c r="C1449" s="548" t="s">
        <v>812</v>
      </c>
      <c r="D1449" s="549">
        <v>2014</v>
      </c>
      <c r="E1449" s="549" t="s">
        <v>775</v>
      </c>
      <c r="F1449" s="550">
        <v>1196</v>
      </c>
      <c r="G1449" s="550">
        <v>0</v>
      </c>
      <c r="H1449" s="550">
        <v>0</v>
      </c>
      <c r="I1449" s="550">
        <v>0</v>
      </c>
      <c r="J1449" s="550">
        <v>801</v>
      </c>
      <c r="K1449" s="550">
        <v>0</v>
      </c>
      <c r="L1449" s="550">
        <v>0</v>
      </c>
      <c r="M1449" s="550">
        <v>0</v>
      </c>
      <c r="N1449" s="550">
        <v>897</v>
      </c>
      <c r="O1449" s="550">
        <v>0</v>
      </c>
      <c r="P1449" s="550">
        <v>2035</v>
      </c>
      <c r="Q1449" s="550">
        <v>0</v>
      </c>
      <c r="R1449" s="574" t="s">
        <v>543</v>
      </c>
      <c r="S1449" s="552"/>
      <c r="T1449" s="552"/>
      <c r="U1449" s="552"/>
      <c r="V1449" s="552"/>
      <c r="W1449" s="552"/>
      <c r="X1449" s="552"/>
      <c r="Y1449" s="552"/>
      <c r="Z1449" s="552"/>
      <c r="AA1449" s="553"/>
      <c r="AB1449" s="553"/>
    </row>
    <row r="1450" spans="1:28" ht="12.75">
      <c r="A1450" s="547" t="s">
        <v>543</v>
      </c>
      <c r="B1450" s="547" t="s">
        <v>173</v>
      </c>
      <c r="C1450" s="548" t="s">
        <v>812</v>
      </c>
      <c r="D1450" s="549">
        <v>2015</v>
      </c>
      <c r="E1450" s="549" t="s">
        <v>775</v>
      </c>
      <c r="F1450" s="550">
        <v>1196</v>
      </c>
      <c r="G1450" s="550">
        <v>0</v>
      </c>
      <c r="H1450" s="550">
        <v>0</v>
      </c>
      <c r="I1450" s="550">
        <v>0</v>
      </c>
      <c r="J1450" s="550">
        <v>801</v>
      </c>
      <c r="K1450" s="550">
        <v>0</v>
      </c>
      <c r="L1450" s="550">
        <v>0</v>
      </c>
      <c r="M1450" s="550">
        <v>0</v>
      </c>
      <c r="N1450" s="550">
        <v>897</v>
      </c>
      <c r="O1450" s="550">
        <v>341</v>
      </c>
      <c r="P1450" s="550">
        <v>2035</v>
      </c>
      <c r="Q1450" s="550">
        <v>2</v>
      </c>
      <c r="R1450" s="574" t="s">
        <v>543</v>
      </c>
      <c r="S1450" s="552"/>
      <c r="T1450" s="552"/>
      <c r="U1450" s="552"/>
      <c r="V1450" s="552"/>
      <c r="W1450" s="552"/>
      <c r="X1450" s="552"/>
      <c r="Y1450" s="552"/>
      <c r="Z1450" s="552"/>
      <c r="AA1450" s="553"/>
      <c r="AB1450" s="553"/>
    </row>
    <row r="1451" spans="1:28" ht="12.75">
      <c r="A1451" s="547" t="s">
        <v>543</v>
      </c>
      <c r="B1451" s="547" t="s">
        <v>173</v>
      </c>
      <c r="C1451" s="548" t="s">
        <v>812</v>
      </c>
      <c r="D1451" s="549">
        <v>2016</v>
      </c>
      <c r="E1451" s="549" t="s">
        <v>775</v>
      </c>
      <c r="F1451" s="550">
        <v>1196</v>
      </c>
      <c r="G1451" s="550">
        <v>0</v>
      </c>
      <c r="H1451" s="550">
        <v>0</v>
      </c>
      <c r="I1451" s="550">
        <v>0</v>
      </c>
      <c r="J1451" s="550">
        <v>801</v>
      </c>
      <c r="K1451" s="550">
        <v>0</v>
      </c>
      <c r="L1451" s="550">
        <v>0</v>
      </c>
      <c r="M1451" s="550">
        <v>0</v>
      </c>
      <c r="N1451" s="550">
        <v>897</v>
      </c>
      <c r="O1451" s="550">
        <v>203</v>
      </c>
      <c r="P1451" s="550">
        <v>2035</v>
      </c>
      <c r="Q1451" s="550">
        <v>258</v>
      </c>
      <c r="R1451" s="574" t="s">
        <v>543</v>
      </c>
      <c r="S1451" s="552"/>
      <c r="T1451" s="552"/>
      <c r="U1451" s="552"/>
      <c r="V1451" s="552"/>
      <c r="W1451" s="552"/>
      <c r="X1451" s="552"/>
      <c r="Y1451" s="552"/>
      <c r="Z1451" s="552"/>
      <c r="AA1451" s="553"/>
      <c r="AB1451" s="553"/>
    </row>
    <row r="1452" spans="1:28" ht="12.75">
      <c r="A1452" s="547" t="s">
        <v>543</v>
      </c>
      <c r="B1452" s="547" t="s">
        <v>173</v>
      </c>
      <c r="C1452" s="548" t="s">
        <v>812</v>
      </c>
      <c r="D1452" s="549">
        <v>2017</v>
      </c>
      <c r="E1452" s="549" t="s">
        <v>775</v>
      </c>
      <c r="F1452" s="550">
        <v>1196</v>
      </c>
      <c r="G1452" s="550">
        <v>2</v>
      </c>
      <c r="H1452" s="550">
        <v>0</v>
      </c>
      <c r="I1452" s="550">
        <v>2</v>
      </c>
      <c r="J1452" s="550">
        <v>801</v>
      </c>
      <c r="K1452" s="550">
        <v>0</v>
      </c>
      <c r="L1452" s="550">
        <v>0</v>
      </c>
      <c r="M1452" s="550">
        <v>0</v>
      </c>
      <c r="N1452" s="550">
        <v>897</v>
      </c>
      <c r="O1452" s="550">
        <v>129</v>
      </c>
      <c r="P1452" s="550">
        <v>2035</v>
      </c>
      <c r="Q1452" s="550">
        <v>435</v>
      </c>
      <c r="R1452" s="574" t="s">
        <v>543</v>
      </c>
      <c r="S1452" s="552"/>
      <c r="T1452" s="552"/>
      <c r="U1452" s="552"/>
      <c r="V1452" s="552"/>
      <c r="W1452" s="552"/>
      <c r="X1452" s="552"/>
      <c r="Y1452" s="552"/>
      <c r="Z1452" s="552"/>
      <c r="AA1452" s="553"/>
      <c r="AB1452" s="553"/>
    </row>
    <row r="1453" spans="1:28" ht="12.75">
      <c r="A1453" s="547" t="s">
        <v>543</v>
      </c>
      <c r="B1453" s="547" t="s">
        <v>173</v>
      </c>
      <c r="C1453" s="548" t="s">
        <v>812</v>
      </c>
      <c r="D1453" s="549">
        <v>2018</v>
      </c>
      <c r="E1453" s="549" t="s">
        <v>775</v>
      </c>
      <c r="F1453" s="550">
        <v>1196</v>
      </c>
      <c r="G1453" s="550">
        <v>0</v>
      </c>
      <c r="H1453" s="550">
        <v>0</v>
      </c>
      <c r="I1453" s="550">
        <v>0</v>
      </c>
      <c r="J1453" s="550">
        <v>801</v>
      </c>
      <c r="K1453" s="550">
        <v>2</v>
      </c>
      <c r="L1453" s="550">
        <v>0</v>
      </c>
      <c r="M1453" s="550">
        <v>2</v>
      </c>
      <c r="N1453" s="550">
        <v>897</v>
      </c>
      <c r="O1453" s="550">
        <v>56</v>
      </c>
      <c r="P1453" s="550">
        <v>2035</v>
      </c>
      <c r="Q1453" s="550">
        <v>286</v>
      </c>
      <c r="R1453" s="574" t="s">
        <v>543</v>
      </c>
      <c r="S1453" s="552"/>
      <c r="T1453" s="552"/>
      <c r="U1453" s="552"/>
      <c r="V1453" s="552"/>
      <c r="W1453" s="552"/>
      <c r="X1453" s="552"/>
      <c r="Y1453" s="552"/>
      <c r="Z1453" s="552"/>
      <c r="AA1453" s="553"/>
      <c r="AB1453" s="553"/>
    </row>
    <row r="1454" spans="1:28" ht="12.75">
      <c r="A1454" s="547" t="s">
        <v>543</v>
      </c>
      <c r="B1454" s="547" t="s">
        <v>173</v>
      </c>
      <c r="C1454" s="548" t="s">
        <v>813</v>
      </c>
      <c r="D1454" s="549">
        <v>2019</v>
      </c>
      <c r="E1454" s="549" t="s">
        <v>775</v>
      </c>
      <c r="F1454" s="550">
        <v>1196</v>
      </c>
      <c r="G1454" s="550">
        <v>28</v>
      </c>
      <c r="H1454" s="550">
        <v>28</v>
      </c>
      <c r="I1454" s="550">
        <v>0</v>
      </c>
      <c r="J1454" s="550">
        <v>801</v>
      </c>
      <c r="K1454" s="550">
        <v>106</v>
      </c>
      <c r="L1454" s="550">
        <v>103</v>
      </c>
      <c r="M1454" s="550">
        <v>3</v>
      </c>
      <c r="N1454" s="550">
        <v>897</v>
      </c>
      <c r="O1454" s="550">
        <v>134</v>
      </c>
      <c r="P1454" s="550">
        <v>2035</v>
      </c>
      <c r="Q1454" s="550">
        <v>137</v>
      </c>
      <c r="R1454" s="574" t="s">
        <v>543</v>
      </c>
      <c r="S1454" s="552">
        <f>SUM(G1449:G1454) +SUM(K1449:K1454)</f>
        <v>138</v>
      </c>
      <c r="T1454" s="552">
        <f>F1454+J1454</f>
        <v>1997</v>
      </c>
      <c r="U1454" s="552">
        <f>SUM(O1449:O1454)</f>
        <v>863</v>
      </c>
      <c r="V1454" s="552">
        <f>N1454</f>
        <v>897</v>
      </c>
      <c r="W1454" s="554">
        <f>SUM(Q1449:Q1454)</f>
        <v>1118</v>
      </c>
      <c r="X1454" s="552">
        <f>P1454</f>
        <v>2035</v>
      </c>
      <c r="Y1454" s="552">
        <f>S1454+U1454+SUM(Q1449:Q1454)</f>
        <v>2119</v>
      </c>
      <c r="Z1454" s="552">
        <f>F1454+J1454+N1454+P1454</f>
        <v>4929</v>
      </c>
      <c r="AA1454" s="553"/>
      <c r="AB1454" s="553"/>
    </row>
    <row r="1455" spans="1:28" ht="12.75">
      <c r="A1455" s="547" t="s">
        <v>544</v>
      </c>
      <c r="B1455" s="547" t="s">
        <v>173</v>
      </c>
      <c r="C1455" s="548" t="s">
        <v>812</v>
      </c>
      <c r="D1455" s="549">
        <v>2014</v>
      </c>
      <c r="E1455" s="549" t="s">
        <v>775</v>
      </c>
      <c r="F1455" s="550">
        <v>1488</v>
      </c>
      <c r="G1455" s="550">
        <v>1</v>
      </c>
      <c r="H1455" s="550">
        <v>0</v>
      </c>
      <c r="I1455" s="550">
        <v>1</v>
      </c>
      <c r="J1455" s="550">
        <v>1007</v>
      </c>
      <c r="K1455" s="550">
        <v>1</v>
      </c>
      <c r="L1455" s="550">
        <v>0</v>
      </c>
      <c r="M1455" s="550">
        <v>1</v>
      </c>
      <c r="N1455" s="550">
        <v>1140</v>
      </c>
      <c r="O1455" s="550">
        <v>158</v>
      </c>
      <c r="P1455" s="550">
        <v>2610</v>
      </c>
      <c r="Q1455" s="550">
        <v>181</v>
      </c>
      <c r="R1455" s="574" t="s">
        <v>544</v>
      </c>
      <c r="S1455" s="552"/>
      <c r="T1455" s="552"/>
      <c r="U1455" s="552"/>
      <c r="V1455" s="552"/>
      <c r="W1455" s="552"/>
      <c r="X1455" s="552"/>
      <c r="Y1455" s="552"/>
      <c r="Z1455" s="552"/>
      <c r="AA1455" s="553"/>
      <c r="AB1455" s="553"/>
    </row>
    <row r="1456" spans="1:28" ht="12.75">
      <c r="A1456" s="547" t="s">
        <v>544</v>
      </c>
      <c r="B1456" s="547" t="s">
        <v>173</v>
      </c>
      <c r="C1456" s="548" t="s">
        <v>812</v>
      </c>
      <c r="D1456" s="549">
        <v>2015</v>
      </c>
      <c r="E1456" s="549" t="s">
        <v>775</v>
      </c>
      <c r="F1456" s="550">
        <v>1488</v>
      </c>
      <c r="G1456" s="550">
        <v>4</v>
      </c>
      <c r="H1456" s="550">
        <v>0</v>
      </c>
      <c r="I1456" s="550">
        <v>4</v>
      </c>
      <c r="J1456" s="550">
        <v>1007</v>
      </c>
      <c r="K1456" s="550">
        <v>0</v>
      </c>
      <c r="L1456" s="550">
        <v>0</v>
      </c>
      <c r="M1456" s="550">
        <v>0</v>
      </c>
      <c r="N1456" s="550">
        <v>1140</v>
      </c>
      <c r="O1456" s="550">
        <v>193</v>
      </c>
      <c r="P1456" s="550">
        <v>2610</v>
      </c>
      <c r="Q1456" s="550">
        <v>215</v>
      </c>
      <c r="R1456" s="574" t="s">
        <v>544</v>
      </c>
      <c r="S1456" s="552"/>
      <c r="T1456" s="552"/>
      <c r="U1456" s="552"/>
      <c r="V1456" s="552"/>
      <c r="W1456" s="552"/>
      <c r="X1456" s="552"/>
      <c r="Y1456" s="552"/>
      <c r="Z1456" s="552"/>
      <c r="AA1456" s="553"/>
      <c r="AB1456" s="553"/>
    </row>
    <row r="1457" spans="1:28" ht="12.75">
      <c r="A1457" s="547" t="s">
        <v>544</v>
      </c>
      <c r="B1457" s="547" t="s">
        <v>173</v>
      </c>
      <c r="C1457" s="548" t="s">
        <v>812</v>
      </c>
      <c r="D1457" s="549">
        <v>2016</v>
      </c>
      <c r="E1457" s="549" t="s">
        <v>775</v>
      </c>
      <c r="F1457" s="550">
        <v>1488</v>
      </c>
      <c r="G1457" s="550">
        <v>3</v>
      </c>
      <c r="H1457" s="550">
        <v>0</v>
      </c>
      <c r="I1457" s="550">
        <v>3</v>
      </c>
      <c r="J1457" s="550">
        <v>1007</v>
      </c>
      <c r="K1457" s="550">
        <v>2</v>
      </c>
      <c r="L1457" s="550">
        <v>0</v>
      </c>
      <c r="M1457" s="550">
        <v>2</v>
      </c>
      <c r="N1457" s="550">
        <v>1140</v>
      </c>
      <c r="O1457" s="550">
        <v>184</v>
      </c>
      <c r="P1457" s="550">
        <v>2610</v>
      </c>
      <c r="Q1457" s="550">
        <v>349</v>
      </c>
      <c r="R1457" s="574" t="s">
        <v>544</v>
      </c>
      <c r="S1457" s="552"/>
      <c r="T1457" s="552"/>
      <c r="U1457" s="552"/>
      <c r="V1457" s="552"/>
      <c r="W1457" s="552"/>
      <c r="X1457" s="552"/>
      <c r="Y1457" s="552"/>
      <c r="Z1457" s="552"/>
      <c r="AA1457" s="553"/>
      <c r="AB1457" s="553"/>
    </row>
    <row r="1458" spans="1:28" ht="12.75">
      <c r="A1458" s="547" t="s">
        <v>544</v>
      </c>
      <c r="B1458" s="547" t="s">
        <v>173</v>
      </c>
      <c r="C1458" s="548" t="s">
        <v>812</v>
      </c>
      <c r="D1458" s="549">
        <v>2017</v>
      </c>
      <c r="E1458" s="549" t="s">
        <v>775</v>
      </c>
      <c r="F1458" s="550">
        <v>1488</v>
      </c>
      <c r="G1458" s="550">
        <v>3</v>
      </c>
      <c r="H1458" s="550">
        <v>0</v>
      </c>
      <c r="I1458" s="550">
        <v>3</v>
      </c>
      <c r="J1458" s="550">
        <v>1007</v>
      </c>
      <c r="K1458" s="550">
        <v>9</v>
      </c>
      <c r="L1458" s="550">
        <v>0</v>
      </c>
      <c r="M1458" s="550">
        <v>9</v>
      </c>
      <c r="N1458" s="550">
        <v>1140</v>
      </c>
      <c r="O1458" s="550">
        <v>168</v>
      </c>
      <c r="P1458" s="550">
        <v>2610</v>
      </c>
      <c r="Q1458" s="550">
        <v>514</v>
      </c>
      <c r="R1458" s="574" t="s">
        <v>544</v>
      </c>
      <c r="S1458" s="552"/>
      <c r="T1458" s="552"/>
      <c r="U1458" s="552"/>
      <c r="V1458" s="552"/>
      <c r="W1458" s="552"/>
      <c r="X1458" s="552"/>
      <c r="Y1458" s="552"/>
      <c r="Z1458" s="552"/>
      <c r="AA1458" s="553"/>
      <c r="AB1458" s="553"/>
    </row>
    <row r="1459" spans="1:28" ht="12.75">
      <c r="A1459" s="547" t="s">
        <v>544</v>
      </c>
      <c r="B1459" s="547" t="s">
        <v>173</v>
      </c>
      <c r="C1459" s="548" t="s">
        <v>812</v>
      </c>
      <c r="D1459" s="549">
        <v>2018</v>
      </c>
      <c r="E1459" s="549" t="s">
        <v>775</v>
      </c>
      <c r="F1459" s="550">
        <v>1488</v>
      </c>
      <c r="G1459" s="550">
        <v>0</v>
      </c>
      <c r="H1459" s="550">
        <v>0</v>
      </c>
      <c r="I1459" s="550">
        <v>0</v>
      </c>
      <c r="J1459" s="550">
        <v>1007</v>
      </c>
      <c r="K1459" s="550">
        <v>1</v>
      </c>
      <c r="L1459" s="550">
        <v>0</v>
      </c>
      <c r="M1459" s="550">
        <v>1</v>
      </c>
      <c r="N1459" s="550">
        <v>1140</v>
      </c>
      <c r="O1459" s="550">
        <v>181</v>
      </c>
      <c r="P1459" s="550">
        <v>2610</v>
      </c>
      <c r="Q1459" s="550">
        <v>759</v>
      </c>
      <c r="R1459" s="574" t="s">
        <v>544</v>
      </c>
      <c r="S1459" s="552"/>
      <c r="T1459" s="552"/>
      <c r="U1459" s="552"/>
      <c r="V1459" s="552"/>
      <c r="W1459" s="552"/>
      <c r="X1459" s="552"/>
      <c r="Y1459" s="552"/>
      <c r="Z1459" s="552"/>
      <c r="AA1459" s="553"/>
      <c r="AB1459" s="553"/>
    </row>
    <row r="1460" spans="1:28" ht="12.75">
      <c r="A1460" s="547" t="s">
        <v>544</v>
      </c>
      <c r="B1460" s="547" t="s">
        <v>173</v>
      </c>
      <c r="C1460" s="548" t="s">
        <v>813</v>
      </c>
      <c r="D1460" s="549">
        <v>2019</v>
      </c>
      <c r="E1460" s="549" t="s">
        <v>775</v>
      </c>
      <c r="F1460" s="550">
        <v>1488</v>
      </c>
      <c r="G1460" s="550">
        <v>0</v>
      </c>
      <c r="H1460" s="550">
        <v>0</v>
      </c>
      <c r="I1460" s="550">
        <v>0</v>
      </c>
      <c r="J1460" s="550">
        <v>1007</v>
      </c>
      <c r="K1460" s="550">
        <v>4</v>
      </c>
      <c r="L1460" s="550">
        <v>0</v>
      </c>
      <c r="M1460" s="550">
        <v>4</v>
      </c>
      <c r="N1460" s="550">
        <v>1140</v>
      </c>
      <c r="O1460" s="550">
        <v>379</v>
      </c>
      <c r="P1460" s="550">
        <v>2610</v>
      </c>
      <c r="Q1460" s="550">
        <v>653</v>
      </c>
      <c r="R1460" s="574" t="s">
        <v>544</v>
      </c>
      <c r="S1460" s="552">
        <f>SUM(G1455:G1460) +SUM(K1455:K1460)</f>
        <v>28</v>
      </c>
      <c r="T1460" s="552">
        <f>F1460+J1460</f>
        <v>2495</v>
      </c>
      <c r="U1460" s="552">
        <f>SUM(O1455:O1460)</f>
        <v>1263</v>
      </c>
      <c r="V1460" s="552">
        <f>N1460</f>
        <v>1140</v>
      </c>
      <c r="W1460" s="554">
        <f>SUM(Q1455:Q1460)</f>
        <v>2671</v>
      </c>
      <c r="X1460" s="552">
        <f>P1460</f>
        <v>2610</v>
      </c>
      <c r="Y1460" s="552">
        <f>S1460+U1460+SUM(Q1455:Q1460)</f>
        <v>3962</v>
      </c>
      <c r="Z1460" s="552">
        <f>F1460+J1460+N1460+P1460</f>
        <v>6245</v>
      </c>
      <c r="AA1460" s="553"/>
      <c r="AB1460" s="553"/>
    </row>
    <row r="1461" spans="1:28" ht="12.75">
      <c r="A1461" s="547" t="s">
        <v>545</v>
      </c>
      <c r="B1461" s="547" t="s">
        <v>173</v>
      </c>
      <c r="C1461" s="548" t="s">
        <v>812</v>
      </c>
      <c r="D1461" s="549">
        <v>2014</v>
      </c>
      <c r="E1461" s="549" t="s">
        <v>775</v>
      </c>
      <c r="F1461" s="550">
        <v>1500</v>
      </c>
      <c r="G1461" s="550">
        <v>0</v>
      </c>
      <c r="H1461" s="550">
        <v>0</v>
      </c>
      <c r="I1461" s="550">
        <v>0</v>
      </c>
      <c r="J1461" s="550">
        <v>993</v>
      </c>
      <c r="K1461" s="550">
        <v>0</v>
      </c>
      <c r="L1461" s="550">
        <v>0</v>
      </c>
      <c r="M1461" s="550">
        <v>0</v>
      </c>
      <c r="N1461" s="550">
        <v>1112</v>
      </c>
      <c r="O1461" s="550">
        <v>0</v>
      </c>
      <c r="P1461" s="550">
        <v>2564</v>
      </c>
      <c r="Q1461" s="550">
        <v>93</v>
      </c>
      <c r="R1461" s="574" t="s">
        <v>545</v>
      </c>
      <c r="S1461" s="552"/>
      <c r="T1461" s="552"/>
      <c r="U1461" s="552"/>
      <c r="V1461" s="552"/>
      <c r="W1461" s="552"/>
      <c r="X1461" s="552"/>
      <c r="Y1461" s="552"/>
      <c r="Z1461" s="552"/>
      <c r="AA1461" s="553"/>
      <c r="AB1461" s="553"/>
    </row>
    <row r="1462" spans="1:28" ht="12.75">
      <c r="A1462" s="547" t="s">
        <v>545</v>
      </c>
      <c r="B1462" s="547" t="s">
        <v>173</v>
      </c>
      <c r="C1462" s="548" t="s">
        <v>812</v>
      </c>
      <c r="D1462" s="549">
        <v>2015</v>
      </c>
      <c r="E1462" s="549" t="s">
        <v>775</v>
      </c>
      <c r="F1462" s="550">
        <v>1500</v>
      </c>
      <c r="G1462" s="550">
        <v>0</v>
      </c>
      <c r="H1462" s="550">
        <v>0</v>
      </c>
      <c r="I1462" s="550">
        <v>0</v>
      </c>
      <c r="J1462" s="550">
        <v>993</v>
      </c>
      <c r="K1462" s="550">
        <v>0</v>
      </c>
      <c r="L1462" s="550">
        <v>0</v>
      </c>
      <c r="M1462" s="550">
        <v>0</v>
      </c>
      <c r="N1462" s="550">
        <v>1112</v>
      </c>
      <c r="O1462" s="550">
        <v>0</v>
      </c>
      <c r="P1462" s="550">
        <v>2564</v>
      </c>
      <c r="Q1462" s="550">
        <v>103</v>
      </c>
      <c r="R1462" s="574" t="s">
        <v>545</v>
      </c>
      <c r="S1462" s="552"/>
      <c r="T1462" s="552"/>
      <c r="U1462" s="552"/>
      <c r="V1462" s="552"/>
      <c r="W1462" s="552"/>
      <c r="X1462" s="552"/>
      <c r="Y1462" s="552"/>
      <c r="Z1462" s="552"/>
      <c r="AA1462" s="553"/>
      <c r="AB1462" s="553"/>
    </row>
    <row r="1463" spans="1:28" ht="12.75">
      <c r="A1463" s="547" t="s">
        <v>545</v>
      </c>
      <c r="B1463" s="547" t="s">
        <v>173</v>
      </c>
      <c r="C1463" s="548" t="s">
        <v>812</v>
      </c>
      <c r="D1463" s="549">
        <v>2016</v>
      </c>
      <c r="E1463" s="549" t="s">
        <v>775</v>
      </c>
      <c r="F1463" s="550">
        <v>1500</v>
      </c>
      <c r="G1463" s="550">
        <v>0</v>
      </c>
      <c r="H1463" s="550">
        <v>0</v>
      </c>
      <c r="I1463" s="550">
        <v>0</v>
      </c>
      <c r="J1463" s="550">
        <v>993</v>
      </c>
      <c r="K1463" s="550">
        <v>0</v>
      </c>
      <c r="L1463" s="550">
        <v>0</v>
      </c>
      <c r="M1463" s="550">
        <v>0</v>
      </c>
      <c r="N1463" s="550">
        <v>1112</v>
      </c>
      <c r="O1463" s="550">
        <v>0</v>
      </c>
      <c r="P1463" s="550">
        <v>2564</v>
      </c>
      <c r="Q1463" s="550">
        <v>119</v>
      </c>
      <c r="R1463" s="574" t="s">
        <v>545</v>
      </c>
      <c r="S1463" s="552"/>
      <c r="T1463" s="552"/>
      <c r="U1463" s="552"/>
      <c r="V1463" s="552"/>
      <c r="W1463" s="552"/>
      <c r="X1463" s="552"/>
      <c r="Y1463" s="552"/>
      <c r="Z1463" s="552"/>
      <c r="AA1463" s="553"/>
      <c r="AB1463" s="553"/>
    </row>
    <row r="1464" spans="1:28" ht="12.75">
      <c r="A1464" s="547" t="s">
        <v>545</v>
      </c>
      <c r="B1464" s="547" t="s">
        <v>173</v>
      </c>
      <c r="C1464" s="548" t="s">
        <v>812</v>
      </c>
      <c r="D1464" s="549">
        <v>2017</v>
      </c>
      <c r="E1464" s="549" t="s">
        <v>775</v>
      </c>
      <c r="F1464" s="550">
        <v>1500</v>
      </c>
      <c r="G1464" s="550">
        <v>0</v>
      </c>
      <c r="H1464" s="550">
        <v>0</v>
      </c>
      <c r="I1464" s="550">
        <v>0</v>
      </c>
      <c r="J1464" s="550">
        <v>993</v>
      </c>
      <c r="K1464" s="550">
        <v>0</v>
      </c>
      <c r="L1464" s="550">
        <v>0</v>
      </c>
      <c r="M1464" s="550">
        <v>0</v>
      </c>
      <c r="N1464" s="550">
        <v>1112</v>
      </c>
      <c r="O1464" s="550">
        <v>84</v>
      </c>
      <c r="P1464" s="550">
        <v>2564</v>
      </c>
      <c r="Q1464" s="550">
        <v>341</v>
      </c>
      <c r="R1464" s="574" t="s">
        <v>545</v>
      </c>
      <c r="S1464" s="552"/>
      <c r="T1464" s="552"/>
      <c r="U1464" s="552"/>
      <c r="V1464" s="552"/>
      <c r="W1464" s="552"/>
      <c r="X1464" s="552"/>
      <c r="Y1464" s="552"/>
      <c r="Z1464" s="552"/>
      <c r="AA1464" s="553"/>
      <c r="AB1464" s="553"/>
    </row>
    <row r="1465" spans="1:28" ht="12.75">
      <c r="A1465" s="547" t="s">
        <v>545</v>
      </c>
      <c r="B1465" s="547" t="s">
        <v>173</v>
      </c>
      <c r="C1465" s="548" t="s">
        <v>812</v>
      </c>
      <c r="D1465" s="549">
        <v>2018</v>
      </c>
      <c r="E1465" s="549" t="s">
        <v>775</v>
      </c>
      <c r="F1465" s="550">
        <v>1500</v>
      </c>
      <c r="G1465" s="550">
        <v>0</v>
      </c>
      <c r="H1465" s="550">
        <v>0</v>
      </c>
      <c r="I1465" s="550">
        <v>0</v>
      </c>
      <c r="J1465" s="550">
        <v>993</v>
      </c>
      <c r="K1465" s="550">
        <v>0</v>
      </c>
      <c r="L1465" s="550">
        <v>0</v>
      </c>
      <c r="M1465" s="550">
        <v>0</v>
      </c>
      <c r="N1465" s="550">
        <v>1112</v>
      </c>
      <c r="O1465" s="550">
        <v>135</v>
      </c>
      <c r="P1465" s="550">
        <v>2564</v>
      </c>
      <c r="Q1465" s="550">
        <v>415</v>
      </c>
      <c r="R1465" s="574" t="s">
        <v>545</v>
      </c>
      <c r="S1465" s="255"/>
      <c r="T1465" s="255"/>
      <c r="U1465" s="255"/>
      <c r="V1465" s="255"/>
      <c r="W1465" s="83"/>
      <c r="X1465" s="255"/>
      <c r="Y1465" s="255"/>
      <c r="Z1465" s="255"/>
      <c r="AA1465" s="553"/>
      <c r="AB1465" s="553"/>
    </row>
    <row r="1466" spans="1:28" ht="12.75">
      <c r="A1466" s="547" t="s">
        <v>545</v>
      </c>
      <c r="B1466" s="547" t="s">
        <v>173</v>
      </c>
      <c r="C1466" s="548" t="s">
        <v>813</v>
      </c>
      <c r="D1466" s="549">
        <v>2019</v>
      </c>
      <c r="E1466" s="549" t="s">
        <v>775</v>
      </c>
      <c r="F1466" s="550">
        <v>1500</v>
      </c>
      <c r="G1466" s="550">
        <v>0</v>
      </c>
      <c r="H1466" s="550">
        <v>0</v>
      </c>
      <c r="I1466" s="550">
        <v>0</v>
      </c>
      <c r="J1466" s="550">
        <v>993</v>
      </c>
      <c r="K1466" s="550">
        <v>0</v>
      </c>
      <c r="L1466" s="550">
        <v>0</v>
      </c>
      <c r="M1466" s="550">
        <v>0</v>
      </c>
      <c r="N1466" s="550">
        <v>1112</v>
      </c>
      <c r="O1466" s="550">
        <v>238</v>
      </c>
      <c r="P1466" s="550">
        <v>2564</v>
      </c>
      <c r="Q1466" s="550">
        <v>283</v>
      </c>
      <c r="R1466" s="574" t="s">
        <v>545</v>
      </c>
      <c r="S1466" s="255">
        <f>SUM(G1461:G1466) +SUM(K1461:K1466)</f>
        <v>0</v>
      </c>
      <c r="T1466" s="255">
        <f>F1466+J1466</f>
        <v>2493</v>
      </c>
      <c r="U1466" s="255">
        <f>SUM(O1461:O1466)</f>
        <v>457</v>
      </c>
      <c r="V1466" s="255">
        <f>N1466</f>
        <v>1112</v>
      </c>
      <c r="W1466" s="83">
        <f>SUM(Q1461:Q1466)</f>
        <v>1354</v>
      </c>
      <c r="X1466" s="255">
        <f>P1466</f>
        <v>2564</v>
      </c>
      <c r="Y1466" s="255">
        <f>S1466+U1466+SUM(Q1461:Q1466)</f>
        <v>1811</v>
      </c>
      <c r="Z1466" s="255">
        <f>F1466+J1466+N1466+P1466</f>
        <v>6169</v>
      </c>
      <c r="AA1466" s="553"/>
      <c r="AB1466" s="553"/>
    </row>
    <row r="1467" spans="1:28" ht="12.75">
      <c r="A1467" s="547" t="s">
        <v>546</v>
      </c>
      <c r="B1467" s="547" t="s">
        <v>173</v>
      </c>
      <c r="C1467" s="548" t="s">
        <v>812</v>
      </c>
      <c r="D1467" s="549">
        <v>2014</v>
      </c>
      <c r="E1467" s="549" t="s">
        <v>775</v>
      </c>
      <c r="F1467" s="550">
        <v>395</v>
      </c>
      <c r="G1467" s="550">
        <v>0</v>
      </c>
      <c r="H1467" s="550">
        <v>0</v>
      </c>
      <c r="I1467" s="550">
        <v>0</v>
      </c>
      <c r="J1467" s="550">
        <v>262</v>
      </c>
      <c r="K1467" s="550">
        <v>0</v>
      </c>
      <c r="L1467" s="550">
        <v>0</v>
      </c>
      <c r="M1467" s="550">
        <v>0</v>
      </c>
      <c r="N1467" s="550">
        <v>289</v>
      </c>
      <c r="O1467" s="550">
        <v>0</v>
      </c>
      <c r="P1467" s="550">
        <v>627</v>
      </c>
      <c r="Q1467" s="550">
        <v>9</v>
      </c>
      <c r="R1467" s="574" t="s">
        <v>546</v>
      </c>
      <c r="S1467" s="552"/>
      <c r="T1467" s="552"/>
      <c r="U1467" s="552"/>
      <c r="V1467" s="552"/>
      <c r="W1467" s="552"/>
      <c r="X1467" s="552"/>
      <c r="Y1467" s="552"/>
      <c r="Z1467" s="552"/>
      <c r="AA1467" s="553"/>
      <c r="AB1467" s="553"/>
    </row>
    <row r="1468" spans="1:28" ht="12.75">
      <c r="A1468" s="547" t="s">
        <v>546</v>
      </c>
      <c r="B1468" s="547" t="s">
        <v>173</v>
      </c>
      <c r="C1468" s="548" t="s">
        <v>812</v>
      </c>
      <c r="D1468" s="549">
        <v>2015</v>
      </c>
      <c r="E1468" s="549" t="s">
        <v>775</v>
      </c>
      <c r="F1468" s="550">
        <v>395</v>
      </c>
      <c r="G1468" s="550">
        <v>0</v>
      </c>
      <c r="H1468" s="550">
        <v>0</v>
      </c>
      <c r="I1468" s="550">
        <v>0</v>
      </c>
      <c r="J1468" s="550">
        <v>262</v>
      </c>
      <c r="K1468" s="550">
        <v>0</v>
      </c>
      <c r="L1468" s="550">
        <v>0</v>
      </c>
      <c r="M1468" s="550">
        <v>0</v>
      </c>
      <c r="N1468" s="550">
        <v>289</v>
      </c>
      <c r="O1468" s="550">
        <v>0</v>
      </c>
      <c r="P1468" s="550">
        <v>627</v>
      </c>
      <c r="Q1468" s="550">
        <v>93</v>
      </c>
      <c r="R1468" s="574" t="s">
        <v>546</v>
      </c>
      <c r="S1468" s="552"/>
      <c r="T1468" s="552"/>
      <c r="U1468" s="552"/>
      <c r="V1468" s="552"/>
      <c r="W1468" s="552"/>
      <c r="X1468" s="552"/>
      <c r="Y1468" s="552"/>
      <c r="Z1468" s="552"/>
      <c r="AA1468" s="553"/>
      <c r="AB1468" s="553"/>
    </row>
    <row r="1469" spans="1:28" ht="12.75">
      <c r="A1469" s="547" t="s">
        <v>546</v>
      </c>
      <c r="B1469" s="547" t="s">
        <v>173</v>
      </c>
      <c r="C1469" s="548" t="s">
        <v>812</v>
      </c>
      <c r="D1469" s="549">
        <v>2016</v>
      </c>
      <c r="E1469" s="549" t="s">
        <v>775</v>
      </c>
      <c r="F1469" s="550">
        <v>395</v>
      </c>
      <c r="G1469" s="550">
        <v>0</v>
      </c>
      <c r="H1469" s="550">
        <v>0</v>
      </c>
      <c r="I1469" s="550">
        <v>0</v>
      </c>
      <c r="J1469" s="550">
        <v>262</v>
      </c>
      <c r="K1469" s="550">
        <v>0</v>
      </c>
      <c r="L1469" s="550">
        <v>0</v>
      </c>
      <c r="M1469" s="550">
        <v>0</v>
      </c>
      <c r="N1469" s="550">
        <v>289</v>
      </c>
      <c r="O1469" s="550">
        <v>0</v>
      </c>
      <c r="P1469" s="550">
        <v>627</v>
      </c>
      <c r="Q1469" s="550">
        <v>559</v>
      </c>
      <c r="R1469" s="574" t="s">
        <v>546</v>
      </c>
      <c r="S1469" s="552"/>
      <c r="T1469" s="552"/>
      <c r="U1469" s="552"/>
      <c r="V1469" s="552"/>
      <c r="W1469" s="552"/>
      <c r="X1469" s="552"/>
      <c r="Y1469" s="552"/>
      <c r="Z1469" s="552"/>
      <c r="AA1469" s="553"/>
      <c r="AB1469" s="553"/>
    </row>
    <row r="1470" spans="1:28" ht="12.75">
      <c r="A1470" s="547" t="s">
        <v>546</v>
      </c>
      <c r="B1470" s="547" t="s">
        <v>173</v>
      </c>
      <c r="C1470" s="548" t="s">
        <v>812</v>
      </c>
      <c r="D1470" s="549">
        <v>2017</v>
      </c>
      <c r="E1470" s="549" t="s">
        <v>775</v>
      </c>
      <c r="F1470" s="550">
        <v>395</v>
      </c>
      <c r="G1470" s="550">
        <v>0</v>
      </c>
      <c r="H1470" s="550">
        <v>0</v>
      </c>
      <c r="I1470" s="550">
        <v>0</v>
      </c>
      <c r="J1470" s="550">
        <v>262</v>
      </c>
      <c r="K1470" s="550">
        <v>0</v>
      </c>
      <c r="L1470" s="550">
        <v>0</v>
      </c>
      <c r="M1470" s="550">
        <v>0</v>
      </c>
      <c r="N1470" s="550">
        <v>289</v>
      </c>
      <c r="O1470" s="550">
        <v>0</v>
      </c>
      <c r="P1470" s="550">
        <v>627</v>
      </c>
      <c r="Q1470" s="550">
        <v>225</v>
      </c>
      <c r="R1470" s="574" t="s">
        <v>546</v>
      </c>
      <c r="S1470" s="552"/>
      <c r="T1470" s="552"/>
      <c r="U1470" s="552"/>
      <c r="V1470" s="552"/>
      <c r="W1470" s="552"/>
      <c r="X1470" s="552"/>
      <c r="Y1470" s="552"/>
      <c r="Z1470" s="552"/>
      <c r="AA1470" s="553"/>
      <c r="AB1470" s="553"/>
    </row>
    <row r="1471" spans="1:28" ht="12.75">
      <c r="A1471" s="547" t="s">
        <v>546</v>
      </c>
      <c r="B1471" s="547" t="s">
        <v>173</v>
      </c>
      <c r="C1471" s="548" t="s">
        <v>812</v>
      </c>
      <c r="D1471" s="549">
        <v>2018</v>
      </c>
      <c r="E1471" s="549" t="s">
        <v>775</v>
      </c>
      <c r="F1471" s="550">
        <v>395</v>
      </c>
      <c r="G1471" s="550">
        <v>0</v>
      </c>
      <c r="H1471" s="550">
        <v>0</v>
      </c>
      <c r="I1471" s="550">
        <v>0</v>
      </c>
      <c r="J1471" s="550">
        <v>262</v>
      </c>
      <c r="K1471" s="550">
        <v>0</v>
      </c>
      <c r="L1471" s="550">
        <v>0</v>
      </c>
      <c r="M1471" s="550">
        <v>0</v>
      </c>
      <c r="N1471" s="550">
        <v>289</v>
      </c>
      <c r="O1471" s="550">
        <v>0</v>
      </c>
      <c r="P1471" s="550">
        <v>627</v>
      </c>
      <c r="Q1471" s="550">
        <v>245</v>
      </c>
      <c r="R1471" s="574" t="s">
        <v>546</v>
      </c>
      <c r="S1471" s="552"/>
      <c r="T1471" s="552"/>
      <c r="U1471" s="552"/>
      <c r="V1471" s="552"/>
      <c r="W1471" s="552"/>
      <c r="X1471" s="552"/>
      <c r="Y1471" s="552"/>
      <c r="Z1471" s="552"/>
      <c r="AA1471" s="553"/>
      <c r="AB1471" s="553"/>
    </row>
    <row r="1472" spans="1:28" ht="12.75">
      <c r="A1472" s="547" t="s">
        <v>546</v>
      </c>
      <c r="B1472" s="547" t="s">
        <v>173</v>
      </c>
      <c r="C1472" s="548" t="s">
        <v>813</v>
      </c>
      <c r="D1472" s="549">
        <v>2019</v>
      </c>
      <c r="E1472" s="549" t="s">
        <v>775</v>
      </c>
      <c r="F1472" s="550">
        <v>395</v>
      </c>
      <c r="G1472" s="550">
        <v>0</v>
      </c>
      <c r="H1472" s="550">
        <v>0</v>
      </c>
      <c r="I1472" s="550">
        <v>0</v>
      </c>
      <c r="J1472" s="550">
        <v>262</v>
      </c>
      <c r="K1472" s="550">
        <v>0</v>
      </c>
      <c r="L1472" s="550">
        <v>0</v>
      </c>
      <c r="M1472" s="550">
        <v>0</v>
      </c>
      <c r="N1472" s="550">
        <v>289</v>
      </c>
      <c r="O1472" s="550">
        <v>0</v>
      </c>
      <c r="P1472" s="550">
        <v>627</v>
      </c>
      <c r="Q1472" s="550">
        <v>230</v>
      </c>
      <c r="R1472" s="574" t="s">
        <v>546</v>
      </c>
      <c r="S1472" s="552">
        <f>SUM(G1467:G1472) +SUM(K1467:K1472)</f>
        <v>0</v>
      </c>
      <c r="T1472" s="552">
        <f>F1472+J1472</f>
        <v>657</v>
      </c>
      <c r="U1472" s="552">
        <f>SUM(O1467:O1472)</f>
        <v>0</v>
      </c>
      <c r="V1472" s="552">
        <f>N1472</f>
        <v>289</v>
      </c>
      <c r="W1472" s="554">
        <f>SUM(Q1467:Q1472)</f>
        <v>1361</v>
      </c>
      <c r="X1472" s="552">
        <f>P1472</f>
        <v>627</v>
      </c>
      <c r="Y1472" s="552">
        <f>S1472+U1472+SUM(Q1467:Q1472)</f>
        <v>1361</v>
      </c>
      <c r="Z1472" s="552">
        <f>F1472+J1472+N1472+P1472</f>
        <v>1573</v>
      </c>
      <c r="AA1472" s="553"/>
      <c r="AB1472" s="553"/>
    </row>
    <row r="1473" spans="1:28" ht="12.75">
      <c r="A1473" s="547" t="s">
        <v>547</v>
      </c>
      <c r="B1473" s="547" t="s">
        <v>173</v>
      </c>
      <c r="C1473" s="548" t="s">
        <v>812</v>
      </c>
      <c r="D1473" s="549">
        <v>2017</v>
      </c>
      <c r="E1473" s="549" t="s">
        <v>775</v>
      </c>
      <c r="F1473" s="550">
        <v>205</v>
      </c>
      <c r="G1473" s="550">
        <v>0</v>
      </c>
      <c r="H1473" s="550">
        <v>0</v>
      </c>
      <c r="I1473" s="550">
        <v>0</v>
      </c>
      <c r="J1473" s="550">
        <v>136</v>
      </c>
      <c r="K1473" s="550">
        <v>0</v>
      </c>
      <c r="L1473" s="550">
        <v>0</v>
      </c>
      <c r="M1473" s="550">
        <v>0</v>
      </c>
      <c r="N1473" s="550">
        <v>151</v>
      </c>
      <c r="O1473" s="550">
        <v>0</v>
      </c>
      <c r="P1473" s="550">
        <v>326</v>
      </c>
      <c r="Q1473" s="550">
        <v>2</v>
      </c>
      <c r="R1473" s="574" t="s">
        <v>547</v>
      </c>
      <c r="S1473" s="552"/>
      <c r="T1473" s="552"/>
      <c r="U1473" s="552"/>
      <c r="V1473" s="552"/>
      <c r="W1473" s="552"/>
      <c r="X1473" s="552"/>
      <c r="Y1473" s="552"/>
      <c r="Z1473" s="552"/>
      <c r="AA1473" s="553"/>
      <c r="AB1473" s="553"/>
    </row>
    <row r="1474" spans="1:28" ht="12.75">
      <c r="A1474" s="547" t="s">
        <v>547</v>
      </c>
      <c r="B1474" s="547" t="s">
        <v>173</v>
      </c>
      <c r="C1474" s="548" t="s">
        <v>813</v>
      </c>
      <c r="D1474" s="549">
        <v>2019</v>
      </c>
      <c r="E1474" s="549" t="s">
        <v>775</v>
      </c>
      <c r="F1474" s="550">
        <v>205</v>
      </c>
      <c r="G1474" s="550">
        <v>0</v>
      </c>
      <c r="H1474" s="550">
        <v>0</v>
      </c>
      <c r="I1474" s="550">
        <v>0</v>
      </c>
      <c r="J1474" s="550">
        <v>136</v>
      </c>
      <c r="K1474" s="550">
        <v>0</v>
      </c>
      <c r="L1474" s="550">
        <v>0</v>
      </c>
      <c r="M1474" s="550">
        <v>0</v>
      </c>
      <c r="N1474" s="550">
        <v>151</v>
      </c>
      <c r="O1474" s="550">
        <v>0</v>
      </c>
      <c r="P1474" s="550">
        <v>326</v>
      </c>
      <c r="Q1474" s="550">
        <v>5</v>
      </c>
      <c r="R1474" s="574" t="s">
        <v>547</v>
      </c>
      <c r="S1474" s="255">
        <f>SUM(G1473:G1474) +SUM(K1473:K1474)</f>
        <v>0</v>
      </c>
      <c r="T1474" s="255">
        <f>F1474+J1474</f>
        <v>341</v>
      </c>
      <c r="U1474" s="255">
        <f>SUM(O1473:O1474)</f>
        <v>0</v>
      </c>
      <c r="V1474" s="255">
        <f>N1474</f>
        <v>151</v>
      </c>
      <c r="W1474" s="83">
        <f>SUM(Q1473:Q1474)</f>
        <v>7</v>
      </c>
      <c r="X1474" s="255">
        <f>P1474</f>
        <v>326</v>
      </c>
      <c r="Y1474" s="255">
        <f>S1474+U1474+SUM(Q1473:Q1474)</f>
        <v>7</v>
      </c>
      <c r="Z1474" s="255">
        <f>F1474+J1474+N1474+P1474</f>
        <v>818</v>
      </c>
      <c r="AA1474" s="553"/>
      <c r="AB1474" s="553"/>
    </row>
    <row r="1475" spans="1:28" ht="12.75">
      <c r="A1475" s="547" t="s">
        <v>548</v>
      </c>
      <c r="B1475" s="547" t="s">
        <v>173</v>
      </c>
      <c r="C1475" s="548" t="s">
        <v>812</v>
      </c>
      <c r="D1475" s="549">
        <v>2014</v>
      </c>
      <c r="E1475" s="549" t="s">
        <v>775</v>
      </c>
      <c r="F1475" s="550">
        <v>98</v>
      </c>
      <c r="G1475" s="550">
        <v>0</v>
      </c>
      <c r="H1475" s="550">
        <v>0</v>
      </c>
      <c r="I1475" s="550">
        <v>0</v>
      </c>
      <c r="J1475" s="550">
        <v>67</v>
      </c>
      <c r="K1475" s="550">
        <v>0</v>
      </c>
      <c r="L1475" s="550">
        <v>0</v>
      </c>
      <c r="M1475" s="550">
        <v>0</v>
      </c>
      <c r="N1475" s="550">
        <v>76</v>
      </c>
      <c r="O1475" s="550">
        <v>0</v>
      </c>
      <c r="P1475" s="550">
        <v>172</v>
      </c>
      <c r="Q1475" s="550">
        <v>220</v>
      </c>
      <c r="R1475" s="574" t="s">
        <v>548</v>
      </c>
      <c r="S1475" s="552"/>
      <c r="T1475" s="552"/>
      <c r="U1475" s="552"/>
      <c r="V1475" s="552"/>
      <c r="W1475" s="552"/>
      <c r="X1475" s="552"/>
      <c r="Y1475" s="552"/>
      <c r="Z1475" s="552"/>
      <c r="AA1475" s="553"/>
      <c r="AB1475" s="553"/>
    </row>
    <row r="1476" spans="1:28" ht="12.75">
      <c r="A1476" s="547" t="s">
        <v>548</v>
      </c>
      <c r="B1476" s="547" t="s">
        <v>173</v>
      </c>
      <c r="C1476" s="548" t="s">
        <v>812</v>
      </c>
      <c r="D1476" s="549">
        <v>2015</v>
      </c>
      <c r="E1476" s="549" t="s">
        <v>775</v>
      </c>
      <c r="F1476" s="550">
        <v>98</v>
      </c>
      <c r="G1476" s="550">
        <v>38</v>
      </c>
      <c r="H1476" s="550">
        <v>38</v>
      </c>
      <c r="I1476" s="550">
        <v>0</v>
      </c>
      <c r="J1476" s="550">
        <v>67</v>
      </c>
      <c r="K1476" s="550">
        <v>36</v>
      </c>
      <c r="L1476" s="550">
        <v>36</v>
      </c>
      <c r="M1476" s="550">
        <v>0</v>
      </c>
      <c r="N1476" s="550">
        <v>76</v>
      </c>
      <c r="O1476" s="550">
        <v>0</v>
      </c>
      <c r="P1476" s="550">
        <v>172</v>
      </c>
      <c r="Q1476" s="550">
        <v>0</v>
      </c>
      <c r="R1476" s="574" t="s">
        <v>548</v>
      </c>
      <c r="S1476" s="552"/>
      <c r="T1476" s="552"/>
      <c r="U1476" s="552"/>
      <c r="V1476" s="552"/>
      <c r="W1476" s="552"/>
      <c r="X1476" s="552"/>
      <c r="Y1476" s="552"/>
      <c r="Z1476" s="552"/>
      <c r="AA1476" s="553"/>
      <c r="AB1476" s="553"/>
    </row>
    <row r="1477" spans="1:28" ht="12.75">
      <c r="A1477" s="547" t="s">
        <v>548</v>
      </c>
      <c r="B1477" s="547" t="s">
        <v>173</v>
      </c>
      <c r="C1477" s="548" t="s">
        <v>812</v>
      </c>
      <c r="D1477" s="549">
        <v>2016</v>
      </c>
      <c r="E1477" s="549" t="s">
        <v>775</v>
      </c>
      <c r="F1477" s="550">
        <v>98</v>
      </c>
      <c r="G1477" s="550">
        <v>0</v>
      </c>
      <c r="H1477" s="550">
        <v>0</v>
      </c>
      <c r="I1477" s="550">
        <v>0</v>
      </c>
      <c r="J1477" s="550">
        <v>67</v>
      </c>
      <c r="K1477" s="550">
        <v>0</v>
      </c>
      <c r="L1477" s="550">
        <v>0</v>
      </c>
      <c r="M1477" s="550">
        <v>0</v>
      </c>
      <c r="N1477" s="550">
        <v>76</v>
      </c>
      <c r="O1477" s="550">
        <v>0</v>
      </c>
      <c r="P1477" s="550">
        <v>172</v>
      </c>
      <c r="Q1477" s="550">
        <v>80</v>
      </c>
      <c r="R1477" s="574" t="s">
        <v>548</v>
      </c>
      <c r="S1477" s="552"/>
      <c r="T1477" s="552"/>
      <c r="U1477" s="552"/>
      <c r="V1477" s="552"/>
      <c r="W1477" s="552"/>
      <c r="X1477" s="552"/>
      <c r="Y1477" s="552"/>
      <c r="Z1477" s="552"/>
      <c r="AA1477" s="553"/>
      <c r="AB1477" s="553"/>
    </row>
    <row r="1478" spans="1:28" ht="12.75">
      <c r="A1478" s="547" t="s">
        <v>548</v>
      </c>
      <c r="B1478" s="547" t="s">
        <v>173</v>
      </c>
      <c r="C1478" s="548" t="s">
        <v>812</v>
      </c>
      <c r="D1478" s="549">
        <v>2017</v>
      </c>
      <c r="E1478" s="549" t="s">
        <v>775</v>
      </c>
      <c r="F1478" s="550">
        <v>98</v>
      </c>
      <c r="G1478" s="550">
        <v>0</v>
      </c>
      <c r="H1478" s="550">
        <v>0</v>
      </c>
      <c r="I1478" s="550">
        <v>0</v>
      </c>
      <c r="J1478" s="550">
        <v>67</v>
      </c>
      <c r="K1478" s="550">
        <v>0</v>
      </c>
      <c r="L1478" s="550">
        <v>0</v>
      </c>
      <c r="M1478" s="550">
        <v>0</v>
      </c>
      <c r="N1478" s="550">
        <v>76</v>
      </c>
      <c r="O1478" s="550">
        <v>0</v>
      </c>
      <c r="P1478" s="550">
        <v>172</v>
      </c>
      <c r="Q1478" s="550">
        <v>95</v>
      </c>
      <c r="R1478" s="574" t="s">
        <v>548</v>
      </c>
      <c r="S1478" s="552"/>
      <c r="T1478" s="552"/>
      <c r="U1478" s="552"/>
      <c r="V1478" s="552"/>
      <c r="W1478" s="552"/>
      <c r="X1478" s="552"/>
      <c r="Y1478" s="552"/>
      <c r="Z1478" s="552"/>
      <c r="AA1478" s="553"/>
      <c r="AB1478" s="553"/>
    </row>
    <row r="1479" spans="1:28" ht="12.75">
      <c r="A1479" s="547" t="s">
        <v>548</v>
      </c>
      <c r="B1479" s="547" t="s">
        <v>173</v>
      </c>
      <c r="C1479" s="548" t="s">
        <v>812</v>
      </c>
      <c r="D1479" s="549">
        <v>2018</v>
      </c>
      <c r="E1479" s="549" t="s">
        <v>775</v>
      </c>
      <c r="F1479" s="550">
        <v>98</v>
      </c>
      <c r="G1479" s="555">
        <v>0</v>
      </c>
      <c r="H1479" s="555">
        <v>0</v>
      </c>
      <c r="I1479" s="555">
        <v>0</v>
      </c>
      <c r="J1479" s="550">
        <v>67</v>
      </c>
      <c r="K1479" s="555">
        <v>0</v>
      </c>
      <c r="L1479" s="555">
        <v>0</v>
      </c>
      <c r="M1479" s="555">
        <v>0</v>
      </c>
      <c r="N1479" s="550">
        <v>76</v>
      </c>
      <c r="O1479" s="555">
        <v>0</v>
      </c>
      <c r="P1479" s="550">
        <v>172</v>
      </c>
      <c r="Q1479" s="555">
        <v>0</v>
      </c>
      <c r="R1479" s="574" t="s">
        <v>548</v>
      </c>
      <c r="S1479" s="552"/>
      <c r="T1479" s="552"/>
      <c r="U1479" s="552"/>
      <c r="V1479" s="552"/>
      <c r="W1479" s="552"/>
      <c r="X1479" s="552"/>
      <c r="Y1479" s="552"/>
      <c r="Z1479" s="552"/>
      <c r="AA1479" s="553"/>
      <c r="AB1479" s="553"/>
    </row>
    <row r="1480" spans="1:28" ht="12.75">
      <c r="A1480" s="547" t="s">
        <v>548</v>
      </c>
      <c r="B1480" s="547" t="s">
        <v>173</v>
      </c>
      <c r="C1480" s="548" t="s">
        <v>813</v>
      </c>
      <c r="D1480" s="549">
        <v>2019</v>
      </c>
      <c r="E1480" s="549" t="s">
        <v>775</v>
      </c>
      <c r="F1480" s="550">
        <v>98</v>
      </c>
      <c r="G1480" s="550">
        <v>0</v>
      </c>
      <c r="H1480" s="550">
        <v>0</v>
      </c>
      <c r="I1480" s="550">
        <v>0</v>
      </c>
      <c r="J1480" s="550">
        <v>67</v>
      </c>
      <c r="K1480" s="550">
        <v>0</v>
      </c>
      <c r="L1480" s="550">
        <v>0</v>
      </c>
      <c r="M1480" s="550">
        <v>0</v>
      </c>
      <c r="N1480" s="550">
        <v>76</v>
      </c>
      <c r="O1480" s="550">
        <v>0</v>
      </c>
      <c r="P1480" s="550">
        <v>172</v>
      </c>
      <c r="Q1480" s="550">
        <v>42</v>
      </c>
      <c r="R1480" s="574" t="s">
        <v>548</v>
      </c>
      <c r="S1480" s="552">
        <f>SUM(G1475:G1480) +SUM(K1475:K1480)</f>
        <v>74</v>
      </c>
      <c r="T1480" s="552">
        <f>F1480+J1480</f>
        <v>165</v>
      </c>
      <c r="U1480" s="552">
        <f>SUM(O1475:O1480)</f>
        <v>0</v>
      </c>
      <c r="V1480" s="552">
        <f>N1480</f>
        <v>76</v>
      </c>
      <c r="W1480" s="554">
        <f>SUM(Q1475:Q1480)</f>
        <v>437</v>
      </c>
      <c r="X1480" s="552">
        <f>P1480</f>
        <v>172</v>
      </c>
      <c r="Y1480" s="552">
        <f>S1480+U1480+SUM(Q1475:Q1480)</f>
        <v>511</v>
      </c>
      <c r="Z1480" s="552">
        <f>F1480+J1480+N1480+P1480</f>
        <v>413</v>
      </c>
      <c r="AA1480" s="553"/>
      <c r="AB1480" s="553"/>
    </row>
    <row r="1481" spans="1:28" ht="12.75">
      <c r="A1481" s="547" t="s">
        <v>549</v>
      </c>
      <c r="B1481" s="547" t="s">
        <v>173</v>
      </c>
      <c r="C1481" s="548" t="s">
        <v>812</v>
      </c>
      <c r="D1481" s="549">
        <v>2014</v>
      </c>
      <c r="E1481" s="549" t="s">
        <v>775</v>
      </c>
      <c r="F1481" s="550">
        <v>63</v>
      </c>
      <c r="G1481" s="550">
        <v>0</v>
      </c>
      <c r="H1481" s="550">
        <v>0</v>
      </c>
      <c r="I1481" s="550">
        <v>0</v>
      </c>
      <c r="J1481" s="550">
        <v>43</v>
      </c>
      <c r="K1481" s="550">
        <v>0</v>
      </c>
      <c r="L1481" s="550">
        <v>0</v>
      </c>
      <c r="M1481" s="550">
        <v>0</v>
      </c>
      <c r="N1481" s="550">
        <v>50</v>
      </c>
      <c r="O1481" s="550">
        <v>0</v>
      </c>
      <c r="P1481" s="550">
        <v>116</v>
      </c>
      <c r="Q1481" s="550">
        <v>188</v>
      </c>
      <c r="R1481" s="574" t="s">
        <v>549</v>
      </c>
      <c r="S1481" s="552"/>
      <c r="T1481" s="552"/>
      <c r="U1481" s="552"/>
      <c r="V1481" s="552"/>
      <c r="W1481" s="552"/>
      <c r="X1481" s="552"/>
      <c r="Y1481" s="552"/>
      <c r="Z1481" s="552"/>
      <c r="AA1481" s="553"/>
      <c r="AB1481" s="553"/>
    </row>
    <row r="1482" spans="1:28" ht="12.75">
      <c r="A1482" s="547" t="s">
        <v>549</v>
      </c>
      <c r="B1482" s="547" t="s">
        <v>173</v>
      </c>
      <c r="C1482" s="548" t="s">
        <v>812</v>
      </c>
      <c r="D1482" s="549">
        <v>2015</v>
      </c>
      <c r="E1482" s="549" t="s">
        <v>775</v>
      </c>
      <c r="F1482" s="550">
        <v>63</v>
      </c>
      <c r="G1482" s="550">
        <v>0</v>
      </c>
      <c r="H1482" s="550">
        <v>0</v>
      </c>
      <c r="I1482" s="550">
        <v>0</v>
      </c>
      <c r="J1482" s="550">
        <v>43</v>
      </c>
      <c r="K1482" s="550">
        <v>0</v>
      </c>
      <c r="L1482" s="550">
        <v>0</v>
      </c>
      <c r="M1482" s="550">
        <v>0</v>
      </c>
      <c r="N1482" s="550">
        <v>50</v>
      </c>
      <c r="O1482" s="550">
        <v>0</v>
      </c>
      <c r="P1482" s="550">
        <v>116</v>
      </c>
      <c r="Q1482" s="550">
        <v>188</v>
      </c>
      <c r="R1482" s="574" t="s">
        <v>549</v>
      </c>
      <c r="S1482" s="552"/>
      <c r="T1482" s="552"/>
      <c r="U1482" s="552"/>
      <c r="V1482" s="552"/>
      <c r="W1482" s="552"/>
      <c r="X1482" s="552"/>
      <c r="Y1482" s="552"/>
      <c r="Z1482" s="552"/>
      <c r="AA1482" s="553"/>
      <c r="AB1482" s="553"/>
    </row>
    <row r="1483" spans="1:28" ht="12.75">
      <c r="A1483" s="547" t="s">
        <v>549</v>
      </c>
      <c r="B1483" s="547" t="s">
        <v>173</v>
      </c>
      <c r="C1483" s="548" t="s">
        <v>812</v>
      </c>
      <c r="D1483" s="549">
        <v>2016</v>
      </c>
      <c r="E1483" s="549" t="s">
        <v>775</v>
      </c>
      <c r="F1483" s="550">
        <v>63</v>
      </c>
      <c r="G1483" s="550">
        <v>0</v>
      </c>
      <c r="H1483" s="550">
        <v>0</v>
      </c>
      <c r="I1483" s="550">
        <v>0</v>
      </c>
      <c r="J1483" s="550">
        <v>43</v>
      </c>
      <c r="K1483" s="550">
        <v>0</v>
      </c>
      <c r="L1483" s="550">
        <v>0</v>
      </c>
      <c r="M1483" s="550">
        <v>0</v>
      </c>
      <c r="N1483" s="550">
        <v>50</v>
      </c>
      <c r="O1483" s="550">
        <v>0</v>
      </c>
      <c r="P1483" s="550">
        <v>116</v>
      </c>
      <c r="Q1483" s="550">
        <v>0</v>
      </c>
      <c r="R1483" s="574" t="s">
        <v>549</v>
      </c>
      <c r="S1483" s="552"/>
      <c r="T1483" s="552"/>
      <c r="U1483" s="552"/>
      <c r="V1483" s="552"/>
      <c r="W1483" s="552"/>
      <c r="X1483" s="552"/>
      <c r="Y1483" s="552"/>
      <c r="Z1483" s="552"/>
      <c r="AA1483" s="553"/>
      <c r="AB1483" s="553"/>
    </row>
    <row r="1484" spans="1:28" ht="12.75">
      <c r="A1484" s="547" t="s">
        <v>549</v>
      </c>
      <c r="B1484" s="547" t="s">
        <v>173</v>
      </c>
      <c r="C1484" s="548" t="s">
        <v>812</v>
      </c>
      <c r="D1484" s="549">
        <v>2017</v>
      </c>
      <c r="E1484" s="549" t="s">
        <v>775</v>
      </c>
      <c r="F1484" s="550">
        <v>63</v>
      </c>
      <c r="G1484" s="550">
        <v>0</v>
      </c>
      <c r="H1484" s="550">
        <v>0</v>
      </c>
      <c r="I1484" s="550">
        <v>0</v>
      </c>
      <c r="J1484" s="550">
        <v>43</v>
      </c>
      <c r="K1484" s="550">
        <v>0</v>
      </c>
      <c r="L1484" s="550">
        <v>0</v>
      </c>
      <c r="M1484" s="550">
        <v>0</v>
      </c>
      <c r="N1484" s="550">
        <v>50</v>
      </c>
      <c r="O1484" s="550">
        <v>0</v>
      </c>
      <c r="P1484" s="550">
        <v>116</v>
      </c>
      <c r="Q1484" s="550">
        <v>394</v>
      </c>
      <c r="R1484" s="574" t="s">
        <v>549</v>
      </c>
      <c r="S1484" s="552"/>
      <c r="T1484" s="552"/>
      <c r="U1484" s="552"/>
      <c r="V1484" s="552"/>
      <c r="W1484" s="552"/>
      <c r="X1484" s="552"/>
      <c r="Y1484" s="552"/>
      <c r="Z1484" s="552"/>
      <c r="AA1484" s="553"/>
      <c r="AB1484" s="553"/>
    </row>
    <row r="1485" spans="1:28" ht="12.75">
      <c r="A1485" s="547" t="s">
        <v>549</v>
      </c>
      <c r="B1485" s="547" t="s">
        <v>173</v>
      </c>
      <c r="C1485" s="548" t="s">
        <v>813</v>
      </c>
      <c r="D1485" s="549">
        <v>2019</v>
      </c>
      <c r="E1485" s="549" t="s">
        <v>775</v>
      </c>
      <c r="F1485" s="550">
        <v>63</v>
      </c>
      <c r="G1485" s="550">
        <v>0</v>
      </c>
      <c r="H1485" s="550">
        <v>0</v>
      </c>
      <c r="I1485" s="550">
        <v>0</v>
      </c>
      <c r="J1485" s="550">
        <v>43</v>
      </c>
      <c r="K1485" s="550">
        <v>0</v>
      </c>
      <c r="L1485" s="550">
        <v>0</v>
      </c>
      <c r="M1485" s="550">
        <v>0</v>
      </c>
      <c r="N1485" s="550">
        <v>50</v>
      </c>
      <c r="O1485" s="550">
        <v>4</v>
      </c>
      <c r="P1485" s="550">
        <v>116</v>
      </c>
      <c r="Q1485" s="550">
        <v>213</v>
      </c>
      <c r="R1485" s="574" t="s">
        <v>549</v>
      </c>
      <c r="S1485" s="255">
        <f>SUM(G1481:G1485) +SUM(K1481:K1485)</f>
        <v>0</v>
      </c>
      <c r="T1485" s="255">
        <f>F1485+J1485</f>
        <v>106</v>
      </c>
      <c r="U1485" s="255">
        <f>SUM(O1481:O1485)</f>
        <v>4</v>
      </c>
      <c r="V1485" s="255">
        <f>N1485</f>
        <v>50</v>
      </c>
      <c r="W1485" s="83">
        <f>SUM(Q1481:Q1485)</f>
        <v>983</v>
      </c>
      <c r="X1485" s="255">
        <f>P1485</f>
        <v>116</v>
      </c>
      <c r="Y1485" s="255">
        <f>S1485+U1485+SUM(Q1481:Q1485)</f>
        <v>987</v>
      </c>
      <c r="Z1485" s="255">
        <f>F1485+J1485+N1485+P1485</f>
        <v>272</v>
      </c>
      <c r="AA1485" s="553"/>
      <c r="AB1485" s="553"/>
    </row>
    <row r="1486" spans="1:28" ht="12.75">
      <c r="A1486" s="547" t="s">
        <v>550</v>
      </c>
      <c r="B1486" s="547" t="s">
        <v>173</v>
      </c>
      <c r="C1486" s="548" t="s">
        <v>812</v>
      </c>
      <c r="D1486" s="549">
        <v>2014</v>
      </c>
      <c r="E1486" s="549" t="s">
        <v>775</v>
      </c>
      <c r="F1486" s="550">
        <v>1026</v>
      </c>
      <c r="G1486" s="550">
        <v>359</v>
      </c>
      <c r="H1486" s="550">
        <v>359</v>
      </c>
      <c r="I1486" s="550">
        <v>0</v>
      </c>
      <c r="J1486" s="550">
        <v>681</v>
      </c>
      <c r="K1486" s="550">
        <v>0</v>
      </c>
      <c r="L1486" s="550">
        <v>0</v>
      </c>
      <c r="M1486" s="550">
        <v>0</v>
      </c>
      <c r="N1486" s="550">
        <v>759</v>
      </c>
      <c r="O1486" s="550">
        <v>222</v>
      </c>
      <c r="P1486" s="550">
        <v>1814</v>
      </c>
      <c r="Q1486" s="550">
        <v>0</v>
      </c>
      <c r="R1486" s="574" t="s">
        <v>550</v>
      </c>
      <c r="S1486" s="552"/>
      <c r="T1486" s="552"/>
      <c r="U1486" s="552"/>
      <c r="V1486" s="552"/>
      <c r="W1486" s="552"/>
      <c r="X1486" s="552"/>
      <c r="Y1486" s="552"/>
      <c r="Z1486" s="552"/>
      <c r="AA1486" s="553"/>
      <c r="AB1486" s="553"/>
    </row>
    <row r="1487" spans="1:28" ht="12.75">
      <c r="A1487" s="547" t="s">
        <v>550</v>
      </c>
      <c r="B1487" s="547" t="s">
        <v>173</v>
      </c>
      <c r="C1487" s="548" t="s">
        <v>812</v>
      </c>
      <c r="D1487" s="549">
        <v>2015</v>
      </c>
      <c r="E1487" s="549" t="s">
        <v>775</v>
      </c>
      <c r="F1487" s="550">
        <v>1026</v>
      </c>
      <c r="G1487" s="550">
        <v>0</v>
      </c>
      <c r="H1487" s="550">
        <v>0</v>
      </c>
      <c r="I1487" s="550">
        <v>0</v>
      </c>
      <c r="J1487" s="550">
        <v>681</v>
      </c>
      <c r="K1487" s="550">
        <v>0</v>
      </c>
      <c r="L1487" s="550">
        <v>0</v>
      </c>
      <c r="M1487" s="550">
        <v>0</v>
      </c>
      <c r="N1487" s="550">
        <v>759</v>
      </c>
      <c r="O1487" s="550">
        <v>0</v>
      </c>
      <c r="P1487" s="550">
        <v>1814</v>
      </c>
      <c r="Q1487" s="550">
        <v>222</v>
      </c>
      <c r="R1487" s="574" t="s">
        <v>550</v>
      </c>
      <c r="S1487" s="552"/>
      <c r="T1487" s="552"/>
      <c r="U1487" s="552"/>
      <c r="V1487" s="552"/>
      <c r="W1487" s="552"/>
      <c r="X1487" s="552"/>
      <c r="Y1487" s="552"/>
      <c r="Z1487" s="552"/>
      <c r="AA1487" s="553"/>
      <c r="AB1487" s="553"/>
    </row>
    <row r="1488" spans="1:28" ht="12.75">
      <c r="A1488" s="547" t="s">
        <v>550</v>
      </c>
      <c r="B1488" s="547" t="s">
        <v>173</v>
      </c>
      <c r="C1488" s="548" t="s">
        <v>812</v>
      </c>
      <c r="D1488" s="549">
        <v>2016</v>
      </c>
      <c r="E1488" s="549" t="s">
        <v>775</v>
      </c>
      <c r="F1488" s="550">
        <v>1026</v>
      </c>
      <c r="G1488" s="550">
        <v>0</v>
      </c>
      <c r="H1488" s="550">
        <v>0</v>
      </c>
      <c r="I1488" s="550">
        <v>0</v>
      </c>
      <c r="J1488" s="550">
        <v>681</v>
      </c>
      <c r="K1488" s="550">
        <v>0</v>
      </c>
      <c r="L1488" s="550">
        <v>0</v>
      </c>
      <c r="M1488" s="550">
        <v>0</v>
      </c>
      <c r="N1488" s="550">
        <v>759</v>
      </c>
      <c r="O1488" s="550">
        <v>0</v>
      </c>
      <c r="P1488" s="550">
        <v>1814</v>
      </c>
      <c r="Q1488" s="550">
        <v>701</v>
      </c>
      <c r="R1488" s="574" t="s">
        <v>550</v>
      </c>
      <c r="S1488" s="552"/>
      <c r="T1488" s="552"/>
      <c r="U1488" s="552"/>
      <c r="V1488" s="552"/>
      <c r="W1488" s="552"/>
      <c r="X1488" s="552"/>
      <c r="Y1488" s="552"/>
      <c r="Z1488" s="552"/>
      <c r="AA1488" s="553"/>
      <c r="AB1488" s="553"/>
    </row>
    <row r="1489" spans="1:28" ht="12.75">
      <c r="A1489" s="547" t="s">
        <v>550</v>
      </c>
      <c r="B1489" s="547" t="s">
        <v>173</v>
      </c>
      <c r="C1489" s="548" t="s">
        <v>812</v>
      </c>
      <c r="D1489" s="549">
        <v>2017</v>
      </c>
      <c r="E1489" s="549" t="s">
        <v>775</v>
      </c>
      <c r="F1489" s="550">
        <v>1026</v>
      </c>
      <c r="G1489" s="550">
        <v>0</v>
      </c>
      <c r="H1489" s="550">
        <v>0</v>
      </c>
      <c r="I1489" s="550">
        <v>0</v>
      </c>
      <c r="J1489" s="550">
        <v>681</v>
      </c>
      <c r="K1489" s="550">
        <v>0</v>
      </c>
      <c r="L1489" s="550">
        <v>0</v>
      </c>
      <c r="M1489" s="550">
        <v>0</v>
      </c>
      <c r="N1489" s="550">
        <v>759</v>
      </c>
      <c r="O1489" s="550">
        <v>0</v>
      </c>
      <c r="P1489" s="550">
        <v>1814</v>
      </c>
      <c r="Q1489" s="550">
        <v>0</v>
      </c>
      <c r="R1489" s="574" t="s">
        <v>550</v>
      </c>
      <c r="S1489" s="552"/>
      <c r="T1489" s="552"/>
      <c r="U1489" s="552"/>
      <c r="V1489" s="552"/>
      <c r="W1489" s="552"/>
      <c r="X1489" s="552"/>
      <c r="Y1489" s="552"/>
      <c r="Z1489" s="552"/>
      <c r="AA1489" s="553"/>
      <c r="AB1489" s="553"/>
    </row>
    <row r="1490" spans="1:28" ht="12.75">
      <c r="A1490" s="547" t="s">
        <v>550</v>
      </c>
      <c r="B1490" s="547" t="s">
        <v>173</v>
      </c>
      <c r="C1490" s="548" t="s">
        <v>812</v>
      </c>
      <c r="D1490" s="549">
        <v>2018</v>
      </c>
      <c r="E1490" s="549" t="s">
        <v>775</v>
      </c>
      <c r="F1490" s="550">
        <v>1026</v>
      </c>
      <c r="G1490" s="564"/>
      <c r="H1490" s="564"/>
      <c r="I1490" s="564"/>
      <c r="J1490" s="550">
        <v>681</v>
      </c>
      <c r="K1490" s="564"/>
      <c r="L1490" s="564"/>
      <c r="M1490" s="564"/>
      <c r="N1490" s="550">
        <v>759</v>
      </c>
      <c r="O1490" s="555">
        <v>0</v>
      </c>
      <c r="P1490" s="550">
        <v>1814</v>
      </c>
      <c r="Q1490" s="555">
        <v>0</v>
      </c>
      <c r="R1490" s="574" t="s">
        <v>550</v>
      </c>
      <c r="S1490" s="552"/>
      <c r="T1490" s="552"/>
      <c r="U1490" s="552"/>
      <c r="V1490" s="552"/>
      <c r="W1490" s="552"/>
      <c r="X1490" s="552"/>
      <c r="Y1490" s="552"/>
      <c r="Z1490" s="552"/>
      <c r="AA1490" s="553"/>
      <c r="AB1490" s="553"/>
    </row>
    <row r="1491" spans="1:28" ht="12.75">
      <c r="A1491" s="547" t="s">
        <v>550</v>
      </c>
      <c r="B1491" s="547" t="s">
        <v>173</v>
      </c>
      <c r="C1491" s="548" t="s">
        <v>813</v>
      </c>
      <c r="D1491" s="549">
        <v>2019</v>
      </c>
      <c r="E1491" s="549" t="s">
        <v>775</v>
      </c>
      <c r="F1491" s="550">
        <v>1026</v>
      </c>
      <c r="G1491" s="550">
        <v>0</v>
      </c>
      <c r="H1491" s="550">
        <v>0</v>
      </c>
      <c r="I1491" s="550">
        <v>0</v>
      </c>
      <c r="J1491" s="550">
        <v>681</v>
      </c>
      <c r="K1491" s="550">
        <v>0</v>
      </c>
      <c r="L1491" s="550">
        <v>0</v>
      </c>
      <c r="M1491" s="550">
        <v>0</v>
      </c>
      <c r="N1491" s="550">
        <v>759</v>
      </c>
      <c r="O1491" s="550">
        <v>0</v>
      </c>
      <c r="P1491" s="550">
        <v>1814</v>
      </c>
      <c r="Q1491" s="550">
        <v>0</v>
      </c>
      <c r="R1491" s="574" t="s">
        <v>550</v>
      </c>
      <c r="S1491" s="552">
        <f>SUM(G1486:G1491) +SUM(K1486:K1491)</f>
        <v>359</v>
      </c>
      <c r="T1491" s="552">
        <f>F1491+J1491</f>
        <v>1707</v>
      </c>
      <c r="U1491" s="552">
        <f>SUM(O1486:O1491)</f>
        <v>222</v>
      </c>
      <c r="V1491" s="552">
        <f>N1491</f>
        <v>759</v>
      </c>
      <c r="W1491" s="554">
        <f>SUM(Q1486:Q1491)</f>
        <v>923</v>
      </c>
      <c r="X1491" s="552">
        <f>P1491</f>
        <v>1814</v>
      </c>
      <c r="Y1491" s="552">
        <f>S1491+U1491+SUM(Q1486:Q1491)</f>
        <v>1504</v>
      </c>
      <c r="Z1491" s="552">
        <f>F1491+J1491+N1491+P1491</f>
        <v>4280</v>
      </c>
      <c r="AA1491" s="553"/>
      <c r="AB1491" s="553"/>
    </row>
    <row r="1492" spans="1:28" ht="12.75">
      <c r="A1492" s="547" t="s">
        <v>551</v>
      </c>
      <c r="B1492" s="547" t="s">
        <v>173</v>
      </c>
      <c r="C1492" s="548" t="s">
        <v>812</v>
      </c>
      <c r="D1492" s="549">
        <v>2017</v>
      </c>
      <c r="E1492" s="549" t="s">
        <v>775</v>
      </c>
      <c r="F1492" s="550">
        <v>23</v>
      </c>
      <c r="G1492" s="550">
        <v>0</v>
      </c>
      <c r="H1492" s="550">
        <v>0</v>
      </c>
      <c r="I1492" s="550">
        <v>0</v>
      </c>
      <c r="J1492" s="550">
        <v>15</v>
      </c>
      <c r="K1492" s="550">
        <v>0</v>
      </c>
      <c r="L1492" s="550">
        <v>0</v>
      </c>
      <c r="M1492" s="550">
        <v>0</v>
      </c>
      <c r="N1492" s="550">
        <v>18</v>
      </c>
      <c r="O1492" s="550">
        <v>1</v>
      </c>
      <c r="P1492" s="550">
        <v>39</v>
      </c>
      <c r="Q1492" s="550">
        <v>36</v>
      </c>
      <c r="R1492" s="574" t="s">
        <v>551</v>
      </c>
      <c r="S1492" s="552"/>
      <c r="T1492" s="552"/>
      <c r="U1492" s="552"/>
      <c r="V1492" s="552"/>
      <c r="W1492" s="552"/>
      <c r="X1492" s="552"/>
      <c r="Y1492" s="552"/>
      <c r="Z1492" s="552"/>
      <c r="AA1492" s="553"/>
      <c r="AB1492" s="553"/>
    </row>
    <row r="1493" spans="1:28" ht="12.75">
      <c r="A1493" s="547" t="s">
        <v>551</v>
      </c>
      <c r="B1493" s="547" t="s">
        <v>173</v>
      </c>
      <c r="C1493" s="548" t="s">
        <v>812</v>
      </c>
      <c r="D1493" s="549">
        <v>2018</v>
      </c>
      <c r="E1493" s="549" t="s">
        <v>775</v>
      </c>
      <c r="F1493" s="550">
        <v>23</v>
      </c>
      <c r="G1493" s="550">
        <v>0</v>
      </c>
      <c r="H1493" s="550">
        <v>0</v>
      </c>
      <c r="I1493" s="550">
        <v>0</v>
      </c>
      <c r="J1493" s="550">
        <v>15</v>
      </c>
      <c r="K1493" s="550">
        <v>0</v>
      </c>
      <c r="L1493" s="550">
        <v>0</v>
      </c>
      <c r="M1493" s="550">
        <v>0</v>
      </c>
      <c r="N1493" s="550">
        <v>18</v>
      </c>
      <c r="O1493" s="550">
        <v>1</v>
      </c>
      <c r="P1493" s="550">
        <v>39</v>
      </c>
      <c r="Q1493" s="550">
        <v>0</v>
      </c>
      <c r="R1493" s="574" t="s">
        <v>551</v>
      </c>
      <c r="S1493" s="552"/>
      <c r="T1493" s="552"/>
      <c r="U1493" s="552"/>
      <c r="V1493" s="552"/>
      <c r="W1493" s="552"/>
      <c r="X1493" s="552"/>
      <c r="Y1493" s="552"/>
      <c r="Z1493" s="552"/>
      <c r="AA1493" s="553"/>
      <c r="AB1493" s="553"/>
    </row>
    <row r="1494" spans="1:28" ht="12.75">
      <c r="A1494" s="547" t="s">
        <v>551</v>
      </c>
      <c r="B1494" s="547" t="s">
        <v>173</v>
      </c>
      <c r="C1494" s="548" t="s">
        <v>813</v>
      </c>
      <c r="D1494" s="549">
        <v>2019</v>
      </c>
      <c r="E1494" s="549" t="s">
        <v>775</v>
      </c>
      <c r="F1494" s="550">
        <v>23</v>
      </c>
      <c r="G1494" s="550">
        <v>0</v>
      </c>
      <c r="H1494" s="550">
        <v>0</v>
      </c>
      <c r="I1494" s="550">
        <v>0</v>
      </c>
      <c r="J1494" s="550">
        <v>15</v>
      </c>
      <c r="K1494" s="550">
        <v>0</v>
      </c>
      <c r="L1494" s="550">
        <v>0</v>
      </c>
      <c r="M1494" s="550">
        <v>0</v>
      </c>
      <c r="N1494" s="550">
        <v>18</v>
      </c>
      <c r="O1494" s="550">
        <v>0</v>
      </c>
      <c r="P1494" s="550">
        <v>39</v>
      </c>
      <c r="Q1494" s="550">
        <v>195</v>
      </c>
      <c r="R1494" s="574" t="s">
        <v>551</v>
      </c>
      <c r="S1494" s="255">
        <f>SUM(G1492:G1494) +SUM(K1492:K1494)</f>
        <v>0</v>
      </c>
      <c r="T1494" s="255">
        <f>F1494+J1494</f>
        <v>38</v>
      </c>
      <c r="U1494" s="255">
        <f>SUM(O1492:O1494)</f>
        <v>2</v>
      </c>
      <c r="V1494" s="255">
        <f>N1494</f>
        <v>18</v>
      </c>
      <c r="W1494" s="83">
        <f>SUM(Q1492:Q1494)</f>
        <v>231</v>
      </c>
      <c r="X1494" s="255">
        <f>P1494</f>
        <v>39</v>
      </c>
      <c r="Y1494" s="255">
        <f>S1494+U1494+SUM(Q1492:Q1494)</f>
        <v>233</v>
      </c>
      <c r="Z1494" s="255">
        <f>F1494+J1494+N1494+P1494</f>
        <v>95</v>
      </c>
      <c r="AA1494" s="553"/>
      <c r="AB1494" s="553"/>
    </row>
    <row r="1495" spans="1:28" ht="12.75">
      <c r="A1495" s="547" t="s">
        <v>173</v>
      </c>
      <c r="B1495" s="547" t="s">
        <v>173</v>
      </c>
      <c r="C1495" s="548" t="s">
        <v>812</v>
      </c>
      <c r="D1495" s="549">
        <v>2017</v>
      </c>
      <c r="E1495" s="549" t="s">
        <v>775</v>
      </c>
      <c r="F1495" s="550">
        <v>2002</v>
      </c>
      <c r="G1495" s="550">
        <v>0</v>
      </c>
      <c r="H1495" s="550">
        <v>0</v>
      </c>
      <c r="I1495" s="550">
        <v>0</v>
      </c>
      <c r="J1495" s="550">
        <v>1336</v>
      </c>
      <c r="K1495" s="550">
        <v>0</v>
      </c>
      <c r="L1495" s="550">
        <v>0</v>
      </c>
      <c r="M1495" s="550">
        <v>0</v>
      </c>
      <c r="N1495" s="550">
        <v>1503</v>
      </c>
      <c r="O1495" s="550">
        <v>12</v>
      </c>
      <c r="P1495" s="550">
        <v>3442</v>
      </c>
      <c r="Q1495" s="550">
        <v>70</v>
      </c>
      <c r="R1495" s="574" t="s">
        <v>173</v>
      </c>
      <c r="S1495" s="552"/>
      <c r="T1495" s="552"/>
      <c r="U1495" s="552"/>
      <c r="V1495" s="552"/>
      <c r="W1495" s="552"/>
      <c r="X1495" s="552"/>
      <c r="Y1495" s="552"/>
      <c r="Z1495" s="552"/>
      <c r="AA1495" s="553"/>
      <c r="AB1495" s="553"/>
    </row>
    <row r="1496" spans="1:28" ht="12.75">
      <c r="A1496" s="547" t="s">
        <v>173</v>
      </c>
      <c r="B1496" s="547" t="s">
        <v>173</v>
      </c>
      <c r="C1496" s="548" t="s">
        <v>812</v>
      </c>
      <c r="D1496" s="549">
        <v>2018</v>
      </c>
      <c r="E1496" s="549" t="s">
        <v>775</v>
      </c>
      <c r="F1496" s="550">
        <v>2002</v>
      </c>
      <c r="G1496" s="550">
        <v>4</v>
      </c>
      <c r="H1496" s="550">
        <v>0</v>
      </c>
      <c r="I1496" s="550">
        <v>4</v>
      </c>
      <c r="J1496" s="550">
        <v>1336</v>
      </c>
      <c r="K1496" s="550">
        <v>0</v>
      </c>
      <c r="L1496" s="550">
        <v>0</v>
      </c>
      <c r="M1496" s="550">
        <v>0</v>
      </c>
      <c r="N1496" s="550">
        <v>1503</v>
      </c>
      <c r="O1496" s="550">
        <v>0</v>
      </c>
      <c r="P1496" s="550">
        <v>3442</v>
      </c>
      <c r="Q1496" s="550">
        <v>601</v>
      </c>
      <c r="R1496" s="574" t="s">
        <v>173</v>
      </c>
      <c r="S1496" s="552"/>
      <c r="T1496" s="552"/>
      <c r="U1496" s="552"/>
      <c r="V1496" s="552"/>
      <c r="W1496" s="552"/>
      <c r="X1496" s="552"/>
      <c r="Y1496" s="552"/>
      <c r="Z1496" s="552"/>
      <c r="AA1496" s="553"/>
      <c r="AB1496" s="553"/>
    </row>
    <row r="1497" spans="1:28" ht="12.75">
      <c r="A1497" s="547" t="s">
        <v>173</v>
      </c>
      <c r="B1497" s="555" t="s">
        <v>173</v>
      </c>
      <c r="C1497" s="548" t="s">
        <v>813</v>
      </c>
      <c r="D1497" s="549">
        <v>2019</v>
      </c>
      <c r="E1497" s="549" t="s">
        <v>775</v>
      </c>
      <c r="F1497" s="550">
        <v>2002</v>
      </c>
      <c r="G1497" s="550">
        <v>0</v>
      </c>
      <c r="H1497" s="550">
        <v>0</v>
      </c>
      <c r="I1497" s="550">
        <v>0</v>
      </c>
      <c r="J1497" s="550">
        <v>1336</v>
      </c>
      <c r="K1497" s="550">
        <v>0</v>
      </c>
      <c r="L1497" s="550">
        <v>0</v>
      </c>
      <c r="M1497" s="550">
        <v>0</v>
      </c>
      <c r="N1497" s="550">
        <v>1503</v>
      </c>
      <c r="O1497" s="550">
        <v>31</v>
      </c>
      <c r="P1497" s="550">
        <v>3442</v>
      </c>
      <c r="Q1497" s="550">
        <v>627</v>
      </c>
      <c r="R1497" s="574" t="s">
        <v>173</v>
      </c>
      <c r="S1497" s="255">
        <f>SUM(G1495:G1497) +SUM(K1495:K1497)</f>
        <v>4</v>
      </c>
      <c r="T1497" s="255">
        <f>F1497+J1497</f>
        <v>3338</v>
      </c>
      <c r="U1497" s="255">
        <f>SUM(O1495:O1497)</f>
        <v>43</v>
      </c>
      <c r="V1497" s="255">
        <f>N1497</f>
        <v>1503</v>
      </c>
      <c r="W1497" s="83">
        <f>SUM(Q1495:Q1497)</f>
        <v>1298</v>
      </c>
      <c r="X1497" s="255">
        <f>P1497</f>
        <v>3442</v>
      </c>
      <c r="Y1497" s="255">
        <f>S1497+U1497+SUM(Q1495:Q1497)</f>
        <v>1345</v>
      </c>
      <c r="Z1497" s="255">
        <f>F1497+J1497+N1497+P1497</f>
        <v>8283</v>
      </c>
      <c r="AA1497" s="553"/>
      <c r="AB1497" s="553"/>
    </row>
    <row r="1498" spans="1:28" ht="12.75">
      <c r="A1498" s="547" t="s">
        <v>552</v>
      </c>
      <c r="B1498" s="555" t="s">
        <v>173</v>
      </c>
      <c r="C1498" s="548" t="s">
        <v>812</v>
      </c>
      <c r="D1498" s="549">
        <v>2014</v>
      </c>
      <c r="E1498" s="549" t="s">
        <v>775</v>
      </c>
      <c r="F1498" s="550">
        <v>7173</v>
      </c>
      <c r="G1498" s="550">
        <v>43</v>
      </c>
      <c r="H1498" s="550">
        <v>43</v>
      </c>
      <c r="I1498" s="550">
        <v>0</v>
      </c>
      <c r="J1498" s="550">
        <v>4871</v>
      </c>
      <c r="K1498" s="550">
        <v>45</v>
      </c>
      <c r="L1498" s="550">
        <v>45</v>
      </c>
      <c r="M1498" s="550">
        <v>0</v>
      </c>
      <c r="N1498" s="550">
        <v>5534</v>
      </c>
      <c r="O1498" s="550">
        <v>430</v>
      </c>
      <c r="P1498" s="550">
        <v>12725</v>
      </c>
      <c r="Q1498" s="550">
        <v>630</v>
      </c>
      <c r="R1498" s="574" t="s">
        <v>552</v>
      </c>
      <c r="S1498" s="552"/>
      <c r="T1498" s="552"/>
      <c r="U1498" s="552"/>
      <c r="V1498" s="552"/>
      <c r="W1498" s="552"/>
      <c r="X1498" s="552"/>
      <c r="Y1498" s="552"/>
      <c r="Z1498" s="552"/>
      <c r="AA1498" s="553"/>
      <c r="AB1498" s="553"/>
    </row>
    <row r="1499" spans="1:28" ht="12.75">
      <c r="A1499" s="547" t="s">
        <v>552</v>
      </c>
      <c r="B1499" s="547" t="s">
        <v>173</v>
      </c>
      <c r="C1499" s="548" t="s">
        <v>812</v>
      </c>
      <c r="D1499" s="549">
        <v>2015</v>
      </c>
      <c r="E1499" s="549" t="s">
        <v>775</v>
      </c>
      <c r="F1499" s="550">
        <v>7173</v>
      </c>
      <c r="G1499" s="550">
        <v>12</v>
      </c>
      <c r="H1499" s="550">
        <v>3</v>
      </c>
      <c r="I1499" s="550">
        <v>9</v>
      </c>
      <c r="J1499" s="550">
        <v>4871</v>
      </c>
      <c r="K1499" s="550">
        <v>8</v>
      </c>
      <c r="L1499" s="550">
        <v>8</v>
      </c>
      <c r="M1499" s="550">
        <v>0</v>
      </c>
      <c r="N1499" s="550">
        <v>5534</v>
      </c>
      <c r="O1499" s="550">
        <v>98</v>
      </c>
      <c r="P1499" s="550">
        <v>12725</v>
      </c>
      <c r="Q1499" s="550">
        <v>914</v>
      </c>
      <c r="R1499" s="574" t="s">
        <v>552</v>
      </c>
      <c r="S1499" s="552"/>
      <c r="T1499" s="552"/>
      <c r="U1499" s="552"/>
      <c r="V1499" s="552"/>
      <c r="W1499" s="552"/>
      <c r="X1499" s="552"/>
      <c r="Y1499" s="552"/>
      <c r="Z1499" s="552"/>
      <c r="AA1499" s="553"/>
      <c r="AB1499" s="553"/>
    </row>
    <row r="1500" spans="1:28" ht="12.75">
      <c r="A1500" s="547" t="s">
        <v>552</v>
      </c>
      <c r="B1500" s="555" t="s">
        <v>173</v>
      </c>
      <c r="C1500" s="548" t="s">
        <v>812</v>
      </c>
      <c r="D1500" s="549">
        <v>2016</v>
      </c>
      <c r="E1500" s="549" t="s">
        <v>775</v>
      </c>
      <c r="F1500" s="550">
        <v>7173</v>
      </c>
      <c r="G1500" s="550">
        <v>23</v>
      </c>
      <c r="H1500" s="550">
        <v>23</v>
      </c>
      <c r="I1500" s="550">
        <v>0</v>
      </c>
      <c r="J1500" s="550">
        <v>4871</v>
      </c>
      <c r="K1500" s="550">
        <v>2</v>
      </c>
      <c r="L1500" s="550">
        <v>2</v>
      </c>
      <c r="M1500" s="550">
        <v>0</v>
      </c>
      <c r="N1500" s="550">
        <v>5534</v>
      </c>
      <c r="O1500" s="550">
        <v>0</v>
      </c>
      <c r="P1500" s="550">
        <v>12725</v>
      </c>
      <c r="Q1500" s="550">
        <v>394</v>
      </c>
      <c r="R1500" s="574" t="s">
        <v>552</v>
      </c>
      <c r="S1500" s="552"/>
      <c r="T1500" s="552"/>
      <c r="U1500" s="552"/>
      <c r="V1500" s="552"/>
      <c r="W1500" s="552"/>
      <c r="X1500" s="552"/>
      <c r="Y1500" s="552"/>
      <c r="Z1500" s="552"/>
      <c r="AA1500" s="553"/>
      <c r="AB1500" s="553"/>
    </row>
    <row r="1501" spans="1:28" ht="12.75">
      <c r="A1501" s="547" t="s">
        <v>552</v>
      </c>
      <c r="B1501" s="547" t="s">
        <v>173</v>
      </c>
      <c r="C1501" s="548" t="s">
        <v>812</v>
      </c>
      <c r="D1501" s="549">
        <v>2017</v>
      </c>
      <c r="E1501" s="549" t="s">
        <v>775</v>
      </c>
      <c r="F1501" s="550">
        <v>7173</v>
      </c>
      <c r="G1501" s="550">
        <v>86</v>
      </c>
      <c r="H1501" s="550">
        <v>86</v>
      </c>
      <c r="I1501" s="550">
        <v>0</v>
      </c>
      <c r="J1501" s="550">
        <v>4871</v>
      </c>
      <c r="K1501" s="550">
        <v>27</v>
      </c>
      <c r="L1501" s="550">
        <v>27</v>
      </c>
      <c r="M1501" s="550">
        <v>0</v>
      </c>
      <c r="N1501" s="550">
        <v>5534</v>
      </c>
      <c r="O1501" s="550">
        <v>505</v>
      </c>
      <c r="P1501" s="550">
        <v>12725</v>
      </c>
      <c r="Q1501" s="550">
        <v>62</v>
      </c>
      <c r="R1501" s="574" t="s">
        <v>552</v>
      </c>
      <c r="S1501" s="552"/>
      <c r="T1501" s="552"/>
      <c r="U1501" s="552"/>
      <c r="V1501" s="552"/>
      <c r="W1501" s="552"/>
      <c r="X1501" s="552"/>
      <c r="Y1501" s="552"/>
      <c r="Z1501" s="552"/>
      <c r="AA1501" s="553"/>
      <c r="AB1501" s="553"/>
    </row>
    <row r="1502" spans="1:28" ht="12.75">
      <c r="A1502" s="547" t="s">
        <v>552</v>
      </c>
      <c r="B1502" s="547" t="s">
        <v>173</v>
      </c>
      <c r="C1502" s="548" t="s">
        <v>812</v>
      </c>
      <c r="D1502" s="549">
        <v>2018</v>
      </c>
      <c r="E1502" s="549" t="s">
        <v>775</v>
      </c>
      <c r="F1502" s="550">
        <v>7173</v>
      </c>
      <c r="G1502" s="550">
        <v>57</v>
      </c>
      <c r="H1502" s="550">
        <v>57</v>
      </c>
      <c r="I1502" s="550">
        <v>0</v>
      </c>
      <c r="J1502" s="550">
        <v>4871</v>
      </c>
      <c r="K1502" s="550">
        <v>0</v>
      </c>
      <c r="L1502" s="550">
        <v>0</v>
      </c>
      <c r="M1502" s="550">
        <v>0</v>
      </c>
      <c r="N1502" s="550">
        <v>5534</v>
      </c>
      <c r="O1502" s="550">
        <v>0</v>
      </c>
      <c r="P1502" s="550">
        <v>12725</v>
      </c>
      <c r="Q1502" s="550">
        <v>2250</v>
      </c>
      <c r="R1502" s="574" t="s">
        <v>552</v>
      </c>
      <c r="S1502" s="552"/>
      <c r="T1502" s="552"/>
      <c r="U1502" s="552"/>
      <c r="V1502" s="552"/>
      <c r="W1502" s="552"/>
      <c r="X1502" s="552"/>
      <c r="Y1502" s="552"/>
      <c r="Z1502" s="552"/>
      <c r="AA1502" s="553"/>
      <c r="AB1502" s="553"/>
    </row>
    <row r="1503" spans="1:28" ht="12.75">
      <c r="A1503" s="576" t="s">
        <v>552</v>
      </c>
      <c r="B1503" s="576" t="s">
        <v>173</v>
      </c>
      <c r="C1503" s="548" t="s">
        <v>813</v>
      </c>
      <c r="D1503" s="549">
        <v>2019</v>
      </c>
      <c r="E1503" s="577" t="s">
        <v>775</v>
      </c>
      <c r="F1503" s="550">
        <v>7173</v>
      </c>
      <c r="G1503" s="550">
        <v>3</v>
      </c>
      <c r="H1503" s="550">
        <v>0</v>
      </c>
      <c r="I1503" s="550">
        <v>3</v>
      </c>
      <c r="J1503" s="550">
        <v>4871</v>
      </c>
      <c r="K1503" s="550">
        <v>0</v>
      </c>
      <c r="L1503" s="550">
        <v>0</v>
      </c>
      <c r="M1503" s="550">
        <v>0</v>
      </c>
      <c r="N1503" s="550">
        <v>5534</v>
      </c>
      <c r="O1503" s="550">
        <v>265</v>
      </c>
      <c r="P1503" s="550">
        <v>12725</v>
      </c>
      <c r="Q1503" s="550">
        <v>1765</v>
      </c>
      <c r="R1503" s="574" t="s">
        <v>552</v>
      </c>
      <c r="S1503" s="552">
        <f>SUM(G1498:G1503) +SUM(K1498:K1503)</f>
        <v>306</v>
      </c>
      <c r="T1503" s="552">
        <f>F1503+J1503</f>
        <v>12044</v>
      </c>
      <c r="U1503" s="552">
        <f>SUM(O1498:O1503)</f>
        <v>1298</v>
      </c>
      <c r="V1503" s="552">
        <f>N1503</f>
        <v>5534</v>
      </c>
      <c r="W1503" s="554">
        <f>SUM(Q1498:Q1503)</f>
        <v>6015</v>
      </c>
      <c r="X1503" s="552">
        <f>P1503</f>
        <v>12725</v>
      </c>
      <c r="Y1503" s="552">
        <f>S1503+U1503+SUM(Q1498:Q1503)</f>
        <v>7619</v>
      </c>
      <c r="Z1503" s="552">
        <f>F1503+J1503+N1503+P1503</f>
        <v>30303</v>
      </c>
      <c r="AA1503" s="553"/>
      <c r="AB1503" s="553"/>
    </row>
    <row r="1504" spans="1:28" ht="12.75">
      <c r="A1504" s="576" t="s">
        <v>553</v>
      </c>
      <c r="B1504" s="576" t="s">
        <v>173</v>
      </c>
      <c r="C1504" s="548" t="s">
        <v>812</v>
      </c>
      <c r="D1504" s="549">
        <v>2014</v>
      </c>
      <c r="E1504" s="577" t="s">
        <v>775</v>
      </c>
      <c r="F1504" s="550">
        <v>562</v>
      </c>
      <c r="G1504" s="550">
        <v>0</v>
      </c>
      <c r="H1504" s="550">
        <v>0</v>
      </c>
      <c r="I1504" s="550">
        <v>0</v>
      </c>
      <c r="J1504" s="550">
        <v>394</v>
      </c>
      <c r="K1504" s="550">
        <v>0</v>
      </c>
      <c r="L1504" s="550">
        <v>0</v>
      </c>
      <c r="M1504" s="550">
        <v>0</v>
      </c>
      <c r="N1504" s="550">
        <v>441</v>
      </c>
      <c r="O1504" s="550">
        <v>8</v>
      </c>
      <c r="P1504" s="550">
        <v>1036</v>
      </c>
      <c r="Q1504" s="550">
        <v>102</v>
      </c>
      <c r="R1504" s="574" t="s">
        <v>553</v>
      </c>
      <c r="S1504" s="552"/>
      <c r="T1504" s="552"/>
      <c r="U1504" s="552"/>
      <c r="V1504" s="552"/>
      <c r="W1504" s="552"/>
      <c r="X1504" s="552"/>
      <c r="Y1504" s="552"/>
      <c r="Z1504" s="552"/>
      <c r="AA1504" s="578"/>
      <c r="AB1504" s="578"/>
    </row>
    <row r="1505" spans="1:28" ht="12.75">
      <c r="A1505" s="547" t="s">
        <v>553</v>
      </c>
      <c r="B1505" s="547" t="s">
        <v>173</v>
      </c>
      <c r="C1505" s="548" t="s">
        <v>812</v>
      </c>
      <c r="D1505" s="549">
        <v>2016</v>
      </c>
      <c r="E1505" s="549" t="s">
        <v>775</v>
      </c>
      <c r="F1505" s="550">
        <v>562</v>
      </c>
      <c r="G1505" s="550">
        <v>0</v>
      </c>
      <c r="H1505" s="550">
        <v>0</v>
      </c>
      <c r="I1505" s="550">
        <v>0</v>
      </c>
      <c r="J1505" s="550">
        <v>394</v>
      </c>
      <c r="K1505" s="550">
        <v>0</v>
      </c>
      <c r="L1505" s="550">
        <v>0</v>
      </c>
      <c r="M1505" s="550">
        <v>0</v>
      </c>
      <c r="N1505" s="550">
        <v>441</v>
      </c>
      <c r="O1505" s="550">
        <v>0</v>
      </c>
      <c r="P1505" s="550">
        <v>1036</v>
      </c>
      <c r="Q1505" s="550">
        <v>0</v>
      </c>
      <c r="R1505" s="574" t="s">
        <v>553</v>
      </c>
      <c r="S1505" s="552"/>
      <c r="T1505" s="552"/>
      <c r="U1505" s="552"/>
      <c r="V1505" s="552"/>
      <c r="W1505" s="552"/>
      <c r="X1505" s="552"/>
      <c r="Y1505" s="552"/>
      <c r="Z1505" s="552"/>
      <c r="AA1505" s="553"/>
      <c r="AB1505" s="553"/>
    </row>
    <row r="1506" spans="1:28" ht="12.75">
      <c r="A1506" s="547" t="s">
        <v>553</v>
      </c>
      <c r="B1506" s="547" t="s">
        <v>173</v>
      </c>
      <c r="C1506" s="548" t="s">
        <v>812</v>
      </c>
      <c r="D1506" s="549">
        <v>2017</v>
      </c>
      <c r="E1506" s="549" t="s">
        <v>775</v>
      </c>
      <c r="F1506" s="550">
        <v>562</v>
      </c>
      <c r="G1506" s="550">
        <v>0</v>
      </c>
      <c r="H1506" s="550">
        <v>0</v>
      </c>
      <c r="I1506" s="550">
        <v>0</v>
      </c>
      <c r="J1506" s="550">
        <v>394</v>
      </c>
      <c r="K1506" s="550">
        <v>0</v>
      </c>
      <c r="L1506" s="550">
        <v>0</v>
      </c>
      <c r="M1506" s="550">
        <v>0</v>
      </c>
      <c r="N1506" s="550">
        <v>441</v>
      </c>
      <c r="O1506" s="550">
        <v>0</v>
      </c>
      <c r="P1506" s="550">
        <v>1036</v>
      </c>
      <c r="Q1506" s="550">
        <v>216</v>
      </c>
      <c r="R1506" s="574" t="s">
        <v>553</v>
      </c>
      <c r="S1506" s="552"/>
      <c r="T1506" s="552"/>
      <c r="U1506" s="552"/>
      <c r="V1506" s="552"/>
      <c r="W1506" s="552"/>
      <c r="X1506" s="552"/>
      <c r="Y1506" s="552"/>
      <c r="Z1506" s="552"/>
      <c r="AA1506" s="553"/>
      <c r="AB1506" s="553"/>
    </row>
    <row r="1507" spans="1:28" ht="12.75">
      <c r="A1507" s="547" t="s">
        <v>553</v>
      </c>
      <c r="B1507" s="547" t="s">
        <v>173</v>
      </c>
      <c r="C1507" s="548" t="s">
        <v>812</v>
      </c>
      <c r="D1507" s="549">
        <v>2018</v>
      </c>
      <c r="E1507" s="549" t="s">
        <v>775</v>
      </c>
      <c r="F1507" s="550">
        <v>562</v>
      </c>
      <c r="G1507" s="550">
        <v>0</v>
      </c>
      <c r="H1507" s="550">
        <v>0</v>
      </c>
      <c r="I1507" s="550">
        <v>0</v>
      </c>
      <c r="J1507" s="550">
        <v>394</v>
      </c>
      <c r="K1507" s="550">
        <v>0</v>
      </c>
      <c r="L1507" s="550">
        <v>0</v>
      </c>
      <c r="M1507" s="550">
        <v>0</v>
      </c>
      <c r="N1507" s="550">
        <v>441</v>
      </c>
      <c r="O1507" s="550">
        <v>270</v>
      </c>
      <c r="P1507" s="550">
        <v>1036</v>
      </c>
      <c r="Q1507" s="550">
        <v>0</v>
      </c>
      <c r="R1507" s="574" t="s">
        <v>553</v>
      </c>
      <c r="S1507" s="552"/>
      <c r="T1507" s="552"/>
      <c r="U1507" s="552"/>
      <c r="V1507" s="552"/>
      <c r="W1507" s="552"/>
      <c r="X1507" s="552"/>
      <c r="Y1507" s="552"/>
      <c r="Z1507" s="552"/>
      <c r="AA1507" s="553"/>
      <c r="AB1507" s="553"/>
    </row>
    <row r="1508" spans="1:28" ht="12.75">
      <c r="A1508" s="576" t="s">
        <v>553</v>
      </c>
      <c r="B1508" s="576" t="s">
        <v>173</v>
      </c>
      <c r="C1508" s="548" t="s">
        <v>813</v>
      </c>
      <c r="D1508" s="549">
        <v>2019</v>
      </c>
      <c r="E1508" s="577" t="s">
        <v>775</v>
      </c>
      <c r="F1508" s="550">
        <v>562</v>
      </c>
      <c r="G1508" s="550">
        <v>0</v>
      </c>
      <c r="H1508" s="550">
        <v>0</v>
      </c>
      <c r="I1508" s="550">
        <v>0</v>
      </c>
      <c r="J1508" s="550">
        <v>394</v>
      </c>
      <c r="K1508" s="550">
        <v>0</v>
      </c>
      <c r="L1508" s="550">
        <v>0</v>
      </c>
      <c r="M1508" s="550">
        <v>0</v>
      </c>
      <c r="N1508" s="550">
        <v>441</v>
      </c>
      <c r="O1508" s="550">
        <v>201</v>
      </c>
      <c r="P1508" s="550">
        <v>1036</v>
      </c>
      <c r="Q1508" s="550">
        <v>0</v>
      </c>
      <c r="R1508" s="574" t="s">
        <v>553</v>
      </c>
      <c r="S1508" s="255">
        <f>SUM(G1504:G1508) +SUM(K1504:K1508)</f>
        <v>0</v>
      </c>
      <c r="T1508" s="255">
        <f>F1508+J1508</f>
        <v>956</v>
      </c>
      <c r="U1508" s="255">
        <f>SUM(O1504:O1508)</f>
        <v>479</v>
      </c>
      <c r="V1508" s="255">
        <f>N1508</f>
        <v>441</v>
      </c>
      <c r="W1508" s="83">
        <f>SUM(Q1504:Q1508)</f>
        <v>318</v>
      </c>
      <c r="X1508" s="255">
        <f>P1508</f>
        <v>1036</v>
      </c>
      <c r="Y1508" s="255">
        <f>S1508+U1508+SUM(Q1504:Q1508)</f>
        <v>797</v>
      </c>
      <c r="Z1508" s="255">
        <f>F1508+J1508+N1508+P1508</f>
        <v>2433</v>
      </c>
      <c r="AA1508" s="578"/>
      <c r="AB1508" s="578"/>
    </row>
    <row r="1509" spans="1:28" ht="12.75">
      <c r="A1509" s="547" t="s">
        <v>554</v>
      </c>
      <c r="B1509" s="547" t="s">
        <v>173</v>
      </c>
      <c r="C1509" s="548" t="s">
        <v>812</v>
      </c>
      <c r="D1509" s="549">
        <v>2014</v>
      </c>
      <c r="E1509" s="549" t="s">
        <v>775</v>
      </c>
      <c r="F1509" s="550">
        <v>375</v>
      </c>
      <c r="G1509" s="550">
        <v>0</v>
      </c>
      <c r="H1509" s="550">
        <v>0</v>
      </c>
      <c r="I1509" s="550">
        <v>0</v>
      </c>
      <c r="J1509" s="550">
        <v>251</v>
      </c>
      <c r="K1509" s="550">
        <v>0</v>
      </c>
      <c r="L1509" s="550">
        <v>0</v>
      </c>
      <c r="M1509" s="550">
        <v>0</v>
      </c>
      <c r="N1509" s="550">
        <v>271</v>
      </c>
      <c r="O1509" s="550">
        <v>0</v>
      </c>
      <c r="P1509" s="550">
        <v>596</v>
      </c>
      <c r="Q1509" s="550">
        <v>383</v>
      </c>
      <c r="R1509" s="574" t="s">
        <v>554</v>
      </c>
      <c r="S1509" s="552"/>
      <c r="T1509" s="552"/>
      <c r="U1509" s="552"/>
      <c r="V1509" s="552"/>
      <c r="W1509" s="552"/>
      <c r="X1509" s="552"/>
      <c r="Y1509" s="552"/>
      <c r="Z1509" s="552"/>
      <c r="AA1509" s="553"/>
      <c r="AB1509" s="553"/>
    </row>
    <row r="1510" spans="1:28" ht="12.75">
      <c r="A1510" s="547" t="s">
        <v>554</v>
      </c>
      <c r="B1510" s="547" t="s">
        <v>173</v>
      </c>
      <c r="C1510" s="548" t="s">
        <v>812</v>
      </c>
      <c r="D1510" s="549">
        <v>2015</v>
      </c>
      <c r="E1510" s="549" t="s">
        <v>775</v>
      </c>
      <c r="F1510" s="550">
        <v>375</v>
      </c>
      <c r="G1510" s="550">
        <v>0</v>
      </c>
      <c r="H1510" s="550">
        <v>0</v>
      </c>
      <c r="I1510" s="550">
        <v>0</v>
      </c>
      <c r="J1510" s="550">
        <v>251</v>
      </c>
      <c r="K1510" s="550">
        <v>0</v>
      </c>
      <c r="L1510" s="550">
        <v>0</v>
      </c>
      <c r="M1510" s="550">
        <v>0</v>
      </c>
      <c r="N1510" s="550">
        <v>271</v>
      </c>
      <c r="O1510" s="550">
        <v>0</v>
      </c>
      <c r="P1510" s="550">
        <v>596</v>
      </c>
      <c r="Q1510" s="550">
        <v>223</v>
      </c>
      <c r="R1510" s="574" t="s">
        <v>554</v>
      </c>
      <c r="S1510" s="552"/>
      <c r="T1510" s="552"/>
      <c r="U1510" s="552"/>
      <c r="V1510" s="552"/>
      <c r="W1510" s="552"/>
      <c r="X1510" s="552"/>
      <c r="Y1510" s="552"/>
      <c r="Z1510" s="552"/>
      <c r="AA1510" s="553"/>
      <c r="AB1510" s="553"/>
    </row>
    <row r="1511" spans="1:28" ht="12.75">
      <c r="A1511" s="547" t="s">
        <v>554</v>
      </c>
      <c r="B1511" s="547" t="s">
        <v>173</v>
      </c>
      <c r="C1511" s="548" t="s">
        <v>812</v>
      </c>
      <c r="D1511" s="549">
        <v>2016</v>
      </c>
      <c r="E1511" s="549" t="s">
        <v>775</v>
      </c>
      <c r="F1511" s="550">
        <v>375</v>
      </c>
      <c r="G1511" s="550">
        <v>0</v>
      </c>
      <c r="H1511" s="550">
        <v>0</v>
      </c>
      <c r="I1511" s="550">
        <v>0</v>
      </c>
      <c r="J1511" s="550">
        <v>251</v>
      </c>
      <c r="K1511" s="550">
        <v>0</v>
      </c>
      <c r="L1511" s="550">
        <v>0</v>
      </c>
      <c r="M1511" s="550">
        <v>0</v>
      </c>
      <c r="N1511" s="550">
        <v>271</v>
      </c>
      <c r="O1511" s="550">
        <v>0</v>
      </c>
      <c r="P1511" s="550">
        <v>596</v>
      </c>
      <c r="Q1511" s="550">
        <v>299</v>
      </c>
      <c r="R1511" s="574" t="s">
        <v>554</v>
      </c>
      <c r="S1511" s="552"/>
      <c r="T1511" s="552"/>
      <c r="U1511" s="552"/>
      <c r="V1511" s="552"/>
      <c r="W1511" s="552"/>
      <c r="X1511" s="552"/>
      <c r="Y1511" s="552"/>
      <c r="Z1511" s="552"/>
      <c r="AA1511" s="553"/>
      <c r="AB1511" s="553"/>
    </row>
    <row r="1512" spans="1:28" ht="12.75">
      <c r="A1512" s="547" t="s">
        <v>554</v>
      </c>
      <c r="B1512" s="547" t="s">
        <v>173</v>
      </c>
      <c r="C1512" s="548" t="s">
        <v>812</v>
      </c>
      <c r="D1512" s="549">
        <v>2017</v>
      </c>
      <c r="E1512" s="549" t="s">
        <v>775</v>
      </c>
      <c r="F1512" s="550">
        <v>375</v>
      </c>
      <c r="G1512" s="550">
        <v>15</v>
      </c>
      <c r="H1512" s="550">
        <v>15</v>
      </c>
      <c r="I1512" s="550">
        <v>0</v>
      </c>
      <c r="J1512" s="550">
        <v>251</v>
      </c>
      <c r="K1512" s="550">
        <v>0</v>
      </c>
      <c r="L1512" s="550">
        <v>0</v>
      </c>
      <c r="M1512" s="550">
        <v>0</v>
      </c>
      <c r="N1512" s="550">
        <v>271</v>
      </c>
      <c r="O1512" s="550">
        <v>15</v>
      </c>
      <c r="P1512" s="550">
        <v>596</v>
      </c>
      <c r="Q1512" s="550">
        <v>84</v>
      </c>
      <c r="R1512" s="574" t="s">
        <v>554</v>
      </c>
      <c r="S1512" s="552"/>
      <c r="T1512" s="552"/>
      <c r="U1512" s="552"/>
      <c r="V1512" s="552"/>
      <c r="W1512" s="552"/>
      <c r="X1512" s="552"/>
      <c r="Y1512" s="552"/>
      <c r="Z1512" s="552"/>
      <c r="AA1512" s="553"/>
      <c r="AB1512" s="553"/>
    </row>
    <row r="1513" spans="1:28" ht="12.75">
      <c r="A1513" s="547" t="s">
        <v>554</v>
      </c>
      <c r="B1513" s="547" t="s">
        <v>173</v>
      </c>
      <c r="C1513" s="548" t="s">
        <v>812</v>
      </c>
      <c r="D1513" s="549">
        <v>2018</v>
      </c>
      <c r="E1513" s="549" t="s">
        <v>775</v>
      </c>
      <c r="F1513" s="550">
        <v>375</v>
      </c>
      <c r="G1513" s="550">
        <v>0</v>
      </c>
      <c r="H1513" s="550">
        <v>0</v>
      </c>
      <c r="I1513" s="550">
        <v>0</v>
      </c>
      <c r="J1513" s="550">
        <v>251</v>
      </c>
      <c r="K1513" s="550">
        <v>0</v>
      </c>
      <c r="L1513" s="550">
        <v>0</v>
      </c>
      <c r="M1513" s="550">
        <v>0</v>
      </c>
      <c r="N1513" s="550">
        <v>271</v>
      </c>
      <c r="O1513" s="550">
        <v>0</v>
      </c>
      <c r="P1513" s="550">
        <v>596</v>
      </c>
      <c r="Q1513" s="550">
        <v>90</v>
      </c>
      <c r="R1513" s="574" t="s">
        <v>554</v>
      </c>
      <c r="S1513" s="552"/>
      <c r="T1513" s="552"/>
      <c r="U1513" s="552"/>
      <c r="V1513" s="552"/>
      <c r="W1513" s="552"/>
      <c r="X1513" s="552"/>
      <c r="Y1513" s="552"/>
      <c r="Z1513" s="552"/>
      <c r="AA1513" s="553"/>
      <c r="AB1513" s="553"/>
    </row>
    <row r="1514" spans="1:28" ht="12.75">
      <c r="A1514" s="547" t="s">
        <v>554</v>
      </c>
      <c r="B1514" s="547" t="s">
        <v>173</v>
      </c>
      <c r="C1514" s="548" t="s">
        <v>813</v>
      </c>
      <c r="D1514" s="549">
        <v>2019</v>
      </c>
      <c r="E1514" s="549" t="s">
        <v>775</v>
      </c>
      <c r="F1514" s="550">
        <v>375</v>
      </c>
      <c r="G1514" s="550">
        <v>0</v>
      </c>
      <c r="H1514" s="550">
        <v>0</v>
      </c>
      <c r="I1514" s="550">
        <v>0</v>
      </c>
      <c r="J1514" s="550">
        <v>251</v>
      </c>
      <c r="K1514" s="550">
        <v>0</v>
      </c>
      <c r="L1514" s="550">
        <v>0</v>
      </c>
      <c r="M1514" s="550">
        <v>0</v>
      </c>
      <c r="N1514" s="550">
        <v>271</v>
      </c>
      <c r="O1514" s="550">
        <v>0</v>
      </c>
      <c r="P1514" s="550">
        <v>596</v>
      </c>
      <c r="Q1514" s="550">
        <v>209</v>
      </c>
      <c r="R1514" s="574" t="s">
        <v>554</v>
      </c>
      <c r="S1514" s="552">
        <f>SUM(G1509:G1514) +SUM(K1509:K1514)</f>
        <v>15</v>
      </c>
      <c r="T1514" s="552">
        <f>F1514+J1514</f>
        <v>626</v>
      </c>
      <c r="U1514" s="552">
        <f>SUM(O1509:O1514)</f>
        <v>15</v>
      </c>
      <c r="V1514" s="552">
        <f>N1514</f>
        <v>271</v>
      </c>
      <c r="W1514" s="554">
        <f>SUM(Q1509:Q1514)</f>
        <v>1288</v>
      </c>
      <c r="X1514" s="552">
        <f>P1514</f>
        <v>596</v>
      </c>
      <c r="Y1514" s="552">
        <f>S1514+U1514+SUM(Q1509:Q1514)</f>
        <v>1318</v>
      </c>
      <c r="Z1514" s="552">
        <f>F1514+J1514+N1514+P1514</f>
        <v>1493</v>
      </c>
      <c r="AA1514" s="553"/>
      <c r="AB1514" s="553"/>
    </row>
    <row r="1515" spans="1:28" ht="12.75">
      <c r="A1515" s="547" t="s">
        <v>555</v>
      </c>
      <c r="B1515" s="547" t="s">
        <v>173</v>
      </c>
      <c r="C1515" s="548" t="s">
        <v>812</v>
      </c>
      <c r="D1515" s="549">
        <v>2014</v>
      </c>
      <c r="E1515" s="549" t="s">
        <v>775</v>
      </c>
      <c r="F1515" s="550">
        <v>621</v>
      </c>
      <c r="G1515" s="550">
        <v>0</v>
      </c>
      <c r="H1515" s="550">
        <v>0</v>
      </c>
      <c r="I1515" s="550">
        <v>0</v>
      </c>
      <c r="J1515" s="550">
        <v>415</v>
      </c>
      <c r="K1515" s="550">
        <v>0</v>
      </c>
      <c r="L1515" s="550">
        <v>0</v>
      </c>
      <c r="M1515" s="550">
        <v>0</v>
      </c>
      <c r="N1515" s="550">
        <v>461</v>
      </c>
      <c r="O1515" s="550">
        <v>4</v>
      </c>
      <c r="P1515" s="550">
        <v>1038</v>
      </c>
      <c r="Q1515" s="550">
        <v>307</v>
      </c>
      <c r="R1515" s="574" t="s">
        <v>555</v>
      </c>
      <c r="S1515" s="552"/>
      <c r="T1515" s="552"/>
      <c r="U1515" s="552"/>
      <c r="V1515" s="552"/>
      <c r="W1515" s="552"/>
      <c r="X1515" s="552"/>
      <c r="Y1515" s="552"/>
      <c r="Z1515" s="552"/>
      <c r="AA1515" s="553"/>
      <c r="AB1515" s="553"/>
    </row>
    <row r="1516" spans="1:28" ht="12.75">
      <c r="A1516" s="547" t="s">
        <v>555</v>
      </c>
      <c r="B1516" s="547" t="s">
        <v>173</v>
      </c>
      <c r="C1516" s="548" t="s">
        <v>812</v>
      </c>
      <c r="D1516" s="549">
        <v>2015</v>
      </c>
      <c r="E1516" s="549" t="s">
        <v>775</v>
      </c>
      <c r="F1516" s="550">
        <v>621</v>
      </c>
      <c r="G1516" s="550">
        <v>0</v>
      </c>
      <c r="H1516" s="550">
        <v>0</v>
      </c>
      <c r="I1516" s="550">
        <v>0</v>
      </c>
      <c r="J1516" s="550">
        <v>415</v>
      </c>
      <c r="K1516" s="550">
        <v>0</v>
      </c>
      <c r="L1516" s="550">
        <v>0</v>
      </c>
      <c r="M1516" s="550">
        <v>0</v>
      </c>
      <c r="N1516" s="550">
        <v>461</v>
      </c>
      <c r="O1516" s="550">
        <v>2</v>
      </c>
      <c r="P1516" s="550">
        <v>1038</v>
      </c>
      <c r="Q1516" s="550">
        <v>12</v>
      </c>
      <c r="R1516" s="574" t="s">
        <v>555</v>
      </c>
      <c r="S1516" s="552"/>
      <c r="T1516" s="552"/>
      <c r="U1516" s="552"/>
      <c r="V1516" s="552"/>
      <c r="W1516" s="552"/>
      <c r="X1516" s="552"/>
      <c r="Y1516" s="552"/>
      <c r="Z1516" s="552"/>
      <c r="AA1516" s="553"/>
      <c r="AB1516" s="553"/>
    </row>
    <row r="1517" spans="1:28" ht="12.75">
      <c r="A1517" s="547" t="s">
        <v>555</v>
      </c>
      <c r="B1517" s="547" t="s">
        <v>173</v>
      </c>
      <c r="C1517" s="548" t="s">
        <v>812</v>
      </c>
      <c r="D1517" s="549">
        <v>2016</v>
      </c>
      <c r="E1517" s="549" t="s">
        <v>775</v>
      </c>
      <c r="F1517" s="550">
        <v>621</v>
      </c>
      <c r="G1517" s="550">
        <v>0</v>
      </c>
      <c r="H1517" s="550">
        <v>0</v>
      </c>
      <c r="I1517" s="550">
        <v>0</v>
      </c>
      <c r="J1517" s="550">
        <v>415</v>
      </c>
      <c r="K1517" s="550">
        <v>0</v>
      </c>
      <c r="L1517" s="550">
        <v>0</v>
      </c>
      <c r="M1517" s="550">
        <v>0</v>
      </c>
      <c r="N1517" s="550">
        <v>461</v>
      </c>
      <c r="O1517" s="550">
        <v>9</v>
      </c>
      <c r="P1517" s="550">
        <v>1038</v>
      </c>
      <c r="Q1517" s="550">
        <v>141</v>
      </c>
      <c r="R1517" s="574" t="s">
        <v>555</v>
      </c>
      <c r="S1517" s="552"/>
      <c r="T1517" s="552"/>
      <c r="U1517" s="552"/>
      <c r="V1517" s="552"/>
      <c r="W1517" s="552"/>
      <c r="X1517" s="552"/>
      <c r="Y1517" s="552"/>
      <c r="Z1517" s="552"/>
      <c r="AA1517" s="553"/>
      <c r="AB1517" s="553"/>
    </row>
    <row r="1518" spans="1:28" ht="12.75">
      <c r="A1518" s="547" t="s">
        <v>555</v>
      </c>
      <c r="B1518" s="547" t="s">
        <v>173</v>
      </c>
      <c r="C1518" s="548" t="s">
        <v>812</v>
      </c>
      <c r="D1518" s="549">
        <v>2017</v>
      </c>
      <c r="E1518" s="549" t="s">
        <v>775</v>
      </c>
      <c r="F1518" s="550">
        <v>621</v>
      </c>
      <c r="G1518" s="550">
        <v>0</v>
      </c>
      <c r="H1518" s="550">
        <v>0</v>
      </c>
      <c r="I1518" s="550">
        <v>0</v>
      </c>
      <c r="J1518" s="550">
        <v>415</v>
      </c>
      <c r="K1518" s="550">
        <v>0</v>
      </c>
      <c r="L1518" s="550">
        <v>0</v>
      </c>
      <c r="M1518" s="550">
        <v>0</v>
      </c>
      <c r="N1518" s="550">
        <v>461</v>
      </c>
      <c r="O1518" s="550">
        <v>10</v>
      </c>
      <c r="P1518" s="550">
        <v>1038</v>
      </c>
      <c r="Q1518" s="550">
        <v>110</v>
      </c>
      <c r="R1518" s="574" t="s">
        <v>555</v>
      </c>
      <c r="S1518" s="552"/>
      <c r="T1518" s="552"/>
      <c r="U1518" s="552"/>
      <c r="V1518" s="552"/>
      <c r="W1518" s="552"/>
      <c r="X1518" s="552"/>
      <c r="Y1518" s="552"/>
      <c r="Z1518" s="552"/>
      <c r="AA1518" s="553"/>
      <c r="AB1518" s="553"/>
    </row>
    <row r="1519" spans="1:28" ht="12.75">
      <c r="A1519" s="547" t="s">
        <v>555</v>
      </c>
      <c r="B1519" s="547" t="s">
        <v>173</v>
      </c>
      <c r="C1519" s="548" t="s">
        <v>812</v>
      </c>
      <c r="D1519" s="549">
        <v>2018</v>
      </c>
      <c r="E1519" s="549" t="s">
        <v>775</v>
      </c>
      <c r="F1519" s="550">
        <v>621</v>
      </c>
      <c r="G1519" s="550">
        <v>0</v>
      </c>
      <c r="H1519" s="550">
        <v>0</v>
      </c>
      <c r="I1519" s="550">
        <v>0</v>
      </c>
      <c r="J1519" s="550">
        <v>415</v>
      </c>
      <c r="K1519" s="550">
        <v>14</v>
      </c>
      <c r="L1519" s="550">
        <v>0</v>
      </c>
      <c r="M1519" s="550">
        <v>14</v>
      </c>
      <c r="N1519" s="550">
        <v>461</v>
      </c>
      <c r="O1519" s="550">
        <v>3</v>
      </c>
      <c r="P1519" s="550">
        <v>1038</v>
      </c>
      <c r="Q1519" s="550">
        <v>39</v>
      </c>
      <c r="R1519" s="574" t="s">
        <v>555</v>
      </c>
      <c r="S1519" s="552"/>
      <c r="T1519" s="552"/>
      <c r="U1519" s="552"/>
      <c r="V1519" s="552"/>
      <c r="W1519" s="552"/>
      <c r="X1519" s="552"/>
      <c r="Y1519" s="552"/>
      <c r="Z1519" s="552"/>
      <c r="AA1519" s="553"/>
      <c r="AB1519" s="553"/>
    </row>
    <row r="1520" spans="1:28" ht="12.75">
      <c r="A1520" s="547" t="s">
        <v>555</v>
      </c>
      <c r="B1520" s="547" t="s">
        <v>173</v>
      </c>
      <c r="C1520" s="548" t="s">
        <v>813</v>
      </c>
      <c r="D1520" s="549">
        <v>2019</v>
      </c>
      <c r="E1520" s="549" t="s">
        <v>775</v>
      </c>
      <c r="F1520" s="550">
        <v>621</v>
      </c>
      <c r="G1520" s="550">
        <v>0</v>
      </c>
      <c r="H1520" s="550">
        <v>0</v>
      </c>
      <c r="I1520" s="550">
        <v>0</v>
      </c>
      <c r="J1520" s="550">
        <v>415</v>
      </c>
      <c r="K1520" s="550">
        <v>2</v>
      </c>
      <c r="L1520" s="550">
        <v>0</v>
      </c>
      <c r="M1520" s="550">
        <v>2</v>
      </c>
      <c r="N1520" s="550">
        <v>461</v>
      </c>
      <c r="O1520" s="550">
        <v>28</v>
      </c>
      <c r="P1520" s="550">
        <v>1038</v>
      </c>
      <c r="Q1520" s="550">
        <v>7</v>
      </c>
      <c r="R1520" s="574" t="s">
        <v>555</v>
      </c>
      <c r="S1520" s="556">
        <f>SUM(G1515:G1520) +SUM(K1515:K1520)</f>
        <v>16</v>
      </c>
      <c r="T1520" s="556">
        <f>F1520+J1520</f>
        <v>1036</v>
      </c>
      <c r="U1520" s="556">
        <f>SUM(O1515:O1520)</f>
        <v>56</v>
      </c>
      <c r="V1520" s="556">
        <f>N1520</f>
        <v>461</v>
      </c>
      <c r="W1520" s="557">
        <f>SUM(Q1515:Q1520)</f>
        <v>616</v>
      </c>
      <c r="X1520" s="556">
        <f>P1520</f>
        <v>1038</v>
      </c>
      <c r="Y1520" s="556">
        <f>S1520+U1520+SUM(Q1515:Q1520)</f>
        <v>688</v>
      </c>
      <c r="Z1520" s="556">
        <f>F1520+J1520+N1520+P1520</f>
        <v>2535</v>
      </c>
      <c r="AA1520" s="553"/>
      <c r="AB1520" s="553"/>
    </row>
    <row r="1521" spans="1:28" ht="12.75">
      <c r="A1521" s="547"/>
      <c r="B1521" s="547"/>
      <c r="C1521" s="548"/>
      <c r="D1521" s="549"/>
      <c r="E1521" s="549"/>
      <c r="F1521" s="550"/>
      <c r="G1521" s="550"/>
      <c r="H1521" s="550"/>
      <c r="I1521" s="550"/>
      <c r="J1521" s="550"/>
      <c r="K1521" s="550"/>
      <c r="L1521" s="550"/>
      <c r="M1521" s="550"/>
      <c r="N1521" s="550"/>
      <c r="O1521" s="550"/>
      <c r="P1521" s="550"/>
      <c r="Q1521" s="550"/>
      <c r="R1521" s="574"/>
      <c r="S1521" s="563">
        <f t="shared" ref="S1521:Z1521" si="202">SUM(S1382:S1520)</f>
        <v>1481</v>
      </c>
      <c r="T1521" s="563">
        <f t="shared" si="202"/>
        <v>40436</v>
      </c>
      <c r="U1521" s="563">
        <f t="shared" si="202"/>
        <v>5650</v>
      </c>
      <c r="V1521" s="563">
        <f t="shared" si="202"/>
        <v>18459</v>
      </c>
      <c r="W1521" s="563">
        <f t="shared" si="202"/>
        <v>26825</v>
      </c>
      <c r="X1521" s="563">
        <f t="shared" si="202"/>
        <v>42479</v>
      </c>
      <c r="Y1521" s="563">
        <f t="shared" si="202"/>
        <v>33956</v>
      </c>
      <c r="Z1521" s="563">
        <f t="shared" si="202"/>
        <v>101374</v>
      </c>
      <c r="AA1521" s="553"/>
      <c r="AB1521" s="553"/>
    </row>
    <row r="1522" spans="1:28" ht="12.75">
      <c r="A1522" s="547"/>
      <c r="B1522" s="547"/>
      <c r="C1522" s="548"/>
      <c r="D1522" s="549"/>
      <c r="E1522" s="549"/>
      <c r="F1522" s="550"/>
      <c r="G1522" s="550"/>
      <c r="H1522" s="550"/>
      <c r="I1522" s="550"/>
      <c r="J1522" s="550"/>
      <c r="K1522" s="550"/>
      <c r="L1522" s="550"/>
      <c r="M1522" s="550"/>
      <c r="N1522" s="550"/>
      <c r="O1522" s="550"/>
      <c r="P1522" s="550"/>
      <c r="Q1522" s="550"/>
      <c r="R1522" s="574"/>
      <c r="S1522" s="552"/>
      <c r="T1522" s="552"/>
      <c r="U1522" s="552"/>
      <c r="V1522" s="552"/>
      <c r="W1522" s="552"/>
      <c r="X1522" s="552"/>
      <c r="Y1522" s="552"/>
      <c r="Z1522" s="552"/>
      <c r="AA1522" s="553"/>
      <c r="AB1522" s="553"/>
    </row>
    <row r="1523" spans="1:28" ht="12.75">
      <c r="A1523" s="547" t="s">
        <v>556</v>
      </c>
      <c r="B1523" s="547" t="s">
        <v>174</v>
      </c>
      <c r="C1523" s="548" t="s">
        <v>799</v>
      </c>
      <c r="D1523" s="549">
        <v>2013</v>
      </c>
      <c r="E1523" s="549" t="s">
        <v>775</v>
      </c>
      <c r="F1523" s="550">
        <v>146</v>
      </c>
      <c r="G1523" s="550">
        <v>0</v>
      </c>
      <c r="H1523" s="550">
        <v>0</v>
      </c>
      <c r="I1523" s="550">
        <v>0</v>
      </c>
      <c r="J1523" s="550">
        <v>102</v>
      </c>
      <c r="K1523" s="550">
        <v>1</v>
      </c>
      <c r="L1523" s="550">
        <v>0</v>
      </c>
      <c r="M1523" s="550">
        <v>1</v>
      </c>
      <c r="N1523" s="550">
        <v>130</v>
      </c>
      <c r="O1523" s="550">
        <v>0</v>
      </c>
      <c r="P1523" s="550">
        <v>318</v>
      </c>
      <c r="Q1523" s="550">
        <v>1</v>
      </c>
      <c r="R1523" s="574" t="s">
        <v>556</v>
      </c>
      <c r="S1523" s="552"/>
      <c r="T1523" s="552"/>
      <c r="U1523" s="552"/>
      <c r="V1523" s="552"/>
      <c r="W1523" s="552"/>
      <c r="X1523" s="552"/>
      <c r="Y1523" s="552"/>
      <c r="Z1523" s="552"/>
      <c r="AA1523" s="553"/>
      <c r="AB1523" s="553"/>
    </row>
    <row r="1524" spans="1:28" ht="12.75">
      <c r="A1524" s="547" t="s">
        <v>556</v>
      </c>
      <c r="B1524" s="547" t="s">
        <v>174</v>
      </c>
      <c r="C1524" s="548" t="s">
        <v>799</v>
      </c>
      <c r="D1524" s="549">
        <v>2014</v>
      </c>
      <c r="E1524" s="549" t="s">
        <v>775</v>
      </c>
      <c r="F1524" s="550">
        <v>146</v>
      </c>
      <c r="G1524" s="550">
        <v>0</v>
      </c>
      <c r="H1524" s="550">
        <v>0</v>
      </c>
      <c r="I1524" s="550">
        <v>0</v>
      </c>
      <c r="J1524" s="550">
        <v>102</v>
      </c>
      <c r="K1524" s="550">
        <v>2</v>
      </c>
      <c r="L1524" s="550">
        <v>2</v>
      </c>
      <c r="M1524" s="550">
        <v>0</v>
      </c>
      <c r="N1524" s="550">
        <v>130</v>
      </c>
      <c r="O1524" s="550">
        <v>0</v>
      </c>
      <c r="P1524" s="550">
        <v>318</v>
      </c>
      <c r="Q1524" s="550">
        <v>5</v>
      </c>
      <c r="R1524" s="574" t="s">
        <v>556</v>
      </c>
      <c r="S1524" s="552"/>
      <c r="T1524" s="552"/>
      <c r="U1524" s="552"/>
      <c r="V1524" s="552"/>
      <c r="W1524" s="552"/>
      <c r="X1524" s="552"/>
      <c r="Y1524" s="552"/>
      <c r="Z1524" s="552"/>
      <c r="AA1524" s="553"/>
      <c r="AB1524" s="553"/>
    </row>
    <row r="1525" spans="1:28" ht="12.75">
      <c r="A1525" s="547" t="s">
        <v>556</v>
      </c>
      <c r="B1525" s="547" t="s">
        <v>174</v>
      </c>
      <c r="C1525" s="548" t="s">
        <v>799</v>
      </c>
      <c r="D1525" s="549">
        <v>2015</v>
      </c>
      <c r="E1525" s="549" t="s">
        <v>775</v>
      </c>
      <c r="F1525" s="550">
        <v>146</v>
      </c>
      <c r="G1525" s="550">
        <v>0</v>
      </c>
      <c r="H1525" s="550">
        <v>0</v>
      </c>
      <c r="I1525" s="550">
        <v>0</v>
      </c>
      <c r="J1525" s="550">
        <v>102</v>
      </c>
      <c r="K1525" s="550">
        <v>1</v>
      </c>
      <c r="L1525" s="550">
        <v>1</v>
      </c>
      <c r="M1525" s="550">
        <v>0</v>
      </c>
      <c r="N1525" s="550">
        <v>130</v>
      </c>
      <c r="O1525" s="550">
        <v>0</v>
      </c>
      <c r="P1525" s="550">
        <v>318</v>
      </c>
      <c r="Q1525" s="550">
        <v>43</v>
      </c>
      <c r="R1525" s="574" t="s">
        <v>556</v>
      </c>
      <c r="S1525" s="552"/>
      <c r="T1525" s="552"/>
      <c r="U1525" s="552"/>
      <c r="V1525" s="552"/>
      <c r="W1525" s="552"/>
      <c r="X1525" s="552"/>
      <c r="Y1525" s="552"/>
      <c r="Z1525" s="552"/>
      <c r="AA1525" s="553"/>
      <c r="AB1525" s="553"/>
    </row>
    <row r="1526" spans="1:28" ht="12.75">
      <c r="A1526" s="547" t="s">
        <v>556</v>
      </c>
      <c r="B1526" s="547" t="s">
        <v>174</v>
      </c>
      <c r="C1526" s="548" t="s">
        <v>799</v>
      </c>
      <c r="D1526" s="549">
        <v>2016</v>
      </c>
      <c r="E1526" s="549" t="s">
        <v>775</v>
      </c>
      <c r="F1526" s="550">
        <v>146</v>
      </c>
      <c r="G1526" s="550">
        <v>0</v>
      </c>
      <c r="H1526" s="550">
        <v>0</v>
      </c>
      <c r="I1526" s="550">
        <v>0</v>
      </c>
      <c r="J1526" s="550">
        <v>102</v>
      </c>
      <c r="K1526" s="550">
        <v>0</v>
      </c>
      <c r="L1526" s="550">
        <v>0</v>
      </c>
      <c r="M1526" s="550">
        <v>0</v>
      </c>
      <c r="N1526" s="550">
        <v>130</v>
      </c>
      <c r="O1526" s="550">
        <v>24</v>
      </c>
      <c r="P1526" s="550">
        <v>318</v>
      </c>
      <c r="Q1526" s="550">
        <v>0</v>
      </c>
      <c r="R1526" s="574" t="s">
        <v>556</v>
      </c>
      <c r="S1526" s="552"/>
      <c r="T1526" s="552"/>
      <c r="U1526" s="552"/>
      <c r="V1526" s="552"/>
      <c r="W1526" s="552"/>
      <c r="X1526" s="552"/>
      <c r="Y1526" s="552"/>
      <c r="Z1526" s="552"/>
      <c r="AA1526" s="553"/>
      <c r="AB1526" s="553"/>
    </row>
    <row r="1527" spans="1:28" ht="12.75">
      <c r="A1527" s="547" t="s">
        <v>556</v>
      </c>
      <c r="B1527" s="547" t="s">
        <v>174</v>
      </c>
      <c r="C1527" s="548" t="s">
        <v>799</v>
      </c>
      <c r="D1527" s="549">
        <v>2017</v>
      </c>
      <c r="E1527" s="549" t="s">
        <v>775</v>
      </c>
      <c r="F1527" s="550">
        <v>146</v>
      </c>
      <c r="G1527" s="550">
        <v>1</v>
      </c>
      <c r="H1527" s="550">
        <v>0</v>
      </c>
      <c r="I1527" s="550">
        <v>1</v>
      </c>
      <c r="J1527" s="550">
        <v>102</v>
      </c>
      <c r="K1527" s="550">
        <v>0</v>
      </c>
      <c r="L1527" s="550">
        <v>0</v>
      </c>
      <c r="M1527" s="550">
        <v>0</v>
      </c>
      <c r="N1527" s="550">
        <v>130</v>
      </c>
      <c r="O1527" s="550">
        <v>0</v>
      </c>
      <c r="P1527" s="550">
        <v>318</v>
      </c>
      <c r="Q1527" s="550">
        <v>12</v>
      </c>
      <c r="R1527" s="574" t="s">
        <v>556</v>
      </c>
      <c r="S1527" s="552"/>
      <c r="T1527" s="552"/>
      <c r="U1527" s="552"/>
      <c r="V1527" s="552"/>
      <c r="W1527" s="552"/>
      <c r="X1527" s="552"/>
      <c r="Y1527" s="552"/>
      <c r="Z1527" s="552"/>
      <c r="AA1527" s="553"/>
      <c r="AB1527" s="553"/>
    </row>
    <row r="1528" spans="1:28" ht="12.75">
      <c r="A1528" s="547" t="s">
        <v>556</v>
      </c>
      <c r="B1528" s="547" t="s">
        <v>174</v>
      </c>
      <c r="C1528" s="548" t="s">
        <v>799</v>
      </c>
      <c r="D1528" s="549">
        <v>2018</v>
      </c>
      <c r="E1528" s="549" t="s">
        <v>775</v>
      </c>
      <c r="F1528" s="550">
        <v>146</v>
      </c>
      <c r="G1528" s="550">
        <v>2</v>
      </c>
      <c r="H1528" s="550">
        <v>0</v>
      </c>
      <c r="I1528" s="550">
        <v>2</v>
      </c>
      <c r="J1528" s="550">
        <v>102</v>
      </c>
      <c r="K1528" s="550">
        <v>0</v>
      </c>
      <c r="L1528" s="550">
        <v>0</v>
      </c>
      <c r="M1528" s="550">
        <v>0</v>
      </c>
      <c r="N1528" s="550">
        <v>130</v>
      </c>
      <c r="O1528" s="550">
        <v>0</v>
      </c>
      <c r="P1528" s="550">
        <v>318</v>
      </c>
      <c r="Q1528" s="550">
        <v>16</v>
      </c>
      <c r="R1528" s="574" t="s">
        <v>556</v>
      </c>
      <c r="S1528" s="552"/>
      <c r="T1528" s="552"/>
      <c r="U1528" s="552"/>
      <c r="V1528" s="552"/>
      <c r="W1528" s="552"/>
      <c r="X1528" s="552"/>
      <c r="Y1528" s="552"/>
      <c r="Z1528" s="552"/>
      <c r="AA1528" s="553"/>
      <c r="AB1528" s="553"/>
    </row>
    <row r="1529" spans="1:28" ht="12.75">
      <c r="A1529" s="547" t="s">
        <v>556</v>
      </c>
      <c r="B1529" s="547" t="s">
        <v>174</v>
      </c>
      <c r="C1529" s="548" t="s">
        <v>801</v>
      </c>
      <c r="D1529" s="549">
        <v>2019</v>
      </c>
      <c r="E1529" s="549" t="s">
        <v>775</v>
      </c>
      <c r="F1529" s="550">
        <v>146</v>
      </c>
      <c r="G1529" s="550">
        <v>6</v>
      </c>
      <c r="H1529" s="550">
        <v>0</v>
      </c>
      <c r="I1529" s="550">
        <v>6</v>
      </c>
      <c r="J1529" s="550">
        <v>102</v>
      </c>
      <c r="K1529" s="550">
        <v>0</v>
      </c>
      <c r="L1529" s="550">
        <v>0</v>
      </c>
      <c r="M1529" s="550">
        <v>0</v>
      </c>
      <c r="N1529" s="550">
        <v>130</v>
      </c>
      <c r="O1529" s="550">
        <v>1</v>
      </c>
      <c r="P1529" s="550">
        <v>318</v>
      </c>
      <c r="Q1529" s="550">
        <v>12</v>
      </c>
      <c r="R1529" s="574" t="s">
        <v>556</v>
      </c>
      <c r="S1529" s="552">
        <f>SUM(G1523:G1529) +SUM(K1523:K1529)</f>
        <v>13</v>
      </c>
      <c r="T1529" s="552">
        <f>F1529+J1529</f>
        <v>248</v>
      </c>
      <c r="U1529" s="552">
        <f>SUM(O1523:O1529)</f>
        <v>25</v>
      </c>
      <c r="V1529" s="552">
        <f>N1529</f>
        <v>130</v>
      </c>
      <c r="W1529" s="554">
        <f>SUM(Q1523:Q1529)</f>
        <v>89</v>
      </c>
      <c r="X1529" s="552">
        <f>P1529</f>
        <v>318</v>
      </c>
      <c r="Y1529" s="552">
        <f>S1529+U1529+SUM(Q1523:Q1529)</f>
        <v>127</v>
      </c>
      <c r="Z1529" s="552">
        <f>F1529+J1529+N1529+P1529</f>
        <v>696</v>
      </c>
      <c r="AA1529" s="553"/>
      <c r="AB1529" s="553"/>
    </row>
    <row r="1530" spans="1:28" ht="12.75">
      <c r="A1530" s="547" t="s">
        <v>557</v>
      </c>
      <c r="B1530" s="547" t="s">
        <v>174</v>
      </c>
      <c r="C1530" s="548" t="s">
        <v>799</v>
      </c>
      <c r="D1530" s="549">
        <v>2013</v>
      </c>
      <c r="E1530" s="549" t="s">
        <v>775</v>
      </c>
      <c r="F1530" s="550">
        <v>2035</v>
      </c>
      <c r="G1530" s="550">
        <v>0</v>
      </c>
      <c r="H1530" s="550">
        <v>0</v>
      </c>
      <c r="I1530" s="550">
        <v>0</v>
      </c>
      <c r="J1530" s="550">
        <v>1427</v>
      </c>
      <c r="K1530" s="550">
        <v>0</v>
      </c>
      <c r="L1530" s="550">
        <v>0</v>
      </c>
      <c r="M1530" s="550">
        <v>0</v>
      </c>
      <c r="N1530" s="550">
        <v>1377</v>
      </c>
      <c r="O1530" s="550">
        <v>173</v>
      </c>
      <c r="P1530" s="550">
        <v>2563</v>
      </c>
      <c r="Q1530" s="550">
        <v>196</v>
      </c>
      <c r="R1530" s="574" t="s">
        <v>557</v>
      </c>
      <c r="S1530" s="552"/>
      <c r="T1530" s="552"/>
      <c r="U1530" s="552"/>
      <c r="V1530" s="552"/>
      <c r="W1530" s="552"/>
      <c r="X1530" s="552"/>
      <c r="Y1530" s="552"/>
      <c r="Z1530" s="552"/>
      <c r="AA1530" s="553"/>
      <c r="AB1530" s="553"/>
    </row>
    <row r="1531" spans="1:28" ht="12.75">
      <c r="A1531" s="547" t="s">
        <v>557</v>
      </c>
      <c r="B1531" s="547" t="s">
        <v>174</v>
      </c>
      <c r="C1531" s="548" t="s">
        <v>799</v>
      </c>
      <c r="D1531" s="549">
        <v>2014</v>
      </c>
      <c r="E1531" s="549" t="s">
        <v>775</v>
      </c>
      <c r="F1531" s="550">
        <v>2035</v>
      </c>
      <c r="G1531" s="550">
        <v>49</v>
      </c>
      <c r="H1531" s="550">
        <v>49</v>
      </c>
      <c r="I1531" s="550">
        <v>0</v>
      </c>
      <c r="J1531" s="550">
        <v>1427</v>
      </c>
      <c r="K1531" s="550">
        <v>14</v>
      </c>
      <c r="L1531" s="550">
        <v>14</v>
      </c>
      <c r="M1531" s="550">
        <v>0</v>
      </c>
      <c r="N1531" s="550">
        <v>1377</v>
      </c>
      <c r="O1531" s="550">
        <v>74</v>
      </c>
      <c r="P1531" s="550">
        <v>2563</v>
      </c>
      <c r="Q1531" s="550">
        <v>505</v>
      </c>
      <c r="R1531" s="574" t="s">
        <v>557</v>
      </c>
      <c r="S1531" s="552"/>
      <c r="T1531" s="552"/>
      <c r="U1531" s="552"/>
      <c r="V1531" s="552"/>
      <c r="W1531" s="552"/>
      <c r="X1531" s="552"/>
      <c r="Y1531" s="552"/>
      <c r="Z1531" s="552"/>
      <c r="AA1531" s="553"/>
      <c r="AB1531" s="553"/>
    </row>
    <row r="1532" spans="1:28" ht="12.75">
      <c r="A1532" s="547" t="s">
        <v>557</v>
      </c>
      <c r="B1532" s="547" t="s">
        <v>174</v>
      </c>
      <c r="C1532" s="548" t="s">
        <v>799</v>
      </c>
      <c r="D1532" s="549">
        <v>2015</v>
      </c>
      <c r="E1532" s="549" t="s">
        <v>775</v>
      </c>
      <c r="F1532" s="550">
        <v>2035</v>
      </c>
      <c r="G1532" s="550">
        <v>0</v>
      </c>
      <c r="H1532" s="550">
        <v>0</v>
      </c>
      <c r="I1532" s="550">
        <v>0</v>
      </c>
      <c r="J1532" s="550">
        <v>1427</v>
      </c>
      <c r="K1532" s="550">
        <v>0</v>
      </c>
      <c r="L1532" s="550">
        <v>0</v>
      </c>
      <c r="M1532" s="550">
        <v>0</v>
      </c>
      <c r="N1532" s="550">
        <v>1377</v>
      </c>
      <c r="O1532" s="550">
        <v>23</v>
      </c>
      <c r="P1532" s="550">
        <v>2563</v>
      </c>
      <c r="Q1532" s="550">
        <v>616</v>
      </c>
      <c r="R1532" s="574" t="s">
        <v>557</v>
      </c>
      <c r="S1532" s="552"/>
      <c r="T1532" s="552"/>
      <c r="U1532" s="552"/>
      <c r="V1532" s="552"/>
      <c r="W1532" s="552"/>
      <c r="X1532" s="552"/>
      <c r="Y1532" s="552"/>
      <c r="Z1532" s="552"/>
      <c r="AA1532" s="553"/>
      <c r="AB1532" s="553"/>
    </row>
    <row r="1533" spans="1:28" ht="12.75">
      <c r="A1533" s="547" t="s">
        <v>557</v>
      </c>
      <c r="B1533" s="547" t="s">
        <v>174</v>
      </c>
      <c r="C1533" s="548" t="s">
        <v>799</v>
      </c>
      <c r="D1533" s="549">
        <v>2016</v>
      </c>
      <c r="E1533" s="549" t="s">
        <v>775</v>
      </c>
      <c r="F1533" s="550">
        <v>2035</v>
      </c>
      <c r="G1533" s="550">
        <v>0</v>
      </c>
      <c r="H1533" s="550">
        <v>0</v>
      </c>
      <c r="I1533" s="550">
        <v>0</v>
      </c>
      <c r="J1533" s="550">
        <v>1427</v>
      </c>
      <c r="K1533" s="550">
        <v>0</v>
      </c>
      <c r="L1533" s="550">
        <v>0</v>
      </c>
      <c r="M1533" s="550">
        <v>0</v>
      </c>
      <c r="N1533" s="550">
        <v>1377</v>
      </c>
      <c r="O1533" s="550">
        <v>1</v>
      </c>
      <c r="P1533" s="550">
        <v>2563</v>
      </c>
      <c r="Q1533" s="550">
        <v>453</v>
      </c>
      <c r="R1533" s="574" t="s">
        <v>557</v>
      </c>
      <c r="S1533" s="552"/>
      <c r="T1533" s="552"/>
      <c r="U1533" s="552"/>
      <c r="V1533" s="552"/>
      <c r="W1533" s="552"/>
      <c r="X1533" s="552"/>
      <c r="Y1533" s="552"/>
      <c r="Z1533" s="552"/>
      <c r="AA1533" s="553"/>
      <c r="AB1533" s="553"/>
    </row>
    <row r="1534" spans="1:28" ht="12.75">
      <c r="A1534" s="547" t="s">
        <v>557</v>
      </c>
      <c r="B1534" s="547" t="s">
        <v>174</v>
      </c>
      <c r="C1534" s="548" t="s">
        <v>799</v>
      </c>
      <c r="D1534" s="549">
        <v>2017</v>
      </c>
      <c r="E1534" s="549" t="s">
        <v>775</v>
      </c>
      <c r="F1534" s="550">
        <v>2035</v>
      </c>
      <c r="G1534" s="550">
        <v>35</v>
      </c>
      <c r="H1534" s="550">
        <v>35</v>
      </c>
      <c r="I1534" s="550">
        <v>0</v>
      </c>
      <c r="J1534" s="550">
        <v>1427</v>
      </c>
      <c r="K1534" s="550">
        <v>62</v>
      </c>
      <c r="L1534" s="550">
        <v>62</v>
      </c>
      <c r="M1534" s="550">
        <v>0</v>
      </c>
      <c r="N1534" s="550">
        <v>1377</v>
      </c>
      <c r="O1534" s="550">
        <v>0</v>
      </c>
      <c r="P1534" s="550">
        <v>2563</v>
      </c>
      <c r="Q1534" s="550">
        <v>433</v>
      </c>
      <c r="R1534" s="574" t="s">
        <v>557</v>
      </c>
      <c r="S1534" s="552"/>
      <c r="T1534" s="552"/>
      <c r="U1534" s="552"/>
      <c r="V1534" s="552"/>
      <c r="W1534" s="552"/>
      <c r="X1534" s="552"/>
      <c r="Y1534" s="552"/>
      <c r="Z1534" s="552"/>
      <c r="AA1534" s="553"/>
      <c r="AB1534" s="553"/>
    </row>
    <row r="1535" spans="1:28" ht="12.75">
      <c r="A1535" s="547" t="s">
        <v>557</v>
      </c>
      <c r="B1535" s="547" t="s">
        <v>174</v>
      </c>
      <c r="C1535" s="548" t="s">
        <v>799</v>
      </c>
      <c r="D1535" s="549">
        <v>2018</v>
      </c>
      <c r="E1535" s="549" t="s">
        <v>775</v>
      </c>
      <c r="F1535" s="550">
        <v>2035</v>
      </c>
      <c r="G1535" s="550">
        <v>0</v>
      </c>
      <c r="H1535" s="550">
        <v>0</v>
      </c>
      <c r="I1535" s="550">
        <v>0</v>
      </c>
      <c r="J1535" s="550">
        <v>1427</v>
      </c>
      <c r="K1535" s="550">
        <v>0</v>
      </c>
      <c r="L1535" s="550">
        <v>0</v>
      </c>
      <c r="M1535" s="550">
        <v>0</v>
      </c>
      <c r="N1535" s="550">
        <v>1377</v>
      </c>
      <c r="O1535" s="550">
        <v>0</v>
      </c>
      <c r="P1535" s="550">
        <v>2563</v>
      </c>
      <c r="Q1535" s="550">
        <v>793</v>
      </c>
      <c r="R1535" s="574" t="s">
        <v>557</v>
      </c>
      <c r="S1535" s="552"/>
      <c r="T1535" s="552"/>
      <c r="U1535" s="552"/>
      <c r="V1535" s="552"/>
      <c r="W1535" s="552"/>
      <c r="X1535" s="552"/>
      <c r="Y1535" s="552"/>
      <c r="Z1535" s="552"/>
      <c r="AA1535" s="553"/>
      <c r="AB1535" s="553"/>
    </row>
    <row r="1536" spans="1:28" ht="12.75">
      <c r="A1536" s="547" t="s">
        <v>557</v>
      </c>
      <c r="B1536" s="555" t="s">
        <v>174</v>
      </c>
      <c r="C1536" s="548" t="s">
        <v>801</v>
      </c>
      <c r="D1536" s="549">
        <v>2019</v>
      </c>
      <c r="E1536" s="549" t="s">
        <v>775</v>
      </c>
      <c r="F1536" s="550">
        <v>2035</v>
      </c>
      <c r="G1536" s="550">
        <v>63</v>
      </c>
      <c r="H1536" s="550">
        <v>63</v>
      </c>
      <c r="I1536" s="550">
        <v>0</v>
      </c>
      <c r="J1536" s="550">
        <v>1427</v>
      </c>
      <c r="K1536" s="550">
        <v>32</v>
      </c>
      <c r="L1536" s="550">
        <v>32</v>
      </c>
      <c r="M1536" s="550">
        <v>0</v>
      </c>
      <c r="N1536" s="550">
        <v>1377</v>
      </c>
      <c r="O1536" s="550">
        <v>0</v>
      </c>
      <c r="P1536" s="550">
        <v>2563</v>
      </c>
      <c r="Q1536" s="550">
        <v>1012</v>
      </c>
      <c r="R1536" s="574" t="s">
        <v>557</v>
      </c>
      <c r="S1536" s="552">
        <f>SUM(G1530:G1536) +SUM(K1530:K1536)</f>
        <v>255</v>
      </c>
      <c r="T1536" s="552">
        <f>F1536+J1536</f>
        <v>3462</v>
      </c>
      <c r="U1536" s="552">
        <f>SUM(O1530:O1536)</f>
        <v>271</v>
      </c>
      <c r="V1536" s="552">
        <f>N1536</f>
        <v>1377</v>
      </c>
      <c r="W1536" s="554">
        <f>SUM(Q1530:Q1536)</f>
        <v>4008</v>
      </c>
      <c r="X1536" s="552">
        <f>P1536</f>
        <v>2563</v>
      </c>
      <c r="Y1536" s="552">
        <f>S1536+U1536+SUM(Q1530:Q1536)</f>
        <v>4534</v>
      </c>
      <c r="Z1536" s="552">
        <f>F1536+J1536+N1536+P1536</f>
        <v>7402</v>
      </c>
      <c r="AA1536" s="553"/>
      <c r="AB1536" s="553"/>
    </row>
    <row r="1537" spans="1:28" ht="12.75">
      <c r="A1537" s="547" t="s">
        <v>558</v>
      </c>
      <c r="B1537" s="555" t="s">
        <v>174</v>
      </c>
      <c r="C1537" s="548" t="s">
        <v>799</v>
      </c>
      <c r="D1537" s="549">
        <v>2013</v>
      </c>
      <c r="E1537" s="549" t="s">
        <v>775</v>
      </c>
      <c r="F1537" s="550">
        <v>1218</v>
      </c>
      <c r="G1537" s="550">
        <v>0</v>
      </c>
      <c r="H1537" s="550">
        <v>0</v>
      </c>
      <c r="I1537" s="550">
        <v>0</v>
      </c>
      <c r="J1537" s="550">
        <v>854</v>
      </c>
      <c r="K1537" s="550">
        <v>0</v>
      </c>
      <c r="L1537" s="550">
        <v>0</v>
      </c>
      <c r="M1537" s="550">
        <v>0</v>
      </c>
      <c r="N1537" s="550">
        <v>862</v>
      </c>
      <c r="O1537" s="550">
        <v>28</v>
      </c>
      <c r="P1537" s="550">
        <v>1699</v>
      </c>
      <c r="Q1537" s="550">
        <v>302</v>
      </c>
      <c r="R1537" s="574" t="s">
        <v>558</v>
      </c>
      <c r="S1537" s="552"/>
      <c r="T1537" s="552"/>
      <c r="U1537" s="552"/>
      <c r="V1537" s="552"/>
      <c r="W1537" s="552"/>
      <c r="X1537" s="552"/>
      <c r="Y1537" s="552"/>
      <c r="Z1537" s="552"/>
      <c r="AA1537" s="553"/>
      <c r="AB1537" s="553"/>
    </row>
    <row r="1538" spans="1:28" ht="12.75">
      <c r="A1538" s="547" t="s">
        <v>558</v>
      </c>
      <c r="B1538" s="547" t="s">
        <v>174</v>
      </c>
      <c r="C1538" s="548" t="s">
        <v>799</v>
      </c>
      <c r="D1538" s="549">
        <v>2014</v>
      </c>
      <c r="E1538" s="549" t="s">
        <v>775</v>
      </c>
      <c r="F1538" s="550">
        <v>1218</v>
      </c>
      <c r="G1538" s="550">
        <v>0</v>
      </c>
      <c r="H1538" s="550">
        <v>0</v>
      </c>
      <c r="I1538" s="550">
        <v>0</v>
      </c>
      <c r="J1538" s="550">
        <v>854</v>
      </c>
      <c r="K1538" s="550">
        <v>0</v>
      </c>
      <c r="L1538" s="550">
        <v>0</v>
      </c>
      <c r="M1538" s="550">
        <v>0</v>
      </c>
      <c r="N1538" s="550">
        <v>862</v>
      </c>
      <c r="O1538" s="550">
        <v>68</v>
      </c>
      <c r="P1538" s="550">
        <v>1699</v>
      </c>
      <c r="Q1538" s="550">
        <v>205</v>
      </c>
      <c r="R1538" s="574" t="s">
        <v>558</v>
      </c>
      <c r="S1538" s="552"/>
      <c r="T1538" s="552"/>
      <c r="U1538" s="552"/>
      <c r="V1538" s="552"/>
      <c r="W1538" s="552"/>
      <c r="X1538" s="552"/>
      <c r="Y1538" s="552"/>
      <c r="Z1538" s="552"/>
      <c r="AA1538" s="553"/>
      <c r="AB1538" s="553"/>
    </row>
    <row r="1539" spans="1:28" ht="12.75">
      <c r="A1539" s="547" t="s">
        <v>558</v>
      </c>
      <c r="B1539" s="547" t="s">
        <v>174</v>
      </c>
      <c r="C1539" s="548" t="s">
        <v>799</v>
      </c>
      <c r="D1539" s="549">
        <v>2015</v>
      </c>
      <c r="E1539" s="549" t="s">
        <v>775</v>
      </c>
      <c r="F1539" s="550">
        <v>1218</v>
      </c>
      <c r="G1539" s="550">
        <v>0</v>
      </c>
      <c r="H1539" s="550">
        <v>0</v>
      </c>
      <c r="I1539" s="550">
        <v>0</v>
      </c>
      <c r="J1539" s="550">
        <v>854</v>
      </c>
      <c r="K1539" s="550">
        <v>0</v>
      </c>
      <c r="L1539" s="550">
        <v>0</v>
      </c>
      <c r="M1539" s="550">
        <v>0</v>
      </c>
      <c r="N1539" s="550">
        <v>862</v>
      </c>
      <c r="O1539" s="550">
        <v>54</v>
      </c>
      <c r="P1539" s="550">
        <v>1699</v>
      </c>
      <c r="Q1539" s="550">
        <v>180</v>
      </c>
      <c r="R1539" s="574" t="s">
        <v>558</v>
      </c>
      <c r="S1539" s="552"/>
      <c r="T1539" s="552"/>
      <c r="U1539" s="552"/>
      <c r="V1539" s="552"/>
      <c r="W1539" s="552"/>
      <c r="X1539" s="552"/>
      <c r="Y1539" s="552"/>
      <c r="Z1539" s="552"/>
      <c r="AA1539" s="553"/>
      <c r="AB1539" s="553"/>
    </row>
    <row r="1540" spans="1:28" ht="12.75">
      <c r="A1540" s="547" t="s">
        <v>558</v>
      </c>
      <c r="B1540" s="555" t="s">
        <v>174</v>
      </c>
      <c r="C1540" s="548" t="s">
        <v>799</v>
      </c>
      <c r="D1540" s="549">
        <v>2016</v>
      </c>
      <c r="E1540" s="549" t="s">
        <v>775</v>
      </c>
      <c r="F1540" s="550">
        <v>1218</v>
      </c>
      <c r="G1540" s="550">
        <v>0</v>
      </c>
      <c r="H1540" s="550">
        <v>0</v>
      </c>
      <c r="I1540" s="550">
        <v>0</v>
      </c>
      <c r="J1540" s="550">
        <v>854</v>
      </c>
      <c r="K1540" s="550">
        <v>0</v>
      </c>
      <c r="L1540" s="550">
        <v>0</v>
      </c>
      <c r="M1540" s="550">
        <v>0</v>
      </c>
      <c r="N1540" s="550">
        <v>862</v>
      </c>
      <c r="O1540" s="550">
        <v>74</v>
      </c>
      <c r="P1540" s="550">
        <v>1699</v>
      </c>
      <c r="Q1540" s="550">
        <v>99</v>
      </c>
      <c r="R1540" s="574" t="s">
        <v>558</v>
      </c>
      <c r="S1540" s="552"/>
      <c r="T1540" s="552"/>
      <c r="U1540" s="552"/>
      <c r="V1540" s="552"/>
      <c r="W1540" s="552"/>
      <c r="X1540" s="552"/>
      <c r="Y1540" s="552"/>
      <c r="Z1540" s="552"/>
      <c r="AA1540" s="553"/>
      <c r="AB1540" s="553"/>
    </row>
    <row r="1541" spans="1:28" ht="12.75">
      <c r="A1541" s="547" t="s">
        <v>558</v>
      </c>
      <c r="B1541" s="547" t="s">
        <v>174</v>
      </c>
      <c r="C1541" s="548" t="s">
        <v>799</v>
      </c>
      <c r="D1541" s="549">
        <v>2017</v>
      </c>
      <c r="E1541" s="549" t="s">
        <v>775</v>
      </c>
      <c r="F1541" s="550">
        <v>1218</v>
      </c>
      <c r="G1541" s="550">
        <v>6</v>
      </c>
      <c r="H1541" s="550">
        <v>6</v>
      </c>
      <c r="I1541" s="550">
        <v>0</v>
      </c>
      <c r="J1541" s="550">
        <v>854</v>
      </c>
      <c r="K1541" s="550">
        <v>0</v>
      </c>
      <c r="L1541" s="550">
        <v>0</v>
      </c>
      <c r="M1541" s="550">
        <v>0</v>
      </c>
      <c r="N1541" s="550">
        <v>862</v>
      </c>
      <c r="O1541" s="550">
        <v>358</v>
      </c>
      <c r="P1541" s="550">
        <v>1699</v>
      </c>
      <c r="Q1541" s="550">
        <v>138</v>
      </c>
      <c r="R1541" s="574" t="s">
        <v>558</v>
      </c>
      <c r="S1541" s="552"/>
      <c r="T1541" s="552"/>
      <c r="U1541" s="552"/>
      <c r="V1541" s="552"/>
      <c r="W1541" s="552"/>
      <c r="X1541" s="552"/>
      <c r="Y1541" s="552"/>
      <c r="Z1541" s="552"/>
      <c r="AA1541" s="553"/>
      <c r="AB1541" s="553"/>
    </row>
    <row r="1542" spans="1:28" ht="12.75">
      <c r="A1542" s="547" t="s">
        <v>558</v>
      </c>
      <c r="B1542" s="547" t="s">
        <v>174</v>
      </c>
      <c r="C1542" s="548" t="s">
        <v>799</v>
      </c>
      <c r="D1542" s="549">
        <v>2018</v>
      </c>
      <c r="E1542" s="549" t="s">
        <v>775</v>
      </c>
      <c r="F1542" s="550">
        <v>1218</v>
      </c>
      <c r="G1542" s="550">
        <v>0</v>
      </c>
      <c r="H1542" s="550">
        <v>0</v>
      </c>
      <c r="I1542" s="550">
        <v>0</v>
      </c>
      <c r="J1542" s="550">
        <v>854</v>
      </c>
      <c r="K1542" s="550">
        <v>0</v>
      </c>
      <c r="L1542" s="550">
        <v>0</v>
      </c>
      <c r="M1542" s="550">
        <v>0</v>
      </c>
      <c r="N1542" s="550">
        <v>862</v>
      </c>
      <c r="O1542" s="550">
        <v>11</v>
      </c>
      <c r="P1542" s="550">
        <v>1699</v>
      </c>
      <c r="Q1542" s="550">
        <v>398</v>
      </c>
      <c r="R1542" s="574" t="s">
        <v>558</v>
      </c>
      <c r="S1542" s="552"/>
      <c r="T1542" s="552"/>
      <c r="U1542" s="552"/>
      <c r="V1542" s="552"/>
      <c r="W1542" s="552"/>
      <c r="X1542" s="552"/>
      <c r="Y1542" s="552"/>
      <c r="Z1542" s="552"/>
      <c r="AA1542" s="553"/>
      <c r="AB1542" s="553"/>
    </row>
    <row r="1543" spans="1:28" ht="12.75">
      <c r="A1543" s="547" t="s">
        <v>558</v>
      </c>
      <c r="B1543" s="547" t="s">
        <v>174</v>
      </c>
      <c r="C1543" s="548" t="s">
        <v>801</v>
      </c>
      <c r="D1543" s="549">
        <v>2019</v>
      </c>
      <c r="E1543" s="549" t="s">
        <v>775</v>
      </c>
      <c r="F1543" s="550">
        <v>1218</v>
      </c>
      <c r="G1543" s="550">
        <v>1</v>
      </c>
      <c r="H1543" s="550">
        <v>0</v>
      </c>
      <c r="I1543" s="550">
        <v>1</v>
      </c>
      <c r="J1543" s="550">
        <v>854</v>
      </c>
      <c r="K1543" s="550">
        <v>3</v>
      </c>
      <c r="L1543" s="550">
        <v>0</v>
      </c>
      <c r="M1543" s="550">
        <v>3</v>
      </c>
      <c r="N1543" s="550">
        <v>862</v>
      </c>
      <c r="O1543" s="550">
        <v>3</v>
      </c>
      <c r="P1543" s="550">
        <v>1699</v>
      </c>
      <c r="Q1543" s="550">
        <v>726</v>
      </c>
      <c r="R1543" s="574" t="s">
        <v>558</v>
      </c>
      <c r="S1543" s="552">
        <f>SUM(G1537:G1543) +SUM(K1537:K1543)</f>
        <v>10</v>
      </c>
      <c r="T1543" s="552">
        <f>F1543+J1543</f>
        <v>2072</v>
      </c>
      <c r="U1543" s="552">
        <f>SUM(O1537:O1543)</f>
        <v>596</v>
      </c>
      <c r="V1543" s="552">
        <f>N1543</f>
        <v>862</v>
      </c>
      <c r="W1543" s="554">
        <f>SUM(Q1537:Q1543)</f>
        <v>2048</v>
      </c>
      <c r="X1543" s="552">
        <f>P1543</f>
        <v>1699</v>
      </c>
      <c r="Y1543" s="552">
        <f>S1543+U1543+SUM(Q1537:Q1543)</f>
        <v>2654</v>
      </c>
      <c r="Z1543" s="552">
        <f>F1543+J1543+N1543+P1543</f>
        <v>4633</v>
      </c>
      <c r="AA1543" s="553"/>
      <c r="AB1543" s="553"/>
    </row>
    <row r="1544" spans="1:28" ht="12.75">
      <c r="A1544" s="547" t="s">
        <v>559</v>
      </c>
      <c r="B1544" s="547" t="s">
        <v>174</v>
      </c>
      <c r="C1544" s="548" t="s">
        <v>799</v>
      </c>
      <c r="D1544" s="549">
        <v>2013</v>
      </c>
      <c r="E1544" s="549" t="s">
        <v>775</v>
      </c>
      <c r="F1544" s="550">
        <v>131</v>
      </c>
      <c r="G1544" s="550">
        <v>0</v>
      </c>
      <c r="H1544" s="550">
        <v>0</v>
      </c>
      <c r="I1544" s="550">
        <v>0</v>
      </c>
      <c r="J1544" s="550">
        <v>91</v>
      </c>
      <c r="K1544" s="550">
        <v>0</v>
      </c>
      <c r="L1544" s="550">
        <v>0</v>
      </c>
      <c r="M1544" s="550">
        <v>0</v>
      </c>
      <c r="N1544" s="550">
        <v>126</v>
      </c>
      <c r="O1544" s="550">
        <v>0</v>
      </c>
      <c r="P1544" s="550">
        <v>331</v>
      </c>
      <c r="Q1544" s="550">
        <v>41</v>
      </c>
      <c r="R1544" s="574" t="s">
        <v>559</v>
      </c>
      <c r="S1544" s="552"/>
      <c r="T1544" s="552"/>
      <c r="U1544" s="552"/>
      <c r="V1544" s="552"/>
      <c r="W1544" s="552"/>
      <c r="X1544" s="552"/>
      <c r="Y1544" s="552"/>
      <c r="Z1544" s="552"/>
      <c r="AA1544" s="553"/>
      <c r="AB1544" s="553"/>
    </row>
    <row r="1545" spans="1:28" ht="12.75">
      <c r="A1545" s="547" t="s">
        <v>559</v>
      </c>
      <c r="B1545" s="547" t="s">
        <v>174</v>
      </c>
      <c r="C1545" s="548" t="s">
        <v>799</v>
      </c>
      <c r="D1545" s="549">
        <v>2014</v>
      </c>
      <c r="E1545" s="549" t="s">
        <v>775</v>
      </c>
      <c r="F1545" s="550">
        <v>131</v>
      </c>
      <c r="G1545" s="550">
        <v>0</v>
      </c>
      <c r="H1545" s="550">
        <v>0</v>
      </c>
      <c r="I1545" s="550">
        <v>0</v>
      </c>
      <c r="J1545" s="550">
        <v>91</v>
      </c>
      <c r="K1545" s="550">
        <v>0</v>
      </c>
      <c r="L1545" s="550">
        <v>0</v>
      </c>
      <c r="M1545" s="550">
        <v>0</v>
      </c>
      <c r="N1545" s="550">
        <v>126</v>
      </c>
      <c r="O1545" s="550">
        <v>0</v>
      </c>
      <c r="P1545" s="550">
        <v>331</v>
      </c>
      <c r="Q1545" s="550">
        <v>29</v>
      </c>
      <c r="R1545" s="574" t="s">
        <v>559</v>
      </c>
      <c r="S1545" s="552"/>
      <c r="T1545" s="552"/>
      <c r="U1545" s="552"/>
      <c r="V1545" s="552"/>
      <c r="W1545" s="552"/>
      <c r="X1545" s="552"/>
      <c r="Y1545" s="552"/>
      <c r="Z1545" s="552"/>
      <c r="AA1545" s="553"/>
      <c r="AB1545" s="553"/>
    </row>
    <row r="1546" spans="1:28" ht="12.75">
      <c r="A1546" s="547" t="s">
        <v>559</v>
      </c>
      <c r="B1546" s="547" t="s">
        <v>174</v>
      </c>
      <c r="C1546" s="548" t="s">
        <v>799</v>
      </c>
      <c r="D1546" s="549">
        <v>2015</v>
      </c>
      <c r="E1546" s="549" t="s">
        <v>775</v>
      </c>
      <c r="F1546" s="550">
        <v>131</v>
      </c>
      <c r="G1546" s="550">
        <v>0</v>
      </c>
      <c r="H1546" s="550">
        <v>0</v>
      </c>
      <c r="I1546" s="550">
        <v>0</v>
      </c>
      <c r="J1546" s="550">
        <v>91</v>
      </c>
      <c r="K1546" s="550">
        <v>0</v>
      </c>
      <c r="L1546" s="550">
        <v>0</v>
      </c>
      <c r="M1546" s="550">
        <v>0</v>
      </c>
      <c r="N1546" s="550">
        <v>126</v>
      </c>
      <c r="O1546" s="550">
        <v>0</v>
      </c>
      <c r="P1546" s="550">
        <v>331</v>
      </c>
      <c r="Q1546" s="550">
        <v>45</v>
      </c>
      <c r="R1546" s="574" t="s">
        <v>559</v>
      </c>
      <c r="S1546" s="552"/>
      <c r="T1546" s="552"/>
      <c r="U1546" s="552"/>
      <c r="V1546" s="552"/>
      <c r="W1546" s="552"/>
      <c r="X1546" s="552"/>
      <c r="Y1546" s="552"/>
      <c r="Z1546" s="552"/>
      <c r="AA1546" s="553"/>
      <c r="AB1546" s="553"/>
    </row>
    <row r="1547" spans="1:28" ht="12.75">
      <c r="A1547" s="547" t="s">
        <v>559</v>
      </c>
      <c r="B1547" s="547" t="s">
        <v>174</v>
      </c>
      <c r="C1547" s="548" t="s">
        <v>799</v>
      </c>
      <c r="D1547" s="549">
        <v>2016</v>
      </c>
      <c r="E1547" s="549" t="s">
        <v>775</v>
      </c>
      <c r="F1547" s="550">
        <v>131</v>
      </c>
      <c r="G1547" s="550">
        <v>0</v>
      </c>
      <c r="H1547" s="550">
        <v>0</v>
      </c>
      <c r="I1547" s="550">
        <v>0</v>
      </c>
      <c r="J1547" s="550">
        <v>91</v>
      </c>
      <c r="K1547" s="550">
        <v>0</v>
      </c>
      <c r="L1547" s="550">
        <v>0</v>
      </c>
      <c r="M1547" s="550">
        <v>0</v>
      </c>
      <c r="N1547" s="550">
        <v>126</v>
      </c>
      <c r="O1547" s="550">
        <v>0</v>
      </c>
      <c r="P1547" s="550">
        <v>331</v>
      </c>
      <c r="Q1547" s="550">
        <v>134</v>
      </c>
      <c r="R1547" s="574" t="s">
        <v>559</v>
      </c>
      <c r="S1547" s="552"/>
      <c r="T1547" s="552"/>
      <c r="U1547" s="552"/>
      <c r="V1547" s="552"/>
      <c r="W1547" s="552"/>
      <c r="X1547" s="552"/>
      <c r="Y1547" s="552"/>
      <c r="Z1547" s="552"/>
      <c r="AA1547" s="553"/>
      <c r="AB1547" s="553"/>
    </row>
    <row r="1548" spans="1:28" ht="12.75">
      <c r="A1548" s="547" t="s">
        <v>559</v>
      </c>
      <c r="B1548" s="547" t="s">
        <v>174</v>
      </c>
      <c r="C1548" s="548" t="s">
        <v>799</v>
      </c>
      <c r="D1548" s="549">
        <v>2017</v>
      </c>
      <c r="E1548" s="549" t="s">
        <v>775</v>
      </c>
      <c r="F1548" s="550">
        <v>131</v>
      </c>
      <c r="G1548" s="550">
        <v>0</v>
      </c>
      <c r="H1548" s="550">
        <v>0</v>
      </c>
      <c r="I1548" s="550">
        <v>0</v>
      </c>
      <c r="J1548" s="550">
        <v>91</v>
      </c>
      <c r="K1548" s="550">
        <v>0</v>
      </c>
      <c r="L1548" s="550">
        <v>0</v>
      </c>
      <c r="M1548" s="550">
        <v>0</v>
      </c>
      <c r="N1548" s="550">
        <v>126</v>
      </c>
      <c r="O1548" s="550">
        <v>0</v>
      </c>
      <c r="P1548" s="550">
        <v>331</v>
      </c>
      <c r="Q1548" s="550">
        <v>71</v>
      </c>
      <c r="R1548" s="574" t="s">
        <v>559</v>
      </c>
      <c r="S1548" s="552"/>
      <c r="T1548" s="552"/>
      <c r="U1548" s="552"/>
      <c r="V1548" s="552"/>
      <c r="W1548" s="552"/>
      <c r="X1548" s="552"/>
      <c r="Y1548" s="552"/>
      <c r="Z1548" s="552"/>
      <c r="AA1548" s="553"/>
      <c r="AB1548" s="553"/>
    </row>
    <row r="1549" spans="1:28" ht="12.75">
      <c r="A1549" s="547" t="s">
        <v>559</v>
      </c>
      <c r="B1549" s="547" t="s">
        <v>174</v>
      </c>
      <c r="C1549" s="548" t="s">
        <v>799</v>
      </c>
      <c r="D1549" s="549">
        <v>2018</v>
      </c>
      <c r="E1549" s="549" t="s">
        <v>775</v>
      </c>
      <c r="F1549" s="550">
        <v>131</v>
      </c>
      <c r="G1549" s="550">
        <v>0</v>
      </c>
      <c r="H1549" s="550">
        <v>0</v>
      </c>
      <c r="I1549" s="550">
        <v>0</v>
      </c>
      <c r="J1549" s="550">
        <v>91</v>
      </c>
      <c r="K1549" s="550">
        <v>14</v>
      </c>
      <c r="L1549" s="550">
        <v>0</v>
      </c>
      <c r="M1549" s="550">
        <v>14</v>
      </c>
      <c r="N1549" s="550">
        <v>126</v>
      </c>
      <c r="O1549" s="550">
        <v>0</v>
      </c>
      <c r="P1549" s="550">
        <v>331</v>
      </c>
      <c r="Q1549" s="550">
        <v>24</v>
      </c>
      <c r="R1549" s="574" t="s">
        <v>559</v>
      </c>
      <c r="S1549" s="552"/>
      <c r="T1549" s="552"/>
      <c r="U1549" s="552"/>
      <c r="V1549" s="552"/>
      <c r="W1549" s="552"/>
      <c r="X1549" s="552"/>
      <c r="Y1549" s="552"/>
      <c r="Z1549" s="552"/>
      <c r="AA1549" s="553"/>
      <c r="AB1549" s="553"/>
    </row>
    <row r="1550" spans="1:28" ht="12.75">
      <c r="A1550" s="547" t="s">
        <v>559</v>
      </c>
      <c r="B1550" s="547" t="s">
        <v>174</v>
      </c>
      <c r="C1550" s="548" t="s">
        <v>801</v>
      </c>
      <c r="D1550" s="549">
        <v>2019</v>
      </c>
      <c r="E1550" s="549" t="s">
        <v>775</v>
      </c>
      <c r="F1550" s="550">
        <v>131</v>
      </c>
      <c r="G1550" s="550">
        <v>1</v>
      </c>
      <c r="H1550" s="550">
        <v>0</v>
      </c>
      <c r="I1550" s="550">
        <v>1</v>
      </c>
      <c r="J1550" s="550">
        <v>91</v>
      </c>
      <c r="K1550" s="550">
        <v>0</v>
      </c>
      <c r="L1550" s="550">
        <v>0</v>
      </c>
      <c r="M1550" s="550">
        <v>0</v>
      </c>
      <c r="N1550" s="550">
        <v>126</v>
      </c>
      <c r="O1550" s="550">
        <v>0</v>
      </c>
      <c r="P1550" s="550">
        <v>331</v>
      </c>
      <c r="Q1550" s="550">
        <v>57</v>
      </c>
      <c r="R1550" s="574" t="s">
        <v>559</v>
      </c>
      <c r="S1550" s="552">
        <f>SUM(G1544:G1550) +SUM(K1544:K1550)</f>
        <v>15</v>
      </c>
      <c r="T1550" s="552">
        <f>F1550+J1550</f>
        <v>222</v>
      </c>
      <c r="U1550" s="552">
        <f>SUM(O1544:O1550)</f>
        <v>0</v>
      </c>
      <c r="V1550" s="552">
        <f>N1550</f>
        <v>126</v>
      </c>
      <c r="W1550" s="554">
        <f>SUM(Q1544:Q1550)</f>
        <v>401</v>
      </c>
      <c r="X1550" s="552">
        <f>P1550</f>
        <v>331</v>
      </c>
      <c r="Y1550" s="552">
        <f>S1550+U1550+SUM(Q1544:Q1550)</f>
        <v>416</v>
      </c>
      <c r="Z1550" s="552">
        <f>F1550+J1550+N1550+P1550</f>
        <v>679</v>
      </c>
      <c r="AA1550" s="553"/>
      <c r="AB1550" s="553"/>
    </row>
    <row r="1551" spans="1:28" ht="12.75">
      <c r="A1551" s="547" t="s">
        <v>560</v>
      </c>
      <c r="B1551" s="547" t="s">
        <v>174</v>
      </c>
      <c r="C1551" s="548" t="s">
        <v>799</v>
      </c>
      <c r="D1551" s="549">
        <v>2018</v>
      </c>
      <c r="E1551" s="549" t="s">
        <v>775</v>
      </c>
      <c r="F1551" s="550">
        <v>4</v>
      </c>
      <c r="G1551" s="564"/>
      <c r="H1551" s="564"/>
      <c r="I1551" s="564"/>
      <c r="J1551" s="550">
        <v>3</v>
      </c>
      <c r="K1551" s="564"/>
      <c r="L1551" s="564"/>
      <c r="M1551" s="564"/>
      <c r="N1551" s="550">
        <v>4</v>
      </c>
      <c r="O1551" s="564"/>
      <c r="P1551" s="550">
        <v>12</v>
      </c>
      <c r="Q1551" s="564"/>
      <c r="R1551" s="574" t="s">
        <v>560</v>
      </c>
      <c r="S1551" s="552"/>
      <c r="T1551" s="552"/>
      <c r="U1551" s="552"/>
      <c r="V1551" s="552"/>
      <c r="W1551" s="552"/>
      <c r="X1551" s="552"/>
      <c r="Y1551" s="552"/>
      <c r="Z1551" s="552"/>
      <c r="AA1551" s="553"/>
      <c r="AB1551" s="553"/>
    </row>
    <row r="1552" spans="1:28" ht="12.75">
      <c r="A1552" s="547" t="s">
        <v>560</v>
      </c>
      <c r="B1552" s="547" t="s">
        <v>174</v>
      </c>
      <c r="C1552" s="548" t="s">
        <v>801</v>
      </c>
      <c r="D1552" s="549">
        <v>2019</v>
      </c>
      <c r="E1552" s="549" t="s">
        <v>775</v>
      </c>
      <c r="F1552" s="550">
        <v>4</v>
      </c>
      <c r="G1552" s="550">
        <v>0</v>
      </c>
      <c r="H1552" s="550">
        <v>0</v>
      </c>
      <c r="I1552" s="550">
        <v>0</v>
      </c>
      <c r="J1552" s="550">
        <v>3</v>
      </c>
      <c r="K1552" s="550">
        <v>0</v>
      </c>
      <c r="L1552" s="550">
        <v>0</v>
      </c>
      <c r="M1552" s="550">
        <v>0</v>
      </c>
      <c r="N1552" s="550">
        <v>4</v>
      </c>
      <c r="O1552" s="550">
        <v>0</v>
      </c>
      <c r="P1552" s="550">
        <v>12</v>
      </c>
      <c r="Q1552" s="550">
        <v>0</v>
      </c>
      <c r="R1552" s="574" t="s">
        <v>560</v>
      </c>
      <c r="S1552" s="255">
        <f>SUM(G1551:G1552) +SUM(K1551:K1552)</f>
        <v>0</v>
      </c>
      <c r="T1552" s="255">
        <f>F1552+J1552</f>
        <v>7</v>
      </c>
      <c r="U1552" s="255">
        <f>SUM(O1551:O1552)</f>
        <v>0</v>
      </c>
      <c r="V1552" s="255">
        <f>N1552</f>
        <v>4</v>
      </c>
      <c r="W1552" s="83">
        <f>SUM(Q1551:Q1552)</f>
        <v>0</v>
      </c>
      <c r="X1552" s="255">
        <f>P1552</f>
        <v>12</v>
      </c>
      <c r="Y1552" s="255">
        <f>S1552+U1552+SUM(Q1551:Q1552)</f>
        <v>0</v>
      </c>
      <c r="Z1552" s="255">
        <f>F1552+J1552+N1552+P1552</f>
        <v>23</v>
      </c>
      <c r="AA1552" s="553"/>
      <c r="AB1552" s="553"/>
    </row>
    <row r="1553" spans="1:28" ht="12.75">
      <c r="A1553" s="547" t="s">
        <v>561</v>
      </c>
      <c r="B1553" s="547" t="s">
        <v>174</v>
      </c>
      <c r="C1553" s="548" t="s">
        <v>799</v>
      </c>
      <c r="D1553" s="549">
        <v>2013</v>
      </c>
      <c r="E1553" s="549" t="s">
        <v>775</v>
      </c>
      <c r="F1553" s="550">
        <v>1539</v>
      </c>
      <c r="G1553" s="550">
        <v>0</v>
      </c>
      <c r="H1553" s="550">
        <v>0</v>
      </c>
      <c r="I1553" s="550">
        <v>0</v>
      </c>
      <c r="J1553" s="550">
        <v>1079</v>
      </c>
      <c r="K1553" s="550">
        <v>0</v>
      </c>
      <c r="L1553" s="550">
        <v>0</v>
      </c>
      <c r="M1553" s="550">
        <v>0</v>
      </c>
      <c r="N1553" s="550">
        <v>1303</v>
      </c>
      <c r="O1553" s="550">
        <v>0</v>
      </c>
      <c r="P1553" s="550">
        <v>3087</v>
      </c>
      <c r="Q1553" s="550">
        <v>331</v>
      </c>
      <c r="R1553" s="574" t="s">
        <v>561</v>
      </c>
      <c r="S1553" s="552"/>
      <c r="T1553" s="552"/>
      <c r="U1553" s="552"/>
      <c r="V1553" s="552"/>
      <c r="W1553" s="552"/>
      <c r="X1553" s="552"/>
      <c r="Y1553" s="552"/>
      <c r="Z1553" s="552"/>
      <c r="AA1553" s="553"/>
      <c r="AB1553" s="553"/>
    </row>
    <row r="1554" spans="1:28" ht="12.75">
      <c r="A1554" s="547" t="s">
        <v>561</v>
      </c>
      <c r="B1554" s="547" t="s">
        <v>174</v>
      </c>
      <c r="C1554" s="548" t="s">
        <v>799</v>
      </c>
      <c r="D1554" s="549">
        <v>2014</v>
      </c>
      <c r="E1554" s="549" t="s">
        <v>775</v>
      </c>
      <c r="F1554" s="550">
        <v>1539</v>
      </c>
      <c r="G1554" s="550">
        <v>0</v>
      </c>
      <c r="H1554" s="550">
        <v>0</v>
      </c>
      <c r="I1554" s="550">
        <v>0</v>
      </c>
      <c r="J1554" s="550">
        <v>1079</v>
      </c>
      <c r="K1554" s="550">
        <v>0</v>
      </c>
      <c r="L1554" s="550">
        <v>0</v>
      </c>
      <c r="M1554" s="550">
        <v>0</v>
      </c>
      <c r="N1554" s="550">
        <v>1303</v>
      </c>
      <c r="O1554" s="550">
        <v>0</v>
      </c>
      <c r="P1554" s="550">
        <v>3087</v>
      </c>
      <c r="Q1554" s="550">
        <v>254</v>
      </c>
      <c r="R1554" s="574" t="s">
        <v>561</v>
      </c>
      <c r="S1554" s="552"/>
      <c r="T1554" s="552"/>
      <c r="U1554" s="552"/>
      <c r="V1554" s="552"/>
      <c r="W1554" s="552"/>
      <c r="X1554" s="552"/>
      <c r="Y1554" s="552"/>
      <c r="Z1554" s="552"/>
      <c r="AA1554" s="553"/>
      <c r="AB1554" s="553"/>
    </row>
    <row r="1555" spans="1:28" ht="12.75">
      <c r="A1555" s="547" t="s">
        <v>561</v>
      </c>
      <c r="B1555" s="547" t="s">
        <v>174</v>
      </c>
      <c r="C1555" s="548" t="s">
        <v>799</v>
      </c>
      <c r="D1555" s="549">
        <v>2015</v>
      </c>
      <c r="E1555" s="549" t="s">
        <v>775</v>
      </c>
      <c r="F1555" s="550">
        <v>1539</v>
      </c>
      <c r="G1555" s="550">
        <v>50</v>
      </c>
      <c r="H1555" s="550">
        <v>50</v>
      </c>
      <c r="I1555" s="550">
        <v>0</v>
      </c>
      <c r="J1555" s="550">
        <v>1079</v>
      </c>
      <c r="K1555" s="550">
        <v>0</v>
      </c>
      <c r="L1555" s="550">
        <v>0</v>
      </c>
      <c r="M1555" s="550">
        <v>0</v>
      </c>
      <c r="N1555" s="550">
        <v>1303</v>
      </c>
      <c r="O1555" s="550">
        <v>0</v>
      </c>
      <c r="P1555" s="550">
        <v>3087</v>
      </c>
      <c r="Q1555" s="550">
        <v>402</v>
      </c>
      <c r="R1555" s="574" t="s">
        <v>561</v>
      </c>
      <c r="S1555" s="552"/>
      <c r="T1555" s="552"/>
      <c r="U1555" s="552"/>
      <c r="V1555" s="552"/>
      <c r="W1555" s="552"/>
      <c r="X1555" s="552"/>
      <c r="Y1555" s="552"/>
      <c r="Z1555" s="552"/>
      <c r="AA1555" s="553"/>
      <c r="AB1555" s="553"/>
    </row>
    <row r="1556" spans="1:28" ht="12.75">
      <c r="A1556" s="547" t="s">
        <v>561</v>
      </c>
      <c r="B1556" s="547" t="s">
        <v>174</v>
      </c>
      <c r="C1556" s="548" t="s">
        <v>799</v>
      </c>
      <c r="D1556" s="549">
        <v>2016</v>
      </c>
      <c r="E1556" s="549" t="s">
        <v>775</v>
      </c>
      <c r="F1556" s="550">
        <v>1539</v>
      </c>
      <c r="G1556" s="550">
        <v>0</v>
      </c>
      <c r="H1556" s="550">
        <v>0</v>
      </c>
      <c r="I1556" s="550">
        <v>0</v>
      </c>
      <c r="J1556" s="550">
        <v>1079</v>
      </c>
      <c r="K1556" s="550">
        <v>0</v>
      </c>
      <c r="L1556" s="550">
        <v>0</v>
      </c>
      <c r="M1556" s="550">
        <v>0</v>
      </c>
      <c r="N1556" s="550">
        <v>1303</v>
      </c>
      <c r="O1556" s="550">
        <v>0</v>
      </c>
      <c r="P1556" s="550">
        <v>3087</v>
      </c>
      <c r="Q1556" s="550">
        <v>330</v>
      </c>
      <c r="R1556" s="574" t="s">
        <v>561</v>
      </c>
      <c r="S1556" s="552"/>
      <c r="T1556" s="552"/>
      <c r="U1556" s="552"/>
      <c r="V1556" s="552"/>
      <c r="W1556" s="552"/>
      <c r="X1556" s="552"/>
      <c r="Y1556" s="552"/>
      <c r="Z1556" s="552"/>
      <c r="AA1556" s="553"/>
      <c r="AB1556" s="553"/>
    </row>
    <row r="1557" spans="1:28" ht="12.75">
      <c r="A1557" s="547" t="s">
        <v>561</v>
      </c>
      <c r="B1557" s="547" t="s">
        <v>174</v>
      </c>
      <c r="C1557" s="548" t="s">
        <v>799</v>
      </c>
      <c r="D1557" s="549">
        <v>2017</v>
      </c>
      <c r="E1557" s="549" t="s">
        <v>775</v>
      </c>
      <c r="F1557" s="550">
        <v>1539</v>
      </c>
      <c r="G1557" s="550">
        <v>50</v>
      </c>
      <c r="H1557" s="550">
        <v>50</v>
      </c>
      <c r="I1557" s="550">
        <v>0</v>
      </c>
      <c r="J1557" s="550">
        <v>1079</v>
      </c>
      <c r="K1557" s="550">
        <v>0</v>
      </c>
      <c r="L1557" s="550">
        <v>0</v>
      </c>
      <c r="M1557" s="550">
        <v>0</v>
      </c>
      <c r="N1557" s="550">
        <v>1303</v>
      </c>
      <c r="O1557" s="550">
        <v>110</v>
      </c>
      <c r="P1557" s="550">
        <v>3087</v>
      </c>
      <c r="Q1557" s="550">
        <v>306</v>
      </c>
      <c r="R1557" s="574" t="s">
        <v>561</v>
      </c>
      <c r="S1557" s="552"/>
      <c r="T1557" s="552"/>
      <c r="U1557" s="552"/>
      <c r="V1557" s="552"/>
      <c r="W1557" s="552"/>
      <c r="X1557" s="552"/>
      <c r="Y1557" s="552"/>
      <c r="Z1557" s="552"/>
      <c r="AA1557" s="553"/>
      <c r="AB1557" s="553"/>
    </row>
    <row r="1558" spans="1:28" ht="12.75">
      <c r="A1558" s="547" t="s">
        <v>561</v>
      </c>
      <c r="B1558" s="547" t="s">
        <v>174</v>
      </c>
      <c r="C1558" s="548" t="s">
        <v>799</v>
      </c>
      <c r="D1558" s="549">
        <v>2018</v>
      </c>
      <c r="E1558" s="549" t="s">
        <v>775</v>
      </c>
      <c r="F1558" s="550">
        <v>1539</v>
      </c>
      <c r="G1558" s="550">
        <v>0</v>
      </c>
      <c r="H1558" s="550">
        <v>0</v>
      </c>
      <c r="I1558" s="550">
        <v>0</v>
      </c>
      <c r="J1558" s="550">
        <v>1079</v>
      </c>
      <c r="K1558" s="550">
        <v>0</v>
      </c>
      <c r="L1558" s="550">
        <v>0</v>
      </c>
      <c r="M1558" s="550">
        <v>0</v>
      </c>
      <c r="N1558" s="550">
        <v>1303</v>
      </c>
      <c r="O1558" s="550">
        <v>104</v>
      </c>
      <c r="P1558" s="550">
        <v>3087</v>
      </c>
      <c r="Q1558" s="550">
        <v>142</v>
      </c>
      <c r="R1558" s="574" t="s">
        <v>561</v>
      </c>
      <c r="S1558" s="552"/>
      <c r="T1558" s="552"/>
      <c r="U1558" s="552"/>
      <c r="V1558" s="552"/>
      <c r="W1558" s="552"/>
      <c r="X1558" s="552"/>
      <c r="Y1558" s="552"/>
      <c r="Z1558" s="552"/>
      <c r="AA1558" s="553"/>
      <c r="AB1558" s="553"/>
    </row>
    <row r="1559" spans="1:28" ht="12.75">
      <c r="A1559" s="547" t="s">
        <v>561</v>
      </c>
      <c r="B1559" s="547" t="s">
        <v>174</v>
      </c>
      <c r="C1559" s="548" t="s">
        <v>801</v>
      </c>
      <c r="D1559" s="549">
        <v>2019</v>
      </c>
      <c r="E1559" s="549" t="s">
        <v>775</v>
      </c>
      <c r="F1559" s="550">
        <v>1539</v>
      </c>
      <c r="G1559" s="550">
        <v>0</v>
      </c>
      <c r="H1559" s="550">
        <v>0</v>
      </c>
      <c r="I1559" s="550">
        <v>0</v>
      </c>
      <c r="J1559" s="550">
        <v>1079</v>
      </c>
      <c r="K1559" s="550">
        <v>0</v>
      </c>
      <c r="L1559" s="550">
        <v>0</v>
      </c>
      <c r="M1559" s="550">
        <v>0</v>
      </c>
      <c r="N1559" s="550">
        <v>1303</v>
      </c>
      <c r="O1559" s="550">
        <v>210</v>
      </c>
      <c r="P1559" s="550">
        <v>3087</v>
      </c>
      <c r="Q1559" s="550">
        <v>254</v>
      </c>
      <c r="R1559" s="574" t="s">
        <v>561</v>
      </c>
      <c r="S1559" s="552">
        <f>SUM(G1553:G1559) +SUM(K1553:K1559)</f>
        <v>100</v>
      </c>
      <c r="T1559" s="552">
        <f>F1559+J1559</f>
        <v>2618</v>
      </c>
      <c r="U1559" s="552">
        <f>SUM(O1553:O1559)</f>
        <v>424</v>
      </c>
      <c r="V1559" s="552">
        <f>N1559</f>
        <v>1303</v>
      </c>
      <c r="W1559" s="554">
        <f>SUM(Q1553:Q1559)</f>
        <v>2019</v>
      </c>
      <c r="X1559" s="552">
        <f>P1559</f>
        <v>3087</v>
      </c>
      <c r="Y1559" s="552">
        <f>S1559+U1559+SUM(Q1553:Q1559)</f>
        <v>2543</v>
      </c>
      <c r="Z1559" s="552">
        <f>F1559+J1559+N1559+P1559</f>
        <v>7008</v>
      </c>
      <c r="AA1559" s="553"/>
      <c r="AB1559" s="553"/>
    </row>
    <row r="1560" spans="1:28" ht="12.75">
      <c r="A1560" s="547" t="s">
        <v>174</v>
      </c>
      <c r="B1560" s="547" t="s">
        <v>174</v>
      </c>
      <c r="C1560" s="548" t="s">
        <v>799</v>
      </c>
      <c r="D1560" s="549">
        <v>2013</v>
      </c>
      <c r="E1560" s="549" t="s">
        <v>775</v>
      </c>
      <c r="F1560" s="550">
        <v>4944</v>
      </c>
      <c r="G1560" s="550">
        <v>95</v>
      </c>
      <c r="H1560" s="550">
        <v>62</v>
      </c>
      <c r="I1560" s="550">
        <v>33</v>
      </c>
      <c r="J1560" s="550">
        <v>3467</v>
      </c>
      <c r="K1560" s="550">
        <v>137</v>
      </c>
      <c r="L1560" s="550">
        <v>24</v>
      </c>
      <c r="M1560" s="550">
        <v>113</v>
      </c>
      <c r="N1560" s="550">
        <v>4482</v>
      </c>
      <c r="O1560" s="550">
        <v>34</v>
      </c>
      <c r="P1560" s="550">
        <v>11208</v>
      </c>
      <c r="Q1560" s="550">
        <v>153</v>
      </c>
      <c r="R1560" s="574" t="s">
        <v>174</v>
      </c>
      <c r="S1560" s="552"/>
      <c r="T1560" s="552"/>
      <c r="U1560" s="552"/>
      <c r="V1560" s="552"/>
      <c r="W1560" s="552"/>
      <c r="X1560" s="552"/>
      <c r="Y1560" s="552"/>
      <c r="Z1560" s="552"/>
      <c r="AA1560" s="553"/>
      <c r="AB1560" s="553"/>
    </row>
    <row r="1561" spans="1:28" ht="12.75">
      <c r="A1561" s="547" t="s">
        <v>174</v>
      </c>
      <c r="B1561" s="547" t="s">
        <v>174</v>
      </c>
      <c r="C1561" s="548" t="s">
        <v>799</v>
      </c>
      <c r="D1561" s="549">
        <v>2014</v>
      </c>
      <c r="E1561" s="549" t="s">
        <v>775</v>
      </c>
      <c r="F1561" s="550">
        <v>4944</v>
      </c>
      <c r="G1561" s="550">
        <v>102</v>
      </c>
      <c r="H1561" s="550">
        <v>78</v>
      </c>
      <c r="I1561" s="550">
        <v>24</v>
      </c>
      <c r="J1561" s="550">
        <v>3467</v>
      </c>
      <c r="K1561" s="550">
        <v>123</v>
      </c>
      <c r="L1561" s="550">
        <v>95</v>
      </c>
      <c r="M1561" s="550">
        <v>28</v>
      </c>
      <c r="N1561" s="550">
        <v>4482</v>
      </c>
      <c r="O1561" s="550">
        <v>21</v>
      </c>
      <c r="P1561" s="550">
        <v>11208</v>
      </c>
      <c r="Q1561" s="550">
        <v>95</v>
      </c>
      <c r="R1561" s="574" t="s">
        <v>174</v>
      </c>
      <c r="S1561" s="552"/>
      <c r="T1561" s="552"/>
      <c r="U1561" s="552"/>
      <c r="V1561" s="552"/>
      <c r="W1561" s="552"/>
      <c r="X1561" s="552"/>
      <c r="Y1561" s="552"/>
      <c r="Z1561" s="552"/>
      <c r="AA1561" s="553"/>
      <c r="AB1561" s="553"/>
    </row>
    <row r="1562" spans="1:28" ht="12.75">
      <c r="A1562" s="547" t="s">
        <v>174</v>
      </c>
      <c r="B1562" s="547" t="s">
        <v>174</v>
      </c>
      <c r="C1562" s="548" t="s">
        <v>799</v>
      </c>
      <c r="D1562" s="549">
        <v>2015</v>
      </c>
      <c r="E1562" s="549" t="s">
        <v>775</v>
      </c>
      <c r="F1562" s="550">
        <v>4944</v>
      </c>
      <c r="G1562" s="550">
        <v>0</v>
      </c>
      <c r="H1562" s="550">
        <v>0</v>
      </c>
      <c r="I1562" s="550">
        <v>0</v>
      </c>
      <c r="J1562" s="550">
        <v>3467</v>
      </c>
      <c r="K1562" s="550">
        <v>68</v>
      </c>
      <c r="L1562" s="550">
        <v>0</v>
      </c>
      <c r="M1562" s="550">
        <v>68</v>
      </c>
      <c r="N1562" s="550">
        <v>4482</v>
      </c>
      <c r="O1562" s="550">
        <v>851</v>
      </c>
      <c r="P1562" s="550">
        <v>11208</v>
      </c>
      <c r="Q1562" s="550">
        <v>104</v>
      </c>
      <c r="R1562" s="574" t="s">
        <v>174</v>
      </c>
      <c r="S1562" s="552"/>
      <c r="T1562" s="552"/>
      <c r="U1562" s="552"/>
      <c r="V1562" s="552"/>
      <c r="W1562" s="552"/>
      <c r="X1562" s="552"/>
      <c r="Y1562" s="552"/>
      <c r="Z1562" s="552"/>
      <c r="AA1562" s="553"/>
      <c r="AB1562" s="553"/>
    </row>
    <row r="1563" spans="1:28" ht="12.75">
      <c r="A1563" s="547" t="s">
        <v>174</v>
      </c>
      <c r="B1563" s="547" t="s">
        <v>174</v>
      </c>
      <c r="C1563" s="548" t="s">
        <v>799</v>
      </c>
      <c r="D1563" s="549">
        <v>2016</v>
      </c>
      <c r="E1563" s="549" t="s">
        <v>775</v>
      </c>
      <c r="F1563" s="550">
        <v>4944</v>
      </c>
      <c r="G1563" s="550">
        <v>0</v>
      </c>
      <c r="H1563" s="550">
        <v>0</v>
      </c>
      <c r="I1563" s="550">
        <v>0</v>
      </c>
      <c r="J1563" s="550">
        <v>3467</v>
      </c>
      <c r="K1563" s="550">
        <v>27</v>
      </c>
      <c r="L1563" s="550">
        <v>27</v>
      </c>
      <c r="M1563" s="550">
        <v>0</v>
      </c>
      <c r="N1563" s="550">
        <v>4482</v>
      </c>
      <c r="O1563" s="550">
        <v>820</v>
      </c>
      <c r="P1563" s="550">
        <v>11208</v>
      </c>
      <c r="Q1563" s="550">
        <v>730</v>
      </c>
      <c r="R1563" s="574" t="s">
        <v>174</v>
      </c>
      <c r="S1563" s="552"/>
      <c r="T1563" s="552"/>
      <c r="U1563" s="552"/>
      <c r="V1563" s="552"/>
      <c r="W1563" s="552"/>
      <c r="X1563" s="552"/>
      <c r="Y1563" s="552"/>
      <c r="Z1563" s="552"/>
      <c r="AA1563" s="553"/>
      <c r="AB1563" s="553"/>
    </row>
    <row r="1564" spans="1:28" ht="12.75">
      <c r="A1564" s="547" t="s">
        <v>174</v>
      </c>
      <c r="B1564" s="547" t="s">
        <v>174</v>
      </c>
      <c r="C1564" s="548" t="s">
        <v>799</v>
      </c>
      <c r="D1564" s="549">
        <v>2017</v>
      </c>
      <c r="E1564" s="549" t="s">
        <v>775</v>
      </c>
      <c r="F1564" s="550">
        <v>4944</v>
      </c>
      <c r="G1564" s="550">
        <v>0</v>
      </c>
      <c r="H1564" s="550">
        <v>0</v>
      </c>
      <c r="I1564" s="550">
        <v>0</v>
      </c>
      <c r="J1564" s="550">
        <v>3467</v>
      </c>
      <c r="K1564" s="550">
        <v>3</v>
      </c>
      <c r="L1564" s="550">
        <v>0</v>
      </c>
      <c r="M1564" s="550">
        <v>3</v>
      </c>
      <c r="N1564" s="550">
        <v>4482</v>
      </c>
      <c r="O1564" s="550">
        <v>1757</v>
      </c>
      <c r="P1564" s="550">
        <v>11208</v>
      </c>
      <c r="Q1564" s="550">
        <v>1121</v>
      </c>
      <c r="R1564" s="574" t="s">
        <v>174</v>
      </c>
      <c r="S1564" s="552"/>
      <c r="T1564" s="552"/>
      <c r="U1564" s="552"/>
      <c r="V1564" s="552"/>
      <c r="W1564" s="552"/>
      <c r="X1564" s="552"/>
      <c r="Y1564" s="552"/>
      <c r="Z1564" s="552"/>
      <c r="AA1564" s="553"/>
      <c r="AB1564" s="553"/>
    </row>
    <row r="1565" spans="1:28" ht="12.75">
      <c r="A1565" s="547" t="s">
        <v>174</v>
      </c>
      <c r="B1565" s="547" t="s">
        <v>174</v>
      </c>
      <c r="C1565" s="548" t="s">
        <v>799</v>
      </c>
      <c r="D1565" s="549">
        <v>2018</v>
      </c>
      <c r="E1565" s="549" t="s">
        <v>775</v>
      </c>
      <c r="F1565" s="550">
        <v>4944</v>
      </c>
      <c r="G1565" s="550">
        <v>11</v>
      </c>
      <c r="H1565" s="550">
        <v>1</v>
      </c>
      <c r="I1565" s="550">
        <v>10</v>
      </c>
      <c r="J1565" s="550">
        <v>3467</v>
      </c>
      <c r="K1565" s="550">
        <v>69</v>
      </c>
      <c r="L1565" s="550">
        <v>59</v>
      </c>
      <c r="M1565" s="550">
        <v>10</v>
      </c>
      <c r="N1565" s="550">
        <v>4482</v>
      </c>
      <c r="O1565" s="550">
        <v>401</v>
      </c>
      <c r="P1565" s="550">
        <v>11208</v>
      </c>
      <c r="Q1565" s="550">
        <v>1894</v>
      </c>
      <c r="R1565" s="574" t="s">
        <v>174</v>
      </c>
      <c r="S1565" s="552"/>
      <c r="T1565" s="552"/>
      <c r="U1565" s="552"/>
      <c r="V1565" s="552"/>
      <c r="W1565" s="552"/>
      <c r="X1565" s="552"/>
      <c r="Y1565" s="552"/>
      <c r="Z1565" s="552"/>
      <c r="AA1565" s="553"/>
      <c r="AB1565" s="553"/>
    </row>
    <row r="1566" spans="1:28" ht="12.75">
      <c r="A1566" s="547" t="s">
        <v>174</v>
      </c>
      <c r="B1566" s="547" t="s">
        <v>174</v>
      </c>
      <c r="C1566" s="548" t="s">
        <v>801</v>
      </c>
      <c r="D1566" s="549">
        <v>2019</v>
      </c>
      <c r="E1566" s="549" t="s">
        <v>775</v>
      </c>
      <c r="F1566" s="550">
        <v>4944</v>
      </c>
      <c r="G1566" s="550">
        <v>47</v>
      </c>
      <c r="H1566" s="550">
        <v>10</v>
      </c>
      <c r="I1566" s="550">
        <v>37</v>
      </c>
      <c r="J1566" s="550">
        <v>3467</v>
      </c>
      <c r="K1566" s="550">
        <v>59</v>
      </c>
      <c r="L1566" s="550">
        <v>7</v>
      </c>
      <c r="M1566" s="550">
        <v>52</v>
      </c>
      <c r="N1566" s="550">
        <v>4482</v>
      </c>
      <c r="O1566" s="550">
        <v>1924</v>
      </c>
      <c r="P1566" s="550">
        <v>11208</v>
      </c>
      <c r="Q1566" s="550">
        <v>1046</v>
      </c>
      <c r="R1566" s="574" t="s">
        <v>174</v>
      </c>
      <c r="S1566" s="552">
        <f>SUM(G1560:G1566) +SUM(K1560:K1566)</f>
        <v>741</v>
      </c>
      <c r="T1566" s="552">
        <f>F1566+J1566</f>
        <v>8411</v>
      </c>
      <c r="U1566" s="552">
        <f>SUM(O1560:O1566)</f>
        <v>5808</v>
      </c>
      <c r="V1566" s="552">
        <f>N1566</f>
        <v>4482</v>
      </c>
      <c r="W1566" s="554">
        <f>SUM(Q1560:Q1566)</f>
        <v>5143</v>
      </c>
      <c r="X1566" s="552">
        <f>P1566</f>
        <v>11208</v>
      </c>
      <c r="Y1566" s="552">
        <f>S1566+U1566+SUM(Q1560:Q1566)</f>
        <v>11692</v>
      </c>
      <c r="Z1566" s="552">
        <f>F1566+J1566+N1566+P1566</f>
        <v>24101</v>
      </c>
      <c r="AA1566" s="553"/>
      <c r="AB1566" s="553"/>
    </row>
    <row r="1567" spans="1:28" ht="12.75">
      <c r="A1567" s="547" t="s">
        <v>562</v>
      </c>
      <c r="B1567" s="547" t="s">
        <v>174</v>
      </c>
      <c r="C1567" s="548" t="s">
        <v>799</v>
      </c>
      <c r="D1567" s="549">
        <v>2013</v>
      </c>
      <c r="E1567" s="549" t="s">
        <v>775</v>
      </c>
      <c r="F1567" s="550">
        <v>3149</v>
      </c>
      <c r="G1567" s="550">
        <v>0</v>
      </c>
      <c r="H1567" s="550">
        <v>0</v>
      </c>
      <c r="I1567" s="550">
        <v>0</v>
      </c>
      <c r="J1567" s="550">
        <v>2208</v>
      </c>
      <c r="K1567" s="550">
        <v>0</v>
      </c>
      <c r="L1567" s="550">
        <v>0</v>
      </c>
      <c r="M1567" s="550">
        <v>0</v>
      </c>
      <c r="N1567" s="550">
        <v>2574</v>
      </c>
      <c r="O1567" s="550">
        <v>137</v>
      </c>
      <c r="P1567" s="550">
        <v>5913</v>
      </c>
      <c r="Q1567" s="550">
        <v>268</v>
      </c>
      <c r="R1567" s="574" t="s">
        <v>562</v>
      </c>
      <c r="S1567" s="552"/>
      <c r="T1567" s="552"/>
      <c r="U1567" s="552"/>
      <c r="V1567" s="552"/>
      <c r="W1567" s="552"/>
      <c r="X1567" s="552"/>
      <c r="Y1567" s="552"/>
      <c r="Z1567" s="552"/>
      <c r="AA1567" s="553"/>
      <c r="AB1567" s="553"/>
    </row>
    <row r="1568" spans="1:28" ht="12.75">
      <c r="A1568" s="547" t="s">
        <v>562</v>
      </c>
      <c r="B1568" s="547" t="s">
        <v>174</v>
      </c>
      <c r="C1568" s="548" t="s">
        <v>799</v>
      </c>
      <c r="D1568" s="549">
        <v>2014</v>
      </c>
      <c r="E1568" s="549" t="s">
        <v>775</v>
      </c>
      <c r="F1568" s="550">
        <v>3149</v>
      </c>
      <c r="G1568" s="550">
        <v>0</v>
      </c>
      <c r="H1568" s="550">
        <v>0</v>
      </c>
      <c r="I1568" s="550">
        <v>0</v>
      </c>
      <c r="J1568" s="550">
        <v>2208</v>
      </c>
      <c r="K1568" s="550">
        <v>0</v>
      </c>
      <c r="L1568" s="550">
        <v>0</v>
      </c>
      <c r="M1568" s="550">
        <v>0</v>
      </c>
      <c r="N1568" s="550">
        <v>2574</v>
      </c>
      <c r="O1568" s="550">
        <v>97</v>
      </c>
      <c r="P1568" s="550">
        <v>5913</v>
      </c>
      <c r="Q1568" s="550">
        <v>228</v>
      </c>
      <c r="R1568" s="574" t="s">
        <v>562</v>
      </c>
      <c r="S1568" s="552"/>
      <c r="T1568" s="552"/>
      <c r="U1568" s="552"/>
      <c r="V1568" s="552"/>
      <c r="W1568" s="552"/>
      <c r="X1568" s="552"/>
      <c r="Y1568" s="552"/>
      <c r="Z1568" s="552"/>
      <c r="AA1568" s="553"/>
      <c r="AB1568" s="553"/>
    </row>
    <row r="1569" spans="1:28" ht="12.75">
      <c r="A1569" s="547" t="s">
        <v>562</v>
      </c>
      <c r="B1569" s="547" t="s">
        <v>174</v>
      </c>
      <c r="C1569" s="548" t="s">
        <v>799</v>
      </c>
      <c r="D1569" s="549">
        <v>2015</v>
      </c>
      <c r="E1569" s="549" t="s">
        <v>775</v>
      </c>
      <c r="F1569" s="550">
        <v>3149</v>
      </c>
      <c r="G1569" s="550">
        <v>30</v>
      </c>
      <c r="H1569" s="550">
        <v>30</v>
      </c>
      <c r="I1569" s="550">
        <v>0</v>
      </c>
      <c r="J1569" s="550">
        <v>2208</v>
      </c>
      <c r="K1569" s="550">
        <v>117</v>
      </c>
      <c r="L1569" s="550">
        <v>117</v>
      </c>
      <c r="M1569" s="550">
        <v>0</v>
      </c>
      <c r="N1569" s="550">
        <v>2574</v>
      </c>
      <c r="O1569" s="550">
        <v>135</v>
      </c>
      <c r="P1569" s="550">
        <v>5913</v>
      </c>
      <c r="Q1569" s="550">
        <v>264</v>
      </c>
      <c r="R1569" s="574" t="s">
        <v>562</v>
      </c>
      <c r="S1569" s="552"/>
      <c r="T1569" s="552"/>
      <c r="U1569" s="552"/>
      <c r="V1569" s="552"/>
      <c r="W1569" s="552"/>
      <c r="X1569" s="552"/>
      <c r="Y1569" s="552"/>
      <c r="Z1569" s="552"/>
      <c r="AA1569" s="553"/>
      <c r="AB1569" s="553"/>
    </row>
    <row r="1570" spans="1:28" ht="12.75">
      <c r="A1570" s="547" t="s">
        <v>562</v>
      </c>
      <c r="B1570" s="547" t="s">
        <v>174</v>
      </c>
      <c r="C1570" s="548" t="s">
        <v>799</v>
      </c>
      <c r="D1570" s="549">
        <v>2016</v>
      </c>
      <c r="E1570" s="549" t="s">
        <v>775</v>
      </c>
      <c r="F1570" s="550">
        <v>3149</v>
      </c>
      <c r="G1570" s="550">
        <v>46</v>
      </c>
      <c r="H1570" s="550">
        <v>46</v>
      </c>
      <c r="I1570" s="550">
        <v>0</v>
      </c>
      <c r="J1570" s="550">
        <v>2208</v>
      </c>
      <c r="K1570" s="550">
        <v>0</v>
      </c>
      <c r="L1570" s="550">
        <v>0</v>
      </c>
      <c r="M1570" s="550">
        <v>0</v>
      </c>
      <c r="N1570" s="550">
        <v>2574</v>
      </c>
      <c r="O1570" s="550">
        <v>274</v>
      </c>
      <c r="P1570" s="550">
        <v>5913</v>
      </c>
      <c r="Q1570" s="550">
        <v>353</v>
      </c>
      <c r="R1570" s="574" t="s">
        <v>562</v>
      </c>
      <c r="S1570" s="552"/>
      <c r="T1570" s="552"/>
      <c r="U1570" s="552"/>
      <c r="V1570" s="552"/>
      <c r="W1570" s="552"/>
      <c r="X1570" s="552"/>
      <c r="Y1570" s="552"/>
      <c r="Z1570" s="552"/>
      <c r="AA1570" s="553"/>
      <c r="AB1570" s="553"/>
    </row>
    <row r="1571" spans="1:28" ht="12.75">
      <c r="A1571" s="547" t="s">
        <v>562</v>
      </c>
      <c r="B1571" s="547" t="s">
        <v>174</v>
      </c>
      <c r="C1571" s="548" t="s">
        <v>799</v>
      </c>
      <c r="D1571" s="549">
        <v>2017</v>
      </c>
      <c r="E1571" s="549" t="s">
        <v>775</v>
      </c>
      <c r="F1571" s="550">
        <v>3149</v>
      </c>
      <c r="G1571" s="550">
        <v>0</v>
      </c>
      <c r="H1571" s="550">
        <v>0</v>
      </c>
      <c r="I1571" s="550">
        <v>0</v>
      </c>
      <c r="J1571" s="550">
        <v>2208</v>
      </c>
      <c r="K1571" s="550">
        <v>0</v>
      </c>
      <c r="L1571" s="550">
        <v>0</v>
      </c>
      <c r="M1571" s="550">
        <v>0</v>
      </c>
      <c r="N1571" s="550">
        <v>2574</v>
      </c>
      <c r="O1571" s="550">
        <v>247</v>
      </c>
      <c r="P1571" s="550">
        <v>5913</v>
      </c>
      <c r="Q1571" s="550">
        <v>414</v>
      </c>
      <c r="R1571" s="574" t="s">
        <v>562</v>
      </c>
      <c r="S1571" s="552"/>
      <c r="T1571" s="552"/>
      <c r="U1571" s="552"/>
      <c r="V1571" s="552"/>
      <c r="W1571" s="552"/>
      <c r="X1571" s="552"/>
      <c r="Y1571" s="552"/>
      <c r="Z1571" s="552"/>
      <c r="AA1571" s="553"/>
      <c r="AB1571" s="553"/>
    </row>
    <row r="1572" spans="1:28" ht="12.75">
      <c r="A1572" s="547" t="s">
        <v>562</v>
      </c>
      <c r="B1572" s="547" t="s">
        <v>174</v>
      </c>
      <c r="C1572" s="548" t="s">
        <v>799</v>
      </c>
      <c r="D1572" s="549">
        <v>2018</v>
      </c>
      <c r="E1572" s="549" t="s">
        <v>775</v>
      </c>
      <c r="F1572" s="550">
        <v>3149</v>
      </c>
      <c r="G1572" s="550">
        <v>0</v>
      </c>
      <c r="H1572" s="550">
        <v>0</v>
      </c>
      <c r="I1572" s="550">
        <v>0</v>
      </c>
      <c r="J1572" s="550">
        <v>2208</v>
      </c>
      <c r="K1572" s="550">
        <v>12</v>
      </c>
      <c r="L1572" s="550">
        <v>12</v>
      </c>
      <c r="M1572" s="550">
        <v>0</v>
      </c>
      <c r="N1572" s="550">
        <v>2574</v>
      </c>
      <c r="O1572" s="550">
        <v>269</v>
      </c>
      <c r="P1572" s="550">
        <v>5913</v>
      </c>
      <c r="Q1572" s="550">
        <v>375</v>
      </c>
      <c r="R1572" s="574" t="s">
        <v>562</v>
      </c>
      <c r="S1572" s="552"/>
      <c r="T1572" s="552"/>
      <c r="U1572" s="552"/>
      <c r="V1572" s="552"/>
      <c r="W1572" s="552"/>
      <c r="X1572" s="552"/>
      <c r="Y1572" s="552"/>
      <c r="Z1572" s="552"/>
      <c r="AA1572" s="553"/>
      <c r="AB1572" s="553"/>
    </row>
    <row r="1573" spans="1:28" ht="12.75">
      <c r="A1573" s="547" t="s">
        <v>562</v>
      </c>
      <c r="B1573" s="547" t="s">
        <v>174</v>
      </c>
      <c r="C1573" s="548" t="s">
        <v>801</v>
      </c>
      <c r="D1573" s="549">
        <v>2019</v>
      </c>
      <c r="E1573" s="549" t="s">
        <v>775</v>
      </c>
      <c r="F1573" s="550">
        <v>3149</v>
      </c>
      <c r="G1573" s="550">
        <v>57</v>
      </c>
      <c r="H1573" s="550">
        <v>57</v>
      </c>
      <c r="I1573" s="550">
        <v>0</v>
      </c>
      <c r="J1573" s="550">
        <v>2208</v>
      </c>
      <c r="K1573" s="550">
        <v>26</v>
      </c>
      <c r="L1573" s="550">
        <v>26</v>
      </c>
      <c r="M1573" s="550">
        <v>0</v>
      </c>
      <c r="N1573" s="550">
        <v>2574</v>
      </c>
      <c r="O1573" s="550">
        <v>242</v>
      </c>
      <c r="P1573" s="550">
        <v>5913</v>
      </c>
      <c r="Q1573" s="550">
        <v>295</v>
      </c>
      <c r="R1573" s="574" t="s">
        <v>562</v>
      </c>
      <c r="S1573" s="556">
        <f>SUM(G1567:G1573) +SUM(K1567:K1573)</f>
        <v>288</v>
      </c>
      <c r="T1573" s="556">
        <f>F1573+J1573</f>
        <v>5357</v>
      </c>
      <c r="U1573" s="556">
        <f>SUM(O1567:O1573)</f>
        <v>1401</v>
      </c>
      <c r="V1573" s="556">
        <f>N1573</f>
        <v>2574</v>
      </c>
      <c r="W1573" s="557">
        <f>SUM(Q1567:Q1573)</f>
        <v>2197</v>
      </c>
      <c r="X1573" s="556">
        <f>P1573</f>
        <v>5913</v>
      </c>
      <c r="Y1573" s="556">
        <f>S1573+U1573+SUM(Q1567:Q1573)</f>
        <v>3886</v>
      </c>
      <c r="Z1573" s="556">
        <f>F1573+J1573+N1573+P1573</f>
        <v>13844</v>
      </c>
      <c r="AA1573" s="553"/>
      <c r="AB1573" s="553"/>
    </row>
    <row r="1574" spans="1:28" ht="12.75">
      <c r="A1574" s="547"/>
      <c r="B1574" s="547"/>
      <c r="C1574" s="548"/>
      <c r="D1574" s="549"/>
      <c r="E1574" s="549"/>
      <c r="F1574" s="550"/>
      <c r="G1574" s="550"/>
      <c r="H1574" s="550"/>
      <c r="I1574" s="550"/>
      <c r="J1574" s="550"/>
      <c r="K1574" s="550"/>
      <c r="L1574" s="550"/>
      <c r="M1574" s="550"/>
      <c r="N1574" s="550"/>
      <c r="O1574" s="550"/>
      <c r="P1574" s="550"/>
      <c r="Q1574" s="550"/>
      <c r="R1574" s="574"/>
      <c r="S1574" s="563">
        <f t="shared" ref="S1574:Z1574" si="203">SUM(S1529:S1573)</f>
        <v>1422</v>
      </c>
      <c r="T1574" s="563">
        <f t="shared" si="203"/>
        <v>22397</v>
      </c>
      <c r="U1574" s="563">
        <f t="shared" si="203"/>
        <v>8525</v>
      </c>
      <c r="V1574" s="563">
        <f t="shared" si="203"/>
        <v>10858</v>
      </c>
      <c r="W1574" s="563">
        <f t="shared" si="203"/>
        <v>15905</v>
      </c>
      <c r="X1574" s="563">
        <f t="shared" si="203"/>
        <v>25131</v>
      </c>
      <c r="Y1574" s="563">
        <f t="shared" si="203"/>
        <v>25852</v>
      </c>
      <c r="Z1574" s="563">
        <f t="shared" si="203"/>
        <v>58386</v>
      </c>
      <c r="AA1574" s="553"/>
      <c r="AB1574" s="553"/>
    </row>
    <row r="1575" spans="1:28" ht="12.75">
      <c r="A1575" s="547" t="s">
        <v>563</v>
      </c>
      <c r="B1575" s="547" t="s">
        <v>176</v>
      </c>
      <c r="C1575" s="548" t="s">
        <v>177</v>
      </c>
      <c r="D1575" s="549">
        <v>2015</v>
      </c>
      <c r="E1575" s="549" t="s">
        <v>775</v>
      </c>
      <c r="F1575" s="550">
        <v>312</v>
      </c>
      <c r="G1575" s="550">
        <v>0</v>
      </c>
      <c r="H1575" s="550">
        <v>0</v>
      </c>
      <c r="I1575" s="550">
        <v>0</v>
      </c>
      <c r="J1575" s="550">
        <v>189</v>
      </c>
      <c r="K1575" s="550">
        <v>0</v>
      </c>
      <c r="L1575" s="550">
        <v>0</v>
      </c>
      <c r="M1575" s="550">
        <v>0</v>
      </c>
      <c r="N1575" s="550">
        <v>258</v>
      </c>
      <c r="O1575" s="550">
        <v>0</v>
      </c>
      <c r="P1575" s="550">
        <v>557</v>
      </c>
      <c r="Q1575" s="550">
        <v>68</v>
      </c>
      <c r="R1575" s="574" t="s">
        <v>563</v>
      </c>
      <c r="S1575" s="552"/>
      <c r="T1575" s="552"/>
      <c r="U1575" s="552"/>
      <c r="V1575" s="552"/>
      <c r="W1575" s="552"/>
      <c r="X1575" s="552"/>
      <c r="Y1575" s="552"/>
      <c r="Z1575" s="552"/>
      <c r="AA1575" s="553"/>
      <c r="AB1575" s="553"/>
    </row>
    <row r="1576" spans="1:28" ht="12.75">
      <c r="A1576" s="547" t="s">
        <v>563</v>
      </c>
      <c r="B1576" s="547" t="s">
        <v>176</v>
      </c>
      <c r="C1576" s="548" t="s">
        <v>177</v>
      </c>
      <c r="D1576" s="549">
        <v>2016</v>
      </c>
      <c r="E1576" s="549" t="s">
        <v>775</v>
      </c>
      <c r="F1576" s="550">
        <v>312</v>
      </c>
      <c r="G1576" s="550">
        <v>0</v>
      </c>
      <c r="H1576" s="550">
        <v>0</v>
      </c>
      <c r="I1576" s="550">
        <v>0</v>
      </c>
      <c r="J1576" s="550">
        <v>189</v>
      </c>
      <c r="K1576" s="550">
        <v>0</v>
      </c>
      <c r="L1576" s="550">
        <v>0</v>
      </c>
      <c r="M1576" s="550">
        <v>0</v>
      </c>
      <c r="N1576" s="550">
        <v>258</v>
      </c>
      <c r="O1576" s="550">
        <v>12</v>
      </c>
      <c r="P1576" s="550">
        <v>557</v>
      </c>
      <c r="Q1576" s="550">
        <v>87</v>
      </c>
      <c r="R1576" s="574" t="s">
        <v>563</v>
      </c>
      <c r="S1576" s="552"/>
      <c r="T1576" s="552"/>
      <c r="U1576" s="552"/>
      <c r="V1576" s="552"/>
      <c r="W1576" s="552"/>
      <c r="X1576" s="552"/>
      <c r="Y1576" s="552"/>
      <c r="Z1576" s="552"/>
      <c r="AA1576" s="553"/>
      <c r="AB1576" s="553"/>
    </row>
    <row r="1577" spans="1:28" ht="12.75">
      <c r="A1577" s="547" t="s">
        <v>563</v>
      </c>
      <c r="B1577" s="547" t="s">
        <v>176</v>
      </c>
      <c r="C1577" s="548" t="s">
        <v>177</v>
      </c>
      <c r="D1577" s="549">
        <v>2017</v>
      </c>
      <c r="E1577" s="549" t="s">
        <v>775</v>
      </c>
      <c r="F1577" s="550">
        <v>312</v>
      </c>
      <c r="G1577" s="550">
        <v>0</v>
      </c>
      <c r="H1577" s="550">
        <v>0</v>
      </c>
      <c r="I1577" s="550">
        <v>0</v>
      </c>
      <c r="J1577" s="550">
        <v>189</v>
      </c>
      <c r="K1577" s="550">
        <v>0</v>
      </c>
      <c r="L1577" s="550">
        <v>0</v>
      </c>
      <c r="M1577" s="550">
        <v>0</v>
      </c>
      <c r="N1577" s="550">
        <v>258</v>
      </c>
      <c r="O1577" s="550">
        <v>91</v>
      </c>
      <c r="P1577" s="550">
        <v>557</v>
      </c>
      <c r="Q1577" s="550">
        <v>219</v>
      </c>
      <c r="R1577" s="574" t="s">
        <v>563</v>
      </c>
      <c r="S1577" s="552"/>
      <c r="T1577" s="552"/>
      <c r="U1577" s="552"/>
      <c r="V1577" s="552"/>
      <c r="W1577" s="552"/>
      <c r="X1577" s="552"/>
      <c r="Y1577" s="552"/>
      <c r="Z1577" s="552"/>
      <c r="AA1577" s="553"/>
      <c r="AB1577" s="553"/>
    </row>
    <row r="1578" spans="1:28" ht="12.75">
      <c r="A1578" s="547" t="s">
        <v>563</v>
      </c>
      <c r="B1578" s="547" t="s">
        <v>176</v>
      </c>
      <c r="C1578" s="548" t="s">
        <v>177</v>
      </c>
      <c r="D1578" s="549">
        <v>2018</v>
      </c>
      <c r="E1578" s="549" t="s">
        <v>775</v>
      </c>
      <c r="F1578" s="550">
        <v>312</v>
      </c>
      <c r="G1578" s="550">
        <v>0</v>
      </c>
      <c r="H1578" s="550">
        <v>0</v>
      </c>
      <c r="I1578" s="550">
        <v>0</v>
      </c>
      <c r="J1578" s="550">
        <v>189</v>
      </c>
      <c r="K1578" s="550">
        <v>0</v>
      </c>
      <c r="L1578" s="550">
        <v>0</v>
      </c>
      <c r="M1578" s="550">
        <v>0</v>
      </c>
      <c r="N1578" s="550">
        <v>258</v>
      </c>
      <c r="O1578" s="550">
        <v>1</v>
      </c>
      <c r="P1578" s="550">
        <v>557</v>
      </c>
      <c r="Q1578" s="550">
        <v>87</v>
      </c>
      <c r="R1578" s="574" t="s">
        <v>563</v>
      </c>
      <c r="S1578" s="552"/>
      <c r="T1578" s="552"/>
      <c r="U1578" s="552"/>
      <c r="V1578" s="552"/>
      <c r="W1578" s="552"/>
      <c r="X1578" s="552"/>
      <c r="Y1578" s="552"/>
      <c r="Z1578" s="552"/>
      <c r="AA1578" s="553"/>
      <c r="AB1578" s="553"/>
    </row>
    <row r="1579" spans="1:28" ht="12.75">
      <c r="A1579" s="547" t="s">
        <v>563</v>
      </c>
      <c r="B1579" s="547" t="s">
        <v>176</v>
      </c>
      <c r="C1579" s="548" t="s">
        <v>811</v>
      </c>
      <c r="D1579" s="549">
        <v>2019</v>
      </c>
      <c r="E1579" s="549" t="s">
        <v>775</v>
      </c>
      <c r="F1579" s="550">
        <v>312</v>
      </c>
      <c r="G1579" s="550">
        <v>0</v>
      </c>
      <c r="H1579" s="550">
        <v>0</v>
      </c>
      <c r="I1579" s="550">
        <v>0</v>
      </c>
      <c r="J1579" s="550">
        <v>189</v>
      </c>
      <c r="K1579" s="550">
        <v>0</v>
      </c>
      <c r="L1579" s="550">
        <v>0</v>
      </c>
      <c r="M1579" s="550">
        <v>0</v>
      </c>
      <c r="N1579" s="550">
        <v>258</v>
      </c>
      <c r="O1579" s="550">
        <v>0</v>
      </c>
      <c r="P1579" s="550">
        <v>557</v>
      </c>
      <c r="Q1579" s="550">
        <v>168</v>
      </c>
      <c r="R1579" s="574" t="s">
        <v>563</v>
      </c>
      <c r="S1579" s="255">
        <f>SUM(G1575:G1579) +SUM(K1575:K1579)</f>
        <v>0</v>
      </c>
      <c r="T1579" s="255">
        <f>F1579+J1579</f>
        <v>501</v>
      </c>
      <c r="U1579" s="255">
        <f>SUM(O1575:O1579)</f>
        <v>104</v>
      </c>
      <c r="V1579" s="255">
        <f>N1579</f>
        <v>258</v>
      </c>
      <c r="W1579" s="83">
        <f>SUM(Q1575:Q1579)</f>
        <v>629</v>
      </c>
      <c r="X1579" s="255">
        <f>P1579</f>
        <v>557</v>
      </c>
      <c r="Y1579" s="255">
        <f>S1579+U1579+SUM(Q1575:Q1579)</f>
        <v>733</v>
      </c>
      <c r="Z1579" s="255">
        <f>F1579+J1579+N1579+P1579</f>
        <v>1316</v>
      </c>
      <c r="AA1579" s="553"/>
      <c r="AB1579" s="553"/>
    </row>
    <row r="1580" spans="1:28" ht="12.75">
      <c r="A1580" s="547" t="s">
        <v>564</v>
      </c>
      <c r="B1580" s="547" t="s">
        <v>176</v>
      </c>
      <c r="C1580" s="548" t="s">
        <v>177</v>
      </c>
      <c r="D1580" s="549">
        <v>2015</v>
      </c>
      <c r="E1580" s="549" t="s">
        <v>775</v>
      </c>
      <c r="F1580" s="550">
        <v>198</v>
      </c>
      <c r="G1580" s="550">
        <v>0</v>
      </c>
      <c r="H1580" s="550">
        <v>0</v>
      </c>
      <c r="I1580" s="550">
        <v>0</v>
      </c>
      <c r="J1580" s="550">
        <v>120</v>
      </c>
      <c r="K1580" s="550">
        <v>0</v>
      </c>
      <c r="L1580" s="550">
        <v>0</v>
      </c>
      <c r="M1580" s="550">
        <v>0</v>
      </c>
      <c r="N1580" s="550">
        <v>164</v>
      </c>
      <c r="O1580" s="550">
        <v>2</v>
      </c>
      <c r="P1580" s="550">
        <v>355</v>
      </c>
      <c r="Q1580" s="550">
        <v>17</v>
      </c>
      <c r="R1580" s="574" t="s">
        <v>564</v>
      </c>
      <c r="S1580" s="552"/>
      <c r="T1580" s="552"/>
      <c r="U1580" s="552"/>
      <c r="V1580" s="552"/>
      <c r="W1580" s="552"/>
      <c r="X1580" s="552"/>
      <c r="Y1580" s="552"/>
      <c r="Z1580" s="552"/>
      <c r="AA1580" s="553"/>
      <c r="AB1580" s="553"/>
    </row>
    <row r="1581" spans="1:28" ht="12.75">
      <c r="A1581" s="547" t="s">
        <v>564</v>
      </c>
      <c r="B1581" s="547" t="s">
        <v>176</v>
      </c>
      <c r="C1581" s="548" t="s">
        <v>177</v>
      </c>
      <c r="D1581" s="549">
        <v>2016</v>
      </c>
      <c r="E1581" s="549" t="s">
        <v>775</v>
      </c>
      <c r="F1581" s="550">
        <v>198</v>
      </c>
      <c r="G1581" s="550">
        <v>0</v>
      </c>
      <c r="H1581" s="550">
        <v>0</v>
      </c>
      <c r="I1581" s="550">
        <v>0</v>
      </c>
      <c r="J1581" s="550">
        <v>120</v>
      </c>
      <c r="K1581" s="550">
        <v>0</v>
      </c>
      <c r="L1581" s="550">
        <v>0</v>
      </c>
      <c r="M1581" s="550">
        <v>0</v>
      </c>
      <c r="N1581" s="550">
        <v>164</v>
      </c>
      <c r="O1581" s="550">
        <v>0</v>
      </c>
      <c r="P1581" s="550">
        <v>355</v>
      </c>
      <c r="Q1581" s="550">
        <v>61</v>
      </c>
      <c r="R1581" s="574" t="s">
        <v>564</v>
      </c>
      <c r="S1581" s="552"/>
      <c r="T1581" s="552"/>
      <c r="U1581" s="552"/>
      <c r="V1581" s="552"/>
      <c r="W1581" s="552"/>
      <c r="X1581" s="552"/>
      <c r="Y1581" s="552"/>
      <c r="Z1581" s="552"/>
      <c r="AA1581" s="553"/>
      <c r="AB1581" s="553"/>
    </row>
    <row r="1582" spans="1:28" ht="12.75">
      <c r="A1582" s="547" t="s">
        <v>564</v>
      </c>
      <c r="B1582" s="547" t="s">
        <v>176</v>
      </c>
      <c r="C1582" s="548" t="s">
        <v>177</v>
      </c>
      <c r="D1582" s="549">
        <v>2017</v>
      </c>
      <c r="E1582" s="549" t="s">
        <v>775</v>
      </c>
      <c r="F1582" s="550">
        <v>198</v>
      </c>
      <c r="G1582" s="550">
        <v>0</v>
      </c>
      <c r="H1582" s="550">
        <v>0</v>
      </c>
      <c r="I1582" s="550">
        <v>0</v>
      </c>
      <c r="J1582" s="550">
        <v>120</v>
      </c>
      <c r="K1582" s="550">
        <v>0</v>
      </c>
      <c r="L1582" s="550">
        <v>0</v>
      </c>
      <c r="M1582" s="550">
        <v>0</v>
      </c>
      <c r="N1582" s="550">
        <v>164</v>
      </c>
      <c r="O1582" s="550">
        <v>0</v>
      </c>
      <c r="P1582" s="550">
        <v>355</v>
      </c>
      <c r="Q1582" s="550">
        <v>96</v>
      </c>
      <c r="R1582" s="574" t="s">
        <v>564</v>
      </c>
      <c r="S1582" s="552"/>
      <c r="T1582" s="552"/>
      <c r="U1582" s="552"/>
      <c r="V1582" s="552"/>
      <c r="W1582" s="552"/>
      <c r="X1582" s="552"/>
      <c r="Y1582" s="552"/>
      <c r="Z1582" s="552"/>
      <c r="AA1582" s="553"/>
      <c r="AB1582" s="553"/>
    </row>
    <row r="1583" spans="1:28" ht="12.75">
      <c r="A1583" s="547" t="s">
        <v>564</v>
      </c>
      <c r="B1583" s="547" t="s">
        <v>176</v>
      </c>
      <c r="C1583" s="548" t="s">
        <v>177</v>
      </c>
      <c r="D1583" s="549">
        <v>2018</v>
      </c>
      <c r="E1583" s="549" t="s">
        <v>775</v>
      </c>
      <c r="F1583" s="550">
        <v>198</v>
      </c>
      <c r="G1583" s="550">
        <v>0</v>
      </c>
      <c r="H1583" s="550">
        <v>0</v>
      </c>
      <c r="I1583" s="550">
        <v>0</v>
      </c>
      <c r="J1583" s="550">
        <v>120</v>
      </c>
      <c r="K1583" s="550">
        <v>0</v>
      </c>
      <c r="L1583" s="550">
        <v>0</v>
      </c>
      <c r="M1583" s="550">
        <v>0</v>
      </c>
      <c r="N1583" s="550">
        <v>164</v>
      </c>
      <c r="O1583" s="550">
        <v>1</v>
      </c>
      <c r="P1583" s="550">
        <v>355</v>
      </c>
      <c r="Q1583" s="550">
        <v>177</v>
      </c>
      <c r="R1583" s="574" t="s">
        <v>564</v>
      </c>
      <c r="S1583" s="552"/>
      <c r="T1583" s="552"/>
      <c r="U1583" s="552"/>
      <c r="V1583" s="552"/>
      <c r="W1583" s="552"/>
      <c r="X1583" s="552"/>
      <c r="Y1583" s="552"/>
      <c r="Z1583" s="552"/>
      <c r="AA1583" s="553"/>
      <c r="AB1583" s="553"/>
    </row>
    <row r="1584" spans="1:28" ht="12.75">
      <c r="A1584" s="547" t="s">
        <v>564</v>
      </c>
      <c r="B1584" s="547" t="s">
        <v>176</v>
      </c>
      <c r="C1584" s="548" t="s">
        <v>811</v>
      </c>
      <c r="D1584" s="549">
        <v>2019</v>
      </c>
      <c r="E1584" s="549" t="s">
        <v>775</v>
      </c>
      <c r="F1584" s="550">
        <v>198</v>
      </c>
      <c r="G1584" s="550">
        <v>0</v>
      </c>
      <c r="H1584" s="550">
        <v>0</v>
      </c>
      <c r="I1584" s="550">
        <v>0</v>
      </c>
      <c r="J1584" s="550">
        <v>120</v>
      </c>
      <c r="K1584" s="550">
        <v>0</v>
      </c>
      <c r="L1584" s="550">
        <v>0</v>
      </c>
      <c r="M1584" s="550">
        <v>0</v>
      </c>
      <c r="N1584" s="550">
        <v>164</v>
      </c>
      <c r="O1584" s="550">
        <v>0</v>
      </c>
      <c r="P1584" s="550">
        <v>355</v>
      </c>
      <c r="Q1584" s="550">
        <v>213</v>
      </c>
      <c r="R1584" s="574" t="s">
        <v>564</v>
      </c>
      <c r="S1584" s="255">
        <f>SUM(G1580:G1584) +SUM(K1580:K1584)</f>
        <v>0</v>
      </c>
      <c r="T1584" s="255">
        <f>F1584+J1584</f>
        <v>318</v>
      </c>
      <c r="U1584" s="255">
        <f>SUM(O1580:O1584)</f>
        <v>3</v>
      </c>
      <c r="V1584" s="255">
        <f>N1584</f>
        <v>164</v>
      </c>
      <c r="W1584" s="83">
        <f>SUM(Q1580:Q1584)</f>
        <v>564</v>
      </c>
      <c r="X1584" s="255">
        <f>P1584</f>
        <v>355</v>
      </c>
      <c r="Y1584" s="255">
        <f>S1584+U1584+SUM(Q1580:Q1584)</f>
        <v>567</v>
      </c>
      <c r="Z1584" s="255">
        <f>F1584+J1584+N1584+P1584</f>
        <v>837</v>
      </c>
      <c r="AA1584" s="553"/>
      <c r="AB1584" s="553"/>
    </row>
    <row r="1585" spans="1:28" ht="12.75">
      <c r="A1585" s="547" t="s">
        <v>565</v>
      </c>
      <c r="B1585" s="547" t="s">
        <v>176</v>
      </c>
      <c r="C1585" s="548" t="s">
        <v>177</v>
      </c>
      <c r="D1585" s="549">
        <v>2018</v>
      </c>
      <c r="E1585" s="549" t="s">
        <v>775</v>
      </c>
      <c r="F1585" s="550">
        <v>10</v>
      </c>
      <c r="G1585" s="564"/>
      <c r="H1585" s="564"/>
      <c r="I1585" s="564"/>
      <c r="J1585" s="550">
        <v>6</v>
      </c>
      <c r="K1585" s="564"/>
      <c r="L1585" s="564"/>
      <c r="M1585" s="564"/>
      <c r="N1585" s="550">
        <v>8</v>
      </c>
      <c r="O1585" s="564"/>
      <c r="P1585" s="550">
        <v>17</v>
      </c>
      <c r="Q1585" s="564"/>
      <c r="R1585" s="574" t="s">
        <v>565</v>
      </c>
      <c r="S1585" s="552"/>
      <c r="T1585" s="552"/>
      <c r="U1585" s="552"/>
      <c r="V1585" s="552"/>
      <c r="W1585" s="552"/>
      <c r="X1585" s="552"/>
      <c r="Y1585" s="552"/>
      <c r="Z1585" s="552"/>
      <c r="AA1585" s="553"/>
      <c r="AB1585" s="553"/>
    </row>
    <row r="1586" spans="1:28" ht="12.75">
      <c r="A1586" s="547" t="s">
        <v>565</v>
      </c>
      <c r="B1586" s="547" t="s">
        <v>176</v>
      </c>
      <c r="C1586" s="548" t="s">
        <v>811</v>
      </c>
      <c r="D1586" s="549">
        <v>2019</v>
      </c>
      <c r="E1586" s="549" t="s">
        <v>775</v>
      </c>
      <c r="F1586" s="550">
        <v>10</v>
      </c>
      <c r="G1586" s="550">
        <v>0</v>
      </c>
      <c r="H1586" s="550">
        <v>0</v>
      </c>
      <c r="I1586" s="550">
        <v>0</v>
      </c>
      <c r="J1586" s="550">
        <v>6</v>
      </c>
      <c r="K1586" s="550">
        <v>0</v>
      </c>
      <c r="L1586" s="550">
        <v>0</v>
      </c>
      <c r="M1586" s="550">
        <v>0</v>
      </c>
      <c r="N1586" s="550">
        <v>8</v>
      </c>
      <c r="O1586" s="550">
        <v>0</v>
      </c>
      <c r="P1586" s="550">
        <v>17</v>
      </c>
      <c r="Q1586" s="550">
        <v>0</v>
      </c>
      <c r="R1586" s="574" t="s">
        <v>565</v>
      </c>
      <c r="S1586" s="561">
        <f>SUM(G1585:G1586) +SUM(K1585:K1586)</f>
        <v>0</v>
      </c>
      <c r="T1586" s="561">
        <f>F1586+J1586</f>
        <v>16</v>
      </c>
      <c r="U1586" s="561">
        <f>SUM(O1585:O1586)</f>
        <v>0</v>
      </c>
      <c r="V1586" s="561">
        <f>N1586</f>
        <v>8</v>
      </c>
      <c r="W1586" s="562">
        <f>SUM(Q1585:Q1586)</f>
        <v>0</v>
      </c>
      <c r="X1586" s="561">
        <f>P1586</f>
        <v>17</v>
      </c>
      <c r="Y1586" s="561">
        <f>S1586+U1586+SUM(Q1585:Q1586)</f>
        <v>0</v>
      </c>
      <c r="Z1586" s="561">
        <f>F1586+J1586+N1586+P1586</f>
        <v>41</v>
      </c>
      <c r="AA1586" s="553"/>
      <c r="AB1586" s="553"/>
    </row>
    <row r="1587" spans="1:28" ht="12.75">
      <c r="A1587" s="547"/>
      <c r="B1587" s="547"/>
      <c r="C1587" s="548"/>
      <c r="D1587" s="549"/>
      <c r="E1587" s="549"/>
      <c r="F1587" s="270"/>
      <c r="G1587" s="270"/>
      <c r="H1587" s="270"/>
      <c r="I1587" s="271"/>
      <c r="J1587" s="550"/>
      <c r="K1587" s="550"/>
      <c r="L1587" s="550"/>
      <c r="M1587" s="550"/>
      <c r="N1587" s="550"/>
      <c r="O1587" s="550"/>
      <c r="P1587" s="550"/>
      <c r="Q1587" s="550"/>
      <c r="R1587" s="574"/>
      <c r="S1587" s="563">
        <f t="shared" ref="S1587:Z1587" si="204">SUM(S1575:S1586)</f>
        <v>0</v>
      </c>
      <c r="T1587" s="563">
        <f t="shared" si="204"/>
        <v>835</v>
      </c>
      <c r="U1587" s="563">
        <f t="shared" si="204"/>
        <v>107</v>
      </c>
      <c r="V1587" s="563">
        <f t="shared" si="204"/>
        <v>430</v>
      </c>
      <c r="W1587" s="563">
        <f t="shared" si="204"/>
        <v>1193</v>
      </c>
      <c r="X1587" s="563">
        <f t="shared" si="204"/>
        <v>929</v>
      </c>
      <c r="Y1587" s="563">
        <f t="shared" si="204"/>
        <v>1300</v>
      </c>
      <c r="Z1587" s="563">
        <f t="shared" si="204"/>
        <v>2194</v>
      </c>
      <c r="AA1587" s="553"/>
      <c r="AB1587" s="553"/>
    </row>
    <row r="1588" spans="1:28" ht="12.75">
      <c r="A1588" s="547"/>
      <c r="B1588" s="547"/>
      <c r="C1588" s="548"/>
      <c r="D1588" s="549"/>
      <c r="E1588" s="549"/>
      <c r="F1588" s="550"/>
      <c r="G1588" s="550"/>
      <c r="H1588" s="550"/>
      <c r="I1588" s="550"/>
      <c r="J1588" s="550"/>
      <c r="K1588" s="550"/>
      <c r="L1588" s="550"/>
      <c r="M1588" s="550"/>
      <c r="N1588" s="550"/>
      <c r="O1588" s="550"/>
      <c r="P1588" s="550"/>
      <c r="Q1588" s="550"/>
      <c r="R1588" s="574"/>
      <c r="S1588" s="552"/>
      <c r="T1588" s="552"/>
      <c r="U1588" s="552"/>
      <c r="V1588" s="552"/>
      <c r="W1588" s="552"/>
      <c r="X1588" s="552"/>
      <c r="Y1588" s="552"/>
      <c r="Z1588" s="552"/>
      <c r="AA1588" s="553"/>
      <c r="AB1588" s="553"/>
    </row>
    <row r="1589" spans="1:28" ht="12.75">
      <c r="A1589" s="547" t="s">
        <v>566</v>
      </c>
      <c r="B1589" s="547" t="s">
        <v>178</v>
      </c>
      <c r="C1589" s="548" t="s">
        <v>812</v>
      </c>
      <c r="D1589" s="549">
        <v>2019</v>
      </c>
      <c r="E1589" s="549" t="s">
        <v>775</v>
      </c>
      <c r="F1589" s="550">
        <v>633</v>
      </c>
      <c r="G1589" s="550">
        <v>0</v>
      </c>
      <c r="H1589" s="550">
        <v>0</v>
      </c>
      <c r="I1589" s="550">
        <v>0</v>
      </c>
      <c r="J1589" s="550">
        <v>459</v>
      </c>
      <c r="K1589" s="550">
        <v>0</v>
      </c>
      <c r="L1589" s="550">
        <v>0</v>
      </c>
      <c r="M1589" s="550">
        <v>0</v>
      </c>
      <c r="N1589" s="550">
        <v>513</v>
      </c>
      <c r="O1589" s="550">
        <v>0</v>
      </c>
      <c r="P1589" s="550">
        <v>1236</v>
      </c>
      <c r="Q1589" s="550">
        <v>0</v>
      </c>
      <c r="R1589" s="574" t="s">
        <v>566</v>
      </c>
      <c r="S1589" s="552">
        <f>G1589+K1589</f>
        <v>0</v>
      </c>
      <c r="T1589" s="552">
        <f>F1589+J1589</f>
        <v>1092</v>
      </c>
      <c r="U1589" s="552">
        <f>O1589</f>
        <v>0</v>
      </c>
      <c r="V1589" s="552">
        <f>N1589</f>
        <v>513</v>
      </c>
      <c r="W1589" s="552">
        <f>Q1589</f>
        <v>0</v>
      </c>
      <c r="X1589" s="552">
        <f>P1589</f>
        <v>1236</v>
      </c>
      <c r="Y1589" s="552">
        <f t="shared" ref="Y1589:Z1589" si="205">S1589+U1589+W1589</f>
        <v>0</v>
      </c>
      <c r="Z1589" s="552">
        <f t="shared" si="205"/>
        <v>2841</v>
      </c>
      <c r="AA1589" s="553"/>
      <c r="AB1589" s="553"/>
    </row>
    <row r="1590" spans="1:28" ht="12.75">
      <c r="A1590" s="547" t="s">
        <v>567</v>
      </c>
      <c r="B1590" s="547" t="s">
        <v>178</v>
      </c>
      <c r="C1590" s="548" t="s">
        <v>812</v>
      </c>
      <c r="D1590" s="549">
        <v>2015</v>
      </c>
      <c r="E1590" s="549" t="s">
        <v>775</v>
      </c>
      <c r="F1590" s="550">
        <v>764</v>
      </c>
      <c r="G1590" s="550">
        <v>0</v>
      </c>
      <c r="H1590" s="550">
        <v>0</v>
      </c>
      <c r="I1590" s="550">
        <v>0</v>
      </c>
      <c r="J1590" s="550">
        <v>541</v>
      </c>
      <c r="K1590" s="550">
        <v>0</v>
      </c>
      <c r="L1590" s="550">
        <v>0</v>
      </c>
      <c r="M1590" s="550">
        <v>0</v>
      </c>
      <c r="N1590" s="550">
        <v>622</v>
      </c>
      <c r="O1590" s="550">
        <v>0</v>
      </c>
      <c r="P1590" s="550">
        <v>1407</v>
      </c>
      <c r="Q1590" s="550">
        <v>0</v>
      </c>
      <c r="R1590" s="574" t="s">
        <v>567</v>
      </c>
      <c r="S1590" s="552"/>
      <c r="T1590" s="552"/>
      <c r="U1590" s="552"/>
      <c r="V1590" s="552"/>
      <c r="W1590" s="552"/>
      <c r="X1590" s="552"/>
      <c r="Y1590" s="552"/>
      <c r="Z1590" s="552"/>
      <c r="AA1590" s="553"/>
      <c r="AB1590" s="553"/>
    </row>
    <row r="1591" spans="1:28" ht="12.75">
      <c r="A1591" s="547" t="s">
        <v>567</v>
      </c>
      <c r="B1591" s="547" t="s">
        <v>178</v>
      </c>
      <c r="C1591" s="548" t="s">
        <v>812</v>
      </c>
      <c r="D1591" s="549">
        <v>2016</v>
      </c>
      <c r="E1591" s="549" t="s">
        <v>775</v>
      </c>
      <c r="F1591" s="550">
        <v>764</v>
      </c>
      <c r="G1591" s="550">
        <v>0</v>
      </c>
      <c r="H1591" s="550">
        <v>0</v>
      </c>
      <c r="I1591" s="550">
        <v>0</v>
      </c>
      <c r="J1591" s="550">
        <v>541</v>
      </c>
      <c r="K1591" s="550">
        <v>0</v>
      </c>
      <c r="L1591" s="550">
        <v>0</v>
      </c>
      <c r="M1591" s="550">
        <v>0</v>
      </c>
      <c r="N1591" s="550">
        <v>622</v>
      </c>
      <c r="O1591" s="550">
        <v>0</v>
      </c>
      <c r="P1591" s="550">
        <v>1407</v>
      </c>
      <c r="Q1591" s="550">
        <v>0</v>
      </c>
      <c r="R1591" s="574" t="s">
        <v>567</v>
      </c>
      <c r="S1591" s="552"/>
      <c r="T1591" s="552"/>
      <c r="U1591" s="552"/>
      <c r="V1591" s="552"/>
      <c r="W1591" s="552"/>
      <c r="X1591" s="552"/>
      <c r="Y1591" s="552"/>
      <c r="Z1591" s="552"/>
      <c r="AA1591" s="553"/>
      <c r="AB1591" s="553"/>
    </row>
    <row r="1592" spans="1:28" ht="12.75">
      <c r="A1592" s="547" t="s">
        <v>567</v>
      </c>
      <c r="B1592" s="547" t="s">
        <v>178</v>
      </c>
      <c r="C1592" s="548" t="s">
        <v>812</v>
      </c>
      <c r="D1592" s="549">
        <v>2017</v>
      </c>
      <c r="E1592" s="549" t="s">
        <v>775</v>
      </c>
      <c r="F1592" s="550">
        <v>764</v>
      </c>
      <c r="G1592" s="550">
        <v>0</v>
      </c>
      <c r="H1592" s="550">
        <v>0</v>
      </c>
      <c r="I1592" s="550">
        <v>0</v>
      </c>
      <c r="J1592" s="550">
        <v>541</v>
      </c>
      <c r="K1592" s="550">
        <v>0</v>
      </c>
      <c r="L1592" s="550">
        <v>0</v>
      </c>
      <c r="M1592" s="550">
        <v>0</v>
      </c>
      <c r="N1592" s="550">
        <v>622</v>
      </c>
      <c r="O1592" s="550">
        <v>0</v>
      </c>
      <c r="P1592" s="550">
        <v>1407</v>
      </c>
      <c r="Q1592" s="550">
        <v>0</v>
      </c>
      <c r="R1592" s="574" t="s">
        <v>567</v>
      </c>
      <c r="S1592" s="552"/>
      <c r="T1592" s="552"/>
      <c r="U1592" s="552"/>
      <c r="V1592" s="552"/>
      <c r="W1592" s="552"/>
      <c r="X1592" s="552"/>
      <c r="Y1592" s="552"/>
      <c r="Z1592" s="552"/>
      <c r="AA1592" s="553"/>
      <c r="AB1592" s="553"/>
    </row>
    <row r="1593" spans="1:28" ht="12.75">
      <c r="A1593" s="547" t="s">
        <v>567</v>
      </c>
      <c r="B1593" s="547" t="s">
        <v>178</v>
      </c>
      <c r="C1593" s="548" t="s">
        <v>813</v>
      </c>
      <c r="D1593" s="549">
        <v>2019</v>
      </c>
      <c r="E1593" s="549" t="s">
        <v>775</v>
      </c>
      <c r="F1593" s="550">
        <v>764</v>
      </c>
      <c r="G1593" s="550">
        <v>0</v>
      </c>
      <c r="H1593" s="550">
        <v>0</v>
      </c>
      <c r="I1593" s="550">
        <v>0</v>
      </c>
      <c r="J1593" s="550">
        <v>541</v>
      </c>
      <c r="K1593" s="550">
        <v>0</v>
      </c>
      <c r="L1593" s="550">
        <v>0</v>
      </c>
      <c r="M1593" s="550">
        <v>0</v>
      </c>
      <c r="N1593" s="550">
        <v>622</v>
      </c>
      <c r="O1593" s="550">
        <v>0</v>
      </c>
      <c r="P1593" s="550">
        <v>1407</v>
      </c>
      <c r="Q1593" s="550">
        <v>0</v>
      </c>
      <c r="R1593" s="574" t="s">
        <v>567</v>
      </c>
      <c r="S1593" s="255">
        <f>SUM(G1590:G1593) +SUM(K1590:K1593)</f>
        <v>0</v>
      </c>
      <c r="T1593" s="255">
        <f>F1593+J1593</f>
        <v>1305</v>
      </c>
      <c r="U1593" s="255">
        <f>SUM(O1590:O1593)</f>
        <v>0</v>
      </c>
      <c r="V1593" s="255">
        <f>N1593</f>
        <v>622</v>
      </c>
      <c r="W1593" s="83">
        <f>SUM(Q1590:Q1593)</f>
        <v>0</v>
      </c>
      <c r="X1593" s="255">
        <f>P1593</f>
        <v>1407</v>
      </c>
      <c r="Y1593" s="255">
        <f>S1593+U1593+SUM(Q1590:Q1593)</f>
        <v>0</v>
      </c>
      <c r="Z1593" s="255">
        <f>F1593+J1593+N1593+P1593</f>
        <v>3334</v>
      </c>
      <c r="AA1593" s="553"/>
      <c r="AB1593" s="553"/>
    </row>
    <row r="1594" spans="1:28" ht="12.75">
      <c r="A1594" s="547" t="s">
        <v>568</v>
      </c>
      <c r="B1594" s="547" t="s">
        <v>178</v>
      </c>
      <c r="C1594" s="548" t="s">
        <v>812</v>
      </c>
      <c r="D1594" s="549">
        <v>2016</v>
      </c>
      <c r="E1594" s="549" t="s">
        <v>775</v>
      </c>
      <c r="F1594" s="550">
        <v>188</v>
      </c>
      <c r="G1594" s="550">
        <v>0</v>
      </c>
      <c r="H1594" s="550">
        <v>0</v>
      </c>
      <c r="I1594" s="550">
        <v>0</v>
      </c>
      <c r="J1594" s="550">
        <v>138</v>
      </c>
      <c r="K1594" s="550">
        <v>0</v>
      </c>
      <c r="L1594" s="550">
        <v>0</v>
      </c>
      <c r="M1594" s="550">
        <v>0</v>
      </c>
      <c r="N1594" s="550">
        <v>154</v>
      </c>
      <c r="O1594" s="550">
        <v>0</v>
      </c>
      <c r="P1594" s="550">
        <v>363</v>
      </c>
      <c r="Q1594" s="550">
        <v>0</v>
      </c>
      <c r="R1594" s="574" t="s">
        <v>568</v>
      </c>
      <c r="S1594" s="552"/>
      <c r="T1594" s="552"/>
      <c r="U1594" s="552"/>
      <c r="V1594" s="552"/>
      <c r="W1594" s="552"/>
      <c r="X1594" s="552"/>
      <c r="Y1594" s="552"/>
      <c r="Z1594" s="552"/>
      <c r="AA1594" s="553"/>
      <c r="AB1594" s="553"/>
    </row>
    <row r="1595" spans="1:28" ht="12.75">
      <c r="A1595" s="547" t="s">
        <v>568</v>
      </c>
      <c r="B1595" s="547" t="s">
        <v>178</v>
      </c>
      <c r="C1595" s="548" t="s">
        <v>812</v>
      </c>
      <c r="D1595" s="549">
        <v>2017</v>
      </c>
      <c r="E1595" s="549" t="s">
        <v>775</v>
      </c>
      <c r="F1595" s="550">
        <v>188</v>
      </c>
      <c r="G1595" s="550">
        <v>0</v>
      </c>
      <c r="H1595" s="550">
        <v>0</v>
      </c>
      <c r="I1595" s="550">
        <v>0</v>
      </c>
      <c r="J1595" s="550">
        <v>138</v>
      </c>
      <c r="K1595" s="550">
        <v>0</v>
      </c>
      <c r="L1595" s="550">
        <v>0</v>
      </c>
      <c r="M1595" s="550">
        <v>0</v>
      </c>
      <c r="N1595" s="550">
        <v>154</v>
      </c>
      <c r="O1595" s="550">
        <v>2</v>
      </c>
      <c r="P1595" s="550">
        <v>363</v>
      </c>
      <c r="Q1595" s="550">
        <v>1</v>
      </c>
      <c r="R1595" s="574" t="s">
        <v>568</v>
      </c>
      <c r="S1595" s="552"/>
      <c r="T1595" s="552"/>
      <c r="U1595" s="552"/>
      <c r="V1595" s="552"/>
      <c r="W1595" s="552"/>
      <c r="X1595" s="552"/>
      <c r="Y1595" s="552"/>
      <c r="Z1595" s="552"/>
      <c r="AA1595" s="553"/>
      <c r="AB1595" s="553"/>
    </row>
    <row r="1596" spans="1:28" ht="12.75">
      <c r="A1596" s="547" t="s">
        <v>568</v>
      </c>
      <c r="B1596" s="547" t="s">
        <v>178</v>
      </c>
      <c r="C1596" s="548" t="s">
        <v>812</v>
      </c>
      <c r="D1596" s="549">
        <v>2018</v>
      </c>
      <c r="E1596" s="549" t="s">
        <v>775</v>
      </c>
      <c r="F1596" s="550">
        <v>188</v>
      </c>
      <c r="G1596" s="564"/>
      <c r="H1596" s="564"/>
      <c r="I1596" s="564"/>
      <c r="J1596" s="550">
        <v>138</v>
      </c>
      <c r="K1596" s="564"/>
      <c r="L1596" s="564"/>
      <c r="M1596" s="564"/>
      <c r="N1596" s="550">
        <v>154</v>
      </c>
      <c r="O1596" s="564"/>
      <c r="P1596" s="550">
        <v>363</v>
      </c>
      <c r="Q1596" s="564"/>
      <c r="R1596" s="574" t="s">
        <v>568</v>
      </c>
      <c r="S1596" s="552"/>
      <c r="T1596" s="552"/>
      <c r="U1596" s="552"/>
      <c r="V1596" s="552"/>
      <c r="W1596" s="552"/>
      <c r="X1596" s="552"/>
      <c r="Y1596" s="552"/>
      <c r="Z1596" s="552"/>
      <c r="AA1596" s="553"/>
      <c r="AB1596" s="553"/>
    </row>
    <row r="1597" spans="1:28" ht="12.75">
      <c r="A1597" s="547" t="s">
        <v>568</v>
      </c>
      <c r="B1597" s="547" t="s">
        <v>178</v>
      </c>
      <c r="C1597" s="548" t="s">
        <v>813</v>
      </c>
      <c r="D1597" s="549">
        <v>2019</v>
      </c>
      <c r="E1597" s="549" t="s">
        <v>775</v>
      </c>
      <c r="F1597" s="550">
        <v>188</v>
      </c>
      <c r="G1597" s="550">
        <v>0</v>
      </c>
      <c r="H1597" s="550">
        <v>0</v>
      </c>
      <c r="I1597" s="550">
        <v>0</v>
      </c>
      <c r="J1597" s="550">
        <v>138</v>
      </c>
      <c r="K1597" s="550">
        <v>0</v>
      </c>
      <c r="L1597" s="550">
        <v>0</v>
      </c>
      <c r="M1597" s="550">
        <v>0</v>
      </c>
      <c r="N1597" s="550">
        <v>154</v>
      </c>
      <c r="O1597" s="550">
        <v>0</v>
      </c>
      <c r="P1597" s="550">
        <v>363</v>
      </c>
      <c r="Q1597" s="550">
        <v>0</v>
      </c>
      <c r="R1597" s="574" t="s">
        <v>568</v>
      </c>
      <c r="S1597" s="255">
        <f>SUM(G1594:G1597) +SUM(K1594:K1597)</f>
        <v>0</v>
      </c>
      <c r="T1597" s="255">
        <f>F1597+J1597</f>
        <v>326</v>
      </c>
      <c r="U1597" s="255">
        <f>SUM(O1594:O1597)</f>
        <v>2</v>
      </c>
      <c r="V1597" s="255">
        <f>N1597</f>
        <v>154</v>
      </c>
      <c r="W1597" s="83">
        <f>SUM(Q1594:Q1597)</f>
        <v>1</v>
      </c>
      <c r="X1597" s="255">
        <f>P1597</f>
        <v>363</v>
      </c>
      <c r="Y1597" s="255">
        <f>S1597+U1597+SUM(Q1594:Q1597)</f>
        <v>3</v>
      </c>
      <c r="Z1597" s="255">
        <f>F1597+J1597+N1597+P1597</f>
        <v>843</v>
      </c>
      <c r="AA1597" s="553"/>
      <c r="AB1597" s="553"/>
    </row>
    <row r="1598" spans="1:28" ht="12.75">
      <c r="A1598" s="547" t="s">
        <v>569</v>
      </c>
      <c r="B1598" s="547" t="s">
        <v>178</v>
      </c>
      <c r="C1598" s="548" t="s">
        <v>812</v>
      </c>
      <c r="D1598" s="549">
        <v>2017</v>
      </c>
      <c r="E1598" s="549" t="s">
        <v>775</v>
      </c>
      <c r="F1598" s="550">
        <v>1</v>
      </c>
      <c r="G1598" s="550">
        <v>0</v>
      </c>
      <c r="H1598" s="550">
        <v>0</v>
      </c>
      <c r="I1598" s="550">
        <v>0</v>
      </c>
      <c r="J1598" s="550">
        <v>1</v>
      </c>
      <c r="K1598" s="550">
        <v>0</v>
      </c>
      <c r="L1598" s="550">
        <v>0</v>
      </c>
      <c r="M1598" s="550">
        <v>0</v>
      </c>
      <c r="N1598" s="550">
        <v>0</v>
      </c>
      <c r="O1598" s="550">
        <v>4</v>
      </c>
      <c r="P1598" s="550">
        <v>0</v>
      </c>
      <c r="Q1598" s="550">
        <v>23</v>
      </c>
      <c r="R1598" s="574" t="s">
        <v>569</v>
      </c>
      <c r="S1598" s="552"/>
      <c r="T1598" s="552"/>
      <c r="U1598" s="552"/>
      <c r="V1598" s="552"/>
      <c r="W1598" s="552"/>
      <c r="X1598" s="552"/>
      <c r="Y1598" s="552"/>
      <c r="Z1598" s="552"/>
      <c r="AA1598" s="553"/>
      <c r="AB1598" s="553"/>
    </row>
    <row r="1599" spans="1:28" ht="12.75">
      <c r="A1599" s="547" t="s">
        <v>569</v>
      </c>
      <c r="B1599" s="547" t="s">
        <v>178</v>
      </c>
      <c r="C1599" s="548" t="s">
        <v>812</v>
      </c>
      <c r="D1599" s="549">
        <v>2018</v>
      </c>
      <c r="E1599" s="549" t="s">
        <v>775</v>
      </c>
      <c r="F1599" s="550">
        <v>1</v>
      </c>
      <c r="G1599" s="550">
        <v>0</v>
      </c>
      <c r="H1599" s="550">
        <v>0</v>
      </c>
      <c r="I1599" s="550">
        <v>0</v>
      </c>
      <c r="J1599" s="550">
        <v>1</v>
      </c>
      <c r="K1599" s="550">
        <v>2</v>
      </c>
      <c r="L1599" s="550">
        <v>0</v>
      </c>
      <c r="M1599" s="550">
        <v>2</v>
      </c>
      <c r="N1599" s="550">
        <v>0</v>
      </c>
      <c r="O1599" s="550">
        <v>5</v>
      </c>
      <c r="P1599" s="550">
        <v>0</v>
      </c>
      <c r="Q1599" s="550">
        <v>27</v>
      </c>
      <c r="R1599" s="574" t="s">
        <v>569</v>
      </c>
      <c r="S1599" s="552"/>
      <c r="T1599" s="552"/>
      <c r="U1599" s="552"/>
      <c r="V1599" s="552"/>
      <c r="W1599" s="552"/>
      <c r="X1599" s="552"/>
      <c r="Y1599" s="552"/>
      <c r="Z1599" s="552"/>
      <c r="AA1599" s="553"/>
      <c r="AB1599" s="553"/>
    </row>
    <row r="1600" spans="1:28" ht="12.75">
      <c r="A1600" s="547" t="s">
        <v>569</v>
      </c>
      <c r="B1600" s="547" t="s">
        <v>178</v>
      </c>
      <c r="C1600" s="548" t="s">
        <v>813</v>
      </c>
      <c r="D1600" s="549">
        <v>2019</v>
      </c>
      <c r="E1600" s="549" t="s">
        <v>775</v>
      </c>
      <c r="F1600" s="550">
        <v>1</v>
      </c>
      <c r="G1600" s="550">
        <v>0</v>
      </c>
      <c r="H1600" s="550">
        <v>0</v>
      </c>
      <c r="I1600" s="550">
        <v>0</v>
      </c>
      <c r="J1600" s="550">
        <v>1</v>
      </c>
      <c r="K1600" s="550">
        <v>2</v>
      </c>
      <c r="L1600" s="550">
        <v>0</v>
      </c>
      <c r="M1600" s="550">
        <v>2</v>
      </c>
      <c r="N1600" s="550">
        <v>0</v>
      </c>
      <c r="O1600" s="550">
        <v>1</v>
      </c>
      <c r="P1600" s="550">
        <v>0</v>
      </c>
      <c r="Q1600" s="550">
        <v>27</v>
      </c>
      <c r="R1600" s="574" t="s">
        <v>569</v>
      </c>
      <c r="S1600" s="255">
        <f>SUM(G1598:G1600) +SUM(K1598:K1600)</f>
        <v>4</v>
      </c>
      <c r="T1600" s="255">
        <f>F1600+J1600</f>
        <v>2</v>
      </c>
      <c r="U1600" s="255">
        <f>SUM(O1598:O1600)</f>
        <v>10</v>
      </c>
      <c r="V1600" s="255">
        <f>N1600</f>
        <v>0</v>
      </c>
      <c r="W1600" s="83">
        <f>SUM(Q1598:Q1600)</f>
        <v>77</v>
      </c>
      <c r="X1600" s="255">
        <f>P1600</f>
        <v>0</v>
      </c>
      <c r="Y1600" s="255">
        <f>S1600+U1600+SUM(Q1598:Q1600)</f>
        <v>91</v>
      </c>
      <c r="Z1600" s="255">
        <f>F1600+J1600+N1600+P1600</f>
        <v>2</v>
      </c>
      <c r="AA1600" s="553"/>
      <c r="AB1600" s="553"/>
    </row>
    <row r="1601" spans="1:28" ht="12.75">
      <c r="A1601" s="547" t="s">
        <v>570</v>
      </c>
      <c r="B1601" s="547" t="s">
        <v>178</v>
      </c>
      <c r="C1601" s="548" t="s">
        <v>812</v>
      </c>
      <c r="D1601" s="549">
        <v>2014</v>
      </c>
      <c r="E1601" s="549" t="s">
        <v>775</v>
      </c>
      <c r="F1601" s="550">
        <v>707</v>
      </c>
      <c r="G1601" s="550">
        <v>0</v>
      </c>
      <c r="H1601" s="550">
        <v>0</v>
      </c>
      <c r="I1601" s="550">
        <v>0</v>
      </c>
      <c r="J1601" s="550">
        <v>478</v>
      </c>
      <c r="K1601" s="550">
        <v>0</v>
      </c>
      <c r="L1601" s="550">
        <v>0</v>
      </c>
      <c r="M1601" s="550">
        <v>0</v>
      </c>
      <c r="N1601" s="550">
        <v>533</v>
      </c>
      <c r="O1601" s="550">
        <v>0</v>
      </c>
      <c r="P1601" s="550">
        <v>1176</v>
      </c>
      <c r="Q1601" s="550">
        <v>342</v>
      </c>
      <c r="R1601" s="574" t="s">
        <v>570</v>
      </c>
      <c r="S1601" s="552"/>
      <c r="T1601" s="552"/>
      <c r="U1601" s="552"/>
      <c r="V1601" s="552"/>
      <c r="W1601" s="552"/>
      <c r="X1601" s="552"/>
      <c r="Y1601" s="552"/>
      <c r="Z1601" s="552"/>
      <c r="AA1601" s="553"/>
      <c r="AB1601" s="553"/>
    </row>
    <row r="1602" spans="1:28" ht="12.75">
      <c r="A1602" s="547" t="s">
        <v>570</v>
      </c>
      <c r="B1602" s="547" t="s">
        <v>178</v>
      </c>
      <c r="C1602" s="548" t="s">
        <v>812</v>
      </c>
      <c r="D1602" s="549">
        <v>2015</v>
      </c>
      <c r="E1602" s="549" t="s">
        <v>775</v>
      </c>
      <c r="F1602" s="550">
        <v>707</v>
      </c>
      <c r="G1602" s="550">
        <v>135</v>
      </c>
      <c r="H1602" s="550">
        <v>135</v>
      </c>
      <c r="I1602" s="550">
        <v>0</v>
      </c>
      <c r="J1602" s="550">
        <v>478</v>
      </c>
      <c r="K1602" s="550">
        <v>0</v>
      </c>
      <c r="L1602" s="550">
        <v>0</v>
      </c>
      <c r="M1602" s="550">
        <v>0</v>
      </c>
      <c r="N1602" s="550">
        <v>533</v>
      </c>
      <c r="O1602" s="550">
        <v>0</v>
      </c>
      <c r="P1602" s="550">
        <v>1176</v>
      </c>
      <c r="Q1602" s="550">
        <v>342</v>
      </c>
      <c r="R1602" s="574" t="s">
        <v>570</v>
      </c>
      <c r="S1602" s="552"/>
      <c r="T1602" s="552"/>
      <c r="U1602" s="552"/>
      <c r="V1602" s="552"/>
      <c r="W1602" s="552"/>
      <c r="X1602" s="552"/>
      <c r="Y1602" s="552"/>
      <c r="Z1602" s="552"/>
      <c r="AA1602" s="553"/>
      <c r="AB1602" s="553"/>
    </row>
    <row r="1603" spans="1:28" ht="12.75">
      <c r="A1603" s="547" t="s">
        <v>570</v>
      </c>
      <c r="B1603" s="547" t="s">
        <v>178</v>
      </c>
      <c r="C1603" s="548" t="s">
        <v>812</v>
      </c>
      <c r="D1603" s="549">
        <v>2016</v>
      </c>
      <c r="E1603" s="549" t="s">
        <v>775</v>
      </c>
      <c r="F1603" s="550">
        <v>707</v>
      </c>
      <c r="G1603" s="550">
        <v>0</v>
      </c>
      <c r="H1603" s="550">
        <v>0</v>
      </c>
      <c r="I1603" s="550">
        <v>0</v>
      </c>
      <c r="J1603" s="550">
        <v>478</v>
      </c>
      <c r="K1603" s="550">
        <v>203</v>
      </c>
      <c r="L1603" s="550">
        <v>203</v>
      </c>
      <c r="M1603" s="550">
        <v>0</v>
      </c>
      <c r="N1603" s="550">
        <v>533</v>
      </c>
      <c r="O1603" s="550">
        <v>0</v>
      </c>
      <c r="P1603" s="550">
        <v>1176</v>
      </c>
      <c r="Q1603" s="550">
        <v>370</v>
      </c>
      <c r="R1603" s="574" t="s">
        <v>570</v>
      </c>
      <c r="S1603" s="552"/>
      <c r="T1603" s="552"/>
      <c r="U1603" s="552"/>
      <c r="V1603" s="552"/>
      <c r="W1603" s="552"/>
      <c r="X1603" s="552"/>
      <c r="Y1603" s="552"/>
      <c r="Z1603" s="552"/>
      <c r="AA1603" s="553"/>
      <c r="AB1603" s="553"/>
    </row>
    <row r="1604" spans="1:28" ht="12.75">
      <c r="A1604" s="547" t="s">
        <v>570</v>
      </c>
      <c r="B1604" s="547" t="s">
        <v>178</v>
      </c>
      <c r="C1604" s="548" t="s">
        <v>812</v>
      </c>
      <c r="D1604" s="549">
        <v>2017</v>
      </c>
      <c r="E1604" s="549" t="s">
        <v>775</v>
      </c>
      <c r="F1604" s="550">
        <v>707</v>
      </c>
      <c r="G1604" s="550">
        <v>0</v>
      </c>
      <c r="H1604" s="550">
        <v>0</v>
      </c>
      <c r="I1604" s="550">
        <v>0</v>
      </c>
      <c r="J1604" s="550">
        <v>478</v>
      </c>
      <c r="K1604" s="550">
        <v>0</v>
      </c>
      <c r="L1604" s="550">
        <v>0</v>
      </c>
      <c r="M1604" s="550">
        <v>0</v>
      </c>
      <c r="N1604" s="550">
        <v>533</v>
      </c>
      <c r="O1604" s="550">
        <v>0</v>
      </c>
      <c r="P1604" s="550">
        <v>1176</v>
      </c>
      <c r="Q1604" s="550">
        <v>630</v>
      </c>
      <c r="R1604" s="574" t="s">
        <v>570</v>
      </c>
      <c r="S1604" s="552"/>
      <c r="T1604" s="552"/>
      <c r="U1604" s="552"/>
      <c r="V1604" s="552"/>
      <c r="W1604" s="552"/>
      <c r="X1604" s="552"/>
      <c r="Y1604" s="552"/>
      <c r="Z1604" s="552"/>
      <c r="AA1604" s="553"/>
      <c r="AB1604" s="553"/>
    </row>
    <row r="1605" spans="1:28" ht="12.75">
      <c r="A1605" s="547" t="s">
        <v>570</v>
      </c>
      <c r="B1605" s="547" t="s">
        <v>178</v>
      </c>
      <c r="C1605" s="548" t="s">
        <v>812</v>
      </c>
      <c r="D1605" s="549">
        <v>2018</v>
      </c>
      <c r="E1605" s="549" t="s">
        <v>775</v>
      </c>
      <c r="F1605" s="550">
        <v>707</v>
      </c>
      <c r="G1605" s="550">
        <v>0</v>
      </c>
      <c r="H1605" s="550">
        <v>0</v>
      </c>
      <c r="I1605" s="550">
        <v>0</v>
      </c>
      <c r="J1605" s="550">
        <v>478</v>
      </c>
      <c r="K1605" s="550">
        <v>0</v>
      </c>
      <c r="L1605" s="550">
        <v>0</v>
      </c>
      <c r="M1605" s="550">
        <v>0</v>
      </c>
      <c r="N1605" s="550">
        <v>533</v>
      </c>
      <c r="O1605" s="550">
        <v>0</v>
      </c>
      <c r="P1605" s="550">
        <v>1176</v>
      </c>
      <c r="Q1605" s="550">
        <v>521</v>
      </c>
      <c r="R1605" s="574" t="s">
        <v>570</v>
      </c>
      <c r="S1605" s="552"/>
      <c r="T1605" s="552"/>
      <c r="U1605" s="552"/>
      <c r="V1605" s="552"/>
      <c r="W1605" s="552"/>
      <c r="X1605" s="552"/>
      <c r="Y1605" s="552"/>
      <c r="Z1605" s="552"/>
      <c r="AA1605" s="553"/>
      <c r="AB1605" s="553"/>
    </row>
    <row r="1606" spans="1:28" ht="12.75">
      <c r="A1606" s="547" t="s">
        <v>570</v>
      </c>
      <c r="B1606" s="547" t="s">
        <v>178</v>
      </c>
      <c r="C1606" s="548" t="s">
        <v>813</v>
      </c>
      <c r="D1606" s="549">
        <v>2019</v>
      </c>
      <c r="E1606" s="549" t="s">
        <v>775</v>
      </c>
      <c r="F1606" s="550">
        <v>707</v>
      </c>
      <c r="G1606" s="550">
        <v>0</v>
      </c>
      <c r="H1606" s="550">
        <v>0</v>
      </c>
      <c r="I1606" s="550">
        <v>0</v>
      </c>
      <c r="J1606" s="550">
        <v>478</v>
      </c>
      <c r="K1606" s="550">
        <v>0</v>
      </c>
      <c r="L1606" s="550">
        <v>0</v>
      </c>
      <c r="M1606" s="550">
        <v>0</v>
      </c>
      <c r="N1606" s="550">
        <v>533</v>
      </c>
      <c r="O1606" s="550">
        <v>0</v>
      </c>
      <c r="P1606" s="550">
        <v>1176</v>
      </c>
      <c r="Q1606" s="550">
        <v>550</v>
      </c>
      <c r="R1606" s="574" t="s">
        <v>570</v>
      </c>
      <c r="S1606" s="552">
        <f>SUM(G1601:G1606) +SUM(K1601:K1606)</f>
        <v>338</v>
      </c>
      <c r="T1606" s="552">
        <f>F1606+J1606</f>
        <v>1185</v>
      </c>
      <c r="U1606" s="552">
        <f>SUM(O1601:O1606)</f>
        <v>0</v>
      </c>
      <c r="V1606" s="552">
        <f>N1606</f>
        <v>533</v>
      </c>
      <c r="W1606" s="554">
        <f>SUM(Q1601:Q1606)</f>
        <v>2755</v>
      </c>
      <c r="X1606" s="552">
        <f>P1606</f>
        <v>1176</v>
      </c>
      <c r="Y1606" s="552">
        <f>S1606+U1606+SUM(Q1601:Q1606)</f>
        <v>3093</v>
      </c>
      <c r="Z1606" s="552">
        <f>F1606+J1606+N1606+P1606</f>
        <v>2894</v>
      </c>
      <c r="AA1606" s="553"/>
      <c r="AB1606" s="553"/>
    </row>
    <row r="1607" spans="1:28" ht="12.75">
      <c r="A1607" s="547" t="s">
        <v>571</v>
      </c>
      <c r="B1607" s="547" t="s">
        <v>178</v>
      </c>
      <c r="C1607" s="548" t="s">
        <v>812</v>
      </c>
      <c r="D1607" s="549">
        <v>2014</v>
      </c>
      <c r="E1607" s="549" t="s">
        <v>775</v>
      </c>
      <c r="F1607" s="550">
        <v>217</v>
      </c>
      <c r="G1607" s="550">
        <v>0</v>
      </c>
      <c r="H1607" s="550">
        <v>0</v>
      </c>
      <c r="I1607" s="550">
        <v>0</v>
      </c>
      <c r="J1607" s="550">
        <v>148</v>
      </c>
      <c r="K1607" s="550">
        <v>0</v>
      </c>
      <c r="L1607" s="550">
        <v>0</v>
      </c>
      <c r="M1607" s="550">
        <v>0</v>
      </c>
      <c r="N1607" s="550">
        <v>164</v>
      </c>
      <c r="O1607" s="550">
        <v>286</v>
      </c>
      <c r="P1607" s="550">
        <v>333</v>
      </c>
      <c r="Q1607" s="550">
        <v>41</v>
      </c>
      <c r="R1607" s="574" t="s">
        <v>571</v>
      </c>
      <c r="S1607" s="552"/>
      <c r="T1607" s="552"/>
      <c r="U1607" s="552"/>
      <c r="V1607" s="552"/>
      <c r="W1607" s="552"/>
      <c r="X1607" s="552"/>
      <c r="Y1607" s="552"/>
      <c r="Z1607" s="552"/>
      <c r="AA1607" s="553"/>
      <c r="AB1607" s="553"/>
    </row>
    <row r="1608" spans="1:28" ht="12.75">
      <c r="A1608" s="547" t="s">
        <v>571</v>
      </c>
      <c r="B1608" s="547" t="s">
        <v>178</v>
      </c>
      <c r="C1608" s="548" t="s">
        <v>812</v>
      </c>
      <c r="D1608" s="549">
        <v>2015</v>
      </c>
      <c r="E1608" s="549" t="s">
        <v>775</v>
      </c>
      <c r="F1608" s="550">
        <v>217</v>
      </c>
      <c r="G1608" s="550">
        <v>0</v>
      </c>
      <c r="H1608" s="550">
        <v>0</v>
      </c>
      <c r="I1608" s="550">
        <v>0</v>
      </c>
      <c r="J1608" s="550">
        <v>148</v>
      </c>
      <c r="K1608" s="550">
        <v>0</v>
      </c>
      <c r="L1608" s="550">
        <v>0</v>
      </c>
      <c r="M1608" s="550">
        <v>0</v>
      </c>
      <c r="N1608" s="550">
        <v>164</v>
      </c>
      <c r="O1608" s="550">
        <v>11</v>
      </c>
      <c r="P1608" s="550">
        <v>333</v>
      </c>
      <c r="Q1608" s="550">
        <v>94</v>
      </c>
      <c r="R1608" s="574" t="s">
        <v>571</v>
      </c>
      <c r="S1608" s="552"/>
      <c r="T1608" s="552"/>
      <c r="U1608" s="552"/>
      <c r="V1608" s="552"/>
      <c r="W1608" s="552"/>
      <c r="X1608" s="552"/>
      <c r="Y1608" s="552"/>
      <c r="Z1608" s="552"/>
      <c r="AA1608" s="553"/>
      <c r="AB1608" s="553"/>
    </row>
    <row r="1609" spans="1:28" ht="12.75">
      <c r="A1609" s="547" t="s">
        <v>571</v>
      </c>
      <c r="B1609" s="547" t="s">
        <v>178</v>
      </c>
      <c r="C1609" s="548" t="s">
        <v>812</v>
      </c>
      <c r="D1609" s="549">
        <v>2016</v>
      </c>
      <c r="E1609" s="549" t="s">
        <v>775</v>
      </c>
      <c r="F1609" s="550">
        <v>217</v>
      </c>
      <c r="G1609" s="550">
        <v>0</v>
      </c>
      <c r="H1609" s="550">
        <v>0</v>
      </c>
      <c r="I1609" s="550">
        <v>0</v>
      </c>
      <c r="J1609" s="550">
        <v>148</v>
      </c>
      <c r="K1609" s="550">
        <v>0</v>
      </c>
      <c r="L1609" s="550">
        <v>0</v>
      </c>
      <c r="M1609" s="550">
        <v>0</v>
      </c>
      <c r="N1609" s="550">
        <v>164</v>
      </c>
      <c r="O1609" s="550">
        <v>357</v>
      </c>
      <c r="P1609" s="550">
        <v>333</v>
      </c>
      <c r="Q1609" s="550">
        <v>91</v>
      </c>
      <c r="R1609" s="574" t="s">
        <v>571</v>
      </c>
      <c r="S1609" s="552"/>
      <c r="T1609" s="552"/>
      <c r="U1609" s="552"/>
      <c r="V1609" s="552"/>
      <c r="W1609" s="552"/>
      <c r="X1609" s="552"/>
      <c r="Y1609" s="552"/>
      <c r="Z1609" s="552"/>
      <c r="AA1609" s="553"/>
      <c r="AB1609" s="553"/>
    </row>
    <row r="1610" spans="1:28" ht="12.75">
      <c r="A1610" s="547" t="s">
        <v>571</v>
      </c>
      <c r="B1610" s="547" t="s">
        <v>178</v>
      </c>
      <c r="C1610" s="548" t="s">
        <v>812</v>
      </c>
      <c r="D1610" s="549">
        <v>2017</v>
      </c>
      <c r="E1610" s="549" t="s">
        <v>775</v>
      </c>
      <c r="F1610" s="550">
        <v>217</v>
      </c>
      <c r="G1610" s="550">
        <v>0</v>
      </c>
      <c r="H1610" s="550">
        <v>0</v>
      </c>
      <c r="I1610" s="550">
        <v>0</v>
      </c>
      <c r="J1610" s="550">
        <v>148</v>
      </c>
      <c r="K1610" s="550">
        <v>0</v>
      </c>
      <c r="L1610" s="550">
        <v>0</v>
      </c>
      <c r="M1610" s="550">
        <v>0</v>
      </c>
      <c r="N1610" s="550">
        <v>164</v>
      </c>
      <c r="O1610" s="550">
        <v>668</v>
      </c>
      <c r="P1610" s="550">
        <v>333</v>
      </c>
      <c r="Q1610" s="550">
        <v>362</v>
      </c>
      <c r="R1610" s="574" t="s">
        <v>571</v>
      </c>
      <c r="S1610" s="552"/>
      <c r="T1610" s="552"/>
      <c r="U1610" s="552"/>
      <c r="V1610" s="552"/>
      <c r="W1610" s="552"/>
      <c r="X1610" s="552"/>
      <c r="Y1610" s="552"/>
      <c r="Z1610" s="552"/>
      <c r="AA1610" s="553"/>
      <c r="AB1610" s="553"/>
    </row>
    <row r="1611" spans="1:28" ht="12.75">
      <c r="A1611" s="547" t="s">
        <v>571</v>
      </c>
      <c r="B1611" s="547" t="s">
        <v>178</v>
      </c>
      <c r="C1611" s="548" t="s">
        <v>812</v>
      </c>
      <c r="D1611" s="549">
        <v>2018</v>
      </c>
      <c r="E1611" s="549" t="s">
        <v>775</v>
      </c>
      <c r="F1611" s="550">
        <v>217</v>
      </c>
      <c r="G1611" s="550">
        <v>0</v>
      </c>
      <c r="H1611" s="550">
        <v>0</v>
      </c>
      <c r="I1611" s="550">
        <v>0</v>
      </c>
      <c r="J1611" s="550">
        <v>148</v>
      </c>
      <c r="K1611" s="550">
        <v>0</v>
      </c>
      <c r="L1611" s="550">
        <v>0</v>
      </c>
      <c r="M1611" s="550">
        <v>0</v>
      </c>
      <c r="N1611" s="550">
        <v>164</v>
      </c>
      <c r="O1611" s="550">
        <v>0</v>
      </c>
      <c r="P1611" s="550">
        <v>333</v>
      </c>
      <c r="Q1611" s="550">
        <v>224</v>
      </c>
      <c r="R1611" s="574" t="s">
        <v>571</v>
      </c>
      <c r="S1611" s="552"/>
      <c r="T1611" s="552"/>
      <c r="U1611" s="552"/>
      <c r="V1611" s="552"/>
      <c r="W1611" s="552"/>
      <c r="X1611" s="552"/>
      <c r="Y1611" s="552"/>
      <c r="Z1611" s="552"/>
      <c r="AA1611" s="553"/>
      <c r="AB1611" s="553"/>
    </row>
    <row r="1612" spans="1:28" ht="12.75">
      <c r="A1612" s="547" t="s">
        <v>571</v>
      </c>
      <c r="B1612" s="547" t="s">
        <v>178</v>
      </c>
      <c r="C1612" s="548" t="s">
        <v>813</v>
      </c>
      <c r="D1612" s="549">
        <v>2019</v>
      </c>
      <c r="E1612" s="549" t="s">
        <v>775</v>
      </c>
      <c r="F1612" s="550">
        <v>217</v>
      </c>
      <c r="G1612" s="550">
        <v>0</v>
      </c>
      <c r="H1612" s="550">
        <v>0</v>
      </c>
      <c r="I1612" s="550">
        <v>0</v>
      </c>
      <c r="J1612" s="550">
        <v>148</v>
      </c>
      <c r="K1612" s="550">
        <v>0</v>
      </c>
      <c r="L1612" s="550">
        <v>0</v>
      </c>
      <c r="M1612" s="550">
        <v>0</v>
      </c>
      <c r="N1612" s="550">
        <v>164</v>
      </c>
      <c r="O1612" s="550">
        <v>0</v>
      </c>
      <c r="P1612" s="550">
        <v>333</v>
      </c>
      <c r="Q1612" s="550">
        <v>60</v>
      </c>
      <c r="R1612" s="574" t="s">
        <v>571</v>
      </c>
      <c r="S1612" s="552">
        <f>SUM(G1607:G1612) +SUM(K1607:K1612)</f>
        <v>0</v>
      </c>
      <c r="T1612" s="552">
        <f>F1612+J1612</f>
        <v>365</v>
      </c>
      <c r="U1612" s="552">
        <f>SUM(O1607:O1612)</f>
        <v>1322</v>
      </c>
      <c r="V1612" s="552">
        <f>N1612</f>
        <v>164</v>
      </c>
      <c r="W1612" s="554">
        <f>SUM(Q1607:Q1612)</f>
        <v>872</v>
      </c>
      <c r="X1612" s="552">
        <f>P1612</f>
        <v>333</v>
      </c>
      <c r="Y1612" s="552">
        <f>S1612+U1612+SUM(Q1607:Q1612)</f>
        <v>2194</v>
      </c>
      <c r="Z1612" s="552">
        <f>F1612+J1612+N1612+P1612</f>
        <v>862</v>
      </c>
      <c r="AA1612" s="553"/>
      <c r="AB1612" s="553"/>
    </row>
    <row r="1613" spans="1:28" ht="12.75">
      <c r="A1613" s="547" t="s">
        <v>572</v>
      </c>
      <c r="B1613" s="547" t="s">
        <v>178</v>
      </c>
      <c r="C1613" s="548" t="s">
        <v>812</v>
      </c>
      <c r="D1613" s="549">
        <v>2014</v>
      </c>
      <c r="E1613" s="549" t="s">
        <v>775</v>
      </c>
      <c r="F1613" s="550">
        <v>443</v>
      </c>
      <c r="G1613" s="550">
        <v>0</v>
      </c>
      <c r="H1613" s="550">
        <v>0</v>
      </c>
      <c r="I1613" s="550">
        <v>0</v>
      </c>
      <c r="J1613" s="550">
        <v>302</v>
      </c>
      <c r="K1613" s="550">
        <v>0</v>
      </c>
      <c r="L1613" s="550">
        <v>0</v>
      </c>
      <c r="M1613" s="550">
        <v>0</v>
      </c>
      <c r="N1613" s="550">
        <v>347</v>
      </c>
      <c r="O1613" s="550">
        <v>5</v>
      </c>
      <c r="P1613" s="550">
        <v>831</v>
      </c>
      <c r="Q1613" s="550">
        <v>23</v>
      </c>
      <c r="R1613" s="574" t="s">
        <v>572</v>
      </c>
      <c r="S1613" s="552"/>
      <c r="T1613" s="552"/>
      <c r="U1613" s="552"/>
      <c r="V1613" s="552"/>
      <c r="W1613" s="552"/>
      <c r="X1613" s="552"/>
      <c r="Y1613" s="552"/>
      <c r="Z1613" s="552"/>
      <c r="AA1613" s="553"/>
      <c r="AB1613" s="553"/>
    </row>
    <row r="1614" spans="1:28" ht="12.75">
      <c r="A1614" s="547" t="s">
        <v>572</v>
      </c>
      <c r="B1614" s="547" t="s">
        <v>178</v>
      </c>
      <c r="C1614" s="548" t="s">
        <v>812</v>
      </c>
      <c r="D1614" s="549">
        <v>2015</v>
      </c>
      <c r="E1614" s="549" t="s">
        <v>775</v>
      </c>
      <c r="F1614" s="550">
        <v>443</v>
      </c>
      <c r="G1614" s="550">
        <v>0</v>
      </c>
      <c r="H1614" s="550">
        <v>0</v>
      </c>
      <c r="I1614" s="550">
        <v>0</v>
      </c>
      <c r="J1614" s="550">
        <v>302</v>
      </c>
      <c r="K1614" s="550">
        <v>0</v>
      </c>
      <c r="L1614" s="550">
        <v>0</v>
      </c>
      <c r="M1614" s="550">
        <v>0</v>
      </c>
      <c r="N1614" s="550">
        <v>347</v>
      </c>
      <c r="O1614" s="550">
        <v>3</v>
      </c>
      <c r="P1614" s="550">
        <v>831</v>
      </c>
      <c r="Q1614" s="550">
        <v>13</v>
      </c>
      <c r="R1614" s="574" t="s">
        <v>572</v>
      </c>
      <c r="S1614" s="552"/>
      <c r="T1614" s="552"/>
      <c r="U1614" s="552"/>
      <c r="V1614" s="552"/>
      <c r="W1614" s="552"/>
      <c r="X1614" s="552"/>
      <c r="Y1614" s="552"/>
      <c r="Z1614" s="552"/>
      <c r="AA1614" s="553"/>
      <c r="AB1614" s="553"/>
    </row>
    <row r="1615" spans="1:28" ht="12.75">
      <c r="A1615" s="547" t="s">
        <v>572</v>
      </c>
      <c r="B1615" s="547" t="s">
        <v>178</v>
      </c>
      <c r="C1615" s="548" t="s">
        <v>812</v>
      </c>
      <c r="D1615" s="549">
        <v>2016</v>
      </c>
      <c r="E1615" s="549" t="s">
        <v>775</v>
      </c>
      <c r="F1615" s="550">
        <v>443</v>
      </c>
      <c r="G1615" s="550">
        <v>0</v>
      </c>
      <c r="H1615" s="550">
        <v>0</v>
      </c>
      <c r="I1615" s="550">
        <v>0</v>
      </c>
      <c r="J1615" s="550">
        <v>302</v>
      </c>
      <c r="K1615" s="550">
        <v>0</v>
      </c>
      <c r="L1615" s="550">
        <v>0</v>
      </c>
      <c r="M1615" s="550">
        <v>0</v>
      </c>
      <c r="N1615" s="550">
        <v>347</v>
      </c>
      <c r="O1615" s="550">
        <v>3</v>
      </c>
      <c r="P1615" s="550">
        <v>831</v>
      </c>
      <c r="Q1615" s="550">
        <v>6</v>
      </c>
      <c r="R1615" s="574" t="s">
        <v>572</v>
      </c>
      <c r="S1615" s="552"/>
      <c r="T1615" s="552"/>
      <c r="U1615" s="552"/>
      <c r="V1615" s="552"/>
      <c r="W1615" s="552"/>
      <c r="X1615" s="552"/>
      <c r="Y1615" s="552"/>
      <c r="Z1615" s="552"/>
      <c r="AA1615" s="553"/>
      <c r="AB1615" s="553"/>
    </row>
    <row r="1616" spans="1:28" ht="12.75">
      <c r="A1616" s="547" t="s">
        <v>572</v>
      </c>
      <c r="B1616" s="547" t="s">
        <v>178</v>
      </c>
      <c r="C1616" s="548" t="s">
        <v>812</v>
      </c>
      <c r="D1616" s="549">
        <v>2017</v>
      </c>
      <c r="E1616" s="549" t="s">
        <v>775</v>
      </c>
      <c r="F1616" s="550">
        <v>443</v>
      </c>
      <c r="G1616" s="550">
        <v>0</v>
      </c>
      <c r="H1616" s="550">
        <v>0</v>
      </c>
      <c r="I1616" s="550">
        <v>0</v>
      </c>
      <c r="J1616" s="550">
        <v>302</v>
      </c>
      <c r="K1616" s="550">
        <v>0</v>
      </c>
      <c r="L1616" s="550">
        <v>0</v>
      </c>
      <c r="M1616" s="550">
        <v>0</v>
      </c>
      <c r="N1616" s="550">
        <v>347</v>
      </c>
      <c r="O1616" s="550">
        <v>2</v>
      </c>
      <c r="P1616" s="550">
        <v>831</v>
      </c>
      <c r="Q1616" s="550">
        <v>16</v>
      </c>
      <c r="R1616" s="574" t="s">
        <v>572</v>
      </c>
      <c r="S1616" s="552"/>
      <c r="T1616" s="552"/>
      <c r="U1616" s="552"/>
      <c r="V1616" s="552"/>
      <c r="W1616" s="552"/>
      <c r="X1616" s="552"/>
      <c r="Y1616" s="552"/>
      <c r="Z1616" s="552"/>
      <c r="AA1616" s="553"/>
      <c r="AB1616" s="553"/>
    </row>
    <row r="1617" spans="1:28" ht="12.75">
      <c r="A1617" s="547" t="s">
        <v>572</v>
      </c>
      <c r="B1617" s="547" t="s">
        <v>178</v>
      </c>
      <c r="C1617" s="548" t="s">
        <v>812</v>
      </c>
      <c r="D1617" s="549">
        <v>2018</v>
      </c>
      <c r="E1617" s="549" t="s">
        <v>775</v>
      </c>
      <c r="F1617" s="550">
        <v>443</v>
      </c>
      <c r="G1617" s="550">
        <v>0</v>
      </c>
      <c r="H1617" s="550">
        <v>0</v>
      </c>
      <c r="I1617" s="550">
        <v>0</v>
      </c>
      <c r="J1617" s="550">
        <v>302</v>
      </c>
      <c r="K1617" s="550">
        <v>0</v>
      </c>
      <c r="L1617" s="550">
        <v>0</v>
      </c>
      <c r="M1617" s="550">
        <v>0</v>
      </c>
      <c r="N1617" s="550">
        <v>347</v>
      </c>
      <c r="O1617" s="550">
        <v>0</v>
      </c>
      <c r="P1617" s="550">
        <v>831</v>
      </c>
      <c r="Q1617" s="550">
        <v>69</v>
      </c>
      <c r="R1617" s="574" t="s">
        <v>572</v>
      </c>
      <c r="S1617" s="552"/>
      <c r="T1617" s="552"/>
      <c r="U1617" s="552"/>
      <c r="V1617" s="552"/>
      <c r="W1617" s="552"/>
      <c r="X1617" s="552"/>
      <c r="Y1617" s="552"/>
      <c r="Z1617" s="552"/>
      <c r="AA1617" s="553"/>
      <c r="AB1617" s="553"/>
    </row>
    <row r="1618" spans="1:28" ht="12.75">
      <c r="A1618" s="547" t="s">
        <v>572</v>
      </c>
      <c r="B1618" s="547" t="s">
        <v>178</v>
      </c>
      <c r="C1618" s="548" t="s">
        <v>813</v>
      </c>
      <c r="D1618" s="549">
        <v>2019</v>
      </c>
      <c r="E1618" s="549" t="s">
        <v>775</v>
      </c>
      <c r="F1618" s="550">
        <v>443</v>
      </c>
      <c r="G1618" s="550">
        <v>0</v>
      </c>
      <c r="H1618" s="550">
        <v>0</v>
      </c>
      <c r="I1618" s="550">
        <v>0</v>
      </c>
      <c r="J1618" s="550">
        <v>302</v>
      </c>
      <c r="K1618" s="550">
        <v>0</v>
      </c>
      <c r="L1618" s="550">
        <v>0</v>
      </c>
      <c r="M1618" s="550">
        <v>0</v>
      </c>
      <c r="N1618" s="550">
        <v>347</v>
      </c>
      <c r="O1618" s="550">
        <v>0</v>
      </c>
      <c r="P1618" s="550">
        <v>831</v>
      </c>
      <c r="Q1618" s="550">
        <v>61</v>
      </c>
      <c r="R1618" s="574" t="s">
        <v>572</v>
      </c>
      <c r="S1618" s="552">
        <f>SUM(G1613:G1618) +SUM(K1613:K1618)</f>
        <v>0</v>
      </c>
      <c r="T1618" s="552">
        <f>F1618+J1618</f>
        <v>745</v>
      </c>
      <c r="U1618" s="552">
        <f>SUM(O1613:O1618)</f>
        <v>13</v>
      </c>
      <c r="V1618" s="552">
        <f>N1618</f>
        <v>347</v>
      </c>
      <c r="W1618" s="554">
        <f>SUM(Q1613:Q1618)</f>
        <v>188</v>
      </c>
      <c r="X1618" s="552">
        <f>P1618</f>
        <v>831</v>
      </c>
      <c r="Y1618" s="552">
        <f>S1618+U1618+SUM(Q1613:Q1618)</f>
        <v>201</v>
      </c>
      <c r="Z1618" s="552">
        <f>F1618+J1618+N1618+P1618</f>
        <v>1923</v>
      </c>
      <c r="AA1618" s="553"/>
      <c r="AB1618" s="553"/>
    </row>
    <row r="1619" spans="1:28" ht="12.75">
      <c r="A1619" s="547" t="s">
        <v>573</v>
      </c>
      <c r="B1619" s="547" t="s">
        <v>178</v>
      </c>
      <c r="C1619" s="548" t="s">
        <v>812</v>
      </c>
      <c r="D1619" s="549">
        <v>2014</v>
      </c>
      <c r="E1619" s="549" t="s">
        <v>775</v>
      </c>
      <c r="F1619" s="550">
        <v>1442</v>
      </c>
      <c r="G1619" s="550">
        <v>63</v>
      </c>
      <c r="H1619" s="550">
        <v>63</v>
      </c>
      <c r="I1619" s="550">
        <v>0</v>
      </c>
      <c r="J1619" s="550">
        <v>974</v>
      </c>
      <c r="K1619" s="550">
        <v>0</v>
      </c>
      <c r="L1619" s="550">
        <v>0</v>
      </c>
      <c r="M1619" s="550">
        <v>0</v>
      </c>
      <c r="N1619" s="550">
        <v>1090</v>
      </c>
      <c r="O1619" s="550">
        <v>0</v>
      </c>
      <c r="P1619" s="550">
        <v>2471</v>
      </c>
      <c r="Q1619" s="550">
        <v>258</v>
      </c>
      <c r="R1619" s="574" t="s">
        <v>573</v>
      </c>
      <c r="S1619" s="552"/>
      <c r="T1619" s="552"/>
      <c r="U1619" s="552"/>
      <c r="V1619" s="552"/>
      <c r="W1619" s="552"/>
      <c r="X1619" s="552"/>
      <c r="Y1619" s="552"/>
      <c r="Z1619" s="552"/>
      <c r="AA1619" s="553"/>
      <c r="AB1619" s="553"/>
    </row>
    <row r="1620" spans="1:28" ht="12.75">
      <c r="A1620" s="547" t="s">
        <v>573</v>
      </c>
      <c r="B1620" s="547" t="s">
        <v>178</v>
      </c>
      <c r="C1620" s="548" t="s">
        <v>812</v>
      </c>
      <c r="D1620" s="549">
        <v>2015</v>
      </c>
      <c r="E1620" s="549" t="s">
        <v>775</v>
      </c>
      <c r="F1620" s="550">
        <v>1442</v>
      </c>
      <c r="G1620" s="550">
        <v>0</v>
      </c>
      <c r="H1620" s="550">
        <v>0</v>
      </c>
      <c r="I1620" s="550">
        <v>0</v>
      </c>
      <c r="J1620" s="550">
        <v>974</v>
      </c>
      <c r="K1620" s="550">
        <v>147</v>
      </c>
      <c r="L1620" s="550">
        <v>147</v>
      </c>
      <c r="M1620" s="550">
        <v>0</v>
      </c>
      <c r="N1620" s="550">
        <v>1090</v>
      </c>
      <c r="O1620" s="550">
        <v>0</v>
      </c>
      <c r="P1620" s="550">
        <v>2471</v>
      </c>
      <c r="Q1620" s="550">
        <v>368</v>
      </c>
      <c r="R1620" s="574" t="s">
        <v>573</v>
      </c>
      <c r="S1620" s="552"/>
      <c r="T1620" s="552"/>
      <c r="U1620" s="552"/>
      <c r="V1620" s="552"/>
      <c r="W1620" s="552"/>
      <c r="X1620" s="552"/>
      <c r="Y1620" s="552"/>
      <c r="Z1620" s="552"/>
      <c r="AA1620" s="553"/>
      <c r="AB1620" s="553"/>
    </row>
    <row r="1621" spans="1:28" ht="12.75">
      <c r="A1621" s="547" t="s">
        <v>573</v>
      </c>
      <c r="B1621" s="547" t="s">
        <v>178</v>
      </c>
      <c r="C1621" s="548" t="s">
        <v>812</v>
      </c>
      <c r="D1621" s="549">
        <v>2016</v>
      </c>
      <c r="E1621" s="549" t="s">
        <v>775</v>
      </c>
      <c r="F1621" s="550">
        <v>1442</v>
      </c>
      <c r="G1621" s="550">
        <v>0</v>
      </c>
      <c r="H1621" s="550">
        <v>0</v>
      </c>
      <c r="I1621" s="550">
        <v>0</v>
      </c>
      <c r="J1621" s="550">
        <v>974</v>
      </c>
      <c r="K1621" s="550">
        <v>0</v>
      </c>
      <c r="L1621" s="550">
        <v>0</v>
      </c>
      <c r="M1621" s="550">
        <v>0</v>
      </c>
      <c r="N1621" s="550">
        <v>1090</v>
      </c>
      <c r="O1621" s="550">
        <v>0</v>
      </c>
      <c r="P1621" s="550">
        <v>2471</v>
      </c>
      <c r="Q1621" s="550">
        <v>444</v>
      </c>
      <c r="R1621" s="574" t="s">
        <v>573</v>
      </c>
      <c r="S1621" s="552"/>
      <c r="T1621" s="552"/>
      <c r="U1621" s="552"/>
      <c r="V1621" s="552"/>
      <c r="W1621" s="552"/>
      <c r="X1621" s="552"/>
      <c r="Y1621" s="552"/>
      <c r="Z1621" s="552"/>
      <c r="AA1621" s="553"/>
      <c r="AB1621" s="553"/>
    </row>
    <row r="1622" spans="1:28" ht="12.75">
      <c r="A1622" s="547" t="s">
        <v>573</v>
      </c>
      <c r="B1622" s="547" t="s">
        <v>178</v>
      </c>
      <c r="C1622" s="548" t="s">
        <v>812</v>
      </c>
      <c r="D1622" s="549">
        <v>2017</v>
      </c>
      <c r="E1622" s="549" t="s">
        <v>775</v>
      </c>
      <c r="F1622" s="550">
        <v>1442</v>
      </c>
      <c r="G1622" s="550">
        <v>0</v>
      </c>
      <c r="H1622" s="550">
        <v>0</v>
      </c>
      <c r="I1622" s="550">
        <v>0</v>
      </c>
      <c r="J1622" s="550">
        <v>974</v>
      </c>
      <c r="K1622" s="550">
        <v>0</v>
      </c>
      <c r="L1622" s="550">
        <v>0</v>
      </c>
      <c r="M1622" s="550">
        <v>0</v>
      </c>
      <c r="N1622" s="550">
        <v>1090</v>
      </c>
      <c r="O1622" s="550">
        <v>0</v>
      </c>
      <c r="P1622" s="550">
        <v>2471</v>
      </c>
      <c r="Q1622" s="550">
        <v>435</v>
      </c>
      <c r="R1622" s="574" t="s">
        <v>573</v>
      </c>
      <c r="S1622" s="552"/>
      <c r="T1622" s="552"/>
      <c r="U1622" s="552"/>
      <c r="V1622" s="552"/>
      <c r="W1622" s="552"/>
      <c r="X1622" s="552"/>
      <c r="Y1622" s="552"/>
      <c r="Z1622" s="552"/>
      <c r="AA1622" s="553"/>
      <c r="AB1622" s="553"/>
    </row>
    <row r="1623" spans="1:28" ht="12.75">
      <c r="A1623" s="547" t="s">
        <v>573</v>
      </c>
      <c r="B1623" s="547" t="s">
        <v>178</v>
      </c>
      <c r="C1623" s="548" t="s">
        <v>812</v>
      </c>
      <c r="D1623" s="549">
        <v>2018</v>
      </c>
      <c r="E1623" s="549" t="s">
        <v>775</v>
      </c>
      <c r="F1623" s="550">
        <v>1442</v>
      </c>
      <c r="G1623" s="550">
        <v>0</v>
      </c>
      <c r="H1623" s="550">
        <v>0</v>
      </c>
      <c r="I1623" s="550">
        <v>0</v>
      </c>
      <c r="J1623" s="550">
        <v>974</v>
      </c>
      <c r="K1623" s="550">
        <v>0</v>
      </c>
      <c r="L1623" s="550">
        <v>0</v>
      </c>
      <c r="M1623" s="550">
        <v>0</v>
      </c>
      <c r="N1623" s="550">
        <v>1090</v>
      </c>
      <c r="O1623" s="550">
        <v>0</v>
      </c>
      <c r="P1623" s="550">
        <v>2471</v>
      </c>
      <c r="Q1623" s="550">
        <v>413</v>
      </c>
      <c r="R1623" s="574" t="s">
        <v>573</v>
      </c>
      <c r="S1623" s="552"/>
      <c r="T1623" s="552"/>
      <c r="U1623" s="552"/>
      <c r="V1623" s="552"/>
      <c r="W1623" s="552"/>
      <c r="X1623" s="552"/>
      <c r="Y1623" s="552"/>
      <c r="Z1623" s="552"/>
      <c r="AA1623" s="553"/>
      <c r="AB1623" s="553"/>
    </row>
    <row r="1624" spans="1:28" ht="12.75">
      <c r="A1624" s="547" t="s">
        <v>573</v>
      </c>
      <c r="B1624" s="547" t="s">
        <v>178</v>
      </c>
      <c r="C1624" s="548" t="s">
        <v>813</v>
      </c>
      <c r="D1624" s="549">
        <v>2019</v>
      </c>
      <c r="E1624" s="549" t="s">
        <v>775</v>
      </c>
      <c r="F1624" s="550">
        <v>1442</v>
      </c>
      <c r="G1624" s="550">
        <v>0</v>
      </c>
      <c r="H1624" s="550">
        <v>0</v>
      </c>
      <c r="I1624" s="550">
        <v>0</v>
      </c>
      <c r="J1624" s="550">
        <v>974</v>
      </c>
      <c r="K1624" s="550">
        <v>0</v>
      </c>
      <c r="L1624" s="550">
        <v>0</v>
      </c>
      <c r="M1624" s="550">
        <v>0</v>
      </c>
      <c r="N1624" s="550">
        <v>1090</v>
      </c>
      <c r="O1624" s="550">
        <v>0</v>
      </c>
      <c r="P1624" s="550">
        <v>2471</v>
      </c>
      <c r="Q1624" s="550">
        <v>835</v>
      </c>
      <c r="R1624" s="574" t="s">
        <v>573</v>
      </c>
      <c r="S1624" s="552">
        <f>SUM(G1619:G1624) +SUM(K1619:K1624)</f>
        <v>210</v>
      </c>
      <c r="T1624" s="552">
        <f>F1624+J1624</f>
        <v>2416</v>
      </c>
      <c r="U1624" s="552">
        <f>SUM(O1619:O1624)</f>
        <v>0</v>
      </c>
      <c r="V1624" s="552">
        <f>N1624</f>
        <v>1090</v>
      </c>
      <c r="W1624" s="554">
        <f>SUM(Q1619:Q1624)</f>
        <v>2753</v>
      </c>
      <c r="X1624" s="552">
        <f>P1624</f>
        <v>2471</v>
      </c>
      <c r="Y1624" s="552">
        <f>S1624+U1624+SUM(Q1619:Q1624)</f>
        <v>2963</v>
      </c>
      <c r="Z1624" s="552">
        <f>F1624+J1624+N1624+P1624</f>
        <v>5977</v>
      </c>
      <c r="AA1624" s="553"/>
      <c r="AB1624" s="553"/>
    </row>
    <row r="1625" spans="1:28" ht="12.75">
      <c r="A1625" s="547" t="s">
        <v>574</v>
      </c>
      <c r="B1625" s="547" t="s">
        <v>178</v>
      </c>
      <c r="C1625" s="548" t="s">
        <v>812</v>
      </c>
      <c r="D1625" s="549">
        <v>2015</v>
      </c>
      <c r="E1625" s="549" t="s">
        <v>775</v>
      </c>
      <c r="F1625" s="550">
        <v>28</v>
      </c>
      <c r="G1625" s="550">
        <v>0</v>
      </c>
      <c r="H1625" s="550">
        <v>0</v>
      </c>
      <c r="I1625" s="550">
        <v>0</v>
      </c>
      <c r="J1625" s="550">
        <v>19</v>
      </c>
      <c r="K1625" s="550">
        <v>0</v>
      </c>
      <c r="L1625" s="550">
        <v>0</v>
      </c>
      <c r="M1625" s="550">
        <v>0</v>
      </c>
      <c r="N1625" s="550">
        <v>22</v>
      </c>
      <c r="O1625" s="550">
        <v>10</v>
      </c>
      <c r="P1625" s="550">
        <v>49</v>
      </c>
      <c r="Q1625" s="550">
        <v>0</v>
      </c>
      <c r="R1625" s="574" t="s">
        <v>574</v>
      </c>
      <c r="S1625" s="552"/>
      <c r="T1625" s="552"/>
      <c r="U1625" s="552"/>
      <c r="V1625" s="552"/>
      <c r="W1625" s="552"/>
      <c r="X1625" s="552"/>
      <c r="Y1625" s="552"/>
      <c r="Z1625" s="552"/>
      <c r="AA1625" s="553"/>
      <c r="AB1625" s="553"/>
    </row>
    <row r="1626" spans="1:28" ht="12.75">
      <c r="A1626" s="547" t="s">
        <v>574</v>
      </c>
      <c r="B1626" s="547" t="s">
        <v>178</v>
      </c>
      <c r="C1626" s="548" t="s">
        <v>812</v>
      </c>
      <c r="D1626" s="549">
        <v>2016</v>
      </c>
      <c r="E1626" s="549" t="s">
        <v>775</v>
      </c>
      <c r="F1626" s="550">
        <v>28</v>
      </c>
      <c r="G1626" s="550">
        <v>0</v>
      </c>
      <c r="H1626" s="550">
        <v>0</v>
      </c>
      <c r="I1626" s="550">
        <v>0</v>
      </c>
      <c r="J1626" s="550">
        <v>19</v>
      </c>
      <c r="K1626" s="550">
        <v>0</v>
      </c>
      <c r="L1626" s="550">
        <v>0</v>
      </c>
      <c r="M1626" s="550">
        <v>0</v>
      </c>
      <c r="N1626" s="550">
        <v>22</v>
      </c>
      <c r="O1626" s="550">
        <v>5</v>
      </c>
      <c r="P1626" s="550">
        <v>49</v>
      </c>
      <c r="Q1626" s="550">
        <v>0</v>
      </c>
      <c r="R1626" s="574" t="s">
        <v>574</v>
      </c>
      <c r="S1626" s="552"/>
      <c r="T1626" s="552"/>
      <c r="U1626" s="552"/>
      <c r="V1626" s="552"/>
      <c r="W1626" s="552"/>
      <c r="X1626" s="552"/>
      <c r="Y1626" s="552"/>
      <c r="Z1626" s="552"/>
      <c r="AA1626" s="553"/>
      <c r="AB1626" s="553"/>
    </row>
    <row r="1627" spans="1:28" ht="12.75">
      <c r="A1627" s="547" t="s">
        <v>574</v>
      </c>
      <c r="B1627" s="547" t="s">
        <v>178</v>
      </c>
      <c r="C1627" s="548" t="s">
        <v>812</v>
      </c>
      <c r="D1627" s="549">
        <v>2017</v>
      </c>
      <c r="E1627" s="549" t="s">
        <v>775</v>
      </c>
      <c r="F1627" s="550">
        <v>28</v>
      </c>
      <c r="G1627" s="550">
        <v>0</v>
      </c>
      <c r="H1627" s="550">
        <v>0</v>
      </c>
      <c r="I1627" s="550">
        <v>0</v>
      </c>
      <c r="J1627" s="550">
        <v>19</v>
      </c>
      <c r="K1627" s="550">
        <v>0</v>
      </c>
      <c r="L1627" s="550">
        <v>0</v>
      </c>
      <c r="M1627" s="550">
        <v>0</v>
      </c>
      <c r="N1627" s="550">
        <v>22</v>
      </c>
      <c r="O1627" s="550">
        <v>1</v>
      </c>
      <c r="P1627" s="550">
        <v>49</v>
      </c>
      <c r="Q1627" s="550">
        <v>21</v>
      </c>
      <c r="R1627" s="574" t="s">
        <v>574</v>
      </c>
      <c r="S1627" s="552"/>
      <c r="T1627" s="552"/>
      <c r="U1627" s="552"/>
      <c r="V1627" s="552"/>
      <c r="W1627" s="552"/>
      <c r="X1627" s="552"/>
      <c r="Y1627" s="552"/>
      <c r="Z1627" s="552"/>
      <c r="AA1627" s="553"/>
      <c r="AB1627" s="553"/>
    </row>
    <row r="1628" spans="1:28" ht="12.75">
      <c r="A1628" s="547" t="s">
        <v>574</v>
      </c>
      <c r="B1628" s="547" t="s">
        <v>178</v>
      </c>
      <c r="C1628" s="548" t="s">
        <v>812</v>
      </c>
      <c r="D1628" s="549">
        <v>2018</v>
      </c>
      <c r="E1628" s="549" t="s">
        <v>775</v>
      </c>
      <c r="F1628" s="550">
        <v>28</v>
      </c>
      <c r="G1628" s="550">
        <v>1</v>
      </c>
      <c r="H1628" s="550">
        <v>1</v>
      </c>
      <c r="I1628" s="550">
        <v>0</v>
      </c>
      <c r="J1628" s="550">
        <v>19</v>
      </c>
      <c r="K1628" s="550">
        <v>1</v>
      </c>
      <c r="L1628" s="550">
        <v>1</v>
      </c>
      <c r="M1628" s="550">
        <v>0</v>
      </c>
      <c r="N1628" s="550">
        <v>22</v>
      </c>
      <c r="O1628" s="550">
        <v>0</v>
      </c>
      <c r="P1628" s="550">
        <v>49</v>
      </c>
      <c r="Q1628" s="550">
        <v>17</v>
      </c>
      <c r="R1628" s="574" t="s">
        <v>574</v>
      </c>
      <c r="S1628" s="552"/>
      <c r="T1628" s="552"/>
      <c r="U1628" s="552"/>
      <c r="V1628" s="552"/>
      <c r="W1628" s="552"/>
      <c r="X1628" s="552"/>
      <c r="Y1628" s="552"/>
      <c r="Z1628" s="552"/>
      <c r="AA1628" s="553"/>
      <c r="AB1628" s="553"/>
    </row>
    <row r="1629" spans="1:28" ht="12.75">
      <c r="A1629" s="547" t="s">
        <v>574</v>
      </c>
      <c r="B1629" s="555" t="s">
        <v>178</v>
      </c>
      <c r="C1629" s="548" t="s">
        <v>813</v>
      </c>
      <c r="D1629" s="549">
        <v>2019</v>
      </c>
      <c r="E1629" s="549" t="s">
        <v>775</v>
      </c>
      <c r="F1629" s="550">
        <v>28</v>
      </c>
      <c r="G1629" s="550">
        <v>0</v>
      </c>
      <c r="H1629" s="550">
        <v>0</v>
      </c>
      <c r="I1629" s="550">
        <v>0</v>
      </c>
      <c r="J1629" s="550">
        <v>19</v>
      </c>
      <c r="K1629" s="550">
        <v>0</v>
      </c>
      <c r="L1629" s="550">
        <v>0</v>
      </c>
      <c r="M1629" s="550">
        <v>0</v>
      </c>
      <c r="N1629" s="550">
        <v>22</v>
      </c>
      <c r="O1629" s="550">
        <v>1</v>
      </c>
      <c r="P1629" s="550">
        <v>49</v>
      </c>
      <c r="Q1629" s="550">
        <v>18</v>
      </c>
      <c r="R1629" s="574" t="s">
        <v>574</v>
      </c>
      <c r="S1629" s="255">
        <f>SUM(G1625:G1629) +SUM(K1625:K1629)</f>
        <v>2</v>
      </c>
      <c r="T1629" s="255">
        <f>F1629+J1629</f>
        <v>47</v>
      </c>
      <c r="U1629" s="255">
        <f>SUM(O1625:O1629)</f>
        <v>17</v>
      </c>
      <c r="V1629" s="255">
        <f>N1629</f>
        <v>22</v>
      </c>
      <c r="W1629" s="83">
        <f>SUM(Q1625:Q1629)</f>
        <v>56</v>
      </c>
      <c r="X1629" s="255">
        <f>P1629</f>
        <v>49</v>
      </c>
      <c r="Y1629" s="255">
        <f>S1629+U1629+SUM(Q1625:Q1629)</f>
        <v>75</v>
      </c>
      <c r="Z1629" s="255">
        <f>F1629+J1629+N1629+P1629</f>
        <v>118</v>
      </c>
      <c r="AA1629" s="553"/>
      <c r="AB1629" s="553"/>
    </row>
    <row r="1630" spans="1:28" ht="12.75">
      <c r="A1630" s="547" t="s">
        <v>575</v>
      </c>
      <c r="B1630" s="555" t="s">
        <v>178</v>
      </c>
      <c r="C1630" s="548" t="s">
        <v>812</v>
      </c>
      <c r="D1630" s="549">
        <v>2014</v>
      </c>
      <c r="E1630" s="549" t="s">
        <v>775</v>
      </c>
      <c r="F1630" s="550">
        <v>398</v>
      </c>
      <c r="G1630" s="550">
        <v>0</v>
      </c>
      <c r="H1630" s="550">
        <v>0</v>
      </c>
      <c r="I1630" s="550">
        <v>0</v>
      </c>
      <c r="J1630" s="550">
        <v>274</v>
      </c>
      <c r="K1630" s="550">
        <v>0</v>
      </c>
      <c r="L1630" s="550">
        <v>0</v>
      </c>
      <c r="M1630" s="550">
        <v>0</v>
      </c>
      <c r="N1630" s="550">
        <v>314</v>
      </c>
      <c r="O1630" s="550">
        <v>82</v>
      </c>
      <c r="P1630" s="550">
        <v>729</v>
      </c>
      <c r="Q1630" s="550">
        <v>0</v>
      </c>
      <c r="R1630" s="574" t="s">
        <v>575</v>
      </c>
      <c r="S1630" s="552"/>
      <c r="T1630" s="552"/>
      <c r="U1630" s="552"/>
      <c r="V1630" s="552"/>
      <c r="W1630" s="552"/>
      <c r="X1630" s="552"/>
      <c r="Y1630" s="552"/>
      <c r="Z1630" s="552"/>
      <c r="AA1630" s="553"/>
      <c r="AB1630" s="553"/>
    </row>
    <row r="1631" spans="1:28" ht="12.75">
      <c r="A1631" s="547" t="s">
        <v>575</v>
      </c>
      <c r="B1631" s="547" t="s">
        <v>178</v>
      </c>
      <c r="C1631" s="548" t="s">
        <v>812</v>
      </c>
      <c r="D1631" s="549">
        <v>2015</v>
      </c>
      <c r="E1631" s="549" t="s">
        <v>775</v>
      </c>
      <c r="F1631" s="550">
        <v>398</v>
      </c>
      <c r="G1631" s="550">
        <v>0</v>
      </c>
      <c r="H1631" s="550">
        <v>0</v>
      </c>
      <c r="I1631" s="550">
        <v>0</v>
      </c>
      <c r="J1631" s="550">
        <v>274</v>
      </c>
      <c r="K1631" s="550">
        <v>0</v>
      </c>
      <c r="L1631" s="550">
        <v>0</v>
      </c>
      <c r="M1631" s="550">
        <v>0</v>
      </c>
      <c r="N1631" s="550">
        <v>314</v>
      </c>
      <c r="O1631" s="550">
        <v>0</v>
      </c>
      <c r="P1631" s="550">
        <v>729</v>
      </c>
      <c r="Q1631" s="550">
        <v>98</v>
      </c>
      <c r="R1631" s="574" t="s">
        <v>575</v>
      </c>
      <c r="S1631" s="552"/>
      <c r="T1631" s="552"/>
      <c r="U1631" s="552"/>
      <c r="V1631" s="552"/>
      <c r="W1631" s="552"/>
      <c r="X1631" s="552"/>
      <c r="Y1631" s="552"/>
      <c r="Z1631" s="552"/>
      <c r="AA1631" s="553"/>
      <c r="AB1631" s="553"/>
    </row>
    <row r="1632" spans="1:28" ht="12.75">
      <c r="A1632" s="547" t="s">
        <v>575</v>
      </c>
      <c r="B1632" s="555" t="s">
        <v>178</v>
      </c>
      <c r="C1632" s="548" t="s">
        <v>812</v>
      </c>
      <c r="D1632" s="549">
        <v>2016</v>
      </c>
      <c r="E1632" s="549" t="s">
        <v>775</v>
      </c>
      <c r="F1632" s="550">
        <v>398</v>
      </c>
      <c r="G1632" s="550">
        <v>0</v>
      </c>
      <c r="H1632" s="550">
        <v>0</v>
      </c>
      <c r="I1632" s="550">
        <v>0</v>
      </c>
      <c r="J1632" s="550">
        <v>274</v>
      </c>
      <c r="K1632" s="550">
        <v>20</v>
      </c>
      <c r="L1632" s="550">
        <v>20</v>
      </c>
      <c r="M1632" s="550">
        <v>0</v>
      </c>
      <c r="N1632" s="550">
        <v>314</v>
      </c>
      <c r="O1632" s="550">
        <v>75</v>
      </c>
      <c r="P1632" s="550">
        <v>729</v>
      </c>
      <c r="Q1632" s="550">
        <v>172</v>
      </c>
      <c r="R1632" s="574" t="s">
        <v>575</v>
      </c>
      <c r="S1632" s="552"/>
      <c r="T1632" s="552"/>
      <c r="U1632" s="552"/>
      <c r="V1632" s="552"/>
      <c r="W1632" s="552"/>
      <c r="X1632" s="552"/>
      <c r="Y1632" s="552"/>
      <c r="Z1632" s="552"/>
      <c r="AA1632" s="553"/>
      <c r="AB1632" s="553"/>
    </row>
    <row r="1633" spans="1:28" ht="12.75">
      <c r="A1633" s="547" t="s">
        <v>575</v>
      </c>
      <c r="B1633" s="547" t="s">
        <v>178</v>
      </c>
      <c r="C1633" s="548" t="s">
        <v>812</v>
      </c>
      <c r="D1633" s="549">
        <v>2017</v>
      </c>
      <c r="E1633" s="549" t="s">
        <v>775</v>
      </c>
      <c r="F1633" s="550">
        <v>398</v>
      </c>
      <c r="G1633" s="550">
        <v>0</v>
      </c>
      <c r="H1633" s="550">
        <v>0</v>
      </c>
      <c r="I1633" s="550">
        <v>0</v>
      </c>
      <c r="J1633" s="550">
        <v>274</v>
      </c>
      <c r="K1633" s="550">
        <v>0</v>
      </c>
      <c r="L1633" s="550">
        <v>0</v>
      </c>
      <c r="M1633" s="550">
        <v>0</v>
      </c>
      <c r="N1633" s="550">
        <v>314</v>
      </c>
      <c r="O1633" s="550">
        <v>0</v>
      </c>
      <c r="P1633" s="550">
        <v>729</v>
      </c>
      <c r="Q1633" s="550">
        <v>230</v>
      </c>
      <c r="R1633" s="574" t="s">
        <v>575</v>
      </c>
      <c r="S1633" s="255">
        <f>SUM(G1630:G1633) +SUM(K1630:K1633)</f>
        <v>20</v>
      </c>
      <c r="T1633" s="255">
        <f>F1633+J1633</f>
        <v>672</v>
      </c>
      <c r="U1633" s="255">
        <f>SUM(O1630:O1633)</f>
        <v>157</v>
      </c>
      <c r="V1633" s="255">
        <f>N1633</f>
        <v>314</v>
      </c>
      <c r="W1633" s="83">
        <f>SUM(Q1630:Q1633)</f>
        <v>500</v>
      </c>
      <c r="X1633" s="255">
        <f>P1633</f>
        <v>729</v>
      </c>
      <c r="Y1633" s="255">
        <f>S1633+U1633+SUM(Q1630:Q1633)</f>
        <v>677</v>
      </c>
      <c r="Z1633" s="255">
        <f>F1633+J1633+N1633+P1633</f>
        <v>1715</v>
      </c>
      <c r="AA1633" s="553"/>
      <c r="AB1633" s="553"/>
    </row>
    <row r="1634" spans="1:28" ht="12.75">
      <c r="A1634" s="547" t="s">
        <v>576</v>
      </c>
      <c r="B1634" s="547" t="s">
        <v>178</v>
      </c>
      <c r="C1634" s="548" t="s">
        <v>812</v>
      </c>
      <c r="D1634" s="549">
        <v>2014</v>
      </c>
      <c r="E1634" s="549" t="s">
        <v>775</v>
      </c>
      <c r="F1634" s="550">
        <v>349</v>
      </c>
      <c r="G1634" s="550">
        <v>0</v>
      </c>
      <c r="H1634" s="550">
        <v>0</v>
      </c>
      <c r="I1634" s="550">
        <v>0</v>
      </c>
      <c r="J1634" s="550">
        <v>246</v>
      </c>
      <c r="K1634" s="550">
        <v>0</v>
      </c>
      <c r="L1634" s="550">
        <v>0</v>
      </c>
      <c r="M1634" s="550">
        <v>0</v>
      </c>
      <c r="N1634" s="550">
        <v>280</v>
      </c>
      <c r="O1634" s="550">
        <v>1</v>
      </c>
      <c r="P1634" s="550">
        <v>625</v>
      </c>
      <c r="Q1634" s="550">
        <v>3</v>
      </c>
      <c r="R1634" s="574" t="s">
        <v>576</v>
      </c>
      <c r="S1634" s="552"/>
      <c r="T1634" s="552"/>
      <c r="U1634" s="552"/>
      <c r="V1634" s="552"/>
      <c r="W1634" s="552"/>
      <c r="X1634" s="552"/>
      <c r="Y1634" s="552"/>
      <c r="Z1634" s="552"/>
      <c r="AA1634" s="553"/>
      <c r="AB1634" s="553"/>
    </row>
    <row r="1635" spans="1:28" ht="12.75">
      <c r="A1635" s="547" t="s">
        <v>576</v>
      </c>
      <c r="B1635" s="547" t="s">
        <v>178</v>
      </c>
      <c r="C1635" s="548" t="s">
        <v>812</v>
      </c>
      <c r="D1635" s="549">
        <v>2015</v>
      </c>
      <c r="E1635" s="549" t="s">
        <v>775</v>
      </c>
      <c r="F1635" s="550">
        <v>349</v>
      </c>
      <c r="G1635" s="550">
        <v>0</v>
      </c>
      <c r="H1635" s="550">
        <v>0</v>
      </c>
      <c r="I1635" s="550">
        <v>0</v>
      </c>
      <c r="J1635" s="550">
        <v>246</v>
      </c>
      <c r="K1635" s="550">
        <v>0</v>
      </c>
      <c r="L1635" s="550">
        <v>0</v>
      </c>
      <c r="M1635" s="550">
        <v>0</v>
      </c>
      <c r="N1635" s="550">
        <v>280</v>
      </c>
      <c r="O1635" s="550">
        <v>0</v>
      </c>
      <c r="P1635" s="550">
        <v>625</v>
      </c>
      <c r="Q1635" s="550">
        <v>6</v>
      </c>
      <c r="R1635" s="574" t="s">
        <v>576</v>
      </c>
      <c r="S1635" s="552"/>
      <c r="T1635" s="552"/>
      <c r="U1635" s="552"/>
      <c r="V1635" s="552"/>
      <c r="W1635" s="552"/>
      <c r="X1635" s="552"/>
      <c r="Y1635" s="552"/>
      <c r="Z1635" s="552"/>
      <c r="AA1635" s="553"/>
      <c r="AB1635" s="553"/>
    </row>
    <row r="1636" spans="1:28" ht="12.75">
      <c r="A1636" s="547" t="s">
        <v>576</v>
      </c>
      <c r="B1636" s="547" t="s">
        <v>178</v>
      </c>
      <c r="C1636" s="548" t="s">
        <v>812</v>
      </c>
      <c r="D1636" s="549">
        <v>2016</v>
      </c>
      <c r="E1636" s="549" t="s">
        <v>775</v>
      </c>
      <c r="F1636" s="550">
        <v>349</v>
      </c>
      <c r="G1636" s="550">
        <v>0</v>
      </c>
      <c r="H1636" s="550">
        <v>0</v>
      </c>
      <c r="I1636" s="550">
        <v>0</v>
      </c>
      <c r="J1636" s="550">
        <v>246</v>
      </c>
      <c r="K1636" s="550">
        <v>0</v>
      </c>
      <c r="L1636" s="550">
        <v>0</v>
      </c>
      <c r="M1636" s="550">
        <v>0</v>
      </c>
      <c r="N1636" s="550">
        <v>280</v>
      </c>
      <c r="O1636" s="550">
        <v>6</v>
      </c>
      <c r="P1636" s="550">
        <v>625</v>
      </c>
      <c r="Q1636" s="550">
        <v>18</v>
      </c>
      <c r="R1636" s="574" t="s">
        <v>576</v>
      </c>
      <c r="S1636" s="552"/>
      <c r="T1636" s="552"/>
      <c r="U1636" s="552"/>
      <c r="V1636" s="552"/>
      <c r="W1636" s="552"/>
      <c r="X1636" s="552"/>
      <c r="Y1636" s="552"/>
      <c r="Z1636" s="552"/>
      <c r="AA1636" s="553"/>
      <c r="AB1636" s="553"/>
    </row>
    <row r="1637" spans="1:28" ht="12.75">
      <c r="A1637" s="547" t="s">
        <v>576</v>
      </c>
      <c r="B1637" s="547" t="s">
        <v>178</v>
      </c>
      <c r="C1637" s="548" t="s">
        <v>812</v>
      </c>
      <c r="D1637" s="549">
        <v>2017</v>
      </c>
      <c r="E1637" s="549" t="s">
        <v>775</v>
      </c>
      <c r="F1637" s="550">
        <v>349</v>
      </c>
      <c r="G1637" s="550">
        <v>0</v>
      </c>
      <c r="H1637" s="550">
        <v>0</v>
      </c>
      <c r="I1637" s="550">
        <v>0</v>
      </c>
      <c r="J1637" s="550">
        <v>246</v>
      </c>
      <c r="K1637" s="550">
        <v>0</v>
      </c>
      <c r="L1637" s="550">
        <v>0</v>
      </c>
      <c r="M1637" s="550">
        <v>0</v>
      </c>
      <c r="N1637" s="550">
        <v>280</v>
      </c>
      <c r="O1637" s="550">
        <v>9</v>
      </c>
      <c r="P1637" s="550">
        <v>625</v>
      </c>
      <c r="Q1637" s="550">
        <v>70</v>
      </c>
      <c r="R1637" s="574" t="s">
        <v>576</v>
      </c>
      <c r="S1637" s="552"/>
      <c r="T1637" s="552"/>
      <c r="U1637" s="552"/>
      <c r="V1637" s="552"/>
      <c r="W1637" s="552"/>
      <c r="X1637" s="552"/>
      <c r="Y1637" s="552"/>
      <c r="Z1637" s="552"/>
      <c r="AA1637" s="553"/>
      <c r="AB1637" s="553"/>
    </row>
    <row r="1638" spans="1:28" ht="12.75">
      <c r="A1638" s="547" t="s">
        <v>576</v>
      </c>
      <c r="B1638" s="547" t="s">
        <v>178</v>
      </c>
      <c r="C1638" s="548" t="s">
        <v>812</v>
      </c>
      <c r="D1638" s="549">
        <v>2018</v>
      </c>
      <c r="E1638" s="549" t="s">
        <v>775</v>
      </c>
      <c r="F1638" s="550">
        <v>349</v>
      </c>
      <c r="G1638" s="550">
        <v>0</v>
      </c>
      <c r="H1638" s="550">
        <v>0</v>
      </c>
      <c r="I1638" s="550">
        <v>0</v>
      </c>
      <c r="J1638" s="550">
        <v>246</v>
      </c>
      <c r="K1638" s="550">
        <v>0</v>
      </c>
      <c r="L1638" s="550">
        <v>0</v>
      </c>
      <c r="M1638" s="550">
        <v>0</v>
      </c>
      <c r="N1638" s="550">
        <v>280</v>
      </c>
      <c r="O1638" s="550">
        <v>0</v>
      </c>
      <c r="P1638" s="550">
        <v>625</v>
      </c>
      <c r="Q1638" s="550">
        <v>17</v>
      </c>
      <c r="R1638" s="574" t="s">
        <v>576</v>
      </c>
      <c r="S1638" s="552"/>
      <c r="T1638" s="552"/>
      <c r="U1638" s="552"/>
      <c r="V1638" s="552"/>
      <c r="W1638" s="552"/>
      <c r="X1638" s="552"/>
      <c r="Y1638" s="552"/>
      <c r="Z1638" s="552"/>
      <c r="AA1638" s="553"/>
      <c r="AB1638" s="553"/>
    </row>
    <row r="1639" spans="1:28" ht="12.75">
      <c r="A1639" s="547" t="s">
        <v>576</v>
      </c>
      <c r="B1639" s="547" t="s">
        <v>178</v>
      </c>
      <c r="C1639" s="548" t="s">
        <v>813</v>
      </c>
      <c r="D1639" s="549">
        <v>2019</v>
      </c>
      <c r="E1639" s="549" t="s">
        <v>775</v>
      </c>
      <c r="F1639" s="550">
        <v>349</v>
      </c>
      <c r="G1639" s="550">
        <v>0</v>
      </c>
      <c r="H1639" s="550">
        <v>0</v>
      </c>
      <c r="I1639" s="550">
        <v>0</v>
      </c>
      <c r="J1639" s="550">
        <v>246</v>
      </c>
      <c r="K1639" s="550">
        <v>0</v>
      </c>
      <c r="L1639" s="550">
        <v>0</v>
      </c>
      <c r="M1639" s="550">
        <v>0</v>
      </c>
      <c r="N1639" s="550">
        <v>280</v>
      </c>
      <c r="O1639" s="550">
        <v>2</v>
      </c>
      <c r="P1639" s="550">
        <v>625</v>
      </c>
      <c r="Q1639" s="550">
        <v>3</v>
      </c>
      <c r="R1639" s="574" t="s">
        <v>576</v>
      </c>
      <c r="S1639" s="552">
        <f>SUM(G1634:G1639) +SUM(K1634:K1639)</f>
        <v>0</v>
      </c>
      <c r="T1639" s="552">
        <f>F1639+J1639</f>
        <v>595</v>
      </c>
      <c r="U1639" s="552">
        <f>SUM(O1634:O1639)</f>
        <v>18</v>
      </c>
      <c r="V1639" s="552">
        <f>N1639</f>
        <v>280</v>
      </c>
      <c r="W1639" s="554">
        <f>SUM(Q1634:Q1639)</f>
        <v>117</v>
      </c>
      <c r="X1639" s="552">
        <f>P1639</f>
        <v>625</v>
      </c>
      <c r="Y1639" s="552">
        <f>S1639+U1639+SUM(Q1634:Q1639)</f>
        <v>135</v>
      </c>
      <c r="Z1639" s="552">
        <f>F1639+J1639+N1639+P1639</f>
        <v>1500</v>
      </c>
      <c r="AA1639" s="553"/>
      <c r="AB1639" s="553"/>
    </row>
    <row r="1640" spans="1:28" ht="12.75">
      <c r="A1640" s="547" t="s">
        <v>577</v>
      </c>
      <c r="B1640" s="547" t="s">
        <v>178</v>
      </c>
      <c r="C1640" s="548" t="s">
        <v>812</v>
      </c>
      <c r="D1640" s="549">
        <v>2018</v>
      </c>
      <c r="E1640" s="549" t="s">
        <v>775</v>
      </c>
      <c r="F1640" s="550">
        <v>254</v>
      </c>
      <c r="G1640" s="550">
        <v>36</v>
      </c>
      <c r="H1640" s="550">
        <v>0</v>
      </c>
      <c r="I1640" s="550">
        <v>36</v>
      </c>
      <c r="J1640" s="550">
        <v>177</v>
      </c>
      <c r="K1640" s="550">
        <v>50</v>
      </c>
      <c r="L1640" s="550">
        <v>0</v>
      </c>
      <c r="M1640" s="550">
        <v>50</v>
      </c>
      <c r="N1640" s="550">
        <v>202</v>
      </c>
      <c r="O1640" s="550">
        <v>1</v>
      </c>
      <c r="P1640" s="550">
        <v>462</v>
      </c>
      <c r="Q1640" s="550">
        <v>40</v>
      </c>
      <c r="R1640" s="574" t="s">
        <v>577</v>
      </c>
      <c r="S1640" s="552"/>
      <c r="T1640" s="552"/>
      <c r="U1640" s="552"/>
      <c r="V1640" s="552"/>
      <c r="W1640" s="552"/>
      <c r="X1640" s="552"/>
      <c r="Y1640" s="552"/>
      <c r="Z1640" s="552"/>
      <c r="AA1640" s="553"/>
      <c r="AB1640" s="553"/>
    </row>
    <row r="1641" spans="1:28" ht="12.75">
      <c r="A1641" s="547" t="s">
        <v>577</v>
      </c>
      <c r="B1641" s="547" t="s">
        <v>178</v>
      </c>
      <c r="C1641" s="548" t="s">
        <v>813</v>
      </c>
      <c r="D1641" s="549">
        <v>2019</v>
      </c>
      <c r="E1641" s="549" t="s">
        <v>775</v>
      </c>
      <c r="F1641" s="550">
        <v>254</v>
      </c>
      <c r="G1641" s="550">
        <v>0</v>
      </c>
      <c r="H1641" s="550">
        <v>0</v>
      </c>
      <c r="I1641" s="550">
        <v>0</v>
      </c>
      <c r="J1641" s="550">
        <v>177</v>
      </c>
      <c r="K1641" s="550">
        <v>0</v>
      </c>
      <c r="L1641" s="550">
        <v>0</v>
      </c>
      <c r="M1641" s="550">
        <v>0</v>
      </c>
      <c r="N1641" s="550">
        <v>202</v>
      </c>
      <c r="O1641" s="550">
        <v>0</v>
      </c>
      <c r="P1641" s="550">
        <v>462</v>
      </c>
      <c r="Q1641" s="550">
        <v>91</v>
      </c>
      <c r="R1641" s="574" t="s">
        <v>577</v>
      </c>
      <c r="S1641" s="255">
        <f>SUM(G1640:G1641) +SUM(K1640:K1641)</f>
        <v>86</v>
      </c>
      <c r="T1641" s="255">
        <f>F1641+J1641</f>
        <v>431</v>
      </c>
      <c r="U1641" s="255">
        <f>SUM(O1640:O1641)</f>
        <v>1</v>
      </c>
      <c r="V1641" s="255">
        <f>N1641</f>
        <v>202</v>
      </c>
      <c r="W1641" s="83">
        <f>SUM(Q1640:Q1641)</f>
        <v>131</v>
      </c>
      <c r="X1641" s="255">
        <f>P1641</f>
        <v>462</v>
      </c>
      <c r="Y1641" s="255">
        <f>S1641+U1641+SUM(Q1640:Q1641)</f>
        <v>218</v>
      </c>
      <c r="Z1641" s="255">
        <f>F1641+J1641+N1641+P1641</f>
        <v>1095</v>
      </c>
      <c r="AA1641" s="553"/>
      <c r="AB1641" s="553"/>
    </row>
    <row r="1642" spans="1:28" ht="12.75">
      <c r="A1642" s="547" t="s">
        <v>578</v>
      </c>
      <c r="B1642" s="547" t="s">
        <v>178</v>
      </c>
      <c r="C1642" s="548" t="s">
        <v>812</v>
      </c>
      <c r="D1642" s="549">
        <v>2014</v>
      </c>
      <c r="E1642" s="549" t="s">
        <v>775</v>
      </c>
      <c r="F1642" s="550">
        <v>164</v>
      </c>
      <c r="G1642" s="550">
        <v>0</v>
      </c>
      <c r="H1642" s="550">
        <v>0</v>
      </c>
      <c r="I1642" s="550">
        <v>0</v>
      </c>
      <c r="J1642" s="550">
        <v>114</v>
      </c>
      <c r="K1642" s="550">
        <v>0</v>
      </c>
      <c r="L1642" s="550">
        <v>0</v>
      </c>
      <c r="M1642" s="550">
        <v>0</v>
      </c>
      <c r="N1642" s="550">
        <v>125</v>
      </c>
      <c r="O1642" s="550">
        <v>0</v>
      </c>
      <c r="P1642" s="550">
        <v>294</v>
      </c>
      <c r="Q1642" s="550">
        <v>10</v>
      </c>
      <c r="R1642" s="574" t="s">
        <v>578</v>
      </c>
      <c r="S1642" s="552"/>
      <c r="T1642" s="552"/>
      <c r="U1642" s="552"/>
      <c r="V1642" s="552"/>
      <c r="W1642" s="552"/>
      <c r="X1642" s="552"/>
      <c r="Y1642" s="552"/>
      <c r="Z1642" s="552"/>
      <c r="AA1642" s="553"/>
      <c r="AB1642" s="553"/>
    </row>
    <row r="1643" spans="1:28" ht="12.75">
      <c r="A1643" s="547" t="s">
        <v>578</v>
      </c>
      <c r="B1643" s="547" t="s">
        <v>178</v>
      </c>
      <c r="C1643" s="548" t="s">
        <v>812</v>
      </c>
      <c r="D1643" s="549">
        <v>2015</v>
      </c>
      <c r="E1643" s="549" t="s">
        <v>775</v>
      </c>
      <c r="F1643" s="550">
        <v>164</v>
      </c>
      <c r="G1643" s="550">
        <v>0</v>
      </c>
      <c r="H1643" s="550">
        <v>0</v>
      </c>
      <c r="I1643" s="550">
        <v>0</v>
      </c>
      <c r="J1643" s="550">
        <v>114</v>
      </c>
      <c r="K1643" s="550">
        <v>0</v>
      </c>
      <c r="L1643" s="550">
        <v>0</v>
      </c>
      <c r="M1643" s="550">
        <v>0</v>
      </c>
      <c r="N1643" s="550">
        <v>125</v>
      </c>
      <c r="O1643" s="550">
        <v>0</v>
      </c>
      <c r="P1643" s="550">
        <v>294</v>
      </c>
      <c r="Q1643" s="550">
        <v>20</v>
      </c>
      <c r="R1643" s="574" t="s">
        <v>578</v>
      </c>
      <c r="S1643" s="552"/>
      <c r="T1643" s="552"/>
      <c r="U1643" s="552"/>
      <c r="V1643" s="552"/>
      <c r="W1643" s="552"/>
      <c r="X1643" s="552"/>
      <c r="Y1643" s="552"/>
      <c r="Z1643" s="552"/>
      <c r="AA1643" s="553"/>
      <c r="AB1643" s="553"/>
    </row>
    <row r="1644" spans="1:28" ht="12.75">
      <c r="A1644" s="547" t="s">
        <v>578</v>
      </c>
      <c r="B1644" s="547" t="s">
        <v>178</v>
      </c>
      <c r="C1644" s="548" t="s">
        <v>812</v>
      </c>
      <c r="D1644" s="549">
        <v>2016</v>
      </c>
      <c r="E1644" s="549" t="s">
        <v>775</v>
      </c>
      <c r="F1644" s="550">
        <v>164</v>
      </c>
      <c r="G1644" s="550">
        <v>0</v>
      </c>
      <c r="H1644" s="550">
        <v>0</v>
      </c>
      <c r="I1644" s="550">
        <v>0</v>
      </c>
      <c r="J1644" s="550">
        <v>114</v>
      </c>
      <c r="K1644" s="550">
        <v>0</v>
      </c>
      <c r="L1644" s="550">
        <v>0</v>
      </c>
      <c r="M1644" s="550">
        <v>0</v>
      </c>
      <c r="N1644" s="550">
        <v>125</v>
      </c>
      <c r="O1644" s="550">
        <v>0</v>
      </c>
      <c r="P1644" s="550">
        <v>294</v>
      </c>
      <c r="Q1644" s="550">
        <v>39</v>
      </c>
      <c r="R1644" s="574" t="s">
        <v>578</v>
      </c>
      <c r="S1644" s="552"/>
      <c r="T1644" s="552"/>
      <c r="U1644" s="552"/>
      <c r="V1644" s="552"/>
      <c r="W1644" s="552"/>
      <c r="X1644" s="552"/>
      <c r="Y1644" s="552"/>
      <c r="Z1644" s="552"/>
      <c r="AA1644" s="553"/>
      <c r="AB1644" s="553"/>
    </row>
    <row r="1645" spans="1:28" ht="12.75">
      <c r="A1645" s="547" t="s">
        <v>578</v>
      </c>
      <c r="B1645" s="547" t="s">
        <v>178</v>
      </c>
      <c r="C1645" s="548" t="s">
        <v>812</v>
      </c>
      <c r="D1645" s="549">
        <v>2017</v>
      </c>
      <c r="E1645" s="549" t="s">
        <v>775</v>
      </c>
      <c r="F1645" s="550">
        <v>164</v>
      </c>
      <c r="G1645" s="550">
        <v>0</v>
      </c>
      <c r="H1645" s="550">
        <v>0</v>
      </c>
      <c r="I1645" s="550">
        <v>0</v>
      </c>
      <c r="J1645" s="550">
        <v>114</v>
      </c>
      <c r="K1645" s="550">
        <v>0</v>
      </c>
      <c r="L1645" s="550">
        <v>0</v>
      </c>
      <c r="M1645" s="550">
        <v>0</v>
      </c>
      <c r="N1645" s="550">
        <v>125</v>
      </c>
      <c r="O1645" s="550">
        <v>0</v>
      </c>
      <c r="P1645" s="550">
        <v>294</v>
      </c>
      <c r="Q1645" s="550">
        <v>66</v>
      </c>
      <c r="R1645" s="574" t="s">
        <v>578</v>
      </c>
      <c r="S1645" s="552"/>
      <c r="T1645" s="552"/>
      <c r="U1645" s="552"/>
      <c r="V1645" s="552"/>
      <c r="W1645" s="552"/>
      <c r="X1645" s="552"/>
      <c r="Y1645" s="552"/>
      <c r="Z1645" s="552"/>
      <c r="AA1645" s="553"/>
      <c r="AB1645" s="553"/>
    </row>
    <row r="1646" spans="1:28" ht="12.75">
      <c r="A1646" s="547" t="s">
        <v>578</v>
      </c>
      <c r="B1646" s="547" t="s">
        <v>178</v>
      </c>
      <c r="C1646" s="548" t="s">
        <v>812</v>
      </c>
      <c r="D1646" s="549">
        <v>2018</v>
      </c>
      <c r="E1646" s="549" t="s">
        <v>775</v>
      </c>
      <c r="F1646" s="550">
        <v>164</v>
      </c>
      <c r="G1646" s="550">
        <v>0</v>
      </c>
      <c r="H1646" s="550">
        <v>0</v>
      </c>
      <c r="I1646" s="550">
        <v>0</v>
      </c>
      <c r="J1646" s="550">
        <v>114</v>
      </c>
      <c r="K1646" s="550">
        <v>0</v>
      </c>
      <c r="L1646" s="550">
        <v>0</v>
      </c>
      <c r="M1646" s="550">
        <v>0</v>
      </c>
      <c r="N1646" s="550">
        <v>125</v>
      </c>
      <c r="O1646" s="550">
        <v>0</v>
      </c>
      <c r="P1646" s="550">
        <v>294</v>
      </c>
      <c r="Q1646" s="550">
        <v>221</v>
      </c>
      <c r="R1646" s="574" t="s">
        <v>578</v>
      </c>
      <c r="S1646" s="552"/>
      <c r="T1646" s="552"/>
      <c r="U1646" s="552"/>
      <c r="V1646" s="552"/>
      <c r="W1646" s="552"/>
      <c r="X1646" s="552"/>
      <c r="Y1646" s="552"/>
      <c r="Z1646" s="552"/>
      <c r="AA1646" s="553"/>
      <c r="AB1646" s="553"/>
    </row>
    <row r="1647" spans="1:28" ht="12.75">
      <c r="A1647" s="547" t="s">
        <v>578</v>
      </c>
      <c r="B1647" s="547" t="s">
        <v>178</v>
      </c>
      <c r="C1647" s="548" t="s">
        <v>813</v>
      </c>
      <c r="D1647" s="549">
        <v>2019</v>
      </c>
      <c r="E1647" s="549" t="s">
        <v>775</v>
      </c>
      <c r="F1647" s="550">
        <v>164</v>
      </c>
      <c r="G1647" s="550">
        <v>0</v>
      </c>
      <c r="H1647" s="550">
        <v>0</v>
      </c>
      <c r="I1647" s="550">
        <v>0</v>
      </c>
      <c r="J1647" s="550">
        <v>114</v>
      </c>
      <c r="K1647" s="550">
        <v>0</v>
      </c>
      <c r="L1647" s="550">
        <v>0</v>
      </c>
      <c r="M1647" s="550">
        <v>0</v>
      </c>
      <c r="N1647" s="550">
        <v>125</v>
      </c>
      <c r="O1647" s="550">
        <v>0</v>
      </c>
      <c r="P1647" s="550">
        <v>294</v>
      </c>
      <c r="Q1647" s="550">
        <v>0</v>
      </c>
      <c r="R1647" s="574" t="s">
        <v>578</v>
      </c>
      <c r="S1647" s="552">
        <f>SUM(G1642:G1647) +SUM(K1642:K1647)</f>
        <v>0</v>
      </c>
      <c r="T1647" s="552">
        <f>F1647+J1647</f>
        <v>278</v>
      </c>
      <c r="U1647" s="552">
        <f>SUM(O1642:O1647)</f>
        <v>0</v>
      </c>
      <c r="V1647" s="552">
        <f>N1647</f>
        <v>125</v>
      </c>
      <c r="W1647" s="554">
        <f>SUM(Q1642:Q1647)</f>
        <v>356</v>
      </c>
      <c r="X1647" s="552">
        <f>P1647</f>
        <v>294</v>
      </c>
      <c r="Y1647" s="552">
        <f>S1647+U1647+SUM(Q1642:Q1647)</f>
        <v>356</v>
      </c>
      <c r="Z1647" s="552">
        <f>F1647+J1647+N1647+P1647</f>
        <v>697</v>
      </c>
      <c r="AA1647" s="553"/>
      <c r="AB1647" s="553"/>
    </row>
    <row r="1648" spans="1:28" ht="12.75">
      <c r="A1648" s="547" t="s">
        <v>579</v>
      </c>
      <c r="B1648" s="547" t="s">
        <v>178</v>
      </c>
      <c r="C1648" s="548" t="s">
        <v>812</v>
      </c>
      <c r="D1648" s="549">
        <v>2014</v>
      </c>
      <c r="E1648" s="549" t="s">
        <v>775</v>
      </c>
      <c r="F1648" s="550">
        <v>38</v>
      </c>
      <c r="G1648" s="550">
        <v>0</v>
      </c>
      <c r="H1648" s="550">
        <v>0</v>
      </c>
      <c r="I1648" s="550">
        <v>0</v>
      </c>
      <c r="J1648" s="550">
        <v>29</v>
      </c>
      <c r="K1648" s="550">
        <v>0</v>
      </c>
      <c r="L1648" s="550">
        <v>0</v>
      </c>
      <c r="M1648" s="550">
        <v>0</v>
      </c>
      <c r="N1648" s="550">
        <v>34</v>
      </c>
      <c r="O1648" s="550">
        <v>4</v>
      </c>
      <c r="P1648" s="550">
        <v>80</v>
      </c>
      <c r="Q1648" s="550">
        <v>2</v>
      </c>
      <c r="R1648" s="574" t="s">
        <v>579</v>
      </c>
      <c r="S1648" s="552"/>
      <c r="T1648" s="552"/>
      <c r="U1648" s="552"/>
      <c r="V1648" s="552"/>
      <c r="W1648" s="552"/>
      <c r="X1648" s="552"/>
      <c r="Y1648" s="552"/>
      <c r="Z1648" s="552"/>
      <c r="AA1648" s="553"/>
      <c r="AB1648" s="553"/>
    </row>
    <row r="1649" spans="1:28" ht="12.75">
      <c r="A1649" s="547" t="s">
        <v>579</v>
      </c>
      <c r="B1649" s="547" t="s">
        <v>178</v>
      </c>
      <c r="C1649" s="548" t="s">
        <v>812</v>
      </c>
      <c r="D1649" s="549">
        <v>2015</v>
      </c>
      <c r="E1649" s="549" t="s">
        <v>775</v>
      </c>
      <c r="F1649" s="550">
        <v>38</v>
      </c>
      <c r="G1649" s="550">
        <v>0</v>
      </c>
      <c r="H1649" s="550">
        <v>0</v>
      </c>
      <c r="I1649" s="550">
        <v>0</v>
      </c>
      <c r="J1649" s="550">
        <v>29</v>
      </c>
      <c r="K1649" s="550">
        <v>0</v>
      </c>
      <c r="L1649" s="550">
        <v>0</v>
      </c>
      <c r="M1649" s="550">
        <v>0</v>
      </c>
      <c r="N1649" s="550">
        <v>34</v>
      </c>
      <c r="O1649" s="550">
        <v>0</v>
      </c>
      <c r="P1649" s="550">
        <v>80</v>
      </c>
      <c r="Q1649" s="550">
        <v>6</v>
      </c>
      <c r="R1649" s="574" t="s">
        <v>579</v>
      </c>
      <c r="S1649" s="552"/>
      <c r="T1649" s="552"/>
      <c r="U1649" s="552"/>
      <c r="V1649" s="552"/>
      <c r="W1649" s="552"/>
      <c r="X1649" s="552"/>
      <c r="Y1649" s="552"/>
      <c r="Z1649" s="552"/>
      <c r="AA1649" s="553"/>
      <c r="AB1649" s="553"/>
    </row>
    <row r="1650" spans="1:28" ht="12.75">
      <c r="A1650" s="547" t="s">
        <v>579</v>
      </c>
      <c r="B1650" s="547" t="s">
        <v>178</v>
      </c>
      <c r="C1650" s="548" t="s">
        <v>812</v>
      </c>
      <c r="D1650" s="549">
        <v>2016</v>
      </c>
      <c r="E1650" s="549" t="s">
        <v>775</v>
      </c>
      <c r="F1650" s="550">
        <v>38</v>
      </c>
      <c r="G1650" s="550">
        <v>0</v>
      </c>
      <c r="H1650" s="550">
        <v>0</v>
      </c>
      <c r="I1650" s="550">
        <v>0</v>
      </c>
      <c r="J1650" s="550">
        <v>29</v>
      </c>
      <c r="K1650" s="550">
        <v>0</v>
      </c>
      <c r="L1650" s="550">
        <v>0</v>
      </c>
      <c r="M1650" s="550">
        <v>0</v>
      </c>
      <c r="N1650" s="550">
        <v>34</v>
      </c>
      <c r="O1650" s="550">
        <v>6</v>
      </c>
      <c r="P1650" s="550">
        <v>80</v>
      </c>
      <c r="Q1650" s="550">
        <v>2</v>
      </c>
      <c r="R1650" s="574" t="s">
        <v>579</v>
      </c>
      <c r="S1650" s="552"/>
      <c r="T1650" s="552"/>
      <c r="U1650" s="552"/>
      <c r="V1650" s="552"/>
      <c r="W1650" s="552"/>
      <c r="X1650" s="552"/>
      <c r="Y1650" s="552"/>
      <c r="Z1650" s="552"/>
      <c r="AA1650" s="553"/>
      <c r="AB1650" s="553"/>
    </row>
    <row r="1651" spans="1:28" ht="12.75">
      <c r="A1651" s="547" t="s">
        <v>579</v>
      </c>
      <c r="B1651" s="555" t="s">
        <v>178</v>
      </c>
      <c r="C1651" s="548" t="s">
        <v>812</v>
      </c>
      <c r="D1651" s="549">
        <v>2017</v>
      </c>
      <c r="E1651" s="549" t="s">
        <v>775</v>
      </c>
      <c r="F1651" s="550">
        <v>38</v>
      </c>
      <c r="G1651" s="550">
        <v>0</v>
      </c>
      <c r="H1651" s="550">
        <v>0</v>
      </c>
      <c r="I1651" s="550">
        <v>0</v>
      </c>
      <c r="J1651" s="550">
        <v>29</v>
      </c>
      <c r="K1651" s="550">
        <v>0</v>
      </c>
      <c r="L1651" s="550">
        <v>0</v>
      </c>
      <c r="M1651" s="550">
        <v>0</v>
      </c>
      <c r="N1651" s="550">
        <v>34</v>
      </c>
      <c r="O1651" s="550">
        <v>0</v>
      </c>
      <c r="P1651" s="550">
        <v>80</v>
      </c>
      <c r="Q1651" s="550">
        <v>3</v>
      </c>
      <c r="R1651" s="574" t="s">
        <v>579</v>
      </c>
      <c r="S1651" s="552"/>
      <c r="T1651" s="552"/>
      <c r="U1651" s="552"/>
      <c r="V1651" s="552"/>
      <c r="W1651" s="552"/>
      <c r="X1651" s="552"/>
      <c r="Y1651" s="552"/>
      <c r="Z1651" s="552"/>
      <c r="AA1651" s="553"/>
      <c r="AB1651" s="553"/>
    </row>
    <row r="1652" spans="1:28" ht="12.75">
      <c r="A1652" s="547" t="s">
        <v>579</v>
      </c>
      <c r="B1652" s="547" t="s">
        <v>178</v>
      </c>
      <c r="C1652" s="548" t="s">
        <v>813</v>
      </c>
      <c r="D1652" s="549">
        <v>2019</v>
      </c>
      <c r="E1652" s="549" t="s">
        <v>775</v>
      </c>
      <c r="F1652" s="550">
        <v>38</v>
      </c>
      <c r="G1652" s="550">
        <v>0</v>
      </c>
      <c r="H1652" s="550">
        <v>0</v>
      </c>
      <c r="I1652" s="550">
        <v>0</v>
      </c>
      <c r="J1652" s="550">
        <v>29</v>
      </c>
      <c r="K1652" s="550">
        <v>0</v>
      </c>
      <c r="L1652" s="550">
        <v>0</v>
      </c>
      <c r="M1652" s="550">
        <v>0</v>
      </c>
      <c r="N1652" s="550">
        <v>34</v>
      </c>
      <c r="O1652" s="550">
        <v>2</v>
      </c>
      <c r="P1652" s="550">
        <v>80</v>
      </c>
      <c r="Q1652" s="550">
        <v>0</v>
      </c>
      <c r="R1652" s="574" t="s">
        <v>579</v>
      </c>
      <c r="S1652" s="255">
        <f>SUM(G1648:G1652) +SUM(K1648:K1652)</f>
        <v>0</v>
      </c>
      <c r="T1652" s="255">
        <f>F1652+J1652</f>
        <v>67</v>
      </c>
      <c r="U1652" s="255">
        <f>SUM(O1648:O1652)</f>
        <v>12</v>
      </c>
      <c r="V1652" s="255">
        <f>N1652</f>
        <v>34</v>
      </c>
      <c r="W1652" s="83">
        <f>SUM(Q1648:Q1652)</f>
        <v>13</v>
      </c>
      <c r="X1652" s="255">
        <f>P1652</f>
        <v>80</v>
      </c>
      <c r="Y1652" s="255">
        <f>S1652+U1652+SUM(Q1648:Q1652)</f>
        <v>25</v>
      </c>
      <c r="Z1652" s="255">
        <f>F1652+J1652+N1652+P1652</f>
        <v>181</v>
      </c>
      <c r="AA1652" s="553"/>
      <c r="AB1652" s="553"/>
    </row>
    <row r="1653" spans="1:28" ht="12.75">
      <c r="A1653" s="547" t="s">
        <v>580</v>
      </c>
      <c r="B1653" s="547" t="s">
        <v>178</v>
      </c>
      <c r="C1653" s="548" t="s">
        <v>812</v>
      </c>
      <c r="D1653" s="549">
        <v>2014</v>
      </c>
      <c r="E1653" s="549" t="s">
        <v>775</v>
      </c>
      <c r="F1653" s="550">
        <v>2592</v>
      </c>
      <c r="G1653" s="550">
        <v>0</v>
      </c>
      <c r="H1653" s="550">
        <v>0</v>
      </c>
      <c r="I1653" s="550">
        <v>0</v>
      </c>
      <c r="J1653" s="550">
        <v>1745</v>
      </c>
      <c r="K1653" s="550">
        <v>0</v>
      </c>
      <c r="L1653" s="550">
        <v>0</v>
      </c>
      <c r="M1653" s="550">
        <v>0</v>
      </c>
      <c r="N1653" s="550">
        <v>1977</v>
      </c>
      <c r="O1653" s="550">
        <v>364</v>
      </c>
      <c r="P1653" s="550">
        <v>4547</v>
      </c>
      <c r="Q1653" s="550">
        <v>163</v>
      </c>
      <c r="R1653" s="574" t="s">
        <v>580</v>
      </c>
      <c r="S1653" s="552"/>
      <c r="T1653" s="552"/>
      <c r="U1653" s="552"/>
      <c r="V1653" s="552"/>
      <c r="W1653" s="552"/>
      <c r="X1653" s="552"/>
      <c r="Y1653" s="552"/>
      <c r="Z1653" s="552"/>
      <c r="AA1653" s="553"/>
      <c r="AB1653" s="553"/>
    </row>
    <row r="1654" spans="1:28" ht="12.75">
      <c r="A1654" s="547" t="s">
        <v>580</v>
      </c>
      <c r="B1654" s="547" t="s">
        <v>178</v>
      </c>
      <c r="C1654" s="548" t="s">
        <v>812</v>
      </c>
      <c r="D1654" s="549">
        <v>2015</v>
      </c>
      <c r="E1654" s="549" t="s">
        <v>775</v>
      </c>
      <c r="F1654" s="550">
        <v>2592</v>
      </c>
      <c r="G1654" s="550">
        <v>0</v>
      </c>
      <c r="H1654" s="550">
        <v>0</v>
      </c>
      <c r="I1654" s="550">
        <v>0</v>
      </c>
      <c r="J1654" s="550">
        <v>1745</v>
      </c>
      <c r="K1654" s="550">
        <v>0</v>
      </c>
      <c r="L1654" s="550">
        <v>0</v>
      </c>
      <c r="M1654" s="550">
        <v>0</v>
      </c>
      <c r="N1654" s="550">
        <v>1977</v>
      </c>
      <c r="O1654" s="550">
        <v>138</v>
      </c>
      <c r="P1654" s="550">
        <v>4547</v>
      </c>
      <c r="Q1654" s="550">
        <v>420</v>
      </c>
      <c r="R1654" s="574" t="s">
        <v>580</v>
      </c>
      <c r="S1654" s="552"/>
      <c r="T1654" s="552"/>
      <c r="U1654" s="552"/>
      <c r="V1654" s="552"/>
      <c r="W1654" s="552"/>
      <c r="X1654" s="552"/>
      <c r="Y1654" s="552"/>
      <c r="Z1654" s="552"/>
      <c r="AA1654" s="553"/>
      <c r="AB1654" s="553"/>
    </row>
    <row r="1655" spans="1:28" ht="12.75">
      <c r="A1655" s="547" t="s">
        <v>580</v>
      </c>
      <c r="B1655" s="547" t="s">
        <v>178</v>
      </c>
      <c r="C1655" s="548" t="s">
        <v>812</v>
      </c>
      <c r="D1655" s="549">
        <v>2016</v>
      </c>
      <c r="E1655" s="549" t="s">
        <v>775</v>
      </c>
      <c r="F1655" s="550">
        <v>2592</v>
      </c>
      <c r="G1655" s="550">
        <v>0</v>
      </c>
      <c r="H1655" s="550">
        <v>0</v>
      </c>
      <c r="I1655" s="550">
        <v>0</v>
      </c>
      <c r="J1655" s="550">
        <v>1745</v>
      </c>
      <c r="K1655" s="550">
        <v>0</v>
      </c>
      <c r="L1655" s="550">
        <v>0</v>
      </c>
      <c r="M1655" s="550">
        <v>0</v>
      </c>
      <c r="N1655" s="550">
        <v>1977</v>
      </c>
      <c r="O1655" s="550">
        <v>340</v>
      </c>
      <c r="P1655" s="550">
        <v>4547</v>
      </c>
      <c r="Q1655" s="550">
        <v>287</v>
      </c>
      <c r="R1655" s="574" t="s">
        <v>580</v>
      </c>
      <c r="S1655" s="552"/>
      <c r="T1655" s="552"/>
      <c r="U1655" s="552"/>
      <c r="V1655" s="552"/>
      <c r="W1655" s="552"/>
      <c r="X1655" s="552"/>
      <c r="Y1655" s="552"/>
      <c r="Z1655" s="552"/>
      <c r="AA1655" s="553"/>
      <c r="AB1655" s="553"/>
    </row>
    <row r="1656" spans="1:28" ht="12.75">
      <c r="A1656" s="547" t="s">
        <v>580</v>
      </c>
      <c r="B1656" s="547" t="s">
        <v>178</v>
      </c>
      <c r="C1656" s="548" t="s">
        <v>812</v>
      </c>
      <c r="D1656" s="549">
        <v>2017</v>
      </c>
      <c r="E1656" s="549" t="s">
        <v>775</v>
      </c>
      <c r="F1656" s="550">
        <v>2592</v>
      </c>
      <c r="G1656" s="550">
        <v>0</v>
      </c>
      <c r="H1656" s="550">
        <v>0</v>
      </c>
      <c r="I1656" s="550">
        <v>0</v>
      </c>
      <c r="J1656" s="550">
        <v>1745</v>
      </c>
      <c r="K1656" s="550">
        <v>0</v>
      </c>
      <c r="L1656" s="550">
        <v>0</v>
      </c>
      <c r="M1656" s="550">
        <v>0</v>
      </c>
      <c r="N1656" s="550">
        <v>1977</v>
      </c>
      <c r="O1656" s="550">
        <v>520</v>
      </c>
      <c r="P1656" s="550">
        <v>4547</v>
      </c>
      <c r="Q1656" s="550">
        <v>1136</v>
      </c>
      <c r="R1656" s="574" t="s">
        <v>580</v>
      </c>
      <c r="S1656" s="552"/>
      <c r="T1656" s="552"/>
      <c r="U1656" s="552"/>
      <c r="V1656" s="552"/>
      <c r="W1656" s="552"/>
      <c r="X1656" s="552"/>
      <c r="Y1656" s="552"/>
      <c r="Z1656" s="552"/>
      <c r="AA1656" s="553"/>
      <c r="AB1656" s="553"/>
    </row>
    <row r="1657" spans="1:28" ht="12.75">
      <c r="A1657" s="547" t="s">
        <v>580</v>
      </c>
      <c r="B1657" s="547" t="s">
        <v>178</v>
      </c>
      <c r="C1657" s="548" t="s">
        <v>812</v>
      </c>
      <c r="D1657" s="549">
        <v>2018</v>
      </c>
      <c r="E1657" s="549" t="s">
        <v>775</v>
      </c>
      <c r="F1657" s="550">
        <v>2592</v>
      </c>
      <c r="G1657" s="550">
        <v>50</v>
      </c>
      <c r="H1657" s="550">
        <v>50</v>
      </c>
      <c r="I1657" s="550">
        <v>0</v>
      </c>
      <c r="J1657" s="550">
        <v>1745</v>
      </c>
      <c r="K1657" s="550">
        <v>24</v>
      </c>
      <c r="L1657" s="550">
        <v>24</v>
      </c>
      <c r="M1657" s="550">
        <v>0</v>
      </c>
      <c r="N1657" s="550">
        <v>1977</v>
      </c>
      <c r="O1657" s="550">
        <v>72</v>
      </c>
      <c r="P1657" s="550">
        <v>4547</v>
      </c>
      <c r="Q1657" s="550">
        <v>1167</v>
      </c>
      <c r="R1657" s="574" t="s">
        <v>580</v>
      </c>
      <c r="S1657" s="552"/>
      <c r="T1657" s="552"/>
      <c r="U1657" s="552"/>
      <c r="V1657" s="552"/>
      <c r="W1657" s="552"/>
      <c r="X1657" s="552"/>
      <c r="Y1657" s="552"/>
      <c r="Z1657" s="552"/>
      <c r="AA1657" s="553"/>
      <c r="AB1657" s="553"/>
    </row>
    <row r="1658" spans="1:28" ht="12.75">
      <c r="A1658" s="547" t="s">
        <v>580</v>
      </c>
      <c r="B1658" s="547" t="s">
        <v>178</v>
      </c>
      <c r="C1658" s="548" t="s">
        <v>813</v>
      </c>
      <c r="D1658" s="549">
        <v>2019</v>
      </c>
      <c r="E1658" s="549" t="s">
        <v>775</v>
      </c>
      <c r="F1658" s="550">
        <v>2592</v>
      </c>
      <c r="G1658" s="550">
        <v>58</v>
      </c>
      <c r="H1658" s="550">
        <v>58</v>
      </c>
      <c r="I1658" s="550">
        <v>0</v>
      </c>
      <c r="J1658" s="550">
        <v>1745</v>
      </c>
      <c r="K1658" s="550">
        <v>42</v>
      </c>
      <c r="L1658" s="550">
        <v>42</v>
      </c>
      <c r="M1658" s="550">
        <v>0</v>
      </c>
      <c r="N1658" s="550">
        <v>1977</v>
      </c>
      <c r="O1658" s="550">
        <v>0</v>
      </c>
      <c r="P1658" s="550">
        <v>4547</v>
      </c>
      <c r="Q1658" s="550">
        <v>1452</v>
      </c>
      <c r="R1658" s="574" t="s">
        <v>580</v>
      </c>
      <c r="S1658" s="552">
        <f>SUM(G1653:G1658) +SUM(K1653:K1658)</f>
        <v>174</v>
      </c>
      <c r="T1658" s="552">
        <f>F1658+J1658</f>
        <v>4337</v>
      </c>
      <c r="U1658" s="552">
        <f>SUM(O1653:O1658)</f>
        <v>1434</v>
      </c>
      <c r="V1658" s="552">
        <f>N1658</f>
        <v>1977</v>
      </c>
      <c r="W1658" s="554">
        <f>SUM(Q1653:Q1658)</f>
        <v>4625</v>
      </c>
      <c r="X1658" s="552">
        <f>P1658</f>
        <v>4547</v>
      </c>
      <c r="Y1658" s="552">
        <f>S1658+U1658+SUM(Q1653:Q1658)</f>
        <v>6233</v>
      </c>
      <c r="Z1658" s="552">
        <f>F1658+J1658+N1658+P1658</f>
        <v>10861</v>
      </c>
      <c r="AA1658" s="553"/>
      <c r="AB1658" s="553"/>
    </row>
    <row r="1659" spans="1:28" ht="12.75">
      <c r="A1659" s="547" t="s">
        <v>581</v>
      </c>
      <c r="B1659" s="547" t="s">
        <v>178</v>
      </c>
      <c r="C1659" s="548" t="s">
        <v>812</v>
      </c>
      <c r="D1659" s="549">
        <v>2014</v>
      </c>
      <c r="E1659" s="549" t="s">
        <v>775</v>
      </c>
      <c r="F1659" s="550">
        <v>209</v>
      </c>
      <c r="G1659" s="550">
        <v>0</v>
      </c>
      <c r="H1659" s="550">
        <v>0</v>
      </c>
      <c r="I1659" s="550">
        <v>0</v>
      </c>
      <c r="J1659" s="550">
        <v>141</v>
      </c>
      <c r="K1659" s="550">
        <v>0</v>
      </c>
      <c r="L1659" s="550">
        <v>0</v>
      </c>
      <c r="M1659" s="550">
        <v>0</v>
      </c>
      <c r="N1659" s="550">
        <v>158</v>
      </c>
      <c r="O1659" s="550">
        <v>0</v>
      </c>
      <c r="P1659" s="550">
        <v>340</v>
      </c>
      <c r="Q1659" s="550">
        <v>388</v>
      </c>
      <c r="R1659" s="574" t="s">
        <v>581</v>
      </c>
      <c r="S1659" s="552"/>
      <c r="T1659" s="552"/>
      <c r="U1659" s="552"/>
      <c r="V1659" s="552"/>
      <c r="W1659" s="552"/>
      <c r="X1659" s="552"/>
      <c r="Y1659" s="552"/>
      <c r="Z1659" s="552"/>
      <c r="AA1659" s="553"/>
      <c r="AB1659" s="553"/>
    </row>
    <row r="1660" spans="1:28" ht="12.75">
      <c r="A1660" s="547" t="s">
        <v>581</v>
      </c>
      <c r="B1660" s="547" t="s">
        <v>178</v>
      </c>
      <c r="C1660" s="548" t="s">
        <v>812</v>
      </c>
      <c r="D1660" s="549">
        <v>2015</v>
      </c>
      <c r="E1660" s="549" t="s">
        <v>775</v>
      </c>
      <c r="F1660" s="550">
        <v>209</v>
      </c>
      <c r="G1660" s="550">
        <v>0</v>
      </c>
      <c r="H1660" s="550">
        <v>0</v>
      </c>
      <c r="I1660" s="550">
        <v>0</v>
      </c>
      <c r="J1660" s="550">
        <v>141</v>
      </c>
      <c r="K1660" s="550">
        <v>0</v>
      </c>
      <c r="L1660" s="550">
        <v>0</v>
      </c>
      <c r="M1660" s="550">
        <v>0</v>
      </c>
      <c r="N1660" s="550">
        <v>158</v>
      </c>
      <c r="O1660" s="550">
        <v>0</v>
      </c>
      <c r="P1660" s="550">
        <v>340</v>
      </c>
      <c r="Q1660" s="550">
        <v>425</v>
      </c>
      <c r="R1660" s="574" t="s">
        <v>581</v>
      </c>
      <c r="S1660" s="552"/>
      <c r="T1660" s="552"/>
      <c r="U1660" s="552"/>
      <c r="V1660" s="552"/>
      <c r="W1660" s="552"/>
      <c r="X1660" s="552"/>
      <c r="Y1660" s="552"/>
      <c r="Z1660" s="552"/>
      <c r="AA1660" s="553"/>
      <c r="AB1660" s="553"/>
    </row>
    <row r="1661" spans="1:28" ht="12.75">
      <c r="A1661" s="547" t="s">
        <v>581</v>
      </c>
      <c r="B1661" s="547" t="s">
        <v>178</v>
      </c>
      <c r="C1661" s="548" t="s">
        <v>812</v>
      </c>
      <c r="D1661" s="549">
        <v>2016</v>
      </c>
      <c r="E1661" s="549" t="s">
        <v>775</v>
      </c>
      <c r="F1661" s="550">
        <v>209</v>
      </c>
      <c r="G1661" s="550">
        <v>0</v>
      </c>
      <c r="H1661" s="550">
        <v>0</v>
      </c>
      <c r="I1661" s="550">
        <v>0</v>
      </c>
      <c r="J1661" s="550">
        <v>141</v>
      </c>
      <c r="K1661" s="550">
        <v>0</v>
      </c>
      <c r="L1661" s="550">
        <v>0</v>
      </c>
      <c r="M1661" s="550">
        <v>0</v>
      </c>
      <c r="N1661" s="550">
        <v>158</v>
      </c>
      <c r="O1661" s="550">
        <v>0</v>
      </c>
      <c r="P1661" s="550">
        <v>340</v>
      </c>
      <c r="Q1661" s="550">
        <v>171</v>
      </c>
      <c r="R1661" s="574" t="s">
        <v>581</v>
      </c>
      <c r="S1661" s="552"/>
      <c r="T1661" s="552"/>
      <c r="U1661" s="552"/>
      <c r="V1661" s="552"/>
      <c r="W1661" s="552"/>
      <c r="X1661" s="552"/>
      <c r="Y1661" s="552"/>
      <c r="Z1661" s="552"/>
      <c r="AA1661" s="553"/>
      <c r="AB1661" s="553"/>
    </row>
    <row r="1662" spans="1:28" ht="12.75">
      <c r="A1662" s="547" t="s">
        <v>581</v>
      </c>
      <c r="B1662" s="547" t="s">
        <v>178</v>
      </c>
      <c r="C1662" s="548" t="s">
        <v>812</v>
      </c>
      <c r="D1662" s="549">
        <v>2017</v>
      </c>
      <c r="E1662" s="549" t="s">
        <v>775</v>
      </c>
      <c r="F1662" s="550">
        <v>209</v>
      </c>
      <c r="G1662" s="550">
        <v>18</v>
      </c>
      <c r="H1662" s="550">
        <v>18</v>
      </c>
      <c r="I1662" s="550">
        <v>0</v>
      </c>
      <c r="J1662" s="550">
        <v>141</v>
      </c>
      <c r="K1662" s="550">
        <v>11</v>
      </c>
      <c r="L1662" s="550">
        <v>11</v>
      </c>
      <c r="M1662" s="550">
        <v>0</v>
      </c>
      <c r="N1662" s="550">
        <v>158</v>
      </c>
      <c r="O1662" s="550">
        <v>31</v>
      </c>
      <c r="P1662" s="550">
        <v>340</v>
      </c>
      <c r="Q1662" s="550">
        <v>296</v>
      </c>
      <c r="R1662" s="574" t="s">
        <v>581</v>
      </c>
      <c r="S1662" s="552"/>
      <c r="T1662" s="552"/>
      <c r="U1662" s="552"/>
      <c r="V1662" s="552"/>
      <c r="W1662" s="552"/>
      <c r="X1662" s="552"/>
      <c r="Y1662" s="552"/>
      <c r="Z1662" s="552"/>
      <c r="AA1662" s="553"/>
      <c r="AB1662" s="553"/>
    </row>
    <row r="1663" spans="1:28" ht="12.75">
      <c r="A1663" s="547" t="s">
        <v>581</v>
      </c>
      <c r="B1663" s="547" t="s">
        <v>178</v>
      </c>
      <c r="C1663" s="548" t="s">
        <v>812</v>
      </c>
      <c r="D1663" s="549">
        <v>2018</v>
      </c>
      <c r="E1663" s="549" t="s">
        <v>775</v>
      </c>
      <c r="F1663" s="550">
        <v>209</v>
      </c>
      <c r="G1663" s="550">
        <v>0</v>
      </c>
      <c r="H1663" s="550">
        <v>0</v>
      </c>
      <c r="I1663" s="550">
        <v>0</v>
      </c>
      <c r="J1663" s="550">
        <v>141</v>
      </c>
      <c r="K1663" s="550">
        <v>0</v>
      </c>
      <c r="L1663" s="550">
        <v>0</v>
      </c>
      <c r="M1663" s="550">
        <v>0</v>
      </c>
      <c r="N1663" s="550">
        <v>158</v>
      </c>
      <c r="O1663" s="550">
        <v>0</v>
      </c>
      <c r="P1663" s="550">
        <v>340</v>
      </c>
      <c r="Q1663" s="550">
        <v>255</v>
      </c>
      <c r="R1663" s="574" t="s">
        <v>581</v>
      </c>
      <c r="S1663" s="552"/>
      <c r="T1663" s="552"/>
      <c r="U1663" s="552"/>
      <c r="V1663" s="552"/>
      <c r="W1663" s="552"/>
      <c r="X1663" s="552"/>
      <c r="Y1663" s="552"/>
      <c r="Z1663" s="552"/>
      <c r="AA1663" s="553"/>
      <c r="AB1663" s="553"/>
    </row>
    <row r="1664" spans="1:28" ht="12.75">
      <c r="A1664" s="547" t="s">
        <v>581</v>
      </c>
      <c r="B1664" s="547" t="s">
        <v>178</v>
      </c>
      <c r="C1664" s="548" t="s">
        <v>813</v>
      </c>
      <c r="D1664" s="549">
        <v>2019</v>
      </c>
      <c r="E1664" s="549" t="s">
        <v>775</v>
      </c>
      <c r="F1664" s="550">
        <v>209</v>
      </c>
      <c r="G1664" s="550">
        <v>0</v>
      </c>
      <c r="H1664" s="550">
        <v>0</v>
      </c>
      <c r="I1664" s="550">
        <v>0</v>
      </c>
      <c r="J1664" s="550">
        <v>141</v>
      </c>
      <c r="K1664" s="550">
        <v>0</v>
      </c>
      <c r="L1664" s="550">
        <v>0</v>
      </c>
      <c r="M1664" s="550">
        <v>0</v>
      </c>
      <c r="N1664" s="550">
        <v>158</v>
      </c>
      <c r="O1664" s="550">
        <v>140</v>
      </c>
      <c r="P1664" s="550">
        <v>340</v>
      </c>
      <c r="Q1664" s="550">
        <v>300</v>
      </c>
      <c r="R1664" s="574" t="s">
        <v>581</v>
      </c>
      <c r="S1664" s="552">
        <f>SUM(G1659:G1664) +SUM(K1659:K1664)</f>
        <v>29</v>
      </c>
      <c r="T1664" s="552">
        <f>F1664+J1664</f>
        <v>350</v>
      </c>
      <c r="U1664" s="552">
        <f>SUM(O1659:O1664)</f>
        <v>171</v>
      </c>
      <c r="V1664" s="552">
        <f>N1664</f>
        <v>158</v>
      </c>
      <c r="W1664" s="554">
        <f>SUM(Q1659:Q1664)</f>
        <v>1835</v>
      </c>
      <c r="X1664" s="552">
        <f>P1664</f>
        <v>340</v>
      </c>
      <c r="Y1664" s="552">
        <f>S1664+U1664+SUM(Q1659:Q1664)</f>
        <v>2035</v>
      </c>
      <c r="Z1664" s="552">
        <f>F1664+J1664+N1664+P1664</f>
        <v>848</v>
      </c>
      <c r="AA1664" s="553"/>
      <c r="AB1664" s="553"/>
    </row>
    <row r="1665" spans="1:28" ht="12.75">
      <c r="A1665" s="547" t="s">
        <v>582</v>
      </c>
      <c r="B1665" s="547" t="s">
        <v>178</v>
      </c>
      <c r="C1665" s="548" t="s">
        <v>812</v>
      </c>
      <c r="D1665" s="549">
        <v>2014</v>
      </c>
      <c r="E1665" s="549" t="s">
        <v>775</v>
      </c>
      <c r="F1665" s="550">
        <v>579</v>
      </c>
      <c r="G1665" s="550">
        <v>0</v>
      </c>
      <c r="H1665" s="550">
        <v>0</v>
      </c>
      <c r="I1665" s="550">
        <v>0</v>
      </c>
      <c r="J1665" s="550">
        <v>396</v>
      </c>
      <c r="K1665" s="550">
        <v>0</v>
      </c>
      <c r="L1665" s="550">
        <v>0</v>
      </c>
      <c r="M1665" s="550">
        <v>0</v>
      </c>
      <c r="N1665" s="550">
        <v>453</v>
      </c>
      <c r="O1665" s="550">
        <v>0</v>
      </c>
      <c r="P1665" s="550">
        <v>1001</v>
      </c>
      <c r="Q1665" s="550">
        <v>57</v>
      </c>
      <c r="R1665" s="574" t="s">
        <v>582</v>
      </c>
      <c r="S1665" s="552"/>
      <c r="T1665" s="552"/>
      <c r="U1665" s="552"/>
      <c r="V1665" s="552"/>
      <c r="W1665" s="552"/>
      <c r="X1665" s="552"/>
      <c r="Y1665" s="552"/>
      <c r="Z1665" s="552"/>
      <c r="AA1665" s="553"/>
      <c r="AB1665" s="553"/>
    </row>
    <row r="1666" spans="1:28" ht="12.75">
      <c r="A1666" s="547" t="s">
        <v>582</v>
      </c>
      <c r="B1666" s="547" t="s">
        <v>178</v>
      </c>
      <c r="C1666" s="548" t="s">
        <v>812</v>
      </c>
      <c r="D1666" s="549">
        <v>2015</v>
      </c>
      <c r="E1666" s="549" t="s">
        <v>775</v>
      </c>
      <c r="F1666" s="550">
        <v>579</v>
      </c>
      <c r="G1666" s="550">
        <v>0</v>
      </c>
      <c r="H1666" s="550">
        <v>0</v>
      </c>
      <c r="I1666" s="550">
        <v>0</v>
      </c>
      <c r="J1666" s="550">
        <v>396</v>
      </c>
      <c r="K1666" s="550">
        <v>0</v>
      </c>
      <c r="L1666" s="550">
        <v>0</v>
      </c>
      <c r="M1666" s="550">
        <v>0</v>
      </c>
      <c r="N1666" s="550">
        <v>453</v>
      </c>
      <c r="O1666" s="550">
        <v>2</v>
      </c>
      <c r="P1666" s="550">
        <v>1001</v>
      </c>
      <c r="Q1666" s="550">
        <v>68</v>
      </c>
      <c r="R1666" s="574" t="s">
        <v>582</v>
      </c>
      <c r="S1666" s="552"/>
      <c r="T1666" s="552"/>
      <c r="U1666" s="552"/>
      <c r="V1666" s="552"/>
      <c r="W1666" s="552"/>
      <c r="X1666" s="552"/>
      <c r="Y1666" s="552"/>
      <c r="Z1666" s="552"/>
      <c r="AA1666" s="553"/>
      <c r="AB1666" s="553"/>
    </row>
    <row r="1667" spans="1:28" ht="12.75">
      <c r="A1667" s="547" t="s">
        <v>582</v>
      </c>
      <c r="B1667" s="547" t="s">
        <v>178</v>
      </c>
      <c r="C1667" s="548" t="s">
        <v>812</v>
      </c>
      <c r="D1667" s="549">
        <v>2016</v>
      </c>
      <c r="E1667" s="549" t="s">
        <v>775</v>
      </c>
      <c r="F1667" s="550">
        <v>579</v>
      </c>
      <c r="G1667" s="550">
        <v>0</v>
      </c>
      <c r="H1667" s="550">
        <v>0</v>
      </c>
      <c r="I1667" s="550">
        <v>0</v>
      </c>
      <c r="J1667" s="550">
        <v>396</v>
      </c>
      <c r="K1667" s="550">
        <v>0</v>
      </c>
      <c r="L1667" s="550">
        <v>0</v>
      </c>
      <c r="M1667" s="550">
        <v>0</v>
      </c>
      <c r="N1667" s="550">
        <v>453</v>
      </c>
      <c r="O1667" s="550">
        <v>2</v>
      </c>
      <c r="P1667" s="550">
        <v>1001</v>
      </c>
      <c r="Q1667" s="550">
        <v>42</v>
      </c>
      <c r="R1667" s="574" t="s">
        <v>582</v>
      </c>
      <c r="S1667" s="552"/>
      <c r="T1667" s="552"/>
      <c r="U1667" s="552"/>
      <c r="V1667" s="552"/>
      <c r="W1667" s="552"/>
      <c r="X1667" s="552"/>
      <c r="Y1667" s="552"/>
      <c r="Z1667" s="552"/>
      <c r="AA1667" s="553"/>
      <c r="AB1667" s="553"/>
    </row>
    <row r="1668" spans="1:28" ht="12.75">
      <c r="A1668" s="547" t="s">
        <v>582</v>
      </c>
      <c r="B1668" s="547" t="s">
        <v>178</v>
      </c>
      <c r="C1668" s="548" t="s">
        <v>812</v>
      </c>
      <c r="D1668" s="549">
        <v>2017</v>
      </c>
      <c r="E1668" s="549" t="s">
        <v>775</v>
      </c>
      <c r="F1668" s="550">
        <v>579</v>
      </c>
      <c r="G1668" s="550">
        <v>0</v>
      </c>
      <c r="H1668" s="550">
        <v>0</v>
      </c>
      <c r="I1668" s="550">
        <v>0</v>
      </c>
      <c r="J1668" s="550">
        <v>396</v>
      </c>
      <c r="K1668" s="550">
        <v>0</v>
      </c>
      <c r="L1668" s="550">
        <v>0</v>
      </c>
      <c r="M1668" s="550">
        <v>0</v>
      </c>
      <c r="N1668" s="550">
        <v>453</v>
      </c>
      <c r="O1668" s="550">
        <v>0</v>
      </c>
      <c r="P1668" s="550">
        <v>1001</v>
      </c>
      <c r="Q1668" s="550">
        <v>96</v>
      </c>
      <c r="R1668" s="574" t="s">
        <v>582</v>
      </c>
      <c r="S1668" s="552"/>
      <c r="T1668" s="552"/>
      <c r="U1668" s="552"/>
      <c r="V1668" s="552"/>
      <c r="W1668" s="552"/>
      <c r="X1668" s="552"/>
      <c r="Y1668" s="552"/>
      <c r="Z1668" s="552"/>
      <c r="AA1668" s="553"/>
      <c r="AB1668" s="553"/>
    </row>
    <row r="1669" spans="1:28" ht="12.75">
      <c r="A1669" s="547" t="s">
        <v>582</v>
      </c>
      <c r="B1669" s="547" t="s">
        <v>178</v>
      </c>
      <c r="C1669" s="548" t="s">
        <v>813</v>
      </c>
      <c r="D1669" s="549">
        <v>2019</v>
      </c>
      <c r="E1669" s="549" t="s">
        <v>775</v>
      </c>
      <c r="F1669" s="550">
        <v>579</v>
      </c>
      <c r="G1669" s="550">
        <v>1</v>
      </c>
      <c r="H1669" s="550">
        <v>0</v>
      </c>
      <c r="I1669" s="550">
        <v>1</v>
      </c>
      <c r="J1669" s="550">
        <v>396</v>
      </c>
      <c r="K1669" s="550">
        <v>10</v>
      </c>
      <c r="L1669" s="550">
        <v>0</v>
      </c>
      <c r="M1669" s="550">
        <v>10</v>
      </c>
      <c r="N1669" s="550">
        <v>453</v>
      </c>
      <c r="O1669" s="550">
        <v>0</v>
      </c>
      <c r="P1669" s="550">
        <v>1001</v>
      </c>
      <c r="Q1669" s="550">
        <v>122</v>
      </c>
      <c r="R1669" s="574" t="s">
        <v>582</v>
      </c>
      <c r="S1669" s="255">
        <f>SUM(G1665:G1669) +SUM(K1665:K1669)</f>
        <v>11</v>
      </c>
      <c r="T1669" s="255">
        <f>F1669+J1669</f>
        <v>975</v>
      </c>
      <c r="U1669" s="255">
        <f>SUM(O1665:O1669)</f>
        <v>4</v>
      </c>
      <c r="V1669" s="255">
        <f>N1669</f>
        <v>453</v>
      </c>
      <c r="W1669" s="83">
        <f>SUM(Q1665:Q1669)</f>
        <v>385</v>
      </c>
      <c r="X1669" s="255">
        <f>P1669</f>
        <v>1001</v>
      </c>
      <c r="Y1669" s="255">
        <f>S1669+U1669+SUM(Q1665:Q1669)</f>
        <v>400</v>
      </c>
      <c r="Z1669" s="255">
        <f>F1669+J1669+N1669+P1669</f>
        <v>2429</v>
      </c>
      <c r="AA1669" s="553"/>
      <c r="AB1669" s="553"/>
    </row>
    <row r="1670" spans="1:28" ht="12.75">
      <c r="A1670" s="547" t="s">
        <v>583</v>
      </c>
      <c r="B1670" s="547" t="s">
        <v>178</v>
      </c>
      <c r="C1670" s="548" t="s">
        <v>812</v>
      </c>
      <c r="D1670" s="549">
        <v>2014</v>
      </c>
      <c r="E1670" s="549" t="s">
        <v>775</v>
      </c>
      <c r="F1670" s="550">
        <v>636</v>
      </c>
      <c r="G1670" s="550">
        <v>0</v>
      </c>
      <c r="H1670" s="550">
        <v>0</v>
      </c>
      <c r="I1670" s="550">
        <v>0</v>
      </c>
      <c r="J1670" s="550">
        <v>432</v>
      </c>
      <c r="K1670" s="550">
        <v>0</v>
      </c>
      <c r="L1670" s="550">
        <v>0</v>
      </c>
      <c r="M1670" s="550">
        <v>0</v>
      </c>
      <c r="N1670" s="550">
        <v>496</v>
      </c>
      <c r="O1670" s="550">
        <v>0</v>
      </c>
      <c r="P1670" s="550">
        <v>1151</v>
      </c>
      <c r="Q1670" s="550">
        <v>76</v>
      </c>
      <c r="R1670" s="574" t="s">
        <v>583</v>
      </c>
      <c r="S1670" s="552"/>
      <c r="T1670" s="552"/>
      <c r="U1670" s="552"/>
      <c r="V1670" s="552"/>
      <c r="W1670" s="552"/>
      <c r="X1670" s="552"/>
      <c r="Y1670" s="552"/>
      <c r="Z1670" s="552"/>
      <c r="AA1670" s="553"/>
      <c r="AB1670" s="553"/>
    </row>
    <row r="1671" spans="1:28" ht="12.75">
      <c r="A1671" s="547" t="s">
        <v>583</v>
      </c>
      <c r="B1671" s="547" t="s">
        <v>178</v>
      </c>
      <c r="C1671" s="548" t="s">
        <v>812</v>
      </c>
      <c r="D1671" s="549">
        <v>2015</v>
      </c>
      <c r="E1671" s="549" t="s">
        <v>775</v>
      </c>
      <c r="F1671" s="550">
        <v>636</v>
      </c>
      <c r="G1671" s="550">
        <v>0</v>
      </c>
      <c r="H1671" s="550">
        <v>0</v>
      </c>
      <c r="I1671" s="550">
        <v>0</v>
      </c>
      <c r="J1671" s="550">
        <v>432</v>
      </c>
      <c r="K1671" s="550">
        <v>0</v>
      </c>
      <c r="L1671" s="550">
        <v>0</v>
      </c>
      <c r="M1671" s="550">
        <v>0</v>
      </c>
      <c r="N1671" s="550">
        <v>496</v>
      </c>
      <c r="O1671" s="550">
        <v>0</v>
      </c>
      <c r="P1671" s="550">
        <v>1151</v>
      </c>
      <c r="Q1671" s="550">
        <v>8</v>
      </c>
      <c r="R1671" s="574" t="s">
        <v>583</v>
      </c>
      <c r="S1671" s="552"/>
      <c r="T1671" s="552"/>
      <c r="U1671" s="552"/>
      <c r="V1671" s="552"/>
      <c r="W1671" s="552"/>
      <c r="X1671" s="552"/>
      <c r="Y1671" s="552"/>
      <c r="Z1671" s="552"/>
      <c r="AA1671" s="553"/>
      <c r="AB1671" s="553"/>
    </row>
    <row r="1672" spans="1:28" ht="12.75">
      <c r="A1672" s="547" t="s">
        <v>583</v>
      </c>
      <c r="B1672" s="547" t="s">
        <v>178</v>
      </c>
      <c r="C1672" s="548" t="s">
        <v>812</v>
      </c>
      <c r="D1672" s="549">
        <v>2016</v>
      </c>
      <c r="E1672" s="549" t="s">
        <v>775</v>
      </c>
      <c r="F1672" s="550">
        <v>636</v>
      </c>
      <c r="G1672" s="550">
        <v>0</v>
      </c>
      <c r="H1672" s="550">
        <v>0</v>
      </c>
      <c r="I1672" s="550">
        <v>0</v>
      </c>
      <c r="J1672" s="550">
        <v>432</v>
      </c>
      <c r="K1672" s="550">
        <v>0</v>
      </c>
      <c r="L1672" s="550">
        <v>0</v>
      </c>
      <c r="M1672" s="550">
        <v>0</v>
      </c>
      <c r="N1672" s="550">
        <v>496</v>
      </c>
      <c r="O1672" s="550">
        <v>0</v>
      </c>
      <c r="P1672" s="550">
        <v>1151</v>
      </c>
      <c r="Q1672" s="550">
        <v>5</v>
      </c>
      <c r="R1672" s="574" t="s">
        <v>583</v>
      </c>
      <c r="S1672" s="552"/>
      <c r="T1672" s="552"/>
      <c r="U1672" s="552"/>
      <c r="V1672" s="552"/>
      <c r="W1672" s="552"/>
      <c r="X1672" s="552"/>
      <c r="Y1672" s="552"/>
      <c r="Z1672" s="552"/>
      <c r="AA1672" s="553"/>
      <c r="AB1672" s="553"/>
    </row>
    <row r="1673" spans="1:28" ht="12.75">
      <c r="A1673" s="547" t="s">
        <v>583</v>
      </c>
      <c r="B1673" s="547" t="s">
        <v>178</v>
      </c>
      <c r="C1673" s="548" t="s">
        <v>812</v>
      </c>
      <c r="D1673" s="549">
        <v>2017</v>
      </c>
      <c r="E1673" s="549" t="s">
        <v>775</v>
      </c>
      <c r="F1673" s="550">
        <v>636</v>
      </c>
      <c r="G1673" s="550">
        <v>0</v>
      </c>
      <c r="H1673" s="550">
        <v>0</v>
      </c>
      <c r="I1673" s="550">
        <v>0</v>
      </c>
      <c r="J1673" s="550">
        <v>432</v>
      </c>
      <c r="K1673" s="550">
        <v>0</v>
      </c>
      <c r="L1673" s="550">
        <v>0</v>
      </c>
      <c r="M1673" s="550">
        <v>0</v>
      </c>
      <c r="N1673" s="550">
        <v>496</v>
      </c>
      <c r="O1673" s="550">
        <v>0</v>
      </c>
      <c r="P1673" s="550">
        <v>1151</v>
      </c>
      <c r="Q1673" s="550">
        <v>7</v>
      </c>
      <c r="R1673" s="574" t="s">
        <v>583</v>
      </c>
      <c r="S1673" s="552"/>
      <c r="T1673" s="552"/>
      <c r="U1673" s="552"/>
      <c r="V1673" s="552"/>
      <c r="W1673" s="552"/>
      <c r="X1673" s="552"/>
      <c r="Y1673" s="552"/>
      <c r="Z1673" s="552"/>
      <c r="AA1673" s="553"/>
      <c r="AB1673" s="553"/>
    </row>
    <row r="1674" spans="1:28" ht="12.75">
      <c r="A1674" s="547" t="s">
        <v>583</v>
      </c>
      <c r="B1674" s="547" t="s">
        <v>178</v>
      </c>
      <c r="C1674" s="548" t="s">
        <v>813</v>
      </c>
      <c r="D1674" s="549">
        <v>2019</v>
      </c>
      <c r="E1674" s="549" t="s">
        <v>775</v>
      </c>
      <c r="F1674" s="550">
        <v>636</v>
      </c>
      <c r="G1674" s="550">
        <v>0</v>
      </c>
      <c r="H1674" s="550">
        <v>0</v>
      </c>
      <c r="I1674" s="550">
        <v>0</v>
      </c>
      <c r="J1674" s="550">
        <v>432</v>
      </c>
      <c r="K1674" s="550">
        <v>1</v>
      </c>
      <c r="L1674" s="550">
        <v>0</v>
      </c>
      <c r="M1674" s="550">
        <v>1</v>
      </c>
      <c r="N1674" s="550">
        <v>496</v>
      </c>
      <c r="O1674" s="550">
        <v>0</v>
      </c>
      <c r="P1674" s="550">
        <v>1151</v>
      </c>
      <c r="Q1674" s="550">
        <v>53</v>
      </c>
      <c r="R1674" s="574" t="s">
        <v>583</v>
      </c>
      <c r="S1674" s="255">
        <f>SUM(G1670:G1674) +SUM(K1670:K1674)</f>
        <v>1</v>
      </c>
      <c r="T1674" s="255">
        <f>F1674+J1674</f>
        <v>1068</v>
      </c>
      <c r="U1674" s="255">
        <f>SUM(O1670:O1674)</f>
        <v>0</v>
      </c>
      <c r="V1674" s="255">
        <f>N1674</f>
        <v>496</v>
      </c>
      <c r="W1674" s="83">
        <f>SUM(Q1670:Q1674)</f>
        <v>149</v>
      </c>
      <c r="X1674" s="255">
        <f>P1674</f>
        <v>1151</v>
      </c>
      <c r="Y1674" s="255">
        <f>S1674+U1674+SUM(Q1670:Q1674)</f>
        <v>150</v>
      </c>
      <c r="Z1674" s="255">
        <f>F1674+J1674+N1674+P1674</f>
        <v>2715</v>
      </c>
      <c r="AA1674" s="553"/>
      <c r="AB1674" s="553"/>
    </row>
    <row r="1675" spans="1:28" ht="12.75">
      <c r="A1675" s="547" t="s">
        <v>178</v>
      </c>
      <c r="B1675" s="547" t="s">
        <v>178</v>
      </c>
      <c r="C1675" s="548" t="s">
        <v>812</v>
      </c>
      <c r="D1675" s="549">
        <v>2014</v>
      </c>
      <c r="E1675" s="549" t="s">
        <v>775</v>
      </c>
      <c r="F1675" s="550">
        <v>980</v>
      </c>
      <c r="G1675" s="550">
        <v>57</v>
      </c>
      <c r="H1675" s="550">
        <v>57</v>
      </c>
      <c r="I1675" s="550">
        <v>0</v>
      </c>
      <c r="J1675" s="550">
        <v>696</v>
      </c>
      <c r="K1675" s="550">
        <v>18</v>
      </c>
      <c r="L1675" s="550">
        <v>18</v>
      </c>
      <c r="M1675" s="550">
        <v>0</v>
      </c>
      <c r="N1675" s="550">
        <v>808</v>
      </c>
      <c r="O1675" s="550">
        <v>0</v>
      </c>
      <c r="P1675" s="550">
        <v>1900</v>
      </c>
      <c r="Q1675" s="550">
        <v>90</v>
      </c>
      <c r="R1675" s="574" t="s">
        <v>178</v>
      </c>
      <c r="S1675" s="552"/>
      <c r="T1675" s="552"/>
      <c r="U1675" s="552"/>
      <c r="V1675" s="552"/>
      <c r="W1675" s="552"/>
      <c r="X1675" s="552"/>
      <c r="Y1675" s="552"/>
      <c r="Z1675" s="552"/>
      <c r="AA1675" s="553"/>
      <c r="AB1675" s="553"/>
    </row>
    <row r="1676" spans="1:28" ht="12.75">
      <c r="A1676" s="547" t="s">
        <v>178</v>
      </c>
      <c r="B1676" s="547" t="s">
        <v>178</v>
      </c>
      <c r="C1676" s="548" t="s">
        <v>812</v>
      </c>
      <c r="D1676" s="549">
        <v>2017</v>
      </c>
      <c r="E1676" s="549" t="s">
        <v>775</v>
      </c>
      <c r="F1676" s="550">
        <v>980</v>
      </c>
      <c r="G1676" s="550">
        <v>0</v>
      </c>
      <c r="H1676" s="550">
        <v>0</v>
      </c>
      <c r="I1676" s="550">
        <v>0</v>
      </c>
      <c r="J1676" s="550">
        <v>696</v>
      </c>
      <c r="K1676" s="550">
        <v>0</v>
      </c>
      <c r="L1676" s="550">
        <v>0</v>
      </c>
      <c r="M1676" s="550">
        <v>0</v>
      </c>
      <c r="N1676" s="550">
        <v>808</v>
      </c>
      <c r="O1676" s="550">
        <v>12</v>
      </c>
      <c r="P1676" s="550">
        <v>1900</v>
      </c>
      <c r="Q1676" s="550">
        <v>0</v>
      </c>
      <c r="R1676" s="574" t="s">
        <v>178</v>
      </c>
      <c r="S1676" s="255">
        <f>SUM(G1675:G1676) +SUM(K1675:K1676)</f>
        <v>75</v>
      </c>
      <c r="T1676" s="255">
        <f>F1676+J1676</f>
        <v>1676</v>
      </c>
      <c r="U1676" s="255">
        <f>SUM(O1675:O1676)</f>
        <v>12</v>
      </c>
      <c r="V1676" s="255">
        <f>N1676</f>
        <v>808</v>
      </c>
      <c r="W1676" s="83">
        <f>SUM(Q1675:Q1676)</f>
        <v>90</v>
      </c>
      <c r="X1676" s="255">
        <f>P1676</f>
        <v>1900</v>
      </c>
      <c r="Y1676" s="255">
        <f>S1676+U1676+SUM(Q1675:Q1676)</f>
        <v>177</v>
      </c>
      <c r="Z1676" s="255">
        <f>F1676+J1676+N1676+P1676</f>
        <v>4384</v>
      </c>
      <c r="AA1676" s="553"/>
      <c r="AB1676" s="553"/>
    </row>
    <row r="1677" spans="1:28" ht="12.75">
      <c r="A1677" s="547" t="s">
        <v>584</v>
      </c>
      <c r="B1677" s="547" t="s">
        <v>178</v>
      </c>
      <c r="C1677" s="548" t="s">
        <v>813</v>
      </c>
      <c r="D1677" s="549">
        <v>2019</v>
      </c>
      <c r="E1677" s="549" t="s">
        <v>775</v>
      </c>
      <c r="F1677" s="550">
        <v>9</v>
      </c>
      <c r="G1677" s="550">
        <v>1</v>
      </c>
      <c r="H1677" s="550">
        <v>0</v>
      </c>
      <c r="I1677" s="550">
        <v>1</v>
      </c>
      <c r="J1677" s="550">
        <v>6</v>
      </c>
      <c r="K1677" s="550">
        <v>51</v>
      </c>
      <c r="L1677" s="550">
        <v>0</v>
      </c>
      <c r="M1677" s="550">
        <v>51</v>
      </c>
      <c r="N1677" s="550">
        <v>7</v>
      </c>
      <c r="O1677" s="550">
        <v>99</v>
      </c>
      <c r="P1677" s="550">
        <v>17</v>
      </c>
      <c r="Q1677" s="550">
        <v>289</v>
      </c>
      <c r="R1677" s="574" t="s">
        <v>584</v>
      </c>
      <c r="S1677" s="552"/>
      <c r="T1677" s="552"/>
      <c r="U1677" s="552"/>
      <c r="V1677" s="552"/>
      <c r="W1677" s="552"/>
      <c r="X1677" s="552"/>
      <c r="Y1677" s="552"/>
      <c r="Z1677" s="552"/>
      <c r="AA1677" s="553"/>
      <c r="AB1677" s="553"/>
    </row>
    <row r="1678" spans="1:28" ht="12.75">
      <c r="A1678" s="547" t="s">
        <v>584</v>
      </c>
      <c r="B1678" s="547" t="s">
        <v>178</v>
      </c>
      <c r="C1678" s="548" t="s">
        <v>812</v>
      </c>
      <c r="D1678" s="549">
        <v>2014</v>
      </c>
      <c r="E1678" s="549" t="s">
        <v>775</v>
      </c>
      <c r="F1678" s="550">
        <v>9</v>
      </c>
      <c r="G1678" s="550">
        <v>16</v>
      </c>
      <c r="H1678" s="550">
        <v>0</v>
      </c>
      <c r="I1678" s="550">
        <v>16</v>
      </c>
      <c r="J1678" s="550">
        <v>6</v>
      </c>
      <c r="K1678" s="550">
        <v>31</v>
      </c>
      <c r="L1678" s="550">
        <v>0</v>
      </c>
      <c r="M1678" s="550">
        <v>31</v>
      </c>
      <c r="N1678" s="550">
        <v>7</v>
      </c>
      <c r="O1678" s="550">
        <v>185</v>
      </c>
      <c r="P1678" s="550">
        <v>17</v>
      </c>
      <c r="Q1678" s="550">
        <v>160</v>
      </c>
      <c r="R1678" s="574" t="s">
        <v>584</v>
      </c>
      <c r="S1678" s="552"/>
      <c r="T1678" s="552"/>
      <c r="U1678" s="552"/>
      <c r="V1678" s="552"/>
      <c r="W1678" s="552"/>
      <c r="X1678" s="552"/>
      <c r="Y1678" s="552"/>
      <c r="Z1678" s="552"/>
      <c r="AA1678" s="553"/>
      <c r="AB1678" s="553"/>
    </row>
    <row r="1679" spans="1:28" ht="12.75">
      <c r="A1679" s="547" t="s">
        <v>584</v>
      </c>
      <c r="B1679" s="547" t="s">
        <v>178</v>
      </c>
      <c r="C1679" s="548" t="s">
        <v>812</v>
      </c>
      <c r="D1679" s="549">
        <v>2015</v>
      </c>
      <c r="E1679" s="549" t="s">
        <v>775</v>
      </c>
      <c r="F1679" s="550">
        <v>9</v>
      </c>
      <c r="G1679" s="550">
        <v>16</v>
      </c>
      <c r="H1679" s="550">
        <v>0</v>
      </c>
      <c r="I1679" s="550">
        <v>16</v>
      </c>
      <c r="J1679" s="550">
        <v>6</v>
      </c>
      <c r="K1679" s="550">
        <v>236</v>
      </c>
      <c r="L1679" s="550">
        <v>0</v>
      </c>
      <c r="M1679" s="550">
        <v>236</v>
      </c>
      <c r="N1679" s="550">
        <v>7</v>
      </c>
      <c r="O1679" s="550">
        <v>86</v>
      </c>
      <c r="P1679" s="550">
        <v>17</v>
      </c>
      <c r="Q1679" s="550">
        <v>126</v>
      </c>
      <c r="R1679" s="574" t="s">
        <v>584</v>
      </c>
      <c r="S1679" s="552"/>
      <c r="T1679" s="552"/>
      <c r="U1679" s="552"/>
      <c r="V1679" s="552"/>
      <c r="W1679" s="552"/>
      <c r="X1679" s="552"/>
      <c r="Y1679" s="552"/>
      <c r="Z1679" s="552"/>
      <c r="AA1679" s="553"/>
      <c r="AB1679" s="553"/>
    </row>
    <row r="1680" spans="1:28" ht="12.75">
      <c r="A1680" s="547" t="s">
        <v>584</v>
      </c>
      <c r="B1680" s="547" t="s">
        <v>178</v>
      </c>
      <c r="C1680" s="548" t="s">
        <v>812</v>
      </c>
      <c r="D1680" s="549">
        <v>2016</v>
      </c>
      <c r="E1680" s="549" t="s">
        <v>775</v>
      </c>
      <c r="F1680" s="550">
        <v>9</v>
      </c>
      <c r="G1680" s="550">
        <v>33</v>
      </c>
      <c r="H1680" s="550">
        <v>0</v>
      </c>
      <c r="I1680" s="550">
        <v>33</v>
      </c>
      <c r="J1680" s="550">
        <v>6</v>
      </c>
      <c r="K1680" s="550">
        <v>142</v>
      </c>
      <c r="L1680" s="550">
        <v>0</v>
      </c>
      <c r="M1680" s="550">
        <v>142</v>
      </c>
      <c r="N1680" s="550">
        <v>7</v>
      </c>
      <c r="O1680" s="550">
        <v>123</v>
      </c>
      <c r="P1680" s="550">
        <v>17</v>
      </c>
      <c r="Q1680" s="550">
        <v>200</v>
      </c>
      <c r="R1680" s="574" t="s">
        <v>584</v>
      </c>
      <c r="S1680" s="552"/>
      <c r="T1680" s="552"/>
      <c r="U1680" s="552"/>
      <c r="V1680" s="552"/>
      <c r="W1680" s="552"/>
      <c r="X1680" s="552"/>
      <c r="Y1680" s="552"/>
      <c r="Z1680" s="552"/>
      <c r="AA1680" s="553"/>
      <c r="AB1680" s="553"/>
    </row>
    <row r="1681" spans="1:28" ht="12.75">
      <c r="A1681" s="547" t="s">
        <v>584</v>
      </c>
      <c r="B1681" s="547" t="s">
        <v>178</v>
      </c>
      <c r="C1681" s="548" t="s">
        <v>812</v>
      </c>
      <c r="D1681" s="549">
        <v>2017</v>
      </c>
      <c r="E1681" s="549" t="s">
        <v>775</v>
      </c>
      <c r="F1681" s="550">
        <v>9</v>
      </c>
      <c r="G1681" s="550">
        <v>51</v>
      </c>
      <c r="H1681" s="550">
        <v>51</v>
      </c>
      <c r="I1681" s="550">
        <v>0</v>
      </c>
      <c r="J1681" s="550">
        <v>6</v>
      </c>
      <c r="K1681" s="550">
        <v>23</v>
      </c>
      <c r="L1681" s="550">
        <v>23</v>
      </c>
      <c r="M1681" s="550">
        <v>0</v>
      </c>
      <c r="N1681" s="550">
        <v>7</v>
      </c>
      <c r="O1681" s="550">
        <v>9</v>
      </c>
      <c r="P1681" s="550">
        <v>17</v>
      </c>
      <c r="Q1681" s="550">
        <v>1</v>
      </c>
      <c r="R1681" s="574" t="s">
        <v>584</v>
      </c>
      <c r="S1681" s="552"/>
      <c r="T1681" s="552"/>
      <c r="U1681" s="552"/>
      <c r="V1681" s="552"/>
      <c r="W1681" s="552"/>
      <c r="X1681" s="552"/>
      <c r="Y1681" s="552"/>
      <c r="Z1681" s="552"/>
      <c r="AA1681" s="553"/>
      <c r="AB1681" s="553"/>
    </row>
    <row r="1682" spans="1:28" ht="12.75">
      <c r="A1682" s="547" t="s">
        <v>584</v>
      </c>
      <c r="B1682" s="547" t="s">
        <v>178</v>
      </c>
      <c r="C1682" s="548" t="s">
        <v>812</v>
      </c>
      <c r="D1682" s="549">
        <v>2018</v>
      </c>
      <c r="E1682" s="549" t="s">
        <v>775</v>
      </c>
      <c r="F1682" s="550">
        <v>9</v>
      </c>
      <c r="G1682" s="550">
        <v>1</v>
      </c>
      <c r="H1682" s="550">
        <v>0</v>
      </c>
      <c r="I1682" s="550">
        <v>1</v>
      </c>
      <c r="J1682" s="550">
        <v>6</v>
      </c>
      <c r="K1682" s="550">
        <v>6</v>
      </c>
      <c r="L1682" s="550">
        <v>0</v>
      </c>
      <c r="M1682" s="550">
        <v>6</v>
      </c>
      <c r="N1682" s="550">
        <v>7</v>
      </c>
      <c r="O1682" s="550">
        <v>53</v>
      </c>
      <c r="P1682" s="550">
        <v>17</v>
      </c>
      <c r="Q1682" s="550">
        <v>247</v>
      </c>
      <c r="R1682" s="574" t="s">
        <v>584</v>
      </c>
      <c r="S1682" s="552">
        <f>SUM(G1677:G1682) +SUM(K1677:K1682)</f>
        <v>607</v>
      </c>
      <c r="T1682" s="552">
        <f>F1682+J1682</f>
        <v>15</v>
      </c>
      <c r="U1682" s="552">
        <f>SUM(O1677:O1682)</f>
        <v>555</v>
      </c>
      <c r="V1682" s="552">
        <f>N1682</f>
        <v>7</v>
      </c>
      <c r="W1682" s="554">
        <f>SUM(Q1677:Q1682)</f>
        <v>1023</v>
      </c>
      <c r="X1682" s="552">
        <f>P1682</f>
        <v>17</v>
      </c>
      <c r="Y1682" s="552">
        <f>S1682+U1682+SUM(Q1677:Q1682)</f>
        <v>2185</v>
      </c>
      <c r="Z1682" s="552">
        <f>F1682+J1682+N1682+P1682</f>
        <v>39</v>
      </c>
      <c r="AA1682" s="553"/>
      <c r="AB1682" s="553"/>
    </row>
    <row r="1683" spans="1:28" ht="12.75">
      <c r="A1683" s="547" t="s">
        <v>585</v>
      </c>
      <c r="B1683" s="547" t="s">
        <v>178</v>
      </c>
      <c r="C1683" s="548" t="s">
        <v>812</v>
      </c>
      <c r="D1683" s="549">
        <v>2014</v>
      </c>
      <c r="E1683" s="549" t="s">
        <v>775</v>
      </c>
      <c r="F1683" s="550">
        <v>103</v>
      </c>
      <c r="G1683" s="550">
        <v>0</v>
      </c>
      <c r="H1683" s="550">
        <v>0</v>
      </c>
      <c r="I1683" s="550">
        <v>0</v>
      </c>
      <c r="J1683" s="550">
        <v>72</v>
      </c>
      <c r="K1683" s="550">
        <v>0</v>
      </c>
      <c r="L1683" s="550">
        <v>0</v>
      </c>
      <c r="M1683" s="550">
        <v>0</v>
      </c>
      <c r="N1683" s="550">
        <v>84</v>
      </c>
      <c r="O1683" s="550">
        <v>7</v>
      </c>
      <c r="P1683" s="550">
        <v>195</v>
      </c>
      <c r="Q1683" s="550">
        <v>0</v>
      </c>
      <c r="R1683" s="574" t="s">
        <v>585</v>
      </c>
      <c r="S1683" s="552"/>
      <c r="T1683" s="552"/>
      <c r="U1683" s="552"/>
      <c r="V1683" s="552"/>
      <c r="W1683" s="552"/>
      <c r="X1683" s="552"/>
      <c r="Y1683" s="552"/>
      <c r="Z1683" s="552"/>
      <c r="AA1683" s="553"/>
      <c r="AB1683" s="553"/>
    </row>
    <row r="1684" spans="1:28" ht="12.75">
      <c r="A1684" s="547" t="s">
        <v>585</v>
      </c>
      <c r="B1684" s="547" t="s">
        <v>178</v>
      </c>
      <c r="C1684" s="548" t="s">
        <v>812</v>
      </c>
      <c r="D1684" s="549">
        <v>2015</v>
      </c>
      <c r="E1684" s="549" t="s">
        <v>775</v>
      </c>
      <c r="F1684" s="550">
        <v>103</v>
      </c>
      <c r="G1684" s="550">
        <v>0</v>
      </c>
      <c r="H1684" s="550">
        <v>0</v>
      </c>
      <c r="I1684" s="550">
        <v>0</v>
      </c>
      <c r="J1684" s="550">
        <v>72</v>
      </c>
      <c r="K1684" s="550">
        <v>0</v>
      </c>
      <c r="L1684" s="550">
        <v>0</v>
      </c>
      <c r="M1684" s="550">
        <v>0</v>
      </c>
      <c r="N1684" s="550">
        <v>84</v>
      </c>
      <c r="O1684" s="550">
        <v>5</v>
      </c>
      <c r="P1684" s="550">
        <v>195</v>
      </c>
      <c r="Q1684" s="550">
        <v>0</v>
      </c>
      <c r="R1684" s="574" t="s">
        <v>585</v>
      </c>
      <c r="S1684" s="552"/>
      <c r="T1684" s="552"/>
      <c r="U1684" s="552"/>
      <c r="V1684" s="552"/>
      <c r="W1684" s="552"/>
      <c r="X1684" s="552"/>
      <c r="Y1684" s="552"/>
      <c r="Z1684" s="552"/>
      <c r="AA1684" s="553"/>
      <c r="AB1684" s="553"/>
    </row>
    <row r="1685" spans="1:28" ht="12.75">
      <c r="A1685" s="547" t="s">
        <v>585</v>
      </c>
      <c r="B1685" s="547" t="s">
        <v>178</v>
      </c>
      <c r="C1685" s="548" t="s">
        <v>812</v>
      </c>
      <c r="D1685" s="549">
        <v>2016</v>
      </c>
      <c r="E1685" s="549" t="s">
        <v>775</v>
      </c>
      <c r="F1685" s="550">
        <v>103</v>
      </c>
      <c r="G1685" s="550">
        <v>0</v>
      </c>
      <c r="H1685" s="550">
        <v>0</v>
      </c>
      <c r="I1685" s="550">
        <v>0</v>
      </c>
      <c r="J1685" s="550">
        <v>72</v>
      </c>
      <c r="K1685" s="550">
        <v>0</v>
      </c>
      <c r="L1685" s="550">
        <v>0</v>
      </c>
      <c r="M1685" s="550">
        <v>0</v>
      </c>
      <c r="N1685" s="550">
        <v>84</v>
      </c>
      <c r="O1685" s="550">
        <v>1</v>
      </c>
      <c r="P1685" s="550">
        <v>195</v>
      </c>
      <c r="Q1685" s="550">
        <v>0</v>
      </c>
      <c r="R1685" s="574" t="s">
        <v>585</v>
      </c>
      <c r="S1685" s="552"/>
      <c r="T1685" s="552"/>
      <c r="U1685" s="552"/>
      <c r="V1685" s="552"/>
      <c r="W1685" s="552"/>
      <c r="X1685" s="552"/>
      <c r="Y1685" s="552"/>
      <c r="Z1685" s="552"/>
      <c r="AA1685" s="553"/>
      <c r="AB1685" s="553"/>
    </row>
    <row r="1686" spans="1:28" ht="12.75">
      <c r="A1686" s="547" t="s">
        <v>585</v>
      </c>
      <c r="B1686" s="547" t="s">
        <v>178</v>
      </c>
      <c r="C1686" s="548" t="s">
        <v>812</v>
      </c>
      <c r="D1686" s="549">
        <v>2017</v>
      </c>
      <c r="E1686" s="549" t="s">
        <v>775</v>
      </c>
      <c r="F1686" s="550">
        <v>103</v>
      </c>
      <c r="G1686" s="550">
        <v>0</v>
      </c>
      <c r="H1686" s="550">
        <v>0</v>
      </c>
      <c r="I1686" s="550">
        <v>0</v>
      </c>
      <c r="J1686" s="550">
        <v>72</v>
      </c>
      <c r="K1686" s="550">
        <v>0</v>
      </c>
      <c r="L1686" s="550">
        <v>0</v>
      </c>
      <c r="M1686" s="550">
        <v>0</v>
      </c>
      <c r="N1686" s="550">
        <v>84</v>
      </c>
      <c r="O1686" s="550">
        <v>10</v>
      </c>
      <c r="P1686" s="550">
        <v>195</v>
      </c>
      <c r="Q1686" s="550">
        <v>0</v>
      </c>
      <c r="R1686" s="574" t="s">
        <v>585</v>
      </c>
      <c r="S1686" s="552"/>
      <c r="T1686" s="552"/>
      <c r="U1686" s="552"/>
      <c r="V1686" s="552"/>
      <c r="W1686" s="552"/>
      <c r="X1686" s="552"/>
      <c r="Y1686" s="552"/>
      <c r="Z1686" s="552"/>
      <c r="AA1686" s="553"/>
      <c r="AB1686" s="553"/>
    </row>
    <row r="1687" spans="1:28" ht="12.75">
      <c r="A1687" s="547" t="s">
        <v>585</v>
      </c>
      <c r="B1687" s="547" t="s">
        <v>178</v>
      </c>
      <c r="C1687" s="548" t="s">
        <v>812</v>
      </c>
      <c r="D1687" s="549">
        <v>2018</v>
      </c>
      <c r="E1687" s="549" t="s">
        <v>775</v>
      </c>
      <c r="F1687" s="550">
        <v>103</v>
      </c>
      <c r="G1687" s="550">
        <v>0</v>
      </c>
      <c r="H1687" s="550">
        <v>0</v>
      </c>
      <c r="I1687" s="550">
        <v>0</v>
      </c>
      <c r="J1687" s="550">
        <v>72</v>
      </c>
      <c r="K1687" s="550">
        <v>10</v>
      </c>
      <c r="L1687" s="550">
        <v>0</v>
      </c>
      <c r="M1687" s="550">
        <v>10</v>
      </c>
      <c r="N1687" s="550">
        <v>84</v>
      </c>
      <c r="O1687" s="550">
        <v>28</v>
      </c>
      <c r="P1687" s="550">
        <v>195</v>
      </c>
      <c r="Q1687" s="550">
        <v>0</v>
      </c>
      <c r="R1687" s="574" t="s">
        <v>585</v>
      </c>
      <c r="S1687" s="552"/>
      <c r="T1687" s="552"/>
      <c r="U1687" s="552"/>
      <c r="V1687" s="552"/>
      <c r="W1687" s="552"/>
      <c r="X1687" s="552"/>
      <c r="Y1687" s="552"/>
      <c r="Z1687" s="552"/>
      <c r="AA1687" s="553"/>
      <c r="AB1687" s="553"/>
    </row>
    <row r="1688" spans="1:28" ht="12.75">
      <c r="A1688" s="547" t="s">
        <v>585</v>
      </c>
      <c r="B1688" s="547" t="s">
        <v>178</v>
      </c>
      <c r="C1688" s="548" t="s">
        <v>813</v>
      </c>
      <c r="D1688" s="549">
        <v>2019</v>
      </c>
      <c r="E1688" s="549" t="s">
        <v>775</v>
      </c>
      <c r="F1688" s="550">
        <v>103</v>
      </c>
      <c r="G1688" s="550">
        <v>0</v>
      </c>
      <c r="H1688" s="550">
        <v>0</v>
      </c>
      <c r="I1688" s="550">
        <v>0</v>
      </c>
      <c r="J1688" s="550">
        <v>72</v>
      </c>
      <c r="K1688" s="550">
        <v>0</v>
      </c>
      <c r="L1688" s="550">
        <v>0</v>
      </c>
      <c r="M1688" s="550">
        <v>0</v>
      </c>
      <c r="N1688" s="550">
        <v>84</v>
      </c>
      <c r="O1688" s="550">
        <v>5</v>
      </c>
      <c r="P1688" s="550">
        <v>195</v>
      </c>
      <c r="Q1688" s="550">
        <v>0</v>
      </c>
      <c r="R1688" s="574" t="s">
        <v>585</v>
      </c>
      <c r="S1688" s="552">
        <f>SUM(G1683:G1688) +SUM(K1683:K1688)</f>
        <v>10</v>
      </c>
      <c r="T1688" s="552">
        <f>F1688+J1688</f>
        <v>175</v>
      </c>
      <c r="U1688" s="552">
        <f>SUM(O1683:O1688)</f>
        <v>56</v>
      </c>
      <c r="V1688" s="552">
        <f>N1688</f>
        <v>84</v>
      </c>
      <c r="W1688" s="554">
        <f>SUM(Q1683:Q1688)</f>
        <v>0</v>
      </c>
      <c r="X1688" s="552">
        <f>P1688</f>
        <v>195</v>
      </c>
      <c r="Y1688" s="552">
        <f>S1688+U1688+SUM(Q1683:Q1688)</f>
        <v>66</v>
      </c>
      <c r="Z1688" s="552">
        <f>F1688+J1688+N1688+P1688</f>
        <v>454</v>
      </c>
      <c r="AA1688" s="553"/>
      <c r="AB1688" s="553"/>
    </row>
    <row r="1689" spans="1:28" ht="12.75">
      <c r="A1689" s="547" t="s">
        <v>586</v>
      </c>
      <c r="B1689" s="547" t="s">
        <v>178</v>
      </c>
      <c r="C1689" s="548" t="s">
        <v>812</v>
      </c>
      <c r="D1689" s="549">
        <v>2015</v>
      </c>
      <c r="E1689" s="549" t="s">
        <v>775</v>
      </c>
      <c r="F1689" s="550">
        <v>382</v>
      </c>
      <c r="G1689" s="550">
        <v>0</v>
      </c>
      <c r="H1689" s="550">
        <v>0</v>
      </c>
      <c r="I1689" s="550">
        <v>0</v>
      </c>
      <c r="J1689" s="550">
        <v>260</v>
      </c>
      <c r="K1689" s="550">
        <v>0</v>
      </c>
      <c r="L1689" s="550">
        <v>0</v>
      </c>
      <c r="M1689" s="550">
        <v>0</v>
      </c>
      <c r="N1689" s="550">
        <v>294</v>
      </c>
      <c r="O1689" s="550">
        <v>0</v>
      </c>
      <c r="P1689" s="550">
        <v>653</v>
      </c>
      <c r="Q1689" s="550">
        <v>100</v>
      </c>
      <c r="R1689" s="574" t="s">
        <v>586</v>
      </c>
      <c r="S1689" s="552"/>
      <c r="T1689" s="552"/>
      <c r="U1689" s="552"/>
      <c r="V1689" s="552"/>
      <c r="W1689" s="552"/>
      <c r="X1689" s="552"/>
      <c r="Y1689" s="552"/>
      <c r="Z1689" s="552"/>
      <c r="AA1689" s="553"/>
      <c r="AB1689" s="553"/>
    </row>
    <row r="1690" spans="1:28" ht="12.75">
      <c r="A1690" s="547" t="s">
        <v>586</v>
      </c>
      <c r="B1690" s="547" t="s">
        <v>178</v>
      </c>
      <c r="C1690" s="548" t="s">
        <v>812</v>
      </c>
      <c r="D1690" s="549">
        <v>2016</v>
      </c>
      <c r="E1690" s="549" t="s">
        <v>775</v>
      </c>
      <c r="F1690" s="550">
        <v>382</v>
      </c>
      <c r="G1690" s="550">
        <v>0</v>
      </c>
      <c r="H1690" s="550">
        <v>0</v>
      </c>
      <c r="I1690" s="550">
        <v>0</v>
      </c>
      <c r="J1690" s="550">
        <v>260</v>
      </c>
      <c r="K1690" s="550">
        <v>0</v>
      </c>
      <c r="L1690" s="550">
        <v>0</v>
      </c>
      <c r="M1690" s="550">
        <v>0</v>
      </c>
      <c r="N1690" s="550">
        <v>294</v>
      </c>
      <c r="O1690" s="550">
        <v>0</v>
      </c>
      <c r="P1690" s="550">
        <v>653</v>
      </c>
      <c r="Q1690" s="550">
        <v>103</v>
      </c>
      <c r="R1690" s="574" t="s">
        <v>586</v>
      </c>
      <c r="S1690" s="552"/>
      <c r="T1690" s="552"/>
      <c r="U1690" s="552"/>
      <c r="V1690" s="552"/>
      <c r="W1690" s="552"/>
      <c r="X1690" s="552"/>
      <c r="Y1690" s="552"/>
      <c r="Z1690" s="552"/>
      <c r="AA1690" s="553"/>
      <c r="AB1690" s="553"/>
    </row>
    <row r="1691" spans="1:28" ht="12.75">
      <c r="A1691" s="547" t="s">
        <v>586</v>
      </c>
      <c r="B1691" s="547" t="s">
        <v>178</v>
      </c>
      <c r="C1691" s="548" t="s">
        <v>812</v>
      </c>
      <c r="D1691" s="549">
        <v>2017</v>
      </c>
      <c r="E1691" s="549" t="s">
        <v>775</v>
      </c>
      <c r="F1691" s="550">
        <v>382</v>
      </c>
      <c r="G1691" s="550">
        <v>0</v>
      </c>
      <c r="H1691" s="550">
        <v>0</v>
      </c>
      <c r="I1691" s="550">
        <v>0</v>
      </c>
      <c r="J1691" s="550">
        <v>260</v>
      </c>
      <c r="K1691" s="550">
        <v>0</v>
      </c>
      <c r="L1691" s="550">
        <v>0</v>
      </c>
      <c r="M1691" s="550">
        <v>0</v>
      </c>
      <c r="N1691" s="550">
        <v>294</v>
      </c>
      <c r="O1691" s="550">
        <v>0</v>
      </c>
      <c r="P1691" s="550">
        <v>653</v>
      </c>
      <c r="Q1691" s="550">
        <v>99</v>
      </c>
      <c r="R1691" s="574" t="s">
        <v>586</v>
      </c>
      <c r="S1691" s="552"/>
      <c r="T1691" s="552"/>
      <c r="U1691" s="552"/>
      <c r="V1691" s="552"/>
      <c r="W1691" s="552"/>
      <c r="X1691" s="552"/>
      <c r="Y1691" s="552"/>
      <c r="Z1691" s="552"/>
      <c r="AA1691" s="553"/>
      <c r="AB1691" s="553"/>
    </row>
    <row r="1692" spans="1:28" ht="12.75">
      <c r="A1692" s="547" t="s">
        <v>586</v>
      </c>
      <c r="B1692" s="547" t="s">
        <v>178</v>
      </c>
      <c r="C1692" s="548" t="s">
        <v>812</v>
      </c>
      <c r="D1692" s="549">
        <v>2018</v>
      </c>
      <c r="E1692" s="549" t="s">
        <v>775</v>
      </c>
      <c r="F1692" s="550">
        <v>382</v>
      </c>
      <c r="G1692" s="564"/>
      <c r="H1692" s="564"/>
      <c r="I1692" s="564"/>
      <c r="J1692" s="550">
        <v>260</v>
      </c>
      <c r="K1692" s="564"/>
      <c r="L1692" s="564"/>
      <c r="M1692" s="564"/>
      <c r="N1692" s="550">
        <v>294</v>
      </c>
      <c r="O1692" s="564"/>
      <c r="P1692" s="550">
        <v>653</v>
      </c>
      <c r="Q1692" s="564"/>
      <c r="R1692" s="574" t="s">
        <v>586</v>
      </c>
      <c r="S1692" s="552"/>
      <c r="T1692" s="552"/>
      <c r="U1692" s="552"/>
      <c r="V1692" s="552"/>
      <c r="W1692" s="552"/>
      <c r="X1692" s="552"/>
      <c r="Y1692" s="552"/>
      <c r="Z1692" s="552"/>
      <c r="AA1692" s="553"/>
      <c r="AB1692" s="553"/>
    </row>
    <row r="1693" spans="1:28" ht="12.75">
      <c r="A1693" s="547" t="s">
        <v>586</v>
      </c>
      <c r="B1693" s="547" t="s">
        <v>178</v>
      </c>
      <c r="C1693" s="548" t="s">
        <v>813</v>
      </c>
      <c r="D1693" s="549">
        <v>2019</v>
      </c>
      <c r="E1693" s="549" t="s">
        <v>775</v>
      </c>
      <c r="F1693" s="550">
        <v>382</v>
      </c>
      <c r="G1693" s="550">
        <v>0</v>
      </c>
      <c r="H1693" s="550">
        <v>0</v>
      </c>
      <c r="I1693" s="550">
        <v>0</v>
      </c>
      <c r="J1693" s="550">
        <v>260</v>
      </c>
      <c r="K1693" s="550">
        <v>0</v>
      </c>
      <c r="L1693" s="550">
        <v>0</v>
      </c>
      <c r="M1693" s="550">
        <v>0</v>
      </c>
      <c r="N1693" s="550">
        <v>294</v>
      </c>
      <c r="O1693" s="550">
        <v>14</v>
      </c>
      <c r="P1693" s="550">
        <v>653</v>
      </c>
      <c r="Q1693" s="550">
        <v>511</v>
      </c>
      <c r="R1693" s="574" t="s">
        <v>586</v>
      </c>
      <c r="S1693" s="255">
        <f>SUM(G1689:G1693) +SUM(K1689:K1693)</f>
        <v>0</v>
      </c>
      <c r="T1693" s="255">
        <f>F1693+J1693</f>
        <v>642</v>
      </c>
      <c r="U1693" s="255">
        <f>SUM(O1689:O1693)</f>
        <v>14</v>
      </c>
      <c r="V1693" s="255">
        <f>N1693</f>
        <v>294</v>
      </c>
      <c r="W1693" s="83">
        <f>SUM(Q1689:Q1693)</f>
        <v>813</v>
      </c>
      <c r="X1693" s="255">
        <f>P1693</f>
        <v>653</v>
      </c>
      <c r="Y1693" s="255">
        <f>S1693+U1693+SUM(Q1689:Q1693)</f>
        <v>827</v>
      </c>
      <c r="Z1693" s="255">
        <f>F1693+J1693+N1693+P1693</f>
        <v>1589</v>
      </c>
      <c r="AA1693" s="553"/>
      <c r="AB1693" s="553"/>
    </row>
    <row r="1694" spans="1:28" ht="12.75">
      <c r="A1694" s="547" t="s">
        <v>587</v>
      </c>
      <c r="B1694" s="547" t="s">
        <v>178</v>
      </c>
      <c r="C1694" s="548" t="s">
        <v>812</v>
      </c>
      <c r="D1694" s="549">
        <v>2017</v>
      </c>
      <c r="E1694" s="549" t="s">
        <v>775</v>
      </c>
      <c r="F1694" s="550">
        <v>1698</v>
      </c>
      <c r="G1694" s="550">
        <v>0</v>
      </c>
      <c r="H1694" s="550">
        <v>0</v>
      </c>
      <c r="I1694" s="550">
        <v>0</v>
      </c>
      <c r="J1694" s="550">
        <v>1207</v>
      </c>
      <c r="K1694" s="550">
        <v>0</v>
      </c>
      <c r="L1694" s="550">
        <v>0</v>
      </c>
      <c r="M1694" s="550">
        <v>0</v>
      </c>
      <c r="N1694" s="550">
        <v>1342</v>
      </c>
      <c r="O1694" s="550">
        <v>104</v>
      </c>
      <c r="P1694" s="550">
        <v>3124</v>
      </c>
      <c r="Q1694" s="550">
        <v>14</v>
      </c>
      <c r="R1694" s="574" t="s">
        <v>587</v>
      </c>
      <c r="S1694" s="552"/>
      <c r="T1694" s="552"/>
      <c r="U1694" s="552"/>
      <c r="V1694" s="552"/>
      <c r="W1694" s="552"/>
      <c r="X1694" s="552"/>
      <c r="Y1694" s="552"/>
      <c r="Z1694" s="552"/>
      <c r="AA1694" s="553"/>
      <c r="AB1694" s="553"/>
    </row>
    <row r="1695" spans="1:28" ht="12.75">
      <c r="A1695" s="547" t="s">
        <v>587</v>
      </c>
      <c r="B1695" s="547" t="s">
        <v>178</v>
      </c>
      <c r="C1695" s="548" t="s">
        <v>812</v>
      </c>
      <c r="D1695" s="549">
        <v>2018</v>
      </c>
      <c r="E1695" s="549" t="s">
        <v>775</v>
      </c>
      <c r="F1695" s="550">
        <v>1698</v>
      </c>
      <c r="G1695" s="564"/>
      <c r="H1695" s="564"/>
      <c r="I1695" s="564"/>
      <c r="J1695" s="550">
        <v>1207</v>
      </c>
      <c r="K1695" s="564"/>
      <c r="L1695" s="564"/>
      <c r="M1695" s="564"/>
      <c r="N1695" s="550">
        <v>1342</v>
      </c>
      <c r="O1695" s="564"/>
      <c r="P1695" s="550">
        <v>3124</v>
      </c>
      <c r="Q1695" s="564"/>
      <c r="R1695" s="574" t="s">
        <v>587</v>
      </c>
      <c r="S1695" s="552"/>
      <c r="T1695" s="552"/>
      <c r="U1695" s="552"/>
      <c r="V1695" s="552"/>
      <c r="W1695" s="552"/>
      <c r="X1695" s="552"/>
      <c r="Y1695" s="552"/>
      <c r="Z1695" s="552"/>
      <c r="AA1695" s="553"/>
      <c r="AB1695" s="553"/>
    </row>
    <row r="1696" spans="1:28" ht="12.75">
      <c r="A1696" s="547" t="s">
        <v>587</v>
      </c>
      <c r="B1696" s="547" t="s">
        <v>178</v>
      </c>
      <c r="C1696" s="548" t="s">
        <v>813</v>
      </c>
      <c r="D1696" s="549">
        <v>2019</v>
      </c>
      <c r="E1696" s="549" t="s">
        <v>775</v>
      </c>
      <c r="F1696" s="550">
        <v>1698</v>
      </c>
      <c r="G1696" s="550">
        <v>7</v>
      </c>
      <c r="H1696" s="550">
        <v>0</v>
      </c>
      <c r="I1696" s="550">
        <v>7</v>
      </c>
      <c r="J1696" s="550">
        <v>1207</v>
      </c>
      <c r="K1696" s="550">
        <v>0</v>
      </c>
      <c r="L1696" s="550">
        <v>0</v>
      </c>
      <c r="M1696" s="550">
        <v>0</v>
      </c>
      <c r="N1696" s="550">
        <v>1342</v>
      </c>
      <c r="O1696" s="550">
        <v>144</v>
      </c>
      <c r="P1696" s="550">
        <v>3124</v>
      </c>
      <c r="Q1696" s="550">
        <v>288</v>
      </c>
      <c r="R1696" s="574" t="s">
        <v>587</v>
      </c>
      <c r="S1696" s="255">
        <f>SUM(G1694:G1696) +SUM(K1694:K1696)</f>
        <v>7</v>
      </c>
      <c r="T1696" s="255">
        <f>F1696+J1696</f>
        <v>2905</v>
      </c>
      <c r="U1696" s="255">
        <f>SUM(O1694:O1696)</f>
        <v>248</v>
      </c>
      <c r="V1696" s="255">
        <f>N1696</f>
        <v>1342</v>
      </c>
      <c r="W1696" s="83">
        <f>SUM(Q1694:Q1696)</f>
        <v>302</v>
      </c>
      <c r="X1696" s="255">
        <f>P1696</f>
        <v>3124</v>
      </c>
      <c r="Y1696" s="255">
        <f>S1696+U1696+SUM(Q1694:Q1696)</f>
        <v>557</v>
      </c>
      <c r="Z1696" s="255">
        <f>F1696+J1696+N1696+P1696</f>
        <v>7371</v>
      </c>
      <c r="AA1696" s="553"/>
      <c r="AB1696" s="553"/>
    </row>
    <row r="1697" spans="1:28" ht="12.75">
      <c r="A1697" s="547" t="s">
        <v>588</v>
      </c>
      <c r="B1697" s="547" t="s">
        <v>178</v>
      </c>
      <c r="C1697" s="548" t="s">
        <v>812</v>
      </c>
      <c r="D1697" s="549">
        <v>2014</v>
      </c>
      <c r="E1697" s="549" t="s">
        <v>775</v>
      </c>
      <c r="F1697" s="550">
        <v>376</v>
      </c>
      <c r="G1697" s="550">
        <v>0</v>
      </c>
      <c r="H1697" s="550">
        <v>0</v>
      </c>
      <c r="I1697" s="550">
        <v>0</v>
      </c>
      <c r="J1697" s="550">
        <v>261</v>
      </c>
      <c r="K1697" s="550">
        <v>34</v>
      </c>
      <c r="L1697" s="550">
        <v>34</v>
      </c>
      <c r="M1697" s="550">
        <v>0</v>
      </c>
      <c r="N1697" s="550">
        <v>299</v>
      </c>
      <c r="O1697" s="550">
        <v>0</v>
      </c>
      <c r="P1697" s="550">
        <v>669</v>
      </c>
      <c r="Q1697" s="550">
        <v>32</v>
      </c>
      <c r="R1697" s="574" t="s">
        <v>588</v>
      </c>
      <c r="S1697" s="552"/>
      <c r="T1697" s="552"/>
      <c r="U1697" s="552"/>
      <c r="V1697" s="552"/>
      <c r="W1697" s="552"/>
      <c r="X1697" s="552"/>
      <c r="Y1697" s="552"/>
      <c r="Z1697" s="552"/>
      <c r="AA1697" s="553"/>
      <c r="AB1697" s="553"/>
    </row>
    <row r="1698" spans="1:28" ht="12.75">
      <c r="A1698" s="547" t="s">
        <v>588</v>
      </c>
      <c r="B1698" s="547" t="s">
        <v>178</v>
      </c>
      <c r="C1698" s="548" t="s">
        <v>812</v>
      </c>
      <c r="D1698" s="549">
        <v>2015</v>
      </c>
      <c r="E1698" s="549" t="s">
        <v>775</v>
      </c>
      <c r="F1698" s="550">
        <v>376</v>
      </c>
      <c r="G1698" s="550">
        <v>42</v>
      </c>
      <c r="H1698" s="550">
        <v>42</v>
      </c>
      <c r="I1698" s="550">
        <v>0</v>
      </c>
      <c r="J1698" s="550">
        <v>261</v>
      </c>
      <c r="K1698" s="550">
        <v>38</v>
      </c>
      <c r="L1698" s="550">
        <v>7</v>
      </c>
      <c r="M1698" s="550">
        <v>31</v>
      </c>
      <c r="N1698" s="550">
        <v>299</v>
      </c>
      <c r="O1698" s="550">
        <v>0</v>
      </c>
      <c r="P1698" s="550">
        <v>669</v>
      </c>
      <c r="Q1698" s="550">
        <v>111</v>
      </c>
      <c r="R1698" s="574" t="s">
        <v>588</v>
      </c>
      <c r="S1698" s="552"/>
      <c r="T1698" s="552"/>
      <c r="U1698" s="552"/>
      <c r="V1698" s="552"/>
      <c r="W1698" s="552"/>
      <c r="X1698" s="552"/>
      <c r="Y1698" s="552"/>
      <c r="Z1698" s="552"/>
      <c r="AA1698" s="553"/>
      <c r="AB1698" s="553"/>
    </row>
    <row r="1699" spans="1:28" ht="12.75">
      <c r="A1699" s="547" t="s">
        <v>588</v>
      </c>
      <c r="B1699" s="547" t="s">
        <v>178</v>
      </c>
      <c r="C1699" s="548" t="s">
        <v>812</v>
      </c>
      <c r="D1699" s="549">
        <v>2016</v>
      </c>
      <c r="E1699" s="549" t="s">
        <v>775</v>
      </c>
      <c r="F1699" s="550">
        <v>376</v>
      </c>
      <c r="G1699" s="550">
        <v>0</v>
      </c>
      <c r="H1699" s="550">
        <v>0</v>
      </c>
      <c r="I1699" s="550">
        <v>0</v>
      </c>
      <c r="J1699" s="550">
        <v>261</v>
      </c>
      <c r="K1699" s="550">
        <v>30</v>
      </c>
      <c r="L1699" s="550">
        <v>30</v>
      </c>
      <c r="M1699" s="550">
        <v>0</v>
      </c>
      <c r="N1699" s="550">
        <v>299</v>
      </c>
      <c r="O1699" s="550">
        <v>17</v>
      </c>
      <c r="P1699" s="550">
        <v>669</v>
      </c>
      <c r="Q1699" s="550">
        <v>102</v>
      </c>
      <c r="R1699" s="574" t="s">
        <v>588</v>
      </c>
      <c r="S1699" s="552"/>
      <c r="T1699" s="552"/>
      <c r="U1699" s="552"/>
      <c r="V1699" s="552"/>
      <c r="W1699" s="552"/>
      <c r="X1699" s="552"/>
      <c r="Y1699" s="552"/>
      <c r="Z1699" s="552"/>
      <c r="AA1699" s="553"/>
      <c r="AB1699" s="553"/>
    </row>
    <row r="1700" spans="1:28" ht="12.75">
      <c r="A1700" s="547" t="s">
        <v>588</v>
      </c>
      <c r="B1700" s="547" t="s">
        <v>178</v>
      </c>
      <c r="C1700" s="548" t="s">
        <v>812</v>
      </c>
      <c r="D1700" s="549">
        <v>2017</v>
      </c>
      <c r="E1700" s="549" t="s">
        <v>775</v>
      </c>
      <c r="F1700" s="550">
        <v>376</v>
      </c>
      <c r="G1700" s="550">
        <v>0</v>
      </c>
      <c r="H1700" s="550">
        <v>0</v>
      </c>
      <c r="I1700" s="550">
        <v>0</v>
      </c>
      <c r="J1700" s="550">
        <v>261</v>
      </c>
      <c r="K1700" s="550">
        <v>30</v>
      </c>
      <c r="L1700" s="550">
        <v>30</v>
      </c>
      <c r="M1700" s="550">
        <v>0</v>
      </c>
      <c r="N1700" s="550">
        <v>299</v>
      </c>
      <c r="O1700" s="550">
        <v>18</v>
      </c>
      <c r="P1700" s="550">
        <v>669</v>
      </c>
      <c r="Q1700" s="550">
        <v>9</v>
      </c>
      <c r="R1700" s="574" t="s">
        <v>588</v>
      </c>
      <c r="S1700" s="552"/>
      <c r="T1700" s="552"/>
      <c r="U1700" s="552"/>
      <c r="V1700" s="552"/>
      <c r="W1700" s="552"/>
      <c r="X1700" s="552"/>
      <c r="Y1700" s="552"/>
      <c r="Z1700" s="552"/>
      <c r="AA1700" s="553"/>
      <c r="AB1700" s="553"/>
    </row>
    <row r="1701" spans="1:28" ht="12.75">
      <c r="A1701" s="547" t="s">
        <v>588</v>
      </c>
      <c r="B1701" s="547" t="s">
        <v>178</v>
      </c>
      <c r="C1701" s="548" t="s">
        <v>812</v>
      </c>
      <c r="D1701" s="549">
        <v>2018</v>
      </c>
      <c r="E1701" s="549" t="s">
        <v>775</v>
      </c>
      <c r="F1701" s="550">
        <v>376</v>
      </c>
      <c r="G1701" s="550">
        <v>19</v>
      </c>
      <c r="H1701" s="550">
        <v>19</v>
      </c>
      <c r="I1701" s="550">
        <v>0</v>
      </c>
      <c r="J1701" s="550">
        <v>261</v>
      </c>
      <c r="K1701" s="550">
        <v>77</v>
      </c>
      <c r="L1701" s="550">
        <v>77</v>
      </c>
      <c r="M1701" s="550">
        <v>0</v>
      </c>
      <c r="N1701" s="550">
        <v>299</v>
      </c>
      <c r="O1701" s="550">
        <v>0</v>
      </c>
      <c r="P1701" s="550">
        <v>669</v>
      </c>
      <c r="Q1701" s="550">
        <v>13</v>
      </c>
      <c r="R1701" s="574" t="s">
        <v>588</v>
      </c>
      <c r="S1701" s="552"/>
      <c r="T1701" s="552"/>
      <c r="U1701" s="552"/>
      <c r="V1701" s="552"/>
      <c r="W1701" s="552"/>
      <c r="X1701" s="552"/>
      <c r="Y1701" s="552"/>
      <c r="Z1701" s="552"/>
      <c r="AA1701" s="553"/>
      <c r="AB1701" s="553"/>
    </row>
    <row r="1702" spans="1:28" ht="12.75">
      <c r="A1702" s="547" t="s">
        <v>588</v>
      </c>
      <c r="B1702" s="547" t="s">
        <v>178</v>
      </c>
      <c r="C1702" s="548" t="s">
        <v>813</v>
      </c>
      <c r="D1702" s="549">
        <v>2019</v>
      </c>
      <c r="E1702" s="549" t="s">
        <v>775</v>
      </c>
      <c r="F1702" s="550">
        <v>376</v>
      </c>
      <c r="G1702" s="550">
        <v>0</v>
      </c>
      <c r="H1702" s="550">
        <v>0</v>
      </c>
      <c r="I1702" s="550">
        <v>0</v>
      </c>
      <c r="J1702" s="550">
        <v>261</v>
      </c>
      <c r="K1702" s="550">
        <v>5</v>
      </c>
      <c r="L1702" s="550">
        <v>0</v>
      </c>
      <c r="M1702" s="550">
        <v>5</v>
      </c>
      <c r="N1702" s="550">
        <v>299</v>
      </c>
      <c r="O1702" s="550">
        <v>0</v>
      </c>
      <c r="P1702" s="550">
        <v>669</v>
      </c>
      <c r="Q1702" s="550">
        <v>33</v>
      </c>
      <c r="R1702" s="574" t="s">
        <v>588</v>
      </c>
      <c r="S1702" s="255">
        <f>SUM(G1697:G1702) +SUM(K1697:K1702)</f>
        <v>275</v>
      </c>
      <c r="T1702" s="255">
        <f>F1702+J1702</f>
        <v>637</v>
      </c>
      <c r="U1702" s="255">
        <f>SUM(O1697:O1702)</f>
        <v>35</v>
      </c>
      <c r="V1702" s="255">
        <f>N1702</f>
        <v>299</v>
      </c>
      <c r="W1702" s="83">
        <f>SUM(Q1697:Q1702)</f>
        <v>300</v>
      </c>
      <c r="X1702" s="255">
        <f>P1702</f>
        <v>669</v>
      </c>
      <c r="Y1702" s="255">
        <f>S1702+U1702+SUM(Q1697:Q1702)</f>
        <v>610</v>
      </c>
      <c r="Z1702" s="255">
        <f>F1702+J1702+N1702+P1702</f>
        <v>1605</v>
      </c>
      <c r="AA1702" s="553"/>
      <c r="AB1702" s="553"/>
    </row>
    <row r="1703" spans="1:28" ht="12.75">
      <c r="A1703" s="547" t="s">
        <v>589</v>
      </c>
      <c r="B1703" s="547" t="s">
        <v>178</v>
      </c>
      <c r="C1703" s="548" t="s">
        <v>812</v>
      </c>
      <c r="D1703" s="549">
        <v>2014</v>
      </c>
      <c r="E1703" s="549" t="s">
        <v>775</v>
      </c>
      <c r="F1703" s="550">
        <v>209</v>
      </c>
      <c r="G1703" s="550">
        <v>0</v>
      </c>
      <c r="H1703" s="550">
        <v>0</v>
      </c>
      <c r="I1703" s="550">
        <v>0</v>
      </c>
      <c r="J1703" s="550">
        <v>149</v>
      </c>
      <c r="K1703" s="550">
        <v>0</v>
      </c>
      <c r="L1703" s="550">
        <v>0</v>
      </c>
      <c r="M1703" s="550">
        <v>0</v>
      </c>
      <c r="N1703" s="550">
        <v>172</v>
      </c>
      <c r="O1703" s="550">
        <v>0</v>
      </c>
      <c r="P1703" s="550">
        <v>400</v>
      </c>
      <c r="Q1703" s="550">
        <v>18</v>
      </c>
      <c r="R1703" s="574" t="s">
        <v>589</v>
      </c>
      <c r="S1703" s="552"/>
      <c r="T1703" s="552"/>
      <c r="U1703" s="552"/>
      <c r="V1703" s="552"/>
      <c r="W1703" s="552"/>
      <c r="X1703" s="552"/>
      <c r="Y1703" s="552"/>
      <c r="Z1703" s="552"/>
      <c r="AA1703" s="553"/>
      <c r="AB1703" s="553"/>
    </row>
    <row r="1704" spans="1:28" ht="12.75">
      <c r="A1704" s="547" t="s">
        <v>589</v>
      </c>
      <c r="B1704" s="547" t="s">
        <v>178</v>
      </c>
      <c r="C1704" s="548" t="s">
        <v>812</v>
      </c>
      <c r="D1704" s="549">
        <v>2015</v>
      </c>
      <c r="E1704" s="549" t="s">
        <v>775</v>
      </c>
      <c r="F1704" s="550">
        <v>209</v>
      </c>
      <c r="G1704" s="550">
        <v>0</v>
      </c>
      <c r="H1704" s="550">
        <v>0</v>
      </c>
      <c r="I1704" s="550">
        <v>0</v>
      </c>
      <c r="J1704" s="550">
        <v>149</v>
      </c>
      <c r="K1704" s="550">
        <v>0</v>
      </c>
      <c r="L1704" s="550">
        <v>0</v>
      </c>
      <c r="M1704" s="550">
        <v>0</v>
      </c>
      <c r="N1704" s="550">
        <v>172</v>
      </c>
      <c r="O1704" s="550">
        <v>0</v>
      </c>
      <c r="P1704" s="550">
        <v>400</v>
      </c>
      <c r="Q1704" s="550">
        <v>17</v>
      </c>
      <c r="R1704" s="574" t="s">
        <v>589</v>
      </c>
      <c r="S1704" s="552"/>
      <c r="T1704" s="552"/>
      <c r="U1704" s="552"/>
      <c r="V1704" s="552"/>
      <c r="W1704" s="552"/>
      <c r="X1704" s="552"/>
      <c r="Y1704" s="552"/>
      <c r="Z1704" s="552"/>
      <c r="AA1704" s="553"/>
      <c r="AB1704" s="553"/>
    </row>
    <row r="1705" spans="1:28" ht="12.75">
      <c r="A1705" s="547" t="s">
        <v>589</v>
      </c>
      <c r="B1705" s="547" t="s">
        <v>178</v>
      </c>
      <c r="C1705" s="548" t="s">
        <v>812</v>
      </c>
      <c r="D1705" s="549">
        <v>2016</v>
      </c>
      <c r="E1705" s="549" t="s">
        <v>775</v>
      </c>
      <c r="F1705" s="550">
        <v>209</v>
      </c>
      <c r="G1705" s="550">
        <v>0</v>
      </c>
      <c r="H1705" s="550">
        <v>0</v>
      </c>
      <c r="I1705" s="550">
        <v>0</v>
      </c>
      <c r="J1705" s="550">
        <v>149</v>
      </c>
      <c r="K1705" s="550">
        <v>0</v>
      </c>
      <c r="L1705" s="550">
        <v>0</v>
      </c>
      <c r="M1705" s="550">
        <v>0</v>
      </c>
      <c r="N1705" s="550">
        <v>172</v>
      </c>
      <c r="O1705" s="550">
        <v>0</v>
      </c>
      <c r="P1705" s="550">
        <v>400</v>
      </c>
      <c r="Q1705" s="550">
        <v>17</v>
      </c>
      <c r="R1705" s="574" t="s">
        <v>589</v>
      </c>
      <c r="S1705" s="552"/>
      <c r="T1705" s="552"/>
      <c r="U1705" s="552"/>
      <c r="V1705" s="552"/>
      <c r="W1705" s="552"/>
      <c r="X1705" s="552"/>
      <c r="Y1705" s="552"/>
      <c r="Z1705" s="552"/>
      <c r="AA1705" s="553"/>
      <c r="AB1705" s="553"/>
    </row>
    <row r="1706" spans="1:28" ht="12.75">
      <c r="A1706" s="547" t="s">
        <v>589</v>
      </c>
      <c r="B1706" s="547" t="s">
        <v>178</v>
      </c>
      <c r="C1706" s="548" t="s">
        <v>812</v>
      </c>
      <c r="D1706" s="549">
        <v>2017</v>
      </c>
      <c r="E1706" s="549" t="s">
        <v>775</v>
      </c>
      <c r="F1706" s="550">
        <v>209</v>
      </c>
      <c r="G1706" s="550">
        <v>0</v>
      </c>
      <c r="H1706" s="550">
        <v>0</v>
      </c>
      <c r="I1706" s="550">
        <v>0</v>
      </c>
      <c r="J1706" s="550">
        <v>149</v>
      </c>
      <c r="K1706" s="550">
        <v>0</v>
      </c>
      <c r="L1706" s="550">
        <v>0</v>
      </c>
      <c r="M1706" s="550">
        <v>0</v>
      </c>
      <c r="N1706" s="550">
        <v>172</v>
      </c>
      <c r="O1706" s="550">
        <v>0</v>
      </c>
      <c r="P1706" s="550">
        <v>400</v>
      </c>
      <c r="Q1706" s="550">
        <v>37</v>
      </c>
      <c r="R1706" s="574" t="s">
        <v>589</v>
      </c>
      <c r="S1706" s="552"/>
      <c r="T1706" s="552"/>
      <c r="U1706" s="552"/>
      <c r="V1706" s="552"/>
      <c r="W1706" s="552"/>
      <c r="X1706" s="552"/>
      <c r="Y1706" s="552"/>
      <c r="Z1706" s="552"/>
      <c r="AA1706" s="553"/>
      <c r="AB1706" s="553"/>
    </row>
    <row r="1707" spans="1:28" ht="12.75">
      <c r="A1707" s="547" t="s">
        <v>589</v>
      </c>
      <c r="B1707" s="547" t="s">
        <v>178</v>
      </c>
      <c r="C1707" s="548" t="s">
        <v>812</v>
      </c>
      <c r="D1707" s="549">
        <v>2018</v>
      </c>
      <c r="E1707" s="549" t="s">
        <v>775</v>
      </c>
      <c r="F1707" s="550">
        <v>209</v>
      </c>
      <c r="G1707" s="550">
        <v>0</v>
      </c>
      <c r="H1707" s="550">
        <v>0</v>
      </c>
      <c r="I1707" s="550">
        <v>0</v>
      </c>
      <c r="J1707" s="550">
        <v>149</v>
      </c>
      <c r="K1707" s="550">
        <v>0</v>
      </c>
      <c r="L1707" s="550">
        <v>0</v>
      </c>
      <c r="M1707" s="550">
        <v>0</v>
      </c>
      <c r="N1707" s="550">
        <v>172</v>
      </c>
      <c r="O1707" s="550">
        <v>0</v>
      </c>
      <c r="P1707" s="550">
        <v>400</v>
      </c>
      <c r="Q1707" s="550">
        <v>38</v>
      </c>
      <c r="R1707" s="574" t="s">
        <v>589</v>
      </c>
      <c r="S1707" s="552"/>
      <c r="T1707" s="552"/>
      <c r="U1707" s="552"/>
      <c r="V1707" s="552"/>
      <c r="W1707" s="552"/>
      <c r="X1707" s="552"/>
      <c r="Y1707" s="552"/>
      <c r="Z1707" s="552"/>
      <c r="AA1707" s="553"/>
      <c r="AB1707" s="553"/>
    </row>
    <row r="1708" spans="1:28" ht="12.75">
      <c r="A1708" s="547" t="s">
        <v>589</v>
      </c>
      <c r="B1708" s="547" t="s">
        <v>178</v>
      </c>
      <c r="C1708" s="548" t="s">
        <v>813</v>
      </c>
      <c r="D1708" s="549">
        <v>2019</v>
      </c>
      <c r="E1708" s="549" t="s">
        <v>775</v>
      </c>
      <c r="F1708" s="550">
        <v>209</v>
      </c>
      <c r="G1708" s="550">
        <v>0</v>
      </c>
      <c r="H1708" s="550">
        <v>0</v>
      </c>
      <c r="I1708" s="550">
        <v>0</v>
      </c>
      <c r="J1708" s="550">
        <v>149</v>
      </c>
      <c r="K1708" s="550">
        <v>0</v>
      </c>
      <c r="L1708" s="550">
        <v>0</v>
      </c>
      <c r="M1708" s="550">
        <v>0</v>
      </c>
      <c r="N1708" s="550">
        <v>172</v>
      </c>
      <c r="O1708" s="550">
        <v>0</v>
      </c>
      <c r="P1708" s="550">
        <v>400</v>
      </c>
      <c r="Q1708" s="550">
        <v>21</v>
      </c>
      <c r="R1708" s="574" t="s">
        <v>589</v>
      </c>
      <c r="S1708" s="556">
        <f>SUM(G1703:G1708) +SUM(K1703:K1708)</f>
        <v>0</v>
      </c>
      <c r="T1708" s="556">
        <f>F1708+J1708</f>
        <v>358</v>
      </c>
      <c r="U1708" s="556">
        <f>SUM(O1703:O1708)</f>
        <v>0</v>
      </c>
      <c r="V1708" s="556">
        <f>N1708</f>
        <v>172</v>
      </c>
      <c r="W1708" s="557">
        <f>SUM(Q1703:Q1708)</f>
        <v>148</v>
      </c>
      <c r="X1708" s="556">
        <f>P1708</f>
        <v>400</v>
      </c>
      <c r="Y1708" s="556">
        <f>S1708+U1708+SUM(Q1703:Q1708)</f>
        <v>148</v>
      </c>
      <c r="Z1708" s="556">
        <f>F1708+J1708+N1708+P1708</f>
        <v>930</v>
      </c>
      <c r="AA1708" s="553"/>
      <c r="AB1708" s="553"/>
    </row>
    <row r="1709" spans="1:28" ht="12.75">
      <c r="A1709" s="547"/>
      <c r="B1709" s="547"/>
      <c r="C1709" s="548"/>
      <c r="D1709" s="549"/>
      <c r="E1709" s="549"/>
      <c r="F1709" s="550"/>
      <c r="G1709" s="550"/>
      <c r="H1709" s="550"/>
      <c r="I1709" s="550"/>
      <c r="J1709" s="550"/>
      <c r="K1709" s="550"/>
      <c r="L1709" s="550"/>
      <c r="M1709" s="550"/>
      <c r="N1709" s="550"/>
      <c r="O1709" s="550"/>
      <c r="P1709" s="550"/>
      <c r="Q1709" s="550"/>
      <c r="R1709" s="574"/>
      <c r="S1709" s="563">
        <f t="shared" ref="S1709:Z1709" si="206">SUM(S1589:S1708)</f>
        <v>1849</v>
      </c>
      <c r="T1709" s="563">
        <f t="shared" si="206"/>
        <v>22664</v>
      </c>
      <c r="U1709" s="563">
        <f t="shared" si="206"/>
        <v>4081</v>
      </c>
      <c r="V1709" s="563">
        <f t="shared" si="206"/>
        <v>10490</v>
      </c>
      <c r="W1709" s="563">
        <f t="shared" si="206"/>
        <v>17489</v>
      </c>
      <c r="X1709" s="563">
        <f t="shared" si="206"/>
        <v>24053</v>
      </c>
      <c r="Y1709" s="563">
        <f t="shared" si="206"/>
        <v>23419</v>
      </c>
      <c r="Z1709" s="563">
        <f t="shared" si="206"/>
        <v>57207</v>
      </c>
      <c r="AA1709" s="553"/>
      <c r="AB1709" s="553"/>
    </row>
    <row r="1710" spans="1:28" ht="12.75">
      <c r="A1710" s="547" t="s">
        <v>590</v>
      </c>
      <c r="B1710" s="547" t="s">
        <v>179</v>
      </c>
      <c r="C1710" s="548" t="s">
        <v>855</v>
      </c>
      <c r="D1710" s="549">
        <v>2013</v>
      </c>
      <c r="E1710" s="549" t="s">
        <v>775</v>
      </c>
      <c r="F1710" s="550">
        <v>912</v>
      </c>
      <c r="G1710" s="550">
        <v>35</v>
      </c>
      <c r="H1710" s="550">
        <v>35</v>
      </c>
      <c r="I1710" s="550">
        <v>0</v>
      </c>
      <c r="J1710" s="550">
        <v>693</v>
      </c>
      <c r="K1710" s="550">
        <v>29</v>
      </c>
      <c r="L1710" s="550">
        <v>28</v>
      </c>
      <c r="M1710" s="550">
        <v>1</v>
      </c>
      <c r="N1710" s="550">
        <v>1062</v>
      </c>
      <c r="O1710" s="550">
        <v>104</v>
      </c>
      <c r="P1710" s="550">
        <v>2332</v>
      </c>
      <c r="Q1710" s="550">
        <v>1136</v>
      </c>
      <c r="R1710" s="574" t="s">
        <v>590</v>
      </c>
      <c r="S1710" s="552"/>
      <c r="T1710" s="552"/>
      <c r="U1710" s="552"/>
      <c r="V1710" s="552"/>
      <c r="W1710" s="552"/>
      <c r="X1710" s="552"/>
      <c r="Y1710" s="552"/>
      <c r="Z1710" s="552"/>
      <c r="AA1710" s="553"/>
      <c r="AB1710" s="553"/>
    </row>
    <row r="1711" spans="1:28" ht="12.75">
      <c r="A1711" s="547" t="s">
        <v>590</v>
      </c>
      <c r="B1711" s="547" t="s">
        <v>179</v>
      </c>
      <c r="C1711" s="548" t="s">
        <v>855</v>
      </c>
      <c r="D1711" s="549">
        <v>2014</v>
      </c>
      <c r="E1711" s="549" t="s">
        <v>775</v>
      </c>
      <c r="F1711" s="550">
        <v>912</v>
      </c>
      <c r="G1711" s="550">
        <v>0</v>
      </c>
      <c r="H1711" s="550">
        <v>0</v>
      </c>
      <c r="I1711" s="550">
        <v>0</v>
      </c>
      <c r="J1711" s="550">
        <v>693</v>
      </c>
      <c r="K1711" s="550">
        <v>7</v>
      </c>
      <c r="L1711" s="550">
        <v>7</v>
      </c>
      <c r="M1711" s="550">
        <v>0</v>
      </c>
      <c r="N1711" s="550">
        <v>1062</v>
      </c>
      <c r="O1711" s="550">
        <v>13</v>
      </c>
      <c r="P1711" s="550">
        <v>2332</v>
      </c>
      <c r="Q1711" s="550">
        <v>235</v>
      </c>
      <c r="R1711" s="574" t="s">
        <v>590</v>
      </c>
      <c r="S1711" s="552"/>
      <c r="T1711" s="552"/>
      <c r="U1711" s="552"/>
      <c r="V1711" s="552"/>
      <c r="W1711" s="552"/>
      <c r="X1711" s="552"/>
      <c r="Y1711" s="552"/>
      <c r="Z1711" s="552"/>
      <c r="AA1711" s="553"/>
      <c r="AB1711" s="553"/>
    </row>
    <row r="1712" spans="1:28" ht="12.75">
      <c r="A1712" s="547" t="s">
        <v>590</v>
      </c>
      <c r="B1712" s="547" t="s">
        <v>179</v>
      </c>
      <c r="C1712" s="548" t="s">
        <v>855</v>
      </c>
      <c r="D1712" s="549">
        <v>2015</v>
      </c>
      <c r="E1712" s="549" t="s">
        <v>775</v>
      </c>
      <c r="F1712" s="550">
        <v>912</v>
      </c>
      <c r="G1712" s="550">
        <v>0</v>
      </c>
      <c r="H1712" s="550">
        <v>0</v>
      </c>
      <c r="I1712" s="550">
        <v>0</v>
      </c>
      <c r="J1712" s="550">
        <v>693</v>
      </c>
      <c r="K1712" s="550">
        <v>9</v>
      </c>
      <c r="L1712" s="550">
        <v>9</v>
      </c>
      <c r="M1712" s="550">
        <v>0</v>
      </c>
      <c r="N1712" s="550">
        <v>1062</v>
      </c>
      <c r="O1712" s="550">
        <v>20</v>
      </c>
      <c r="P1712" s="550">
        <v>2332</v>
      </c>
      <c r="Q1712" s="550">
        <v>200</v>
      </c>
      <c r="R1712" s="574" t="s">
        <v>590</v>
      </c>
      <c r="S1712" s="552"/>
      <c r="T1712" s="552"/>
      <c r="U1712" s="552"/>
      <c r="V1712" s="552"/>
      <c r="W1712" s="552"/>
      <c r="X1712" s="552"/>
      <c r="Y1712" s="552"/>
      <c r="Z1712" s="552"/>
      <c r="AA1712" s="553"/>
      <c r="AB1712" s="553"/>
    </row>
    <row r="1713" spans="1:28" ht="12.75">
      <c r="A1713" s="547" t="s">
        <v>590</v>
      </c>
      <c r="B1713" s="547" t="s">
        <v>179</v>
      </c>
      <c r="C1713" s="548" t="s">
        <v>855</v>
      </c>
      <c r="D1713" s="549">
        <v>2016</v>
      </c>
      <c r="E1713" s="549" t="s">
        <v>775</v>
      </c>
      <c r="F1713" s="550">
        <v>912</v>
      </c>
      <c r="G1713" s="550">
        <v>7</v>
      </c>
      <c r="H1713" s="550">
        <v>7</v>
      </c>
      <c r="I1713" s="550">
        <v>0</v>
      </c>
      <c r="J1713" s="550">
        <v>693</v>
      </c>
      <c r="K1713" s="550">
        <v>163</v>
      </c>
      <c r="L1713" s="550">
        <v>163</v>
      </c>
      <c r="M1713" s="550">
        <v>0</v>
      </c>
      <c r="N1713" s="550">
        <v>1062</v>
      </c>
      <c r="O1713" s="550">
        <v>74</v>
      </c>
      <c r="P1713" s="550">
        <v>2332</v>
      </c>
      <c r="Q1713" s="550">
        <v>439</v>
      </c>
      <c r="R1713" s="574" t="s">
        <v>590</v>
      </c>
      <c r="S1713" s="552"/>
      <c r="T1713" s="552"/>
      <c r="U1713" s="552"/>
      <c r="V1713" s="552"/>
      <c r="W1713" s="552"/>
      <c r="X1713" s="552"/>
      <c r="Y1713" s="552"/>
      <c r="Z1713" s="552"/>
      <c r="AA1713" s="553"/>
      <c r="AB1713" s="553"/>
    </row>
    <row r="1714" spans="1:28" ht="12.75">
      <c r="A1714" s="547" t="s">
        <v>590</v>
      </c>
      <c r="B1714" s="547" t="s">
        <v>179</v>
      </c>
      <c r="C1714" s="548" t="s">
        <v>855</v>
      </c>
      <c r="D1714" s="549">
        <v>2017</v>
      </c>
      <c r="E1714" s="549" t="s">
        <v>775</v>
      </c>
      <c r="F1714" s="550">
        <v>912</v>
      </c>
      <c r="G1714" s="550">
        <v>0</v>
      </c>
      <c r="H1714" s="550">
        <v>0</v>
      </c>
      <c r="I1714" s="550">
        <v>0</v>
      </c>
      <c r="J1714" s="550">
        <v>693</v>
      </c>
      <c r="K1714" s="550">
        <v>10</v>
      </c>
      <c r="L1714" s="550">
        <v>8</v>
      </c>
      <c r="M1714" s="550">
        <v>2</v>
      </c>
      <c r="N1714" s="550">
        <v>1062</v>
      </c>
      <c r="O1714" s="550">
        <v>18</v>
      </c>
      <c r="P1714" s="550">
        <v>2332</v>
      </c>
      <c r="Q1714" s="550">
        <v>624</v>
      </c>
      <c r="R1714" s="574" t="s">
        <v>590</v>
      </c>
      <c r="S1714" s="552"/>
      <c r="T1714" s="552"/>
      <c r="U1714" s="552"/>
      <c r="V1714" s="552"/>
      <c r="W1714" s="552"/>
      <c r="X1714" s="552"/>
      <c r="Y1714" s="552"/>
      <c r="Z1714" s="552"/>
      <c r="AA1714" s="553"/>
      <c r="AB1714" s="553"/>
    </row>
    <row r="1715" spans="1:28" ht="12.75">
      <c r="A1715" s="547" t="s">
        <v>590</v>
      </c>
      <c r="B1715" s="547" t="s">
        <v>179</v>
      </c>
      <c r="C1715" s="548" t="s">
        <v>855</v>
      </c>
      <c r="D1715" s="549">
        <v>2018</v>
      </c>
      <c r="E1715" s="549" t="s">
        <v>775</v>
      </c>
      <c r="F1715" s="550">
        <v>912</v>
      </c>
      <c r="G1715" s="550">
        <v>0</v>
      </c>
      <c r="H1715" s="550">
        <v>0</v>
      </c>
      <c r="I1715" s="550">
        <v>0</v>
      </c>
      <c r="J1715" s="550">
        <v>693</v>
      </c>
      <c r="K1715" s="550">
        <v>5</v>
      </c>
      <c r="L1715" s="550">
        <v>4</v>
      </c>
      <c r="M1715" s="550">
        <v>1</v>
      </c>
      <c r="N1715" s="550">
        <v>1062</v>
      </c>
      <c r="O1715" s="550">
        <v>28</v>
      </c>
      <c r="P1715" s="550">
        <v>2332</v>
      </c>
      <c r="Q1715" s="550">
        <v>182</v>
      </c>
      <c r="R1715" s="574" t="s">
        <v>590</v>
      </c>
      <c r="S1715" s="552"/>
      <c r="T1715" s="552"/>
      <c r="U1715" s="552"/>
      <c r="V1715" s="552"/>
      <c r="W1715" s="552"/>
      <c r="X1715" s="552"/>
      <c r="Y1715" s="552"/>
      <c r="Z1715" s="552"/>
      <c r="AA1715" s="553"/>
      <c r="AB1715" s="553"/>
    </row>
    <row r="1716" spans="1:28" ht="12.75">
      <c r="A1716" s="547" t="s">
        <v>590</v>
      </c>
      <c r="B1716" s="547" t="s">
        <v>179</v>
      </c>
      <c r="C1716" s="548" t="s">
        <v>856</v>
      </c>
      <c r="D1716" s="549">
        <v>2019</v>
      </c>
      <c r="E1716" s="549" t="s">
        <v>775</v>
      </c>
      <c r="F1716" s="550">
        <v>912</v>
      </c>
      <c r="G1716" s="550">
        <v>2</v>
      </c>
      <c r="H1716" s="550">
        <v>0</v>
      </c>
      <c r="I1716" s="550">
        <v>2</v>
      </c>
      <c r="J1716" s="550">
        <v>693</v>
      </c>
      <c r="K1716" s="550">
        <v>49</v>
      </c>
      <c r="L1716" s="550">
        <v>47</v>
      </c>
      <c r="M1716" s="550">
        <v>2</v>
      </c>
      <c r="N1716" s="550">
        <v>1062</v>
      </c>
      <c r="O1716" s="550">
        <v>59</v>
      </c>
      <c r="P1716" s="550">
        <v>2332</v>
      </c>
      <c r="Q1716" s="550">
        <v>212</v>
      </c>
      <c r="R1716" s="574" t="s">
        <v>590</v>
      </c>
      <c r="S1716" s="552">
        <f>SUM(G1710:G1716) +SUM(K1710:K1716)</f>
        <v>316</v>
      </c>
      <c r="T1716" s="552">
        <f>F1716+J1716</f>
        <v>1605</v>
      </c>
      <c r="U1716" s="552">
        <f>SUM(O1710:O1716)</f>
        <v>316</v>
      </c>
      <c r="V1716" s="552">
        <f>N1716</f>
        <v>1062</v>
      </c>
      <c r="W1716" s="554">
        <f>SUM(Q1710:Q1716)</f>
        <v>3028</v>
      </c>
      <c r="X1716" s="552">
        <f>P1716</f>
        <v>2332</v>
      </c>
      <c r="Y1716" s="552">
        <f>S1716+U1716+SUM(Q1710:Q1716)</f>
        <v>3660</v>
      </c>
      <c r="Z1716" s="552">
        <f>F1716+J1716+N1716+P1716</f>
        <v>4999</v>
      </c>
      <c r="AA1716" s="553"/>
      <c r="AB1716" s="553"/>
    </row>
    <row r="1717" spans="1:28" ht="12.75">
      <c r="A1717" s="547" t="s">
        <v>591</v>
      </c>
      <c r="B1717" s="547" t="s">
        <v>179</v>
      </c>
      <c r="C1717" s="548" t="s">
        <v>855</v>
      </c>
      <c r="D1717" s="549">
        <v>2013</v>
      </c>
      <c r="E1717" s="549" t="s">
        <v>775</v>
      </c>
      <c r="F1717" s="550">
        <v>3209</v>
      </c>
      <c r="G1717" s="550">
        <v>69</v>
      </c>
      <c r="H1717" s="550">
        <v>69</v>
      </c>
      <c r="I1717" s="550">
        <v>0</v>
      </c>
      <c r="J1717" s="550">
        <v>2439</v>
      </c>
      <c r="K1717" s="550">
        <v>371</v>
      </c>
      <c r="L1717" s="550">
        <v>371</v>
      </c>
      <c r="M1717" s="550">
        <v>0</v>
      </c>
      <c r="N1717" s="550">
        <v>2257</v>
      </c>
      <c r="O1717" s="550">
        <v>302</v>
      </c>
      <c r="P1717" s="550">
        <v>4956</v>
      </c>
      <c r="Q1717" s="550">
        <v>2300</v>
      </c>
      <c r="R1717" s="574" t="s">
        <v>591</v>
      </c>
      <c r="S1717" s="552"/>
      <c r="T1717" s="552"/>
      <c r="U1717" s="552"/>
      <c r="V1717" s="552"/>
      <c r="W1717" s="552"/>
      <c r="X1717" s="552"/>
      <c r="Y1717" s="552"/>
      <c r="Z1717" s="552"/>
      <c r="AA1717" s="553"/>
      <c r="AB1717" s="553"/>
    </row>
    <row r="1718" spans="1:28" ht="12.75">
      <c r="A1718" s="547" t="s">
        <v>591</v>
      </c>
      <c r="B1718" s="547" t="s">
        <v>179</v>
      </c>
      <c r="C1718" s="548" t="s">
        <v>855</v>
      </c>
      <c r="D1718" s="549">
        <v>2014</v>
      </c>
      <c r="E1718" s="549" t="s">
        <v>775</v>
      </c>
      <c r="F1718" s="550">
        <v>3209</v>
      </c>
      <c r="G1718" s="550">
        <v>24</v>
      </c>
      <c r="H1718" s="550">
        <v>24</v>
      </c>
      <c r="I1718" s="550">
        <v>0</v>
      </c>
      <c r="J1718" s="550">
        <v>2439</v>
      </c>
      <c r="K1718" s="550">
        <v>8</v>
      </c>
      <c r="L1718" s="550">
        <v>8</v>
      </c>
      <c r="M1718" s="550">
        <v>0</v>
      </c>
      <c r="N1718" s="550">
        <v>2257</v>
      </c>
      <c r="O1718" s="550">
        <v>11</v>
      </c>
      <c r="P1718" s="550">
        <v>4956</v>
      </c>
      <c r="Q1718" s="550">
        <v>956</v>
      </c>
      <c r="R1718" s="574" t="s">
        <v>591</v>
      </c>
      <c r="S1718" s="552"/>
      <c r="T1718" s="552"/>
      <c r="U1718" s="552"/>
      <c r="V1718" s="552"/>
      <c r="W1718" s="552"/>
      <c r="X1718" s="552"/>
      <c r="Y1718" s="552"/>
      <c r="Z1718" s="552"/>
      <c r="AA1718" s="553"/>
      <c r="AB1718" s="553"/>
    </row>
    <row r="1719" spans="1:28" ht="12.75">
      <c r="A1719" s="547" t="s">
        <v>591</v>
      </c>
      <c r="B1719" s="547" t="s">
        <v>179</v>
      </c>
      <c r="C1719" s="548" t="s">
        <v>855</v>
      </c>
      <c r="D1719" s="549">
        <v>2015</v>
      </c>
      <c r="E1719" s="549" t="s">
        <v>775</v>
      </c>
      <c r="F1719" s="550">
        <v>3209</v>
      </c>
      <c r="G1719" s="550">
        <v>0</v>
      </c>
      <c r="H1719" s="550">
        <v>0</v>
      </c>
      <c r="I1719" s="550">
        <v>0</v>
      </c>
      <c r="J1719" s="550">
        <v>2439</v>
      </c>
      <c r="K1719" s="550">
        <v>0</v>
      </c>
      <c r="L1719" s="550">
        <v>0</v>
      </c>
      <c r="M1719" s="550">
        <v>0</v>
      </c>
      <c r="N1719" s="550">
        <v>2257</v>
      </c>
      <c r="O1719" s="550">
        <v>0</v>
      </c>
      <c r="P1719" s="550">
        <v>4956</v>
      </c>
      <c r="Q1719" s="550">
        <v>689</v>
      </c>
      <c r="R1719" s="574" t="s">
        <v>591</v>
      </c>
      <c r="S1719" s="552"/>
      <c r="T1719" s="552"/>
      <c r="U1719" s="552"/>
      <c r="V1719" s="552"/>
      <c r="W1719" s="552"/>
      <c r="X1719" s="552"/>
      <c r="Y1719" s="552"/>
      <c r="Z1719" s="552"/>
      <c r="AA1719" s="553"/>
      <c r="AB1719" s="553"/>
    </row>
    <row r="1720" spans="1:28" ht="12.75">
      <c r="A1720" s="547" t="s">
        <v>591</v>
      </c>
      <c r="B1720" s="547" t="s">
        <v>179</v>
      </c>
      <c r="C1720" s="548" t="s">
        <v>855</v>
      </c>
      <c r="D1720" s="549">
        <v>2016</v>
      </c>
      <c r="E1720" s="549" t="s">
        <v>775</v>
      </c>
      <c r="F1720" s="550">
        <v>3209</v>
      </c>
      <c r="G1720" s="550">
        <v>22</v>
      </c>
      <c r="H1720" s="550">
        <v>22</v>
      </c>
      <c r="I1720" s="550">
        <v>0</v>
      </c>
      <c r="J1720" s="550">
        <v>2439</v>
      </c>
      <c r="K1720" s="550">
        <v>186</v>
      </c>
      <c r="L1720" s="550">
        <v>186</v>
      </c>
      <c r="M1720" s="550">
        <v>0</v>
      </c>
      <c r="N1720" s="550">
        <v>2257</v>
      </c>
      <c r="O1720" s="550">
        <v>2</v>
      </c>
      <c r="P1720" s="550">
        <v>4956</v>
      </c>
      <c r="Q1720" s="550">
        <v>849</v>
      </c>
      <c r="R1720" s="574" t="s">
        <v>591</v>
      </c>
      <c r="S1720" s="552"/>
      <c r="T1720" s="552"/>
      <c r="U1720" s="552"/>
      <c r="V1720" s="552"/>
      <c r="W1720" s="552"/>
      <c r="X1720" s="552"/>
      <c r="Y1720" s="552"/>
      <c r="Z1720" s="552"/>
      <c r="AA1720" s="553"/>
      <c r="AB1720" s="553"/>
    </row>
    <row r="1721" spans="1:28" ht="12.75">
      <c r="A1721" s="547" t="s">
        <v>591</v>
      </c>
      <c r="B1721" s="547" t="s">
        <v>179</v>
      </c>
      <c r="C1721" s="548" t="s">
        <v>855</v>
      </c>
      <c r="D1721" s="549">
        <v>2017</v>
      </c>
      <c r="E1721" s="549" t="s">
        <v>775</v>
      </c>
      <c r="F1721" s="550">
        <v>3209</v>
      </c>
      <c r="G1721" s="550">
        <v>0</v>
      </c>
      <c r="H1721" s="550">
        <v>0</v>
      </c>
      <c r="I1721" s="550">
        <v>0</v>
      </c>
      <c r="J1721" s="550">
        <v>2439</v>
      </c>
      <c r="K1721" s="550">
        <v>0</v>
      </c>
      <c r="L1721" s="550">
        <v>0</v>
      </c>
      <c r="M1721" s="550">
        <v>0</v>
      </c>
      <c r="N1721" s="550">
        <v>2257</v>
      </c>
      <c r="O1721" s="550">
        <v>13</v>
      </c>
      <c r="P1721" s="550">
        <v>4956</v>
      </c>
      <c r="Q1721" s="550">
        <v>1043</v>
      </c>
      <c r="R1721" s="574" t="s">
        <v>591</v>
      </c>
      <c r="S1721" s="552"/>
      <c r="T1721" s="552"/>
      <c r="U1721" s="552"/>
      <c r="V1721" s="552"/>
      <c r="W1721" s="552"/>
      <c r="X1721" s="552"/>
      <c r="Y1721" s="552"/>
      <c r="Z1721" s="552"/>
      <c r="AA1721" s="553"/>
      <c r="AB1721" s="553"/>
    </row>
    <row r="1722" spans="1:28" ht="12.75">
      <c r="A1722" s="547" t="s">
        <v>591</v>
      </c>
      <c r="B1722" s="547" t="s">
        <v>179</v>
      </c>
      <c r="C1722" s="548" t="s">
        <v>855</v>
      </c>
      <c r="D1722" s="549">
        <v>2018</v>
      </c>
      <c r="E1722" s="549" t="s">
        <v>775</v>
      </c>
      <c r="F1722" s="550">
        <v>3209</v>
      </c>
      <c r="G1722" s="550">
        <v>0</v>
      </c>
      <c r="H1722" s="550">
        <v>0</v>
      </c>
      <c r="I1722" s="550">
        <v>0</v>
      </c>
      <c r="J1722" s="550">
        <v>2439</v>
      </c>
      <c r="K1722" s="550">
        <v>0</v>
      </c>
      <c r="L1722" s="550">
        <v>0</v>
      </c>
      <c r="M1722" s="550">
        <v>0</v>
      </c>
      <c r="N1722" s="550">
        <v>2257</v>
      </c>
      <c r="O1722" s="550">
        <v>0</v>
      </c>
      <c r="P1722" s="550">
        <v>4956</v>
      </c>
      <c r="Q1722" s="550">
        <v>1777</v>
      </c>
      <c r="R1722" s="574" t="s">
        <v>591</v>
      </c>
      <c r="S1722" s="552"/>
      <c r="T1722" s="552"/>
      <c r="U1722" s="552"/>
      <c r="V1722" s="552"/>
      <c r="W1722" s="552"/>
      <c r="X1722" s="552"/>
      <c r="Y1722" s="552"/>
      <c r="Z1722" s="552"/>
      <c r="AA1722" s="553"/>
      <c r="AB1722" s="553"/>
    </row>
    <row r="1723" spans="1:28" ht="12.75">
      <c r="A1723" s="547" t="s">
        <v>591</v>
      </c>
      <c r="B1723" s="547" t="s">
        <v>179</v>
      </c>
      <c r="C1723" s="548" t="s">
        <v>856</v>
      </c>
      <c r="D1723" s="549">
        <v>2019</v>
      </c>
      <c r="E1723" s="549" t="s">
        <v>775</v>
      </c>
      <c r="F1723" s="550">
        <v>3209</v>
      </c>
      <c r="G1723" s="550">
        <v>0</v>
      </c>
      <c r="H1723" s="550">
        <v>0</v>
      </c>
      <c r="I1723" s="550">
        <v>0</v>
      </c>
      <c r="J1723" s="550">
        <v>2439</v>
      </c>
      <c r="K1723" s="550">
        <v>0</v>
      </c>
      <c r="L1723" s="550">
        <v>0</v>
      </c>
      <c r="M1723" s="550">
        <v>0</v>
      </c>
      <c r="N1723" s="550">
        <v>2257</v>
      </c>
      <c r="O1723" s="550">
        <v>0</v>
      </c>
      <c r="P1723" s="550">
        <v>4956</v>
      </c>
      <c r="Q1723" s="550">
        <v>840</v>
      </c>
      <c r="R1723" s="574" t="s">
        <v>591</v>
      </c>
      <c r="S1723" s="552">
        <f>SUM(G1717:G1723) +SUM(K1717:K1723)</f>
        <v>680</v>
      </c>
      <c r="T1723" s="552">
        <f>F1723+J1723</f>
        <v>5648</v>
      </c>
      <c r="U1723" s="552">
        <f>SUM(O1717:O1723)</f>
        <v>328</v>
      </c>
      <c r="V1723" s="552">
        <f>N1723</f>
        <v>2257</v>
      </c>
      <c r="W1723" s="554">
        <f>SUM(Q1717:Q1723)</f>
        <v>8454</v>
      </c>
      <c r="X1723" s="552">
        <f>P1723</f>
        <v>4956</v>
      </c>
      <c r="Y1723" s="552">
        <f>S1723+U1723+SUM(Q1717:Q1723)</f>
        <v>9462</v>
      </c>
      <c r="Z1723" s="552">
        <f>F1723+J1723+N1723+P1723</f>
        <v>12861</v>
      </c>
      <c r="AA1723" s="553"/>
      <c r="AB1723" s="553"/>
    </row>
    <row r="1724" spans="1:28" ht="12.75">
      <c r="A1724" s="547" t="s">
        <v>592</v>
      </c>
      <c r="B1724" s="547" t="s">
        <v>179</v>
      </c>
      <c r="C1724" s="548" t="s">
        <v>855</v>
      </c>
      <c r="D1724" s="549">
        <v>2013</v>
      </c>
      <c r="E1724" s="549" t="s">
        <v>775</v>
      </c>
      <c r="F1724" s="550">
        <v>13</v>
      </c>
      <c r="G1724" s="550">
        <v>12</v>
      </c>
      <c r="H1724" s="550">
        <v>12</v>
      </c>
      <c r="I1724" s="550">
        <v>0</v>
      </c>
      <c r="J1724" s="550">
        <v>9</v>
      </c>
      <c r="K1724" s="550">
        <v>0</v>
      </c>
      <c r="L1724" s="550">
        <v>0</v>
      </c>
      <c r="M1724" s="550">
        <v>0</v>
      </c>
      <c r="N1724" s="550">
        <v>9</v>
      </c>
      <c r="O1724" s="550">
        <v>0</v>
      </c>
      <c r="P1724" s="550">
        <v>19</v>
      </c>
      <c r="Q1724" s="550">
        <v>113</v>
      </c>
      <c r="R1724" s="574" t="s">
        <v>592</v>
      </c>
      <c r="S1724" s="552"/>
      <c r="T1724" s="552"/>
      <c r="U1724" s="552"/>
      <c r="V1724" s="552"/>
      <c r="W1724" s="552"/>
      <c r="X1724" s="552"/>
      <c r="Y1724" s="552"/>
      <c r="Z1724" s="552"/>
      <c r="AA1724" s="553"/>
      <c r="AB1724" s="553"/>
    </row>
    <row r="1725" spans="1:28" ht="12.75">
      <c r="A1725" s="547" t="s">
        <v>592</v>
      </c>
      <c r="B1725" s="547" t="s">
        <v>179</v>
      </c>
      <c r="C1725" s="548" t="s">
        <v>855</v>
      </c>
      <c r="D1725" s="549">
        <v>2014</v>
      </c>
      <c r="E1725" s="549" t="s">
        <v>775</v>
      </c>
      <c r="F1725" s="550">
        <v>13</v>
      </c>
      <c r="G1725" s="550">
        <v>0</v>
      </c>
      <c r="H1725" s="550">
        <v>0</v>
      </c>
      <c r="I1725" s="550">
        <v>0</v>
      </c>
      <c r="J1725" s="550">
        <v>9</v>
      </c>
      <c r="K1725" s="550">
        <v>0</v>
      </c>
      <c r="L1725" s="550">
        <v>0</v>
      </c>
      <c r="M1725" s="550">
        <v>0</v>
      </c>
      <c r="N1725" s="550">
        <v>9</v>
      </c>
      <c r="O1725" s="550">
        <v>0</v>
      </c>
      <c r="P1725" s="550">
        <v>19</v>
      </c>
      <c r="Q1725" s="550">
        <v>37</v>
      </c>
      <c r="R1725" s="574" t="s">
        <v>592</v>
      </c>
      <c r="S1725" s="552"/>
      <c r="T1725" s="552"/>
      <c r="U1725" s="552"/>
      <c r="V1725" s="552"/>
      <c r="W1725" s="552"/>
      <c r="X1725" s="552"/>
      <c r="Y1725" s="552"/>
      <c r="Z1725" s="552"/>
      <c r="AA1725" s="553"/>
      <c r="AB1725" s="553"/>
    </row>
    <row r="1726" spans="1:28" ht="12.75">
      <c r="A1726" s="547" t="s">
        <v>592</v>
      </c>
      <c r="B1726" s="547" t="s">
        <v>179</v>
      </c>
      <c r="C1726" s="548" t="s">
        <v>855</v>
      </c>
      <c r="D1726" s="549">
        <v>2015</v>
      </c>
      <c r="E1726" s="549" t="s">
        <v>775</v>
      </c>
      <c r="F1726" s="550">
        <v>13</v>
      </c>
      <c r="G1726" s="550">
        <v>0</v>
      </c>
      <c r="H1726" s="550">
        <v>0</v>
      </c>
      <c r="I1726" s="550">
        <v>0</v>
      </c>
      <c r="J1726" s="550">
        <v>9</v>
      </c>
      <c r="K1726" s="550">
        <v>0</v>
      </c>
      <c r="L1726" s="550">
        <v>0</v>
      </c>
      <c r="M1726" s="550">
        <v>0</v>
      </c>
      <c r="N1726" s="550">
        <v>9</v>
      </c>
      <c r="O1726" s="550">
        <v>0</v>
      </c>
      <c r="P1726" s="550">
        <v>19</v>
      </c>
      <c r="Q1726" s="550">
        <v>53</v>
      </c>
      <c r="R1726" s="574" t="s">
        <v>592</v>
      </c>
      <c r="S1726" s="552"/>
      <c r="T1726" s="552"/>
      <c r="U1726" s="552"/>
      <c r="V1726" s="552"/>
      <c r="W1726" s="552"/>
      <c r="X1726" s="552"/>
      <c r="Y1726" s="552"/>
      <c r="Z1726" s="552"/>
      <c r="AA1726" s="553"/>
      <c r="AB1726" s="553"/>
    </row>
    <row r="1727" spans="1:28" ht="12.75">
      <c r="A1727" s="547" t="s">
        <v>592</v>
      </c>
      <c r="B1727" s="547" t="s">
        <v>179</v>
      </c>
      <c r="C1727" s="548" t="s">
        <v>855</v>
      </c>
      <c r="D1727" s="549">
        <v>2016</v>
      </c>
      <c r="E1727" s="549" t="s">
        <v>775</v>
      </c>
      <c r="F1727" s="550">
        <v>13</v>
      </c>
      <c r="G1727" s="550">
        <v>0</v>
      </c>
      <c r="H1727" s="550">
        <v>0</v>
      </c>
      <c r="I1727" s="550">
        <v>0</v>
      </c>
      <c r="J1727" s="550">
        <v>9</v>
      </c>
      <c r="K1727" s="550">
        <v>0</v>
      </c>
      <c r="L1727" s="550">
        <v>0</v>
      </c>
      <c r="M1727" s="550">
        <v>0</v>
      </c>
      <c r="N1727" s="550">
        <v>9</v>
      </c>
      <c r="O1727" s="550">
        <v>0</v>
      </c>
      <c r="P1727" s="550">
        <v>19</v>
      </c>
      <c r="Q1727" s="550">
        <v>63</v>
      </c>
      <c r="R1727" s="574" t="s">
        <v>592</v>
      </c>
      <c r="S1727" s="552"/>
      <c r="T1727" s="552"/>
      <c r="U1727" s="552"/>
      <c r="V1727" s="552"/>
      <c r="W1727" s="552"/>
      <c r="X1727" s="552"/>
      <c r="Y1727" s="552"/>
      <c r="Z1727" s="552"/>
      <c r="AA1727" s="553"/>
      <c r="AB1727" s="553"/>
    </row>
    <row r="1728" spans="1:28" ht="12.75">
      <c r="A1728" s="547" t="s">
        <v>592</v>
      </c>
      <c r="B1728" s="547" t="s">
        <v>179</v>
      </c>
      <c r="C1728" s="548" t="s">
        <v>855</v>
      </c>
      <c r="D1728" s="549">
        <v>2017</v>
      </c>
      <c r="E1728" s="549" t="s">
        <v>775</v>
      </c>
      <c r="F1728" s="550">
        <v>13</v>
      </c>
      <c r="G1728" s="550">
        <v>0</v>
      </c>
      <c r="H1728" s="550">
        <v>0</v>
      </c>
      <c r="I1728" s="550">
        <v>0</v>
      </c>
      <c r="J1728" s="550">
        <v>9</v>
      </c>
      <c r="K1728" s="550">
        <v>0</v>
      </c>
      <c r="L1728" s="550">
        <v>0</v>
      </c>
      <c r="M1728" s="550">
        <v>0</v>
      </c>
      <c r="N1728" s="550">
        <v>9</v>
      </c>
      <c r="O1728" s="550">
        <v>0</v>
      </c>
      <c r="P1728" s="550">
        <v>19</v>
      </c>
      <c r="Q1728" s="550">
        <v>36</v>
      </c>
      <c r="R1728" s="574" t="s">
        <v>592</v>
      </c>
      <c r="S1728" s="552"/>
      <c r="T1728" s="552"/>
      <c r="U1728" s="552"/>
      <c r="V1728" s="552"/>
      <c r="W1728" s="552"/>
      <c r="X1728" s="552"/>
      <c r="Y1728" s="552"/>
      <c r="Z1728" s="552"/>
      <c r="AA1728" s="553"/>
      <c r="AB1728" s="553"/>
    </row>
    <row r="1729" spans="1:28" ht="12.75">
      <c r="A1729" s="547" t="s">
        <v>592</v>
      </c>
      <c r="B1729" s="547" t="s">
        <v>179</v>
      </c>
      <c r="C1729" s="548" t="s">
        <v>855</v>
      </c>
      <c r="D1729" s="549">
        <v>2018</v>
      </c>
      <c r="E1729" s="549" t="s">
        <v>775</v>
      </c>
      <c r="F1729" s="550">
        <v>13</v>
      </c>
      <c r="G1729" s="550">
        <v>0</v>
      </c>
      <c r="H1729" s="550">
        <v>0</v>
      </c>
      <c r="I1729" s="550">
        <v>0</v>
      </c>
      <c r="J1729" s="550">
        <v>9</v>
      </c>
      <c r="K1729" s="550">
        <v>0</v>
      </c>
      <c r="L1729" s="550">
        <v>0</v>
      </c>
      <c r="M1729" s="550">
        <v>0</v>
      </c>
      <c r="N1729" s="550">
        <v>9</v>
      </c>
      <c r="O1729" s="550">
        <v>0</v>
      </c>
      <c r="P1729" s="550">
        <v>19</v>
      </c>
      <c r="Q1729" s="550">
        <v>15</v>
      </c>
      <c r="R1729" s="574" t="s">
        <v>592</v>
      </c>
      <c r="S1729" s="552"/>
      <c r="T1729" s="552"/>
      <c r="U1729" s="552"/>
      <c r="V1729" s="552"/>
      <c r="W1729" s="552"/>
      <c r="X1729" s="552"/>
      <c r="Y1729" s="552"/>
      <c r="Z1729" s="552"/>
      <c r="AA1729" s="553"/>
      <c r="AB1729" s="553"/>
    </row>
    <row r="1730" spans="1:28" ht="12.75">
      <c r="A1730" s="547" t="s">
        <v>592</v>
      </c>
      <c r="B1730" s="547" t="s">
        <v>179</v>
      </c>
      <c r="C1730" s="548" t="s">
        <v>856</v>
      </c>
      <c r="D1730" s="549">
        <v>2019</v>
      </c>
      <c r="E1730" s="549" t="s">
        <v>775</v>
      </c>
      <c r="F1730" s="550">
        <v>13</v>
      </c>
      <c r="G1730" s="550">
        <v>0</v>
      </c>
      <c r="H1730" s="550">
        <v>0</v>
      </c>
      <c r="I1730" s="550">
        <v>0</v>
      </c>
      <c r="J1730" s="550">
        <v>9</v>
      </c>
      <c r="K1730" s="550">
        <v>0</v>
      </c>
      <c r="L1730" s="550">
        <v>0</v>
      </c>
      <c r="M1730" s="550">
        <v>0</v>
      </c>
      <c r="N1730" s="550">
        <v>9</v>
      </c>
      <c r="O1730" s="550">
        <v>0</v>
      </c>
      <c r="P1730" s="550">
        <v>19</v>
      </c>
      <c r="Q1730" s="550">
        <v>28</v>
      </c>
      <c r="R1730" s="574" t="s">
        <v>592</v>
      </c>
      <c r="S1730" s="552">
        <f>SUM(G1724:G1730) +SUM(K1724:K1730)</f>
        <v>12</v>
      </c>
      <c r="T1730" s="552">
        <f>F1730+J1730</f>
        <v>22</v>
      </c>
      <c r="U1730" s="552">
        <f>SUM(O1724:O1730)</f>
        <v>0</v>
      </c>
      <c r="V1730" s="552">
        <f>N1730</f>
        <v>9</v>
      </c>
      <c r="W1730" s="554">
        <f>SUM(Q1724:Q1730)</f>
        <v>345</v>
      </c>
      <c r="X1730" s="552">
        <f>P1730</f>
        <v>19</v>
      </c>
      <c r="Y1730" s="552">
        <f>S1730+U1730+SUM(Q1724:Q1730)</f>
        <v>357</v>
      </c>
      <c r="Z1730" s="552">
        <f>F1730+J1730+N1730+P1730</f>
        <v>50</v>
      </c>
      <c r="AA1730" s="553"/>
      <c r="AB1730" s="553"/>
    </row>
    <row r="1731" spans="1:28" ht="12.75">
      <c r="A1731" s="547" t="s">
        <v>593</v>
      </c>
      <c r="B1731" s="547" t="s">
        <v>179</v>
      </c>
      <c r="C1731" s="548" t="s">
        <v>855</v>
      </c>
      <c r="D1731" s="549">
        <v>2013</v>
      </c>
      <c r="E1731" s="549" t="s">
        <v>775</v>
      </c>
      <c r="F1731" s="550">
        <v>7</v>
      </c>
      <c r="G1731" s="550">
        <v>0</v>
      </c>
      <c r="H1731" s="550">
        <v>0</v>
      </c>
      <c r="I1731" s="550">
        <v>0</v>
      </c>
      <c r="J1731" s="550">
        <v>5</v>
      </c>
      <c r="K1731" s="550">
        <v>0</v>
      </c>
      <c r="L1731" s="550">
        <v>0</v>
      </c>
      <c r="M1731" s="550">
        <v>0</v>
      </c>
      <c r="N1731" s="550">
        <v>15</v>
      </c>
      <c r="O1731" s="550">
        <v>0</v>
      </c>
      <c r="P1731" s="550">
        <v>34</v>
      </c>
      <c r="Q1731" s="550">
        <v>7</v>
      </c>
      <c r="R1731" s="574" t="s">
        <v>593</v>
      </c>
      <c r="S1731" s="552"/>
      <c r="T1731" s="552"/>
      <c r="U1731" s="552"/>
      <c r="V1731" s="552"/>
      <c r="W1731" s="552"/>
      <c r="X1731" s="552"/>
      <c r="Y1731" s="552"/>
      <c r="Z1731" s="552"/>
      <c r="AA1731" s="553"/>
      <c r="AB1731" s="553"/>
    </row>
    <row r="1732" spans="1:28" ht="12.75">
      <c r="A1732" s="547" t="s">
        <v>593</v>
      </c>
      <c r="B1732" s="547" t="s">
        <v>179</v>
      </c>
      <c r="C1732" s="548" t="s">
        <v>855</v>
      </c>
      <c r="D1732" s="549">
        <v>2014</v>
      </c>
      <c r="E1732" s="549" t="s">
        <v>775</v>
      </c>
      <c r="F1732" s="550">
        <v>7</v>
      </c>
      <c r="G1732" s="550">
        <v>0</v>
      </c>
      <c r="H1732" s="550">
        <v>0</v>
      </c>
      <c r="I1732" s="550">
        <v>0</v>
      </c>
      <c r="J1732" s="550">
        <v>5</v>
      </c>
      <c r="K1732" s="550">
        <v>0</v>
      </c>
      <c r="L1732" s="550">
        <v>0</v>
      </c>
      <c r="M1732" s="550">
        <v>0</v>
      </c>
      <c r="N1732" s="550">
        <v>15</v>
      </c>
      <c r="O1732" s="550">
        <v>0</v>
      </c>
      <c r="P1732" s="550">
        <v>34</v>
      </c>
      <c r="Q1732" s="550">
        <v>3</v>
      </c>
      <c r="R1732" s="574" t="s">
        <v>593</v>
      </c>
      <c r="S1732" s="552"/>
      <c r="T1732" s="552"/>
      <c r="U1732" s="552"/>
      <c r="V1732" s="552"/>
      <c r="W1732" s="552"/>
      <c r="X1732" s="552"/>
      <c r="Y1732" s="552"/>
      <c r="Z1732" s="552"/>
      <c r="AA1732" s="553"/>
      <c r="AB1732" s="553"/>
    </row>
    <row r="1733" spans="1:28" ht="12.75">
      <c r="A1733" s="547" t="s">
        <v>593</v>
      </c>
      <c r="B1733" s="547" t="s">
        <v>179</v>
      </c>
      <c r="C1733" s="548" t="s">
        <v>855</v>
      </c>
      <c r="D1733" s="549">
        <v>2015</v>
      </c>
      <c r="E1733" s="549" t="s">
        <v>775</v>
      </c>
      <c r="F1733" s="550">
        <v>7</v>
      </c>
      <c r="G1733" s="550">
        <v>0</v>
      </c>
      <c r="H1733" s="550">
        <v>0</v>
      </c>
      <c r="I1733" s="550">
        <v>0</v>
      </c>
      <c r="J1733" s="550">
        <v>5</v>
      </c>
      <c r="K1733" s="550">
        <v>0</v>
      </c>
      <c r="L1733" s="550">
        <v>0</v>
      </c>
      <c r="M1733" s="550">
        <v>0</v>
      </c>
      <c r="N1733" s="550">
        <v>15</v>
      </c>
      <c r="O1733" s="550">
        <v>0</v>
      </c>
      <c r="P1733" s="550">
        <v>34</v>
      </c>
      <c r="Q1733" s="550">
        <v>4</v>
      </c>
      <c r="R1733" s="574" t="s">
        <v>593</v>
      </c>
      <c r="S1733" s="552"/>
      <c r="T1733" s="552"/>
      <c r="U1733" s="552"/>
      <c r="V1733" s="552"/>
      <c r="W1733" s="552"/>
      <c r="X1733" s="552"/>
      <c r="Y1733" s="552"/>
      <c r="Z1733" s="552"/>
      <c r="AA1733" s="553"/>
      <c r="AB1733" s="553"/>
    </row>
    <row r="1734" spans="1:28" ht="12.75">
      <c r="A1734" s="547" t="s">
        <v>593</v>
      </c>
      <c r="B1734" s="547" t="s">
        <v>179</v>
      </c>
      <c r="C1734" s="548" t="s">
        <v>855</v>
      </c>
      <c r="D1734" s="549">
        <v>2016</v>
      </c>
      <c r="E1734" s="549" t="s">
        <v>775</v>
      </c>
      <c r="F1734" s="550">
        <v>7</v>
      </c>
      <c r="G1734" s="550">
        <v>0</v>
      </c>
      <c r="H1734" s="550">
        <v>0</v>
      </c>
      <c r="I1734" s="550">
        <v>0</v>
      </c>
      <c r="J1734" s="550">
        <v>5</v>
      </c>
      <c r="K1734" s="550">
        <v>0</v>
      </c>
      <c r="L1734" s="550">
        <v>0</v>
      </c>
      <c r="M1734" s="550">
        <v>0</v>
      </c>
      <c r="N1734" s="550">
        <v>15</v>
      </c>
      <c r="O1734" s="550">
        <v>0</v>
      </c>
      <c r="P1734" s="550">
        <v>34</v>
      </c>
      <c r="Q1734" s="550">
        <v>11</v>
      </c>
      <c r="R1734" s="574" t="s">
        <v>593</v>
      </c>
      <c r="S1734" s="552"/>
      <c r="T1734" s="552"/>
      <c r="U1734" s="552"/>
      <c r="V1734" s="552"/>
      <c r="W1734" s="552"/>
      <c r="X1734" s="552"/>
      <c r="Y1734" s="552"/>
      <c r="Z1734" s="552"/>
      <c r="AA1734" s="553"/>
      <c r="AB1734" s="553"/>
    </row>
    <row r="1735" spans="1:28" ht="12.75">
      <c r="A1735" s="547" t="s">
        <v>593</v>
      </c>
      <c r="B1735" s="547" t="s">
        <v>179</v>
      </c>
      <c r="C1735" s="548" t="s">
        <v>855</v>
      </c>
      <c r="D1735" s="549">
        <v>2017</v>
      </c>
      <c r="E1735" s="549" t="s">
        <v>775</v>
      </c>
      <c r="F1735" s="550">
        <v>7</v>
      </c>
      <c r="G1735" s="550">
        <v>0</v>
      </c>
      <c r="H1735" s="550">
        <v>0</v>
      </c>
      <c r="I1735" s="550">
        <v>0</v>
      </c>
      <c r="J1735" s="550">
        <v>5</v>
      </c>
      <c r="K1735" s="550">
        <v>0</v>
      </c>
      <c r="L1735" s="550">
        <v>0</v>
      </c>
      <c r="M1735" s="550">
        <v>0</v>
      </c>
      <c r="N1735" s="550">
        <v>15</v>
      </c>
      <c r="O1735" s="550">
        <v>0</v>
      </c>
      <c r="P1735" s="550">
        <v>34</v>
      </c>
      <c r="Q1735" s="550">
        <v>7</v>
      </c>
      <c r="R1735" s="574" t="s">
        <v>593</v>
      </c>
      <c r="S1735" s="552"/>
      <c r="T1735" s="552"/>
      <c r="U1735" s="552"/>
      <c r="V1735" s="552"/>
      <c r="W1735" s="552"/>
      <c r="X1735" s="552"/>
      <c r="Y1735" s="552"/>
      <c r="Z1735" s="552"/>
      <c r="AA1735" s="553"/>
      <c r="AB1735" s="553"/>
    </row>
    <row r="1736" spans="1:28" ht="12.75">
      <c r="A1736" s="547" t="s">
        <v>593</v>
      </c>
      <c r="B1736" s="547" t="s">
        <v>179</v>
      </c>
      <c r="C1736" s="548" t="s">
        <v>855</v>
      </c>
      <c r="D1736" s="549">
        <v>2018</v>
      </c>
      <c r="E1736" s="549" t="s">
        <v>775</v>
      </c>
      <c r="F1736" s="550">
        <v>7</v>
      </c>
      <c r="G1736" s="550">
        <v>0</v>
      </c>
      <c r="H1736" s="550">
        <v>0</v>
      </c>
      <c r="I1736" s="550">
        <v>0</v>
      </c>
      <c r="J1736" s="550">
        <v>5</v>
      </c>
      <c r="K1736" s="550">
        <v>0</v>
      </c>
      <c r="L1736" s="550">
        <v>0</v>
      </c>
      <c r="M1736" s="550">
        <v>0</v>
      </c>
      <c r="N1736" s="550">
        <v>15</v>
      </c>
      <c r="O1736" s="550">
        <v>1</v>
      </c>
      <c r="P1736" s="550">
        <v>34</v>
      </c>
      <c r="Q1736" s="550">
        <v>0</v>
      </c>
      <c r="R1736" s="574" t="s">
        <v>593</v>
      </c>
      <c r="S1736" s="552"/>
      <c r="T1736" s="552"/>
      <c r="U1736" s="552"/>
      <c r="V1736" s="552"/>
      <c r="W1736" s="552"/>
      <c r="X1736" s="552"/>
      <c r="Y1736" s="552"/>
      <c r="Z1736" s="552"/>
      <c r="AA1736" s="553"/>
      <c r="AB1736" s="553"/>
    </row>
    <row r="1737" spans="1:28" ht="12.75">
      <c r="A1737" s="547" t="s">
        <v>593</v>
      </c>
      <c r="B1737" s="547" t="s">
        <v>179</v>
      </c>
      <c r="C1737" s="548" t="s">
        <v>856</v>
      </c>
      <c r="D1737" s="549">
        <v>2019</v>
      </c>
      <c r="E1737" s="549" t="s">
        <v>775</v>
      </c>
      <c r="F1737" s="550">
        <v>7</v>
      </c>
      <c r="G1737" s="550">
        <v>0</v>
      </c>
      <c r="H1737" s="550">
        <v>0</v>
      </c>
      <c r="I1737" s="550">
        <v>0</v>
      </c>
      <c r="J1737" s="550">
        <v>5</v>
      </c>
      <c r="K1737" s="550">
        <v>1</v>
      </c>
      <c r="L1737" s="550">
        <v>1</v>
      </c>
      <c r="M1737" s="550">
        <v>0</v>
      </c>
      <c r="N1737" s="550">
        <v>15</v>
      </c>
      <c r="O1737" s="550">
        <v>3</v>
      </c>
      <c r="P1737" s="550">
        <v>34</v>
      </c>
      <c r="Q1737" s="550">
        <v>1</v>
      </c>
      <c r="R1737" s="574" t="s">
        <v>593</v>
      </c>
      <c r="S1737" s="552">
        <f>SUM(G1731:G1737) +SUM(K1731:K1737)</f>
        <v>1</v>
      </c>
      <c r="T1737" s="552">
        <f>F1737+J1737</f>
        <v>12</v>
      </c>
      <c r="U1737" s="552">
        <f>SUM(O1731:O1737)</f>
        <v>4</v>
      </c>
      <c r="V1737" s="552">
        <f>N1737</f>
        <v>15</v>
      </c>
      <c r="W1737" s="554">
        <f>SUM(Q1731:Q1737)</f>
        <v>33</v>
      </c>
      <c r="X1737" s="552">
        <f>P1737</f>
        <v>34</v>
      </c>
      <c r="Y1737" s="552">
        <f>S1737+U1737+SUM(Q1731:Q1737)</f>
        <v>38</v>
      </c>
      <c r="Z1737" s="552">
        <f>F1737+J1737+N1737+P1737</f>
        <v>61</v>
      </c>
      <c r="AA1737" s="553"/>
      <c r="AB1737" s="553"/>
    </row>
    <row r="1738" spans="1:28" ht="12.75">
      <c r="A1738" s="547" t="s">
        <v>594</v>
      </c>
      <c r="B1738" s="547" t="s">
        <v>179</v>
      </c>
      <c r="C1738" s="548" t="s">
        <v>855</v>
      </c>
      <c r="D1738" s="549">
        <v>2013</v>
      </c>
      <c r="E1738" s="549" t="s">
        <v>775</v>
      </c>
      <c r="F1738" s="550">
        <v>1448</v>
      </c>
      <c r="G1738" s="550">
        <v>48</v>
      </c>
      <c r="H1738" s="550">
        <v>48</v>
      </c>
      <c r="I1738" s="550">
        <v>0</v>
      </c>
      <c r="J1738" s="550">
        <v>1101</v>
      </c>
      <c r="K1738" s="550">
        <v>2</v>
      </c>
      <c r="L1738" s="550">
        <v>2</v>
      </c>
      <c r="M1738" s="550">
        <v>0</v>
      </c>
      <c r="N1738" s="550">
        <v>1019</v>
      </c>
      <c r="O1738" s="550">
        <v>24</v>
      </c>
      <c r="P1738" s="550">
        <v>2237</v>
      </c>
      <c r="Q1738" s="550">
        <v>12</v>
      </c>
      <c r="R1738" s="574" t="s">
        <v>594</v>
      </c>
      <c r="S1738" s="552"/>
      <c r="T1738" s="552"/>
      <c r="U1738" s="552"/>
      <c r="V1738" s="552"/>
      <c r="W1738" s="552"/>
      <c r="X1738" s="552"/>
      <c r="Y1738" s="552"/>
      <c r="Z1738" s="552"/>
      <c r="AA1738" s="553"/>
      <c r="AB1738" s="553"/>
    </row>
    <row r="1739" spans="1:28" ht="12.75">
      <c r="A1739" s="547" t="s">
        <v>594</v>
      </c>
      <c r="B1739" s="547" t="s">
        <v>179</v>
      </c>
      <c r="C1739" s="548" t="s">
        <v>855</v>
      </c>
      <c r="D1739" s="549">
        <v>2014</v>
      </c>
      <c r="E1739" s="549" t="s">
        <v>775</v>
      </c>
      <c r="F1739" s="550">
        <v>1448</v>
      </c>
      <c r="G1739" s="550">
        <v>0</v>
      </c>
      <c r="H1739" s="550">
        <v>0</v>
      </c>
      <c r="I1739" s="550">
        <v>0</v>
      </c>
      <c r="J1739" s="550">
        <v>1101</v>
      </c>
      <c r="K1739" s="550">
        <v>0</v>
      </c>
      <c r="L1739" s="550">
        <v>0</v>
      </c>
      <c r="M1739" s="550">
        <v>0</v>
      </c>
      <c r="N1739" s="550">
        <v>1019</v>
      </c>
      <c r="O1739" s="550">
        <v>8</v>
      </c>
      <c r="P1739" s="550">
        <v>2237</v>
      </c>
      <c r="Q1739" s="550">
        <v>24</v>
      </c>
      <c r="R1739" s="574" t="s">
        <v>594</v>
      </c>
      <c r="S1739" s="552"/>
      <c r="T1739" s="552"/>
      <c r="U1739" s="552"/>
      <c r="V1739" s="552"/>
      <c r="W1739" s="552"/>
      <c r="X1739" s="552"/>
      <c r="Y1739" s="552"/>
      <c r="Z1739" s="552"/>
      <c r="AA1739" s="553"/>
      <c r="AB1739" s="553"/>
    </row>
    <row r="1740" spans="1:28" ht="12.75">
      <c r="A1740" s="547" t="s">
        <v>594</v>
      </c>
      <c r="B1740" s="547" t="s">
        <v>179</v>
      </c>
      <c r="C1740" s="548" t="s">
        <v>855</v>
      </c>
      <c r="D1740" s="549">
        <v>2015</v>
      </c>
      <c r="E1740" s="549" t="s">
        <v>775</v>
      </c>
      <c r="F1740" s="550">
        <v>1448</v>
      </c>
      <c r="G1740" s="550">
        <v>0</v>
      </c>
      <c r="H1740" s="550">
        <v>0</v>
      </c>
      <c r="I1740" s="550">
        <v>0</v>
      </c>
      <c r="J1740" s="550">
        <v>1101</v>
      </c>
      <c r="K1740" s="550">
        <v>1</v>
      </c>
      <c r="L1740" s="550">
        <v>1</v>
      </c>
      <c r="M1740" s="550">
        <v>0</v>
      </c>
      <c r="N1740" s="550">
        <v>1019</v>
      </c>
      <c r="O1740" s="550">
        <v>2</v>
      </c>
      <c r="P1740" s="550">
        <v>2237</v>
      </c>
      <c r="Q1740" s="550">
        <v>23</v>
      </c>
      <c r="R1740" s="574" t="s">
        <v>594</v>
      </c>
      <c r="S1740" s="552"/>
      <c r="T1740" s="552"/>
      <c r="U1740" s="552"/>
      <c r="V1740" s="552"/>
      <c r="W1740" s="552"/>
      <c r="X1740" s="552"/>
      <c r="Y1740" s="552"/>
      <c r="Z1740" s="552"/>
      <c r="AA1740" s="553"/>
      <c r="AB1740" s="553"/>
    </row>
    <row r="1741" spans="1:28" ht="12.75">
      <c r="A1741" s="547" t="s">
        <v>594</v>
      </c>
      <c r="B1741" s="547" t="s">
        <v>179</v>
      </c>
      <c r="C1741" s="548" t="s">
        <v>855</v>
      </c>
      <c r="D1741" s="549">
        <v>2016</v>
      </c>
      <c r="E1741" s="549" t="s">
        <v>775</v>
      </c>
      <c r="F1741" s="550">
        <v>1448</v>
      </c>
      <c r="G1741" s="550">
        <v>0</v>
      </c>
      <c r="H1741" s="550">
        <v>0</v>
      </c>
      <c r="I1741" s="550">
        <v>0</v>
      </c>
      <c r="J1741" s="550">
        <v>1101</v>
      </c>
      <c r="K1741" s="550">
        <v>6</v>
      </c>
      <c r="L1741" s="550">
        <v>6</v>
      </c>
      <c r="M1741" s="550">
        <v>0</v>
      </c>
      <c r="N1741" s="550">
        <v>1019</v>
      </c>
      <c r="O1741" s="550">
        <v>0</v>
      </c>
      <c r="P1741" s="550">
        <v>2237</v>
      </c>
      <c r="Q1741" s="550">
        <v>78</v>
      </c>
      <c r="R1741" s="574" t="s">
        <v>594</v>
      </c>
      <c r="S1741" s="552"/>
      <c r="T1741" s="552"/>
      <c r="U1741" s="552"/>
      <c r="V1741" s="552"/>
      <c r="W1741" s="552"/>
      <c r="X1741" s="552"/>
      <c r="Y1741" s="552"/>
      <c r="Z1741" s="552"/>
      <c r="AA1741" s="553"/>
      <c r="AB1741" s="553"/>
    </row>
    <row r="1742" spans="1:28" ht="12.75">
      <c r="A1742" s="547" t="s">
        <v>594</v>
      </c>
      <c r="B1742" s="547" t="s">
        <v>179</v>
      </c>
      <c r="C1742" s="548" t="s">
        <v>855</v>
      </c>
      <c r="D1742" s="549">
        <v>2017</v>
      </c>
      <c r="E1742" s="549" t="s">
        <v>775</v>
      </c>
      <c r="F1742" s="550">
        <v>1448</v>
      </c>
      <c r="G1742" s="550">
        <v>0</v>
      </c>
      <c r="H1742" s="550">
        <v>0</v>
      </c>
      <c r="I1742" s="550">
        <v>0</v>
      </c>
      <c r="J1742" s="550">
        <v>1101</v>
      </c>
      <c r="K1742" s="550">
        <v>0</v>
      </c>
      <c r="L1742" s="550">
        <v>0</v>
      </c>
      <c r="M1742" s="550">
        <v>0</v>
      </c>
      <c r="N1742" s="550">
        <v>1019</v>
      </c>
      <c r="O1742" s="550">
        <v>0</v>
      </c>
      <c r="P1742" s="550">
        <v>2237</v>
      </c>
      <c r="Q1742" s="550">
        <v>51</v>
      </c>
      <c r="R1742" s="574" t="s">
        <v>594</v>
      </c>
      <c r="S1742" s="552"/>
      <c r="T1742" s="552"/>
      <c r="U1742" s="552"/>
      <c r="V1742" s="552"/>
      <c r="W1742" s="552"/>
      <c r="X1742" s="552"/>
      <c r="Y1742" s="552"/>
      <c r="Z1742" s="552"/>
      <c r="AA1742" s="553"/>
      <c r="AB1742" s="553"/>
    </row>
    <row r="1743" spans="1:28" ht="12.75">
      <c r="A1743" s="547" t="s">
        <v>594</v>
      </c>
      <c r="B1743" s="547" t="s">
        <v>179</v>
      </c>
      <c r="C1743" s="548" t="s">
        <v>855</v>
      </c>
      <c r="D1743" s="549">
        <v>2018</v>
      </c>
      <c r="E1743" s="549" t="s">
        <v>775</v>
      </c>
      <c r="F1743" s="550">
        <v>1448</v>
      </c>
      <c r="G1743" s="550">
        <v>0</v>
      </c>
      <c r="H1743" s="550">
        <v>0</v>
      </c>
      <c r="I1743" s="550">
        <v>0</v>
      </c>
      <c r="J1743" s="550">
        <v>1101</v>
      </c>
      <c r="K1743" s="550">
        <v>74</v>
      </c>
      <c r="L1743" s="550">
        <v>74</v>
      </c>
      <c r="M1743" s="550">
        <v>0</v>
      </c>
      <c r="N1743" s="550">
        <v>1019</v>
      </c>
      <c r="O1743" s="550">
        <v>0</v>
      </c>
      <c r="P1743" s="550">
        <v>2237</v>
      </c>
      <c r="Q1743" s="550">
        <v>94</v>
      </c>
      <c r="R1743" s="574" t="s">
        <v>594</v>
      </c>
      <c r="S1743" s="552"/>
      <c r="T1743" s="552"/>
      <c r="U1743" s="552"/>
      <c r="V1743" s="552"/>
      <c r="W1743" s="552"/>
      <c r="X1743" s="552"/>
      <c r="Y1743" s="552"/>
      <c r="Z1743" s="552"/>
      <c r="AA1743" s="553"/>
      <c r="AB1743" s="553"/>
    </row>
    <row r="1744" spans="1:28" ht="12.75">
      <c r="A1744" s="547" t="s">
        <v>594</v>
      </c>
      <c r="B1744" s="547" t="s">
        <v>179</v>
      </c>
      <c r="C1744" s="548" t="s">
        <v>856</v>
      </c>
      <c r="D1744" s="549">
        <v>2019</v>
      </c>
      <c r="E1744" s="549" t="s">
        <v>775</v>
      </c>
      <c r="F1744" s="550">
        <v>1448</v>
      </c>
      <c r="G1744" s="550">
        <v>0</v>
      </c>
      <c r="H1744" s="550">
        <v>0</v>
      </c>
      <c r="I1744" s="550">
        <v>0</v>
      </c>
      <c r="J1744" s="550">
        <v>1101</v>
      </c>
      <c r="K1744" s="550">
        <v>85</v>
      </c>
      <c r="L1744" s="550">
        <v>1</v>
      </c>
      <c r="M1744" s="550">
        <v>84</v>
      </c>
      <c r="N1744" s="550">
        <v>1019</v>
      </c>
      <c r="O1744" s="550">
        <v>0</v>
      </c>
      <c r="P1744" s="550">
        <v>2237</v>
      </c>
      <c r="Q1744" s="550">
        <v>147</v>
      </c>
      <c r="R1744" s="574" t="s">
        <v>594</v>
      </c>
      <c r="S1744" s="552">
        <f>SUM(G1738:G1744) +SUM(K1738:K1744)</f>
        <v>216</v>
      </c>
      <c r="T1744" s="552">
        <f>F1744+J1744</f>
        <v>2549</v>
      </c>
      <c r="U1744" s="552">
        <f>SUM(O1738:O1744)</f>
        <v>34</v>
      </c>
      <c r="V1744" s="552">
        <f>N1744</f>
        <v>1019</v>
      </c>
      <c r="W1744" s="554">
        <f>SUM(Q1738:Q1744)</f>
        <v>429</v>
      </c>
      <c r="X1744" s="552">
        <f>P1744</f>
        <v>2237</v>
      </c>
      <c r="Y1744" s="552">
        <f>S1744+U1744+SUM(Q1738:Q1744)</f>
        <v>679</v>
      </c>
      <c r="Z1744" s="552">
        <f>F1744+J1744+N1744+P1744</f>
        <v>5805</v>
      </c>
      <c r="AA1744" s="553"/>
      <c r="AB1744" s="553"/>
    </row>
    <row r="1745" spans="1:28" ht="12.75">
      <c r="A1745" s="547" t="s">
        <v>595</v>
      </c>
      <c r="B1745" s="547" t="s">
        <v>179</v>
      </c>
      <c r="C1745" s="548" t="s">
        <v>855</v>
      </c>
      <c r="D1745" s="549">
        <v>2013</v>
      </c>
      <c r="E1745" s="549" t="s">
        <v>775</v>
      </c>
      <c r="F1745" s="550">
        <v>587</v>
      </c>
      <c r="G1745" s="550">
        <v>32</v>
      </c>
      <c r="H1745" s="550">
        <v>31</v>
      </c>
      <c r="I1745" s="550">
        <v>1</v>
      </c>
      <c r="J1745" s="550">
        <v>446</v>
      </c>
      <c r="K1745" s="550">
        <v>10</v>
      </c>
      <c r="L1745" s="550">
        <v>9</v>
      </c>
      <c r="M1745" s="550">
        <v>1</v>
      </c>
      <c r="N1745" s="550">
        <v>413</v>
      </c>
      <c r="O1745" s="550">
        <v>0</v>
      </c>
      <c r="P1745" s="550">
        <v>907</v>
      </c>
      <c r="Q1745" s="550">
        <v>283</v>
      </c>
      <c r="R1745" s="574" t="s">
        <v>595</v>
      </c>
      <c r="S1745" s="552"/>
      <c r="T1745" s="552"/>
      <c r="U1745" s="552"/>
      <c r="V1745" s="552"/>
      <c r="W1745" s="552"/>
      <c r="X1745" s="552"/>
      <c r="Y1745" s="552"/>
      <c r="Z1745" s="552"/>
      <c r="AA1745" s="553"/>
      <c r="AB1745" s="553"/>
    </row>
    <row r="1746" spans="1:28" ht="12.75">
      <c r="A1746" s="547" t="s">
        <v>595</v>
      </c>
      <c r="B1746" s="547" t="s">
        <v>179</v>
      </c>
      <c r="C1746" s="548" t="s">
        <v>855</v>
      </c>
      <c r="D1746" s="549">
        <v>2014</v>
      </c>
      <c r="E1746" s="549" t="s">
        <v>775</v>
      </c>
      <c r="F1746" s="550">
        <v>587</v>
      </c>
      <c r="G1746" s="550">
        <v>1</v>
      </c>
      <c r="H1746" s="550">
        <v>1</v>
      </c>
      <c r="I1746" s="550">
        <v>0</v>
      </c>
      <c r="J1746" s="550">
        <v>446</v>
      </c>
      <c r="K1746" s="550">
        <v>8</v>
      </c>
      <c r="L1746" s="550">
        <v>8</v>
      </c>
      <c r="M1746" s="550">
        <v>0</v>
      </c>
      <c r="N1746" s="550">
        <v>413</v>
      </c>
      <c r="O1746" s="550">
        <v>3</v>
      </c>
      <c r="P1746" s="550">
        <v>907</v>
      </c>
      <c r="Q1746" s="550">
        <v>150</v>
      </c>
      <c r="R1746" s="574" t="s">
        <v>595</v>
      </c>
      <c r="S1746" s="552"/>
      <c r="T1746" s="552"/>
      <c r="U1746" s="552"/>
      <c r="V1746" s="552"/>
      <c r="W1746" s="552"/>
      <c r="X1746" s="552"/>
      <c r="Y1746" s="552"/>
      <c r="Z1746" s="552"/>
      <c r="AA1746" s="553"/>
      <c r="AB1746" s="553"/>
    </row>
    <row r="1747" spans="1:28" ht="12.75">
      <c r="A1747" s="547" t="s">
        <v>595</v>
      </c>
      <c r="B1747" s="547" t="s">
        <v>179</v>
      </c>
      <c r="C1747" s="548" t="s">
        <v>855</v>
      </c>
      <c r="D1747" s="549">
        <v>2015</v>
      </c>
      <c r="E1747" s="549" t="s">
        <v>775</v>
      </c>
      <c r="F1747" s="550">
        <v>587</v>
      </c>
      <c r="G1747" s="550">
        <v>0</v>
      </c>
      <c r="H1747" s="550">
        <v>0</v>
      </c>
      <c r="I1747" s="550">
        <v>0</v>
      </c>
      <c r="J1747" s="550">
        <v>446</v>
      </c>
      <c r="K1747" s="550">
        <v>3</v>
      </c>
      <c r="L1747" s="550">
        <v>3</v>
      </c>
      <c r="M1747" s="550">
        <v>0</v>
      </c>
      <c r="N1747" s="550">
        <v>413</v>
      </c>
      <c r="O1747" s="550">
        <v>0</v>
      </c>
      <c r="P1747" s="550">
        <v>907</v>
      </c>
      <c r="Q1747" s="550">
        <v>155</v>
      </c>
      <c r="R1747" s="574" t="s">
        <v>595</v>
      </c>
      <c r="S1747" s="552"/>
      <c r="T1747" s="552"/>
      <c r="U1747" s="552"/>
      <c r="V1747" s="552"/>
      <c r="W1747" s="552"/>
      <c r="X1747" s="552"/>
      <c r="Y1747" s="552"/>
      <c r="Z1747" s="552"/>
      <c r="AA1747" s="553"/>
      <c r="AB1747" s="553"/>
    </row>
    <row r="1748" spans="1:28" ht="12.75">
      <c r="A1748" s="547" t="s">
        <v>595</v>
      </c>
      <c r="B1748" s="547" t="s">
        <v>179</v>
      </c>
      <c r="C1748" s="548" t="s">
        <v>855</v>
      </c>
      <c r="D1748" s="549">
        <v>2016</v>
      </c>
      <c r="E1748" s="549" t="s">
        <v>775</v>
      </c>
      <c r="F1748" s="550">
        <v>587</v>
      </c>
      <c r="G1748" s="550">
        <v>0</v>
      </c>
      <c r="H1748" s="550">
        <v>0</v>
      </c>
      <c r="I1748" s="550">
        <v>0</v>
      </c>
      <c r="J1748" s="550">
        <v>446</v>
      </c>
      <c r="K1748" s="550">
        <v>2</v>
      </c>
      <c r="L1748" s="550">
        <v>2</v>
      </c>
      <c r="M1748" s="550">
        <v>0</v>
      </c>
      <c r="N1748" s="550">
        <v>413</v>
      </c>
      <c r="O1748" s="550">
        <v>1</v>
      </c>
      <c r="P1748" s="550">
        <v>907</v>
      </c>
      <c r="Q1748" s="550">
        <v>87</v>
      </c>
      <c r="R1748" s="574" t="s">
        <v>595</v>
      </c>
      <c r="S1748" s="552"/>
      <c r="T1748" s="552"/>
      <c r="U1748" s="552"/>
      <c r="V1748" s="552"/>
      <c r="W1748" s="552"/>
      <c r="X1748" s="552"/>
      <c r="Y1748" s="552"/>
      <c r="Z1748" s="552"/>
      <c r="AA1748" s="553"/>
      <c r="AB1748" s="553"/>
    </row>
    <row r="1749" spans="1:28" ht="12.75">
      <c r="A1749" s="547" t="s">
        <v>595</v>
      </c>
      <c r="B1749" s="547" t="s">
        <v>179</v>
      </c>
      <c r="C1749" s="548" t="s">
        <v>855</v>
      </c>
      <c r="D1749" s="549">
        <v>2017</v>
      </c>
      <c r="E1749" s="549" t="s">
        <v>775</v>
      </c>
      <c r="F1749" s="550">
        <v>587</v>
      </c>
      <c r="G1749" s="550">
        <v>4</v>
      </c>
      <c r="H1749" s="550">
        <v>4</v>
      </c>
      <c r="I1749" s="550">
        <v>0</v>
      </c>
      <c r="J1749" s="550">
        <v>446</v>
      </c>
      <c r="K1749" s="550">
        <v>1</v>
      </c>
      <c r="L1749" s="550">
        <v>1</v>
      </c>
      <c r="M1749" s="550">
        <v>0</v>
      </c>
      <c r="N1749" s="550">
        <v>413</v>
      </c>
      <c r="O1749" s="550">
        <v>0</v>
      </c>
      <c r="P1749" s="550">
        <v>907</v>
      </c>
      <c r="Q1749" s="550">
        <v>109</v>
      </c>
      <c r="R1749" s="574" t="s">
        <v>595</v>
      </c>
      <c r="S1749" s="552"/>
      <c r="T1749" s="552"/>
      <c r="U1749" s="552"/>
      <c r="V1749" s="552"/>
      <c r="W1749" s="552"/>
      <c r="X1749" s="552"/>
      <c r="Y1749" s="552"/>
      <c r="Z1749" s="552"/>
      <c r="AA1749" s="553"/>
      <c r="AB1749" s="553"/>
    </row>
    <row r="1750" spans="1:28" ht="12.75">
      <c r="A1750" s="547" t="s">
        <v>595</v>
      </c>
      <c r="B1750" s="547" t="s">
        <v>179</v>
      </c>
      <c r="C1750" s="548" t="s">
        <v>855</v>
      </c>
      <c r="D1750" s="549">
        <v>2018</v>
      </c>
      <c r="E1750" s="549" t="s">
        <v>775</v>
      </c>
      <c r="F1750" s="550">
        <v>587</v>
      </c>
      <c r="G1750" s="550">
        <v>8</v>
      </c>
      <c r="H1750" s="550">
        <v>2</v>
      </c>
      <c r="I1750" s="550">
        <v>6</v>
      </c>
      <c r="J1750" s="550">
        <v>446</v>
      </c>
      <c r="K1750" s="550">
        <v>2</v>
      </c>
      <c r="L1750" s="550">
        <v>0</v>
      </c>
      <c r="M1750" s="550">
        <v>2</v>
      </c>
      <c r="N1750" s="550">
        <v>413</v>
      </c>
      <c r="O1750" s="550">
        <v>7</v>
      </c>
      <c r="P1750" s="550">
        <v>907</v>
      </c>
      <c r="Q1750" s="550">
        <v>131</v>
      </c>
      <c r="R1750" s="574" t="s">
        <v>595</v>
      </c>
      <c r="S1750" s="552"/>
      <c r="T1750" s="552"/>
      <c r="U1750" s="552"/>
      <c r="V1750" s="552"/>
      <c r="W1750" s="552"/>
      <c r="X1750" s="552"/>
      <c r="Y1750" s="552"/>
      <c r="Z1750" s="552"/>
      <c r="AA1750" s="553"/>
      <c r="AB1750" s="553"/>
    </row>
    <row r="1751" spans="1:28" ht="12.75">
      <c r="A1751" s="547" t="s">
        <v>595</v>
      </c>
      <c r="B1751" s="547" t="s">
        <v>179</v>
      </c>
      <c r="C1751" s="548" t="s">
        <v>856</v>
      </c>
      <c r="D1751" s="549">
        <v>2019</v>
      </c>
      <c r="E1751" s="549" t="s">
        <v>775</v>
      </c>
      <c r="F1751" s="550">
        <v>587</v>
      </c>
      <c r="G1751" s="550">
        <v>15</v>
      </c>
      <c r="H1751" s="550">
        <v>4</v>
      </c>
      <c r="I1751" s="550">
        <v>11</v>
      </c>
      <c r="J1751" s="550">
        <v>446</v>
      </c>
      <c r="K1751" s="550">
        <v>8</v>
      </c>
      <c r="L1751" s="550">
        <v>0</v>
      </c>
      <c r="M1751" s="550">
        <v>8</v>
      </c>
      <c r="N1751" s="550">
        <v>413</v>
      </c>
      <c r="O1751" s="550">
        <v>32</v>
      </c>
      <c r="P1751" s="550">
        <v>907</v>
      </c>
      <c r="Q1751" s="550">
        <v>133</v>
      </c>
      <c r="R1751" s="574" t="s">
        <v>595</v>
      </c>
      <c r="S1751" s="552">
        <f>SUM(G1745:G1751) +SUM(K1745:K1751)</f>
        <v>94</v>
      </c>
      <c r="T1751" s="552">
        <f>F1751+J1751</f>
        <v>1033</v>
      </c>
      <c r="U1751" s="552">
        <f>SUM(O1745:O1751)</f>
        <v>43</v>
      </c>
      <c r="V1751" s="552">
        <f>N1751</f>
        <v>413</v>
      </c>
      <c r="W1751" s="554">
        <f>SUM(Q1745:Q1751)</f>
        <v>1048</v>
      </c>
      <c r="X1751" s="552">
        <f>P1751</f>
        <v>907</v>
      </c>
      <c r="Y1751" s="552">
        <f>S1751+U1751+SUM(Q1745:Q1751)</f>
        <v>1185</v>
      </c>
      <c r="Z1751" s="552">
        <f>F1751+J1751+N1751+P1751</f>
        <v>2353</v>
      </c>
      <c r="AA1751" s="553"/>
      <c r="AB1751" s="553"/>
    </row>
    <row r="1752" spans="1:28" ht="12.75">
      <c r="A1752" s="547" t="s">
        <v>596</v>
      </c>
      <c r="B1752" s="547" t="s">
        <v>179</v>
      </c>
      <c r="C1752" s="548" t="s">
        <v>855</v>
      </c>
      <c r="D1752" s="549">
        <v>2013</v>
      </c>
      <c r="E1752" s="549" t="s">
        <v>775</v>
      </c>
      <c r="F1752" s="550">
        <v>1042</v>
      </c>
      <c r="G1752" s="550">
        <v>46</v>
      </c>
      <c r="H1752" s="550">
        <v>46</v>
      </c>
      <c r="I1752" s="550">
        <v>0</v>
      </c>
      <c r="J1752" s="550">
        <v>791</v>
      </c>
      <c r="K1752" s="550">
        <v>44</v>
      </c>
      <c r="L1752" s="550">
        <v>44</v>
      </c>
      <c r="M1752" s="550">
        <v>0</v>
      </c>
      <c r="N1752" s="550">
        <v>733</v>
      </c>
      <c r="O1752" s="550">
        <v>7</v>
      </c>
      <c r="P1752" s="550">
        <v>1609</v>
      </c>
      <c r="Q1752" s="550">
        <v>497</v>
      </c>
      <c r="R1752" s="574" t="s">
        <v>596</v>
      </c>
      <c r="S1752" s="552"/>
      <c r="T1752" s="552"/>
      <c r="U1752" s="552"/>
      <c r="V1752" s="552"/>
      <c r="W1752" s="552"/>
      <c r="X1752" s="552"/>
      <c r="Y1752" s="552"/>
      <c r="Z1752" s="552"/>
      <c r="AA1752" s="553"/>
      <c r="AB1752" s="553"/>
    </row>
    <row r="1753" spans="1:28" ht="12.75">
      <c r="A1753" s="547" t="s">
        <v>596</v>
      </c>
      <c r="B1753" s="555" t="s">
        <v>179</v>
      </c>
      <c r="C1753" s="548" t="s">
        <v>855</v>
      </c>
      <c r="D1753" s="549">
        <v>2014</v>
      </c>
      <c r="E1753" s="549" t="s">
        <v>775</v>
      </c>
      <c r="F1753" s="550">
        <v>1042</v>
      </c>
      <c r="G1753" s="550">
        <v>0</v>
      </c>
      <c r="H1753" s="550">
        <v>0</v>
      </c>
      <c r="I1753" s="550">
        <v>0</v>
      </c>
      <c r="J1753" s="550">
        <v>791</v>
      </c>
      <c r="K1753" s="550">
        <v>0</v>
      </c>
      <c r="L1753" s="550">
        <v>0</v>
      </c>
      <c r="M1753" s="550">
        <v>0</v>
      </c>
      <c r="N1753" s="550">
        <v>733</v>
      </c>
      <c r="O1753" s="550">
        <v>0</v>
      </c>
      <c r="P1753" s="550">
        <v>1609</v>
      </c>
      <c r="Q1753" s="550">
        <v>56</v>
      </c>
      <c r="R1753" s="574" t="s">
        <v>596</v>
      </c>
      <c r="S1753" s="552"/>
      <c r="T1753" s="552"/>
      <c r="U1753" s="552"/>
      <c r="V1753" s="552"/>
      <c r="W1753" s="552"/>
      <c r="X1753" s="552"/>
      <c r="Y1753" s="552"/>
      <c r="Z1753" s="552"/>
      <c r="AA1753" s="553"/>
      <c r="AB1753" s="553"/>
    </row>
    <row r="1754" spans="1:28" ht="12.75">
      <c r="A1754" s="547" t="s">
        <v>596</v>
      </c>
      <c r="B1754" s="555" t="s">
        <v>179</v>
      </c>
      <c r="C1754" s="548" t="s">
        <v>855</v>
      </c>
      <c r="D1754" s="549">
        <v>2015</v>
      </c>
      <c r="E1754" s="549" t="s">
        <v>775</v>
      </c>
      <c r="F1754" s="550">
        <v>1042</v>
      </c>
      <c r="G1754" s="550">
        <v>0</v>
      </c>
      <c r="H1754" s="550">
        <v>0</v>
      </c>
      <c r="I1754" s="550">
        <v>0</v>
      </c>
      <c r="J1754" s="550">
        <v>791</v>
      </c>
      <c r="K1754" s="550">
        <v>11</v>
      </c>
      <c r="L1754" s="550">
        <v>11</v>
      </c>
      <c r="M1754" s="550">
        <v>0</v>
      </c>
      <c r="N1754" s="550">
        <v>733</v>
      </c>
      <c r="O1754" s="550">
        <v>0</v>
      </c>
      <c r="P1754" s="550">
        <v>1609</v>
      </c>
      <c r="Q1754" s="550">
        <v>7</v>
      </c>
      <c r="R1754" s="574" t="s">
        <v>596</v>
      </c>
      <c r="S1754" s="552"/>
      <c r="T1754" s="552"/>
      <c r="U1754" s="552"/>
      <c r="V1754" s="552"/>
      <c r="W1754" s="552"/>
      <c r="X1754" s="552"/>
      <c r="Y1754" s="552"/>
      <c r="Z1754" s="552"/>
      <c r="AA1754" s="553"/>
      <c r="AB1754" s="553"/>
    </row>
    <row r="1755" spans="1:28" ht="12.75">
      <c r="A1755" s="547" t="s">
        <v>596</v>
      </c>
      <c r="B1755" s="547" t="s">
        <v>179</v>
      </c>
      <c r="C1755" s="548" t="s">
        <v>855</v>
      </c>
      <c r="D1755" s="549">
        <v>2016</v>
      </c>
      <c r="E1755" s="549" t="s">
        <v>775</v>
      </c>
      <c r="F1755" s="550">
        <v>1042</v>
      </c>
      <c r="G1755" s="550">
        <v>0</v>
      </c>
      <c r="H1755" s="550">
        <v>0</v>
      </c>
      <c r="I1755" s="550">
        <v>0</v>
      </c>
      <c r="J1755" s="550">
        <v>791</v>
      </c>
      <c r="K1755" s="550">
        <v>0</v>
      </c>
      <c r="L1755" s="550">
        <v>0</v>
      </c>
      <c r="M1755" s="550">
        <v>0</v>
      </c>
      <c r="N1755" s="550">
        <v>733</v>
      </c>
      <c r="O1755" s="550">
        <v>1</v>
      </c>
      <c r="P1755" s="550">
        <v>1609</v>
      </c>
      <c r="Q1755" s="550">
        <v>163</v>
      </c>
      <c r="R1755" s="574" t="s">
        <v>596</v>
      </c>
      <c r="S1755" s="552"/>
      <c r="T1755" s="552"/>
      <c r="U1755" s="552"/>
      <c r="V1755" s="552"/>
      <c r="W1755" s="552"/>
      <c r="X1755" s="552"/>
      <c r="Y1755" s="552"/>
      <c r="Z1755" s="552"/>
      <c r="AA1755" s="553"/>
      <c r="AB1755" s="553"/>
    </row>
    <row r="1756" spans="1:28" ht="12.75">
      <c r="A1756" s="547" t="s">
        <v>596</v>
      </c>
      <c r="B1756" s="547" t="s">
        <v>179</v>
      </c>
      <c r="C1756" s="548" t="s">
        <v>855</v>
      </c>
      <c r="D1756" s="549">
        <v>2017</v>
      </c>
      <c r="E1756" s="549" t="s">
        <v>775</v>
      </c>
      <c r="F1756" s="550">
        <v>1042</v>
      </c>
      <c r="G1756" s="550">
        <v>46</v>
      </c>
      <c r="H1756" s="550">
        <v>46</v>
      </c>
      <c r="I1756" s="550">
        <v>0</v>
      </c>
      <c r="J1756" s="550">
        <v>791</v>
      </c>
      <c r="K1756" s="550">
        <v>34</v>
      </c>
      <c r="L1756" s="550">
        <v>34</v>
      </c>
      <c r="M1756" s="550">
        <v>0</v>
      </c>
      <c r="N1756" s="550">
        <v>733</v>
      </c>
      <c r="O1756" s="550">
        <v>5</v>
      </c>
      <c r="P1756" s="550">
        <v>1609</v>
      </c>
      <c r="Q1756" s="550">
        <v>410</v>
      </c>
      <c r="R1756" s="574" t="s">
        <v>596</v>
      </c>
      <c r="S1756" s="552"/>
      <c r="T1756" s="552"/>
      <c r="U1756" s="552"/>
      <c r="V1756" s="552"/>
      <c r="W1756" s="552"/>
      <c r="X1756" s="552"/>
      <c r="Y1756" s="552"/>
      <c r="Z1756" s="552"/>
      <c r="AA1756" s="553"/>
      <c r="AB1756" s="553"/>
    </row>
    <row r="1757" spans="1:28" ht="12.75">
      <c r="A1757" s="547" t="s">
        <v>596</v>
      </c>
      <c r="B1757" s="547" t="s">
        <v>179</v>
      </c>
      <c r="C1757" s="548" t="s">
        <v>855</v>
      </c>
      <c r="D1757" s="549">
        <v>2018</v>
      </c>
      <c r="E1757" s="549" t="s">
        <v>775</v>
      </c>
      <c r="F1757" s="550">
        <v>1042</v>
      </c>
      <c r="G1757" s="550">
        <v>1</v>
      </c>
      <c r="H1757" s="550">
        <v>0</v>
      </c>
      <c r="I1757" s="550">
        <v>1</v>
      </c>
      <c r="J1757" s="550">
        <v>791</v>
      </c>
      <c r="K1757" s="550">
        <v>1</v>
      </c>
      <c r="L1757" s="550">
        <v>0</v>
      </c>
      <c r="M1757" s="550">
        <v>1</v>
      </c>
      <c r="N1757" s="550">
        <v>733</v>
      </c>
      <c r="O1757" s="550">
        <v>18</v>
      </c>
      <c r="P1757" s="550">
        <v>1609</v>
      </c>
      <c r="Q1757" s="550">
        <v>220</v>
      </c>
      <c r="R1757" s="574" t="s">
        <v>596</v>
      </c>
      <c r="S1757" s="552"/>
      <c r="T1757" s="552"/>
      <c r="U1757" s="552"/>
      <c r="V1757" s="552"/>
      <c r="W1757" s="552"/>
      <c r="X1757" s="552"/>
      <c r="Y1757" s="552"/>
      <c r="Z1757" s="552"/>
      <c r="AA1757" s="553"/>
      <c r="AB1757" s="553"/>
    </row>
    <row r="1758" spans="1:28" ht="12.75">
      <c r="A1758" s="547" t="s">
        <v>596</v>
      </c>
      <c r="B1758" s="547" t="s">
        <v>179</v>
      </c>
      <c r="C1758" s="548" t="s">
        <v>856</v>
      </c>
      <c r="D1758" s="549">
        <v>2019</v>
      </c>
      <c r="E1758" s="549" t="s">
        <v>775</v>
      </c>
      <c r="F1758" s="550">
        <v>1042</v>
      </c>
      <c r="G1758" s="550">
        <v>5</v>
      </c>
      <c r="H1758" s="550">
        <v>0</v>
      </c>
      <c r="I1758" s="550">
        <v>5</v>
      </c>
      <c r="J1758" s="550">
        <v>791</v>
      </c>
      <c r="K1758" s="550">
        <v>2</v>
      </c>
      <c r="L1758" s="550">
        <v>0</v>
      </c>
      <c r="M1758" s="550">
        <v>2</v>
      </c>
      <c r="N1758" s="550">
        <v>733</v>
      </c>
      <c r="O1758" s="550">
        <v>20</v>
      </c>
      <c r="P1758" s="550">
        <v>1609</v>
      </c>
      <c r="Q1758" s="550">
        <v>10</v>
      </c>
      <c r="R1758" s="574" t="s">
        <v>596</v>
      </c>
      <c r="S1758" s="552">
        <f>SUM(G1752:G1758) +SUM(K1752:K1758)</f>
        <v>190</v>
      </c>
      <c r="T1758" s="552">
        <f>F1758+J1758</f>
        <v>1833</v>
      </c>
      <c r="U1758" s="552">
        <f>SUM(O1752:O1758)</f>
        <v>51</v>
      </c>
      <c r="V1758" s="552">
        <f>N1758</f>
        <v>733</v>
      </c>
      <c r="W1758" s="554">
        <f>SUM(Q1752:Q1758)</f>
        <v>1363</v>
      </c>
      <c r="X1758" s="552">
        <f>P1758</f>
        <v>1609</v>
      </c>
      <c r="Y1758" s="552">
        <f>S1758+U1758+SUM(Q1752:Q1758)</f>
        <v>1604</v>
      </c>
      <c r="Z1758" s="552">
        <f>F1758+J1758+N1758+P1758</f>
        <v>4175</v>
      </c>
      <c r="AA1758" s="553"/>
      <c r="AB1758" s="553"/>
    </row>
    <row r="1759" spans="1:28" ht="12.75">
      <c r="A1759" s="547" t="s">
        <v>597</v>
      </c>
      <c r="B1759" s="547" t="s">
        <v>179</v>
      </c>
      <c r="C1759" s="548" t="s">
        <v>855</v>
      </c>
      <c r="D1759" s="549">
        <v>2013</v>
      </c>
      <c r="E1759" s="549" t="s">
        <v>775</v>
      </c>
      <c r="F1759" s="550">
        <v>63</v>
      </c>
      <c r="G1759" s="550">
        <v>3</v>
      </c>
      <c r="H1759" s="550">
        <v>3</v>
      </c>
      <c r="I1759" s="550">
        <v>0</v>
      </c>
      <c r="J1759" s="550">
        <v>48</v>
      </c>
      <c r="K1759" s="550">
        <v>26</v>
      </c>
      <c r="L1759" s="550">
        <v>26</v>
      </c>
      <c r="M1759" s="550">
        <v>0</v>
      </c>
      <c r="N1759" s="550">
        <v>45</v>
      </c>
      <c r="O1759" s="550">
        <v>5</v>
      </c>
      <c r="P1759" s="550">
        <v>98</v>
      </c>
      <c r="Q1759" s="550">
        <v>22</v>
      </c>
      <c r="R1759" s="574" t="s">
        <v>597</v>
      </c>
      <c r="S1759" s="552"/>
      <c r="T1759" s="552"/>
      <c r="U1759" s="552"/>
      <c r="V1759" s="552"/>
      <c r="W1759" s="552"/>
      <c r="X1759" s="552"/>
      <c r="Y1759" s="552"/>
      <c r="Z1759" s="552"/>
      <c r="AA1759" s="553"/>
      <c r="AB1759" s="553"/>
    </row>
    <row r="1760" spans="1:28" ht="12.75">
      <c r="A1760" s="547" t="s">
        <v>597</v>
      </c>
      <c r="B1760" s="547" t="s">
        <v>179</v>
      </c>
      <c r="C1760" s="548" t="s">
        <v>855</v>
      </c>
      <c r="D1760" s="549">
        <v>2014</v>
      </c>
      <c r="E1760" s="549" t="s">
        <v>775</v>
      </c>
      <c r="F1760" s="550">
        <v>63</v>
      </c>
      <c r="G1760" s="550">
        <v>0</v>
      </c>
      <c r="H1760" s="550">
        <v>0</v>
      </c>
      <c r="I1760" s="550">
        <v>0</v>
      </c>
      <c r="J1760" s="550">
        <v>48</v>
      </c>
      <c r="K1760" s="550">
        <v>6</v>
      </c>
      <c r="L1760" s="550">
        <v>6</v>
      </c>
      <c r="M1760" s="550">
        <v>0</v>
      </c>
      <c r="N1760" s="550">
        <v>45</v>
      </c>
      <c r="O1760" s="550">
        <v>0</v>
      </c>
      <c r="P1760" s="550">
        <v>98</v>
      </c>
      <c r="Q1760" s="550">
        <v>40</v>
      </c>
      <c r="R1760" s="574" t="s">
        <v>597</v>
      </c>
      <c r="S1760" s="552"/>
      <c r="T1760" s="552"/>
      <c r="U1760" s="552"/>
      <c r="V1760" s="552"/>
      <c r="W1760" s="552"/>
      <c r="X1760" s="552"/>
      <c r="Y1760" s="552"/>
      <c r="Z1760" s="552"/>
      <c r="AA1760" s="553"/>
      <c r="AB1760" s="553"/>
    </row>
    <row r="1761" spans="1:28" ht="12.75">
      <c r="A1761" s="547" t="s">
        <v>597</v>
      </c>
      <c r="B1761" s="547" t="s">
        <v>179</v>
      </c>
      <c r="C1761" s="548" t="s">
        <v>855</v>
      </c>
      <c r="D1761" s="549">
        <v>2015</v>
      </c>
      <c r="E1761" s="549" t="s">
        <v>775</v>
      </c>
      <c r="F1761" s="550">
        <v>63</v>
      </c>
      <c r="G1761" s="550">
        <v>0</v>
      </c>
      <c r="H1761" s="550">
        <v>0</v>
      </c>
      <c r="I1761" s="550">
        <v>0</v>
      </c>
      <c r="J1761" s="550">
        <v>48</v>
      </c>
      <c r="K1761" s="550">
        <v>0</v>
      </c>
      <c r="L1761" s="550">
        <v>0</v>
      </c>
      <c r="M1761" s="550">
        <v>0</v>
      </c>
      <c r="N1761" s="550">
        <v>45</v>
      </c>
      <c r="O1761" s="550">
        <v>0</v>
      </c>
      <c r="P1761" s="550">
        <v>98</v>
      </c>
      <c r="Q1761" s="550">
        <v>20</v>
      </c>
      <c r="R1761" s="574" t="s">
        <v>597</v>
      </c>
      <c r="S1761" s="552"/>
      <c r="T1761" s="552"/>
      <c r="U1761" s="552"/>
      <c r="V1761" s="552"/>
      <c r="W1761" s="552"/>
      <c r="X1761" s="552"/>
      <c r="Y1761" s="552"/>
      <c r="Z1761" s="552"/>
      <c r="AA1761" s="553"/>
      <c r="AB1761" s="553"/>
    </row>
    <row r="1762" spans="1:28" ht="12.75">
      <c r="A1762" s="547" t="s">
        <v>597</v>
      </c>
      <c r="B1762" s="547" t="s">
        <v>179</v>
      </c>
      <c r="C1762" s="548" t="s">
        <v>855</v>
      </c>
      <c r="D1762" s="549">
        <v>2016</v>
      </c>
      <c r="E1762" s="549" t="s">
        <v>775</v>
      </c>
      <c r="F1762" s="550">
        <v>63</v>
      </c>
      <c r="G1762" s="550">
        <v>0</v>
      </c>
      <c r="H1762" s="550">
        <v>0</v>
      </c>
      <c r="I1762" s="550">
        <v>0</v>
      </c>
      <c r="J1762" s="550">
        <v>48</v>
      </c>
      <c r="K1762" s="550">
        <v>0</v>
      </c>
      <c r="L1762" s="550">
        <v>0</v>
      </c>
      <c r="M1762" s="550">
        <v>0</v>
      </c>
      <c r="N1762" s="550">
        <v>45</v>
      </c>
      <c r="O1762" s="550">
        <v>0</v>
      </c>
      <c r="P1762" s="550">
        <v>98</v>
      </c>
      <c r="Q1762" s="550">
        <v>13</v>
      </c>
      <c r="R1762" s="574" t="s">
        <v>597</v>
      </c>
      <c r="S1762" s="552"/>
      <c r="T1762" s="552"/>
      <c r="U1762" s="552"/>
      <c r="V1762" s="552"/>
      <c r="W1762" s="552"/>
      <c r="X1762" s="552"/>
      <c r="Y1762" s="552"/>
      <c r="Z1762" s="552"/>
      <c r="AA1762" s="553"/>
      <c r="AB1762" s="553"/>
    </row>
    <row r="1763" spans="1:28" ht="12.75">
      <c r="A1763" s="547" t="s">
        <v>597</v>
      </c>
      <c r="B1763" s="547" t="s">
        <v>179</v>
      </c>
      <c r="C1763" s="548" t="s">
        <v>855</v>
      </c>
      <c r="D1763" s="549">
        <v>2017</v>
      </c>
      <c r="E1763" s="549" t="s">
        <v>775</v>
      </c>
      <c r="F1763" s="550">
        <v>63</v>
      </c>
      <c r="G1763" s="550">
        <v>0</v>
      </c>
      <c r="H1763" s="550">
        <v>0</v>
      </c>
      <c r="I1763" s="550">
        <v>0</v>
      </c>
      <c r="J1763" s="550">
        <v>48</v>
      </c>
      <c r="K1763" s="550">
        <v>0</v>
      </c>
      <c r="L1763" s="550">
        <v>0</v>
      </c>
      <c r="M1763" s="550">
        <v>0</v>
      </c>
      <c r="N1763" s="550">
        <v>45</v>
      </c>
      <c r="O1763" s="550">
        <v>0</v>
      </c>
      <c r="P1763" s="550">
        <v>98</v>
      </c>
      <c r="Q1763" s="550">
        <v>117</v>
      </c>
      <c r="R1763" s="574" t="s">
        <v>597</v>
      </c>
      <c r="S1763" s="552"/>
      <c r="T1763" s="552"/>
      <c r="U1763" s="552"/>
      <c r="V1763" s="552"/>
      <c r="W1763" s="552"/>
      <c r="X1763" s="552"/>
      <c r="Y1763" s="552"/>
      <c r="Z1763" s="552"/>
      <c r="AA1763" s="553"/>
      <c r="AB1763" s="553"/>
    </row>
    <row r="1764" spans="1:28" ht="15" customHeight="1">
      <c r="A1764" s="547" t="s">
        <v>597</v>
      </c>
      <c r="B1764" s="547" t="s">
        <v>179</v>
      </c>
      <c r="C1764" s="548" t="s">
        <v>855</v>
      </c>
      <c r="D1764" s="549">
        <v>2018</v>
      </c>
      <c r="E1764" s="549" t="s">
        <v>775</v>
      </c>
      <c r="F1764" s="550">
        <v>63</v>
      </c>
      <c r="G1764" s="550">
        <v>0</v>
      </c>
      <c r="H1764" s="550">
        <v>0</v>
      </c>
      <c r="I1764" s="550">
        <v>0</v>
      </c>
      <c r="J1764" s="550">
        <v>48</v>
      </c>
      <c r="K1764" s="550">
        <v>0</v>
      </c>
      <c r="L1764" s="550">
        <v>0</v>
      </c>
      <c r="M1764" s="550">
        <v>0</v>
      </c>
      <c r="N1764" s="550">
        <v>45</v>
      </c>
      <c r="O1764" s="550">
        <v>0</v>
      </c>
      <c r="P1764" s="550">
        <v>98</v>
      </c>
      <c r="Q1764" s="550">
        <v>64</v>
      </c>
      <c r="R1764" s="574" t="s">
        <v>597</v>
      </c>
      <c r="S1764" s="552"/>
      <c r="T1764" s="552"/>
      <c r="U1764" s="552"/>
      <c r="V1764" s="552"/>
      <c r="W1764" s="552"/>
      <c r="X1764" s="552"/>
      <c r="Y1764" s="552"/>
      <c r="Z1764" s="552"/>
      <c r="AA1764" s="553"/>
      <c r="AB1764" s="553"/>
    </row>
    <row r="1765" spans="1:28" ht="12.75">
      <c r="A1765" s="547" t="s">
        <v>597</v>
      </c>
      <c r="B1765" s="547" t="s">
        <v>179</v>
      </c>
      <c r="C1765" s="548" t="s">
        <v>856</v>
      </c>
      <c r="D1765" s="549">
        <v>2019</v>
      </c>
      <c r="E1765" s="549" t="s">
        <v>775</v>
      </c>
      <c r="F1765" s="550">
        <v>63</v>
      </c>
      <c r="G1765" s="550">
        <v>0</v>
      </c>
      <c r="H1765" s="550">
        <v>0</v>
      </c>
      <c r="I1765" s="550">
        <v>0</v>
      </c>
      <c r="J1765" s="550">
        <v>48</v>
      </c>
      <c r="K1765" s="550">
        <v>0</v>
      </c>
      <c r="L1765" s="550">
        <v>0</v>
      </c>
      <c r="M1765" s="550">
        <v>0</v>
      </c>
      <c r="N1765" s="550">
        <v>45</v>
      </c>
      <c r="O1765" s="550">
        <v>0</v>
      </c>
      <c r="P1765" s="550">
        <v>98</v>
      </c>
      <c r="Q1765" s="550">
        <v>28</v>
      </c>
      <c r="R1765" s="574" t="s">
        <v>597</v>
      </c>
      <c r="S1765" s="552">
        <f>SUM(G1759:G1765) +SUM(K1759:K1765)</f>
        <v>35</v>
      </c>
      <c r="T1765" s="552">
        <f>F1765+J1765</f>
        <v>111</v>
      </c>
      <c r="U1765" s="552">
        <f>SUM(O1759:O1765)</f>
        <v>5</v>
      </c>
      <c r="V1765" s="552">
        <f>N1765</f>
        <v>45</v>
      </c>
      <c r="W1765" s="554">
        <f>SUM(Q1759:Q1765)</f>
        <v>304</v>
      </c>
      <c r="X1765" s="552">
        <f>P1765</f>
        <v>98</v>
      </c>
      <c r="Y1765" s="552">
        <f>S1765+U1765+SUM(Q1759:Q1765)</f>
        <v>344</v>
      </c>
      <c r="Z1765" s="552">
        <f>F1765+J1765+N1765+P1765</f>
        <v>254</v>
      </c>
      <c r="AA1765" s="553"/>
      <c r="AB1765" s="553"/>
    </row>
    <row r="1766" spans="1:28" ht="12.75">
      <c r="A1766" s="547" t="s">
        <v>598</v>
      </c>
      <c r="B1766" s="547" t="s">
        <v>179</v>
      </c>
      <c r="C1766" s="548" t="s">
        <v>855</v>
      </c>
      <c r="D1766" s="549">
        <v>2013</v>
      </c>
      <c r="E1766" s="549" t="s">
        <v>775</v>
      </c>
      <c r="F1766" s="550">
        <v>430</v>
      </c>
      <c r="G1766" s="550">
        <v>18</v>
      </c>
      <c r="H1766" s="550">
        <v>18</v>
      </c>
      <c r="I1766" s="550">
        <v>0</v>
      </c>
      <c r="J1766" s="550">
        <v>326</v>
      </c>
      <c r="K1766" s="550">
        <v>0</v>
      </c>
      <c r="L1766" s="550">
        <v>0</v>
      </c>
      <c r="M1766" s="550">
        <v>0</v>
      </c>
      <c r="N1766" s="550">
        <v>302</v>
      </c>
      <c r="O1766" s="550">
        <v>279</v>
      </c>
      <c r="P1766" s="550">
        <v>664</v>
      </c>
      <c r="Q1766" s="550">
        <v>241</v>
      </c>
      <c r="R1766" s="574" t="s">
        <v>598</v>
      </c>
      <c r="S1766" s="552"/>
      <c r="T1766" s="552"/>
      <c r="U1766" s="552"/>
      <c r="V1766" s="552"/>
      <c r="W1766" s="552"/>
      <c r="X1766" s="552"/>
      <c r="Y1766" s="552"/>
      <c r="Z1766" s="552"/>
      <c r="AA1766" s="553"/>
      <c r="AB1766" s="553"/>
    </row>
    <row r="1767" spans="1:28" ht="12.75">
      <c r="A1767" s="547" t="s">
        <v>598</v>
      </c>
      <c r="B1767" s="547" t="s">
        <v>179</v>
      </c>
      <c r="C1767" s="548" t="s">
        <v>855</v>
      </c>
      <c r="D1767" s="549">
        <v>2014</v>
      </c>
      <c r="E1767" s="549" t="s">
        <v>775</v>
      </c>
      <c r="F1767" s="550">
        <v>430</v>
      </c>
      <c r="G1767" s="550">
        <v>0</v>
      </c>
      <c r="H1767" s="550">
        <v>0</v>
      </c>
      <c r="I1767" s="550">
        <v>0</v>
      </c>
      <c r="J1767" s="550">
        <v>326</v>
      </c>
      <c r="K1767" s="550">
        <v>1</v>
      </c>
      <c r="L1767" s="550">
        <v>0</v>
      </c>
      <c r="M1767" s="550">
        <v>1</v>
      </c>
      <c r="N1767" s="550">
        <v>302</v>
      </c>
      <c r="O1767" s="550">
        <v>0</v>
      </c>
      <c r="P1767" s="550">
        <v>664</v>
      </c>
      <c r="Q1767" s="550">
        <v>310</v>
      </c>
      <c r="R1767" s="574" t="s">
        <v>598</v>
      </c>
      <c r="S1767" s="552"/>
      <c r="T1767" s="552"/>
      <c r="U1767" s="552"/>
      <c r="V1767" s="552"/>
      <c r="W1767" s="552"/>
      <c r="X1767" s="552"/>
      <c r="Y1767" s="552"/>
      <c r="Z1767" s="552"/>
      <c r="AA1767" s="553"/>
      <c r="AB1767" s="553"/>
    </row>
    <row r="1768" spans="1:28" ht="12.75">
      <c r="A1768" s="547" t="s">
        <v>598</v>
      </c>
      <c r="B1768" s="547" t="s">
        <v>179</v>
      </c>
      <c r="C1768" s="548" t="s">
        <v>855</v>
      </c>
      <c r="D1768" s="549">
        <v>2015</v>
      </c>
      <c r="E1768" s="549" t="s">
        <v>775</v>
      </c>
      <c r="F1768" s="550">
        <v>430</v>
      </c>
      <c r="G1768" s="550">
        <v>0</v>
      </c>
      <c r="H1768" s="550">
        <v>0</v>
      </c>
      <c r="I1768" s="550">
        <v>0</v>
      </c>
      <c r="J1768" s="550">
        <v>326</v>
      </c>
      <c r="K1768" s="550">
        <v>1</v>
      </c>
      <c r="L1768" s="550">
        <v>0</v>
      </c>
      <c r="M1768" s="550">
        <v>1</v>
      </c>
      <c r="N1768" s="550">
        <v>302</v>
      </c>
      <c r="O1768" s="550">
        <v>0</v>
      </c>
      <c r="P1768" s="550">
        <v>664</v>
      </c>
      <c r="Q1768" s="550">
        <v>28</v>
      </c>
      <c r="R1768" s="574" t="s">
        <v>598</v>
      </c>
      <c r="S1768" s="552"/>
      <c r="T1768" s="552"/>
      <c r="U1768" s="552"/>
      <c r="V1768" s="552"/>
      <c r="W1768" s="552"/>
      <c r="X1768" s="552"/>
      <c r="Y1768" s="552"/>
      <c r="Z1768" s="552"/>
      <c r="AA1768" s="553"/>
      <c r="AB1768" s="553"/>
    </row>
    <row r="1769" spans="1:28" ht="12.75">
      <c r="A1769" s="547" t="s">
        <v>598</v>
      </c>
      <c r="B1769" s="547" t="s">
        <v>179</v>
      </c>
      <c r="C1769" s="548" t="s">
        <v>855</v>
      </c>
      <c r="D1769" s="549">
        <v>2016</v>
      </c>
      <c r="E1769" s="549" t="s">
        <v>775</v>
      </c>
      <c r="F1769" s="550">
        <v>430</v>
      </c>
      <c r="G1769" s="550">
        <v>0</v>
      </c>
      <c r="H1769" s="550">
        <v>0</v>
      </c>
      <c r="I1769" s="550">
        <v>0</v>
      </c>
      <c r="J1769" s="550">
        <v>326</v>
      </c>
      <c r="K1769" s="550">
        <v>0</v>
      </c>
      <c r="L1769" s="550">
        <v>0</v>
      </c>
      <c r="M1769" s="550">
        <v>0</v>
      </c>
      <c r="N1769" s="550">
        <v>302</v>
      </c>
      <c r="O1769" s="550">
        <v>0</v>
      </c>
      <c r="P1769" s="550">
        <v>664</v>
      </c>
      <c r="Q1769" s="550">
        <v>106</v>
      </c>
      <c r="R1769" s="574" t="s">
        <v>598</v>
      </c>
      <c r="S1769" s="552"/>
      <c r="T1769" s="552"/>
      <c r="U1769" s="552"/>
      <c r="V1769" s="552"/>
      <c r="W1769" s="552"/>
      <c r="X1769" s="552"/>
      <c r="Y1769" s="552"/>
      <c r="Z1769" s="552"/>
      <c r="AA1769" s="553"/>
      <c r="AB1769" s="553"/>
    </row>
    <row r="1770" spans="1:28" ht="12.75">
      <c r="A1770" s="547" t="s">
        <v>598</v>
      </c>
      <c r="B1770" s="547" t="s">
        <v>179</v>
      </c>
      <c r="C1770" s="548" t="s">
        <v>855</v>
      </c>
      <c r="D1770" s="549">
        <v>2017</v>
      </c>
      <c r="E1770" s="549" t="s">
        <v>775</v>
      </c>
      <c r="F1770" s="550">
        <v>430</v>
      </c>
      <c r="G1770" s="550">
        <v>0</v>
      </c>
      <c r="H1770" s="550">
        <v>0</v>
      </c>
      <c r="I1770" s="550">
        <v>0</v>
      </c>
      <c r="J1770" s="550">
        <v>326</v>
      </c>
      <c r="K1770" s="550">
        <v>7</v>
      </c>
      <c r="L1770" s="550">
        <v>0</v>
      </c>
      <c r="M1770" s="550">
        <v>7</v>
      </c>
      <c r="N1770" s="550">
        <v>302</v>
      </c>
      <c r="O1770" s="550">
        <v>0</v>
      </c>
      <c r="P1770" s="550">
        <v>664</v>
      </c>
      <c r="Q1770" s="550">
        <v>24</v>
      </c>
      <c r="R1770" s="574" t="s">
        <v>598</v>
      </c>
      <c r="S1770" s="552"/>
      <c r="T1770" s="552"/>
      <c r="U1770" s="552"/>
      <c r="V1770" s="552"/>
      <c r="W1770" s="552"/>
      <c r="X1770" s="552"/>
      <c r="Y1770" s="552"/>
      <c r="Z1770" s="552"/>
      <c r="AA1770" s="553"/>
      <c r="AB1770" s="553"/>
    </row>
    <row r="1771" spans="1:28" ht="12.75">
      <c r="A1771" s="547" t="s">
        <v>598</v>
      </c>
      <c r="B1771" s="547" t="s">
        <v>179</v>
      </c>
      <c r="C1771" s="548" t="s">
        <v>855</v>
      </c>
      <c r="D1771" s="549">
        <v>2018</v>
      </c>
      <c r="E1771" s="549" t="s">
        <v>775</v>
      </c>
      <c r="F1771" s="550">
        <v>430</v>
      </c>
      <c r="G1771" s="550">
        <v>0</v>
      </c>
      <c r="H1771" s="550">
        <v>0</v>
      </c>
      <c r="I1771" s="550">
        <v>0</v>
      </c>
      <c r="J1771" s="550">
        <v>326</v>
      </c>
      <c r="K1771" s="550">
        <v>0</v>
      </c>
      <c r="L1771" s="550">
        <v>0</v>
      </c>
      <c r="M1771" s="550">
        <v>0</v>
      </c>
      <c r="N1771" s="550">
        <v>302</v>
      </c>
      <c r="O1771" s="550">
        <v>0</v>
      </c>
      <c r="P1771" s="550">
        <v>664</v>
      </c>
      <c r="Q1771" s="550">
        <v>122</v>
      </c>
      <c r="R1771" s="574" t="s">
        <v>598</v>
      </c>
      <c r="S1771" s="552"/>
      <c r="T1771" s="552"/>
      <c r="U1771" s="552"/>
      <c r="V1771" s="552"/>
      <c r="W1771" s="552"/>
      <c r="X1771" s="552"/>
      <c r="Y1771" s="552"/>
      <c r="Z1771" s="552"/>
      <c r="AA1771" s="553"/>
      <c r="AB1771" s="553"/>
    </row>
    <row r="1772" spans="1:28" ht="12.75">
      <c r="A1772" s="547" t="s">
        <v>598</v>
      </c>
      <c r="B1772" s="547" t="s">
        <v>179</v>
      </c>
      <c r="C1772" s="548" t="s">
        <v>856</v>
      </c>
      <c r="D1772" s="549">
        <v>2019</v>
      </c>
      <c r="E1772" s="549" t="s">
        <v>775</v>
      </c>
      <c r="F1772" s="550">
        <v>430</v>
      </c>
      <c r="G1772" s="550">
        <v>0</v>
      </c>
      <c r="H1772" s="550">
        <v>0</v>
      </c>
      <c r="I1772" s="550">
        <v>0</v>
      </c>
      <c r="J1772" s="550">
        <v>326</v>
      </c>
      <c r="K1772" s="550">
        <v>13</v>
      </c>
      <c r="L1772" s="550">
        <v>13</v>
      </c>
      <c r="M1772" s="550">
        <v>0</v>
      </c>
      <c r="N1772" s="550">
        <v>302</v>
      </c>
      <c r="O1772" s="550">
        <v>0</v>
      </c>
      <c r="P1772" s="550">
        <v>664</v>
      </c>
      <c r="Q1772" s="550">
        <v>168</v>
      </c>
      <c r="R1772" s="574" t="s">
        <v>598</v>
      </c>
      <c r="S1772" s="552">
        <f>SUM(G1766:G1772) +SUM(K1766:K1772)</f>
        <v>40</v>
      </c>
      <c r="T1772" s="552">
        <f>F1772+J1772</f>
        <v>756</v>
      </c>
      <c r="U1772" s="552">
        <f>SUM(O1766:O1772)</f>
        <v>279</v>
      </c>
      <c r="V1772" s="552">
        <f>N1772</f>
        <v>302</v>
      </c>
      <c r="W1772" s="554">
        <f>SUM(Q1766:Q1772)</f>
        <v>999</v>
      </c>
      <c r="X1772" s="552">
        <f>P1772</f>
        <v>664</v>
      </c>
      <c r="Y1772" s="552">
        <f>S1772+U1772+SUM(Q1766:Q1772)</f>
        <v>1318</v>
      </c>
      <c r="Z1772" s="552">
        <f>F1772+J1772+N1772+P1772</f>
        <v>1722</v>
      </c>
      <c r="AA1772" s="553"/>
      <c r="AB1772" s="553"/>
    </row>
    <row r="1773" spans="1:28" ht="12.75">
      <c r="A1773" s="547" t="s">
        <v>599</v>
      </c>
      <c r="B1773" s="547" t="s">
        <v>179</v>
      </c>
      <c r="C1773" s="548" t="s">
        <v>855</v>
      </c>
      <c r="D1773" s="549">
        <v>2013</v>
      </c>
      <c r="E1773" s="549" t="s">
        <v>775</v>
      </c>
      <c r="F1773" s="550">
        <v>77</v>
      </c>
      <c r="G1773" s="550">
        <v>89</v>
      </c>
      <c r="H1773" s="550">
        <v>89</v>
      </c>
      <c r="I1773" s="550">
        <v>0</v>
      </c>
      <c r="J1773" s="550">
        <v>59</v>
      </c>
      <c r="K1773" s="550">
        <v>81</v>
      </c>
      <c r="L1773" s="550">
        <v>81</v>
      </c>
      <c r="M1773" s="550">
        <v>0</v>
      </c>
      <c r="N1773" s="550">
        <v>54</v>
      </c>
      <c r="O1773" s="550">
        <v>6</v>
      </c>
      <c r="P1773" s="550">
        <v>119</v>
      </c>
      <c r="Q1773" s="550">
        <v>1</v>
      </c>
      <c r="R1773" s="574" t="s">
        <v>599</v>
      </c>
      <c r="S1773" s="552"/>
      <c r="T1773" s="552"/>
      <c r="U1773" s="552"/>
      <c r="V1773" s="552"/>
      <c r="W1773" s="552"/>
      <c r="X1773" s="552"/>
      <c r="Y1773" s="552"/>
      <c r="Z1773" s="552"/>
      <c r="AA1773" s="553"/>
      <c r="AB1773" s="553"/>
    </row>
    <row r="1774" spans="1:28" ht="12.75">
      <c r="A1774" s="547" t="s">
        <v>599</v>
      </c>
      <c r="B1774" s="547" t="s">
        <v>179</v>
      </c>
      <c r="C1774" s="548" t="s">
        <v>855</v>
      </c>
      <c r="D1774" s="549">
        <v>2014</v>
      </c>
      <c r="E1774" s="549" t="s">
        <v>775</v>
      </c>
      <c r="F1774" s="550">
        <v>77</v>
      </c>
      <c r="G1774" s="550">
        <v>0</v>
      </c>
      <c r="H1774" s="550">
        <v>0</v>
      </c>
      <c r="I1774" s="550">
        <v>0</v>
      </c>
      <c r="J1774" s="550">
        <v>59</v>
      </c>
      <c r="K1774" s="550">
        <v>0</v>
      </c>
      <c r="L1774" s="550">
        <v>0</v>
      </c>
      <c r="M1774" s="550">
        <v>0</v>
      </c>
      <c r="N1774" s="550">
        <v>54</v>
      </c>
      <c r="O1774" s="550">
        <v>0</v>
      </c>
      <c r="P1774" s="550">
        <v>119</v>
      </c>
      <c r="Q1774" s="550">
        <v>23</v>
      </c>
      <c r="R1774" s="574" t="s">
        <v>599</v>
      </c>
      <c r="S1774" s="552"/>
      <c r="T1774" s="552"/>
      <c r="U1774" s="552"/>
      <c r="V1774" s="552"/>
      <c r="W1774" s="552"/>
      <c r="X1774" s="552"/>
      <c r="Y1774" s="552"/>
      <c r="Z1774" s="552"/>
      <c r="AA1774" s="553"/>
      <c r="AB1774" s="553"/>
    </row>
    <row r="1775" spans="1:28" ht="12.75">
      <c r="A1775" s="547" t="s">
        <v>599</v>
      </c>
      <c r="B1775" s="547" t="s">
        <v>179</v>
      </c>
      <c r="C1775" s="548" t="s">
        <v>855</v>
      </c>
      <c r="D1775" s="549">
        <v>2015</v>
      </c>
      <c r="E1775" s="549" t="s">
        <v>775</v>
      </c>
      <c r="F1775" s="550">
        <v>77</v>
      </c>
      <c r="G1775" s="550">
        <v>0</v>
      </c>
      <c r="H1775" s="550">
        <v>0</v>
      </c>
      <c r="I1775" s="550">
        <v>0</v>
      </c>
      <c r="J1775" s="550">
        <v>59</v>
      </c>
      <c r="K1775" s="550">
        <v>5</v>
      </c>
      <c r="L1775" s="550">
        <v>5</v>
      </c>
      <c r="M1775" s="550">
        <v>0</v>
      </c>
      <c r="N1775" s="550">
        <v>54</v>
      </c>
      <c r="O1775" s="550">
        <v>0</v>
      </c>
      <c r="P1775" s="550">
        <v>119</v>
      </c>
      <c r="Q1775" s="550">
        <v>72</v>
      </c>
      <c r="R1775" s="574" t="s">
        <v>599</v>
      </c>
      <c r="S1775" s="552"/>
      <c r="T1775" s="552"/>
      <c r="U1775" s="552"/>
      <c r="V1775" s="552"/>
      <c r="W1775" s="552"/>
      <c r="X1775" s="552"/>
      <c r="Y1775" s="552"/>
      <c r="Z1775" s="552"/>
      <c r="AA1775" s="553"/>
      <c r="AB1775" s="553"/>
    </row>
    <row r="1776" spans="1:28" ht="12.75">
      <c r="A1776" s="547" t="s">
        <v>599</v>
      </c>
      <c r="B1776" s="555" t="s">
        <v>179</v>
      </c>
      <c r="C1776" s="548" t="s">
        <v>855</v>
      </c>
      <c r="D1776" s="549">
        <v>2016</v>
      </c>
      <c r="E1776" s="549" t="s">
        <v>775</v>
      </c>
      <c r="F1776" s="550">
        <v>77</v>
      </c>
      <c r="G1776" s="550">
        <v>1</v>
      </c>
      <c r="H1776" s="550">
        <v>1</v>
      </c>
      <c r="I1776" s="550">
        <v>0</v>
      </c>
      <c r="J1776" s="550">
        <v>59</v>
      </c>
      <c r="K1776" s="550">
        <v>2</v>
      </c>
      <c r="L1776" s="550">
        <v>2</v>
      </c>
      <c r="M1776" s="550">
        <v>0</v>
      </c>
      <c r="N1776" s="550">
        <v>54</v>
      </c>
      <c r="O1776" s="550">
        <v>15</v>
      </c>
      <c r="P1776" s="550">
        <v>119</v>
      </c>
      <c r="Q1776" s="550">
        <v>0</v>
      </c>
      <c r="R1776" s="574" t="s">
        <v>599</v>
      </c>
      <c r="S1776" s="552"/>
      <c r="T1776" s="552"/>
      <c r="U1776" s="552"/>
      <c r="V1776" s="552"/>
      <c r="W1776" s="552"/>
      <c r="X1776" s="552"/>
      <c r="Y1776" s="552"/>
      <c r="Z1776" s="552"/>
      <c r="AA1776" s="553"/>
      <c r="AB1776" s="553"/>
    </row>
    <row r="1777" spans="1:28" ht="12.75">
      <c r="A1777" s="547" t="s">
        <v>599</v>
      </c>
      <c r="B1777" s="547" t="s">
        <v>179</v>
      </c>
      <c r="C1777" s="548" t="s">
        <v>855</v>
      </c>
      <c r="D1777" s="549">
        <v>2017</v>
      </c>
      <c r="E1777" s="549" t="s">
        <v>775</v>
      </c>
      <c r="F1777" s="550">
        <v>77</v>
      </c>
      <c r="G1777" s="550">
        <v>0</v>
      </c>
      <c r="H1777" s="550">
        <v>0</v>
      </c>
      <c r="I1777" s="550">
        <v>0</v>
      </c>
      <c r="J1777" s="550">
        <v>59</v>
      </c>
      <c r="K1777" s="550">
        <v>5</v>
      </c>
      <c r="L1777" s="550">
        <v>5</v>
      </c>
      <c r="M1777" s="550">
        <v>0</v>
      </c>
      <c r="N1777" s="550">
        <v>54</v>
      </c>
      <c r="O1777" s="550">
        <v>14</v>
      </c>
      <c r="P1777" s="550">
        <v>119</v>
      </c>
      <c r="Q1777" s="550">
        <v>7</v>
      </c>
      <c r="R1777" s="574" t="s">
        <v>599</v>
      </c>
      <c r="S1777" s="552"/>
      <c r="T1777" s="552"/>
      <c r="U1777" s="552"/>
      <c r="V1777" s="552"/>
      <c r="W1777" s="552"/>
      <c r="X1777" s="552"/>
      <c r="Y1777" s="552"/>
      <c r="Z1777" s="552"/>
      <c r="AA1777" s="553"/>
      <c r="AB1777" s="553"/>
    </row>
    <row r="1778" spans="1:28" ht="12.75">
      <c r="A1778" s="547" t="s">
        <v>599</v>
      </c>
      <c r="B1778" s="547" t="s">
        <v>179</v>
      </c>
      <c r="C1778" s="548" t="s">
        <v>855</v>
      </c>
      <c r="D1778" s="549">
        <v>2018</v>
      </c>
      <c r="E1778" s="549" t="s">
        <v>775</v>
      </c>
      <c r="F1778" s="550">
        <v>77</v>
      </c>
      <c r="G1778" s="550">
        <v>0</v>
      </c>
      <c r="H1778" s="550">
        <v>0</v>
      </c>
      <c r="I1778" s="550">
        <v>0</v>
      </c>
      <c r="J1778" s="550">
        <v>59</v>
      </c>
      <c r="K1778" s="550">
        <v>1</v>
      </c>
      <c r="L1778" s="550">
        <v>0</v>
      </c>
      <c r="M1778" s="550">
        <v>1</v>
      </c>
      <c r="N1778" s="550">
        <v>54</v>
      </c>
      <c r="O1778" s="550">
        <v>24</v>
      </c>
      <c r="P1778" s="550">
        <v>119</v>
      </c>
      <c r="Q1778" s="550">
        <v>3</v>
      </c>
      <c r="R1778" s="574" t="s">
        <v>599</v>
      </c>
      <c r="S1778" s="552"/>
      <c r="T1778" s="552"/>
      <c r="U1778" s="552"/>
      <c r="V1778" s="552"/>
      <c r="W1778" s="552"/>
      <c r="X1778" s="552"/>
      <c r="Y1778" s="552"/>
      <c r="Z1778" s="552"/>
      <c r="AA1778" s="553"/>
      <c r="AB1778" s="553"/>
    </row>
    <row r="1779" spans="1:28" ht="12.75">
      <c r="A1779" s="547" t="s">
        <v>599</v>
      </c>
      <c r="B1779" s="547" t="s">
        <v>179</v>
      </c>
      <c r="C1779" s="548" t="s">
        <v>856</v>
      </c>
      <c r="D1779" s="549">
        <v>2019</v>
      </c>
      <c r="E1779" s="549" t="s">
        <v>775</v>
      </c>
      <c r="F1779" s="550">
        <v>77</v>
      </c>
      <c r="G1779" s="550">
        <v>0</v>
      </c>
      <c r="H1779" s="550">
        <v>0</v>
      </c>
      <c r="I1779" s="550">
        <v>0</v>
      </c>
      <c r="J1779" s="550">
        <v>59</v>
      </c>
      <c r="K1779" s="550">
        <v>4</v>
      </c>
      <c r="L1779" s="550">
        <v>0</v>
      </c>
      <c r="M1779" s="550">
        <v>4</v>
      </c>
      <c r="N1779" s="550">
        <v>54</v>
      </c>
      <c r="O1779" s="550">
        <v>3</v>
      </c>
      <c r="P1779" s="550">
        <v>119</v>
      </c>
      <c r="Q1779" s="550">
        <v>2</v>
      </c>
      <c r="R1779" s="574" t="s">
        <v>599</v>
      </c>
      <c r="S1779" s="552">
        <f>SUM(G1773:G1779) +SUM(K1773:K1779)</f>
        <v>188</v>
      </c>
      <c r="T1779" s="552">
        <f>F1779+J1779</f>
        <v>136</v>
      </c>
      <c r="U1779" s="552">
        <f>SUM(O1773:O1779)</f>
        <v>62</v>
      </c>
      <c r="V1779" s="552">
        <f>N1779</f>
        <v>54</v>
      </c>
      <c r="W1779" s="554">
        <f>SUM(Q1773:Q1779)</f>
        <v>108</v>
      </c>
      <c r="X1779" s="552">
        <f>P1779</f>
        <v>119</v>
      </c>
      <c r="Y1779" s="552">
        <f>S1779+U1779+SUM(Q1773:Q1779)</f>
        <v>358</v>
      </c>
      <c r="Z1779" s="552">
        <f>F1779+J1779+N1779+P1779</f>
        <v>309</v>
      </c>
      <c r="AA1779" s="553"/>
      <c r="AB1779" s="553"/>
    </row>
    <row r="1780" spans="1:28" ht="12.75">
      <c r="A1780" s="547" t="s">
        <v>600</v>
      </c>
      <c r="B1780" s="547" t="s">
        <v>179</v>
      </c>
      <c r="C1780" s="548" t="s">
        <v>855</v>
      </c>
      <c r="D1780" s="549">
        <v>2013</v>
      </c>
      <c r="E1780" s="549" t="s">
        <v>775</v>
      </c>
      <c r="F1780" s="550">
        <v>465</v>
      </c>
      <c r="G1780" s="550">
        <v>0</v>
      </c>
      <c r="H1780" s="550">
        <v>0</v>
      </c>
      <c r="I1780" s="550">
        <v>0</v>
      </c>
      <c r="J1780" s="550">
        <v>353</v>
      </c>
      <c r="K1780" s="550">
        <v>8</v>
      </c>
      <c r="L1780" s="550">
        <v>8</v>
      </c>
      <c r="M1780" s="550">
        <v>0</v>
      </c>
      <c r="N1780" s="550">
        <v>327</v>
      </c>
      <c r="O1780" s="550">
        <v>0</v>
      </c>
      <c r="P1780" s="550">
        <v>718</v>
      </c>
      <c r="Q1780" s="550">
        <v>67</v>
      </c>
      <c r="R1780" s="574" t="s">
        <v>600</v>
      </c>
      <c r="S1780" s="552"/>
      <c r="T1780" s="552"/>
      <c r="U1780" s="552"/>
      <c r="V1780" s="552"/>
      <c r="W1780" s="552"/>
      <c r="X1780" s="552"/>
      <c r="Y1780" s="552"/>
      <c r="Z1780" s="552"/>
      <c r="AA1780" s="553"/>
      <c r="AB1780" s="553"/>
    </row>
    <row r="1781" spans="1:28" ht="12.75">
      <c r="A1781" s="547" t="s">
        <v>600</v>
      </c>
      <c r="B1781" s="547" t="s">
        <v>179</v>
      </c>
      <c r="C1781" s="548" t="s">
        <v>855</v>
      </c>
      <c r="D1781" s="549">
        <v>2014</v>
      </c>
      <c r="E1781" s="549" t="s">
        <v>775</v>
      </c>
      <c r="F1781" s="550">
        <v>465</v>
      </c>
      <c r="G1781" s="550">
        <v>0</v>
      </c>
      <c r="H1781" s="550">
        <v>0</v>
      </c>
      <c r="I1781" s="550">
        <v>0</v>
      </c>
      <c r="J1781" s="550">
        <v>353</v>
      </c>
      <c r="K1781" s="550">
        <v>108</v>
      </c>
      <c r="L1781" s="550">
        <v>108</v>
      </c>
      <c r="M1781" s="550">
        <v>0</v>
      </c>
      <c r="N1781" s="550">
        <v>327</v>
      </c>
      <c r="O1781" s="550">
        <v>1</v>
      </c>
      <c r="P1781" s="550">
        <v>718</v>
      </c>
      <c r="Q1781" s="550">
        <v>16</v>
      </c>
      <c r="R1781" s="574" t="s">
        <v>600</v>
      </c>
      <c r="S1781" s="552"/>
      <c r="T1781" s="552"/>
      <c r="U1781" s="552"/>
      <c r="V1781" s="552"/>
      <c r="W1781" s="552"/>
      <c r="X1781" s="552"/>
      <c r="Y1781" s="552"/>
      <c r="Z1781" s="552"/>
      <c r="AA1781" s="553"/>
      <c r="AB1781" s="553"/>
    </row>
    <row r="1782" spans="1:28" ht="12.75">
      <c r="A1782" s="547" t="s">
        <v>600</v>
      </c>
      <c r="B1782" s="547" t="s">
        <v>179</v>
      </c>
      <c r="C1782" s="548" t="s">
        <v>855</v>
      </c>
      <c r="D1782" s="549">
        <v>2015</v>
      </c>
      <c r="E1782" s="549" t="s">
        <v>775</v>
      </c>
      <c r="F1782" s="550">
        <v>465</v>
      </c>
      <c r="G1782" s="550">
        <v>0</v>
      </c>
      <c r="H1782" s="550">
        <v>0</v>
      </c>
      <c r="I1782" s="550">
        <v>0</v>
      </c>
      <c r="J1782" s="550">
        <v>353</v>
      </c>
      <c r="K1782" s="550">
        <v>0</v>
      </c>
      <c r="L1782" s="550">
        <v>0</v>
      </c>
      <c r="M1782" s="550">
        <v>0</v>
      </c>
      <c r="N1782" s="550">
        <v>327</v>
      </c>
      <c r="O1782" s="550">
        <v>0</v>
      </c>
      <c r="P1782" s="550">
        <v>718</v>
      </c>
      <c r="Q1782" s="550">
        <v>143</v>
      </c>
      <c r="R1782" s="574" t="s">
        <v>600</v>
      </c>
      <c r="S1782" s="552"/>
      <c r="T1782" s="552"/>
      <c r="U1782" s="552"/>
      <c r="V1782" s="552"/>
      <c r="W1782" s="552"/>
      <c r="X1782" s="552"/>
      <c r="Y1782" s="552"/>
      <c r="Z1782" s="552"/>
      <c r="AA1782" s="553"/>
      <c r="AB1782" s="553"/>
    </row>
    <row r="1783" spans="1:28" ht="12.75">
      <c r="A1783" s="547" t="s">
        <v>600</v>
      </c>
      <c r="B1783" s="547" t="s">
        <v>179</v>
      </c>
      <c r="C1783" s="548" t="s">
        <v>855</v>
      </c>
      <c r="D1783" s="549">
        <v>2016</v>
      </c>
      <c r="E1783" s="549" t="s">
        <v>775</v>
      </c>
      <c r="F1783" s="550">
        <v>465</v>
      </c>
      <c r="G1783" s="550">
        <v>45</v>
      </c>
      <c r="H1783" s="550">
        <v>45</v>
      </c>
      <c r="I1783" s="550">
        <v>0</v>
      </c>
      <c r="J1783" s="550">
        <v>353</v>
      </c>
      <c r="K1783" s="550">
        <v>0</v>
      </c>
      <c r="L1783" s="550">
        <v>0</v>
      </c>
      <c r="M1783" s="550">
        <v>0</v>
      </c>
      <c r="N1783" s="550">
        <v>327</v>
      </c>
      <c r="O1783" s="550">
        <v>46</v>
      </c>
      <c r="P1783" s="550">
        <v>718</v>
      </c>
      <c r="Q1783" s="550">
        <v>12</v>
      </c>
      <c r="R1783" s="574" t="s">
        <v>600</v>
      </c>
      <c r="S1783" s="552"/>
      <c r="T1783" s="552"/>
      <c r="U1783" s="552"/>
      <c r="V1783" s="552"/>
      <c r="W1783" s="552"/>
      <c r="X1783" s="552"/>
      <c r="Y1783" s="552"/>
      <c r="Z1783" s="552"/>
      <c r="AA1783" s="553"/>
      <c r="AB1783" s="553"/>
    </row>
    <row r="1784" spans="1:28" ht="12.75">
      <c r="A1784" s="547" t="s">
        <v>600</v>
      </c>
      <c r="B1784" s="547" t="s">
        <v>179</v>
      </c>
      <c r="C1784" s="548" t="s">
        <v>855</v>
      </c>
      <c r="D1784" s="549">
        <v>2017</v>
      </c>
      <c r="E1784" s="549" t="s">
        <v>775</v>
      </c>
      <c r="F1784" s="550">
        <v>465</v>
      </c>
      <c r="G1784" s="550">
        <v>0</v>
      </c>
      <c r="H1784" s="550">
        <v>0</v>
      </c>
      <c r="I1784" s="550">
        <v>0</v>
      </c>
      <c r="J1784" s="550">
        <v>353</v>
      </c>
      <c r="K1784" s="550">
        <v>0</v>
      </c>
      <c r="L1784" s="550">
        <v>0</v>
      </c>
      <c r="M1784" s="550">
        <v>0</v>
      </c>
      <c r="N1784" s="550">
        <v>327</v>
      </c>
      <c r="O1784" s="550">
        <v>116</v>
      </c>
      <c r="P1784" s="550">
        <v>718</v>
      </c>
      <c r="Q1784" s="550">
        <v>7</v>
      </c>
      <c r="R1784" s="574" t="s">
        <v>600</v>
      </c>
      <c r="S1784" s="552"/>
      <c r="T1784" s="552"/>
      <c r="U1784" s="552"/>
      <c r="V1784" s="552"/>
      <c r="W1784" s="552"/>
      <c r="X1784" s="552"/>
      <c r="Y1784" s="552"/>
      <c r="Z1784" s="552"/>
      <c r="AA1784" s="553"/>
      <c r="AB1784" s="553"/>
    </row>
    <row r="1785" spans="1:28" ht="12.75">
      <c r="A1785" s="547" t="s">
        <v>600</v>
      </c>
      <c r="B1785" s="547" t="s">
        <v>179</v>
      </c>
      <c r="C1785" s="548" t="s">
        <v>855</v>
      </c>
      <c r="D1785" s="549">
        <v>2018</v>
      </c>
      <c r="E1785" s="549" t="s">
        <v>775</v>
      </c>
      <c r="F1785" s="550">
        <v>465</v>
      </c>
      <c r="G1785" s="550">
        <v>0</v>
      </c>
      <c r="H1785" s="550">
        <v>0</v>
      </c>
      <c r="I1785" s="550">
        <v>0</v>
      </c>
      <c r="J1785" s="550">
        <v>353</v>
      </c>
      <c r="K1785" s="550">
        <v>0</v>
      </c>
      <c r="L1785" s="550">
        <v>0</v>
      </c>
      <c r="M1785" s="550">
        <v>0</v>
      </c>
      <c r="N1785" s="550">
        <v>327</v>
      </c>
      <c r="O1785" s="550">
        <v>0</v>
      </c>
      <c r="P1785" s="550">
        <v>718</v>
      </c>
      <c r="Q1785" s="550">
        <v>60</v>
      </c>
      <c r="R1785" s="574" t="s">
        <v>600</v>
      </c>
      <c r="S1785" s="552"/>
      <c r="T1785" s="552"/>
      <c r="U1785" s="552"/>
      <c r="V1785" s="552"/>
      <c r="W1785" s="552"/>
      <c r="X1785" s="552"/>
      <c r="Y1785" s="552"/>
      <c r="Z1785" s="552"/>
      <c r="AA1785" s="553"/>
      <c r="AB1785" s="553"/>
    </row>
    <row r="1786" spans="1:28" ht="12.75">
      <c r="A1786" s="547" t="s">
        <v>600</v>
      </c>
      <c r="B1786" s="547" t="s">
        <v>179</v>
      </c>
      <c r="C1786" s="548" t="s">
        <v>856</v>
      </c>
      <c r="D1786" s="549">
        <v>2019</v>
      </c>
      <c r="E1786" s="549" t="s">
        <v>775</v>
      </c>
      <c r="F1786" s="550">
        <v>465</v>
      </c>
      <c r="G1786" s="550">
        <v>0</v>
      </c>
      <c r="H1786" s="550">
        <v>0</v>
      </c>
      <c r="I1786" s="550">
        <v>0</v>
      </c>
      <c r="J1786" s="550">
        <v>353</v>
      </c>
      <c r="K1786" s="550">
        <v>0</v>
      </c>
      <c r="L1786" s="550">
        <v>0</v>
      </c>
      <c r="M1786" s="550">
        <v>0</v>
      </c>
      <c r="N1786" s="550">
        <v>327</v>
      </c>
      <c r="O1786" s="550">
        <v>0</v>
      </c>
      <c r="P1786" s="550">
        <v>718</v>
      </c>
      <c r="Q1786" s="550">
        <v>166</v>
      </c>
      <c r="R1786" s="574" t="s">
        <v>600</v>
      </c>
      <c r="S1786" s="552">
        <f>SUM(G1780:G1786) +SUM(K1780:K1786)</f>
        <v>161</v>
      </c>
      <c r="T1786" s="552">
        <f>F1786+J1786</f>
        <v>818</v>
      </c>
      <c r="U1786" s="552">
        <f>SUM(O1780:O1786)</f>
        <v>163</v>
      </c>
      <c r="V1786" s="552">
        <f>N1786</f>
        <v>327</v>
      </c>
      <c r="W1786" s="554">
        <f>SUM(Q1780:Q1786)</f>
        <v>471</v>
      </c>
      <c r="X1786" s="552">
        <f>P1786</f>
        <v>718</v>
      </c>
      <c r="Y1786" s="552">
        <f>S1786+U1786+SUM(Q1780:Q1786)</f>
        <v>795</v>
      </c>
      <c r="Z1786" s="552">
        <f>F1786+J1786+N1786+P1786</f>
        <v>1863</v>
      </c>
      <c r="AA1786" s="553"/>
      <c r="AB1786" s="553"/>
    </row>
    <row r="1787" spans="1:28" ht="12.75">
      <c r="A1787" s="547" t="s">
        <v>601</v>
      </c>
      <c r="B1787" s="547" t="s">
        <v>179</v>
      </c>
      <c r="C1787" s="548" t="s">
        <v>855</v>
      </c>
      <c r="D1787" s="549">
        <v>2013</v>
      </c>
      <c r="E1787" s="549" t="s">
        <v>775</v>
      </c>
      <c r="F1787" s="550">
        <v>1549</v>
      </c>
      <c r="G1787" s="550">
        <v>267</v>
      </c>
      <c r="H1787" s="550">
        <v>244</v>
      </c>
      <c r="I1787" s="550">
        <v>23</v>
      </c>
      <c r="J1787" s="550">
        <v>1178</v>
      </c>
      <c r="K1787" s="550">
        <v>57</v>
      </c>
      <c r="L1787" s="550">
        <v>55</v>
      </c>
      <c r="M1787" s="550">
        <v>2</v>
      </c>
      <c r="N1787" s="550">
        <v>1090</v>
      </c>
      <c r="O1787" s="550">
        <v>102</v>
      </c>
      <c r="P1787" s="550">
        <v>2393</v>
      </c>
      <c r="Q1787" s="550">
        <v>362</v>
      </c>
      <c r="R1787" s="574" t="s">
        <v>601</v>
      </c>
      <c r="S1787" s="552"/>
      <c r="T1787" s="552"/>
      <c r="U1787" s="552"/>
      <c r="V1787" s="552"/>
      <c r="W1787" s="552"/>
      <c r="X1787" s="552"/>
      <c r="Y1787" s="552"/>
      <c r="Z1787" s="552"/>
      <c r="AA1787" s="553"/>
      <c r="AB1787" s="553"/>
    </row>
    <row r="1788" spans="1:28" ht="12.75">
      <c r="A1788" s="547" t="s">
        <v>601</v>
      </c>
      <c r="B1788" s="547" t="s">
        <v>179</v>
      </c>
      <c r="C1788" s="548" t="s">
        <v>855</v>
      </c>
      <c r="D1788" s="549">
        <v>2014</v>
      </c>
      <c r="E1788" s="549" t="s">
        <v>775</v>
      </c>
      <c r="F1788" s="550">
        <v>1549</v>
      </c>
      <c r="G1788" s="550">
        <v>0</v>
      </c>
      <c r="H1788" s="550">
        <v>0</v>
      </c>
      <c r="I1788" s="550">
        <v>0</v>
      </c>
      <c r="J1788" s="550">
        <v>1178</v>
      </c>
      <c r="K1788" s="550">
        <v>0</v>
      </c>
      <c r="L1788" s="550">
        <v>0</v>
      </c>
      <c r="M1788" s="550">
        <v>0</v>
      </c>
      <c r="N1788" s="550">
        <v>1090</v>
      </c>
      <c r="O1788" s="550">
        <v>20</v>
      </c>
      <c r="P1788" s="550">
        <v>2393</v>
      </c>
      <c r="Q1788" s="550">
        <v>92</v>
      </c>
      <c r="R1788" s="574" t="s">
        <v>601</v>
      </c>
      <c r="S1788" s="552"/>
      <c r="T1788" s="552"/>
      <c r="U1788" s="552"/>
      <c r="V1788" s="552"/>
      <c r="W1788" s="552"/>
      <c r="X1788" s="552"/>
      <c r="Y1788" s="552"/>
      <c r="Z1788" s="552"/>
      <c r="AA1788" s="553"/>
      <c r="AB1788" s="553"/>
    </row>
    <row r="1789" spans="1:28" ht="12.75">
      <c r="A1789" s="547" t="s">
        <v>601</v>
      </c>
      <c r="B1789" s="547" t="s">
        <v>179</v>
      </c>
      <c r="C1789" s="548" t="s">
        <v>855</v>
      </c>
      <c r="D1789" s="549">
        <v>2015</v>
      </c>
      <c r="E1789" s="549" t="s">
        <v>775</v>
      </c>
      <c r="F1789" s="550">
        <v>1549</v>
      </c>
      <c r="G1789" s="550">
        <v>0</v>
      </c>
      <c r="H1789" s="550">
        <v>0</v>
      </c>
      <c r="I1789" s="550">
        <v>0</v>
      </c>
      <c r="J1789" s="550">
        <v>1178</v>
      </c>
      <c r="K1789" s="550">
        <v>0</v>
      </c>
      <c r="L1789" s="550">
        <v>0</v>
      </c>
      <c r="M1789" s="550">
        <v>0</v>
      </c>
      <c r="N1789" s="550">
        <v>1090</v>
      </c>
      <c r="O1789" s="550">
        <v>27</v>
      </c>
      <c r="P1789" s="550">
        <v>2393</v>
      </c>
      <c r="Q1789" s="550">
        <v>73</v>
      </c>
      <c r="R1789" s="574" t="s">
        <v>601</v>
      </c>
      <c r="S1789" s="552"/>
      <c r="T1789" s="552"/>
      <c r="U1789" s="552"/>
      <c r="V1789" s="552"/>
      <c r="W1789" s="552"/>
      <c r="X1789" s="552"/>
      <c r="Y1789" s="552"/>
      <c r="Z1789" s="552"/>
      <c r="AA1789" s="553"/>
      <c r="AB1789" s="553"/>
    </row>
    <row r="1790" spans="1:28" ht="12.75">
      <c r="A1790" s="547" t="s">
        <v>601</v>
      </c>
      <c r="B1790" s="547" t="s">
        <v>179</v>
      </c>
      <c r="C1790" s="548" t="s">
        <v>855</v>
      </c>
      <c r="D1790" s="549">
        <v>2016</v>
      </c>
      <c r="E1790" s="549" t="s">
        <v>775</v>
      </c>
      <c r="F1790" s="550">
        <v>1549</v>
      </c>
      <c r="G1790" s="550">
        <v>0</v>
      </c>
      <c r="H1790" s="550">
        <v>0</v>
      </c>
      <c r="I1790" s="550">
        <v>0</v>
      </c>
      <c r="J1790" s="550">
        <v>1178</v>
      </c>
      <c r="K1790" s="550">
        <v>0</v>
      </c>
      <c r="L1790" s="550">
        <v>0</v>
      </c>
      <c r="M1790" s="550">
        <v>0</v>
      </c>
      <c r="N1790" s="550">
        <v>1090</v>
      </c>
      <c r="O1790" s="550">
        <v>0</v>
      </c>
      <c r="P1790" s="550">
        <v>2393</v>
      </c>
      <c r="Q1790" s="550">
        <v>0</v>
      </c>
      <c r="R1790" s="574" t="s">
        <v>601</v>
      </c>
      <c r="S1790" s="552"/>
      <c r="T1790" s="552"/>
      <c r="U1790" s="552"/>
      <c r="V1790" s="552"/>
      <c r="W1790" s="552"/>
      <c r="X1790" s="552"/>
      <c r="Y1790" s="552"/>
      <c r="Z1790" s="552"/>
      <c r="AA1790" s="553"/>
      <c r="AB1790" s="553"/>
    </row>
    <row r="1791" spans="1:28" ht="12.75">
      <c r="A1791" s="547" t="s">
        <v>601</v>
      </c>
      <c r="B1791" s="547" t="s">
        <v>179</v>
      </c>
      <c r="C1791" s="548" t="s">
        <v>855</v>
      </c>
      <c r="D1791" s="549">
        <v>2017</v>
      </c>
      <c r="E1791" s="549" t="s">
        <v>775</v>
      </c>
      <c r="F1791" s="550">
        <v>1549</v>
      </c>
      <c r="G1791" s="550">
        <v>43</v>
      </c>
      <c r="H1791" s="550">
        <v>43</v>
      </c>
      <c r="I1791" s="550">
        <v>0</v>
      </c>
      <c r="J1791" s="550">
        <v>1178</v>
      </c>
      <c r="K1791" s="550">
        <v>117</v>
      </c>
      <c r="L1791" s="550">
        <v>117</v>
      </c>
      <c r="M1791" s="550">
        <v>0</v>
      </c>
      <c r="N1791" s="550">
        <v>1090</v>
      </c>
      <c r="O1791" s="550">
        <v>0</v>
      </c>
      <c r="P1791" s="550">
        <v>2393</v>
      </c>
      <c r="Q1791" s="550">
        <v>39</v>
      </c>
      <c r="R1791" s="574" t="s">
        <v>601</v>
      </c>
      <c r="S1791" s="552"/>
      <c r="T1791" s="552"/>
      <c r="U1791" s="552"/>
      <c r="V1791" s="552"/>
      <c r="W1791" s="552"/>
      <c r="X1791" s="552"/>
      <c r="Y1791" s="552"/>
      <c r="Z1791" s="552"/>
      <c r="AA1791" s="553"/>
      <c r="AB1791" s="553"/>
    </row>
    <row r="1792" spans="1:28" ht="12.75">
      <c r="A1792" s="547" t="s">
        <v>601</v>
      </c>
      <c r="B1792" s="547" t="s">
        <v>179</v>
      </c>
      <c r="C1792" s="548" t="s">
        <v>855</v>
      </c>
      <c r="D1792" s="549">
        <v>2018</v>
      </c>
      <c r="E1792" s="549" t="s">
        <v>775</v>
      </c>
      <c r="F1792" s="550">
        <v>1549</v>
      </c>
      <c r="G1792" s="550">
        <v>0</v>
      </c>
      <c r="H1792" s="550">
        <v>0</v>
      </c>
      <c r="I1792" s="550">
        <v>0</v>
      </c>
      <c r="J1792" s="550">
        <v>1178</v>
      </c>
      <c r="K1792" s="550">
        <v>0</v>
      </c>
      <c r="L1792" s="550">
        <v>0</v>
      </c>
      <c r="M1792" s="550">
        <v>0</v>
      </c>
      <c r="N1792" s="550">
        <v>1090</v>
      </c>
      <c r="O1792" s="550">
        <v>27</v>
      </c>
      <c r="P1792" s="550">
        <v>2393</v>
      </c>
      <c r="Q1792" s="550">
        <v>267</v>
      </c>
      <c r="R1792" s="574" t="s">
        <v>601</v>
      </c>
      <c r="S1792" s="552"/>
      <c r="T1792" s="552"/>
      <c r="U1792" s="552"/>
      <c r="V1792" s="552"/>
      <c r="W1792" s="552"/>
      <c r="X1792" s="552"/>
      <c r="Y1792" s="552"/>
      <c r="Z1792" s="552"/>
      <c r="AA1792" s="553"/>
      <c r="AB1792" s="553"/>
    </row>
    <row r="1793" spans="1:28" ht="12.75">
      <c r="A1793" s="547" t="s">
        <v>601</v>
      </c>
      <c r="B1793" s="547" t="s">
        <v>179</v>
      </c>
      <c r="C1793" s="548" t="s">
        <v>856</v>
      </c>
      <c r="D1793" s="549">
        <v>2019</v>
      </c>
      <c r="E1793" s="549" t="s">
        <v>775</v>
      </c>
      <c r="F1793" s="550">
        <v>1549</v>
      </c>
      <c r="G1793" s="550">
        <v>0</v>
      </c>
      <c r="H1793" s="550">
        <v>0</v>
      </c>
      <c r="I1793" s="550">
        <v>0</v>
      </c>
      <c r="J1793" s="550">
        <v>1178</v>
      </c>
      <c r="K1793" s="550">
        <v>13</v>
      </c>
      <c r="L1793" s="550">
        <v>0</v>
      </c>
      <c r="M1793" s="550">
        <v>13</v>
      </c>
      <c r="N1793" s="550">
        <v>1090</v>
      </c>
      <c r="O1793" s="550">
        <v>20</v>
      </c>
      <c r="P1793" s="550">
        <v>2393</v>
      </c>
      <c r="Q1793" s="550">
        <v>247</v>
      </c>
      <c r="R1793" s="574" t="s">
        <v>601</v>
      </c>
      <c r="S1793" s="552">
        <f>SUM(G1787:G1793) +SUM(K1787:K1793)</f>
        <v>497</v>
      </c>
      <c r="T1793" s="552">
        <f>F1793+J1793</f>
        <v>2727</v>
      </c>
      <c r="U1793" s="552">
        <f>SUM(O1787:O1793)</f>
        <v>196</v>
      </c>
      <c r="V1793" s="552">
        <f>N1793</f>
        <v>1090</v>
      </c>
      <c r="W1793" s="554">
        <f>SUM(Q1787:Q1793)</f>
        <v>1080</v>
      </c>
      <c r="X1793" s="552">
        <f>P1793</f>
        <v>2393</v>
      </c>
      <c r="Y1793" s="552">
        <f>S1793+U1793+SUM(Q1787:Q1793)</f>
        <v>1773</v>
      </c>
      <c r="Z1793" s="552">
        <f>F1793+J1793+N1793+P1793</f>
        <v>6210</v>
      </c>
      <c r="AA1793" s="553"/>
      <c r="AB1793" s="553"/>
    </row>
    <row r="1794" spans="1:28" ht="12.75">
      <c r="A1794" s="547" t="s">
        <v>602</v>
      </c>
      <c r="B1794" s="547" t="s">
        <v>179</v>
      </c>
      <c r="C1794" s="548" t="s">
        <v>855</v>
      </c>
      <c r="D1794" s="549">
        <v>2013</v>
      </c>
      <c r="E1794" s="549" t="s">
        <v>775</v>
      </c>
      <c r="F1794" s="550">
        <v>201</v>
      </c>
      <c r="G1794" s="550">
        <v>26</v>
      </c>
      <c r="H1794" s="550">
        <v>26</v>
      </c>
      <c r="I1794" s="550">
        <v>0</v>
      </c>
      <c r="J1794" s="550">
        <v>152</v>
      </c>
      <c r="K1794" s="550">
        <v>26</v>
      </c>
      <c r="L1794" s="550">
        <v>26</v>
      </c>
      <c r="M1794" s="550">
        <v>0</v>
      </c>
      <c r="N1794" s="550">
        <v>282</v>
      </c>
      <c r="O1794" s="550">
        <v>0</v>
      </c>
      <c r="P1794" s="550">
        <v>618</v>
      </c>
      <c r="Q1794" s="550">
        <v>64</v>
      </c>
      <c r="R1794" s="574" t="s">
        <v>602</v>
      </c>
      <c r="S1794" s="552"/>
      <c r="T1794" s="552"/>
      <c r="U1794" s="552"/>
      <c r="V1794" s="552"/>
      <c r="W1794" s="552"/>
      <c r="X1794" s="552"/>
      <c r="Y1794" s="552"/>
      <c r="Z1794" s="552"/>
      <c r="AA1794" s="553"/>
      <c r="AB1794" s="553"/>
    </row>
    <row r="1795" spans="1:28" ht="12.75">
      <c r="A1795" s="547" t="s">
        <v>602</v>
      </c>
      <c r="B1795" s="547" t="s">
        <v>179</v>
      </c>
      <c r="C1795" s="548" t="s">
        <v>855</v>
      </c>
      <c r="D1795" s="549">
        <v>2014</v>
      </c>
      <c r="E1795" s="549" t="s">
        <v>775</v>
      </c>
      <c r="F1795" s="550">
        <v>201</v>
      </c>
      <c r="G1795" s="550">
        <v>0</v>
      </c>
      <c r="H1795" s="550">
        <v>0</v>
      </c>
      <c r="I1795" s="550">
        <v>0</v>
      </c>
      <c r="J1795" s="550">
        <v>152</v>
      </c>
      <c r="K1795" s="550">
        <v>0</v>
      </c>
      <c r="L1795" s="550">
        <v>0</v>
      </c>
      <c r="M1795" s="550">
        <v>0</v>
      </c>
      <c r="N1795" s="550">
        <v>282</v>
      </c>
      <c r="O1795" s="550">
        <v>0</v>
      </c>
      <c r="P1795" s="550">
        <v>618</v>
      </c>
      <c r="Q1795" s="550">
        <v>11</v>
      </c>
      <c r="R1795" s="574" t="s">
        <v>602</v>
      </c>
      <c r="S1795" s="552"/>
      <c r="T1795" s="552"/>
      <c r="U1795" s="552"/>
      <c r="V1795" s="552"/>
      <c r="W1795" s="552"/>
      <c r="X1795" s="552"/>
      <c r="Y1795" s="552"/>
      <c r="Z1795" s="552"/>
      <c r="AA1795" s="553"/>
      <c r="AB1795" s="553"/>
    </row>
    <row r="1796" spans="1:28" ht="12.75">
      <c r="A1796" s="547" t="s">
        <v>602</v>
      </c>
      <c r="B1796" s="547" t="s">
        <v>179</v>
      </c>
      <c r="C1796" s="548" t="s">
        <v>855</v>
      </c>
      <c r="D1796" s="549">
        <v>2015</v>
      </c>
      <c r="E1796" s="549" t="s">
        <v>775</v>
      </c>
      <c r="F1796" s="550">
        <v>201</v>
      </c>
      <c r="G1796" s="550">
        <v>0</v>
      </c>
      <c r="H1796" s="550">
        <v>0</v>
      </c>
      <c r="I1796" s="550">
        <v>0</v>
      </c>
      <c r="J1796" s="550">
        <v>152</v>
      </c>
      <c r="K1796" s="550">
        <v>0</v>
      </c>
      <c r="L1796" s="550">
        <v>0</v>
      </c>
      <c r="M1796" s="550">
        <v>0</v>
      </c>
      <c r="N1796" s="550">
        <v>282</v>
      </c>
      <c r="O1796" s="550">
        <v>0</v>
      </c>
      <c r="P1796" s="550">
        <v>618</v>
      </c>
      <c r="Q1796" s="550">
        <v>11</v>
      </c>
      <c r="R1796" s="574" t="s">
        <v>602</v>
      </c>
      <c r="S1796" s="552"/>
      <c r="T1796" s="552"/>
      <c r="U1796" s="552"/>
      <c r="V1796" s="552"/>
      <c r="W1796" s="552"/>
      <c r="X1796" s="552"/>
      <c r="Y1796" s="552"/>
      <c r="Z1796" s="552"/>
      <c r="AA1796" s="553"/>
      <c r="AB1796" s="553"/>
    </row>
    <row r="1797" spans="1:28" ht="12.75">
      <c r="A1797" s="547" t="s">
        <v>602</v>
      </c>
      <c r="B1797" s="547" t="s">
        <v>179</v>
      </c>
      <c r="C1797" s="548" t="s">
        <v>855</v>
      </c>
      <c r="D1797" s="549">
        <v>2016</v>
      </c>
      <c r="E1797" s="549" t="s">
        <v>775</v>
      </c>
      <c r="F1797" s="550">
        <v>201</v>
      </c>
      <c r="G1797" s="550">
        <v>0</v>
      </c>
      <c r="H1797" s="550">
        <v>0</v>
      </c>
      <c r="I1797" s="550">
        <v>0</v>
      </c>
      <c r="J1797" s="550">
        <v>152</v>
      </c>
      <c r="K1797" s="550">
        <v>0</v>
      </c>
      <c r="L1797" s="550">
        <v>0</v>
      </c>
      <c r="M1797" s="550">
        <v>0</v>
      </c>
      <c r="N1797" s="550">
        <v>282</v>
      </c>
      <c r="O1797" s="550">
        <v>0</v>
      </c>
      <c r="P1797" s="550">
        <v>618</v>
      </c>
      <c r="Q1797" s="550">
        <v>17</v>
      </c>
      <c r="R1797" s="574" t="s">
        <v>602</v>
      </c>
      <c r="S1797" s="552"/>
      <c r="T1797" s="552"/>
      <c r="U1797" s="552"/>
      <c r="V1797" s="552"/>
      <c r="W1797" s="552"/>
      <c r="X1797" s="552"/>
      <c r="Y1797" s="552"/>
      <c r="Z1797" s="552"/>
      <c r="AA1797" s="553"/>
      <c r="AB1797" s="553"/>
    </row>
    <row r="1798" spans="1:28" ht="12.75">
      <c r="A1798" s="547" t="s">
        <v>602</v>
      </c>
      <c r="B1798" s="547" t="s">
        <v>179</v>
      </c>
      <c r="C1798" s="548" t="s">
        <v>855</v>
      </c>
      <c r="D1798" s="549">
        <v>2017</v>
      </c>
      <c r="E1798" s="549" t="s">
        <v>775</v>
      </c>
      <c r="F1798" s="550">
        <v>201</v>
      </c>
      <c r="G1798" s="550">
        <v>0</v>
      </c>
      <c r="H1798" s="550">
        <v>0</v>
      </c>
      <c r="I1798" s="550">
        <v>0</v>
      </c>
      <c r="J1798" s="550">
        <v>152</v>
      </c>
      <c r="K1798" s="550">
        <v>0</v>
      </c>
      <c r="L1798" s="550">
        <v>0</v>
      </c>
      <c r="M1798" s="550">
        <v>0</v>
      </c>
      <c r="N1798" s="550">
        <v>282</v>
      </c>
      <c r="O1798" s="550">
        <v>0</v>
      </c>
      <c r="P1798" s="550">
        <v>618</v>
      </c>
      <c r="Q1798" s="550">
        <v>24</v>
      </c>
      <c r="R1798" s="574" t="s">
        <v>602</v>
      </c>
      <c r="S1798" s="552"/>
      <c r="T1798" s="552"/>
      <c r="U1798" s="552"/>
      <c r="V1798" s="552"/>
      <c r="W1798" s="552"/>
      <c r="X1798" s="552"/>
      <c r="Y1798" s="552"/>
      <c r="Z1798" s="552"/>
      <c r="AA1798" s="553"/>
      <c r="AB1798" s="553"/>
    </row>
    <row r="1799" spans="1:28" ht="12.75">
      <c r="A1799" s="547" t="s">
        <v>602</v>
      </c>
      <c r="B1799" s="547" t="s">
        <v>179</v>
      </c>
      <c r="C1799" s="548" t="s">
        <v>855</v>
      </c>
      <c r="D1799" s="549">
        <v>2018</v>
      </c>
      <c r="E1799" s="549" t="s">
        <v>775</v>
      </c>
      <c r="F1799" s="550">
        <v>201</v>
      </c>
      <c r="G1799" s="550">
        <v>0</v>
      </c>
      <c r="H1799" s="550">
        <v>0</v>
      </c>
      <c r="I1799" s="550">
        <v>0</v>
      </c>
      <c r="J1799" s="550">
        <v>152</v>
      </c>
      <c r="K1799" s="550">
        <v>0</v>
      </c>
      <c r="L1799" s="550">
        <v>0</v>
      </c>
      <c r="M1799" s="550">
        <v>0</v>
      </c>
      <c r="N1799" s="550">
        <v>282</v>
      </c>
      <c r="O1799" s="550">
        <v>0</v>
      </c>
      <c r="P1799" s="550">
        <v>618</v>
      </c>
      <c r="Q1799" s="550">
        <v>15</v>
      </c>
      <c r="R1799" s="574" t="s">
        <v>602</v>
      </c>
      <c r="S1799" s="552"/>
      <c r="T1799" s="552"/>
      <c r="U1799" s="552"/>
      <c r="V1799" s="552"/>
      <c r="W1799" s="552"/>
      <c r="X1799" s="552"/>
      <c r="Y1799" s="552"/>
      <c r="Z1799" s="552"/>
      <c r="AA1799" s="553"/>
      <c r="AB1799" s="553"/>
    </row>
    <row r="1800" spans="1:28" ht="12.75">
      <c r="A1800" s="547" t="s">
        <v>602</v>
      </c>
      <c r="B1800" s="547" t="s">
        <v>179</v>
      </c>
      <c r="C1800" s="548" t="s">
        <v>856</v>
      </c>
      <c r="D1800" s="549">
        <v>2019</v>
      </c>
      <c r="E1800" s="549" t="s">
        <v>775</v>
      </c>
      <c r="F1800" s="550">
        <v>201</v>
      </c>
      <c r="G1800" s="550">
        <v>33</v>
      </c>
      <c r="H1800" s="550">
        <v>33</v>
      </c>
      <c r="I1800" s="550">
        <v>0</v>
      </c>
      <c r="J1800" s="550">
        <v>152</v>
      </c>
      <c r="K1800" s="550">
        <v>20</v>
      </c>
      <c r="L1800" s="550">
        <v>20</v>
      </c>
      <c r="M1800" s="550">
        <v>0</v>
      </c>
      <c r="N1800" s="550">
        <v>282</v>
      </c>
      <c r="O1800" s="550">
        <v>0</v>
      </c>
      <c r="P1800" s="550">
        <v>618</v>
      </c>
      <c r="Q1800" s="550">
        <v>17</v>
      </c>
      <c r="R1800" s="574" t="s">
        <v>602</v>
      </c>
      <c r="S1800" s="552">
        <f>SUM(G1794:G1800) +SUM(K1794:K1800)</f>
        <v>105</v>
      </c>
      <c r="T1800" s="552">
        <f>F1800+J1800</f>
        <v>353</v>
      </c>
      <c r="U1800" s="552">
        <f>SUM(O1794:O1800)</f>
        <v>0</v>
      </c>
      <c r="V1800" s="552">
        <f>N1800</f>
        <v>282</v>
      </c>
      <c r="W1800" s="554">
        <f>SUM(Q1794:Q1800)</f>
        <v>159</v>
      </c>
      <c r="X1800" s="552">
        <f>P1800</f>
        <v>618</v>
      </c>
      <c r="Y1800" s="552">
        <f>S1800+U1800+SUM(Q1794:Q1800)</f>
        <v>264</v>
      </c>
      <c r="Z1800" s="552">
        <f>F1800+J1800+N1800+P1800</f>
        <v>1253</v>
      </c>
      <c r="AA1800" s="553"/>
      <c r="AB1800" s="553"/>
    </row>
    <row r="1801" spans="1:28" ht="12.75">
      <c r="A1801" s="547" t="s">
        <v>179</v>
      </c>
      <c r="B1801" s="547" t="s">
        <v>179</v>
      </c>
      <c r="C1801" s="548" t="s">
        <v>855</v>
      </c>
      <c r="D1801" s="549">
        <v>2013</v>
      </c>
      <c r="E1801" s="549" t="s">
        <v>775</v>
      </c>
      <c r="F1801" s="550">
        <v>21977</v>
      </c>
      <c r="G1801" s="550">
        <v>609</v>
      </c>
      <c r="H1801" s="550">
        <v>609</v>
      </c>
      <c r="I1801" s="550">
        <v>0</v>
      </c>
      <c r="J1801" s="550">
        <v>16703</v>
      </c>
      <c r="K1801" s="550">
        <v>915</v>
      </c>
      <c r="L1801" s="550">
        <v>915</v>
      </c>
      <c r="M1801" s="550">
        <v>0</v>
      </c>
      <c r="N1801" s="550">
        <v>15462</v>
      </c>
      <c r="O1801" s="550">
        <v>0</v>
      </c>
      <c r="P1801" s="550">
        <v>33954</v>
      </c>
      <c r="Q1801" s="550">
        <v>7665</v>
      </c>
      <c r="R1801" s="574" t="s">
        <v>179</v>
      </c>
      <c r="S1801" s="552"/>
      <c r="T1801" s="552"/>
      <c r="U1801" s="552"/>
      <c r="V1801" s="552"/>
      <c r="W1801" s="552"/>
      <c r="X1801" s="552"/>
      <c r="Y1801" s="552"/>
      <c r="Z1801" s="552"/>
      <c r="AA1801" s="553"/>
      <c r="AB1801" s="553"/>
    </row>
    <row r="1802" spans="1:28" ht="12.75">
      <c r="A1802" s="547" t="s">
        <v>179</v>
      </c>
      <c r="B1802" s="547" t="s">
        <v>179</v>
      </c>
      <c r="C1802" s="548" t="s">
        <v>855</v>
      </c>
      <c r="D1802" s="549">
        <v>2014</v>
      </c>
      <c r="E1802" s="549" t="s">
        <v>775</v>
      </c>
      <c r="F1802" s="550">
        <v>21977</v>
      </c>
      <c r="G1802" s="550">
        <v>229</v>
      </c>
      <c r="H1802" s="550">
        <v>229</v>
      </c>
      <c r="I1802" s="550">
        <v>0</v>
      </c>
      <c r="J1802" s="550">
        <v>16703</v>
      </c>
      <c r="K1802" s="550">
        <v>184</v>
      </c>
      <c r="L1802" s="550">
        <v>184</v>
      </c>
      <c r="M1802" s="550">
        <v>0</v>
      </c>
      <c r="N1802" s="550">
        <v>15462</v>
      </c>
      <c r="O1802" s="550">
        <v>4</v>
      </c>
      <c r="P1802" s="550">
        <v>33954</v>
      </c>
      <c r="Q1802" s="550">
        <v>1991</v>
      </c>
      <c r="R1802" s="574" t="s">
        <v>179</v>
      </c>
      <c r="S1802" s="552"/>
      <c r="T1802" s="552"/>
      <c r="U1802" s="552"/>
      <c r="V1802" s="552"/>
      <c r="W1802" s="552"/>
      <c r="X1802" s="552"/>
      <c r="Y1802" s="552"/>
      <c r="Z1802" s="552"/>
      <c r="AA1802" s="553"/>
      <c r="AB1802" s="553"/>
    </row>
    <row r="1803" spans="1:28" ht="12.75">
      <c r="A1803" s="547" t="s">
        <v>179</v>
      </c>
      <c r="B1803" s="547" t="s">
        <v>179</v>
      </c>
      <c r="C1803" s="548" t="s">
        <v>855</v>
      </c>
      <c r="D1803" s="549">
        <v>2015</v>
      </c>
      <c r="E1803" s="549" t="s">
        <v>775</v>
      </c>
      <c r="F1803" s="550">
        <v>21977</v>
      </c>
      <c r="G1803" s="550">
        <v>265</v>
      </c>
      <c r="H1803" s="550">
        <v>265</v>
      </c>
      <c r="I1803" s="550">
        <v>0</v>
      </c>
      <c r="J1803" s="550">
        <v>16703</v>
      </c>
      <c r="K1803" s="550">
        <v>446</v>
      </c>
      <c r="L1803" s="550">
        <v>446</v>
      </c>
      <c r="M1803" s="550">
        <v>0</v>
      </c>
      <c r="N1803" s="550">
        <v>15462</v>
      </c>
      <c r="O1803" s="550">
        <v>0</v>
      </c>
      <c r="P1803" s="550">
        <v>33954</v>
      </c>
      <c r="Q1803" s="550">
        <v>4221</v>
      </c>
      <c r="R1803" s="574" t="s">
        <v>179</v>
      </c>
      <c r="S1803" s="552"/>
      <c r="T1803" s="552"/>
      <c r="U1803" s="552"/>
      <c r="V1803" s="552"/>
      <c r="W1803" s="552"/>
      <c r="X1803" s="552"/>
      <c r="Y1803" s="552"/>
      <c r="Z1803" s="552"/>
      <c r="AA1803" s="553"/>
      <c r="AB1803" s="553"/>
    </row>
    <row r="1804" spans="1:28" ht="12.75">
      <c r="A1804" s="547" t="s">
        <v>179</v>
      </c>
      <c r="B1804" s="547" t="s">
        <v>179</v>
      </c>
      <c r="C1804" s="548" t="s">
        <v>855</v>
      </c>
      <c r="D1804" s="549">
        <v>2016</v>
      </c>
      <c r="E1804" s="549" t="s">
        <v>775</v>
      </c>
      <c r="F1804" s="550">
        <v>21977</v>
      </c>
      <c r="G1804" s="550">
        <v>103</v>
      </c>
      <c r="H1804" s="550">
        <v>103</v>
      </c>
      <c r="I1804" s="550">
        <v>0</v>
      </c>
      <c r="J1804" s="550">
        <v>16703</v>
      </c>
      <c r="K1804" s="550">
        <v>253</v>
      </c>
      <c r="L1804" s="550">
        <v>253</v>
      </c>
      <c r="M1804" s="550">
        <v>0</v>
      </c>
      <c r="N1804" s="550">
        <v>15462</v>
      </c>
      <c r="O1804" s="550">
        <v>0</v>
      </c>
      <c r="P1804" s="550">
        <v>33954</v>
      </c>
      <c r="Q1804" s="550">
        <v>7028</v>
      </c>
      <c r="R1804" s="574" t="s">
        <v>179</v>
      </c>
      <c r="S1804" s="552"/>
      <c r="T1804" s="552"/>
      <c r="U1804" s="552"/>
      <c r="V1804" s="552"/>
      <c r="W1804" s="552"/>
      <c r="X1804" s="552"/>
      <c r="Y1804" s="552"/>
      <c r="Z1804" s="552"/>
      <c r="AA1804" s="553"/>
      <c r="AB1804" s="553"/>
    </row>
    <row r="1805" spans="1:28" ht="12.75">
      <c r="A1805" s="547" t="s">
        <v>179</v>
      </c>
      <c r="B1805" s="547" t="s">
        <v>179</v>
      </c>
      <c r="C1805" s="548" t="s">
        <v>855</v>
      </c>
      <c r="D1805" s="549">
        <v>2017</v>
      </c>
      <c r="E1805" s="549" t="s">
        <v>775</v>
      </c>
      <c r="F1805" s="550">
        <v>21977</v>
      </c>
      <c r="G1805" s="550">
        <v>324</v>
      </c>
      <c r="H1805" s="550">
        <v>324</v>
      </c>
      <c r="I1805" s="550">
        <v>0</v>
      </c>
      <c r="J1805" s="550">
        <v>16703</v>
      </c>
      <c r="K1805" s="550">
        <v>301</v>
      </c>
      <c r="L1805" s="550">
        <v>295</v>
      </c>
      <c r="M1805" s="550">
        <v>6</v>
      </c>
      <c r="N1805" s="550">
        <v>15462</v>
      </c>
      <c r="O1805" s="550">
        <v>0</v>
      </c>
      <c r="P1805" s="550">
        <v>33954</v>
      </c>
      <c r="Q1805" s="550">
        <v>4395</v>
      </c>
      <c r="R1805" s="574" t="s">
        <v>179</v>
      </c>
      <c r="S1805" s="552"/>
      <c r="T1805" s="552"/>
      <c r="U1805" s="552"/>
      <c r="V1805" s="552"/>
      <c r="W1805" s="552"/>
      <c r="X1805" s="552"/>
      <c r="Y1805" s="552"/>
      <c r="Z1805" s="552"/>
      <c r="AA1805" s="553"/>
      <c r="AB1805" s="553"/>
    </row>
    <row r="1806" spans="1:28" ht="12.75">
      <c r="A1806" s="547" t="s">
        <v>179</v>
      </c>
      <c r="B1806" s="547" t="s">
        <v>179</v>
      </c>
      <c r="C1806" s="548" t="s">
        <v>855</v>
      </c>
      <c r="D1806" s="549">
        <v>2018</v>
      </c>
      <c r="E1806" s="549" t="s">
        <v>775</v>
      </c>
      <c r="F1806" s="550">
        <v>21977</v>
      </c>
      <c r="G1806" s="550">
        <v>249</v>
      </c>
      <c r="H1806" s="550">
        <v>249</v>
      </c>
      <c r="I1806" s="550">
        <v>0</v>
      </c>
      <c r="J1806" s="550">
        <v>16703</v>
      </c>
      <c r="K1806" s="550">
        <v>203</v>
      </c>
      <c r="L1806" s="550">
        <v>203</v>
      </c>
      <c r="M1806" s="550">
        <v>0</v>
      </c>
      <c r="N1806" s="550">
        <v>15462</v>
      </c>
      <c r="O1806" s="550">
        <v>6</v>
      </c>
      <c r="P1806" s="550">
        <v>33954</v>
      </c>
      <c r="Q1806" s="550">
        <v>3437</v>
      </c>
      <c r="R1806" s="574" t="s">
        <v>179</v>
      </c>
      <c r="S1806" s="552"/>
      <c r="T1806" s="552"/>
      <c r="U1806" s="552"/>
      <c r="V1806" s="552"/>
      <c r="W1806" s="552"/>
      <c r="X1806" s="552"/>
      <c r="Y1806" s="552"/>
      <c r="Z1806" s="552"/>
      <c r="AA1806" s="553"/>
      <c r="AB1806" s="553"/>
    </row>
    <row r="1807" spans="1:28" ht="12.75">
      <c r="A1807" s="547" t="s">
        <v>179</v>
      </c>
      <c r="B1807" s="547" t="s">
        <v>179</v>
      </c>
      <c r="C1807" s="548" t="s">
        <v>856</v>
      </c>
      <c r="D1807" s="549">
        <v>2019</v>
      </c>
      <c r="E1807" s="549" t="s">
        <v>775</v>
      </c>
      <c r="F1807" s="550">
        <v>21977</v>
      </c>
      <c r="G1807" s="550">
        <v>602</v>
      </c>
      <c r="H1807" s="550">
        <v>602</v>
      </c>
      <c r="I1807" s="550">
        <v>0</v>
      </c>
      <c r="J1807" s="550">
        <v>16703</v>
      </c>
      <c r="K1807" s="550">
        <v>314</v>
      </c>
      <c r="L1807" s="550">
        <v>314</v>
      </c>
      <c r="M1807" s="550">
        <v>0</v>
      </c>
      <c r="N1807" s="550">
        <v>15462</v>
      </c>
      <c r="O1807" s="550">
        <v>24</v>
      </c>
      <c r="P1807" s="550">
        <v>33954</v>
      </c>
      <c r="Q1807" s="550">
        <v>4281</v>
      </c>
      <c r="R1807" s="574" t="s">
        <v>179</v>
      </c>
      <c r="S1807" s="552">
        <f>SUM(G1801:G1807) +SUM(K1801:K1807)</f>
        <v>4997</v>
      </c>
      <c r="T1807" s="552">
        <f>F1807+J1807</f>
        <v>38680</v>
      </c>
      <c r="U1807" s="552">
        <f>SUM(O1801:O1807)</f>
        <v>34</v>
      </c>
      <c r="V1807" s="552">
        <f>N1807</f>
        <v>15462</v>
      </c>
      <c r="W1807" s="554">
        <f>SUM(Q1801:Q1807)</f>
        <v>33018</v>
      </c>
      <c r="X1807" s="552">
        <f>P1807</f>
        <v>33954</v>
      </c>
      <c r="Y1807" s="552">
        <f>S1807+U1807+SUM(Q1801:Q1807)</f>
        <v>38049</v>
      </c>
      <c r="Z1807" s="552">
        <f>F1807+J1807+N1807+P1807</f>
        <v>88096</v>
      </c>
      <c r="AA1807" s="553"/>
      <c r="AB1807" s="553"/>
    </row>
    <row r="1808" spans="1:28" ht="12.75">
      <c r="A1808" s="547" t="s">
        <v>603</v>
      </c>
      <c r="B1808" s="547" t="s">
        <v>179</v>
      </c>
      <c r="C1808" s="548" t="s">
        <v>855</v>
      </c>
      <c r="D1808" s="549">
        <v>2013</v>
      </c>
      <c r="E1808" s="549" t="s">
        <v>775</v>
      </c>
      <c r="F1808" s="550">
        <v>2085</v>
      </c>
      <c r="G1808" s="550">
        <v>23</v>
      </c>
      <c r="H1808" s="550">
        <v>23</v>
      </c>
      <c r="I1808" s="550">
        <v>0</v>
      </c>
      <c r="J1808" s="550">
        <v>1585</v>
      </c>
      <c r="K1808" s="550">
        <v>145</v>
      </c>
      <c r="L1808" s="550">
        <v>145</v>
      </c>
      <c r="M1808" s="550">
        <v>0</v>
      </c>
      <c r="N1808" s="550">
        <v>5864</v>
      </c>
      <c r="O1808" s="550">
        <v>200</v>
      </c>
      <c r="P1808" s="550">
        <v>12878</v>
      </c>
      <c r="Q1808" s="550">
        <v>1225</v>
      </c>
      <c r="R1808" s="574" t="s">
        <v>603</v>
      </c>
      <c r="S1808" s="552"/>
      <c r="T1808" s="552"/>
      <c r="U1808" s="552"/>
      <c r="V1808" s="552"/>
      <c r="W1808" s="552"/>
      <c r="X1808" s="552"/>
      <c r="Y1808" s="552"/>
      <c r="Z1808" s="552"/>
      <c r="AA1808" s="553"/>
      <c r="AB1808" s="553"/>
    </row>
    <row r="1809" spans="1:28" ht="12.75">
      <c r="A1809" s="547" t="s">
        <v>603</v>
      </c>
      <c r="B1809" s="547" t="s">
        <v>179</v>
      </c>
      <c r="C1809" s="548" t="s">
        <v>855</v>
      </c>
      <c r="D1809" s="549">
        <v>2014</v>
      </c>
      <c r="E1809" s="549" t="s">
        <v>775</v>
      </c>
      <c r="F1809" s="550">
        <v>2085</v>
      </c>
      <c r="G1809" s="550">
        <v>0</v>
      </c>
      <c r="H1809" s="550">
        <v>0</v>
      </c>
      <c r="I1809" s="550">
        <v>0</v>
      </c>
      <c r="J1809" s="550">
        <v>1585</v>
      </c>
      <c r="K1809" s="550">
        <v>27</v>
      </c>
      <c r="L1809" s="550">
        <v>27</v>
      </c>
      <c r="M1809" s="550">
        <v>0</v>
      </c>
      <c r="N1809" s="550">
        <v>5864</v>
      </c>
      <c r="O1809" s="550">
        <v>114</v>
      </c>
      <c r="P1809" s="550">
        <v>12878</v>
      </c>
      <c r="Q1809" s="550">
        <v>576</v>
      </c>
      <c r="R1809" s="574" t="s">
        <v>603</v>
      </c>
      <c r="S1809" s="552"/>
      <c r="T1809" s="552"/>
      <c r="U1809" s="552"/>
      <c r="V1809" s="552"/>
      <c r="W1809" s="552"/>
      <c r="X1809" s="552"/>
      <c r="Y1809" s="552"/>
      <c r="Z1809" s="552"/>
      <c r="AA1809" s="553"/>
      <c r="AB1809" s="553"/>
    </row>
    <row r="1810" spans="1:28" ht="12.75">
      <c r="A1810" s="547" t="s">
        <v>603</v>
      </c>
      <c r="B1810" s="547" t="s">
        <v>179</v>
      </c>
      <c r="C1810" s="548" t="s">
        <v>855</v>
      </c>
      <c r="D1810" s="549">
        <v>2015</v>
      </c>
      <c r="E1810" s="549" t="s">
        <v>775</v>
      </c>
      <c r="F1810" s="550">
        <v>2085</v>
      </c>
      <c r="G1810" s="550">
        <v>2</v>
      </c>
      <c r="H1810" s="550">
        <v>2</v>
      </c>
      <c r="I1810" s="550">
        <v>0</v>
      </c>
      <c r="J1810" s="550">
        <v>1585</v>
      </c>
      <c r="K1810" s="550">
        <v>24</v>
      </c>
      <c r="L1810" s="550">
        <v>24</v>
      </c>
      <c r="M1810" s="550">
        <v>0</v>
      </c>
      <c r="N1810" s="550">
        <v>5864</v>
      </c>
      <c r="O1810" s="550">
        <v>228</v>
      </c>
      <c r="P1810" s="550">
        <v>12878</v>
      </c>
      <c r="Q1810" s="550">
        <v>613</v>
      </c>
      <c r="R1810" s="574" t="s">
        <v>603</v>
      </c>
      <c r="S1810" s="552"/>
      <c r="T1810" s="552"/>
      <c r="U1810" s="552"/>
      <c r="V1810" s="552"/>
      <c r="W1810" s="552"/>
      <c r="X1810" s="552"/>
      <c r="Y1810" s="552"/>
      <c r="Z1810" s="552"/>
      <c r="AA1810" s="553"/>
      <c r="AB1810" s="553"/>
    </row>
    <row r="1811" spans="1:28" ht="12.75">
      <c r="A1811" s="547" t="s">
        <v>603</v>
      </c>
      <c r="B1811" s="547" t="s">
        <v>179</v>
      </c>
      <c r="C1811" s="548" t="s">
        <v>855</v>
      </c>
      <c r="D1811" s="549">
        <v>2016</v>
      </c>
      <c r="E1811" s="549" t="s">
        <v>775</v>
      </c>
      <c r="F1811" s="550">
        <v>2085</v>
      </c>
      <c r="G1811" s="550">
        <v>0</v>
      </c>
      <c r="H1811" s="550">
        <v>0</v>
      </c>
      <c r="I1811" s="550">
        <v>0</v>
      </c>
      <c r="J1811" s="550">
        <v>1585</v>
      </c>
      <c r="K1811" s="550">
        <v>24</v>
      </c>
      <c r="L1811" s="550">
        <v>24</v>
      </c>
      <c r="M1811" s="550">
        <v>0</v>
      </c>
      <c r="N1811" s="550">
        <v>5864</v>
      </c>
      <c r="O1811" s="550">
        <v>177</v>
      </c>
      <c r="P1811" s="550">
        <v>12878</v>
      </c>
      <c r="Q1811" s="550">
        <v>381</v>
      </c>
      <c r="R1811" s="574" t="s">
        <v>603</v>
      </c>
      <c r="S1811" s="552"/>
      <c r="T1811" s="552"/>
      <c r="U1811" s="552"/>
      <c r="V1811" s="552"/>
      <c r="W1811" s="552"/>
      <c r="X1811" s="552"/>
      <c r="Y1811" s="552"/>
      <c r="Z1811" s="552"/>
      <c r="AA1811" s="553"/>
      <c r="AB1811" s="553"/>
    </row>
    <row r="1812" spans="1:28" ht="12.75">
      <c r="A1812" s="547" t="s">
        <v>603</v>
      </c>
      <c r="B1812" s="547" t="s">
        <v>179</v>
      </c>
      <c r="C1812" s="548" t="s">
        <v>855</v>
      </c>
      <c r="D1812" s="549">
        <v>2017</v>
      </c>
      <c r="E1812" s="549" t="s">
        <v>775</v>
      </c>
      <c r="F1812" s="550">
        <v>2085</v>
      </c>
      <c r="G1812" s="550">
        <v>0</v>
      </c>
      <c r="H1812" s="550">
        <v>0</v>
      </c>
      <c r="I1812" s="550">
        <v>0</v>
      </c>
      <c r="J1812" s="550">
        <v>1585</v>
      </c>
      <c r="K1812" s="550">
        <v>52</v>
      </c>
      <c r="L1812" s="550">
        <v>0</v>
      </c>
      <c r="M1812" s="550">
        <v>52</v>
      </c>
      <c r="N1812" s="550">
        <v>5864</v>
      </c>
      <c r="O1812" s="550">
        <v>71</v>
      </c>
      <c r="P1812" s="550">
        <v>12878</v>
      </c>
      <c r="Q1812" s="550">
        <v>532</v>
      </c>
      <c r="R1812" s="574" t="s">
        <v>603</v>
      </c>
      <c r="S1812" s="552"/>
      <c r="T1812" s="552"/>
      <c r="U1812" s="552"/>
      <c r="V1812" s="552"/>
      <c r="W1812" s="552"/>
      <c r="X1812" s="552"/>
      <c r="Y1812" s="552"/>
      <c r="Z1812" s="552"/>
      <c r="AA1812" s="553"/>
      <c r="AB1812" s="553"/>
    </row>
    <row r="1813" spans="1:28" ht="12.75">
      <c r="A1813" s="547" t="s">
        <v>603</v>
      </c>
      <c r="B1813" s="547" t="s">
        <v>179</v>
      </c>
      <c r="C1813" s="548" t="s">
        <v>855</v>
      </c>
      <c r="D1813" s="549">
        <v>2018</v>
      </c>
      <c r="E1813" s="549" t="s">
        <v>775</v>
      </c>
      <c r="F1813" s="550">
        <v>2085</v>
      </c>
      <c r="G1813" s="550">
        <v>10</v>
      </c>
      <c r="H1813" s="550">
        <v>0</v>
      </c>
      <c r="I1813" s="550">
        <v>10</v>
      </c>
      <c r="J1813" s="550">
        <v>1585</v>
      </c>
      <c r="K1813" s="550">
        <v>142</v>
      </c>
      <c r="L1813" s="550">
        <v>0</v>
      </c>
      <c r="M1813" s="550">
        <v>142</v>
      </c>
      <c r="N1813" s="550">
        <v>5864</v>
      </c>
      <c r="O1813" s="550">
        <v>177</v>
      </c>
      <c r="P1813" s="550">
        <v>12878</v>
      </c>
      <c r="Q1813" s="550">
        <v>399</v>
      </c>
      <c r="R1813" s="574" t="s">
        <v>603</v>
      </c>
      <c r="S1813" s="552"/>
      <c r="T1813" s="552"/>
      <c r="U1813" s="552"/>
      <c r="V1813" s="552"/>
      <c r="W1813" s="552"/>
      <c r="X1813" s="552"/>
      <c r="Y1813" s="552"/>
      <c r="Z1813" s="552"/>
      <c r="AA1813" s="553"/>
      <c r="AB1813" s="553"/>
    </row>
    <row r="1814" spans="1:28" ht="12.75">
      <c r="A1814" s="547" t="s">
        <v>603</v>
      </c>
      <c r="B1814" s="547" t="s">
        <v>179</v>
      </c>
      <c r="C1814" s="548" t="s">
        <v>856</v>
      </c>
      <c r="D1814" s="549">
        <v>2019</v>
      </c>
      <c r="E1814" s="549" t="s">
        <v>775</v>
      </c>
      <c r="F1814" s="550">
        <v>2085</v>
      </c>
      <c r="G1814" s="550">
        <v>71</v>
      </c>
      <c r="H1814" s="550">
        <v>0</v>
      </c>
      <c r="I1814" s="550">
        <v>71</v>
      </c>
      <c r="J1814" s="550">
        <v>1585</v>
      </c>
      <c r="K1814" s="550">
        <v>214</v>
      </c>
      <c r="L1814" s="550">
        <v>0</v>
      </c>
      <c r="M1814" s="550">
        <v>214</v>
      </c>
      <c r="N1814" s="550">
        <v>5864</v>
      </c>
      <c r="O1814" s="550">
        <v>32</v>
      </c>
      <c r="P1814" s="550">
        <v>12878</v>
      </c>
      <c r="Q1814" s="550">
        <v>545</v>
      </c>
      <c r="R1814" s="574" t="s">
        <v>603</v>
      </c>
      <c r="S1814" s="552">
        <f>SUM(G1808:G1814) +SUM(K1808:K1814)</f>
        <v>734</v>
      </c>
      <c r="T1814" s="552">
        <f>F1814+J1814</f>
        <v>3670</v>
      </c>
      <c r="U1814" s="552">
        <f>SUM(O1808:O1814)</f>
        <v>999</v>
      </c>
      <c r="V1814" s="552">
        <f>N1814</f>
        <v>5864</v>
      </c>
      <c r="W1814" s="554">
        <f>SUM(Q1808:Q1814)</f>
        <v>4271</v>
      </c>
      <c r="X1814" s="552">
        <f>P1814</f>
        <v>12878</v>
      </c>
      <c r="Y1814" s="552">
        <f>S1814+U1814+SUM(Q1808:Q1814)</f>
        <v>6004</v>
      </c>
      <c r="Z1814" s="552">
        <f>F1814+J1814+N1814+P1814</f>
        <v>22412</v>
      </c>
      <c r="AA1814" s="553"/>
      <c r="AB1814" s="553"/>
    </row>
    <row r="1815" spans="1:28" ht="12.75">
      <c r="A1815" s="547" t="s">
        <v>604</v>
      </c>
      <c r="B1815" s="547" t="s">
        <v>179</v>
      </c>
      <c r="C1815" s="548" t="s">
        <v>855</v>
      </c>
      <c r="D1815" s="549">
        <v>2013</v>
      </c>
      <c r="E1815" s="549" t="s">
        <v>775</v>
      </c>
      <c r="F1815" s="550">
        <v>1043</v>
      </c>
      <c r="G1815" s="550">
        <v>136</v>
      </c>
      <c r="H1815" s="550">
        <v>136</v>
      </c>
      <c r="I1815" s="550">
        <v>0</v>
      </c>
      <c r="J1815" s="550">
        <v>793</v>
      </c>
      <c r="K1815" s="550">
        <v>50</v>
      </c>
      <c r="L1815" s="550">
        <v>50</v>
      </c>
      <c r="M1815" s="550">
        <v>0</v>
      </c>
      <c r="N1815" s="550">
        <v>734</v>
      </c>
      <c r="O1815" s="550">
        <v>63</v>
      </c>
      <c r="P1815" s="550">
        <v>1613</v>
      </c>
      <c r="Q1815" s="550">
        <v>1684</v>
      </c>
      <c r="R1815" s="574" t="s">
        <v>604</v>
      </c>
      <c r="S1815" s="552"/>
      <c r="T1815" s="552"/>
      <c r="U1815" s="552"/>
      <c r="V1815" s="552"/>
      <c r="W1815" s="552"/>
      <c r="X1815" s="552"/>
      <c r="Y1815" s="552"/>
      <c r="Z1815" s="552"/>
      <c r="AA1815" s="553"/>
      <c r="AB1815" s="553"/>
    </row>
    <row r="1816" spans="1:28" ht="12.75">
      <c r="A1816" s="547" t="s">
        <v>604</v>
      </c>
      <c r="B1816" s="547" t="s">
        <v>179</v>
      </c>
      <c r="C1816" s="548" t="s">
        <v>855</v>
      </c>
      <c r="D1816" s="549">
        <v>2014</v>
      </c>
      <c r="E1816" s="549" t="s">
        <v>775</v>
      </c>
      <c r="F1816" s="550">
        <v>1043</v>
      </c>
      <c r="G1816" s="550">
        <v>0</v>
      </c>
      <c r="H1816" s="550">
        <v>0</v>
      </c>
      <c r="I1816" s="550">
        <v>0</v>
      </c>
      <c r="J1816" s="550">
        <v>793</v>
      </c>
      <c r="K1816" s="550">
        <v>0</v>
      </c>
      <c r="L1816" s="550">
        <v>0</v>
      </c>
      <c r="M1816" s="550">
        <v>0</v>
      </c>
      <c r="N1816" s="550">
        <v>734</v>
      </c>
      <c r="O1816" s="550">
        <v>0</v>
      </c>
      <c r="P1816" s="550">
        <v>1613</v>
      </c>
      <c r="Q1816" s="550">
        <v>97</v>
      </c>
      <c r="R1816" s="574" t="s">
        <v>604</v>
      </c>
      <c r="S1816" s="552"/>
      <c r="T1816" s="552"/>
      <c r="U1816" s="552"/>
      <c r="V1816" s="552"/>
      <c r="W1816" s="552"/>
      <c r="X1816" s="552"/>
      <c r="Y1816" s="552"/>
      <c r="Z1816" s="552"/>
      <c r="AA1816" s="553"/>
      <c r="AB1816" s="553"/>
    </row>
    <row r="1817" spans="1:28" ht="12.75">
      <c r="A1817" s="547" t="s">
        <v>604</v>
      </c>
      <c r="B1817" s="547" t="s">
        <v>179</v>
      </c>
      <c r="C1817" s="548" t="s">
        <v>855</v>
      </c>
      <c r="D1817" s="549">
        <v>2015</v>
      </c>
      <c r="E1817" s="549" t="s">
        <v>775</v>
      </c>
      <c r="F1817" s="550">
        <v>1043</v>
      </c>
      <c r="G1817" s="550">
        <v>51</v>
      </c>
      <c r="H1817" s="550">
        <v>51</v>
      </c>
      <c r="I1817" s="550">
        <v>0</v>
      </c>
      <c r="J1817" s="550">
        <v>793</v>
      </c>
      <c r="K1817" s="550">
        <v>54</v>
      </c>
      <c r="L1817" s="550">
        <v>54</v>
      </c>
      <c r="M1817" s="550">
        <v>0</v>
      </c>
      <c r="N1817" s="550">
        <v>734</v>
      </c>
      <c r="O1817" s="550">
        <v>1</v>
      </c>
      <c r="P1817" s="550">
        <v>1613</v>
      </c>
      <c r="Q1817" s="550">
        <v>487</v>
      </c>
      <c r="R1817" s="574" t="s">
        <v>604</v>
      </c>
      <c r="S1817" s="552"/>
      <c r="T1817" s="552"/>
      <c r="U1817" s="552"/>
      <c r="V1817" s="552"/>
      <c r="W1817" s="552"/>
      <c r="X1817" s="552"/>
      <c r="Y1817" s="552"/>
      <c r="Z1817" s="552"/>
      <c r="AA1817" s="553"/>
      <c r="AB1817" s="553"/>
    </row>
    <row r="1818" spans="1:28" ht="12.75">
      <c r="A1818" s="547" t="s">
        <v>604</v>
      </c>
      <c r="B1818" s="547" t="s">
        <v>179</v>
      </c>
      <c r="C1818" s="548" t="s">
        <v>855</v>
      </c>
      <c r="D1818" s="549">
        <v>2016</v>
      </c>
      <c r="E1818" s="549" t="s">
        <v>775</v>
      </c>
      <c r="F1818" s="550">
        <v>1043</v>
      </c>
      <c r="G1818" s="550">
        <v>0</v>
      </c>
      <c r="H1818" s="550">
        <v>0</v>
      </c>
      <c r="I1818" s="550">
        <v>0</v>
      </c>
      <c r="J1818" s="550">
        <v>793</v>
      </c>
      <c r="K1818" s="550">
        <v>0</v>
      </c>
      <c r="L1818" s="550">
        <v>0</v>
      </c>
      <c r="M1818" s="550">
        <v>0</v>
      </c>
      <c r="N1818" s="550">
        <v>734</v>
      </c>
      <c r="O1818" s="550">
        <v>0</v>
      </c>
      <c r="P1818" s="550">
        <v>1613</v>
      </c>
      <c r="Q1818" s="550">
        <v>329</v>
      </c>
      <c r="R1818" s="574" t="s">
        <v>604</v>
      </c>
      <c r="S1818" s="552"/>
      <c r="T1818" s="552"/>
      <c r="U1818" s="552"/>
      <c r="V1818" s="552"/>
      <c r="W1818" s="552"/>
      <c r="X1818" s="552"/>
      <c r="Y1818" s="552"/>
      <c r="Z1818" s="552"/>
      <c r="AA1818" s="553"/>
      <c r="AB1818" s="553"/>
    </row>
    <row r="1819" spans="1:28" ht="12.75">
      <c r="A1819" s="547" t="s">
        <v>604</v>
      </c>
      <c r="B1819" s="547" t="s">
        <v>179</v>
      </c>
      <c r="C1819" s="548" t="s">
        <v>855</v>
      </c>
      <c r="D1819" s="549">
        <v>2017</v>
      </c>
      <c r="E1819" s="549" t="s">
        <v>775</v>
      </c>
      <c r="F1819" s="550">
        <v>1043</v>
      </c>
      <c r="G1819" s="550">
        <v>31</v>
      </c>
      <c r="H1819" s="550">
        <v>31</v>
      </c>
      <c r="I1819" s="550">
        <v>0</v>
      </c>
      <c r="J1819" s="550">
        <v>793</v>
      </c>
      <c r="K1819" s="550">
        <v>11</v>
      </c>
      <c r="L1819" s="550">
        <v>11</v>
      </c>
      <c r="M1819" s="550">
        <v>0</v>
      </c>
      <c r="N1819" s="550">
        <v>734</v>
      </c>
      <c r="O1819" s="550">
        <v>0</v>
      </c>
      <c r="P1819" s="550">
        <v>1613</v>
      </c>
      <c r="Q1819" s="550">
        <v>436</v>
      </c>
      <c r="R1819" s="574" t="s">
        <v>604</v>
      </c>
      <c r="S1819" s="552"/>
      <c r="T1819" s="552"/>
      <c r="U1819" s="552"/>
      <c r="V1819" s="552"/>
      <c r="W1819" s="552"/>
      <c r="X1819" s="552"/>
      <c r="Y1819" s="552"/>
      <c r="Z1819" s="552"/>
      <c r="AA1819" s="553"/>
      <c r="AB1819" s="553"/>
    </row>
    <row r="1820" spans="1:28" ht="12.75">
      <c r="A1820" s="547" t="s">
        <v>604</v>
      </c>
      <c r="B1820" s="547" t="s">
        <v>179</v>
      </c>
      <c r="C1820" s="548" t="s">
        <v>855</v>
      </c>
      <c r="D1820" s="549">
        <v>2018</v>
      </c>
      <c r="E1820" s="549" t="s">
        <v>775</v>
      </c>
      <c r="F1820" s="550">
        <v>1043</v>
      </c>
      <c r="G1820" s="550">
        <v>2</v>
      </c>
      <c r="H1820" s="550">
        <v>2</v>
      </c>
      <c r="I1820" s="550">
        <v>0</v>
      </c>
      <c r="J1820" s="550">
        <v>793</v>
      </c>
      <c r="K1820" s="550">
        <v>0</v>
      </c>
      <c r="L1820" s="550">
        <v>0</v>
      </c>
      <c r="M1820" s="550">
        <v>0</v>
      </c>
      <c r="N1820" s="550">
        <v>734</v>
      </c>
      <c r="O1820" s="550">
        <v>0</v>
      </c>
      <c r="P1820" s="550">
        <v>1613</v>
      </c>
      <c r="Q1820" s="550">
        <v>253</v>
      </c>
      <c r="R1820" s="574" t="s">
        <v>604</v>
      </c>
      <c r="S1820" s="552"/>
      <c r="T1820" s="552"/>
      <c r="U1820" s="552"/>
      <c r="V1820" s="552"/>
      <c r="W1820" s="552"/>
      <c r="X1820" s="552"/>
      <c r="Y1820" s="552"/>
      <c r="Z1820" s="552"/>
      <c r="AA1820" s="553"/>
      <c r="AB1820" s="553"/>
    </row>
    <row r="1821" spans="1:28" ht="12.75">
      <c r="A1821" s="547" t="s">
        <v>604</v>
      </c>
      <c r="B1821" s="547" t="s">
        <v>179</v>
      </c>
      <c r="C1821" s="548" t="s">
        <v>856</v>
      </c>
      <c r="D1821" s="549">
        <v>2019</v>
      </c>
      <c r="E1821" s="549" t="s">
        <v>775</v>
      </c>
      <c r="F1821" s="550">
        <v>1043</v>
      </c>
      <c r="G1821" s="550">
        <v>0</v>
      </c>
      <c r="H1821" s="550">
        <v>0</v>
      </c>
      <c r="I1821" s="550">
        <v>0</v>
      </c>
      <c r="J1821" s="550">
        <v>793</v>
      </c>
      <c r="K1821" s="550">
        <v>0</v>
      </c>
      <c r="L1821" s="550">
        <v>0</v>
      </c>
      <c r="M1821" s="550">
        <v>0</v>
      </c>
      <c r="N1821" s="550">
        <v>734</v>
      </c>
      <c r="O1821" s="550">
        <v>0</v>
      </c>
      <c r="P1821" s="550">
        <v>1613</v>
      </c>
      <c r="Q1821" s="550">
        <v>215</v>
      </c>
      <c r="R1821" s="574" t="s">
        <v>604</v>
      </c>
      <c r="S1821" s="552">
        <f>SUM(G1815:G1821) +SUM(K1815:K1821)</f>
        <v>335</v>
      </c>
      <c r="T1821" s="552">
        <f>F1821+J1821</f>
        <v>1836</v>
      </c>
      <c r="U1821" s="552">
        <f>SUM(O1815:O1821)</f>
        <v>64</v>
      </c>
      <c r="V1821" s="552">
        <f>N1821</f>
        <v>734</v>
      </c>
      <c r="W1821" s="554">
        <f>SUM(Q1815:Q1821)</f>
        <v>3501</v>
      </c>
      <c r="X1821" s="552">
        <f>P1821</f>
        <v>1613</v>
      </c>
      <c r="Y1821" s="552">
        <f>S1821+U1821+SUM(Q1815:Q1821)</f>
        <v>3900</v>
      </c>
      <c r="Z1821" s="552">
        <f>F1821+J1821+N1821+P1821</f>
        <v>4183</v>
      </c>
      <c r="AA1821" s="553"/>
      <c r="AB1821" s="553"/>
    </row>
    <row r="1822" spans="1:28" ht="12.75">
      <c r="A1822" s="547" t="s">
        <v>605</v>
      </c>
      <c r="B1822" s="547" t="s">
        <v>179</v>
      </c>
      <c r="C1822" s="548" t="s">
        <v>855</v>
      </c>
      <c r="D1822" s="549">
        <v>2013</v>
      </c>
      <c r="E1822" s="549" t="s">
        <v>775</v>
      </c>
      <c r="F1822" s="550">
        <v>914</v>
      </c>
      <c r="G1822" s="550">
        <v>10</v>
      </c>
      <c r="H1822" s="550">
        <v>10</v>
      </c>
      <c r="I1822" s="550">
        <v>0</v>
      </c>
      <c r="J1822" s="550">
        <v>694</v>
      </c>
      <c r="K1822" s="550">
        <v>41</v>
      </c>
      <c r="L1822" s="550">
        <v>37</v>
      </c>
      <c r="M1822" s="550">
        <v>4</v>
      </c>
      <c r="N1822" s="550">
        <v>642</v>
      </c>
      <c r="O1822" s="550">
        <v>80</v>
      </c>
      <c r="P1822" s="550">
        <v>1410</v>
      </c>
      <c r="Q1822" s="550">
        <v>368</v>
      </c>
      <c r="R1822" s="574" t="s">
        <v>605</v>
      </c>
      <c r="S1822" s="552"/>
      <c r="T1822" s="552"/>
      <c r="U1822" s="552"/>
      <c r="V1822" s="552"/>
      <c r="W1822" s="552"/>
      <c r="X1822" s="552"/>
      <c r="Y1822" s="552"/>
      <c r="Z1822" s="552"/>
      <c r="AA1822" s="553"/>
      <c r="AB1822" s="553"/>
    </row>
    <row r="1823" spans="1:28" ht="12.75">
      <c r="A1823" s="547" t="s">
        <v>605</v>
      </c>
      <c r="B1823" s="547" t="s">
        <v>179</v>
      </c>
      <c r="C1823" s="548" t="s">
        <v>855</v>
      </c>
      <c r="D1823" s="549">
        <v>2014</v>
      </c>
      <c r="E1823" s="549" t="s">
        <v>775</v>
      </c>
      <c r="F1823" s="550">
        <v>914</v>
      </c>
      <c r="G1823" s="550">
        <v>0</v>
      </c>
      <c r="H1823" s="550">
        <v>0</v>
      </c>
      <c r="I1823" s="550">
        <v>0</v>
      </c>
      <c r="J1823" s="550">
        <v>694</v>
      </c>
      <c r="K1823" s="550">
        <v>0</v>
      </c>
      <c r="L1823" s="550">
        <v>0</v>
      </c>
      <c r="M1823" s="550">
        <v>0</v>
      </c>
      <c r="N1823" s="550">
        <v>642</v>
      </c>
      <c r="O1823" s="550">
        <v>0</v>
      </c>
      <c r="P1823" s="550">
        <v>1410</v>
      </c>
      <c r="Q1823" s="550">
        <v>175</v>
      </c>
      <c r="R1823" s="574" t="s">
        <v>605</v>
      </c>
      <c r="S1823" s="552"/>
      <c r="T1823" s="552"/>
      <c r="U1823" s="552"/>
      <c r="V1823" s="552"/>
      <c r="W1823" s="552"/>
      <c r="X1823" s="552"/>
      <c r="Y1823" s="552"/>
      <c r="Z1823" s="552"/>
      <c r="AA1823" s="553"/>
      <c r="AB1823" s="553"/>
    </row>
    <row r="1824" spans="1:28" ht="12.75">
      <c r="A1824" s="547" t="s">
        <v>605</v>
      </c>
      <c r="B1824" s="547" t="s">
        <v>179</v>
      </c>
      <c r="C1824" s="548" t="s">
        <v>855</v>
      </c>
      <c r="D1824" s="549">
        <v>2015</v>
      </c>
      <c r="E1824" s="549" t="s">
        <v>775</v>
      </c>
      <c r="F1824" s="550">
        <v>914</v>
      </c>
      <c r="G1824" s="550">
        <v>0</v>
      </c>
      <c r="H1824" s="550">
        <v>0</v>
      </c>
      <c r="I1824" s="550">
        <v>0</v>
      </c>
      <c r="J1824" s="550">
        <v>694</v>
      </c>
      <c r="K1824" s="550">
        <v>0</v>
      </c>
      <c r="L1824" s="550">
        <v>0</v>
      </c>
      <c r="M1824" s="550">
        <v>0</v>
      </c>
      <c r="N1824" s="550">
        <v>642</v>
      </c>
      <c r="O1824" s="550">
        <v>0</v>
      </c>
      <c r="P1824" s="550">
        <v>1410</v>
      </c>
      <c r="Q1824" s="550">
        <v>5</v>
      </c>
      <c r="R1824" s="574" t="s">
        <v>605</v>
      </c>
      <c r="S1824" s="552"/>
      <c r="T1824" s="552"/>
      <c r="U1824" s="552"/>
      <c r="V1824" s="552"/>
      <c r="W1824" s="552"/>
      <c r="X1824" s="552"/>
      <c r="Y1824" s="552"/>
      <c r="Z1824" s="552"/>
      <c r="AA1824" s="553"/>
      <c r="AB1824" s="553"/>
    </row>
    <row r="1825" spans="1:28" ht="12.75">
      <c r="A1825" s="547" t="s">
        <v>605</v>
      </c>
      <c r="B1825" s="547" t="s">
        <v>179</v>
      </c>
      <c r="C1825" s="548" t="s">
        <v>855</v>
      </c>
      <c r="D1825" s="549">
        <v>2016</v>
      </c>
      <c r="E1825" s="549" t="s">
        <v>775</v>
      </c>
      <c r="F1825" s="550">
        <v>914</v>
      </c>
      <c r="G1825" s="550">
        <v>0</v>
      </c>
      <c r="H1825" s="550">
        <v>0</v>
      </c>
      <c r="I1825" s="550">
        <v>0</v>
      </c>
      <c r="J1825" s="550">
        <v>694</v>
      </c>
      <c r="K1825" s="550">
        <v>2</v>
      </c>
      <c r="L1825" s="550">
        <v>0</v>
      </c>
      <c r="M1825" s="550">
        <v>2</v>
      </c>
      <c r="N1825" s="550">
        <v>642</v>
      </c>
      <c r="O1825" s="550">
        <v>0</v>
      </c>
      <c r="P1825" s="550">
        <v>1410</v>
      </c>
      <c r="Q1825" s="550">
        <v>50</v>
      </c>
      <c r="R1825" s="574" t="s">
        <v>605</v>
      </c>
      <c r="S1825" s="552"/>
      <c r="T1825" s="552"/>
      <c r="U1825" s="552"/>
      <c r="V1825" s="552"/>
      <c r="W1825" s="552"/>
      <c r="X1825" s="552"/>
      <c r="Y1825" s="552"/>
      <c r="Z1825" s="552"/>
      <c r="AA1825" s="553"/>
      <c r="AB1825" s="553"/>
    </row>
    <row r="1826" spans="1:28" ht="12.75">
      <c r="A1826" s="547" t="s">
        <v>605</v>
      </c>
      <c r="B1826" s="547" t="s">
        <v>179</v>
      </c>
      <c r="C1826" s="548" t="s">
        <v>855</v>
      </c>
      <c r="D1826" s="549">
        <v>2017</v>
      </c>
      <c r="E1826" s="549" t="s">
        <v>775</v>
      </c>
      <c r="F1826" s="550">
        <v>914</v>
      </c>
      <c r="G1826" s="550">
        <v>0</v>
      </c>
      <c r="H1826" s="550">
        <v>0</v>
      </c>
      <c r="I1826" s="550">
        <v>0</v>
      </c>
      <c r="J1826" s="550">
        <v>694</v>
      </c>
      <c r="K1826" s="550">
        <v>0</v>
      </c>
      <c r="L1826" s="550">
        <v>0</v>
      </c>
      <c r="M1826" s="550">
        <v>0</v>
      </c>
      <c r="N1826" s="550">
        <v>642</v>
      </c>
      <c r="O1826" s="550">
        <v>16</v>
      </c>
      <c r="P1826" s="550">
        <v>1410</v>
      </c>
      <c r="Q1826" s="550">
        <v>128</v>
      </c>
      <c r="R1826" s="574" t="s">
        <v>605</v>
      </c>
      <c r="S1826" s="552"/>
      <c r="T1826" s="552"/>
      <c r="U1826" s="552"/>
      <c r="V1826" s="552"/>
      <c r="W1826" s="552"/>
      <c r="X1826" s="552"/>
      <c r="Y1826" s="552"/>
      <c r="Z1826" s="552"/>
      <c r="AA1826" s="553"/>
      <c r="AB1826" s="553"/>
    </row>
    <row r="1827" spans="1:28" ht="12.75">
      <c r="A1827" s="547" t="s">
        <v>605</v>
      </c>
      <c r="B1827" s="547" t="s">
        <v>179</v>
      </c>
      <c r="C1827" s="548" t="s">
        <v>855</v>
      </c>
      <c r="D1827" s="549">
        <v>2018</v>
      </c>
      <c r="E1827" s="549" t="s">
        <v>775</v>
      </c>
      <c r="F1827" s="550">
        <v>914</v>
      </c>
      <c r="G1827" s="550">
        <v>0</v>
      </c>
      <c r="H1827" s="550">
        <v>0</v>
      </c>
      <c r="I1827" s="550">
        <v>0</v>
      </c>
      <c r="J1827" s="550">
        <v>694</v>
      </c>
      <c r="K1827" s="550">
        <v>0</v>
      </c>
      <c r="L1827" s="550">
        <v>0</v>
      </c>
      <c r="M1827" s="550">
        <v>0</v>
      </c>
      <c r="N1827" s="550">
        <v>642</v>
      </c>
      <c r="O1827" s="550">
        <v>0</v>
      </c>
      <c r="P1827" s="550">
        <v>1410</v>
      </c>
      <c r="Q1827" s="550">
        <v>157</v>
      </c>
      <c r="R1827" s="574" t="s">
        <v>605</v>
      </c>
      <c r="S1827" s="552"/>
      <c r="T1827" s="552"/>
      <c r="U1827" s="552"/>
      <c r="V1827" s="552"/>
      <c r="W1827" s="552"/>
      <c r="X1827" s="552"/>
      <c r="Y1827" s="552"/>
      <c r="Z1827" s="552"/>
      <c r="AA1827" s="553"/>
      <c r="AB1827" s="553"/>
    </row>
    <row r="1828" spans="1:28" ht="12.75">
      <c r="A1828" s="547" t="s">
        <v>605</v>
      </c>
      <c r="B1828" s="547" t="s">
        <v>179</v>
      </c>
      <c r="C1828" s="548" t="s">
        <v>856</v>
      </c>
      <c r="D1828" s="549">
        <v>2019</v>
      </c>
      <c r="E1828" s="549" t="s">
        <v>775</v>
      </c>
      <c r="F1828" s="550">
        <v>914</v>
      </c>
      <c r="G1828" s="550">
        <v>0</v>
      </c>
      <c r="H1828" s="550">
        <v>0</v>
      </c>
      <c r="I1828" s="550">
        <v>0</v>
      </c>
      <c r="J1828" s="550">
        <v>694</v>
      </c>
      <c r="K1828" s="550">
        <v>0</v>
      </c>
      <c r="L1828" s="550">
        <v>0</v>
      </c>
      <c r="M1828" s="550">
        <v>0</v>
      </c>
      <c r="N1828" s="550">
        <v>642</v>
      </c>
      <c r="O1828" s="550">
        <v>1</v>
      </c>
      <c r="P1828" s="550">
        <v>1410</v>
      </c>
      <c r="Q1828" s="550">
        <v>114</v>
      </c>
      <c r="R1828" s="574" t="s">
        <v>605</v>
      </c>
      <c r="S1828" s="552">
        <f>SUM(G1822:G1828) +SUM(K1822:K1828)</f>
        <v>53</v>
      </c>
      <c r="T1828" s="552">
        <f>F1828+J1828</f>
        <v>1608</v>
      </c>
      <c r="U1828" s="552">
        <f>SUM(O1822:O1828)</f>
        <v>97</v>
      </c>
      <c r="V1828" s="552">
        <f>N1828</f>
        <v>642</v>
      </c>
      <c r="W1828" s="554">
        <f>SUM(Q1822:Q1828)</f>
        <v>997</v>
      </c>
      <c r="X1828" s="552">
        <f>P1828</f>
        <v>1410</v>
      </c>
      <c r="Y1828" s="552">
        <f>S1828+U1828+SUM(Q1822:Q1828)</f>
        <v>1147</v>
      </c>
      <c r="Z1828" s="552">
        <f>F1828+J1828+N1828+P1828</f>
        <v>3660</v>
      </c>
      <c r="AA1828" s="553"/>
      <c r="AB1828" s="553"/>
    </row>
    <row r="1829" spans="1:28" ht="12.75">
      <c r="A1829" s="547" t="s">
        <v>606</v>
      </c>
      <c r="B1829" s="547" t="s">
        <v>179</v>
      </c>
      <c r="C1829" s="548" t="s">
        <v>855</v>
      </c>
      <c r="D1829" s="549">
        <v>2013</v>
      </c>
      <c r="E1829" s="549" t="s">
        <v>775</v>
      </c>
      <c r="F1829" s="550">
        <v>85</v>
      </c>
      <c r="G1829" s="550">
        <v>0</v>
      </c>
      <c r="H1829" s="550">
        <v>0</v>
      </c>
      <c r="I1829" s="550">
        <v>0</v>
      </c>
      <c r="J1829" s="550">
        <v>65</v>
      </c>
      <c r="K1829" s="550">
        <v>1</v>
      </c>
      <c r="L1829" s="550">
        <v>0</v>
      </c>
      <c r="M1829" s="550">
        <v>1</v>
      </c>
      <c r="N1829" s="550">
        <v>59</v>
      </c>
      <c r="O1829" s="550">
        <v>0</v>
      </c>
      <c r="P1829" s="550">
        <v>131</v>
      </c>
      <c r="Q1829" s="550">
        <v>11</v>
      </c>
      <c r="R1829" s="574" t="s">
        <v>606</v>
      </c>
      <c r="S1829" s="552"/>
      <c r="T1829" s="552"/>
      <c r="U1829" s="552"/>
      <c r="V1829" s="552"/>
      <c r="W1829" s="552"/>
      <c r="X1829" s="552"/>
      <c r="Y1829" s="552"/>
      <c r="Z1829" s="552"/>
      <c r="AA1829" s="553"/>
      <c r="AB1829" s="553"/>
    </row>
    <row r="1830" spans="1:28" ht="12.75">
      <c r="A1830" s="547" t="s">
        <v>606</v>
      </c>
      <c r="B1830" s="547" t="s">
        <v>179</v>
      </c>
      <c r="C1830" s="548" t="s">
        <v>855</v>
      </c>
      <c r="D1830" s="549">
        <v>2014</v>
      </c>
      <c r="E1830" s="549" t="s">
        <v>775</v>
      </c>
      <c r="F1830" s="550">
        <v>85</v>
      </c>
      <c r="G1830" s="550">
        <v>0</v>
      </c>
      <c r="H1830" s="550">
        <v>0</v>
      </c>
      <c r="I1830" s="550">
        <v>0</v>
      </c>
      <c r="J1830" s="550">
        <v>65</v>
      </c>
      <c r="K1830" s="550">
        <v>0</v>
      </c>
      <c r="L1830" s="550">
        <v>0</v>
      </c>
      <c r="M1830" s="550">
        <v>0</v>
      </c>
      <c r="N1830" s="550">
        <v>59</v>
      </c>
      <c r="O1830" s="550">
        <v>0</v>
      </c>
      <c r="P1830" s="550">
        <v>131</v>
      </c>
      <c r="Q1830" s="550">
        <v>5</v>
      </c>
      <c r="R1830" s="574" t="s">
        <v>606</v>
      </c>
      <c r="S1830" s="552"/>
      <c r="T1830" s="552"/>
      <c r="U1830" s="552"/>
      <c r="V1830" s="552"/>
      <c r="W1830" s="552"/>
      <c r="X1830" s="552"/>
      <c r="Y1830" s="552"/>
      <c r="Z1830" s="552"/>
      <c r="AA1830" s="553"/>
      <c r="AB1830" s="553"/>
    </row>
    <row r="1831" spans="1:28" ht="12.75">
      <c r="A1831" s="547" t="s">
        <v>606</v>
      </c>
      <c r="B1831" s="547" t="s">
        <v>179</v>
      </c>
      <c r="C1831" s="548" t="s">
        <v>855</v>
      </c>
      <c r="D1831" s="549">
        <v>2015</v>
      </c>
      <c r="E1831" s="549" t="s">
        <v>775</v>
      </c>
      <c r="F1831" s="550">
        <v>85</v>
      </c>
      <c r="G1831" s="550">
        <v>0</v>
      </c>
      <c r="H1831" s="550">
        <v>0</v>
      </c>
      <c r="I1831" s="550">
        <v>0</v>
      </c>
      <c r="J1831" s="550">
        <v>65</v>
      </c>
      <c r="K1831" s="550">
        <v>1</v>
      </c>
      <c r="L1831" s="550">
        <v>1</v>
      </c>
      <c r="M1831" s="550">
        <v>0</v>
      </c>
      <c r="N1831" s="550">
        <v>59</v>
      </c>
      <c r="O1831" s="550">
        <v>0</v>
      </c>
      <c r="P1831" s="550">
        <v>131</v>
      </c>
      <c r="Q1831" s="550">
        <v>3</v>
      </c>
      <c r="R1831" s="574" t="s">
        <v>606</v>
      </c>
      <c r="S1831" s="552"/>
      <c r="T1831" s="552"/>
      <c r="U1831" s="552"/>
      <c r="V1831" s="552"/>
      <c r="W1831" s="552"/>
      <c r="X1831" s="552"/>
      <c r="Y1831" s="552"/>
      <c r="Z1831" s="552"/>
      <c r="AA1831" s="553"/>
      <c r="AB1831" s="553"/>
    </row>
    <row r="1832" spans="1:28" ht="12.75">
      <c r="A1832" s="547" t="s">
        <v>606</v>
      </c>
      <c r="B1832" s="547" t="s">
        <v>179</v>
      </c>
      <c r="C1832" s="548" t="s">
        <v>855</v>
      </c>
      <c r="D1832" s="549">
        <v>2016</v>
      </c>
      <c r="E1832" s="549" t="s">
        <v>775</v>
      </c>
      <c r="F1832" s="550">
        <v>85</v>
      </c>
      <c r="G1832" s="550">
        <v>0</v>
      </c>
      <c r="H1832" s="550">
        <v>0</v>
      </c>
      <c r="I1832" s="550">
        <v>0</v>
      </c>
      <c r="J1832" s="550">
        <v>65</v>
      </c>
      <c r="K1832" s="550">
        <v>1</v>
      </c>
      <c r="L1832" s="550">
        <v>1</v>
      </c>
      <c r="M1832" s="550">
        <v>0</v>
      </c>
      <c r="N1832" s="550">
        <v>59</v>
      </c>
      <c r="O1832" s="550">
        <v>0</v>
      </c>
      <c r="P1832" s="550">
        <v>131</v>
      </c>
      <c r="Q1832" s="550">
        <v>5</v>
      </c>
      <c r="R1832" s="574" t="s">
        <v>606</v>
      </c>
      <c r="S1832" s="552"/>
      <c r="T1832" s="552"/>
      <c r="U1832" s="552"/>
      <c r="V1832" s="552"/>
      <c r="W1832" s="552"/>
      <c r="X1832" s="552"/>
      <c r="Y1832" s="552"/>
      <c r="Z1832" s="552"/>
      <c r="AA1832" s="553"/>
      <c r="AB1832" s="553"/>
    </row>
    <row r="1833" spans="1:28" ht="12.75">
      <c r="A1833" s="547" t="s">
        <v>606</v>
      </c>
      <c r="B1833" s="547" t="s">
        <v>179</v>
      </c>
      <c r="C1833" s="548" t="s">
        <v>855</v>
      </c>
      <c r="D1833" s="549">
        <v>2017</v>
      </c>
      <c r="E1833" s="549" t="s">
        <v>775</v>
      </c>
      <c r="F1833" s="550">
        <v>85</v>
      </c>
      <c r="G1833" s="550">
        <v>0</v>
      </c>
      <c r="H1833" s="550">
        <v>0</v>
      </c>
      <c r="I1833" s="550">
        <v>0</v>
      </c>
      <c r="J1833" s="550">
        <v>65</v>
      </c>
      <c r="K1833" s="550">
        <v>2</v>
      </c>
      <c r="L1833" s="550">
        <v>2</v>
      </c>
      <c r="M1833" s="550">
        <v>0</v>
      </c>
      <c r="N1833" s="550">
        <v>59</v>
      </c>
      <c r="O1833" s="550">
        <v>3</v>
      </c>
      <c r="P1833" s="550">
        <v>131</v>
      </c>
      <c r="Q1833" s="550">
        <v>12</v>
      </c>
      <c r="R1833" s="574" t="s">
        <v>606</v>
      </c>
      <c r="S1833" s="552"/>
      <c r="T1833" s="552"/>
      <c r="U1833" s="552"/>
      <c r="V1833" s="552"/>
      <c r="W1833" s="552"/>
      <c r="X1833" s="552"/>
      <c r="Y1833" s="552"/>
      <c r="Z1833" s="552"/>
      <c r="AA1833" s="553"/>
      <c r="AB1833" s="553"/>
    </row>
    <row r="1834" spans="1:28" ht="12.75">
      <c r="A1834" s="547" t="s">
        <v>606</v>
      </c>
      <c r="B1834" s="547" t="s">
        <v>179</v>
      </c>
      <c r="C1834" s="548" t="s">
        <v>855</v>
      </c>
      <c r="D1834" s="549">
        <v>2018</v>
      </c>
      <c r="E1834" s="549" t="s">
        <v>775</v>
      </c>
      <c r="F1834" s="550">
        <v>85</v>
      </c>
      <c r="G1834" s="550">
        <v>0</v>
      </c>
      <c r="H1834" s="550">
        <v>0</v>
      </c>
      <c r="I1834" s="550">
        <v>0</v>
      </c>
      <c r="J1834" s="550">
        <v>65</v>
      </c>
      <c r="K1834" s="550">
        <v>1</v>
      </c>
      <c r="L1834" s="550">
        <v>1</v>
      </c>
      <c r="M1834" s="550">
        <v>0</v>
      </c>
      <c r="N1834" s="550">
        <v>59</v>
      </c>
      <c r="O1834" s="550">
        <v>5</v>
      </c>
      <c r="P1834" s="550">
        <v>131</v>
      </c>
      <c r="Q1834" s="550">
        <v>11</v>
      </c>
      <c r="R1834" s="574" t="s">
        <v>606</v>
      </c>
      <c r="S1834" s="552"/>
      <c r="T1834" s="552"/>
      <c r="U1834" s="552"/>
      <c r="V1834" s="552"/>
      <c r="W1834" s="552"/>
      <c r="X1834" s="552"/>
      <c r="Y1834" s="552"/>
      <c r="Z1834" s="552"/>
      <c r="AA1834" s="553"/>
      <c r="AB1834" s="553"/>
    </row>
    <row r="1835" spans="1:28" ht="12.75">
      <c r="A1835" s="547" t="s">
        <v>606</v>
      </c>
      <c r="B1835" s="547" t="s">
        <v>179</v>
      </c>
      <c r="C1835" s="548" t="s">
        <v>856</v>
      </c>
      <c r="D1835" s="549">
        <v>2019</v>
      </c>
      <c r="E1835" s="549" t="s">
        <v>775</v>
      </c>
      <c r="F1835" s="550">
        <v>85</v>
      </c>
      <c r="G1835" s="550">
        <v>0</v>
      </c>
      <c r="H1835" s="550">
        <v>0</v>
      </c>
      <c r="I1835" s="550">
        <v>0</v>
      </c>
      <c r="J1835" s="550">
        <v>65</v>
      </c>
      <c r="K1835" s="550">
        <v>0</v>
      </c>
      <c r="L1835" s="550">
        <v>0</v>
      </c>
      <c r="M1835" s="550">
        <v>0</v>
      </c>
      <c r="N1835" s="550">
        <v>59</v>
      </c>
      <c r="O1835" s="550">
        <v>6</v>
      </c>
      <c r="P1835" s="550">
        <v>131</v>
      </c>
      <c r="Q1835" s="550">
        <v>3</v>
      </c>
      <c r="R1835" s="574" t="s">
        <v>606</v>
      </c>
      <c r="S1835" s="552">
        <f>SUM(G1829:G1835) +SUM(K1829:K1835)</f>
        <v>6</v>
      </c>
      <c r="T1835" s="552">
        <f>F1835+J1835</f>
        <v>150</v>
      </c>
      <c r="U1835" s="552">
        <f>SUM(O1829:O1835)</f>
        <v>14</v>
      </c>
      <c r="V1835" s="552">
        <f>N1835</f>
        <v>59</v>
      </c>
      <c r="W1835" s="554">
        <f>SUM(Q1829:Q1835)</f>
        <v>50</v>
      </c>
      <c r="X1835" s="552">
        <f>P1835</f>
        <v>131</v>
      </c>
      <c r="Y1835" s="552">
        <f>S1835+U1835+SUM(Q1829:Q1835)</f>
        <v>70</v>
      </c>
      <c r="Z1835" s="552">
        <f>F1835+J1835+N1835+P1835</f>
        <v>340</v>
      </c>
      <c r="AA1835" s="553"/>
      <c r="AB1835" s="553"/>
    </row>
    <row r="1836" spans="1:28" ht="12.75">
      <c r="A1836" s="547" t="s">
        <v>607</v>
      </c>
      <c r="B1836" s="547" t="s">
        <v>179</v>
      </c>
      <c r="C1836" s="548" t="s">
        <v>855</v>
      </c>
      <c r="D1836" s="549">
        <v>2013</v>
      </c>
      <c r="E1836" s="549" t="s">
        <v>775</v>
      </c>
      <c r="F1836" s="550">
        <v>343</v>
      </c>
      <c r="G1836" s="550">
        <v>48</v>
      </c>
      <c r="H1836" s="550">
        <v>48</v>
      </c>
      <c r="I1836" s="550">
        <v>0</v>
      </c>
      <c r="J1836" s="550">
        <v>260</v>
      </c>
      <c r="K1836" s="550">
        <v>36</v>
      </c>
      <c r="L1836" s="550">
        <v>36</v>
      </c>
      <c r="M1836" s="550">
        <v>0</v>
      </c>
      <c r="N1836" s="550">
        <v>241</v>
      </c>
      <c r="O1836" s="550">
        <v>1</v>
      </c>
      <c r="P1836" s="550">
        <v>530</v>
      </c>
      <c r="Q1836" s="550">
        <v>252</v>
      </c>
      <c r="R1836" s="574" t="s">
        <v>607</v>
      </c>
      <c r="S1836" s="552"/>
      <c r="T1836" s="552"/>
      <c r="U1836" s="552"/>
      <c r="V1836" s="552"/>
      <c r="W1836" s="552"/>
      <c r="X1836" s="552"/>
      <c r="Y1836" s="552"/>
      <c r="Z1836" s="552"/>
      <c r="AA1836" s="553"/>
      <c r="AB1836" s="553"/>
    </row>
    <row r="1837" spans="1:28" ht="12.75">
      <c r="A1837" s="547" t="s">
        <v>607</v>
      </c>
      <c r="B1837" s="547" t="s">
        <v>179</v>
      </c>
      <c r="C1837" s="548" t="s">
        <v>855</v>
      </c>
      <c r="D1837" s="549">
        <v>2014</v>
      </c>
      <c r="E1837" s="549" t="s">
        <v>775</v>
      </c>
      <c r="F1837" s="550">
        <v>343</v>
      </c>
      <c r="G1837" s="550">
        <v>48</v>
      </c>
      <c r="H1837" s="550">
        <v>48</v>
      </c>
      <c r="I1837" s="550">
        <v>0</v>
      </c>
      <c r="J1837" s="550">
        <v>260</v>
      </c>
      <c r="K1837" s="550">
        <v>18</v>
      </c>
      <c r="L1837" s="550">
        <v>18</v>
      </c>
      <c r="M1837" s="550">
        <v>0</v>
      </c>
      <c r="N1837" s="550">
        <v>241</v>
      </c>
      <c r="O1837" s="550">
        <v>0</v>
      </c>
      <c r="P1837" s="550">
        <v>530</v>
      </c>
      <c r="Q1837" s="550">
        <v>691</v>
      </c>
      <c r="R1837" s="574" t="s">
        <v>607</v>
      </c>
      <c r="S1837" s="552"/>
      <c r="T1837" s="552"/>
      <c r="U1837" s="552"/>
      <c r="V1837" s="552"/>
      <c r="W1837" s="552"/>
      <c r="X1837" s="552"/>
      <c r="Y1837" s="552"/>
      <c r="Z1837" s="552"/>
      <c r="AA1837" s="553"/>
      <c r="AB1837" s="553"/>
    </row>
    <row r="1838" spans="1:28" ht="12.75">
      <c r="A1838" s="547" t="s">
        <v>607</v>
      </c>
      <c r="B1838" s="547" t="s">
        <v>179</v>
      </c>
      <c r="C1838" s="548" t="s">
        <v>855</v>
      </c>
      <c r="D1838" s="549">
        <v>2015</v>
      </c>
      <c r="E1838" s="549" t="s">
        <v>775</v>
      </c>
      <c r="F1838" s="550">
        <v>343</v>
      </c>
      <c r="G1838" s="550">
        <v>0</v>
      </c>
      <c r="H1838" s="550">
        <v>0</v>
      </c>
      <c r="I1838" s="550">
        <v>0</v>
      </c>
      <c r="J1838" s="550">
        <v>260</v>
      </c>
      <c r="K1838" s="550">
        <v>0</v>
      </c>
      <c r="L1838" s="550">
        <v>0</v>
      </c>
      <c r="M1838" s="550">
        <v>0</v>
      </c>
      <c r="N1838" s="550">
        <v>241</v>
      </c>
      <c r="O1838" s="550">
        <v>0</v>
      </c>
      <c r="P1838" s="550">
        <v>530</v>
      </c>
      <c r="Q1838" s="550">
        <v>415</v>
      </c>
      <c r="R1838" s="574" t="s">
        <v>607</v>
      </c>
      <c r="S1838" s="552"/>
      <c r="T1838" s="552"/>
      <c r="U1838" s="552"/>
      <c r="V1838" s="552"/>
      <c r="W1838" s="552"/>
      <c r="X1838" s="552"/>
      <c r="Y1838" s="552"/>
      <c r="Z1838" s="552"/>
      <c r="AA1838" s="553"/>
      <c r="AB1838" s="553"/>
    </row>
    <row r="1839" spans="1:28" ht="12.75">
      <c r="A1839" s="547" t="s">
        <v>607</v>
      </c>
      <c r="B1839" s="547" t="s">
        <v>179</v>
      </c>
      <c r="C1839" s="548" t="s">
        <v>855</v>
      </c>
      <c r="D1839" s="549">
        <v>2016</v>
      </c>
      <c r="E1839" s="549" t="s">
        <v>775</v>
      </c>
      <c r="F1839" s="550">
        <v>343</v>
      </c>
      <c r="G1839" s="550">
        <v>0</v>
      </c>
      <c r="H1839" s="550">
        <v>0</v>
      </c>
      <c r="I1839" s="550">
        <v>0</v>
      </c>
      <c r="J1839" s="550">
        <v>260</v>
      </c>
      <c r="K1839" s="550">
        <v>0</v>
      </c>
      <c r="L1839" s="550">
        <v>0</v>
      </c>
      <c r="M1839" s="550">
        <v>0</v>
      </c>
      <c r="N1839" s="550">
        <v>241</v>
      </c>
      <c r="O1839" s="550">
        <v>0</v>
      </c>
      <c r="P1839" s="550">
        <v>530</v>
      </c>
      <c r="Q1839" s="550">
        <v>35</v>
      </c>
      <c r="R1839" s="574" t="s">
        <v>607</v>
      </c>
      <c r="S1839" s="552"/>
      <c r="T1839" s="552"/>
      <c r="U1839" s="552"/>
      <c r="V1839" s="552"/>
      <c r="W1839" s="552"/>
      <c r="X1839" s="552"/>
      <c r="Y1839" s="552"/>
      <c r="Z1839" s="552"/>
      <c r="AA1839" s="553"/>
      <c r="AB1839" s="553"/>
    </row>
    <row r="1840" spans="1:28" ht="12.75">
      <c r="A1840" s="547" t="s">
        <v>607</v>
      </c>
      <c r="B1840" s="547" t="s">
        <v>179</v>
      </c>
      <c r="C1840" s="548" t="s">
        <v>855</v>
      </c>
      <c r="D1840" s="549">
        <v>2017</v>
      </c>
      <c r="E1840" s="549" t="s">
        <v>775</v>
      </c>
      <c r="F1840" s="550">
        <v>343</v>
      </c>
      <c r="G1840" s="550">
        <v>0</v>
      </c>
      <c r="H1840" s="550">
        <v>0</v>
      </c>
      <c r="I1840" s="550">
        <v>0</v>
      </c>
      <c r="J1840" s="550">
        <v>260</v>
      </c>
      <c r="K1840" s="550">
        <v>0</v>
      </c>
      <c r="L1840" s="550">
        <v>0</v>
      </c>
      <c r="M1840" s="550">
        <v>0</v>
      </c>
      <c r="N1840" s="550">
        <v>241</v>
      </c>
      <c r="O1840" s="550">
        <v>0</v>
      </c>
      <c r="P1840" s="550">
        <v>530</v>
      </c>
      <c r="Q1840" s="550">
        <v>154</v>
      </c>
      <c r="R1840" s="574" t="s">
        <v>607</v>
      </c>
      <c r="S1840" s="552"/>
      <c r="T1840" s="552"/>
      <c r="U1840" s="552"/>
      <c r="V1840" s="552"/>
      <c r="W1840" s="552"/>
      <c r="X1840" s="552"/>
      <c r="Y1840" s="552"/>
      <c r="Z1840" s="552"/>
      <c r="AA1840" s="553"/>
      <c r="AB1840" s="553"/>
    </row>
    <row r="1841" spans="1:28" ht="12.75">
      <c r="A1841" s="547" t="s">
        <v>607</v>
      </c>
      <c r="B1841" s="547" t="s">
        <v>179</v>
      </c>
      <c r="C1841" s="548" t="s">
        <v>855</v>
      </c>
      <c r="D1841" s="549">
        <v>2018</v>
      </c>
      <c r="E1841" s="549" t="s">
        <v>775</v>
      </c>
      <c r="F1841" s="550">
        <v>343</v>
      </c>
      <c r="G1841" s="550">
        <v>0</v>
      </c>
      <c r="H1841" s="550">
        <v>0</v>
      </c>
      <c r="I1841" s="550">
        <v>0</v>
      </c>
      <c r="J1841" s="550">
        <v>260</v>
      </c>
      <c r="K1841" s="550">
        <v>0</v>
      </c>
      <c r="L1841" s="550">
        <v>0</v>
      </c>
      <c r="M1841" s="550">
        <v>0</v>
      </c>
      <c r="N1841" s="550">
        <v>241</v>
      </c>
      <c r="O1841" s="550">
        <v>0</v>
      </c>
      <c r="P1841" s="550">
        <v>530</v>
      </c>
      <c r="Q1841" s="550">
        <v>475</v>
      </c>
      <c r="R1841" s="574" t="s">
        <v>607</v>
      </c>
      <c r="S1841" s="552"/>
      <c r="T1841" s="552"/>
      <c r="U1841" s="552"/>
      <c r="V1841" s="552"/>
      <c r="W1841" s="552"/>
      <c r="X1841" s="552"/>
      <c r="Y1841" s="552"/>
      <c r="Z1841" s="552"/>
      <c r="AA1841" s="553"/>
      <c r="AB1841" s="553"/>
    </row>
    <row r="1842" spans="1:28" ht="12.75">
      <c r="A1842" s="547" t="s">
        <v>607</v>
      </c>
      <c r="B1842" s="547" t="s">
        <v>179</v>
      </c>
      <c r="C1842" s="548" t="s">
        <v>856</v>
      </c>
      <c r="D1842" s="549">
        <v>2019</v>
      </c>
      <c r="E1842" s="549" t="s">
        <v>775</v>
      </c>
      <c r="F1842" s="550">
        <v>343</v>
      </c>
      <c r="G1842" s="550">
        <v>60</v>
      </c>
      <c r="H1842" s="550">
        <v>60</v>
      </c>
      <c r="I1842" s="550">
        <v>0</v>
      </c>
      <c r="J1842" s="550">
        <v>260</v>
      </c>
      <c r="K1842" s="550">
        <v>31</v>
      </c>
      <c r="L1842" s="550">
        <v>31</v>
      </c>
      <c r="M1842" s="550">
        <v>0</v>
      </c>
      <c r="N1842" s="550">
        <v>241</v>
      </c>
      <c r="O1842" s="550">
        <v>0</v>
      </c>
      <c r="P1842" s="550">
        <v>530</v>
      </c>
      <c r="Q1842" s="550">
        <v>307</v>
      </c>
      <c r="R1842" s="574" t="s">
        <v>607</v>
      </c>
      <c r="S1842" s="556">
        <f>SUM(G1836:G1842) +SUM(K1836:K1842)</f>
        <v>241</v>
      </c>
      <c r="T1842" s="556">
        <f>F1842+J1842</f>
        <v>603</v>
      </c>
      <c r="U1842" s="556">
        <f>SUM(O1836:O1842)</f>
        <v>1</v>
      </c>
      <c r="V1842" s="556">
        <f>N1842</f>
        <v>241</v>
      </c>
      <c r="W1842" s="557">
        <f>SUM(Q1836:Q1842)</f>
        <v>2329</v>
      </c>
      <c r="X1842" s="556">
        <f>P1842</f>
        <v>530</v>
      </c>
      <c r="Y1842" s="556">
        <f>S1842+U1842+SUM(Q1836:Q1842)</f>
        <v>2571</v>
      </c>
      <c r="Z1842" s="556">
        <f>F1842+J1842+N1842+P1842</f>
        <v>1374</v>
      </c>
      <c r="AA1842" s="553"/>
      <c r="AB1842" s="553"/>
    </row>
    <row r="1843" spans="1:28" ht="12.75">
      <c r="A1843" s="547"/>
      <c r="B1843" s="547"/>
      <c r="C1843" s="548"/>
      <c r="D1843" s="549"/>
      <c r="E1843" s="549"/>
      <c r="F1843" s="550"/>
      <c r="G1843" s="550"/>
      <c r="H1843" s="550"/>
      <c r="I1843" s="550"/>
      <c r="J1843" s="550"/>
      <c r="K1843" s="550"/>
      <c r="L1843" s="550"/>
      <c r="M1843" s="550"/>
      <c r="N1843" s="550"/>
      <c r="O1843" s="550"/>
      <c r="P1843" s="550"/>
      <c r="Q1843" s="550"/>
      <c r="R1843" s="574"/>
      <c r="S1843" s="563">
        <f t="shared" ref="S1843:Z1843" si="207">SUM(S1710:S1842)</f>
        <v>8901</v>
      </c>
      <c r="T1843" s="563">
        <f t="shared" si="207"/>
        <v>64150</v>
      </c>
      <c r="U1843" s="563">
        <f t="shared" si="207"/>
        <v>2690</v>
      </c>
      <c r="V1843" s="563">
        <f t="shared" si="207"/>
        <v>30610</v>
      </c>
      <c r="W1843" s="563">
        <f t="shared" si="207"/>
        <v>61987</v>
      </c>
      <c r="X1843" s="563">
        <f t="shared" si="207"/>
        <v>67220</v>
      </c>
      <c r="Y1843" s="563">
        <f t="shared" si="207"/>
        <v>73578</v>
      </c>
      <c r="Z1843" s="563">
        <f t="shared" si="207"/>
        <v>161980</v>
      </c>
      <c r="AA1843" s="553"/>
      <c r="AB1843" s="553"/>
    </row>
    <row r="1844" spans="1:28" ht="12.75">
      <c r="A1844" s="547" t="s">
        <v>181</v>
      </c>
      <c r="B1844" s="547" t="s">
        <v>181</v>
      </c>
      <c r="C1844" s="548" t="s">
        <v>774</v>
      </c>
      <c r="D1844" s="549">
        <v>2014</v>
      </c>
      <c r="E1844" s="549" t="s">
        <v>775</v>
      </c>
      <c r="F1844" s="550">
        <v>6234</v>
      </c>
      <c r="G1844" s="550">
        <v>552</v>
      </c>
      <c r="H1844" s="550">
        <v>552</v>
      </c>
      <c r="I1844" s="550">
        <v>0</v>
      </c>
      <c r="J1844" s="550">
        <v>4639</v>
      </c>
      <c r="K1844" s="550">
        <v>377</v>
      </c>
      <c r="L1844" s="550">
        <v>377</v>
      </c>
      <c r="M1844" s="550">
        <v>0</v>
      </c>
      <c r="N1844" s="550">
        <v>5460</v>
      </c>
      <c r="O1844" s="550">
        <v>77</v>
      </c>
      <c r="P1844" s="550">
        <v>12536</v>
      </c>
      <c r="Q1844" s="550">
        <v>2430</v>
      </c>
      <c r="R1844" s="574" t="s">
        <v>181</v>
      </c>
      <c r="S1844" s="552"/>
      <c r="T1844" s="552"/>
      <c r="U1844" s="552"/>
      <c r="V1844" s="552"/>
      <c r="W1844" s="552"/>
      <c r="X1844" s="552"/>
      <c r="Y1844" s="552"/>
      <c r="Z1844" s="552"/>
      <c r="AA1844" s="553"/>
      <c r="AB1844" s="553"/>
    </row>
    <row r="1845" spans="1:28" ht="12.75">
      <c r="A1845" s="547" t="s">
        <v>181</v>
      </c>
      <c r="B1845" s="547" t="s">
        <v>181</v>
      </c>
      <c r="C1845" s="548" t="s">
        <v>774</v>
      </c>
      <c r="D1845" s="549">
        <v>2015</v>
      </c>
      <c r="E1845" s="549" t="s">
        <v>775</v>
      </c>
      <c r="F1845" s="550">
        <v>6234</v>
      </c>
      <c r="G1845" s="550">
        <v>429</v>
      </c>
      <c r="H1845" s="550">
        <v>429</v>
      </c>
      <c r="I1845" s="550">
        <v>0</v>
      </c>
      <c r="J1845" s="550">
        <v>4639</v>
      </c>
      <c r="K1845" s="550">
        <v>179</v>
      </c>
      <c r="L1845" s="550">
        <v>179</v>
      </c>
      <c r="M1845" s="550">
        <v>0</v>
      </c>
      <c r="N1845" s="550">
        <v>5460</v>
      </c>
      <c r="O1845" s="550">
        <v>113</v>
      </c>
      <c r="P1845" s="550">
        <v>12536</v>
      </c>
      <c r="Q1845" s="550">
        <v>2874</v>
      </c>
      <c r="R1845" s="574" t="s">
        <v>181</v>
      </c>
      <c r="S1845" s="552"/>
      <c r="T1845" s="552"/>
      <c r="U1845" s="552"/>
      <c r="V1845" s="552"/>
      <c r="W1845" s="552"/>
      <c r="X1845" s="552"/>
      <c r="Y1845" s="552"/>
      <c r="Z1845" s="552"/>
      <c r="AA1845" s="553"/>
      <c r="AB1845" s="553"/>
    </row>
    <row r="1846" spans="1:28" ht="12.75">
      <c r="A1846" s="547" t="s">
        <v>181</v>
      </c>
      <c r="B1846" s="547" t="s">
        <v>181</v>
      </c>
      <c r="C1846" s="548" t="s">
        <v>774</v>
      </c>
      <c r="D1846" s="549">
        <v>2016</v>
      </c>
      <c r="E1846" s="549" t="s">
        <v>775</v>
      </c>
      <c r="F1846" s="550">
        <v>6234</v>
      </c>
      <c r="G1846" s="550">
        <v>410</v>
      </c>
      <c r="H1846" s="550">
        <v>410</v>
      </c>
      <c r="I1846" s="550">
        <v>0</v>
      </c>
      <c r="J1846" s="550">
        <v>4639</v>
      </c>
      <c r="K1846" s="550">
        <v>353</v>
      </c>
      <c r="L1846" s="550">
        <v>353</v>
      </c>
      <c r="M1846" s="550">
        <v>0</v>
      </c>
      <c r="N1846" s="550">
        <v>5460</v>
      </c>
      <c r="O1846" s="550">
        <v>333</v>
      </c>
      <c r="P1846" s="550">
        <v>12536</v>
      </c>
      <c r="Q1846" s="550">
        <v>3604</v>
      </c>
      <c r="R1846" s="574" t="s">
        <v>181</v>
      </c>
      <c r="S1846" s="552"/>
      <c r="T1846" s="552"/>
      <c r="U1846" s="552"/>
      <c r="V1846" s="552"/>
      <c r="W1846" s="552"/>
      <c r="X1846" s="552"/>
      <c r="Y1846" s="552"/>
      <c r="Z1846" s="552"/>
      <c r="AA1846" s="553"/>
      <c r="AB1846" s="553"/>
    </row>
    <row r="1847" spans="1:28" ht="12.75">
      <c r="A1847" s="547" t="s">
        <v>181</v>
      </c>
      <c r="B1847" s="547" t="s">
        <v>181</v>
      </c>
      <c r="C1847" s="548" t="s">
        <v>774</v>
      </c>
      <c r="D1847" s="549">
        <v>2017</v>
      </c>
      <c r="E1847" s="549" t="s">
        <v>775</v>
      </c>
      <c r="F1847" s="550">
        <v>6234</v>
      </c>
      <c r="G1847" s="550">
        <v>468</v>
      </c>
      <c r="H1847" s="550">
        <v>468</v>
      </c>
      <c r="I1847" s="550">
        <v>0</v>
      </c>
      <c r="J1847" s="550">
        <v>4639</v>
      </c>
      <c r="K1847" s="550">
        <v>427</v>
      </c>
      <c r="L1847" s="550">
        <v>427</v>
      </c>
      <c r="M1847" s="550">
        <v>0</v>
      </c>
      <c r="N1847" s="550">
        <v>5460</v>
      </c>
      <c r="O1847" s="550">
        <v>268</v>
      </c>
      <c r="P1847" s="550">
        <v>12536</v>
      </c>
      <c r="Q1847" s="550">
        <v>4641</v>
      </c>
      <c r="R1847" s="574" t="s">
        <v>181</v>
      </c>
      <c r="S1847" s="552"/>
      <c r="T1847" s="552"/>
      <c r="U1847" s="552"/>
      <c r="V1847" s="552"/>
      <c r="W1847" s="552"/>
      <c r="X1847" s="552"/>
      <c r="Y1847" s="552"/>
      <c r="Z1847" s="552"/>
      <c r="AA1847" s="553"/>
      <c r="AB1847" s="553"/>
    </row>
    <row r="1848" spans="1:28" ht="12.75">
      <c r="A1848" s="547" t="s">
        <v>181</v>
      </c>
      <c r="B1848" s="547" t="s">
        <v>181</v>
      </c>
      <c r="C1848" s="548" t="s">
        <v>774</v>
      </c>
      <c r="D1848" s="549">
        <v>2018</v>
      </c>
      <c r="E1848" s="549" t="s">
        <v>775</v>
      </c>
      <c r="F1848" s="550">
        <v>6234</v>
      </c>
      <c r="G1848" s="550">
        <v>0</v>
      </c>
      <c r="H1848" s="550">
        <v>0</v>
      </c>
      <c r="I1848" s="550">
        <v>0</v>
      </c>
      <c r="J1848" s="550">
        <v>4639</v>
      </c>
      <c r="K1848" s="550">
        <v>922</v>
      </c>
      <c r="L1848" s="550">
        <v>922</v>
      </c>
      <c r="M1848" s="550">
        <v>0</v>
      </c>
      <c r="N1848" s="550">
        <v>5460</v>
      </c>
      <c r="O1848" s="550">
        <v>492</v>
      </c>
      <c r="P1848" s="550">
        <v>12536</v>
      </c>
      <c r="Q1848" s="550">
        <v>4683</v>
      </c>
      <c r="R1848" s="574" t="s">
        <v>181</v>
      </c>
      <c r="S1848" s="552"/>
      <c r="T1848" s="552"/>
      <c r="U1848" s="552"/>
      <c r="V1848" s="552"/>
      <c r="W1848" s="552"/>
      <c r="X1848" s="552"/>
      <c r="Y1848" s="552"/>
      <c r="Z1848" s="552"/>
      <c r="AA1848" s="553"/>
      <c r="AB1848" s="553"/>
    </row>
    <row r="1849" spans="1:28" ht="12.75">
      <c r="A1849" s="547" t="s">
        <v>181</v>
      </c>
      <c r="B1849" s="547" t="s">
        <v>181</v>
      </c>
      <c r="C1849" s="548" t="s">
        <v>782</v>
      </c>
      <c r="D1849" s="549">
        <v>2019</v>
      </c>
      <c r="E1849" s="549" t="s">
        <v>775</v>
      </c>
      <c r="F1849" s="550">
        <v>6234</v>
      </c>
      <c r="G1849" s="550">
        <v>654</v>
      </c>
      <c r="H1849" s="550">
        <v>654</v>
      </c>
      <c r="I1849" s="550">
        <v>0</v>
      </c>
      <c r="J1849" s="550">
        <v>4639</v>
      </c>
      <c r="K1849" s="550">
        <v>478</v>
      </c>
      <c r="L1849" s="550">
        <v>478</v>
      </c>
      <c r="M1849" s="550">
        <v>0</v>
      </c>
      <c r="N1849" s="550">
        <v>5460</v>
      </c>
      <c r="O1849" s="550">
        <v>598</v>
      </c>
      <c r="P1849" s="550">
        <v>12536</v>
      </c>
      <c r="Q1849" s="550">
        <v>1567</v>
      </c>
      <c r="R1849" s="574" t="s">
        <v>181</v>
      </c>
      <c r="S1849" s="563">
        <f>SUM(G1844:G1849) +SUM(K1844:K1849)</f>
        <v>5249</v>
      </c>
      <c r="T1849" s="563">
        <f>F1849+J1849</f>
        <v>10873</v>
      </c>
      <c r="U1849" s="563">
        <f>SUM(O1844:O1849)</f>
        <v>1881</v>
      </c>
      <c r="V1849" s="563">
        <f>N1849</f>
        <v>5460</v>
      </c>
      <c r="W1849" s="575">
        <f>SUM(Q1844:Q1849)</f>
        <v>19799</v>
      </c>
      <c r="X1849" s="563">
        <f>P1849</f>
        <v>12536</v>
      </c>
      <c r="Y1849" s="563">
        <f>S1849+U1849+SUM(Q1844:Q1849)</f>
        <v>26929</v>
      </c>
      <c r="Z1849" s="563">
        <f>F1849+J1849+N1849+P1849</f>
        <v>28869</v>
      </c>
      <c r="AA1849" s="553"/>
      <c r="AB1849" s="553"/>
    </row>
    <row r="1850" spans="1:28" ht="12.75">
      <c r="A1850" s="547"/>
      <c r="B1850" s="547"/>
      <c r="C1850" s="548"/>
      <c r="D1850" s="549"/>
      <c r="E1850" s="549"/>
      <c r="F1850" s="550"/>
      <c r="G1850" s="550"/>
      <c r="H1850" s="550"/>
      <c r="I1850" s="550"/>
      <c r="J1850" s="550"/>
      <c r="K1850" s="550"/>
      <c r="L1850" s="550"/>
      <c r="M1850" s="550"/>
      <c r="N1850" s="550"/>
      <c r="O1850" s="550"/>
      <c r="P1850" s="550"/>
      <c r="Q1850" s="550"/>
      <c r="R1850" s="574"/>
      <c r="S1850" s="552"/>
      <c r="T1850" s="552"/>
      <c r="U1850" s="552"/>
      <c r="V1850" s="552"/>
      <c r="W1850" s="552"/>
      <c r="X1850" s="552"/>
      <c r="Y1850" s="552"/>
      <c r="Z1850" s="552"/>
      <c r="AA1850" s="553"/>
      <c r="AB1850" s="553"/>
    </row>
    <row r="1851" spans="1:28" ht="12.75">
      <c r="A1851" s="547" t="s">
        <v>608</v>
      </c>
      <c r="B1851" s="547" t="s">
        <v>182</v>
      </c>
      <c r="C1851" s="548" t="s">
        <v>177</v>
      </c>
      <c r="D1851" s="549">
        <v>2018</v>
      </c>
      <c r="E1851" s="549" t="s">
        <v>775</v>
      </c>
      <c r="F1851" s="550">
        <v>103</v>
      </c>
      <c r="G1851" s="550">
        <v>0</v>
      </c>
      <c r="H1851" s="550">
        <v>0</v>
      </c>
      <c r="I1851" s="550">
        <v>0</v>
      </c>
      <c r="J1851" s="550">
        <v>66</v>
      </c>
      <c r="K1851" s="550">
        <v>0</v>
      </c>
      <c r="L1851" s="550">
        <v>0</v>
      </c>
      <c r="M1851" s="550">
        <v>0</v>
      </c>
      <c r="N1851" s="550">
        <v>64</v>
      </c>
      <c r="O1851" s="550">
        <v>0</v>
      </c>
      <c r="P1851" s="550">
        <v>192</v>
      </c>
      <c r="Q1851" s="550">
        <v>8</v>
      </c>
      <c r="R1851" s="574" t="s">
        <v>608</v>
      </c>
      <c r="S1851" s="552"/>
      <c r="T1851" s="552"/>
      <c r="U1851" s="552"/>
      <c r="V1851" s="552"/>
      <c r="W1851" s="552"/>
      <c r="X1851" s="552"/>
      <c r="Y1851" s="552"/>
      <c r="Z1851" s="552"/>
      <c r="AA1851" s="553"/>
      <c r="AB1851" s="553"/>
    </row>
    <row r="1852" spans="1:28" ht="12.75">
      <c r="A1852" s="547" t="s">
        <v>608</v>
      </c>
      <c r="B1852" s="547" t="s">
        <v>182</v>
      </c>
      <c r="C1852" s="548" t="s">
        <v>811</v>
      </c>
      <c r="D1852" s="549">
        <v>2019</v>
      </c>
      <c r="E1852" s="549" t="s">
        <v>775</v>
      </c>
      <c r="F1852" s="550">
        <v>103</v>
      </c>
      <c r="G1852" s="550">
        <v>0</v>
      </c>
      <c r="H1852" s="550">
        <v>0</v>
      </c>
      <c r="I1852" s="550">
        <v>0</v>
      </c>
      <c r="J1852" s="550">
        <v>66</v>
      </c>
      <c r="K1852" s="550">
        <v>0</v>
      </c>
      <c r="L1852" s="550">
        <v>0</v>
      </c>
      <c r="M1852" s="550">
        <v>0</v>
      </c>
      <c r="N1852" s="550">
        <v>64</v>
      </c>
      <c r="O1852" s="550">
        <v>1</v>
      </c>
      <c r="P1852" s="550">
        <v>192</v>
      </c>
      <c r="Q1852" s="550">
        <v>9</v>
      </c>
      <c r="R1852" s="574" t="s">
        <v>608</v>
      </c>
      <c r="S1852" s="255">
        <f>SUM(G1851:G1852) +SUM(K1851:K1852)</f>
        <v>0</v>
      </c>
      <c r="T1852" s="255">
        <f>F1852+J1852</f>
        <v>169</v>
      </c>
      <c r="U1852" s="255">
        <f>SUM(O1851:O1852)</f>
        <v>1</v>
      </c>
      <c r="V1852" s="255">
        <f>N1852</f>
        <v>64</v>
      </c>
      <c r="W1852" s="83">
        <f>SUM(Q1851:Q1852)</f>
        <v>17</v>
      </c>
      <c r="X1852" s="255">
        <f>P1852</f>
        <v>192</v>
      </c>
      <c r="Y1852" s="255">
        <f>S1852+U1852+SUM(Q1851:Q1852)</f>
        <v>18</v>
      </c>
      <c r="Z1852" s="255">
        <f>F1852+J1852+N1852+P1852</f>
        <v>425</v>
      </c>
      <c r="AA1852" s="553"/>
      <c r="AB1852" s="553"/>
    </row>
    <row r="1853" spans="1:28" ht="12.75">
      <c r="A1853" s="547" t="s">
        <v>609</v>
      </c>
      <c r="B1853" s="547" t="s">
        <v>182</v>
      </c>
      <c r="C1853" s="548" t="s">
        <v>177</v>
      </c>
      <c r="D1853" s="549">
        <v>2016</v>
      </c>
      <c r="E1853" s="549" t="s">
        <v>775</v>
      </c>
      <c r="F1853" s="550">
        <v>1019</v>
      </c>
      <c r="G1853" s="550">
        <v>0</v>
      </c>
      <c r="H1853" s="550">
        <v>0</v>
      </c>
      <c r="I1853" s="550">
        <v>0</v>
      </c>
      <c r="J1853" s="550">
        <v>759</v>
      </c>
      <c r="K1853" s="550">
        <v>0</v>
      </c>
      <c r="L1853" s="550">
        <v>0</v>
      </c>
      <c r="M1853" s="550">
        <v>0</v>
      </c>
      <c r="N1853" s="550">
        <v>957</v>
      </c>
      <c r="O1853" s="550">
        <v>0</v>
      </c>
      <c r="P1853" s="550">
        <v>2421</v>
      </c>
      <c r="Q1853" s="550">
        <v>170</v>
      </c>
      <c r="R1853" s="574" t="s">
        <v>609</v>
      </c>
      <c r="S1853" s="552"/>
      <c r="T1853" s="552"/>
      <c r="U1853" s="552"/>
      <c r="V1853" s="552"/>
      <c r="W1853" s="552"/>
      <c r="X1853" s="552"/>
      <c r="Y1853" s="552"/>
      <c r="Z1853" s="552"/>
      <c r="AA1853" s="553"/>
      <c r="AB1853" s="553"/>
    </row>
    <row r="1854" spans="1:28" ht="12.75">
      <c r="A1854" s="547" t="s">
        <v>609</v>
      </c>
      <c r="B1854" s="547" t="s">
        <v>182</v>
      </c>
      <c r="C1854" s="548" t="s">
        <v>177</v>
      </c>
      <c r="D1854" s="549">
        <v>2017</v>
      </c>
      <c r="E1854" s="549" t="s">
        <v>775</v>
      </c>
      <c r="F1854" s="550">
        <v>1019</v>
      </c>
      <c r="G1854" s="550">
        <v>0</v>
      </c>
      <c r="H1854" s="550">
        <v>0</v>
      </c>
      <c r="I1854" s="550">
        <v>0</v>
      </c>
      <c r="J1854" s="550">
        <v>759</v>
      </c>
      <c r="K1854" s="550">
        <v>0</v>
      </c>
      <c r="L1854" s="550">
        <v>0</v>
      </c>
      <c r="M1854" s="550">
        <v>0</v>
      </c>
      <c r="N1854" s="550">
        <v>957</v>
      </c>
      <c r="O1854" s="550">
        <v>0</v>
      </c>
      <c r="P1854" s="550">
        <v>2421</v>
      </c>
      <c r="Q1854" s="550">
        <v>297</v>
      </c>
      <c r="R1854" s="574" t="s">
        <v>609</v>
      </c>
      <c r="S1854" s="552"/>
      <c r="T1854" s="552"/>
      <c r="U1854" s="552"/>
      <c r="V1854" s="552"/>
      <c r="W1854" s="552"/>
      <c r="X1854" s="552"/>
      <c r="Y1854" s="552"/>
      <c r="Z1854" s="552"/>
      <c r="AA1854" s="553"/>
      <c r="AB1854" s="553"/>
    </row>
    <row r="1855" spans="1:28" ht="12.75">
      <c r="A1855" s="547" t="s">
        <v>609</v>
      </c>
      <c r="B1855" s="547" t="s">
        <v>182</v>
      </c>
      <c r="C1855" s="548" t="s">
        <v>177</v>
      </c>
      <c r="D1855" s="549">
        <v>2018</v>
      </c>
      <c r="E1855" s="549" t="s">
        <v>775</v>
      </c>
      <c r="F1855" s="550">
        <v>1019</v>
      </c>
      <c r="G1855" s="550">
        <v>0</v>
      </c>
      <c r="H1855" s="550">
        <v>0</v>
      </c>
      <c r="I1855" s="550">
        <v>0</v>
      </c>
      <c r="J1855" s="550">
        <v>759</v>
      </c>
      <c r="K1855" s="550">
        <v>0</v>
      </c>
      <c r="L1855" s="550">
        <v>0</v>
      </c>
      <c r="M1855" s="550">
        <v>0</v>
      </c>
      <c r="N1855" s="550">
        <v>957</v>
      </c>
      <c r="O1855" s="550">
        <v>0</v>
      </c>
      <c r="P1855" s="550">
        <v>2421</v>
      </c>
      <c r="Q1855" s="550">
        <v>383</v>
      </c>
      <c r="R1855" s="574" t="s">
        <v>609</v>
      </c>
      <c r="S1855" s="552"/>
      <c r="T1855" s="552"/>
      <c r="U1855" s="552"/>
      <c r="V1855" s="552"/>
      <c r="W1855" s="552"/>
      <c r="X1855" s="552"/>
      <c r="Y1855" s="552"/>
      <c r="Z1855" s="552"/>
      <c r="AA1855" s="553"/>
      <c r="AB1855" s="553"/>
    </row>
    <row r="1856" spans="1:28" ht="12.75">
      <c r="A1856" s="547" t="s">
        <v>609</v>
      </c>
      <c r="B1856" s="547" t="s">
        <v>182</v>
      </c>
      <c r="C1856" s="548" t="s">
        <v>811</v>
      </c>
      <c r="D1856" s="549">
        <v>2019</v>
      </c>
      <c r="E1856" s="549" t="s">
        <v>775</v>
      </c>
      <c r="F1856" s="550">
        <v>1019</v>
      </c>
      <c r="G1856" s="550">
        <v>0</v>
      </c>
      <c r="H1856" s="550">
        <v>0</v>
      </c>
      <c r="I1856" s="550">
        <v>0</v>
      </c>
      <c r="J1856" s="550">
        <v>759</v>
      </c>
      <c r="K1856" s="550">
        <v>0</v>
      </c>
      <c r="L1856" s="550">
        <v>0</v>
      </c>
      <c r="M1856" s="550">
        <v>0</v>
      </c>
      <c r="N1856" s="550">
        <v>957</v>
      </c>
      <c r="O1856" s="550">
        <v>0</v>
      </c>
      <c r="P1856" s="550">
        <v>2421</v>
      </c>
      <c r="Q1856" s="550">
        <v>389</v>
      </c>
      <c r="R1856" s="574" t="s">
        <v>609</v>
      </c>
      <c r="S1856" s="255">
        <f>SUM(G1853:G1856) +SUM(K1853:K1856)</f>
        <v>0</v>
      </c>
      <c r="T1856" s="255">
        <f>F1856+J1856</f>
        <v>1778</v>
      </c>
      <c r="U1856" s="255">
        <f>SUM(O1853:O1856)</f>
        <v>0</v>
      </c>
      <c r="V1856" s="255">
        <f>N1856</f>
        <v>957</v>
      </c>
      <c r="W1856" s="83">
        <f>SUM(Q1853:Q1856)</f>
        <v>1239</v>
      </c>
      <c r="X1856" s="255">
        <f>P1856</f>
        <v>2421</v>
      </c>
      <c r="Y1856" s="255">
        <f>S1856+U1856+SUM(Q1853:Q1856)</f>
        <v>1239</v>
      </c>
      <c r="Z1856" s="255">
        <f>F1856+J1856+N1856+P1856</f>
        <v>5156</v>
      </c>
      <c r="AA1856" s="553"/>
      <c r="AB1856" s="553"/>
    </row>
    <row r="1857" spans="1:28" ht="12.75">
      <c r="A1857" s="547" t="s">
        <v>610</v>
      </c>
      <c r="B1857" s="547" t="s">
        <v>182</v>
      </c>
      <c r="C1857" s="548" t="s">
        <v>177</v>
      </c>
      <c r="D1857" s="549">
        <v>2017</v>
      </c>
      <c r="E1857" s="549" t="s">
        <v>775</v>
      </c>
      <c r="F1857" s="550">
        <v>497</v>
      </c>
      <c r="G1857" s="550">
        <v>52</v>
      </c>
      <c r="H1857" s="550">
        <v>52</v>
      </c>
      <c r="I1857" s="550">
        <v>0</v>
      </c>
      <c r="J1857" s="550">
        <v>331</v>
      </c>
      <c r="K1857" s="550">
        <v>27</v>
      </c>
      <c r="L1857" s="550">
        <v>27</v>
      </c>
      <c r="M1857" s="550">
        <v>0</v>
      </c>
      <c r="N1857" s="550">
        <v>333</v>
      </c>
      <c r="O1857" s="550">
        <v>0</v>
      </c>
      <c r="P1857" s="550">
        <v>770</v>
      </c>
      <c r="Q1857" s="550">
        <v>211</v>
      </c>
      <c r="R1857" s="574" t="s">
        <v>610</v>
      </c>
      <c r="S1857" s="552"/>
      <c r="T1857" s="552"/>
      <c r="U1857" s="552"/>
      <c r="V1857" s="552"/>
      <c r="W1857" s="552"/>
      <c r="X1857" s="552"/>
      <c r="Y1857" s="552"/>
      <c r="Z1857" s="552"/>
      <c r="AA1857" s="553"/>
      <c r="AB1857" s="553"/>
    </row>
    <row r="1858" spans="1:28" ht="12.75">
      <c r="A1858" s="547" t="s">
        <v>610</v>
      </c>
      <c r="B1858" s="547" t="s">
        <v>182</v>
      </c>
      <c r="C1858" s="548" t="s">
        <v>177</v>
      </c>
      <c r="D1858" s="549">
        <v>2018</v>
      </c>
      <c r="E1858" s="549" t="s">
        <v>775</v>
      </c>
      <c r="F1858" s="550">
        <v>497</v>
      </c>
      <c r="G1858" s="550">
        <v>0</v>
      </c>
      <c r="H1858" s="550">
        <v>0</v>
      </c>
      <c r="I1858" s="550">
        <v>0</v>
      </c>
      <c r="J1858" s="550">
        <v>331</v>
      </c>
      <c r="K1858" s="550">
        <v>0</v>
      </c>
      <c r="L1858" s="550">
        <v>0</v>
      </c>
      <c r="M1858" s="550">
        <v>0</v>
      </c>
      <c r="N1858" s="550">
        <v>333</v>
      </c>
      <c r="O1858" s="550">
        <v>48</v>
      </c>
      <c r="P1858" s="550">
        <v>770</v>
      </c>
      <c r="Q1858" s="550">
        <v>170</v>
      </c>
      <c r="R1858" s="574" t="s">
        <v>610</v>
      </c>
      <c r="S1858" s="255">
        <f>SUM(G1857:G1858) +SUM(K1857:K1858)</f>
        <v>79</v>
      </c>
      <c r="T1858" s="255">
        <f>F1858+J1858</f>
        <v>828</v>
      </c>
      <c r="U1858" s="255">
        <f>SUM(O1857:O1858)</f>
        <v>48</v>
      </c>
      <c r="V1858" s="255">
        <f>N1858</f>
        <v>333</v>
      </c>
      <c r="W1858" s="83">
        <f>SUM(Q1857:Q1858)</f>
        <v>381</v>
      </c>
      <c r="X1858" s="255">
        <f>P1858</f>
        <v>770</v>
      </c>
      <c r="Y1858" s="255">
        <f>S1858+U1858+SUM(Q1857:Q1858)</f>
        <v>508</v>
      </c>
      <c r="Z1858" s="255">
        <f>F1858+J1858+N1858+P1858</f>
        <v>1931</v>
      </c>
      <c r="AA1858" s="553"/>
      <c r="AB1858" s="553"/>
    </row>
    <row r="1859" spans="1:28" ht="12.75">
      <c r="A1859" s="547" t="s">
        <v>611</v>
      </c>
      <c r="B1859" s="547" t="s">
        <v>182</v>
      </c>
      <c r="C1859" s="548" t="s">
        <v>177</v>
      </c>
      <c r="D1859" s="549">
        <v>2018</v>
      </c>
      <c r="E1859" s="549" t="s">
        <v>775</v>
      </c>
      <c r="F1859" s="550">
        <v>925</v>
      </c>
      <c r="G1859" s="550">
        <v>4</v>
      </c>
      <c r="H1859" s="550">
        <v>0</v>
      </c>
      <c r="I1859" s="550">
        <v>4</v>
      </c>
      <c r="J1859" s="550">
        <v>693</v>
      </c>
      <c r="K1859" s="550">
        <v>5</v>
      </c>
      <c r="L1859" s="550">
        <v>0</v>
      </c>
      <c r="M1859" s="550">
        <v>5</v>
      </c>
      <c r="N1859" s="550">
        <v>825</v>
      </c>
      <c r="O1859" s="550">
        <v>4</v>
      </c>
      <c r="P1859" s="550">
        <v>1958</v>
      </c>
      <c r="Q1859" s="550">
        <v>476</v>
      </c>
      <c r="R1859" s="574" t="s">
        <v>611</v>
      </c>
      <c r="S1859" s="552"/>
      <c r="T1859" s="552"/>
      <c r="U1859" s="552"/>
      <c r="V1859" s="552"/>
      <c r="W1859" s="552"/>
      <c r="X1859" s="552"/>
      <c r="Y1859" s="552"/>
      <c r="Z1859" s="552"/>
      <c r="AA1859" s="553"/>
      <c r="AB1859" s="553"/>
    </row>
    <row r="1860" spans="1:28" ht="12.75">
      <c r="A1860" s="547" t="s">
        <v>611</v>
      </c>
      <c r="B1860" s="547" t="s">
        <v>182</v>
      </c>
      <c r="C1860" s="548" t="s">
        <v>811</v>
      </c>
      <c r="D1860" s="549">
        <v>2019</v>
      </c>
      <c r="E1860" s="549" t="s">
        <v>775</v>
      </c>
      <c r="F1860" s="550">
        <v>925</v>
      </c>
      <c r="G1860" s="550">
        <v>0</v>
      </c>
      <c r="H1860" s="550">
        <v>0</v>
      </c>
      <c r="I1860" s="550">
        <v>0</v>
      </c>
      <c r="J1860" s="550">
        <v>693</v>
      </c>
      <c r="K1860" s="550">
        <v>0</v>
      </c>
      <c r="L1860" s="550">
        <v>0</v>
      </c>
      <c r="M1860" s="550">
        <v>0</v>
      </c>
      <c r="N1860" s="550">
        <v>825</v>
      </c>
      <c r="O1860" s="550">
        <v>182</v>
      </c>
      <c r="P1860" s="550">
        <v>1958</v>
      </c>
      <c r="Q1860" s="550">
        <v>514</v>
      </c>
      <c r="R1860" s="574" t="s">
        <v>611</v>
      </c>
      <c r="S1860" s="255">
        <f>SUM(G1859:G1860) +SUM(K1859:K1860)</f>
        <v>9</v>
      </c>
      <c r="T1860" s="255">
        <f t="shared" ref="T1860:T1861" si="208">F1860+J1860</f>
        <v>1618</v>
      </c>
      <c r="U1860" s="255">
        <f>SUM(O1859:O1860)</f>
        <v>186</v>
      </c>
      <c r="V1860" s="255">
        <f t="shared" ref="V1860:V1861" si="209">N1860</f>
        <v>825</v>
      </c>
      <c r="W1860" s="83">
        <f>SUM(Q1859:Q1860)</f>
        <v>990</v>
      </c>
      <c r="X1860" s="255">
        <f t="shared" ref="X1860:X1861" si="210">P1860</f>
        <v>1958</v>
      </c>
      <c r="Y1860" s="255">
        <f>S1860+U1860+SUM(Q1859:Q1860)</f>
        <v>1185</v>
      </c>
      <c r="Z1860" s="255">
        <f t="shared" ref="Z1860:Z1861" si="211">F1860+J1860+N1860+P1860</f>
        <v>4401</v>
      </c>
      <c r="AA1860" s="553"/>
      <c r="AB1860" s="553"/>
    </row>
    <row r="1861" spans="1:28" ht="12.75">
      <c r="A1861" s="547" t="s">
        <v>612</v>
      </c>
      <c r="B1861" s="547" t="s">
        <v>182</v>
      </c>
      <c r="C1861" s="548" t="s">
        <v>811</v>
      </c>
      <c r="D1861" s="549">
        <v>2019</v>
      </c>
      <c r="E1861" s="549" t="s">
        <v>775</v>
      </c>
      <c r="F1861" s="550">
        <v>308</v>
      </c>
      <c r="G1861" s="550">
        <v>0</v>
      </c>
      <c r="H1861" s="550">
        <v>0</v>
      </c>
      <c r="I1861" s="550">
        <v>0</v>
      </c>
      <c r="J1861" s="550">
        <v>215</v>
      </c>
      <c r="K1861" s="550">
        <v>0</v>
      </c>
      <c r="L1861" s="550">
        <v>0</v>
      </c>
      <c r="M1861" s="550">
        <v>0</v>
      </c>
      <c r="N1861" s="550">
        <v>231</v>
      </c>
      <c r="O1861" s="550">
        <v>0</v>
      </c>
      <c r="P1861" s="550">
        <v>726</v>
      </c>
      <c r="Q1861" s="550">
        <v>71</v>
      </c>
      <c r="R1861" s="574" t="s">
        <v>612</v>
      </c>
      <c r="S1861" s="552">
        <f>G1861</f>
        <v>0</v>
      </c>
      <c r="T1861" s="255">
        <f t="shared" si="208"/>
        <v>523</v>
      </c>
      <c r="U1861" s="552">
        <f>O1861</f>
        <v>0</v>
      </c>
      <c r="V1861" s="255">
        <f t="shared" si="209"/>
        <v>231</v>
      </c>
      <c r="W1861" s="552">
        <f>Q1861</f>
        <v>71</v>
      </c>
      <c r="X1861" s="255">
        <f t="shared" si="210"/>
        <v>726</v>
      </c>
      <c r="Y1861" s="552">
        <f>S1861+U1861+W1861</f>
        <v>71</v>
      </c>
      <c r="Z1861" s="255">
        <f t="shared" si="211"/>
        <v>1480</v>
      </c>
      <c r="AA1861" s="553"/>
      <c r="AB1861" s="553"/>
    </row>
    <row r="1862" spans="1:28" ht="12.75">
      <c r="A1862" s="547" t="s">
        <v>613</v>
      </c>
      <c r="B1862" s="547" t="s">
        <v>182</v>
      </c>
      <c r="C1862" s="548" t="s">
        <v>177</v>
      </c>
      <c r="D1862" s="549">
        <v>2015</v>
      </c>
      <c r="E1862" s="549" t="s">
        <v>775</v>
      </c>
      <c r="F1862" s="550">
        <v>2496</v>
      </c>
      <c r="G1862" s="550">
        <v>10</v>
      </c>
      <c r="H1862" s="550">
        <v>0</v>
      </c>
      <c r="I1862" s="550">
        <v>10</v>
      </c>
      <c r="J1862" s="550">
        <v>1727</v>
      </c>
      <c r="K1862" s="550">
        <v>56</v>
      </c>
      <c r="L1862" s="550">
        <v>10</v>
      </c>
      <c r="M1862" s="550">
        <v>46</v>
      </c>
      <c r="N1862" s="550">
        <v>1724</v>
      </c>
      <c r="O1862" s="550">
        <v>90</v>
      </c>
      <c r="P1862" s="550">
        <v>4220</v>
      </c>
      <c r="Q1862" s="550">
        <v>183</v>
      </c>
      <c r="R1862" s="574" t="s">
        <v>613</v>
      </c>
      <c r="S1862" s="552"/>
      <c r="T1862" s="552"/>
      <c r="U1862" s="552"/>
      <c r="V1862" s="552"/>
      <c r="W1862" s="552"/>
      <c r="X1862" s="552"/>
      <c r="Y1862" s="552"/>
      <c r="Z1862" s="552"/>
      <c r="AA1862" s="553"/>
      <c r="AB1862" s="553"/>
    </row>
    <row r="1863" spans="1:28" ht="12.75">
      <c r="A1863" s="547" t="s">
        <v>613</v>
      </c>
      <c r="B1863" s="547" t="s">
        <v>182</v>
      </c>
      <c r="C1863" s="548" t="s">
        <v>177</v>
      </c>
      <c r="D1863" s="549">
        <v>2016</v>
      </c>
      <c r="E1863" s="549" t="s">
        <v>775</v>
      </c>
      <c r="F1863" s="550">
        <v>2496</v>
      </c>
      <c r="G1863" s="550">
        <v>1</v>
      </c>
      <c r="H1863" s="550">
        <v>0</v>
      </c>
      <c r="I1863" s="550">
        <v>1</v>
      </c>
      <c r="J1863" s="550">
        <v>1727</v>
      </c>
      <c r="K1863" s="550">
        <v>134</v>
      </c>
      <c r="L1863" s="550">
        <v>0</v>
      </c>
      <c r="M1863" s="550">
        <v>134</v>
      </c>
      <c r="N1863" s="550">
        <v>1724</v>
      </c>
      <c r="O1863" s="550">
        <v>96</v>
      </c>
      <c r="P1863" s="550">
        <v>4220</v>
      </c>
      <c r="Q1863" s="550">
        <v>234</v>
      </c>
      <c r="R1863" s="574" t="s">
        <v>613</v>
      </c>
      <c r="S1863" s="552"/>
      <c r="T1863" s="552"/>
      <c r="U1863" s="552"/>
      <c r="V1863" s="552"/>
      <c r="W1863" s="552"/>
      <c r="X1863" s="552"/>
      <c r="Y1863" s="552"/>
      <c r="Z1863" s="552"/>
      <c r="AA1863" s="553"/>
      <c r="AB1863" s="553"/>
    </row>
    <row r="1864" spans="1:28" ht="12.75">
      <c r="A1864" s="547" t="s">
        <v>613</v>
      </c>
      <c r="B1864" s="547" t="s">
        <v>182</v>
      </c>
      <c r="C1864" s="548" t="s">
        <v>177</v>
      </c>
      <c r="D1864" s="549">
        <v>2017</v>
      </c>
      <c r="E1864" s="549" t="s">
        <v>775</v>
      </c>
      <c r="F1864" s="550">
        <v>2496</v>
      </c>
      <c r="G1864" s="550">
        <v>0</v>
      </c>
      <c r="H1864" s="550">
        <v>0</v>
      </c>
      <c r="I1864" s="550">
        <v>0</v>
      </c>
      <c r="J1864" s="550">
        <v>1727</v>
      </c>
      <c r="K1864" s="550">
        <v>70</v>
      </c>
      <c r="L1864" s="550">
        <v>70</v>
      </c>
      <c r="M1864" s="550">
        <v>0</v>
      </c>
      <c r="N1864" s="550">
        <v>1724</v>
      </c>
      <c r="O1864" s="550">
        <v>93</v>
      </c>
      <c r="P1864" s="550">
        <v>4220</v>
      </c>
      <c r="Q1864" s="550">
        <v>180</v>
      </c>
      <c r="R1864" s="574" t="s">
        <v>613</v>
      </c>
      <c r="S1864" s="552"/>
      <c r="T1864" s="552"/>
      <c r="U1864" s="552"/>
      <c r="V1864" s="552"/>
      <c r="W1864" s="552"/>
      <c r="X1864" s="552"/>
      <c r="Y1864" s="552"/>
      <c r="Z1864" s="552"/>
      <c r="AA1864" s="553"/>
      <c r="AB1864" s="553"/>
    </row>
    <row r="1865" spans="1:28" ht="12.75">
      <c r="A1865" s="547" t="s">
        <v>613</v>
      </c>
      <c r="B1865" s="547" t="s">
        <v>182</v>
      </c>
      <c r="C1865" s="548" t="s">
        <v>811</v>
      </c>
      <c r="D1865" s="549">
        <v>2019</v>
      </c>
      <c r="E1865" s="549" t="s">
        <v>775</v>
      </c>
      <c r="F1865" s="550">
        <v>2496</v>
      </c>
      <c r="G1865" s="550">
        <v>26</v>
      </c>
      <c r="H1865" s="550">
        <v>0</v>
      </c>
      <c r="I1865" s="550">
        <v>26</v>
      </c>
      <c r="J1865" s="550">
        <v>1727</v>
      </c>
      <c r="K1865" s="550">
        <v>90</v>
      </c>
      <c r="L1865" s="550">
        <v>2</v>
      </c>
      <c r="M1865" s="550">
        <v>88</v>
      </c>
      <c r="N1865" s="550">
        <v>1724</v>
      </c>
      <c r="O1865" s="550">
        <v>225</v>
      </c>
      <c r="P1865" s="550">
        <v>4220</v>
      </c>
      <c r="Q1865" s="550">
        <v>363</v>
      </c>
      <c r="R1865" s="574" t="s">
        <v>613</v>
      </c>
      <c r="S1865" s="255">
        <f>SUM(G1862:G1865) +SUM(K1862:K1865)</f>
        <v>387</v>
      </c>
      <c r="T1865" s="255">
        <f>F1865+J1865</f>
        <v>4223</v>
      </c>
      <c r="U1865" s="255">
        <f>SUM(O1862:O1865)</f>
        <v>504</v>
      </c>
      <c r="V1865" s="255">
        <f>N1865</f>
        <v>1724</v>
      </c>
      <c r="W1865" s="83">
        <f>SUM(Q1862:Q1865)</f>
        <v>960</v>
      </c>
      <c r="X1865" s="255">
        <f>P1865</f>
        <v>4220</v>
      </c>
      <c r="Y1865" s="255">
        <f>S1865+U1865+SUM(Q1862:Q1865)</f>
        <v>1851</v>
      </c>
      <c r="Z1865" s="255">
        <f>F1865+J1865+N1865+P1865</f>
        <v>10167</v>
      </c>
      <c r="AA1865" s="553"/>
      <c r="AB1865" s="553"/>
    </row>
    <row r="1866" spans="1:28" ht="12.75">
      <c r="A1866" s="547" t="s">
        <v>614</v>
      </c>
      <c r="B1866" s="547" t="s">
        <v>182</v>
      </c>
      <c r="C1866" s="548" t="s">
        <v>177</v>
      </c>
      <c r="D1866" s="549">
        <v>2017</v>
      </c>
      <c r="E1866" s="549" t="s">
        <v>775</v>
      </c>
      <c r="F1866" s="550">
        <v>3157</v>
      </c>
      <c r="G1866" s="550">
        <v>164</v>
      </c>
      <c r="H1866" s="550">
        <v>164</v>
      </c>
      <c r="I1866" s="550">
        <v>0</v>
      </c>
      <c r="J1866" s="550">
        <v>2004</v>
      </c>
      <c r="K1866" s="550">
        <v>0</v>
      </c>
      <c r="L1866" s="550">
        <v>0</v>
      </c>
      <c r="M1866" s="550">
        <v>0</v>
      </c>
      <c r="N1866" s="550">
        <v>2103</v>
      </c>
      <c r="O1866" s="550">
        <v>47</v>
      </c>
      <c r="P1866" s="550">
        <v>4560</v>
      </c>
      <c r="Q1866" s="550">
        <v>175</v>
      </c>
      <c r="R1866" s="574" t="s">
        <v>614</v>
      </c>
      <c r="S1866" s="552"/>
      <c r="T1866" s="552"/>
      <c r="U1866" s="552"/>
      <c r="V1866" s="552"/>
      <c r="W1866" s="552"/>
      <c r="X1866" s="552"/>
      <c r="Y1866" s="552"/>
      <c r="Z1866" s="552"/>
      <c r="AA1866" s="553"/>
      <c r="AB1866" s="553"/>
    </row>
    <row r="1867" spans="1:28" ht="12.75">
      <c r="A1867" s="547" t="s">
        <v>614</v>
      </c>
      <c r="B1867" s="547" t="s">
        <v>182</v>
      </c>
      <c r="C1867" s="548" t="s">
        <v>177</v>
      </c>
      <c r="D1867" s="549">
        <v>2018</v>
      </c>
      <c r="E1867" s="549" t="s">
        <v>775</v>
      </c>
      <c r="F1867" s="550">
        <v>3157</v>
      </c>
      <c r="G1867" s="550">
        <v>0</v>
      </c>
      <c r="H1867" s="550">
        <v>0</v>
      </c>
      <c r="I1867" s="550">
        <v>0</v>
      </c>
      <c r="J1867" s="550">
        <v>2004</v>
      </c>
      <c r="K1867" s="550">
        <v>4</v>
      </c>
      <c r="L1867" s="550">
        <v>0</v>
      </c>
      <c r="M1867" s="550">
        <v>4</v>
      </c>
      <c r="N1867" s="550">
        <v>2103</v>
      </c>
      <c r="O1867" s="550">
        <v>80</v>
      </c>
      <c r="P1867" s="550">
        <v>4560</v>
      </c>
      <c r="Q1867" s="550">
        <v>243</v>
      </c>
      <c r="R1867" s="574" t="s">
        <v>614</v>
      </c>
      <c r="S1867" s="552"/>
      <c r="T1867" s="552"/>
      <c r="U1867" s="552"/>
      <c r="V1867" s="552"/>
      <c r="W1867" s="552"/>
      <c r="X1867" s="552"/>
      <c r="Y1867" s="552"/>
      <c r="Z1867" s="552"/>
      <c r="AA1867" s="553"/>
      <c r="AB1867" s="553"/>
    </row>
    <row r="1868" spans="1:28" ht="12.75">
      <c r="A1868" s="547" t="s">
        <v>614</v>
      </c>
      <c r="B1868" s="547" t="s">
        <v>182</v>
      </c>
      <c r="C1868" s="548" t="s">
        <v>811</v>
      </c>
      <c r="D1868" s="549">
        <v>2019</v>
      </c>
      <c r="E1868" s="549" t="s">
        <v>775</v>
      </c>
      <c r="F1868" s="550">
        <v>3157</v>
      </c>
      <c r="G1868" s="550">
        <v>118</v>
      </c>
      <c r="H1868" s="550">
        <v>118</v>
      </c>
      <c r="I1868" s="550">
        <v>0</v>
      </c>
      <c r="J1868" s="550">
        <v>2004</v>
      </c>
      <c r="K1868" s="550">
        <v>4</v>
      </c>
      <c r="L1868" s="550">
        <v>0</v>
      </c>
      <c r="M1868" s="550">
        <v>4</v>
      </c>
      <c r="N1868" s="550">
        <v>2103</v>
      </c>
      <c r="O1868" s="550">
        <v>457</v>
      </c>
      <c r="P1868" s="550">
        <v>4560</v>
      </c>
      <c r="Q1868" s="550">
        <v>0</v>
      </c>
      <c r="R1868" s="574" t="s">
        <v>614</v>
      </c>
      <c r="S1868" s="255">
        <f>SUM(G1866:G1868) +SUM(K1866:K1868)</f>
        <v>290</v>
      </c>
      <c r="T1868" s="255">
        <f>F1868+J1868</f>
        <v>5161</v>
      </c>
      <c r="U1868" s="255">
        <f>SUM(O1866:O1868)</f>
        <v>584</v>
      </c>
      <c r="V1868" s="255">
        <f>N1868</f>
        <v>2103</v>
      </c>
      <c r="W1868" s="83">
        <f>SUM(Q1866:Q1868)</f>
        <v>418</v>
      </c>
      <c r="X1868" s="255">
        <f>P1868</f>
        <v>4560</v>
      </c>
      <c r="Y1868" s="255">
        <f>S1868+U1868+SUM(Q1866:Q1868)</f>
        <v>1292</v>
      </c>
      <c r="Z1868" s="255">
        <f>F1868+J1868+N1868+P1868</f>
        <v>11824</v>
      </c>
      <c r="AA1868" s="553"/>
      <c r="AB1868" s="553"/>
    </row>
    <row r="1869" spans="1:28" ht="12.75">
      <c r="A1869" s="547" t="s">
        <v>615</v>
      </c>
      <c r="B1869" s="547" t="s">
        <v>182</v>
      </c>
      <c r="C1869" s="548" t="s">
        <v>177</v>
      </c>
      <c r="D1869" s="549">
        <v>2015</v>
      </c>
      <c r="E1869" s="549" t="s">
        <v>775</v>
      </c>
      <c r="F1869" s="550">
        <v>980</v>
      </c>
      <c r="G1869" s="550">
        <v>0</v>
      </c>
      <c r="H1869" s="550">
        <v>0</v>
      </c>
      <c r="I1869" s="550">
        <v>0</v>
      </c>
      <c r="J1869" s="550">
        <v>705</v>
      </c>
      <c r="K1869" s="550">
        <v>0</v>
      </c>
      <c r="L1869" s="550">
        <v>0</v>
      </c>
      <c r="M1869" s="550">
        <v>0</v>
      </c>
      <c r="N1869" s="550">
        <v>828</v>
      </c>
      <c r="O1869" s="550">
        <v>0</v>
      </c>
      <c r="P1869" s="550">
        <v>2463</v>
      </c>
      <c r="Q1869" s="550">
        <v>0</v>
      </c>
      <c r="R1869" s="574" t="s">
        <v>615</v>
      </c>
      <c r="S1869" s="552"/>
      <c r="T1869" s="552"/>
      <c r="U1869" s="552"/>
      <c r="V1869" s="552"/>
      <c r="W1869" s="552"/>
      <c r="X1869" s="552"/>
      <c r="Y1869" s="552"/>
      <c r="Z1869" s="552"/>
      <c r="AA1869" s="553"/>
      <c r="AB1869" s="553"/>
    </row>
    <row r="1870" spans="1:28" ht="12.75">
      <c r="A1870" s="547" t="s">
        <v>615</v>
      </c>
      <c r="B1870" s="547" t="s">
        <v>182</v>
      </c>
      <c r="C1870" s="548" t="s">
        <v>177</v>
      </c>
      <c r="D1870" s="549">
        <v>2016</v>
      </c>
      <c r="E1870" s="549" t="s">
        <v>775</v>
      </c>
      <c r="F1870" s="550">
        <v>980</v>
      </c>
      <c r="G1870" s="550">
        <v>0</v>
      </c>
      <c r="H1870" s="550">
        <v>0</v>
      </c>
      <c r="I1870" s="550">
        <v>0</v>
      </c>
      <c r="J1870" s="550">
        <v>705</v>
      </c>
      <c r="K1870" s="550">
        <v>0</v>
      </c>
      <c r="L1870" s="550">
        <v>0</v>
      </c>
      <c r="M1870" s="550">
        <v>0</v>
      </c>
      <c r="N1870" s="550">
        <v>828</v>
      </c>
      <c r="O1870" s="550">
        <v>2</v>
      </c>
      <c r="P1870" s="550">
        <v>2463</v>
      </c>
      <c r="Q1870" s="550">
        <v>1003</v>
      </c>
      <c r="R1870" s="574" t="s">
        <v>615</v>
      </c>
      <c r="S1870" s="552"/>
      <c r="T1870" s="552"/>
      <c r="U1870" s="552"/>
      <c r="V1870" s="552"/>
      <c r="W1870" s="552"/>
      <c r="X1870" s="552"/>
      <c r="Y1870" s="552"/>
      <c r="Z1870" s="552"/>
      <c r="AA1870" s="553"/>
      <c r="AB1870" s="553"/>
    </row>
    <row r="1871" spans="1:28" ht="12.75">
      <c r="A1871" s="547" t="s">
        <v>615</v>
      </c>
      <c r="B1871" s="547" t="s">
        <v>182</v>
      </c>
      <c r="C1871" s="548" t="s">
        <v>177</v>
      </c>
      <c r="D1871" s="549">
        <v>2017</v>
      </c>
      <c r="E1871" s="549" t="s">
        <v>775</v>
      </c>
      <c r="F1871" s="550">
        <v>980</v>
      </c>
      <c r="G1871" s="550">
        <v>0</v>
      </c>
      <c r="H1871" s="550">
        <v>0</v>
      </c>
      <c r="I1871" s="550">
        <v>0</v>
      </c>
      <c r="J1871" s="550">
        <v>705</v>
      </c>
      <c r="K1871" s="550">
        <v>0</v>
      </c>
      <c r="L1871" s="550">
        <v>0</v>
      </c>
      <c r="M1871" s="550">
        <v>0</v>
      </c>
      <c r="N1871" s="550">
        <v>828</v>
      </c>
      <c r="O1871" s="550">
        <v>3</v>
      </c>
      <c r="P1871" s="550">
        <v>2463</v>
      </c>
      <c r="Q1871" s="550">
        <v>301</v>
      </c>
      <c r="R1871" s="574" t="s">
        <v>615</v>
      </c>
      <c r="S1871" s="552"/>
      <c r="T1871" s="552"/>
      <c r="U1871" s="552"/>
      <c r="V1871" s="552"/>
      <c r="W1871" s="552"/>
      <c r="X1871" s="552"/>
      <c r="Y1871" s="552"/>
      <c r="Z1871" s="552"/>
      <c r="AA1871" s="553"/>
      <c r="AB1871" s="553"/>
    </row>
    <row r="1872" spans="1:28" ht="12.75">
      <c r="A1872" s="547" t="s">
        <v>615</v>
      </c>
      <c r="B1872" s="547" t="s">
        <v>182</v>
      </c>
      <c r="C1872" s="548" t="s">
        <v>177</v>
      </c>
      <c r="D1872" s="549">
        <v>2018</v>
      </c>
      <c r="E1872" s="549" t="s">
        <v>775</v>
      </c>
      <c r="F1872" s="550">
        <v>980</v>
      </c>
      <c r="G1872" s="550">
        <v>0</v>
      </c>
      <c r="H1872" s="550">
        <v>0</v>
      </c>
      <c r="I1872" s="550">
        <v>0</v>
      </c>
      <c r="J1872" s="550">
        <v>705</v>
      </c>
      <c r="K1872" s="550">
        <v>0</v>
      </c>
      <c r="L1872" s="550">
        <v>0</v>
      </c>
      <c r="M1872" s="550">
        <v>0</v>
      </c>
      <c r="N1872" s="550">
        <v>828</v>
      </c>
      <c r="O1872" s="550">
        <v>7</v>
      </c>
      <c r="P1872" s="550">
        <v>2463</v>
      </c>
      <c r="Q1872" s="550">
        <v>1146</v>
      </c>
      <c r="R1872" s="574" t="s">
        <v>615</v>
      </c>
      <c r="S1872" s="552"/>
      <c r="T1872" s="552"/>
      <c r="U1872" s="552"/>
      <c r="V1872" s="552"/>
      <c r="W1872" s="552"/>
      <c r="X1872" s="552"/>
      <c r="Y1872" s="552"/>
      <c r="Z1872" s="552"/>
      <c r="AA1872" s="553"/>
      <c r="AB1872" s="553"/>
    </row>
    <row r="1873" spans="1:28" ht="12.75">
      <c r="A1873" s="547" t="s">
        <v>615</v>
      </c>
      <c r="B1873" s="547" t="s">
        <v>182</v>
      </c>
      <c r="C1873" s="548" t="s">
        <v>811</v>
      </c>
      <c r="D1873" s="549">
        <v>2019</v>
      </c>
      <c r="E1873" s="549" t="s">
        <v>775</v>
      </c>
      <c r="F1873" s="550">
        <v>980</v>
      </c>
      <c r="G1873" s="550">
        <v>0</v>
      </c>
      <c r="H1873" s="550">
        <v>0</v>
      </c>
      <c r="I1873" s="550">
        <v>0</v>
      </c>
      <c r="J1873" s="550">
        <v>705</v>
      </c>
      <c r="K1873" s="550">
        <v>0</v>
      </c>
      <c r="L1873" s="550">
        <v>0</v>
      </c>
      <c r="M1873" s="550">
        <v>0</v>
      </c>
      <c r="N1873" s="550">
        <v>828</v>
      </c>
      <c r="O1873" s="550">
        <v>40</v>
      </c>
      <c r="P1873" s="550">
        <v>2463</v>
      </c>
      <c r="Q1873" s="550">
        <v>748</v>
      </c>
      <c r="R1873" s="574" t="s">
        <v>615</v>
      </c>
      <c r="S1873" s="561">
        <f>SUM(G1869:G1873) +SUM(K1869:K1873)</f>
        <v>0</v>
      </c>
      <c r="T1873" s="561">
        <f>F1873+J1873</f>
        <v>1685</v>
      </c>
      <c r="U1873" s="561">
        <f>SUM(O1869:O1873)</f>
        <v>52</v>
      </c>
      <c r="V1873" s="561">
        <f>N1873</f>
        <v>828</v>
      </c>
      <c r="W1873" s="562">
        <f>SUM(Q1869:Q1873)</f>
        <v>3198</v>
      </c>
      <c r="X1873" s="561">
        <f>P1873</f>
        <v>2463</v>
      </c>
      <c r="Y1873" s="561">
        <f>S1873+U1873+SUM(Q1869:Q1873)</f>
        <v>3250</v>
      </c>
      <c r="Z1873" s="561">
        <f>F1873+J1873+N1873+P1873</f>
        <v>4976</v>
      </c>
      <c r="AA1873" s="553"/>
      <c r="AB1873" s="553"/>
    </row>
    <row r="1874" spans="1:28" ht="12.75">
      <c r="A1874" s="547"/>
      <c r="B1874" s="547"/>
      <c r="C1874" s="548"/>
      <c r="D1874" s="549"/>
      <c r="E1874" s="549"/>
      <c r="F1874" s="550"/>
      <c r="G1874" s="550"/>
      <c r="H1874" s="550"/>
      <c r="I1874" s="550"/>
      <c r="J1874" s="550"/>
      <c r="K1874" s="550"/>
      <c r="L1874" s="550"/>
      <c r="M1874" s="550"/>
      <c r="N1874" s="550"/>
      <c r="O1874" s="550"/>
      <c r="P1874" s="550"/>
      <c r="Q1874" s="550"/>
      <c r="R1874" s="574"/>
      <c r="S1874" s="563">
        <f t="shared" ref="S1874:Z1874" si="212">SUM(S1851:S1873)</f>
        <v>765</v>
      </c>
      <c r="T1874" s="563">
        <f t="shared" si="212"/>
        <v>15985</v>
      </c>
      <c r="U1874" s="563">
        <f t="shared" si="212"/>
        <v>1375</v>
      </c>
      <c r="V1874" s="563">
        <f t="shared" si="212"/>
        <v>7065</v>
      </c>
      <c r="W1874" s="563">
        <f t="shared" si="212"/>
        <v>7274</v>
      </c>
      <c r="X1874" s="563">
        <f t="shared" si="212"/>
        <v>17310</v>
      </c>
      <c r="Y1874" s="563">
        <f t="shared" si="212"/>
        <v>9414</v>
      </c>
      <c r="Z1874" s="563">
        <f t="shared" si="212"/>
        <v>40360</v>
      </c>
      <c r="AA1874" s="553"/>
      <c r="AB1874" s="553"/>
    </row>
    <row r="1875" spans="1:28" ht="12.75">
      <c r="A1875" s="547" t="s">
        <v>616</v>
      </c>
      <c r="B1875" s="547" t="s">
        <v>183</v>
      </c>
      <c r="C1875" s="548" t="s">
        <v>784</v>
      </c>
      <c r="D1875" s="549">
        <v>2017</v>
      </c>
      <c r="E1875" s="549" t="s">
        <v>775</v>
      </c>
      <c r="F1875" s="550">
        <v>60</v>
      </c>
      <c r="G1875" s="550">
        <v>0</v>
      </c>
      <c r="H1875" s="550">
        <v>0</v>
      </c>
      <c r="I1875" s="550">
        <v>0</v>
      </c>
      <c r="J1875" s="550">
        <v>38</v>
      </c>
      <c r="K1875" s="550">
        <v>4</v>
      </c>
      <c r="L1875" s="550">
        <v>0</v>
      </c>
      <c r="M1875" s="550">
        <v>4</v>
      </c>
      <c r="N1875" s="550">
        <v>43</v>
      </c>
      <c r="O1875" s="550">
        <v>0</v>
      </c>
      <c r="P1875" s="550">
        <v>101</v>
      </c>
      <c r="Q1875" s="550">
        <v>37</v>
      </c>
      <c r="R1875" s="574" t="s">
        <v>616</v>
      </c>
      <c r="S1875" s="552"/>
      <c r="T1875" s="552"/>
      <c r="U1875" s="552"/>
      <c r="V1875" s="552"/>
      <c r="W1875" s="552"/>
      <c r="X1875" s="552"/>
      <c r="Y1875" s="552"/>
      <c r="Z1875" s="552"/>
      <c r="AA1875" s="553"/>
      <c r="AB1875" s="553"/>
    </row>
    <row r="1876" spans="1:28" ht="12.75">
      <c r="A1876" s="547" t="s">
        <v>616</v>
      </c>
      <c r="B1876" s="547" t="s">
        <v>183</v>
      </c>
      <c r="C1876" s="548" t="s">
        <v>784</v>
      </c>
      <c r="D1876" s="549">
        <v>2018</v>
      </c>
      <c r="E1876" s="549" t="s">
        <v>775</v>
      </c>
      <c r="F1876" s="550">
        <v>60</v>
      </c>
      <c r="G1876" s="550">
        <v>0</v>
      </c>
      <c r="H1876" s="550">
        <v>0</v>
      </c>
      <c r="I1876" s="550">
        <v>0</v>
      </c>
      <c r="J1876" s="550">
        <v>38</v>
      </c>
      <c r="K1876" s="550">
        <v>13</v>
      </c>
      <c r="L1876" s="550">
        <v>0</v>
      </c>
      <c r="M1876" s="550">
        <v>13</v>
      </c>
      <c r="N1876" s="550">
        <v>43</v>
      </c>
      <c r="O1876" s="550">
        <v>0</v>
      </c>
      <c r="P1876" s="550">
        <v>101</v>
      </c>
      <c r="Q1876" s="550">
        <v>22</v>
      </c>
      <c r="R1876" s="574" t="s">
        <v>616</v>
      </c>
      <c r="S1876" s="552"/>
      <c r="T1876" s="552"/>
      <c r="U1876" s="552"/>
      <c r="V1876" s="552"/>
      <c r="W1876" s="552"/>
      <c r="X1876" s="552"/>
      <c r="Y1876" s="552"/>
      <c r="Z1876" s="552"/>
      <c r="AA1876" s="553"/>
      <c r="AB1876" s="553"/>
    </row>
    <row r="1877" spans="1:28" ht="12.75">
      <c r="A1877" s="547" t="s">
        <v>616</v>
      </c>
      <c r="B1877" s="547" t="s">
        <v>183</v>
      </c>
      <c r="C1877" s="548" t="s">
        <v>785</v>
      </c>
      <c r="D1877" s="549">
        <v>2019</v>
      </c>
      <c r="E1877" s="549" t="s">
        <v>775</v>
      </c>
      <c r="F1877" s="550">
        <v>60</v>
      </c>
      <c r="G1877" s="550">
        <v>0</v>
      </c>
      <c r="H1877" s="550">
        <v>0</v>
      </c>
      <c r="I1877" s="550">
        <v>0</v>
      </c>
      <c r="J1877" s="550">
        <v>38</v>
      </c>
      <c r="K1877" s="550">
        <v>20</v>
      </c>
      <c r="L1877" s="550">
        <v>20</v>
      </c>
      <c r="M1877" s="550">
        <v>0</v>
      </c>
      <c r="N1877" s="550">
        <v>43</v>
      </c>
      <c r="O1877" s="550">
        <v>0</v>
      </c>
      <c r="P1877" s="550">
        <v>101</v>
      </c>
      <c r="Q1877" s="550">
        <v>49</v>
      </c>
      <c r="R1877" s="574" t="s">
        <v>616</v>
      </c>
      <c r="S1877" s="255">
        <f>SUM(G1875:G1877) +SUM(K1875:K1877)</f>
        <v>37</v>
      </c>
      <c r="T1877" s="255">
        <f>F1877+J1877</f>
        <v>98</v>
      </c>
      <c r="U1877" s="255">
        <f>SUM(O1875:O1877)</f>
        <v>0</v>
      </c>
      <c r="V1877" s="255">
        <f>N1877</f>
        <v>43</v>
      </c>
      <c r="W1877" s="83">
        <f>SUM(Q1875:Q1877)</f>
        <v>108</v>
      </c>
      <c r="X1877" s="255">
        <f>P1877</f>
        <v>101</v>
      </c>
      <c r="Y1877" s="255">
        <f>S1877+U1877+SUM(Q1875:Q1877)</f>
        <v>145</v>
      </c>
      <c r="Z1877" s="255">
        <f>F1877+J1877+N1877+P1877</f>
        <v>242</v>
      </c>
      <c r="AA1877" s="553"/>
      <c r="AB1877" s="553"/>
    </row>
    <row r="1878" spans="1:28" ht="12.75">
      <c r="A1878" s="547" t="s">
        <v>617</v>
      </c>
      <c r="B1878" s="547" t="s">
        <v>183</v>
      </c>
      <c r="C1878" s="548" t="s">
        <v>784</v>
      </c>
      <c r="D1878" s="549">
        <v>2014</v>
      </c>
      <c r="E1878" s="549" t="s">
        <v>775</v>
      </c>
      <c r="F1878" s="550">
        <v>98</v>
      </c>
      <c r="G1878" s="550">
        <v>2</v>
      </c>
      <c r="H1878" s="550">
        <v>2</v>
      </c>
      <c r="I1878" s="550">
        <v>0</v>
      </c>
      <c r="J1878" s="550">
        <v>62</v>
      </c>
      <c r="K1878" s="550">
        <v>1</v>
      </c>
      <c r="L1878" s="550">
        <v>1</v>
      </c>
      <c r="M1878" s="550">
        <v>0</v>
      </c>
      <c r="N1878" s="550">
        <v>69</v>
      </c>
      <c r="O1878" s="550">
        <v>76</v>
      </c>
      <c r="P1878" s="550">
        <v>164</v>
      </c>
      <c r="Q1878" s="550">
        <v>106</v>
      </c>
      <c r="R1878" s="574" t="s">
        <v>617</v>
      </c>
      <c r="S1878" s="552"/>
      <c r="T1878" s="552"/>
      <c r="U1878" s="552"/>
      <c r="V1878" s="552"/>
      <c r="W1878" s="552"/>
      <c r="X1878" s="552"/>
      <c r="Y1878" s="552"/>
      <c r="Z1878" s="552"/>
      <c r="AA1878" s="553"/>
      <c r="AB1878" s="553"/>
    </row>
    <row r="1879" spans="1:28" ht="12.75">
      <c r="A1879" s="547" t="s">
        <v>617</v>
      </c>
      <c r="B1879" s="547" t="s">
        <v>183</v>
      </c>
      <c r="C1879" s="548" t="s">
        <v>784</v>
      </c>
      <c r="D1879" s="549">
        <v>2015</v>
      </c>
      <c r="E1879" s="549" t="s">
        <v>775</v>
      </c>
      <c r="F1879" s="550">
        <v>98</v>
      </c>
      <c r="G1879" s="550">
        <v>1</v>
      </c>
      <c r="H1879" s="550">
        <v>1</v>
      </c>
      <c r="I1879" s="550">
        <v>0</v>
      </c>
      <c r="J1879" s="550">
        <v>62</v>
      </c>
      <c r="K1879" s="550">
        <v>0</v>
      </c>
      <c r="L1879" s="550">
        <v>0</v>
      </c>
      <c r="M1879" s="550">
        <v>0</v>
      </c>
      <c r="N1879" s="550">
        <v>69</v>
      </c>
      <c r="O1879" s="550">
        <v>58</v>
      </c>
      <c r="P1879" s="550">
        <v>164</v>
      </c>
      <c r="Q1879" s="550">
        <v>29</v>
      </c>
      <c r="R1879" s="574" t="s">
        <v>617</v>
      </c>
      <c r="S1879" s="552"/>
      <c r="T1879" s="552"/>
      <c r="U1879" s="552"/>
      <c r="V1879" s="552"/>
      <c r="W1879" s="552"/>
      <c r="X1879" s="552"/>
      <c r="Y1879" s="552"/>
      <c r="Z1879" s="552"/>
      <c r="AA1879" s="553"/>
      <c r="AB1879" s="553"/>
    </row>
    <row r="1880" spans="1:28" ht="12.75">
      <c r="A1880" s="547" t="s">
        <v>617</v>
      </c>
      <c r="B1880" s="547" t="s">
        <v>183</v>
      </c>
      <c r="C1880" s="548" t="s">
        <v>784</v>
      </c>
      <c r="D1880" s="549">
        <v>2016</v>
      </c>
      <c r="E1880" s="549" t="s">
        <v>775</v>
      </c>
      <c r="F1880" s="550">
        <v>98</v>
      </c>
      <c r="G1880" s="550">
        <v>45</v>
      </c>
      <c r="H1880" s="550">
        <v>45</v>
      </c>
      <c r="I1880" s="550">
        <v>0</v>
      </c>
      <c r="J1880" s="550">
        <v>62</v>
      </c>
      <c r="K1880" s="550">
        <v>25</v>
      </c>
      <c r="L1880" s="550">
        <v>25</v>
      </c>
      <c r="M1880" s="550">
        <v>0</v>
      </c>
      <c r="N1880" s="550">
        <v>69</v>
      </c>
      <c r="O1880" s="550">
        <v>29</v>
      </c>
      <c r="P1880" s="550">
        <v>164</v>
      </c>
      <c r="Q1880" s="550">
        <v>21</v>
      </c>
      <c r="R1880" s="574" t="s">
        <v>617</v>
      </c>
      <c r="S1880" s="552"/>
      <c r="T1880" s="552"/>
      <c r="U1880" s="552"/>
      <c r="V1880" s="552"/>
      <c r="W1880" s="552"/>
      <c r="X1880" s="552"/>
      <c r="Y1880" s="552"/>
      <c r="Z1880" s="552"/>
      <c r="AA1880" s="553"/>
      <c r="AB1880" s="553"/>
    </row>
    <row r="1881" spans="1:28" ht="12.75">
      <c r="A1881" s="547" t="s">
        <v>617</v>
      </c>
      <c r="B1881" s="547" t="s">
        <v>183</v>
      </c>
      <c r="C1881" s="548" t="s">
        <v>784</v>
      </c>
      <c r="D1881" s="549">
        <v>2017</v>
      </c>
      <c r="E1881" s="549" t="s">
        <v>775</v>
      </c>
      <c r="F1881" s="550">
        <v>98</v>
      </c>
      <c r="G1881" s="550">
        <v>0</v>
      </c>
      <c r="H1881" s="550">
        <v>0</v>
      </c>
      <c r="I1881" s="550">
        <v>0</v>
      </c>
      <c r="J1881" s="550">
        <v>62</v>
      </c>
      <c r="K1881" s="550">
        <v>0</v>
      </c>
      <c r="L1881" s="550">
        <v>0</v>
      </c>
      <c r="M1881" s="550">
        <v>0</v>
      </c>
      <c r="N1881" s="550">
        <v>69</v>
      </c>
      <c r="O1881" s="550">
        <v>1</v>
      </c>
      <c r="P1881" s="550">
        <v>164</v>
      </c>
      <c r="Q1881" s="550">
        <v>76</v>
      </c>
      <c r="R1881" s="574" t="s">
        <v>617</v>
      </c>
      <c r="S1881" s="552"/>
      <c r="T1881" s="552"/>
      <c r="U1881" s="552"/>
      <c r="V1881" s="552"/>
      <c r="W1881" s="552"/>
      <c r="X1881" s="552"/>
      <c r="Y1881" s="552"/>
      <c r="Z1881" s="552"/>
      <c r="AA1881" s="553"/>
      <c r="AB1881" s="553"/>
    </row>
    <row r="1882" spans="1:28" ht="12.75">
      <c r="A1882" s="547" t="s">
        <v>617</v>
      </c>
      <c r="B1882" s="547" t="s">
        <v>183</v>
      </c>
      <c r="C1882" s="548" t="s">
        <v>784</v>
      </c>
      <c r="D1882" s="549">
        <v>2018</v>
      </c>
      <c r="E1882" s="549" t="s">
        <v>775</v>
      </c>
      <c r="F1882" s="550">
        <v>98</v>
      </c>
      <c r="G1882" s="550">
        <v>0</v>
      </c>
      <c r="H1882" s="550">
        <v>0</v>
      </c>
      <c r="I1882" s="550">
        <v>0</v>
      </c>
      <c r="J1882" s="550">
        <v>62</v>
      </c>
      <c r="K1882" s="550">
        <v>0</v>
      </c>
      <c r="L1882" s="550">
        <v>0</v>
      </c>
      <c r="M1882" s="550">
        <v>0</v>
      </c>
      <c r="N1882" s="550">
        <v>69</v>
      </c>
      <c r="O1882" s="550">
        <v>7</v>
      </c>
      <c r="P1882" s="550">
        <v>164</v>
      </c>
      <c r="Q1882" s="550">
        <v>12</v>
      </c>
      <c r="R1882" s="574" t="s">
        <v>617</v>
      </c>
      <c r="S1882" s="552"/>
      <c r="T1882" s="552"/>
      <c r="U1882" s="552"/>
      <c r="V1882" s="552"/>
      <c r="W1882" s="552"/>
      <c r="X1882" s="552"/>
      <c r="Y1882" s="552"/>
      <c r="Z1882" s="552"/>
      <c r="AA1882" s="553"/>
      <c r="AB1882" s="553"/>
    </row>
    <row r="1883" spans="1:28" ht="12.75">
      <c r="A1883" s="547" t="s">
        <v>617</v>
      </c>
      <c r="B1883" s="547" t="s">
        <v>183</v>
      </c>
      <c r="C1883" s="548" t="s">
        <v>785</v>
      </c>
      <c r="D1883" s="549">
        <v>2019</v>
      </c>
      <c r="E1883" s="549" t="s">
        <v>775</v>
      </c>
      <c r="F1883" s="550">
        <v>98</v>
      </c>
      <c r="G1883" s="550">
        <v>0</v>
      </c>
      <c r="H1883" s="550">
        <v>0</v>
      </c>
      <c r="I1883" s="550">
        <v>0</v>
      </c>
      <c r="J1883" s="550">
        <v>62</v>
      </c>
      <c r="K1883" s="550">
        <v>2</v>
      </c>
      <c r="L1883" s="550">
        <v>0</v>
      </c>
      <c r="M1883" s="550">
        <v>2</v>
      </c>
      <c r="N1883" s="550">
        <v>69</v>
      </c>
      <c r="O1883" s="550">
        <v>3</v>
      </c>
      <c r="P1883" s="550">
        <v>164</v>
      </c>
      <c r="Q1883" s="550">
        <v>64</v>
      </c>
      <c r="R1883" s="574" t="s">
        <v>617</v>
      </c>
      <c r="S1883" s="552">
        <f>SUM(G1878:G1883) +SUM(K1878:K1883)</f>
        <v>76</v>
      </c>
      <c r="T1883" s="552">
        <f>F1883+J1883</f>
        <v>160</v>
      </c>
      <c r="U1883" s="552">
        <f>SUM(O1878:O1883)</f>
        <v>174</v>
      </c>
      <c r="V1883" s="552">
        <f>N1883</f>
        <v>69</v>
      </c>
      <c r="W1883" s="554">
        <f>SUM(Q1878:Q1883)</f>
        <v>308</v>
      </c>
      <c r="X1883" s="552">
        <f>P1883</f>
        <v>164</v>
      </c>
      <c r="Y1883" s="552">
        <f>S1883+U1883+SUM(Q1878:Q1883)</f>
        <v>558</v>
      </c>
      <c r="Z1883" s="552">
        <f>F1883+J1883+N1883+P1883</f>
        <v>393</v>
      </c>
      <c r="AA1883" s="553"/>
      <c r="AB1883" s="553"/>
    </row>
    <row r="1884" spans="1:28" ht="12.75">
      <c r="A1884" s="547" t="s">
        <v>618</v>
      </c>
      <c r="B1884" s="547" t="s">
        <v>183</v>
      </c>
      <c r="C1884" s="548" t="s">
        <v>784</v>
      </c>
      <c r="D1884" s="549">
        <v>2014</v>
      </c>
      <c r="E1884" s="549" t="s">
        <v>775</v>
      </c>
      <c r="F1884" s="550">
        <v>41</v>
      </c>
      <c r="G1884" s="550">
        <v>0</v>
      </c>
      <c r="H1884" s="550">
        <v>0</v>
      </c>
      <c r="I1884" s="550">
        <v>0</v>
      </c>
      <c r="J1884" s="550">
        <v>26</v>
      </c>
      <c r="K1884" s="550">
        <v>1</v>
      </c>
      <c r="L1884" s="550">
        <v>1</v>
      </c>
      <c r="M1884" s="550">
        <v>0</v>
      </c>
      <c r="N1884" s="550">
        <v>29</v>
      </c>
      <c r="O1884" s="550">
        <v>0</v>
      </c>
      <c r="P1884" s="550">
        <v>69</v>
      </c>
      <c r="Q1884" s="550">
        <v>12</v>
      </c>
      <c r="R1884" s="574" t="s">
        <v>618</v>
      </c>
      <c r="S1884" s="552"/>
      <c r="T1884" s="552"/>
      <c r="U1884" s="552"/>
      <c r="V1884" s="552"/>
      <c r="W1884" s="552"/>
      <c r="X1884" s="552"/>
      <c r="Y1884" s="552"/>
      <c r="Z1884" s="552"/>
      <c r="AA1884" s="553"/>
      <c r="AB1884" s="553"/>
    </row>
    <row r="1885" spans="1:28" ht="12.75">
      <c r="A1885" s="547" t="s">
        <v>618</v>
      </c>
      <c r="B1885" s="547" t="s">
        <v>183</v>
      </c>
      <c r="C1885" s="548" t="s">
        <v>784</v>
      </c>
      <c r="D1885" s="549">
        <v>2015</v>
      </c>
      <c r="E1885" s="549" t="s">
        <v>775</v>
      </c>
      <c r="F1885" s="550">
        <v>41</v>
      </c>
      <c r="G1885" s="550">
        <v>0</v>
      </c>
      <c r="H1885" s="550">
        <v>0</v>
      </c>
      <c r="I1885" s="550">
        <v>0</v>
      </c>
      <c r="J1885" s="550">
        <v>26</v>
      </c>
      <c r="K1885" s="550">
        <v>2</v>
      </c>
      <c r="L1885" s="550">
        <v>2</v>
      </c>
      <c r="M1885" s="550">
        <v>0</v>
      </c>
      <c r="N1885" s="550">
        <v>29</v>
      </c>
      <c r="O1885" s="550">
        <v>0</v>
      </c>
      <c r="P1885" s="550">
        <v>69</v>
      </c>
      <c r="Q1885" s="550">
        <v>30</v>
      </c>
      <c r="R1885" s="574" t="s">
        <v>618</v>
      </c>
      <c r="S1885" s="552"/>
      <c r="T1885" s="552"/>
      <c r="U1885" s="552"/>
      <c r="V1885" s="552"/>
      <c r="W1885" s="552"/>
      <c r="X1885" s="552"/>
      <c r="Y1885" s="552"/>
      <c r="Z1885" s="552"/>
      <c r="AA1885" s="553"/>
      <c r="AB1885" s="553"/>
    </row>
    <row r="1886" spans="1:28" ht="12.75">
      <c r="A1886" s="547" t="s">
        <v>618</v>
      </c>
      <c r="B1886" s="547" t="s">
        <v>183</v>
      </c>
      <c r="C1886" s="548" t="s">
        <v>784</v>
      </c>
      <c r="D1886" s="549">
        <v>2016</v>
      </c>
      <c r="E1886" s="549" t="s">
        <v>775</v>
      </c>
      <c r="F1886" s="550">
        <v>41</v>
      </c>
      <c r="G1886" s="550">
        <v>0</v>
      </c>
      <c r="H1886" s="550">
        <v>0</v>
      </c>
      <c r="I1886" s="550">
        <v>0</v>
      </c>
      <c r="J1886" s="550">
        <v>26</v>
      </c>
      <c r="K1886" s="550">
        <v>2</v>
      </c>
      <c r="L1886" s="550">
        <v>2</v>
      </c>
      <c r="M1886" s="550">
        <v>0</v>
      </c>
      <c r="N1886" s="550">
        <v>29</v>
      </c>
      <c r="O1886" s="550">
        <v>0</v>
      </c>
      <c r="P1886" s="550">
        <v>69</v>
      </c>
      <c r="Q1886" s="550">
        <v>21</v>
      </c>
      <c r="R1886" s="574" t="s">
        <v>618</v>
      </c>
      <c r="S1886" s="552"/>
      <c r="T1886" s="552"/>
      <c r="U1886" s="552"/>
      <c r="V1886" s="552"/>
      <c r="W1886" s="552"/>
      <c r="X1886" s="552"/>
      <c r="Y1886" s="552"/>
      <c r="Z1886" s="552"/>
      <c r="AA1886" s="553"/>
      <c r="AB1886" s="553"/>
    </row>
    <row r="1887" spans="1:28" ht="12.75">
      <c r="A1887" s="547" t="s">
        <v>618</v>
      </c>
      <c r="B1887" s="547" t="s">
        <v>183</v>
      </c>
      <c r="C1887" s="548" t="s">
        <v>784</v>
      </c>
      <c r="D1887" s="549">
        <v>2017</v>
      </c>
      <c r="E1887" s="549" t="s">
        <v>775</v>
      </c>
      <c r="F1887" s="550">
        <v>41</v>
      </c>
      <c r="G1887" s="550">
        <v>0</v>
      </c>
      <c r="H1887" s="550">
        <v>0</v>
      </c>
      <c r="I1887" s="550">
        <v>0</v>
      </c>
      <c r="J1887" s="550">
        <v>26</v>
      </c>
      <c r="K1887" s="550">
        <v>0</v>
      </c>
      <c r="L1887" s="550">
        <v>0</v>
      </c>
      <c r="M1887" s="550">
        <v>0</v>
      </c>
      <c r="N1887" s="550">
        <v>29</v>
      </c>
      <c r="O1887" s="550">
        <v>0</v>
      </c>
      <c r="P1887" s="550">
        <v>69</v>
      </c>
      <c r="Q1887" s="550">
        <v>17</v>
      </c>
      <c r="R1887" s="574" t="s">
        <v>618</v>
      </c>
      <c r="S1887" s="552"/>
      <c r="T1887" s="552"/>
      <c r="U1887" s="552"/>
      <c r="V1887" s="552"/>
      <c r="W1887" s="552"/>
      <c r="X1887" s="552"/>
      <c r="Y1887" s="552"/>
      <c r="Z1887" s="552"/>
      <c r="AA1887" s="553"/>
      <c r="AB1887" s="553"/>
    </row>
    <row r="1888" spans="1:28" ht="12.75">
      <c r="A1888" s="547" t="s">
        <v>618</v>
      </c>
      <c r="B1888" s="547" t="s">
        <v>183</v>
      </c>
      <c r="C1888" s="548" t="s">
        <v>784</v>
      </c>
      <c r="D1888" s="549">
        <v>2018</v>
      </c>
      <c r="E1888" s="549" t="s">
        <v>775</v>
      </c>
      <c r="F1888" s="550">
        <v>41</v>
      </c>
      <c r="G1888" s="550">
        <v>0</v>
      </c>
      <c r="H1888" s="550">
        <v>0</v>
      </c>
      <c r="I1888" s="550">
        <v>0</v>
      </c>
      <c r="J1888" s="550">
        <v>26</v>
      </c>
      <c r="K1888" s="550">
        <v>4</v>
      </c>
      <c r="L1888" s="550">
        <v>4</v>
      </c>
      <c r="M1888" s="550">
        <v>0</v>
      </c>
      <c r="N1888" s="550">
        <v>29</v>
      </c>
      <c r="O1888" s="550">
        <v>0</v>
      </c>
      <c r="P1888" s="550">
        <v>69</v>
      </c>
      <c r="Q1888" s="550">
        <v>25</v>
      </c>
      <c r="R1888" s="574" t="s">
        <v>618</v>
      </c>
      <c r="S1888" s="552"/>
      <c r="T1888" s="552"/>
      <c r="U1888" s="552"/>
      <c r="V1888" s="552"/>
      <c r="W1888" s="552"/>
      <c r="X1888" s="552"/>
      <c r="Y1888" s="552"/>
      <c r="Z1888" s="552"/>
      <c r="AA1888" s="553"/>
      <c r="AB1888" s="553"/>
    </row>
    <row r="1889" spans="1:28" ht="12.75">
      <c r="A1889" s="547" t="s">
        <v>618</v>
      </c>
      <c r="B1889" s="547" t="s">
        <v>183</v>
      </c>
      <c r="C1889" s="548" t="s">
        <v>785</v>
      </c>
      <c r="D1889" s="549">
        <v>2019</v>
      </c>
      <c r="E1889" s="549" t="s">
        <v>775</v>
      </c>
      <c r="F1889" s="550">
        <v>41</v>
      </c>
      <c r="G1889" s="550">
        <v>0</v>
      </c>
      <c r="H1889" s="550">
        <v>0</v>
      </c>
      <c r="I1889" s="550">
        <v>0</v>
      </c>
      <c r="J1889" s="550">
        <v>26</v>
      </c>
      <c r="K1889" s="550">
        <v>5</v>
      </c>
      <c r="L1889" s="550">
        <v>3</v>
      </c>
      <c r="M1889" s="550">
        <v>2</v>
      </c>
      <c r="N1889" s="550">
        <v>29</v>
      </c>
      <c r="O1889" s="550">
        <v>18</v>
      </c>
      <c r="P1889" s="550">
        <v>69</v>
      </c>
      <c r="Q1889" s="550">
        <v>22</v>
      </c>
      <c r="R1889" s="574" t="s">
        <v>618</v>
      </c>
      <c r="S1889" s="552">
        <f>SUM(G1884:G1889) +SUM(K1884:K1889)</f>
        <v>14</v>
      </c>
      <c r="T1889" s="552">
        <f>F1889+J1889</f>
        <v>67</v>
      </c>
      <c r="U1889" s="552">
        <f>SUM(O1884:O1889)</f>
        <v>18</v>
      </c>
      <c r="V1889" s="552">
        <f>N1889</f>
        <v>29</v>
      </c>
      <c r="W1889" s="554">
        <f>SUM(Q1884:Q1889)</f>
        <v>127</v>
      </c>
      <c r="X1889" s="552">
        <f>P1889</f>
        <v>69</v>
      </c>
      <c r="Y1889" s="552">
        <f>S1889+U1889+SUM(Q1884:Q1889)</f>
        <v>159</v>
      </c>
      <c r="Z1889" s="552">
        <f>F1889+J1889+N1889+P1889</f>
        <v>165</v>
      </c>
      <c r="AA1889" s="553"/>
      <c r="AB1889" s="553"/>
    </row>
    <row r="1890" spans="1:28" ht="12.75">
      <c r="A1890" s="547" t="s">
        <v>619</v>
      </c>
      <c r="B1890" s="547" t="s">
        <v>183</v>
      </c>
      <c r="C1890" s="548" t="s">
        <v>784</v>
      </c>
      <c r="D1890" s="549">
        <v>2018</v>
      </c>
      <c r="E1890" s="549" t="s">
        <v>775</v>
      </c>
      <c r="F1890" s="550">
        <v>39</v>
      </c>
      <c r="G1890" s="550">
        <v>0</v>
      </c>
      <c r="H1890" s="550">
        <v>0</v>
      </c>
      <c r="I1890" s="550">
        <v>0</v>
      </c>
      <c r="J1890" s="550">
        <v>24</v>
      </c>
      <c r="K1890" s="550">
        <v>0</v>
      </c>
      <c r="L1890" s="550">
        <v>0</v>
      </c>
      <c r="M1890" s="550">
        <v>0</v>
      </c>
      <c r="N1890" s="550">
        <v>27</v>
      </c>
      <c r="O1890" s="550">
        <v>2</v>
      </c>
      <c r="P1890" s="550">
        <v>65</v>
      </c>
      <c r="Q1890" s="550">
        <v>38</v>
      </c>
      <c r="R1890" s="574" t="s">
        <v>619</v>
      </c>
      <c r="S1890" s="552"/>
      <c r="T1890" s="552"/>
      <c r="U1890" s="552"/>
      <c r="V1890" s="552"/>
      <c r="W1890" s="552"/>
      <c r="X1890" s="552"/>
      <c r="Y1890" s="552"/>
      <c r="Z1890" s="552"/>
      <c r="AA1890" s="553"/>
      <c r="AB1890" s="553"/>
    </row>
    <row r="1891" spans="1:28" ht="12.75">
      <c r="A1891" s="547" t="s">
        <v>619</v>
      </c>
      <c r="B1891" s="547" t="s">
        <v>183</v>
      </c>
      <c r="C1891" s="548" t="s">
        <v>785</v>
      </c>
      <c r="D1891" s="549">
        <v>2019</v>
      </c>
      <c r="E1891" s="549" t="s">
        <v>775</v>
      </c>
      <c r="F1891" s="550">
        <v>39</v>
      </c>
      <c r="G1891" s="550">
        <v>0</v>
      </c>
      <c r="H1891" s="550">
        <v>0</v>
      </c>
      <c r="I1891" s="550">
        <v>0</v>
      </c>
      <c r="J1891" s="550">
        <v>24</v>
      </c>
      <c r="K1891" s="550">
        <v>0</v>
      </c>
      <c r="L1891" s="550">
        <v>0</v>
      </c>
      <c r="M1891" s="550">
        <v>0</v>
      </c>
      <c r="N1891" s="550">
        <v>27</v>
      </c>
      <c r="O1891" s="550">
        <v>1</v>
      </c>
      <c r="P1891" s="550">
        <v>65</v>
      </c>
      <c r="Q1891" s="550">
        <v>25</v>
      </c>
      <c r="R1891" s="574" t="s">
        <v>619</v>
      </c>
      <c r="S1891" s="255">
        <f>SUM(G1890:G1891) +SUM(K1890:K1891)</f>
        <v>0</v>
      </c>
      <c r="T1891" s="255">
        <f>F1891+J1891</f>
        <v>63</v>
      </c>
      <c r="U1891" s="255">
        <f>SUM(O1890:O1891)</f>
        <v>3</v>
      </c>
      <c r="V1891" s="255">
        <f>N1891</f>
        <v>27</v>
      </c>
      <c r="W1891" s="83">
        <f>SUM(Q1890:Q1891)</f>
        <v>63</v>
      </c>
      <c r="X1891" s="255">
        <f>P1891</f>
        <v>65</v>
      </c>
      <c r="Y1891" s="255">
        <f>S1891+U1891+SUM(Q1890:Q1891)</f>
        <v>66</v>
      </c>
      <c r="Z1891" s="255">
        <f>F1891+J1891+N1891+P1891</f>
        <v>155</v>
      </c>
      <c r="AA1891" s="553"/>
      <c r="AB1891" s="553"/>
    </row>
    <row r="1892" spans="1:28" ht="12.75">
      <c r="A1892" s="547" t="s">
        <v>620</v>
      </c>
      <c r="B1892" s="547" t="s">
        <v>183</v>
      </c>
      <c r="C1892" s="548" t="s">
        <v>784</v>
      </c>
      <c r="D1892" s="549">
        <v>2014</v>
      </c>
      <c r="E1892" s="549" t="s">
        <v>775</v>
      </c>
      <c r="F1892" s="550">
        <v>123</v>
      </c>
      <c r="G1892" s="550">
        <v>56</v>
      </c>
      <c r="H1892" s="550">
        <v>56</v>
      </c>
      <c r="I1892" s="550">
        <v>0</v>
      </c>
      <c r="J1892" s="550">
        <v>77</v>
      </c>
      <c r="K1892" s="550">
        <v>24</v>
      </c>
      <c r="L1892" s="550">
        <v>24</v>
      </c>
      <c r="M1892" s="550">
        <v>0</v>
      </c>
      <c r="N1892" s="550">
        <v>87</v>
      </c>
      <c r="O1892" s="550">
        <v>2</v>
      </c>
      <c r="P1892" s="550">
        <v>206</v>
      </c>
      <c r="Q1892" s="550">
        <v>54</v>
      </c>
      <c r="R1892" s="574" t="s">
        <v>620</v>
      </c>
      <c r="S1892" s="552"/>
      <c r="T1892" s="552"/>
      <c r="U1892" s="552"/>
      <c r="V1892" s="552"/>
      <c r="W1892" s="552"/>
      <c r="X1892" s="552"/>
      <c r="Y1892" s="552"/>
      <c r="Z1892" s="552"/>
      <c r="AA1892" s="553"/>
      <c r="AB1892" s="553"/>
    </row>
    <row r="1893" spans="1:28" ht="12.75">
      <c r="A1893" s="547" t="s">
        <v>620</v>
      </c>
      <c r="B1893" s="547" t="s">
        <v>183</v>
      </c>
      <c r="C1893" s="548" t="s">
        <v>784</v>
      </c>
      <c r="D1893" s="549">
        <v>2015</v>
      </c>
      <c r="E1893" s="549" t="s">
        <v>775</v>
      </c>
      <c r="F1893" s="550">
        <v>123</v>
      </c>
      <c r="G1893" s="550">
        <v>49</v>
      </c>
      <c r="H1893" s="550">
        <v>49</v>
      </c>
      <c r="I1893" s="550">
        <v>0</v>
      </c>
      <c r="J1893" s="550">
        <v>77</v>
      </c>
      <c r="K1893" s="550">
        <v>20</v>
      </c>
      <c r="L1893" s="550">
        <v>20</v>
      </c>
      <c r="M1893" s="550">
        <v>0</v>
      </c>
      <c r="N1893" s="550">
        <v>87</v>
      </c>
      <c r="O1893" s="550">
        <v>23</v>
      </c>
      <c r="P1893" s="550">
        <v>206</v>
      </c>
      <c r="Q1893" s="550">
        <v>61</v>
      </c>
      <c r="R1893" s="574" t="s">
        <v>620</v>
      </c>
      <c r="S1893" s="552"/>
      <c r="T1893" s="552"/>
      <c r="U1893" s="552"/>
      <c r="V1893" s="552"/>
      <c r="W1893" s="552"/>
      <c r="X1893" s="552"/>
      <c r="Y1893" s="552"/>
      <c r="Z1893" s="552"/>
      <c r="AA1893" s="553"/>
      <c r="AB1893" s="553"/>
    </row>
    <row r="1894" spans="1:28" ht="12.75">
      <c r="A1894" s="547" t="s">
        <v>620</v>
      </c>
      <c r="B1894" s="547" t="s">
        <v>183</v>
      </c>
      <c r="C1894" s="548" t="s">
        <v>784</v>
      </c>
      <c r="D1894" s="549">
        <v>2016</v>
      </c>
      <c r="E1894" s="549" t="s">
        <v>775</v>
      </c>
      <c r="F1894" s="550">
        <v>123</v>
      </c>
      <c r="G1894" s="550">
        <v>0</v>
      </c>
      <c r="H1894" s="550">
        <v>0</v>
      </c>
      <c r="I1894" s="550">
        <v>0</v>
      </c>
      <c r="J1894" s="550">
        <v>77</v>
      </c>
      <c r="K1894" s="550">
        <v>0</v>
      </c>
      <c r="L1894" s="550">
        <v>0</v>
      </c>
      <c r="M1894" s="550">
        <v>0</v>
      </c>
      <c r="N1894" s="550">
        <v>87</v>
      </c>
      <c r="O1894" s="550">
        <v>21</v>
      </c>
      <c r="P1894" s="550">
        <v>206</v>
      </c>
      <c r="Q1894" s="550">
        <v>44</v>
      </c>
      <c r="R1894" s="574" t="s">
        <v>620</v>
      </c>
      <c r="S1894" s="552"/>
      <c r="T1894" s="552"/>
      <c r="U1894" s="552"/>
      <c r="V1894" s="552"/>
      <c r="W1894" s="552"/>
      <c r="X1894" s="552"/>
      <c r="Y1894" s="552"/>
      <c r="Z1894" s="552"/>
      <c r="AA1894" s="553"/>
      <c r="AB1894" s="553"/>
    </row>
    <row r="1895" spans="1:28" ht="12.75">
      <c r="A1895" s="547" t="s">
        <v>620</v>
      </c>
      <c r="B1895" s="547" t="s">
        <v>183</v>
      </c>
      <c r="C1895" s="548" t="s">
        <v>784</v>
      </c>
      <c r="D1895" s="549">
        <v>2017</v>
      </c>
      <c r="E1895" s="549" t="s">
        <v>775</v>
      </c>
      <c r="F1895" s="550">
        <v>123</v>
      </c>
      <c r="G1895" s="550">
        <v>52</v>
      </c>
      <c r="H1895" s="550">
        <v>52</v>
      </c>
      <c r="I1895" s="550">
        <v>0</v>
      </c>
      <c r="J1895" s="550">
        <v>77</v>
      </c>
      <c r="K1895" s="550">
        <v>23</v>
      </c>
      <c r="L1895" s="550">
        <v>23</v>
      </c>
      <c r="M1895" s="550">
        <v>0</v>
      </c>
      <c r="N1895" s="550">
        <v>87</v>
      </c>
      <c r="O1895" s="550">
        <v>150</v>
      </c>
      <c r="P1895" s="550">
        <v>206</v>
      </c>
      <c r="Q1895" s="550">
        <v>17</v>
      </c>
      <c r="R1895" s="574" t="s">
        <v>620</v>
      </c>
      <c r="S1895" s="552"/>
      <c r="T1895" s="552"/>
      <c r="U1895" s="552"/>
      <c r="V1895" s="552"/>
      <c r="W1895" s="552"/>
      <c r="X1895" s="552"/>
      <c r="Y1895" s="552"/>
      <c r="Z1895" s="552"/>
      <c r="AA1895" s="553"/>
      <c r="AB1895" s="553"/>
    </row>
    <row r="1896" spans="1:28" ht="12.75">
      <c r="A1896" s="547" t="s">
        <v>620</v>
      </c>
      <c r="B1896" s="547" t="s">
        <v>183</v>
      </c>
      <c r="C1896" s="548" t="s">
        <v>784</v>
      </c>
      <c r="D1896" s="549">
        <v>2018</v>
      </c>
      <c r="E1896" s="549" t="s">
        <v>775</v>
      </c>
      <c r="F1896" s="550">
        <v>123</v>
      </c>
      <c r="G1896" s="550">
        <v>54</v>
      </c>
      <c r="H1896" s="550">
        <v>54</v>
      </c>
      <c r="I1896" s="550">
        <v>0</v>
      </c>
      <c r="J1896" s="550">
        <v>77</v>
      </c>
      <c r="K1896" s="550">
        <v>21</v>
      </c>
      <c r="L1896" s="550">
        <v>21</v>
      </c>
      <c r="M1896" s="550">
        <v>0</v>
      </c>
      <c r="N1896" s="550">
        <v>87</v>
      </c>
      <c r="O1896" s="550">
        <v>13</v>
      </c>
      <c r="P1896" s="550">
        <v>206</v>
      </c>
      <c r="Q1896" s="550">
        <v>12</v>
      </c>
      <c r="R1896" s="574" t="s">
        <v>620</v>
      </c>
      <c r="S1896" s="552"/>
      <c r="T1896" s="552"/>
      <c r="U1896" s="552"/>
      <c r="V1896" s="552"/>
      <c r="W1896" s="552"/>
      <c r="X1896" s="552"/>
      <c r="Y1896" s="552"/>
      <c r="Z1896" s="552"/>
      <c r="AA1896" s="553"/>
      <c r="AB1896" s="553"/>
    </row>
    <row r="1897" spans="1:28" ht="12.75">
      <c r="A1897" s="547" t="s">
        <v>620</v>
      </c>
      <c r="B1897" s="547" t="s">
        <v>183</v>
      </c>
      <c r="C1897" s="548" t="s">
        <v>785</v>
      </c>
      <c r="D1897" s="549">
        <v>2019</v>
      </c>
      <c r="E1897" s="549" t="s">
        <v>775</v>
      </c>
      <c r="F1897" s="550">
        <v>123</v>
      </c>
      <c r="G1897" s="550">
        <v>0</v>
      </c>
      <c r="H1897" s="550">
        <v>0</v>
      </c>
      <c r="I1897" s="550">
        <v>0</v>
      </c>
      <c r="J1897" s="550">
        <v>77</v>
      </c>
      <c r="K1897" s="550">
        <v>0</v>
      </c>
      <c r="L1897" s="550">
        <v>0</v>
      </c>
      <c r="M1897" s="550">
        <v>0</v>
      </c>
      <c r="N1897" s="550">
        <v>87</v>
      </c>
      <c r="O1897" s="550">
        <v>13</v>
      </c>
      <c r="P1897" s="550">
        <v>206</v>
      </c>
      <c r="Q1897" s="550">
        <v>13</v>
      </c>
      <c r="R1897" s="574" t="s">
        <v>620</v>
      </c>
      <c r="S1897" s="552">
        <f>SUM(G1892:G1897) +SUM(K1892:K1897)</f>
        <v>299</v>
      </c>
      <c r="T1897" s="552">
        <f>F1897+J1897</f>
        <v>200</v>
      </c>
      <c r="U1897" s="552">
        <f>SUM(O1892:O1897)</f>
        <v>222</v>
      </c>
      <c r="V1897" s="552">
        <f>N1897</f>
        <v>87</v>
      </c>
      <c r="W1897" s="554">
        <f>SUM(Q1892:Q1897)</f>
        <v>201</v>
      </c>
      <c r="X1897" s="552">
        <f>P1897</f>
        <v>206</v>
      </c>
      <c r="Y1897" s="552">
        <f>S1897+U1897+SUM(Q1892:Q1897)</f>
        <v>722</v>
      </c>
      <c r="Z1897" s="552">
        <f>F1897+J1897+N1897+P1897</f>
        <v>493</v>
      </c>
      <c r="AA1897" s="553"/>
      <c r="AB1897" s="553"/>
    </row>
    <row r="1898" spans="1:28" ht="12.75">
      <c r="A1898" s="547" t="s">
        <v>621</v>
      </c>
      <c r="B1898" s="547" t="s">
        <v>183</v>
      </c>
      <c r="C1898" s="548" t="s">
        <v>784</v>
      </c>
      <c r="D1898" s="549">
        <v>2014</v>
      </c>
      <c r="E1898" s="549" t="s">
        <v>775</v>
      </c>
      <c r="F1898" s="550">
        <v>38</v>
      </c>
      <c r="G1898" s="550">
        <v>0</v>
      </c>
      <c r="H1898" s="550">
        <v>0</v>
      </c>
      <c r="I1898" s="550">
        <v>0</v>
      </c>
      <c r="J1898" s="550">
        <v>24</v>
      </c>
      <c r="K1898" s="550">
        <v>12</v>
      </c>
      <c r="L1898" s="550">
        <v>12</v>
      </c>
      <c r="M1898" s="550">
        <v>0</v>
      </c>
      <c r="N1898" s="550">
        <v>27</v>
      </c>
      <c r="O1898" s="550">
        <v>0</v>
      </c>
      <c r="P1898" s="550">
        <v>64</v>
      </c>
      <c r="Q1898" s="550">
        <v>91</v>
      </c>
      <c r="R1898" s="574" t="s">
        <v>621</v>
      </c>
      <c r="S1898" s="552"/>
      <c r="T1898" s="552"/>
      <c r="U1898" s="552"/>
      <c r="V1898" s="552"/>
      <c r="W1898" s="552"/>
      <c r="X1898" s="552"/>
      <c r="Y1898" s="552"/>
      <c r="Z1898" s="552"/>
      <c r="AA1898" s="553"/>
      <c r="AB1898" s="553"/>
    </row>
    <row r="1899" spans="1:28" ht="12.75">
      <c r="A1899" s="547" t="s">
        <v>621</v>
      </c>
      <c r="B1899" s="547" t="s">
        <v>183</v>
      </c>
      <c r="C1899" s="548" t="s">
        <v>784</v>
      </c>
      <c r="D1899" s="549">
        <v>2015</v>
      </c>
      <c r="E1899" s="549" t="s">
        <v>775</v>
      </c>
      <c r="F1899" s="550">
        <v>38</v>
      </c>
      <c r="G1899" s="550">
        <v>0</v>
      </c>
      <c r="H1899" s="550">
        <v>0</v>
      </c>
      <c r="I1899" s="550">
        <v>0</v>
      </c>
      <c r="J1899" s="550">
        <v>24</v>
      </c>
      <c r="K1899" s="550">
        <v>0</v>
      </c>
      <c r="L1899" s="550">
        <v>0</v>
      </c>
      <c r="M1899" s="550">
        <v>0</v>
      </c>
      <c r="N1899" s="550">
        <v>27</v>
      </c>
      <c r="O1899" s="550">
        <v>0</v>
      </c>
      <c r="P1899" s="550">
        <v>64</v>
      </c>
      <c r="Q1899" s="550">
        <v>55</v>
      </c>
      <c r="R1899" s="574" t="s">
        <v>621</v>
      </c>
      <c r="S1899" s="552"/>
      <c r="T1899" s="552"/>
      <c r="U1899" s="552"/>
      <c r="V1899" s="552"/>
      <c r="W1899" s="552"/>
      <c r="X1899" s="552"/>
      <c r="Y1899" s="552"/>
      <c r="Z1899" s="552"/>
      <c r="AA1899" s="553"/>
      <c r="AB1899" s="553"/>
    </row>
    <row r="1900" spans="1:28" ht="12.75">
      <c r="A1900" s="547" t="s">
        <v>621</v>
      </c>
      <c r="B1900" s="547" t="s">
        <v>183</v>
      </c>
      <c r="C1900" s="548" t="s">
        <v>784</v>
      </c>
      <c r="D1900" s="549">
        <v>2016</v>
      </c>
      <c r="E1900" s="549" t="s">
        <v>775</v>
      </c>
      <c r="F1900" s="550">
        <v>38</v>
      </c>
      <c r="G1900" s="550">
        <v>0</v>
      </c>
      <c r="H1900" s="550">
        <v>0</v>
      </c>
      <c r="I1900" s="550">
        <v>0</v>
      </c>
      <c r="J1900" s="550">
        <v>24</v>
      </c>
      <c r="K1900" s="550">
        <v>0</v>
      </c>
      <c r="L1900" s="550">
        <v>0</v>
      </c>
      <c r="M1900" s="550">
        <v>0</v>
      </c>
      <c r="N1900" s="550">
        <v>27</v>
      </c>
      <c r="O1900" s="550">
        <v>0</v>
      </c>
      <c r="P1900" s="550">
        <v>64</v>
      </c>
      <c r="Q1900" s="550">
        <v>65</v>
      </c>
      <c r="R1900" s="574" t="s">
        <v>621</v>
      </c>
      <c r="S1900" s="552"/>
      <c r="T1900" s="552"/>
      <c r="U1900" s="552"/>
      <c r="V1900" s="552"/>
      <c r="W1900" s="552"/>
      <c r="X1900" s="552"/>
      <c r="Y1900" s="552"/>
      <c r="Z1900" s="552"/>
      <c r="AA1900" s="553"/>
      <c r="AB1900" s="553"/>
    </row>
    <row r="1901" spans="1:28" ht="12.75">
      <c r="A1901" s="547" t="s">
        <v>621</v>
      </c>
      <c r="B1901" s="547" t="s">
        <v>183</v>
      </c>
      <c r="C1901" s="548" t="s">
        <v>784</v>
      </c>
      <c r="D1901" s="549">
        <v>2017</v>
      </c>
      <c r="E1901" s="549" t="s">
        <v>775</v>
      </c>
      <c r="F1901" s="550">
        <v>38</v>
      </c>
      <c r="G1901" s="550">
        <v>0</v>
      </c>
      <c r="H1901" s="550">
        <v>0</v>
      </c>
      <c r="I1901" s="550">
        <v>0</v>
      </c>
      <c r="J1901" s="550">
        <v>24</v>
      </c>
      <c r="K1901" s="550">
        <v>0</v>
      </c>
      <c r="L1901" s="550">
        <v>0</v>
      </c>
      <c r="M1901" s="550">
        <v>0</v>
      </c>
      <c r="N1901" s="550">
        <v>27</v>
      </c>
      <c r="O1901" s="550">
        <v>0</v>
      </c>
      <c r="P1901" s="550">
        <v>64</v>
      </c>
      <c r="Q1901" s="550">
        <v>32</v>
      </c>
      <c r="R1901" s="574" t="s">
        <v>621</v>
      </c>
      <c r="S1901" s="552"/>
      <c r="T1901" s="552"/>
      <c r="U1901" s="552"/>
      <c r="V1901" s="552"/>
      <c r="W1901" s="552"/>
      <c r="X1901" s="552"/>
      <c r="Y1901" s="552"/>
      <c r="Z1901" s="552"/>
      <c r="AA1901" s="553"/>
      <c r="AB1901" s="553"/>
    </row>
    <row r="1902" spans="1:28" ht="12.75">
      <c r="A1902" s="547" t="s">
        <v>621</v>
      </c>
      <c r="B1902" s="547" t="s">
        <v>183</v>
      </c>
      <c r="C1902" s="548" t="s">
        <v>784</v>
      </c>
      <c r="D1902" s="549">
        <v>2018</v>
      </c>
      <c r="E1902" s="549" t="s">
        <v>775</v>
      </c>
      <c r="F1902" s="550">
        <v>38</v>
      </c>
      <c r="G1902" s="550">
        <v>0</v>
      </c>
      <c r="H1902" s="550">
        <v>0</v>
      </c>
      <c r="I1902" s="550">
        <v>0</v>
      </c>
      <c r="J1902" s="550">
        <v>24</v>
      </c>
      <c r="K1902" s="550">
        <v>0</v>
      </c>
      <c r="L1902" s="550">
        <v>0</v>
      </c>
      <c r="M1902" s="550">
        <v>0</v>
      </c>
      <c r="N1902" s="550">
        <v>27</v>
      </c>
      <c r="O1902" s="550">
        <v>0</v>
      </c>
      <c r="P1902" s="550">
        <v>64</v>
      </c>
      <c r="Q1902" s="550">
        <v>10</v>
      </c>
      <c r="R1902" s="574" t="s">
        <v>621</v>
      </c>
      <c r="S1902" s="552"/>
      <c r="T1902" s="552"/>
      <c r="U1902" s="552"/>
      <c r="V1902" s="552"/>
      <c r="W1902" s="552"/>
      <c r="X1902" s="552"/>
      <c r="Y1902" s="552"/>
      <c r="Z1902" s="552"/>
      <c r="AA1902" s="553"/>
      <c r="AB1902" s="553"/>
    </row>
    <row r="1903" spans="1:28" ht="12.75">
      <c r="A1903" s="547" t="s">
        <v>621</v>
      </c>
      <c r="B1903" s="547" t="s">
        <v>183</v>
      </c>
      <c r="C1903" s="548" t="s">
        <v>785</v>
      </c>
      <c r="D1903" s="549">
        <v>2019</v>
      </c>
      <c r="E1903" s="549" t="s">
        <v>775</v>
      </c>
      <c r="F1903" s="550">
        <v>38</v>
      </c>
      <c r="G1903" s="550">
        <v>0</v>
      </c>
      <c r="H1903" s="550">
        <v>0</v>
      </c>
      <c r="I1903" s="550">
        <v>0</v>
      </c>
      <c r="J1903" s="550">
        <v>24</v>
      </c>
      <c r="K1903" s="550">
        <v>0</v>
      </c>
      <c r="L1903" s="550">
        <v>0</v>
      </c>
      <c r="M1903" s="550">
        <v>0</v>
      </c>
      <c r="N1903" s="550">
        <v>27</v>
      </c>
      <c r="O1903" s="550">
        <v>0</v>
      </c>
      <c r="P1903" s="550">
        <v>64</v>
      </c>
      <c r="Q1903" s="550">
        <v>36</v>
      </c>
      <c r="R1903" s="574" t="s">
        <v>621</v>
      </c>
      <c r="S1903" s="552">
        <f>SUM(G1898:G1903) +SUM(K1898:K1903)</f>
        <v>12</v>
      </c>
      <c r="T1903" s="552">
        <f>F1903+J1903</f>
        <v>62</v>
      </c>
      <c r="U1903" s="552">
        <f>SUM(O1898:O1903)</f>
        <v>0</v>
      </c>
      <c r="V1903" s="552">
        <f>N1903</f>
        <v>27</v>
      </c>
      <c r="W1903" s="554">
        <f>SUM(Q1898:Q1903)</f>
        <v>289</v>
      </c>
      <c r="X1903" s="552">
        <f>P1903</f>
        <v>64</v>
      </c>
      <c r="Y1903" s="552">
        <f>S1903+U1903+SUM(Q1898:Q1903)</f>
        <v>301</v>
      </c>
      <c r="Z1903" s="552">
        <f>F1903+J1903+N1903+P1903</f>
        <v>153</v>
      </c>
      <c r="AA1903" s="553"/>
      <c r="AB1903" s="553"/>
    </row>
    <row r="1904" spans="1:28" ht="12.75">
      <c r="A1904" s="547" t="s">
        <v>183</v>
      </c>
      <c r="B1904" s="547" t="s">
        <v>183</v>
      </c>
      <c r="C1904" s="548" t="s">
        <v>784</v>
      </c>
      <c r="D1904" s="549">
        <v>2014</v>
      </c>
      <c r="E1904" s="549" t="s">
        <v>775</v>
      </c>
      <c r="F1904" s="550">
        <v>285</v>
      </c>
      <c r="G1904" s="550">
        <v>35</v>
      </c>
      <c r="H1904" s="550">
        <v>35</v>
      </c>
      <c r="I1904" s="550">
        <v>0</v>
      </c>
      <c r="J1904" s="550">
        <v>179</v>
      </c>
      <c r="K1904" s="550">
        <v>16</v>
      </c>
      <c r="L1904" s="550">
        <v>16</v>
      </c>
      <c r="M1904" s="550">
        <v>0</v>
      </c>
      <c r="N1904" s="550">
        <v>201</v>
      </c>
      <c r="O1904" s="550">
        <v>8</v>
      </c>
      <c r="P1904" s="550">
        <v>478</v>
      </c>
      <c r="Q1904" s="550">
        <v>146</v>
      </c>
      <c r="R1904" s="574" t="s">
        <v>183</v>
      </c>
      <c r="S1904" s="552"/>
      <c r="T1904" s="552"/>
      <c r="U1904" s="552"/>
      <c r="V1904" s="552"/>
      <c r="W1904" s="552"/>
      <c r="X1904" s="552"/>
      <c r="Y1904" s="552"/>
      <c r="Z1904" s="552"/>
      <c r="AA1904" s="553"/>
      <c r="AB1904" s="553"/>
    </row>
    <row r="1905" spans="1:28" ht="12.75">
      <c r="A1905" s="547" t="s">
        <v>183</v>
      </c>
      <c r="B1905" s="547" t="s">
        <v>183</v>
      </c>
      <c r="C1905" s="548" t="s">
        <v>784</v>
      </c>
      <c r="D1905" s="549">
        <v>2015</v>
      </c>
      <c r="E1905" s="549" t="s">
        <v>775</v>
      </c>
      <c r="F1905" s="550">
        <v>285</v>
      </c>
      <c r="G1905" s="550">
        <v>1</v>
      </c>
      <c r="H1905" s="550">
        <v>1</v>
      </c>
      <c r="I1905" s="550">
        <v>0</v>
      </c>
      <c r="J1905" s="550">
        <v>179</v>
      </c>
      <c r="K1905" s="550">
        <v>1</v>
      </c>
      <c r="L1905" s="550">
        <v>1</v>
      </c>
      <c r="M1905" s="550">
        <v>0</v>
      </c>
      <c r="N1905" s="550">
        <v>201</v>
      </c>
      <c r="O1905" s="550">
        <v>2</v>
      </c>
      <c r="P1905" s="550">
        <v>478</v>
      </c>
      <c r="Q1905" s="550">
        <v>168</v>
      </c>
      <c r="R1905" s="574" t="s">
        <v>183</v>
      </c>
      <c r="S1905" s="552"/>
      <c r="T1905" s="552"/>
      <c r="U1905" s="552"/>
      <c r="V1905" s="552"/>
      <c r="W1905" s="552"/>
      <c r="X1905" s="552"/>
      <c r="Y1905" s="552"/>
      <c r="Z1905" s="552"/>
      <c r="AA1905" s="553"/>
      <c r="AB1905" s="553"/>
    </row>
    <row r="1906" spans="1:28" ht="12.75">
      <c r="A1906" s="547" t="s">
        <v>183</v>
      </c>
      <c r="B1906" s="547" t="s">
        <v>183</v>
      </c>
      <c r="C1906" s="548" t="s">
        <v>784</v>
      </c>
      <c r="D1906" s="549">
        <v>2016</v>
      </c>
      <c r="E1906" s="549" t="s">
        <v>775</v>
      </c>
      <c r="F1906" s="550">
        <v>285</v>
      </c>
      <c r="G1906" s="550">
        <v>19</v>
      </c>
      <c r="H1906" s="550">
        <v>19</v>
      </c>
      <c r="I1906" s="550">
        <v>0</v>
      </c>
      <c r="J1906" s="550">
        <v>179</v>
      </c>
      <c r="K1906" s="550">
        <v>1</v>
      </c>
      <c r="L1906" s="550">
        <v>1</v>
      </c>
      <c r="M1906" s="550">
        <v>0</v>
      </c>
      <c r="N1906" s="550">
        <v>201</v>
      </c>
      <c r="O1906" s="550">
        <v>3</v>
      </c>
      <c r="P1906" s="550">
        <v>478</v>
      </c>
      <c r="Q1906" s="550">
        <v>111</v>
      </c>
      <c r="R1906" s="574" t="s">
        <v>183</v>
      </c>
      <c r="S1906" s="552"/>
      <c r="T1906" s="552"/>
      <c r="U1906" s="552"/>
      <c r="V1906" s="552"/>
      <c r="W1906" s="552"/>
      <c r="X1906" s="552"/>
      <c r="Y1906" s="552"/>
      <c r="Z1906" s="552"/>
      <c r="AA1906" s="553"/>
      <c r="AB1906" s="553"/>
    </row>
    <row r="1907" spans="1:28" ht="12.75">
      <c r="A1907" s="547" t="s">
        <v>183</v>
      </c>
      <c r="B1907" s="547" t="s">
        <v>183</v>
      </c>
      <c r="C1907" s="548" t="s">
        <v>784</v>
      </c>
      <c r="D1907" s="549">
        <v>2017</v>
      </c>
      <c r="E1907" s="549" t="s">
        <v>775</v>
      </c>
      <c r="F1907" s="550">
        <v>285</v>
      </c>
      <c r="G1907" s="550">
        <v>41</v>
      </c>
      <c r="H1907" s="550">
        <v>41</v>
      </c>
      <c r="I1907" s="550">
        <v>0</v>
      </c>
      <c r="J1907" s="550">
        <v>179</v>
      </c>
      <c r="K1907" s="550">
        <v>9</v>
      </c>
      <c r="L1907" s="550">
        <v>9</v>
      </c>
      <c r="M1907" s="550">
        <v>0</v>
      </c>
      <c r="N1907" s="550">
        <v>201</v>
      </c>
      <c r="O1907" s="550">
        <v>0</v>
      </c>
      <c r="P1907" s="550">
        <v>478</v>
      </c>
      <c r="Q1907" s="550">
        <v>164</v>
      </c>
      <c r="R1907" s="574" t="s">
        <v>183</v>
      </c>
      <c r="S1907" s="552"/>
      <c r="T1907" s="552"/>
      <c r="U1907" s="552"/>
      <c r="V1907" s="552"/>
      <c r="W1907" s="552"/>
      <c r="X1907" s="552"/>
      <c r="Y1907" s="552"/>
      <c r="Z1907" s="552"/>
      <c r="AA1907" s="553"/>
      <c r="AB1907" s="553"/>
    </row>
    <row r="1908" spans="1:28" ht="12.75">
      <c r="A1908" s="547" t="s">
        <v>183</v>
      </c>
      <c r="B1908" s="547" t="s">
        <v>183</v>
      </c>
      <c r="C1908" s="548" t="s">
        <v>784</v>
      </c>
      <c r="D1908" s="549">
        <v>2018</v>
      </c>
      <c r="E1908" s="549" t="s">
        <v>775</v>
      </c>
      <c r="F1908" s="550">
        <v>285</v>
      </c>
      <c r="G1908" s="550">
        <v>70</v>
      </c>
      <c r="H1908" s="550">
        <v>70</v>
      </c>
      <c r="I1908" s="550">
        <v>0</v>
      </c>
      <c r="J1908" s="550">
        <v>179</v>
      </c>
      <c r="K1908" s="550">
        <v>4</v>
      </c>
      <c r="L1908" s="550">
        <v>4</v>
      </c>
      <c r="M1908" s="550">
        <v>0</v>
      </c>
      <c r="N1908" s="550">
        <v>201</v>
      </c>
      <c r="O1908" s="550">
        <v>0</v>
      </c>
      <c r="P1908" s="550">
        <v>478</v>
      </c>
      <c r="Q1908" s="550">
        <v>220</v>
      </c>
      <c r="R1908" s="574" t="s">
        <v>183</v>
      </c>
      <c r="S1908" s="552"/>
      <c r="T1908" s="552"/>
      <c r="U1908" s="552"/>
      <c r="V1908" s="552"/>
      <c r="W1908" s="552"/>
      <c r="X1908" s="552"/>
      <c r="Y1908" s="552"/>
      <c r="Z1908" s="552"/>
      <c r="AA1908" s="553"/>
      <c r="AB1908" s="553"/>
    </row>
    <row r="1909" spans="1:28" ht="12.75">
      <c r="A1909" s="547" t="s">
        <v>183</v>
      </c>
      <c r="B1909" s="547" t="s">
        <v>183</v>
      </c>
      <c r="C1909" s="548" t="s">
        <v>785</v>
      </c>
      <c r="D1909" s="549">
        <v>2019</v>
      </c>
      <c r="E1909" s="549" t="s">
        <v>775</v>
      </c>
      <c r="F1909" s="550">
        <v>285</v>
      </c>
      <c r="G1909" s="550">
        <v>0</v>
      </c>
      <c r="H1909" s="550">
        <v>0</v>
      </c>
      <c r="I1909" s="550">
        <v>0</v>
      </c>
      <c r="J1909" s="550">
        <v>179</v>
      </c>
      <c r="K1909" s="550">
        <v>6</v>
      </c>
      <c r="L1909" s="550">
        <v>6</v>
      </c>
      <c r="M1909" s="550">
        <v>0</v>
      </c>
      <c r="N1909" s="550">
        <v>201</v>
      </c>
      <c r="O1909" s="550">
        <v>8</v>
      </c>
      <c r="P1909" s="550">
        <v>478</v>
      </c>
      <c r="Q1909" s="550">
        <v>523</v>
      </c>
      <c r="R1909" s="574" t="s">
        <v>183</v>
      </c>
      <c r="S1909" s="552">
        <f>SUM(G1904:G1909) +SUM(K1904:K1909)</f>
        <v>203</v>
      </c>
      <c r="T1909" s="552">
        <f>F1909+J1909</f>
        <v>464</v>
      </c>
      <c r="U1909" s="552">
        <f>SUM(O1904:O1909)</f>
        <v>21</v>
      </c>
      <c r="V1909" s="552">
        <f>N1909</f>
        <v>201</v>
      </c>
      <c r="W1909" s="554">
        <f>SUM(Q1904:Q1909)</f>
        <v>1332</v>
      </c>
      <c r="X1909" s="552">
        <f>P1909</f>
        <v>478</v>
      </c>
      <c r="Y1909" s="552">
        <f>S1909+U1909+SUM(Q1904:Q1909)</f>
        <v>1556</v>
      </c>
      <c r="Z1909" s="552">
        <f>F1909+J1909+N1909+P1909</f>
        <v>1143</v>
      </c>
      <c r="AA1909" s="553"/>
      <c r="AB1909" s="553"/>
    </row>
    <row r="1910" spans="1:28" ht="12.75">
      <c r="A1910" s="547" t="s">
        <v>622</v>
      </c>
      <c r="B1910" s="547" t="s">
        <v>183</v>
      </c>
      <c r="C1910" s="548" t="s">
        <v>784</v>
      </c>
      <c r="D1910" s="549">
        <v>2014</v>
      </c>
      <c r="E1910" s="549" t="s">
        <v>775</v>
      </c>
      <c r="F1910" s="550">
        <v>336</v>
      </c>
      <c r="G1910" s="550">
        <v>1</v>
      </c>
      <c r="H1910" s="550">
        <v>1</v>
      </c>
      <c r="I1910" s="550">
        <v>0</v>
      </c>
      <c r="J1910" s="550">
        <v>211</v>
      </c>
      <c r="K1910" s="550">
        <v>5</v>
      </c>
      <c r="L1910" s="550">
        <v>5</v>
      </c>
      <c r="M1910" s="550">
        <v>0</v>
      </c>
      <c r="N1910" s="550">
        <v>237</v>
      </c>
      <c r="O1910" s="550">
        <v>22</v>
      </c>
      <c r="P1910" s="550">
        <v>563</v>
      </c>
      <c r="Q1910" s="550">
        <v>293</v>
      </c>
      <c r="R1910" s="574" t="s">
        <v>622</v>
      </c>
      <c r="S1910" s="552"/>
      <c r="T1910" s="552"/>
      <c r="U1910" s="552"/>
      <c r="V1910" s="552"/>
      <c r="W1910" s="552"/>
      <c r="X1910" s="552"/>
      <c r="Y1910" s="552"/>
      <c r="Z1910" s="552"/>
      <c r="AA1910" s="553"/>
      <c r="AB1910" s="553"/>
    </row>
    <row r="1911" spans="1:28" ht="12.75">
      <c r="A1911" s="547" t="s">
        <v>622</v>
      </c>
      <c r="B1911" s="547" t="s">
        <v>183</v>
      </c>
      <c r="C1911" s="548" t="s">
        <v>784</v>
      </c>
      <c r="D1911" s="549">
        <v>2015</v>
      </c>
      <c r="E1911" s="549" t="s">
        <v>775</v>
      </c>
      <c r="F1911" s="550">
        <v>336</v>
      </c>
      <c r="G1911" s="550">
        <v>7</v>
      </c>
      <c r="H1911" s="550">
        <v>2</v>
      </c>
      <c r="I1911" s="550">
        <v>5</v>
      </c>
      <c r="J1911" s="550">
        <v>211</v>
      </c>
      <c r="K1911" s="550">
        <v>10</v>
      </c>
      <c r="L1911" s="550">
        <v>3</v>
      </c>
      <c r="M1911" s="550">
        <v>7</v>
      </c>
      <c r="N1911" s="550">
        <v>237</v>
      </c>
      <c r="O1911" s="550">
        <v>27</v>
      </c>
      <c r="P1911" s="550">
        <v>563</v>
      </c>
      <c r="Q1911" s="550">
        <v>282</v>
      </c>
      <c r="R1911" s="574" t="s">
        <v>622</v>
      </c>
      <c r="S1911" s="552"/>
      <c r="T1911" s="552"/>
      <c r="U1911" s="552"/>
      <c r="V1911" s="552"/>
      <c r="W1911" s="552"/>
      <c r="X1911" s="552"/>
      <c r="Y1911" s="552"/>
      <c r="Z1911" s="552"/>
      <c r="AA1911" s="553"/>
      <c r="AB1911" s="553"/>
    </row>
    <row r="1912" spans="1:28" ht="12.75">
      <c r="A1912" s="547" t="s">
        <v>622</v>
      </c>
      <c r="B1912" s="547" t="s">
        <v>183</v>
      </c>
      <c r="C1912" s="548" t="s">
        <v>784</v>
      </c>
      <c r="D1912" s="549">
        <v>2016</v>
      </c>
      <c r="E1912" s="549" t="s">
        <v>775</v>
      </c>
      <c r="F1912" s="550">
        <v>336</v>
      </c>
      <c r="G1912" s="550">
        <v>20</v>
      </c>
      <c r="H1912" s="550">
        <v>14</v>
      </c>
      <c r="I1912" s="550">
        <v>6</v>
      </c>
      <c r="J1912" s="550">
        <v>211</v>
      </c>
      <c r="K1912" s="550">
        <v>43</v>
      </c>
      <c r="L1912" s="550">
        <v>34</v>
      </c>
      <c r="M1912" s="550">
        <v>9</v>
      </c>
      <c r="N1912" s="550">
        <v>237</v>
      </c>
      <c r="O1912" s="550">
        <v>48</v>
      </c>
      <c r="P1912" s="550">
        <v>563</v>
      </c>
      <c r="Q1912" s="550">
        <v>278</v>
      </c>
      <c r="R1912" s="574" t="s">
        <v>622</v>
      </c>
      <c r="S1912" s="552"/>
      <c r="T1912" s="552"/>
      <c r="U1912" s="552"/>
      <c r="V1912" s="552"/>
      <c r="W1912" s="552"/>
      <c r="X1912" s="552"/>
      <c r="Y1912" s="552"/>
      <c r="Z1912" s="552"/>
      <c r="AA1912" s="553"/>
      <c r="AB1912" s="553"/>
    </row>
    <row r="1913" spans="1:28" ht="12.75">
      <c r="A1913" s="547" t="s">
        <v>622</v>
      </c>
      <c r="B1913" s="547" t="s">
        <v>183</v>
      </c>
      <c r="C1913" s="548" t="s">
        <v>784</v>
      </c>
      <c r="D1913" s="549">
        <v>2017</v>
      </c>
      <c r="E1913" s="549" t="s">
        <v>775</v>
      </c>
      <c r="F1913" s="550">
        <v>336</v>
      </c>
      <c r="G1913" s="550">
        <v>12</v>
      </c>
      <c r="H1913" s="550">
        <v>3</v>
      </c>
      <c r="I1913" s="550">
        <v>9</v>
      </c>
      <c r="J1913" s="550">
        <v>211</v>
      </c>
      <c r="K1913" s="550">
        <v>14</v>
      </c>
      <c r="L1913" s="550">
        <v>5</v>
      </c>
      <c r="M1913" s="550">
        <v>9</v>
      </c>
      <c r="N1913" s="550">
        <v>237</v>
      </c>
      <c r="O1913" s="550">
        <v>45</v>
      </c>
      <c r="P1913" s="550">
        <v>563</v>
      </c>
      <c r="Q1913" s="550">
        <v>371</v>
      </c>
      <c r="R1913" s="574" t="s">
        <v>622</v>
      </c>
      <c r="S1913" s="552"/>
      <c r="T1913" s="552"/>
      <c r="U1913" s="552"/>
      <c r="V1913" s="552"/>
      <c r="W1913" s="552"/>
      <c r="X1913" s="552"/>
      <c r="Y1913" s="552"/>
      <c r="Z1913" s="552"/>
      <c r="AA1913" s="553"/>
      <c r="AB1913" s="553"/>
    </row>
    <row r="1914" spans="1:28" ht="12.75">
      <c r="A1914" s="547" t="s">
        <v>622</v>
      </c>
      <c r="B1914" s="547" t="s">
        <v>183</v>
      </c>
      <c r="C1914" s="548" t="s">
        <v>784</v>
      </c>
      <c r="D1914" s="549">
        <v>2018</v>
      </c>
      <c r="E1914" s="549" t="s">
        <v>775</v>
      </c>
      <c r="F1914" s="550">
        <v>336</v>
      </c>
      <c r="G1914" s="550">
        <v>12</v>
      </c>
      <c r="H1914" s="550">
        <v>12</v>
      </c>
      <c r="I1914" s="550">
        <v>0</v>
      </c>
      <c r="J1914" s="550">
        <v>211</v>
      </c>
      <c r="K1914" s="550">
        <v>17</v>
      </c>
      <c r="L1914" s="550">
        <v>17</v>
      </c>
      <c r="M1914" s="550">
        <v>0</v>
      </c>
      <c r="N1914" s="550">
        <v>237</v>
      </c>
      <c r="O1914" s="550">
        <v>14</v>
      </c>
      <c r="P1914" s="550">
        <v>563</v>
      </c>
      <c r="Q1914" s="550">
        <v>343</v>
      </c>
      <c r="R1914" s="574" t="s">
        <v>622</v>
      </c>
      <c r="S1914" s="552"/>
      <c r="T1914" s="552"/>
      <c r="U1914" s="552"/>
      <c r="V1914" s="552"/>
      <c r="W1914" s="552"/>
      <c r="X1914" s="552"/>
      <c r="Y1914" s="552"/>
      <c r="Z1914" s="552"/>
      <c r="AA1914" s="553"/>
      <c r="AB1914" s="553"/>
    </row>
    <row r="1915" spans="1:28" ht="12.75">
      <c r="A1915" s="547" t="s">
        <v>622</v>
      </c>
      <c r="B1915" s="547" t="s">
        <v>183</v>
      </c>
      <c r="C1915" s="548" t="s">
        <v>785</v>
      </c>
      <c r="D1915" s="549">
        <v>2019</v>
      </c>
      <c r="E1915" s="549" t="s">
        <v>775</v>
      </c>
      <c r="F1915" s="550">
        <v>336</v>
      </c>
      <c r="G1915" s="550">
        <v>7</v>
      </c>
      <c r="H1915" s="550">
        <v>7</v>
      </c>
      <c r="I1915" s="550">
        <v>0</v>
      </c>
      <c r="J1915" s="550">
        <v>211</v>
      </c>
      <c r="K1915" s="550">
        <v>26</v>
      </c>
      <c r="L1915" s="550">
        <v>13</v>
      </c>
      <c r="M1915" s="550">
        <v>13</v>
      </c>
      <c r="N1915" s="550">
        <v>237</v>
      </c>
      <c r="O1915" s="550">
        <v>20</v>
      </c>
      <c r="P1915" s="550">
        <v>563</v>
      </c>
      <c r="Q1915" s="550">
        <v>279</v>
      </c>
      <c r="R1915" s="574" t="s">
        <v>622</v>
      </c>
      <c r="S1915" s="556">
        <f>SUM(G1910:G1915) +SUM(K1910:K1915)</f>
        <v>174</v>
      </c>
      <c r="T1915" s="556">
        <f>F1915+J1915</f>
        <v>547</v>
      </c>
      <c r="U1915" s="556">
        <f>SUM(O1910:O1915)</f>
        <v>176</v>
      </c>
      <c r="V1915" s="556">
        <f>N1915</f>
        <v>237</v>
      </c>
      <c r="W1915" s="557">
        <f>SUM(Q1910:Q1915)</f>
        <v>1846</v>
      </c>
      <c r="X1915" s="556">
        <f>P1915</f>
        <v>563</v>
      </c>
      <c r="Y1915" s="556">
        <f>S1915+U1915+SUM(Q1910:Q1915)</f>
        <v>2196</v>
      </c>
      <c r="Z1915" s="556">
        <f>F1915+J1915+N1915+P1915</f>
        <v>1347</v>
      </c>
      <c r="AA1915" s="553"/>
      <c r="AB1915" s="553"/>
    </row>
    <row r="1916" spans="1:28" ht="12.75">
      <c r="A1916" s="547"/>
      <c r="B1916" s="547"/>
      <c r="C1916" s="548"/>
      <c r="D1916" s="549"/>
      <c r="E1916" s="549"/>
      <c r="F1916" s="550"/>
      <c r="G1916" s="550"/>
      <c r="H1916" s="550"/>
      <c r="I1916" s="550"/>
      <c r="J1916" s="550"/>
      <c r="K1916" s="550"/>
      <c r="L1916" s="550"/>
      <c r="M1916" s="550"/>
      <c r="N1916" s="550"/>
      <c r="O1916" s="550"/>
      <c r="P1916" s="550"/>
      <c r="Q1916" s="550"/>
      <c r="R1916" s="574"/>
      <c r="S1916" s="563">
        <f t="shared" ref="S1916:Z1916" si="213">SUM(S1875:S1915)</f>
        <v>815</v>
      </c>
      <c r="T1916" s="563">
        <f t="shared" si="213"/>
        <v>1661</v>
      </c>
      <c r="U1916" s="563">
        <f t="shared" si="213"/>
        <v>614</v>
      </c>
      <c r="V1916" s="563">
        <f t="shared" si="213"/>
        <v>720</v>
      </c>
      <c r="W1916" s="563">
        <f t="shared" si="213"/>
        <v>4274</v>
      </c>
      <c r="X1916" s="563">
        <f t="shared" si="213"/>
        <v>1710</v>
      </c>
      <c r="Y1916" s="563">
        <f t="shared" si="213"/>
        <v>5703</v>
      </c>
      <c r="Z1916" s="563">
        <f t="shared" si="213"/>
        <v>4091</v>
      </c>
      <c r="AA1916" s="553"/>
      <c r="AB1916" s="553"/>
    </row>
    <row r="1917" spans="1:28" ht="12.75">
      <c r="A1917" s="547" t="s">
        <v>623</v>
      </c>
      <c r="B1917" s="547" t="s">
        <v>184</v>
      </c>
      <c r="C1917" s="548" t="s">
        <v>774</v>
      </c>
      <c r="D1917" s="549">
        <v>2014</v>
      </c>
      <c r="E1917" s="549" t="s">
        <v>775</v>
      </c>
      <c r="F1917" s="550">
        <v>35</v>
      </c>
      <c r="G1917" s="550">
        <v>1</v>
      </c>
      <c r="H1917" s="550">
        <v>0</v>
      </c>
      <c r="I1917" s="550">
        <v>1</v>
      </c>
      <c r="J1917" s="550">
        <v>26</v>
      </c>
      <c r="K1917" s="550">
        <v>3</v>
      </c>
      <c r="L1917" s="550">
        <v>0</v>
      </c>
      <c r="M1917" s="550">
        <v>3</v>
      </c>
      <c r="N1917" s="550">
        <v>29</v>
      </c>
      <c r="O1917" s="550">
        <v>0</v>
      </c>
      <c r="P1917" s="550">
        <v>3</v>
      </c>
      <c r="Q1917" s="550">
        <v>1</v>
      </c>
      <c r="R1917" s="574" t="s">
        <v>623</v>
      </c>
      <c r="S1917" s="552"/>
      <c r="T1917" s="552"/>
      <c r="U1917" s="552"/>
      <c r="V1917" s="552"/>
      <c r="W1917" s="552"/>
      <c r="X1917" s="552"/>
      <c r="Y1917" s="552"/>
      <c r="Z1917" s="552"/>
      <c r="AA1917" s="553"/>
      <c r="AB1917" s="553"/>
    </row>
    <row r="1918" spans="1:28" ht="12.75">
      <c r="A1918" s="547" t="s">
        <v>623</v>
      </c>
      <c r="B1918" s="547" t="s">
        <v>184</v>
      </c>
      <c r="C1918" s="548" t="s">
        <v>774</v>
      </c>
      <c r="D1918" s="549">
        <v>2015</v>
      </c>
      <c r="E1918" s="549" t="s">
        <v>775</v>
      </c>
      <c r="F1918" s="550">
        <v>35</v>
      </c>
      <c r="G1918" s="550">
        <v>12</v>
      </c>
      <c r="H1918" s="550">
        <v>12</v>
      </c>
      <c r="I1918" s="550">
        <v>0</v>
      </c>
      <c r="J1918" s="550">
        <v>26</v>
      </c>
      <c r="K1918" s="550">
        <v>0</v>
      </c>
      <c r="L1918" s="550">
        <v>0</v>
      </c>
      <c r="M1918" s="550">
        <v>0</v>
      </c>
      <c r="N1918" s="550">
        <v>29</v>
      </c>
      <c r="O1918" s="550">
        <v>0</v>
      </c>
      <c r="P1918" s="550">
        <v>3</v>
      </c>
      <c r="Q1918" s="550">
        <v>0</v>
      </c>
      <c r="R1918" s="574" t="s">
        <v>623</v>
      </c>
      <c r="S1918" s="552"/>
      <c r="T1918" s="552"/>
      <c r="U1918" s="552"/>
      <c r="V1918" s="552"/>
      <c r="W1918" s="552"/>
      <c r="X1918" s="552"/>
      <c r="Y1918" s="552"/>
      <c r="Z1918" s="552"/>
      <c r="AA1918" s="553"/>
      <c r="AB1918" s="553"/>
    </row>
    <row r="1919" spans="1:28" ht="12.75">
      <c r="A1919" s="547" t="s">
        <v>623</v>
      </c>
      <c r="B1919" s="547" t="s">
        <v>184</v>
      </c>
      <c r="C1919" s="548" t="s">
        <v>774</v>
      </c>
      <c r="D1919" s="549">
        <v>2016</v>
      </c>
      <c r="E1919" s="549" t="s">
        <v>775</v>
      </c>
      <c r="F1919" s="550">
        <v>35</v>
      </c>
      <c r="G1919" s="550">
        <v>5</v>
      </c>
      <c r="H1919" s="550">
        <v>0</v>
      </c>
      <c r="I1919" s="550">
        <v>5</v>
      </c>
      <c r="J1919" s="550">
        <v>26</v>
      </c>
      <c r="K1919" s="550">
        <v>3</v>
      </c>
      <c r="L1919" s="550">
        <v>0</v>
      </c>
      <c r="M1919" s="550">
        <v>3</v>
      </c>
      <c r="N1919" s="550">
        <v>29</v>
      </c>
      <c r="O1919" s="550">
        <v>2</v>
      </c>
      <c r="P1919" s="550">
        <v>3</v>
      </c>
      <c r="Q1919" s="550">
        <v>5</v>
      </c>
      <c r="R1919" s="574" t="s">
        <v>623</v>
      </c>
      <c r="S1919" s="552"/>
      <c r="T1919" s="552"/>
      <c r="U1919" s="552"/>
      <c r="V1919" s="552"/>
      <c r="W1919" s="552"/>
      <c r="X1919" s="552"/>
      <c r="Y1919" s="552"/>
      <c r="Z1919" s="552"/>
      <c r="AA1919" s="553"/>
      <c r="AB1919" s="553"/>
    </row>
    <row r="1920" spans="1:28" ht="12.75">
      <c r="A1920" s="547" t="s">
        <v>623</v>
      </c>
      <c r="B1920" s="547" t="s">
        <v>184</v>
      </c>
      <c r="C1920" s="548" t="s">
        <v>774</v>
      </c>
      <c r="D1920" s="549">
        <v>2017</v>
      </c>
      <c r="E1920" s="549" t="s">
        <v>775</v>
      </c>
      <c r="F1920" s="550">
        <v>35</v>
      </c>
      <c r="G1920" s="550">
        <v>6</v>
      </c>
      <c r="H1920" s="550">
        <v>0</v>
      </c>
      <c r="I1920" s="550">
        <v>6</v>
      </c>
      <c r="J1920" s="550">
        <v>26</v>
      </c>
      <c r="K1920" s="550">
        <v>5</v>
      </c>
      <c r="L1920" s="550">
        <v>0</v>
      </c>
      <c r="M1920" s="550">
        <v>5</v>
      </c>
      <c r="N1920" s="550">
        <v>29</v>
      </c>
      <c r="O1920" s="550">
        <v>0</v>
      </c>
      <c r="P1920" s="550">
        <v>3</v>
      </c>
      <c r="Q1920" s="550">
        <v>25</v>
      </c>
      <c r="R1920" s="574" t="s">
        <v>623</v>
      </c>
      <c r="S1920" s="552"/>
      <c r="T1920" s="552"/>
      <c r="U1920" s="552"/>
      <c r="V1920" s="552"/>
      <c r="W1920" s="552"/>
      <c r="X1920" s="552"/>
      <c r="Y1920" s="552"/>
      <c r="Z1920" s="552"/>
      <c r="AA1920" s="553"/>
      <c r="AB1920" s="553"/>
    </row>
    <row r="1921" spans="1:28" ht="12.75">
      <c r="A1921" s="547" t="s">
        <v>623</v>
      </c>
      <c r="B1921" s="547" t="s">
        <v>184</v>
      </c>
      <c r="C1921" s="548" t="s">
        <v>774</v>
      </c>
      <c r="D1921" s="549">
        <v>2018</v>
      </c>
      <c r="E1921" s="549" t="s">
        <v>775</v>
      </c>
      <c r="F1921" s="550">
        <v>35</v>
      </c>
      <c r="G1921" s="550">
        <v>3</v>
      </c>
      <c r="H1921" s="550">
        <v>0</v>
      </c>
      <c r="I1921" s="550">
        <v>3</v>
      </c>
      <c r="J1921" s="550">
        <v>26</v>
      </c>
      <c r="K1921" s="550">
        <v>2</v>
      </c>
      <c r="L1921" s="550">
        <v>0</v>
      </c>
      <c r="M1921" s="550">
        <v>2</v>
      </c>
      <c r="N1921" s="550">
        <v>29</v>
      </c>
      <c r="O1921" s="550">
        <v>1</v>
      </c>
      <c r="P1921" s="550">
        <v>3</v>
      </c>
      <c r="Q1921" s="550">
        <v>28</v>
      </c>
      <c r="R1921" s="574" t="s">
        <v>623</v>
      </c>
      <c r="S1921" s="552"/>
      <c r="T1921" s="552"/>
      <c r="U1921" s="552"/>
      <c r="V1921" s="552"/>
      <c r="W1921" s="552"/>
      <c r="X1921" s="552"/>
      <c r="Y1921" s="552"/>
      <c r="Z1921" s="552"/>
      <c r="AA1921" s="553"/>
      <c r="AB1921" s="553"/>
    </row>
    <row r="1922" spans="1:28" ht="12.75">
      <c r="A1922" s="547" t="s">
        <v>623</v>
      </c>
      <c r="B1922" s="547" t="s">
        <v>184</v>
      </c>
      <c r="C1922" s="548" t="s">
        <v>782</v>
      </c>
      <c r="D1922" s="549">
        <v>2019</v>
      </c>
      <c r="E1922" s="549" t="s">
        <v>775</v>
      </c>
      <c r="F1922" s="550">
        <v>35</v>
      </c>
      <c r="G1922" s="550">
        <v>8</v>
      </c>
      <c r="H1922" s="550">
        <v>0</v>
      </c>
      <c r="I1922" s="550">
        <v>8</v>
      </c>
      <c r="J1922" s="550">
        <v>26</v>
      </c>
      <c r="K1922" s="550">
        <v>2</v>
      </c>
      <c r="L1922" s="550">
        <v>0</v>
      </c>
      <c r="M1922" s="550">
        <v>2</v>
      </c>
      <c r="N1922" s="550">
        <v>29</v>
      </c>
      <c r="O1922" s="550">
        <v>0</v>
      </c>
      <c r="P1922" s="550">
        <v>3</v>
      </c>
      <c r="Q1922" s="550">
        <v>19</v>
      </c>
      <c r="R1922" s="574" t="s">
        <v>623</v>
      </c>
      <c r="S1922" s="552">
        <f>SUM(G1917:G1922) +SUM(K1917:K1922)</f>
        <v>50</v>
      </c>
      <c r="T1922" s="552">
        <f>F1922+J1922</f>
        <v>61</v>
      </c>
      <c r="U1922" s="552">
        <f>SUM(O1917:O1922)</f>
        <v>3</v>
      </c>
      <c r="V1922" s="552">
        <f>N1922</f>
        <v>29</v>
      </c>
      <c r="W1922" s="554">
        <f>SUM(Q1917:Q1922)</f>
        <v>78</v>
      </c>
      <c r="X1922" s="552">
        <f>P1922</f>
        <v>3</v>
      </c>
      <c r="Y1922" s="552">
        <f>S1922+U1922+SUM(Q1917:Q1922)</f>
        <v>131</v>
      </c>
      <c r="Z1922" s="552">
        <f>F1922+J1922+N1922+P1922</f>
        <v>93</v>
      </c>
      <c r="AA1922" s="553"/>
      <c r="AB1922" s="553"/>
    </row>
    <row r="1923" spans="1:28" ht="12.75">
      <c r="A1923" s="547" t="s">
        <v>624</v>
      </c>
      <c r="B1923" s="547" t="s">
        <v>184</v>
      </c>
      <c r="C1923" s="548" t="s">
        <v>774</v>
      </c>
      <c r="D1923" s="549">
        <v>2014</v>
      </c>
      <c r="E1923" s="549" t="s">
        <v>775</v>
      </c>
      <c r="F1923" s="550">
        <v>116</v>
      </c>
      <c r="G1923" s="550">
        <v>0</v>
      </c>
      <c r="H1923" s="550">
        <v>0</v>
      </c>
      <c r="I1923" s="550">
        <v>0</v>
      </c>
      <c r="J1923" s="550">
        <v>63</v>
      </c>
      <c r="K1923" s="550">
        <v>0</v>
      </c>
      <c r="L1923" s="550">
        <v>0</v>
      </c>
      <c r="M1923" s="550">
        <v>0</v>
      </c>
      <c r="N1923" s="550">
        <v>67</v>
      </c>
      <c r="O1923" s="550">
        <v>0</v>
      </c>
      <c r="P1923" s="550">
        <v>222</v>
      </c>
      <c r="Q1923" s="550">
        <v>18</v>
      </c>
      <c r="R1923" s="574" t="s">
        <v>624</v>
      </c>
      <c r="S1923" s="552"/>
      <c r="T1923" s="552"/>
      <c r="U1923" s="552"/>
      <c r="V1923" s="552"/>
      <c r="W1923" s="552"/>
      <c r="X1923" s="552"/>
      <c r="Y1923" s="552"/>
      <c r="Z1923" s="552"/>
      <c r="AA1923" s="553"/>
      <c r="AB1923" s="553"/>
    </row>
    <row r="1924" spans="1:28" ht="12.75">
      <c r="A1924" s="547" t="s">
        <v>624</v>
      </c>
      <c r="B1924" s="547" t="s">
        <v>184</v>
      </c>
      <c r="C1924" s="548" t="s">
        <v>774</v>
      </c>
      <c r="D1924" s="549">
        <v>2015</v>
      </c>
      <c r="E1924" s="549" t="s">
        <v>775</v>
      </c>
      <c r="F1924" s="550">
        <v>116</v>
      </c>
      <c r="G1924" s="550">
        <v>0</v>
      </c>
      <c r="H1924" s="550">
        <v>0</v>
      </c>
      <c r="I1924" s="550">
        <v>0</v>
      </c>
      <c r="J1924" s="550">
        <v>63</v>
      </c>
      <c r="K1924" s="550">
        <v>0</v>
      </c>
      <c r="L1924" s="550">
        <v>0</v>
      </c>
      <c r="M1924" s="550">
        <v>0</v>
      </c>
      <c r="N1924" s="550">
        <v>67</v>
      </c>
      <c r="O1924" s="550">
        <v>0</v>
      </c>
      <c r="P1924" s="550">
        <v>222</v>
      </c>
      <c r="Q1924" s="550">
        <v>7</v>
      </c>
      <c r="R1924" s="574" t="s">
        <v>624</v>
      </c>
      <c r="S1924" s="552"/>
      <c r="T1924" s="552"/>
      <c r="U1924" s="552"/>
      <c r="V1924" s="552"/>
      <c r="W1924" s="552"/>
      <c r="X1924" s="552"/>
      <c r="Y1924" s="552"/>
      <c r="Z1924" s="552"/>
      <c r="AA1924" s="553"/>
      <c r="AB1924" s="553"/>
    </row>
    <row r="1925" spans="1:28" ht="12.75">
      <c r="A1925" s="547" t="s">
        <v>624</v>
      </c>
      <c r="B1925" s="547" t="s">
        <v>184</v>
      </c>
      <c r="C1925" s="548" t="s">
        <v>774</v>
      </c>
      <c r="D1925" s="549">
        <v>2016</v>
      </c>
      <c r="E1925" s="549" t="s">
        <v>775</v>
      </c>
      <c r="F1925" s="550">
        <v>116</v>
      </c>
      <c r="G1925" s="550">
        <v>0</v>
      </c>
      <c r="H1925" s="550">
        <v>0</v>
      </c>
      <c r="I1925" s="550">
        <v>0</v>
      </c>
      <c r="J1925" s="550">
        <v>63</v>
      </c>
      <c r="K1925" s="550">
        <v>0</v>
      </c>
      <c r="L1925" s="550">
        <v>0</v>
      </c>
      <c r="M1925" s="550">
        <v>0</v>
      </c>
      <c r="N1925" s="550">
        <v>67</v>
      </c>
      <c r="O1925" s="550">
        <v>0</v>
      </c>
      <c r="P1925" s="550">
        <v>222</v>
      </c>
      <c r="Q1925" s="550">
        <v>7</v>
      </c>
      <c r="R1925" s="574" t="s">
        <v>624</v>
      </c>
      <c r="S1925" s="552"/>
      <c r="T1925" s="552"/>
      <c r="U1925" s="552"/>
      <c r="V1925" s="552"/>
      <c r="W1925" s="552"/>
      <c r="X1925" s="552"/>
      <c r="Y1925" s="552"/>
      <c r="Z1925" s="552"/>
      <c r="AA1925" s="553"/>
      <c r="AB1925" s="553"/>
    </row>
    <row r="1926" spans="1:28" ht="12.75">
      <c r="A1926" s="547" t="s">
        <v>624</v>
      </c>
      <c r="B1926" s="547" t="s">
        <v>184</v>
      </c>
      <c r="C1926" s="548" t="s">
        <v>774</v>
      </c>
      <c r="D1926" s="549">
        <v>2017</v>
      </c>
      <c r="E1926" s="549" t="s">
        <v>775</v>
      </c>
      <c r="F1926" s="550">
        <v>116</v>
      </c>
      <c r="G1926" s="550">
        <v>0</v>
      </c>
      <c r="H1926" s="550">
        <v>0</v>
      </c>
      <c r="I1926" s="550">
        <v>0</v>
      </c>
      <c r="J1926" s="550">
        <v>63</v>
      </c>
      <c r="K1926" s="550">
        <v>0</v>
      </c>
      <c r="L1926" s="550">
        <v>0</v>
      </c>
      <c r="M1926" s="550">
        <v>0</v>
      </c>
      <c r="N1926" s="550">
        <v>67</v>
      </c>
      <c r="O1926" s="550">
        <v>4</v>
      </c>
      <c r="P1926" s="550">
        <v>222</v>
      </c>
      <c r="Q1926" s="550">
        <v>109</v>
      </c>
      <c r="R1926" s="574" t="s">
        <v>624</v>
      </c>
      <c r="S1926" s="552"/>
      <c r="T1926" s="552"/>
      <c r="U1926" s="552"/>
      <c r="V1926" s="552"/>
      <c r="W1926" s="552"/>
      <c r="X1926" s="552"/>
      <c r="Y1926" s="552"/>
      <c r="Z1926" s="552"/>
      <c r="AA1926" s="553"/>
      <c r="AB1926" s="553"/>
    </row>
    <row r="1927" spans="1:28" ht="12.75">
      <c r="A1927" s="547" t="s">
        <v>624</v>
      </c>
      <c r="B1927" s="547" t="s">
        <v>184</v>
      </c>
      <c r="C1927" s="548" t="s">
        <v>774</v>
      </c>
      <c r="D1927" s="549">
        <v>2018</v>
      </c>
      <c r="E1927" s="549" t="s">
        <v>775</v>
      </c>
      <c r="F1927" s="550">
        <v>116</v>
      </c>
      <c r="G1927" s="550">
        <v>0</v>
      </c>
      <c r="H1927" s="550">
        <v>0</v>
      </c>
      <c r="I1927" s="550">
        <v>0</v>
      </c>
      <c r="J1927" s="550">
        <v>63</v>
      </c>
      <c r="K1927" s="550">
        <v>0</v>
      </c>
      <c r="L1927" s="550">
        <v>0</v>
      </c>
      <c r="M1927" s="550">
        <v>0</v>
      </c>
      <c r="N1927" s="550">
        <v>67</v>
      </c>
      <c r="O1927" s="550">
        <v>9</v>
      </c>
      <c r="P1927" s="550">
        <v>222</v>
      </c>
      <c r="Q1927" s="550">
        <v>6</v>
      </c>
      <c r="R1927" s="574" t="s">
        <v>624</v>
      </c>
      <c r="S1927" s="552"/>
      <c r="T1927" s="552"/>
      <c r="U1927" s="552"/>
      <c r="V1927" s="552"/>
      <c r="W1927" s="552"/>
      <c r="X1927" s="552"/>
      <c r="Y1927" s="552"/>
      <c r="Z1927" s="552"/>
      <c r="AA1927" s="553"/>
      <c r="AB1927" s="553"/>
    </row>
    <row r="1928" spans="1:28" ht="12.75">
      <c r="A1928" s="547" t="s">
        <v>624</v>
      </c>
      <c r="B1928" s="547" t="s">
        <v>184</v>
      </c>
      <c r="C1928" s="548" t="s">
        <v>782</v>
      </c>
      <c r="D1928" s="549">
        <v>2019</v>
      </c>
      <c r="E1928" s="549" t="s">
        <v>775</v>
      </c>
      <c r="F1928" s="550">
        <v>116</v>
      </c>
      <c r="G1928" s="550">
        <v>0</v>
      </c>
      <c r="H1928" s="550">
        <v>0</v>
      </c>
      <c r="I1928" s="550">
        <v>0</v>
      </c>
      <c r="J1928" s="550">
        <v>63</v>
      </c>
      <c r="K1928" s="550">
        <v>0</v>
      </c>
      <c r="L1928" s="550">
        <v>0</v>
      </c>
      <c r="M1928" s="550">
        <v>0</v>
      </c>
      <c r="N1928" s="550">
        <v>67</v>
      </c>
      <c r="O1928" s="550">
        <v>12</v>
      </c>
      <c r="P1928" s="550">
        <v>222</v>
      </c>
      <c r="Q1928" s="550">
        <v>0</v>
      </c>
      <c r="R1928" s="574" t="s">
        <v>624</v>
      </c>
      <c r="S1928" s="552">
        <f>SUM(G1923:G1928) +SUM(K1923:K1928)</f>
        <v>0</v>
      </c>
      <c r="T1928" s="552">
        <f>F1928+J1928</f>
        <v>179</v>
      </c>
      <c r="U1928" s="552">
        <f>SUM(O1923:O1928)</f>
        <v>25</v>
      </c>
      <c r="V1928" s="552">
        <f>N1928</f>
        <v>67</v>
      </c>
      <c r="W1928" s="554">
        <f>SUM(Q1923:Q1928)</f>
        <v>147</v>
      </c>
      <c r="X1928" s="552">
        <f>P1928</f>
        <v>222</v>
      </c>
      <c r="Y1928" s="552">
        <f>S1928+U1928+SUM(Q1923:Q1928)</f>
        <v>172</v>
      </c>
      <c r="Z1928" s="552">
        <f>F1928+J1928+N1928+P1928</f>
        <v>468</v>
      </c>
      <c r="AA1928" s="553"/>
      <c r="AB1928" s="553"/>
    </row>
    <row r="1929" spans="1:28" ht="12.75">
      <c r="A1929" s="547" t="s">
        <v>625</v>
      </c>
      <c r="B1929" s="547" t="s">
        <v>184</v>
      </c>
      <c r="C1929" s="548" t="s">
        <v>774</v>
      </c>
      <c r="D1929" s="549">
        <v>2014</v>
      </c>
      <c r="E1929" s="549" t="s">
        <v>775</v>
      </c>
      <c r="F1929" s="550">
        <v>25</v>
      </c>
      <c r="G1929" s="550">
        <v>0</v>
      </c>
      <c r="H1929" s="550">
        <v>0</v>
      </c>
      <c r="I1929" s="550">
        <v>0</v>
      </c>
      <c r="J1929" s="550">
        <v>13</v>
      </c>
      <c r="K1929" s="550">
        <v>0</v>
      </c>
      <c r="L1929" s="550">
        <v>0</v>
      </c>
      <c r="M1929" s="550">
        <v>0</v>
      </c>
      <c r="N1929" s="550">
        <v>15</v>
      </c>
      <c r="O1929" s="550">
        <v>1</v>
      </c>
      <c r="P1929" s="550">
        <v>30</v>
      </c>
      <c r="Q1929" s="550">
        <v>38</v>
      </c>
      <c r="R1929" s="574" t="s">
        <v>625</v>
      </c>
      <c r="S1929" s="552"/>
      <c r="T1929" s="552"/>
      <c r="U1929" s="552"/>
      <c r="V1929" s="552"/>
      <c r="W1929" s="552"/>
      <c r="X1929" s="552"/>
      <c r="Y1929" s="552"/>
      <c r="Z1929" s="552"/>
      <c r="AA1929" s="553"/>
      <c r="AB1929" s="553"/>
    </row>
    <row r="1930" spans="1:28" ht="12.75">
      <c r="A1930" s="547" t="s">
        <v>625</v>
      </c>
      <c r="B1930" s="547" t="s">
        <v>184</v>
      </c>
      <c r="C1930" s="548" t="s">
        <v>774</v>
      </c>
      <c r="D1930" s="549">
        <v>2015</v>
      </c>
      <c r="E1930" s="549" t="s">
        <v>775</v>
      </c>
      <c r="F1930" s="550">
        <v>25</v>
      </c>
      <c r="G1930" s="550">
        <v>0</v>
      </c>
      <c r="H1930" s="550">
        <v>0</v>
      </c>
      <c r="I1930" s="550">
        <v>0</v>
      </c>
      <c r="J1930" s="550">
        <v>13</v>
      </c>
      <c r="K1930" s="550">
        <v>0</v>
      </c>
      <c r="L1930" s="550">
        <v>0</v>
      </c>
      <c r="M1930" s="550">
        <v>0</v>
      </c>
      <c r="N1930" s="550">
        <v>15</v>
      </c>
      <c r="O1930" s="550">
        <v>1</v>
      </c>
      <c r="P1930" s="550">
        <v>30</v>
      </c>
      <c r="Q1930" s="550">
        <v>2</v>
      </c>
      <c r="R1930" s="574" t="s">
        <v>625</v>
      </c>
      <c r="S1930" s="552"/>
      <c r="T1930" s="552"/>
      <c r="U1930" s="552"/>
      <c r="V1930" s="552"/>
      <c r="W1930" s="552"/>
      <c r="X1930" s="552"/>
      <c r="Y1930" s="552"/>
      <c r="Z1930" s="552"/>
      <c r="AA1930" s="553"/>
      <c r="AB1930" s="553"/>
    </row>
    <row r="1931" spans="1:28" ht="12.75">
      <c r="A1931" s="547" t="s">
        <v>625</v>
      </c>
      <c r="B1931" s="547" t="s">
        <v>184</v>
      </c>
      <c r="C1931" s="548" t="s">
        <v>774</v>
      </c>
      <c r="D1931" s="549">
        <v>2016</v>
      </c>
      <c r="E1931" s="549" t="s">
        <v>775</v>
      </c>
      <c r="F1931" s="550">
        <v>25</v>
      </c>
      <c r="G1931" s="550">
        <v>0</v>
      </c>
      <c r="H1931" s="550">
        <v>0</v>
      </c>
      <c r="I1931" s="550">
        <v>0</v>
      </c>
      <c r="J1931" s="550">
        <v>13</v>
      </c>
      <c r="K1931" s="550">
        <v>0</v>
      </c>
      <c r="L1931" s="550">
        <v>0</v>
      </c>
      <c r="M1931" s="550">
        <v>0</v>
      </c>
      <c r="N1931" s="550">
        <v>15</v>
      </c>
      <c r="O1931" s="550">
        <v>3</v>
      </c>
      <c r="P1931" s="550">
        <v>30</v>
      </c>
      <c r="Q1931" s="550">
        <v>4</v>
      </c>
      <c r="R1931" s="574" t="s">
        <v>625</v>
      </c>
      <c r="S1931" s="552"/>
      <c r="T1931" s="552"/>
      <c r="U1931" s="552"/>
      <c r="V1931" s="552"/>
      <c r="W1931" s="552"/>
      <c r="X1931" s="552"/>
      <c r="Y1931" s="552"/>
      <c r="Z1931" s="552"/>
      <c r="AA1931" s="553"/>
      <c r="AB1931" s="553"/>
    </row>
    <row r="1932" spans="1:28" ht="12.75">
      <c r="A1932" s="547" t="s">
        <v>625</v>
      </c>
      <c r="B1932" s="547" t="s">
        <v>184</v>
      </c>
      <c r="C1932" s="548" t="s">
        <v>774</v>
      </c>
      <c r="D1932" s="549">
        <v>2017</v>
      </c>
      <c r="E1932" s="549" t="s">
        <v>775</v>
      </c>
      <c r="F1932" s="550">
        <v>25</v>
      </c>
      <c r="G1932" s="550">
        <v>0</v>
      </c>
      <c r="H1932" s="550">
        <v>0</v>
      </c>
      <c r="I1932" s="550">
        <v>0</v>
      </c>
      <c r="J1932" s="550">
        <v>13</v>
      </c>
      <c r="K1932" s="550">
        <v>0</v>
      </c>
      <c r="L1932" s="550">
        <v>0</v>
      </c>
      <c r="M1932" s="550">
        <v>0</v>
      </c>
      <c r="N1932" s="550">
        <v>15</v>
      </c>
      <c r="O1932" s="550">
        <v>3</v>
      </c>
      <c r="P1932" s="550">
        <v>30</v>
      </c>
      <c r="Q1932" s="550">
        <v>4</v>
      </c>
      <c r="R1932" s="574" t="s">
        <v>625</v>
      </c>
      <c r="S1932" s="552"/>
      <c r="T1932" s="552"/>
      <c r="U1932" s="552"/>
      <c r="V1932" s="552"/>
      <c r="W1932" s="552"/>
      <c r="X1932" s="552"/>
      <c r="Y1932" s="552"/>
      <c r="Z1932" s="552"/>
      <c r="AA1932" s="553"/>
      <c r="AB1932" s="553"/>
    </row>
    <row r="1933" spans="1:28" ht="12.75">
      <c r="A1933" s="547" t="s">
        <v>625</v>
      </c>
      <c r="B1933" s="547" t="s">
        <v>184</v>
      </c>
      <c r="C1933" s="548" t="s">
        <v>774</v>
      </c>
      <c r="D1933" s="549">
        <v>2018</v>
      </c>
      <c r="E1933" s="549" t="s">
        <v>775</v>
      </c>
      <c r="F1933" s="550">
        <v>25</v>
      </c>
      <c r="G1933" s="550">
        <v>0</v>
      </c>
      <c r="H1933" s="550">
        <v>0</v>
      </c>
      <c r="I1933" s="550">
        <v>0</v>
      </c>
      <c r="J1933" s="550">
        <v>13</v>
      </c>
      <c r="K1933" s="550">
        <v>0</v>
      </c>
      <c r="L1933" s="550">
        <v>0</v>
      </c>
      <c r="M1933" s="550">
        <v>0</v>
      </c>
      <c r="N1933" s="550">
        <v>15</v>
      </c>
      <c r="O1933" s="550">
        <v>5</v>
      </c>
      <c r="P1933" s="550">
        <v>30</v>
      </c>
      <c r="Q1933" s="550">
        <v>1</v>
      </c>
      <c r="R1933" s="574" t="s">
        <v>625</v>
      </c>
      <c r="S1933" s="552"/>
      <c r="T1933" s="552"/>
      <c r="U1933" s="552"/>
      <c r="V1933" s="552"/>
      <c r="W1933" s="552"/>
      <c r="X1933" s="552"/>
      <c r="Y1933" s="552"/>
      <c r="Z1933" s="552"/>
      <c r="AA1933" s="553"/>
      <c r="AB1933" s="553"/>
    </row>
    <row r="1934" spans="1:28" ht="12.75">
      <c r="A1934" s="547" t="s">
        <v>625</v>
      </c>
      <c r="B1934" s="547" t="s">
        <v>184</v>
      </c>
      <c r="C1934" s="548" t="s">
        <v>782</v>
      </c>
      <c r="D1934" s="549">
        <v>2019</v>
      </c>
      <c r="E1934" s="549" t="s">
        <v>775</v>
      </c>
      <c r="F1934" s="550">
        <v>25</v>
      </c>
      <c r="G1934" s="550">
        <v>0</v>
      </c>
      <c r="H1934" s="550">
        <v>0</v>
      </c>
      <c r="I1934" s="550">
        <v>0</v>
      </c>
      <c r="J1934" s="550">
        <v>13</v>
      </c>
      <c r="K1934" s="550">
        <v>0</v>
      </c>
      <c r="L1934" s="550">
        <v>0</v>
      </c>
      <c r="M1934" s="550">
        <v>0</v>
      </c>
      <c r="N1934" s="550">
        <v>15</v>
      </c>
      <c r="O1934" s="550">
        <v>6</v>
      </c>
      <c r="P1934" s="550">
        <v>30</v>
      </c>
      <c r="Q1934" s="550">
        <v>6</v>
      </c>
      <c r="R1934" s="574" t="s">
        <v>625</v>
      </c>
      <c r="S1934" s="552">
        <f>SUM(G1929:G1934) +SUM(K1929:K1934)</f>
        <v>0</v>
      </c>
      <c r="T1934" s="552">
        <f>F1934+J1934</f>
        <v>38</v>
      </c>
      <c r="U1934" s="552">
        <f>SUM(O1929:O1934)</f>
        <v>19</v>
      </c>
      <c r="V1934" s="552">
        <f>N1934</f>
        <v>15</v>
      </c>
      <c r="W1934" s="554">
        <f>SUM(Q1929:Q1934)</f>
        <v>55</v>
      </c>
      <c r="X1934" s="552">
        <f>P1934</f>
        <v>30</v>
      </c>
      <c r="Y1934" s="552">
        <f>S1934+U1934+SUM(Q1929:Q1934)</f>
        <v>74</v>
      </c>
      <c r="Z1934" s="552">
        <f>F1934+J1934+N1934+P1934</f>
        <v>83</v>
      </c>
      <c r="AA1934" s="553"/>
      <c r="AB1934" s="553"/>
    </row>
    <row r="1935" spans="1:28" ht="12.75">
      <c r="A1935" s="547" t="s">
        <v>626</v>
      </c>
      <c r="B1935" s="547" t="s">
        <v>184</v>
      </c>
      <c r="C1935" s="548" t="s">
        <v>774</v>
      </c>
      <c r="D1935" s="549">
        <v>2014</v>
      </c>
      <c r="E1935" s="549" t="s">
        <v>775</v>
      </c>
      <c r="F1935" s="550">
        <v>276</v>
      </c>
      <c r="G1935" s="550">
        <v>0</v>
      </c>
      <c r="H1935" s="550">
        <v>0</v>
      </c>
      <c r="I1935" s="550">
        <v>0</v>
      </c>
      <c r="J1935" s="550">
        <v>144</v>
      </c>
      <c r="K1935" s="550">
        <v>0</v>
      </c>
      <c r="L1935" s="550">
        <v>0</v>
      </c>
      <c r="M1935" s="550">
        <v>0</v>
      </c>
      <c r="N1935" s="550">
        <v>155</v>
      </c>
      <c r="O1935" s="550">
        <v>3</v>
      </c>
      <c r="P1935" s="550">
        <v>288</v>
      </c>
      <c r="Q1935" s="550">
        <v>0</v>
      </c>
      <c r="R1935" s="574" t="s">
        <v>626</v>
      </c>
      <c r="S1935" s="552"/>
      <c r="T1935" s="552"/>
      <c r="U1935" s="552"/>
      <c r="V1935" s="552"/>
      <c r="W1935" s="552"/>
      <c r="X1935" s="552"/>
      <c r="Y1935" s="552"/>
      <c r="Z1935" s="552"/>
      <c r="AA1935" s="553"/>
      <c r="AB1935" s="553"/>
    </row>
    <row r="1936" spans="1:28" ht="12.75">
      <c r="A1936" s="547" t="s">
        <v>626</v>
      </c>
      <c r="B1936" s="547" t="s">
        <v>184</v>
      </c>
      <c r="C1936" s="548" t="s">
        <v>774</v>
      </c>
      <c r="D1936" s="549">
        <v>2015</v>
      </c>
      <c r="E1936" s="549" t="s">
        <v>775</v>
      </c>
      <c r="F1936" s="550">
        <v>276</v>
      </c>
      <c r="G1936" s="550">
        <v>0</v>
      </c>
      <c r="H1936" s="550">
        <v>0</v>
      </c>
      <c r="I1936" s="550">
        <v>0</v>
      </c>
      <c r="J1936" s="550">
        <v>144</v>
      </c>
      <c r="K1936" s="550">
        <v>0</v>
      </c>
      <c r="L1936" s="550">
        <v>0</v>
      </c>
      <c r="M1936" s="550">
        <v>0</v>
      </c>
      <c r="N1936" s="550">
        <v>155</v>
      </c>
      <c r="O1936" s="550">
        <v>0</v>
      </c>
      <c r="P1936" s="550">
        <v>288</v>
      </c>
      <c r="Q1936" s="550">
        <v>5</v>
      </c>
      <c r="R1936" s="574" t="s">
        <v>626</v>
      </c>
      <c r="S1936" s="552"/>
      <c r="T1936" s="552"/>
      <c r="U1936" s="552"/>
      <c r="V1936" s="552"/>
      <c r="W1936" s="552"/>
      <c r="X1936" s="552"/>
      <c r="Y1936" s="552"/>
      <c r="Z1936" s="552"/>
      <c r="AA1936" s="553"/>
      <c r="AB1936" s="553"/>
    </row>
    <row r="1937" spans="1:28" ht="12.75">
      <c r="A1937" s="547" t="s">
        <v>626</v>
      </c>
      <c r="B1937" s="547" t="s">
        <v>184</v>
      </c>
      <c r="C1937" s="548" t="s">
        <v>774</v>
      </c>
      <c r="D1937" s="549">
        <v>2016</v>
      </c>
      <c r="E1937" s="549" t="s">
        <v>775</v>
      </c>
      <c r="F1937" s="550">
        <v>276</v>
      </c>
      <c r="G1937" s="550">
        <v>0</v>
      </c>
      <c r="H1937" s="550">
        <v>0</v>
      </c>
      <c r="I1937" s="550">
        <v>0</v>
      </c>
      <c r="J1937" s="550">
        <v>144</v>
      </c>
      <c r="K1937" s="550">
        <v>0</v>
      </c>
      <c r="L1937" s="550">
        <v>0</v>
      </c>
      <c r="M1937" s="550">
        <v>0</v>
      </c>
      <c r="N1937" s="550">
        <v>155</v>
      </c>
      <c r="O1937" s="550">
        <v>0</v>
      </c>
      <c r="P1937" s="550">
        <v>288</v>
      </c>
      <c r="Q1937" s="550">
        <v>133</v>
      </c>
      <c r="R1937" s="574" t="s">
        <v>626</v>
      </c>
      <c r="S1937" s="552"/>
      <c r="T1937" s="552"/>
      <c r="U1937" s="552"/>
      <c r="V1937" s="552"/>
      <c r="W1937" s="552"/>
      <c r="X1937" s="552"/>
      <c r="Y1937" s="552"/>
      <c r="Z1937" s="552"/>
      <c r="AA1937" s="553"/>
      <c r="AB1937" s="553"/>
    </row>
    <row r="1938" spans="1:28" ht="12.75">
      <c r="A1938" s="547" t="s">
        <v>626</v>
      </c>
      <c r="B1938" s="547" t="s">
        <v>184</v>
      </c>
      <c r="C1938" s="548" t="s">
        <v>774</v>
      </c>
      <c r="D1938" s="549">
        <v>2017</v>
      </c>
      <c r="E1938" s="549" t="s">
        <v>775</v>
      </c>
      <c r="F1938" s="550">
        <v>276</v>
      </c>
      <c r="G1938" s="550">
        <v>0</v>
      </c>
      <c r="H1938" s="550">
        <v>0</v>
      </c>
      <c r="I1938" s="550">
        <v>0</v>
      </c>
      <c r="J1938" s="550">
        <v>144</v>
      </c>
      <c r="K1938" s="550">
        <v>0</v>
      </c>
      <c r="L1938" s="550">
        <v>0</v>
      </c>
      <c r="M1938" s="550">
        <v>0</v>
      </c>
      <c r="N1938" s="550">
        <v>155</v>
      </c>
      <c r="O1938" s="550">
        <v>0</v>
      </c>
      <c r="P1938" s="550">
        <v>288</v>
      </c>
      <c r="Q1938" s="550">
        <v>13</v>
      </c>
      <c r="R1938" s="574" t="s">
        <v>626</v>
      </c>
      <c r="S1938" s="552"/>
      <c r="T1938" s="552"/>
      <c r="U1938" s="552"/>
      <c r="V1938" s="552"/>
      <c r="W1938" s="552"/>
      <c r="X1938" s="552"/>
      <c r="Y1938" s="552"/>
      <c r="Z1938" s="552"/>
      <c r="AA1938" s="553"/>
      <c r="AB1938" s="553"/>
    </row>
    <row r="1939" spans="1:28" ht="12.75">
      <c r="A1939" s="547" t="s">
        <v>626</v>
      </c>
      <c r="B1939" s="547" t="s">
        <v>184</v>
      </c>
      <c r="C1939" s="548" t="s">
        <v>774</v>
      </c>
      <c r="D1939" s="549">
        <v>2018</v>
      </c>
      <c r="E1939" s="549" t="s">
        <v>775</v>
      </c>
      <c r="F1939" s="550">
        <v>276</v>
      </c>
      <c r="G1939" s="550">
        <v>0</v>
      </c>
      <c r="H1939" s="550">
        <v>0</v>
      </c>
      <c r="I1939" s="550">
        <v>0</v>
      </c>
      <c r="J1939" s="550">
        <v>144</v>
      </c>
      <c r="K1939" s="550">
        <v>0</v>
      </c>
      <c r="L1939" s="550">
        <v>0</v>
      </c>
      <c r="M1939" s="550">
        <v>0</v>
      </c>
      <c r="N1939" s="550">
        <v>155</v>
      </c>
      <c r="O1939" s="550">
        <v>29</v>
      </c>
      <c r="P1939" s="550">
        <v>288</v>
      </c>
      <c r="Q1939" s="550">
        <v>271</v>
      </c>
      <c r="R1939" s="574" t="s">
        <v>626</v>
      </c>
      <c r="S1939" s="552"/>
      <c r="T1939" s="552"/>
      <c r="U1939" s="552"/>
      <c r="V1939" s="552"/>
      <c r="W1939" s="552"/>
      <c r="X1939" s="552"/>
      <c r="Y1939" s="552"/>
      <c r="Z1939" s="552"/>
      <c r="AA1939" s="553"/>
      <c r="AB1939" s="553"/>
    </row>
    <row r="1940" spans="1:28" ht="12.75">
      <c r="A1940" s="547" t="s">
        <v>626</v>
      </c>
      <c r="B1940" s="547" t="s">
        <v>184</v>
      </c>
      <c r="C1940" s="548" t="s">
        <v>782</v>
      </c>
      <c r="D1940" s="549">
        <v>2019</v>
      </c>
      <c r="E1940" s="549" t="s">
        <v>775</v>
      </c>
      <c r="F1940" s="550">
        <v>276</v>
      </c>
      <c r="G1940" s="550">
        <v>0</v>
      </c>
      <c r="H1940" s="550">
        <v>0</v>
      </c>
      <c r="I1940" s="550">
        <v>0</v>
      </c>
      <c r="J1940" s="550">
        <v>144</v>
      </c>
      <c r="K1940" s="550">
        <v>0</v>
      </c>
      <c r="L1940" s="550">
        <v>0</v>
      </c>
      <c r="M1940" s="550">
        <v>0</v>
      </c>
      <c r="N1940" s="550">
        <v>155</v>
      </c>
      <c r="O1940" s="550">
        <v>0</v>
      </c>
      <c r="P1940" s="550">
        <v>288</v>
      </c>
      <c r="Q1940" s="550">
        <v>10</v>
      </c>
      <c r="R1940" s="574" t="s">
        <v>626</v>
      </c>
      <c r="S1940" s="552">
        <f>SUM(G1935:G1940) +SUM(K1935:K1940)</f>
        <v>0</v>
      </c>
      <c r="T1940" s="552">
        <f>F1940+J1940</f>
        <v>420</v>
      </c>
      <c r="U1940" s="552">
        <f>SUM(O1935:O1940)</f>
        <v>32</v>
      </c>
      <c r="V1940" s="552">
        <f>N1940</f>
        <v>155</v>
      </c>
      <c r="W1940" s="554">
        <f>SUM(Q1935:Q1940)</f>
        <v>432</v>
      </c>
      <c r="X1940" s="552">
        <f>P1940</f>
        <v>288</v>
      </c>
      <c r="Y1940" s="552">
        <f>S1940+U1940+SUM(Q1935:Q1940)</f>
        <v>464</v>
      </c>
      <c r="Z1940" s="552">
        <f>F1940+J1940+N1940+P1940</f>
        <v>863</v>
      </c>
      <c r="AA1940" s="553"/>
      <c r="AB1940" s="553"/>
    </row>
    <row r="1941" spans="1:28" ht="12.75">
      <c r="A1941" s="547" t="s">
        <v>627</v>
      </c>
      <c r="B1941" s="547" t="s">
        <v>184</v>
      </c>
      <c r="C1941" s="548" t="s">
        <v>774</v>
      </c>
      <c r="D1941" s="549">
        <v>2014</v>
      </c>
      <c r="E1941" s="549" t="s">
        <v>775</v>
      </c>
      <c r="F1941" s="550">
        <v>20</v>
      </c>
      <c r="G1941" s="550">
        <v>0</v>
      </c>
      <c r="H1941" s="550">
        <v>0</v>
      </c>
      <c r="I1941" s="550">
        <v>0</v>
      </c>
      <c r="J1941" s="550">
        <v>8</v>
      </c>
      <c r="K1941" s="550">
        <v>0</v>
      </c>
      <c r="L1941" s="550">
        <v>0</v>
      </c>
      <c r="M1941" s="550">
        <v>0</v>
      </c>
      <c r="N1941" s="550">
        <v>9</v>
      </c>
      <c r="O1941" s="550">
        <v>0</v>
      </c>
      <c r="P1941" s="550">
        <v>22</v>
      </c>
      <c r="Q1941" s="550">
        <v>0</v>
      </c>
      <c r="R1941" s="574" t="s">
        <v>627</v>
      </c>
      <c r="S1941" s="552"/>
      <c r="T1941" s="552"/>
      <c r="U1941" s="552"/>
      <c r="V1941" s="552"/>
      <c r="W1941" s="552"/>
      <c r="X1941" s="552"/>
      <c r="Y1941" s="552"/>
      <c r="Z1941" s="552"/>
      <c r="AA1941" s="553"/>
      <c r="AB1941" s="553"/>
    </row>
    <row r="1942" spans="1:28" ht="12.75">
      <c r="A1942" s="547" t="s">
        <v>627</v>
      </c>
      <c r="B1942" s="547" t="s">
        <v>184</v>
      </c>
      <c r="C1942" s="548" t="s">
        <v>774</v>
      </c>
      <c r="D1942" s="549">
        <v>2015</v>
      </c>
      <c r="E1942" s="549" t="s">
        <v>775</v>
      </c>
      <c r="F1942" s="550">
        <v>20</v>
      </c>
      <c r="G1942" s="550">
        <v>0</v>
      </c>
      <c r="H1942" s="550">
        <v>0</v>
      </c>
      <c r="I1942" s="550">
        <v>0</v>
      </c>
      <c r="J1942" s="550">
        <v>8</v>
      </c>
      <c r="K1942" s="550">
        <v>0</v>
      </c>
      <c r="L1942" s="550">
        <v>0</v>
      </c>
      <c r="M1942" s="550">
        <v>0</v>
      </c>
      <c r="N1942" s="550">
        <v>9</v>
      </c>
      <c r="O1942" s="550">
        <v>0</v>
      </c>
      <c r="P1942" s="550">
        <v>22</v>
      </c>
      <c r="Q1942" s="550">
        <v>0</v>
      </c>
      <c r="R1942" s="574" t="s">
        <v>627</v>
      </c>
      <c r="S1942" s="552"/>
      <c r="T1942" s="552"/>
      <c r="U1942" s="552"/>
      <c r="V1942" s="552"/>
      <c r="W1942" s="552"/>
      <c r="X1942" s="552"/>
      <c r="Y1942" s="552"/>
      <c r="Z1942" s="552"/>
      <c r="AA1942" s="553"/>
      <c r="AB1942" s="553"/>
    </row>
    <row r="1943" spans="1:28" ht="12.75">
      <c r="A1943" s="547" t="s">
        <v>627</v>
      </c>
      <c r="B1943" s="547" t="s">
        <v>184</v>
      </c>
      <c r="C1943" s="548" t="s">
        <v>774</v>
      </c>
      <c r="D1943" s="549">
        <v>2016</v>
      </c>
      <c r="E1943" s="549" t="s">
        <v>775</v>
      </c>
      <c r="F1943" s="550">
        <v>20</v>
      </c>
      <c r="G1943" s="550">
        <v>0</v>
      </c>
      <c r="H1943" s="550">
        <v>0</v>
      </c>
      <c r="I1943" s="550">
        <v>0</v>
      </c>
      <c r="J1943" s="550">
        <v>8</v>
      </c>
      <c r="K1943" s="550">
        <v>0</v>
      </c>
      <c r="L1943" s="550">
        <v>0</v>
      </c>
      <c r="M1943" s="550">
        <v>0</v>
      </c>
      <c r="N1943" s="550">
        <v>9</v>
      </c>
      <c r="O1943" s="550">
        <v>0</v>
      </c>
      <c r="P1943" s="550">
        <v>22</v>
      </c>
      <c r="Q1943" s="550">
        <v>0</v>
      </c>
      <c r="R1943" s="574" t="s">
        <v>627</v>
      </c>
      <c r="S1943" s="552"/>
      <c r="T1943" s="552"/>
      <c r="U1943" s="552"/>
      <c r="V1943" s="552"/>
      <c r="W1943" s="552"/>
      <c r="X1943" s="552"/>
      <c r="Y1943" s="552"/>
      <c r="Z1943" s="552"/>
      <c r="AA1943" s="553"/>
      <c r="AB1943" s="553"/>
    </row>
    <row r="1944" spans="1:28" ht="12.75">
      <c r="A1944" s="547" t="s">
        <v>627</v>
      </c>
      <c r="B1944" s="547" t="s">
        <v>184</v>
      </c>
      <c r="C1944" s="548" t="s">
        <v>774</v>
      </c>
      <c r="D1944" s="549">
        <v>2017</v>
      </c>
      <c r="E1944" s="549" t="s">
        <v>775</v>
      </c>
      <c r="F1944" s="550">
        <v>20</v>
      </c>
      <c r="G1944" s="550">
        <v>0</v>
      </c>
      <c r="H1944" s="550">
        <v>0</v>
      </c>
      <c r="I1944" s="550">
        <v>0</v>
      </c>
      <c r="J1944" s="550">
        <v>8</v>
      </c>
      <c r="K1944" s="550">
        <v>0</v>
      </c>
      <c r="L1944" s="550">
        <v>0</v>
      </c>
      <c r="M1944" s="550">
        <v>0</v>
      </c>
      <c r="N1944" s="550">
        <v>9</v>
      </c>
      <c r="O1944" s="550">
        <v>0</v>
      </c>
      <c r="P1944" s="550">
        <v>22</v>
      </c>
      <c r="Q1944" s="550">
        <v>6</v>
      </c>
      <c r="R1944" s="574" t="s">
        <v>627</v>
      </c>
      <c r="S1944" s="552"/>
      <c r="T1944" s="552"/>
      <c r="U1944" s="552"/>
      <c r="V1944" s="552"/>
      <c r="W1944" s="552"/>
      <c r="X1944" s="552"/>
      <c r="Y1944" s="552"/>
      <c r="Z1944" s="552"/>
      <c r="AA1944" s="553"/>
      <c r="AB1944" s="553"/>
    </row>
    <row r="1945" spans="1:28" ht="12.75">
      <c r="A1945" s="547" t="s">
        <v>627</v>
      </c>
      <c r="B1945" s="547" t="s">
        <v>184</v>
      </c>
      <c r="C1945" s="548" t="s">
        <v>774</v>
      </c>
      <c r="D1945" s="549">
        <v>2018</v>
      </c>
      <c r="E1945" s="549" t="s">
        <v>775</v>
      </c>
      <c r="F1945" s="550">
        <v>20</v>
      </c>
      <c r="G1945" s="550">
        <v>31</v>
      </c>
      <c r="H1945" s="550">
        <v>31</v>
      </c>
      <c r="I1945" s="550">
        <v>0</v>
      </c>
      <c r="J1945" s="550">
        <v>8</v>
      </c>
      <c r="K1945" s="550">
        <v>34</v>
      </c>
      <c r="L1945" s="550">
        <v>34</v>
      </c>
      <c r="M1945" s="550">
        <v>0</v>
      </c>
      <c r="N1945" s="550">
        <v>9</v>
      </c>
      <c r="O1945" s="550">
        <v>0</v>
      </c>
      <c r="P1945" s="550">
        <v>22</v>
      </c>
      <c r="Q1945" s="550">
        <v>4</v>
      </c>
      <c r="R1945" s="574" t="s">
        <v>627</v>
      </c>
      <c r="S1945" s="552"/>
      <c r="T1945" s="552"/>
      <c r="U1945" s="552"/>
      <c r="V1945" s="552"/>
      <c r="W1945" s="552"/>
      <c r="X1945" s="552"/>
      <c r="Y1945" s="552"/>
      <c r="Z1945" s="552"/>
      <c r="AA1945" s="553"/>
      <c r="AB1945" s="553"/>
    </row>
    <row r="1946" spans="1:28" ht="12.75">
      <c r="A1946" s="547" t="s">
        <v>627</v>
      </c>
      <c r="B1946" s="547" t="s">
        <v>184</v>
      </c>
      <c r="C1946" s="548" t="s">
        <v>782</v>
      </c>
      <c r="D1946" s="549">
        <v>2019</v>
      </c>
      <c r="E1946" s="549" t="s">
        <v>775</v>
      </c>
      <c r="F1946" s="550">
        <v>20</v>
      </c>
      <c r="G1946" s="550">
        <v>0</v>
      </c>
      <c r="H1946" s="550">
        <v>0</v>
      </c>
      <c r="I1946" s="550">
        <v>0</v>
      </c>
      <c r="J1946" s="550">
        <v>8</v>
      </c>
      <c r="K1946" s="550">
        <v>0</v>
      </c>
      <c r="L1946" s="550">
        <v>0</v>
      </c>
      <c r="M1946" s="550">
        <v>0</v>
      </c>
      <c r="N1946" s="550">
        <v>9</v>
      </c>
      <c r="O1946" s="550">
        <v>0</v>
      </c>
      <c r="P1946" s="550">
        <v>22</v>
      </c>
      <c r="Q1946" s="550">
        <v>0</v>
      </c>
      <c r="R1946" s="574" t="s">
        <v>627</v>
      </c>
      <c r="S1946" s="552">
        <f>SUM(G1941:G1946) +SUM(K1941:K1946)</f>
        <v>65</v>
      </c>
      <c r="T1946" s="552">
        <f>F1946+J1946</f>
        <v>28</v>
      </c>
      <c r="U1946" s="552">
        <f>SUM(O1941:O1946)</f>
        <v>0</v>
      </c>
      <c r="V1946" s="552">
        <f>N1946</f>
        <v>9</v>
      </c>
      <c r="W1946" s="554">
        <f>SUM(Q1941:Q1946)</f>
        <v>10</v>
      </c>
      <c r="X1946" s="552">
        <f>P1946</f>
        <v>22</v>
      </c>
      <c r="Y1946" s="552">
        <f>S1946+U1946+SUM(Q1941:Q1946)</f>
        <v>75</v>
      </c>
      <c r="Z1946" s="552">
        <f>F1946+J1946+N1946+P1946</f>
        <v>59</v>
      </c>
      <c r="AA1946" s="553"/>
      <c r="AB1946" s="553"/>
    </row>
    <row r="1947" spans="1:28" ht="12.75">
      <c r="A1947" s="547" t="s">
        <v>628</v>
      </c>
      <c r="B1947" s="547" t="s">
        <v>184</v>
      </c>
      <c r="C1947" s="548" t="s">
        <v>774</v>
      </c>
      <c r="D1947" s="549">
        <v>2014</v>
      </c>
      <c r="E1947" s="549" t="s">
        <v>775</v>
      </c>
      <c r="F1947" s="550">
        <v>400</v>
      </c>
      <c r="G1947" s="550">
        <v>0</v>
      </c>
      <c r="H1947" s="550">
        <v>0</v>
      </c>
      <c r="I1947" s="550">
        <v>0</v>
      </c>
      <c r="J1947" s="550">
        <v>188</v>
      </c>
      <c r="K1947" s="550">
        <v>0</v>
      </c>
      <c r="L1947" s="550">
        <v>0</v>
      </c>
      <c r="M1947" s="550">
        <v>0</v>
      </c>
      <c r="N1947" s="550">
        <v>221</v>
      </c>
      <c r="O1947" s="550">
        <v>10</v>
      </c>
      <c r="P1947" s="550">
        <v>541</v>
      </c>
      <c r="Q1947" s="550">
        <v>10</v>
      </c>
      <c r="R1947" s="574" t="s">
        <v>628</v>
      </c>
      <c r="S1947" s="552"/>
      <c r="T1947" s="552"/>
      <c r="U1947" s="552"/>
      <c r="V1947" s="552"/>
      <c r="W1947" s="552"/>
      <c r="X1947" s="552"/>
      <c r="Y1947" s="552"/>
      <c r="Z1947" s="552"/>
      <c r="AA1947" s="553"/>
      <c r="AB1947" s="553"/>
    </row>
    <row r="1948" spans="1:28" ht="12.75">
      <c r="A1948" s="547" t="s">
        <v>628</v>
      </c>
      <c r="B1948" s="547" t="s">
        <v>184</v>
      </c>
      <c r="C1948" s="548" t="s">
        <v>774</v>
      </c>
      <c r="D1948" s="549">
        <v>2015</v>
      </c>
      <c r="E1948" s="549" t="s">
        <v>775</v>
      </c>
      <c r="F1948" s="550">
        <v>400</v>
      </c>
      <c r="G1948" s="550">
        <v>38</v>
      </c>
      <c r="H1948" s="550">
        <v>38</v>
      </c>
      <c r="I1948" s="550">
        <v>0</v>
      </c>
      <c r="J1948" s="550">
        <v>188</v>
      </c>
      <c r="K1948" s="550">
        <v>15</v>
      </c>
      <c r="L1948" s="550">
        <v>15</v>
      </c>
      <c r="M1948" s="550">
        <v>0</v>
      </c>
      <c r="N1948" s="550">
        <v>221</v>
      </c>
      <c r="O1948" s="550">
        <v>14</v>
      </c>
      <c r="P1948" s="550">
        <v>541</v>
      </c>
      <c r="Q1948" s="550">
        <v>89</v>
      </c>
      <c r="R1948" s="574" t="s">
        <v>628</v>
      </c>
      <c r="S1948" s="552"/>
      <c r="T1948" s="552"/>
      <c r="U1948" s="552"/>
      <c r="V1948" s="552"/>
      <c r="W1948" s="552"/>
      <c r="X1948" s="552"/>
      <c r="Y1948" s="552"/>
      <c r="Z1948" s="552"/>
      <c r="AA1948" s="553"/>
      <c r="AB1948" s="553"/>
    </row>
    <row r="1949" spans="1:28" ht="12.75">
      <c r="A1949" s="547" t="s">
        <v>628</v>
      </c>
      <c r="B1949" s="547" t="s">
        <v>184</v>
      </c>
      <c r="C1949" s="548" t="s">
        <v>774</v>
      </c>
      <c r="D1949" s="549">
        <v>2016</v>
      </c>
      <c r="E1949" s="549" t="s">
        <v>775</v>
      </c>
      <c r="F1949" s="550">
        <v>400</v>
      </c>
      <c r="G1949" s="550">
        <v>0</v>
      </c>
      <c r="H1949" s="550">
        <v>0</v>
      </c>
      <c r="I1949" s="550">
        <v>0</v>
      </c>
      <c r="J1949" s="550">
        <v>188</v>
      </c>
      <c r="K1949" s="550">
        <v>7</v>
      </c>
      <c r="L1949" s="550">
        <v>7</v>
      </c>
      <c r="M1949" s="550">
        <v>0</v>
      </c>
      <c r="N1949" s="550">
        <v>221</v>
      </c>
      <c r="O1949" s="550">
        <v>17</v>
      </c>
      <c r="P1949" s="550">
        <v>541</v>
      </c>
      <c r="Q1949" s="550">
        <v>140</v>
      </c>
      <c r="R1949" s="574" t="s">
        <v>628</v>
      </c>
      <c r="S1949" s="552"/>
      <c r="T1949" s="552"/>
      <c r="U1949" s="552"/>
      <c r="V1949" s="552"/>
      <c r="W1949" s="552"/>
      <c r="X1949" s="552"/>
      <c r="Y1949" s="552"/>
      <c r="Z1949" s="552"/>
      <c r="AA1949" s="553"/>
      <c r="AB1949" s="553"/>
    </row>
    <row r="1950" spans="1:28" ht="12.75">
      <c r="A1950" s="547" t="s">
        <v>628</v>
      </c>
      <c r="B1950" s="547" t="s">
        <v>184</v>
      </c>
      <c r="C1950" s="548" t="s">
        <v>774</v>
      </c>
      <c r="D1950" s="549">
        <v>2017</v>
      </c>
      <c r="E1950" s="549" t="s">
        <v>775</v>
      </c>
      <c r="F1950" s="550">
        <v>400</v>
      </c>
      <c r="G1950" s="550">
        <v>21</v>
      </c>
      <c r="H1950" s="550">
        <v>21</v>
      </c>
      <c r="I1950" s="550">
        <v>0</v>
      </c>
      <c r="J1950" s="550">
        <v>188</v>
      </c>
      <c r="K1950" s="550">
        <v>200</v>
      </c>
      <c r="L1950" s="550">
        <v>183</v>
      </c>
      <c r="M1950" s="550">
        <v>17</v>
      </c>
      <c r="N1950" s="550">
        <v>221</v>
      </c>
      <c r="O1950" s="550">
        <v>18</v>
      </c>
      <c r="P1950" s="550">
        <v>541</v>
      </c>
      <c r="Q1950" s="550">
        <v>17</v>
      </c>
      <c r="R1950" s="574" t="s">
        <v>628</v>
      </c>
      <c r="S1950" s="552"/>
      <c r="T1950" s="552"/>
      <c r="U1950" s="552"/>
      <c r="V1950" s="552"/>
      <c r="W1950" s="552"/>
      <c r="X1950" s="552"/>
      <c r="Y1950" s="552"/>
      <c r="Z1950" s="552"/>
      <c r="AA1950" s="553"/>
      <c r="AB1950" s="553"/>
    </row>
    <row r="1951" spans="1:28" ht="12.75">
      <c r="A1951" s="547" t="s">
        <v>628</v>
      </c>
      <c r="B1951" s="547" t="s">
        <v>184</v>
      </c>
      <c r="C1951" s="548" t="s">
        <v>774</v>
      </c>
      <c r="D1951" s="549">
        <v>2018</v>
      </c>
      <c r="E1951" s="549" t="s">
        <v>775</v>
      </c>
      <c r="F1951" s="550">
        <v>400</v>
      </c>
      <c r="G1951" s="550">
        <v>0</v>
      </c>
      <c r="H1951" s="550">
        <v>0</v>
      </c>
      <c r="I1951" s="550">
        <v>0</v>
      </c>
      <c r="J1951" s="550">
        <v>188</v>
      </c>
      <c r="K1951" s="550">
        <v>37</v>
      </c>
      <c r="L1951" s="550">
        <v>0</v>
      </c>
      <c r="M1951" s="550">
        <v>37</v>
      </c>
      <c r="N1951" s="550">
        <v>221</v>
      </c>
      <c r="O1951" s="550">
        <v>37</v>
      </c>
      <c r="P1951" s="550">
        <v>541</v>
      </c>
      <c r="Q1951" s="550">
        <v>22</v>
      </c>
      <c r="R1951" s="574" t="s">
        <v>628</v>
      </c>
      <c r="S1951" s="552"/>
      <c r="T1951" s="552"/>
      <c r="U1951" s="552"/>
      <c r="V1951" s="552"/>
      <c r="W1951" s="552"/>
      <c r="X1951" s="552"/>
      <c r="Y1951" s="552"/>
      <c r="Z1951" s="552"/>
      <c r="AA1951" s="553"/>
      <c r="AB1951" s="553"/>
    </row>
    <row r="1952" spans="1:28" ht="12.75">
      <c r="A1952" s="547" t="s">
        <v>628</v>
      </c>
      <c r="B1952" s="547" t="s">
        <v>184</v>
      </c>
      <c r="C1952" s="548" t="s">
        <v>782</v>
      </c>
      <c r="D1952" s="549">
        <v>2019</v>
      </c>
      <c r="E1952" s="549" t="s">
        <v>775</v>
      </c>
      <c r="F1952" s="550">
        <v>400</v>
      </c>
      <c r="G1952" s="550">
        <v>0</v>
      </c>
      <c r="H1952" s="550">
        <v>0</v>
      </c>
      <c r="I1952" s="550">
        <v>0</v>
      </c>
      <c r="J1952" s="550">
        <v>188</v>
      </c>
      <c r="K1952" s="550">
        <v>35</v>
      </c>
      <c r="L1952" s="550">
        <v>0</v>
      </c>
      <c r="M1952" s="550">
        <v>35</v>
      </c>
      <c r="N1952" s="550">
        <v>221</v>
      </c>
      <c r="O1952" s="550">
        <v>36</v>
      </c>
      <c r="P1952" s="550">
        <v>541</v>
      </c>
      <c r="Q1952" s="550">
        <v>81</v>
      </c>
      <c r="R1952" s="574" t="s">
        <v>628</v>
      </c>
      <c r="S1952" s="552">
        <f>SUM(G1947:G1952) +SUM(K1947:K1952)</f>
        <v>353</v>
      </c>
      <c r="T1952" s="552">
        <f>F1952+J1952</f>
        <v>588</v>
      </c>
      <c r="U1952" s="552">
        <f>SUM(O1947:O1952)</f>
        <v>132</v>
      </c>
      <c r="V1952" s="552">
        <f>N1952</f>
        <v>221</v>
      </c>
      <c r="W1952" s="554">
        <f>SUM(Q1947:Q1952)</f>
        <v>359</v>
      </c>
      <c r="X1952" s="552">
        <f>P1952</f>
        <v>541</v>
      </c>
      <c r="Y1952" s="552">
        <f>S1952+U1952+SUM(Q1947:Q1952)</f>
        <v>844</v>
      </c>
      <c r="Z1952" s="552">
        <f>F1952+J1952+N1952+P1952</f>
        <v>1350</v>
      </c>
      <c r="AA1952" s="553"/>
      <c r="AB1952" s="553"/>
    </row>
    <row r="1953" spans="1:28" ht="12.75">
      <c r="A1953" s="547" t="s">
        <v>629</v>
      </c>
      <c r="B1953" s="547" t="s">
        <v>184</v>
      </c>
      <c r="C1953" s="548" t="s">
        <v>774</v>
      </c>
      <c r="D1953" s="549">
        <v>2015</v>
      </c>
      <c r="E1953" s="549" t="s">
        <v>775</v>
      </c>
      <c r="F1953" s="550">
        <v>64</v>
      </c>
      <c r="G1953" s="550">
        <v>0</v>
      </c>
      <c r="H1953" s="550">
        <v>0</v>
      </c>
      <c r="I1953" s="550">
        <v>0</v>
      </c>
      <c r="J1953" s="550">
        <v>54</v>
      </c>
      <c r="K1953" s="550">
        <v>8</v>
      </c>
      <c r="L1953" s="550">
        <v>8</v>
      </c>
      <c r="M1953" s="550">
        <v>0</v>
      </c>
      <c r="N1953" s="550">
        <v>83</v>
      </c>
      <c r="O1953" s="550">
        <v>0</v>
      </c>
      <c r="P1953" s="550">
        <v>266</v>
      </c>
      <c r="Q1953" s="550">
        <v>0</v>
      </c>
      <c r="R1953" s="574" t="s">
        <v>629</v>
      </c>
      <c r="S1953" s="552"/>
      <c r="T1953" s="552"/>
      <c r="U1953" s="552"/>
      <c r="V1953" s="552"/>
      <c r="W1953" s="552"/>
      <c r="X1953" s="552"/>
      <c r="Y1953" s="552"/>
      <c r="Z1953" s="552"/>
      <c r="AA1953" s="553"/>
      <c r="AB1953" s="553"/>
    </row>
    <row r="1954" spans="1:28" ht="12.75">
      <c r="A1954" s="547" t="s">
        <v>629</v>
      </c>
      <c r="B1954" s="547" t="s">
        <v>184</v>
      </c>
      <c r="C1954" s="548" t="s">
        <v>774</v>
      </c>
      <c r="D1954" s="549">
        <v>2016</v>
      </c>
      <c r="E1954" s="549" t="s">
        <v>775</v>
      </c>
      <c r="F1954" s="550">
        <v>64</v>
      </c>
      <c r="G1954" s="550">
        <v>0</v>
      </c>
      <c r="H1954" s="550">
        <v>0</v>
      </c>
      <c r="I1954" s="550">
        <v>0</v>
      </c>
      <c r="J1954" s="550">
        <v>54</v>
      </c>
      <c r="K1954" s="550">
        <v>0</v>
      </c>
      <c r="L1954" s="550">
        <v>0</v>
      </c>
      <c r="M1954" s="550">
        <v>0</v>
      </c>
      <c r="N1954" s="550">
        <v>83</v>
      </c>
      <c r="O1954" s="550">
        <v>33</v>
      </c>
      <c r="P1954" s="550">
        <v>266</v>
      </c>
      <c r="Q1954" s="550">
        <v>0</v>
      </c>
      <c r="R1954" s="574" t="s">
        <v>629</v>
      </c>
      <c r="S1954" s="552"/>
      <c r="T1954" s="552"/>
      <c r="U1954" s="552"/>
      <c r="V1954" s="552"/>
      <c r="W1954" s="552"/>
      <c r="X1954" s="552"/>
      <c r="Y1954" s="552"/>
      <c r="Z1954" s="552"/>
      <c r="AA1954" s="553"/>
      <c r="AB1954" s="553"/>
    </row>
    <row r="1955" spans="1:28" ht="12.75">
      <c r="A1955" s="547" t="s">
        <v>629</v>
      </c>
      <c r="B1955" s="547" t="s">
        <v>184</v>
      </c>
      <c r="C1955" s="548" t="s">
        <v>774</v>
      </c>
      <c r="D1955" s="549">
        <v>2017</v>
      </c>
      <c r="E1955" s="549" t="s">
        <v>775</v>
      </c>
      <c r="F1955" s="550">
        <v>64</v>
      </c>
      <c r="G1955" s="550">
        <v>16</v>
      </c>
      <c r="H1955" s="550">
        <v>16</v>
      </c>
      <c r="I1955" s="550">
        <v>0</v>
      </c>
      <c r="J1955" s="550">
        <v>54</v>
      </c>
      <c r="K1955" s="550">
        <v>24</v>
      </c>
      <c r="L1955" s="550">
        <v>24</v>
      </c>
      <c r="M1955" s="550">
        <v>0</v>
      </c>
      <c r="N1955" s="550">
        <v>83</v>
      </c>
      <c r="O1955" s="550">
        <v>0</v>
      </c>
      <c r="P1955" s="550">
        <v>266</v>
      </c>
      <c r="Q1955" s="550">
        <v>5</v>
      </c>
      <c r="R1955" s="574" t="s">
        <v>629</v>
      </c>
      <c r="S1955" s="552"/>
      <c r="T1955" s="552"/>
      <c r="U1955" s="552"/>
      <c r="V1955" s="552"/>
      <c r="W1955" s="552"/>
      <c r="X1955" s="552"/>
      <c r="Y1955" s="552"/>
      <c r="Z1955" s="552"/>
      <c r="AA1955" s="553"/>
      <c r="AB1955" s="553"/>
    </row>
    <row r="1956" spans="1:28" ht="12.75">
      <c r="A1956" s="547" t="s">
        <v>629</v>
      </c>
      <c r="B1956" s="547" t="s">
        <v>184</v>
      </c>
      <c r="C1956" s="548" t="s">
        <v>774</v>
      </c>
      <c r="D1956" s="549">
        <v>2018</v>
      </c>
      <c r="E1956" s="549" t="s">
        <v>775</v>
      </c>
      <c r="F1956" s="550">
        <v>64</v>
      </c>
      <c r="G1956" s="564"/>
      <c r="H1956" s="564"/>
      <c r="I1956" s="564"/>
      <c r="J1956" s="550">
        <v>54</v>
      </c>
      <c r="K1956" s="564"/>
      <c r="L1956" s="564"/>
      <c r="M1956" s="564"/>
      <c r="N1956" s="550">
        <v>83</v>
      </c>
      <c r="O1956" s="564"/>
      <c r="P1956" s="550">
        <v>266</v>
      </c>
      <c r="Q1956" s="564"/>
      <c r="R1956" s="574" t="s">
        <v>629</v>
      </c>
      <c r="S1956" s="552"/>
      <c r="T1956" s="552"/>
      <c r="U1956" s="552"/>
      <c r="V1956" s="552"/>
      <c r="W1956" s="552"/>
      <c r="X1956" s="552"/>
      <c r="Y1956" s="552"/>
      <c r="Z1956" s="552"/>
      <c r="AA1956" s="553"/>
      <c r="AB1956" s="553"/>
    </row>
    <row r="1957" spans="1:28" ht="12.75">
      <c r="A1957" s="547" t="s">
        <v>629</v>
      </c>
      <c r="B1957" s="547" t="s">
        <v>184</v>
      </c>
      <c r="C1957" s="548" t="s">
        <v>782</v>
      </c>
      <c r="D1957" s="549">
        <v>2019</v>
      </c>
      <c r="E1957" s="549" t="s">
        <v>775</v>
      </c>
      <c r="F1957" s="550">
        <v>64</v>
      </c>
      <c r="G1957" s="550">
        <v>4</v>
      </c>
      <c r="H1957" s="550">
        <v>0</v>
      </c>
      <c r="I1957" s="550">
        <v>4</v>
      </c>
      <c r="J1957" s="550">
        <v>54</v>
      </c>
      <c r="K1957" s="550">
        <v>2</v>
      </c>
      <c r="L1957" s="550">
        <v>0</v>
      </c>
      <c r="M1957" s="550">
        <v>2</v>
      </c>
      <c r="N1957" s="550">
        <v>83</v>
      </c>
      <c r="O1957" s="550">
        <v>2</v>
      </c>
      <c r="P1957" s="550">
        <v>266</v>
      </c>
      <c r="Q1957" s="550">
        <v>1</v>
      </c>
      <c r="R1957" s="574" t="s">
        <v>629</v>
      </c>
      <c r="S1957" s="255">
        <f>SUM(G1953:G1957) +SUM(K1953:K1957)</f>
        <v>54</v>
      </c>
      <c r="T1957" s="255">
        <f>F1957+J1957</f>
        <v>118</v>
      </c>
      <c r="U1957" s="255">
        <f>SUM(O1953:O1957)</f>
        <v>35</v>
      </c>
      <c r="V1957" s="255">
        <f>N1957</f>
        <v>83</v>
      </c>
      <c r="W1957" s="83">
        <f>SUM(Q1953:Q1957)</f>
        <v>6</v>
      </c>
      <c r="X1957" s="255">
        <f>P1957</f>
        <v>266</v>
      </c>
      <c r="Y1957" s="255">
        <f>S1957+U1957+SUM(Q1953:Q1957)</f>
        <v>95</v>
      </c>
      <c r="Z1957" s="255">
        <f>F1957+J1957+N1957+P1957</f>
        <v>467</v>
      </c>
      <c r="AA1957" s="553"/>
      <c r="AB1957" s="553"/>
    </row>
    <row r="1958" spans="1:28" ht="12.75">
      <c r="A1958" s="547" t="s">
        <v>630</v>
      </c>
      <c r="B1958" s="547" t="s">
        <v>184</v>
      </c>
      <c r="C1958" s="548" t="s">
        <v>774</v>
      </c>
      <c r="D1958" s="549">
        <v>2015</v>
      </c>
      <c r="E1958" s="549" t="s">
        <v>775</v>
      </c>
      <c r="F1958" s="550">
        <v>148</v>
      </c>
      <c r="G1958" s="550">
        <v>83</v>
      </c>
      <c r="H1958" s="550">
        <v>83</v>
      </c>
      <c r="I1958" s="550">
        <v>0</v>
      </c>
      <c r="J1958" s="550">
        <v>87</v>
      </c>
      <c r="K1958" s="550">
        <v>49</v>
      </c>
      <c r="L1958" s="550">
        <v>49</v>
      </c>
      <c r="M1958" s="550">
        <v>0</v>
      </c>
      <c r="N1958" s="550">
        <v>76</v>
      </c>
      <c r="O1958" s="550">
        <v>14</v>
      </c>
      <c r="P1958" s="550">
        <v>119</v>
      </c>
      <c r="Q1958" s="550">
        <v>563</v>
      </c>
      <c r="R1958" s="574" t="s">
        <v>630</v>
      </c>
      <c r="S1958" s="552"/>
      <c r="T1958" s="552"/>
      <c r="U1958" s="552"/>
      <c r="V1958" s="552"/>
      <c r="W1958" s="552"/>
      <c r="X1958" s="552"/>
      <c r="Y1958" s="552"/>
      <c r="Z1958" s="552"/>
      <c r="AA1958" s="553"/>
      <c r="AB1958" s="553"/>
    </row>
    <row r="1959" spans="1:28" ht="12.75">
      <c r="A1959" s="547" t="s">
        <v>630</v>
      </c>
      <c r="B1959" s="547" t="s">
        <v>184</v>
      </c>
      <c r="C1959" s="548" t="s">
        <v>774</v>
      </c>
      <c r="D1959" s="549">
        <v>2016</v>
      </c>
      <c r="E1959" s="549" t="s">
        <v>775</v>
      </c>
      <c r="F1959" s="550">
        <v>148</v>
      </c>
      <c r="G1959" s="550">
        <v>0</v>
      </c>
      <c r="H1959" s="550">
        <v>0</v>
      </c>
      <c r="I1959" s="550">
        <v>0</v>
      </c>
      <c r="J1959" s="550">
        <v>87</v>
      </c>
      <c r="K1959" s="550">
        <v>0</v>
      </c>
      <c r="L1959" s="550">
        <v>0</v>
      </c>
      <c r="M1959" s="550">
        <v>0</v>
      </c>
      <c r="N1959" s="550">
        <v>76</v>
      </c>
      <c r="O1959" s="550">
        <v>0</v>
      </c>
      <c r="P1959" s="550">
        <v>119</v>
      </c>
      <c r="Q1959" s="550">
        <v>74</v>
      </c>
      <c r="R1959" s="574" t="s">
        <v>630</v>
      </c>
      <c r="S1959" s="552"/>
      <c r="T1959" s="552"/>
      <c r="U1959" s="552"/>
      <c r="V1959" s="552"/>
      <c r="W1959" s="552"/>
      <c r="X1959" s="552"/>
      <c r="Y1959" s="552"/>
      <c r="Z1959" s="552"/>
      <c r="AA1959" s="553"/>
      <c r="AB1959" s="553"/>
    </row>
    <row r="1960" spans="1:28" ht="12.75">
      <c r="A1960" s="547" t="s">
        <v>630</v>
      </c>
      <c r="B1960" s="547" t="s">
        <v>184</v>
      </c>
      <c r="C1960" s="548" t="s">
        <v>774</v>
      </c>
      <c r="D1960" s="549">
        <v>2017</v>
      </c>
      <c r="E1960" s="549" t="s">
        <v>775</v>
      </c>
      <c r="F1960" s="550">
        <v>148</v>
      </c>
      <c r="G1960" s="550">
        <v>1</v>
      </c>
      <c r="H1960" s="550">
        <v>0</v>
      </c>
      <c r="I1960" s="550">
        <v>1</v>
      </c>
      <c r="J1960" s="550">
        <v>87</v>
      </c>
      <c r="K1960" s="550">
        <v>0</v>
      </c>
      <c r="L1960" s="550">
        <v>0</v>
      </c>
      <c r="M1960" s="550">
        <v>0</v>
      </c>
      <c r="N1960" s="550">
        <v>76</v>
      </c>
      <c r="O1960" s="550">
        <v>0</v>
      </c>
      <c r="P1960" s="550">
        <v>119</v>
      </c>
      <c r="Q1960" s="550">
        <v>0</v>
      </c>
      <c r="R1960" s="574" t="s">
        <v>630</v>
      </c>
      <c r="S1960" s="552"/>
      <c r="T1960" s="552"/>
      <c r="U1960" s="552"/>
      <c r="V1960" s="552"/>
      <c r="W1960" s="552"/>
      <c r="X1960" s="552"/>
      <c r="Y1960" s="552"/>
      <c r="Z1960" s="552"/>
      <c r="AA1960" s="553"/>
      <c r="AB1960" s="553"/>
    </row>
    <row r="1961" spans="1:28" ht="12.75">
      <c r="A1961" s="547" t="s">
        <v>630</v>
      </c>
      <c r="B1961" s="547" t="s">
        <v>184</v>
      </c>
      <c r="C1961" s="548" t="s">
        <v>774</v>
      </c>
      <c r="D1961" s="549">
        <v>2018</v>
      </c>
      <c r="E1961" s="549" t="s">
        <v>775</v>
      </c>
      <c r="F1961" s="550">
        <v>148</v>
      </c>
      <c r="G1961" s="564"/>
      <c r="H1961" s="564"/>
      <c r="I1961" s="564"/>
      <c r="J1961" s="550">
        <v>87</v>
      </c>
      <c r="K1961" s="564"/>
      <c r="L1961" s="564"/>
      <c r="M1961" s="564"/>
      <c r="N1961" s="550">
        <v>76</v>
      </c>
      <c r="O1961" s="564"/>
      <c r="P1961" s="550">
        <v>119</v>
      </c>
      <c r="Q1961" s="564"/>
      <c r="R1961" s="574" t="s">
        <v>630</v>
      </c>
      <c r="S1961" s="552"/>
      <c r="T1961" s="552"/>
      <c r="U1961" s="552"/>
      <c r="V1961" s="552"/>
      <c r="W1961" s="552"/>
      <c r="X1961" s="552"/>
      <c r="Y1961" s="552"/>
      <c r="Z1961" s="552"/>
      <c r="AA1961" s="553"/>
      <c r="AB1961" s="553"/>
    </row>
    <row r="1962" spans="1:28" ht="12.75">
      <c r="A1962" s="547" t="s">
        <v>630</v>
      </c>
      <c r="B1962" s="547" t="s">
        <v>184</v>
      </c>
      <c r="C1962" s="548" t="s">
        <v>782</v>
      </c>
      <c r="D1962" s="549">
        <v>2019</v>
      </c>
      <c r="E1962" s="549" t="s">
        <v>775</v>
      </c>
      <c r="F1962" s="550">
        <v>148</v>
      </c>
      <c r="G1962" s="550">
        <v>2</v>
      </c>
      <c r="H1962" s="550">
        <v>0</v>
      </c>
      <c r="I1962" s="550">
        <v>2</v>
      </c>
      <c r="J1962" s="550">
        <v>87</v>
      </c>
      <c r="K1962" s="550">
        <v>0</v>
      </c>
      <c r="L1962" s="550">
        <v>0</v>
      </c>
      <c r="M1962" s="550">
        <v>0</v>
      </c>
      <c r="N1962" s="550">
        <v>76</v>
      </c>
      <c r="O1962" s="550">
        <v>0</v>
      </c>
      <c r="P1962" s="550">
        <v>119</v>
      </c>
      <c r="Q1962" s="550">
        <v>20</v>
      </c>
      <c r="R1962" s="574" t="s">
        <v>630</v>
      </c>
      <c r="S1962" s="255">
        <f>SUM(G1958:G1962) +SUM(K1958:K1962)</f>
        <v>135</v>
      </c>
      <c r="T1962" s="255">
        <f>F1962+J1962</f>
        <v>235</v>
      </c>
      <c r="U1962" s="255">
        <f>SUM(O1958:O1962)</f>
        <v>14</v>
      </c>
      <c r="V1962" s="255">
        <f>N1962</f>
        <v>76</v>
      </c>
      <c r="W1962" s="83">
        <f>SUM(Q1958:Q1962)</f>
        <v>657</v>
      </c>
      <c r="X1962" s="255">
        <f>P1962</f>
        <v>119</v>
      </c>
      <c r="Y1962" s="255">
        <f>S1962+U1962+SUM(Q1958:Q1962)</f>
        <v>806</v>
      </c>
      <c r="Z1962" s="255">
        <f>F1962+J1962+N1962+P1962</f>
        <v>430</v>
      </c>
      <c r="AA1962" s="553"/>
      <c r="AB1962" s="553"/>
    </row>
    <row r="1963" spans="1:28" ht="12.75">
      <c r="A1963" s="547" t="s">
        <v>631</v>
      </c>
      <c r="B1963" s="547" t="s">
        <v>184</v>
      </c>
      <c r="C1963" s="548" t="s">
        <v>774</v>
      </c>
      <c r="D1963" s="549">
        <v>2014</v>
      </c>
      <c r="E1963" s="549" t="s">
        <v>775</v>
      </c>
      <c r="F1963" s="550">
        <v>52</v>
      </c>
      <c r="G1963" s="550">
        <v>52</v>
      </c>
      <c r="H1963" s="550">
        <v>52</v>
      </c>
      <c r="I1963" s="550">
        <v>0</v>
      </c>
      <c r="J1963" s="550">
        <v>31</v>
      </c>
      <c r="K1963" s="550">
        <v>3</v>
      </c>
      <c r="L1963" s="550">
        <v>3</v>
      </c>
      <c r="M1963" s="550">
        <v>0</v>
      </c>
      <c r="N1963" s="550">
        <v>36</v>
      </c>
      <c r="O1963" s="550">
        <v>0</v>
      </c>
      <c r="P1963" s="550">
        <v>121</v>
      </c>
      <c r="Q1963" s="550">
        <v>0</v>
      </c>
      <c r="R1963" s="574" t="s">
        <v>631</v>
      </c>
      <c r="S1963" s="552"/>
      <c r="T1963" s="552"/>
      <c r="U1963" s="552"/>
      <c r="V1963" s="552"/>
      <c r="W1963" s="552"/>
      <c r="X1963" s="552"/>
      <c r="Y1963" s="552"/>
      <c r="Z1963" s="552"/>
      <c r="AA1963" s="553"/>
      <c r="AB1963" s="553"/>
    </row>
    <row r="1964" spans="1:28" ht="12.75">
      <c r="A1964" s="547" t="s">
        <v>631</v>
      </c>
      <c r="B1964" s="547" t="s">
        <v>184</v>
      </c>
      <c r="C1964" s="548" t="s">
        <v>774</v>
      </c>
      <c r="D1964" s="549">
        <v>2015</v>
      </c>
      <c r="E1964" s="549" t="s">
        <v>775</v>
      </c>
      <c r="F1964" s="550">
        <v>52</v>
      </c>
      <c r="G1964" s="550">
        <v>0</v>
      </c>
      <c r="H1964" s="550">
        <v>0</v>
      </c>
      <c r="I1964" s="550">
        <v>0</v>
      </c>
      <c r="J1964" s="550">
        <v>31</v>
      </c>
      <c r="K1964" s="550">
        <v>0</v>
      </c>
      <c r="L1964" s="550">
        <v>0</v>
      </c>
      <c r="M1964" s="550">
        <v>0</v>
      </c>
      <c r="N1964" s="550">
        <v>36</v>
      </c>
      <c r="O1964" s="550">
        <v>0</v>
      </c>
      <c r="P1964" s="550">
        <v>121</v>
      </c>
      <c r="Q1964" s="550">
        <v>9</v>
      </c>
      <c r="R1964" s="574" t="s">
        <v>631</v>
      </c>
      <c r="S1964" s="552"/>
      <c r="T1964" s="552"/>
      <c r="U1964" s="552"/>
      <c r="V1964" s="552"/>
      <c r="W1964" s="552"/>
      <c r="X1964" s="552"/>
      <c r="Y1964" s="552"/>
      <c r="Z1964" s="552"/>
      <c r="AA1964" s="553"/>
      <c r="AB1964" s="553"/>
    </row>
    <row r="1965" spans="1:28" ht="12.75">
      <c r="A1965" s="547" t="s">
        <v>631</v>
      </c>
      <c r="B1965" s="547" t="s">
        <v>184</v>
      </c>
      <c r="C1965" s="548" t="s">
        <v>774</v>
      </c>
      <c r="D1965" s="549">
        <v>2016</v>
      </c>
      <c r="E1965" s="549" t="s">
        <v>775</v>
      </c>
      <c r="F1965" s="550">
        <v>52</v>
      </c>
      <c r="G1965" s="550">
        <v>0</v>
      </c>
      <c r="H1965" s="550">
        <v>0</v>
      </c>
      <c r="I1965" s="550">
        <v>0</v>
      </c>
      <c r="J1965" s="550">
        <v>31</v>
      </c>
      <c r="K1965" s="550">
        <v>0</v>
      </c>
      <c r="L1965" s="550">
        <v>0</v>
      </c>
      <c r="M1965" s="550">
        <v>0</v>
      </c>
      <c r="N1965" s="550">
        <v>36</v>
      </c>
      <c r="O1965" s="550">
        <v>6</v>
      </c>
      <c r="P1965" s="550">
        <v>121</v>
      </c>
      <c r="Q1965" s="550">
        <v>14</v>
      </c>
      <c r="R1965" s="574" t="s">
        <v>631</v>
      </c>
      <c r="S1965" s="552"/>
      <c r="T1965" s="552"/>
      <c r="U1965" s="552"/>
      <c r="V1965" s="552"/>
      <c r="W1965" s="552"/>
      <c r="X1965" s="552"/>
      <c r="Y1965" s="552"/>
      <c r="Z1965" s="552"/>
      <c r="AA1965" s="553"/>
      <c r="AB1965" s="553"/>
    </row>
    <row r="1966" spans="1:28" ht="12.75">
      <c r="A1966" s="547" t="s">
        <v>631</v>
      </c>
      <c r="B1966" s="547" t="s">
        <v>184</v>
      </c>
      <c r="C1966" s="548" t="s">
        <v>774</v>
      </c>
      <c r="D1966" s="549">
        <v>2017</v>
      </c>
      <c r="E1966" s="549" t="s">
        <v>775</v>
      </c>
      <c r="F1966" s="550">
        <v>52</v>
      </c>
      <c r="G1966" s="550">
        <v>0</v>
      </c>
      <c r="H1966" s="550">
        <v>0</v>
      </c>
      <c r="I1966" s="550">
        <v>0</v>
      </c>
      <c r="J1966" s="550">
        <v>31</v>
      </c>
      <c r="K1966" s="550">
        <v>0</v>
      </c>
      <c r="L1966" s="550">
        <v>0</v>
      </c>
      <c r="M1966" s="550">
        <v>0</v>
      </c>
      <c r="N1966" s="550">
        <v>36</v>
      </c>
      <c r="O1966" s="550">
        <v>3</v>
      </c>
      <c r="P1966" s="550">
        <v>121</v>
      </c>
      <c r="Q1966" s="550">
        <v>12</v>
      </c>
      <c r="R1966" s="574" t="s">
        <v>631</v>
      </c>
      <c r="S1966" s="552"/>
      <c r="T1966" s="552"/>
      <c r="U1966" s="552"/>
      <c r="V1966" s="552"/>
      <c r="W1966" s="552"/>
      <c r="X1966" s="552"/>
      <c r="Y1966" s="552"/>
      <c r="Z1966" s="552"/>
      <c r="AA1966" s="553"/>
      <c r="AB1966" s="553"/>
    </row>
    <row r="1967" spans="1:28" ht="12.75">
      <c r="A1967" s="547" t="s">
        <v>631</v>
      </c>
      <c r="B1967" s="547" t="s">
        <v>184</v>
      </c>
      <c r="C1967" s="548" t="s">
        <v>774</v>
      </c>
      <c r="D1967" s="549">
        <v>2018</v>
      </c>
      <c r="E1967" s="549" t="s">
        <v>775</v>
      </c>
      <c r="F1967" s="550">
        <v>52</v>
      </c>
      <c r="G1967" s="550">
        <v>0</v>
      </c>
      <c r="H1967" s="550">
        <v>0</v>
      </c>
      <c r="I1967" s="550">
        <v>0</v>
      </c>
      <c r="J1967" s="550">
        <v>31</v>
      </c>
      <c r="K1967" s="550">
        <v>0</v>
      </c>
      <c r="L1967" s="550">
        <v>0</v>
      </c>
      <c r="M1967" s="550">
        <v>0</v>
      </c>
      <c r="N1967" s="550">
        <v>36</v>
      </c>
      <c r="O1967" s="550">
        <v>3</v>
      </c>
      <c r="P1967" s="550">
        <v>121</v>
      </c>
      <c r="Q1967" s="550">
        <v>10</v>
      </c>
      <c r="R1967" s="574" t="s">
        <v>631</v>
      </c>
      <c r="S1967" s="552"/>
      <c r="T1967" s="552"/>
      <c r="U1967" s="552"/>
      <c r="V1967" s="552"/>
      <c r="W1967" s="552"/>
      <c r="X1967" s="552"/>
      <c r="Y1967" s="552"/>
      <c r="Z1967" s="552"/>
      <c r="AA1967" s="553"/>
      <c r="AB1967" s="553"/>
    </row>
    <row r="1968" spans="1:28" ht="12.75">
      <c r="A1968" s="547" t="s">
        <v>631</v>
      </c>
      <c r="B1968" s="547" t="s">
        <v>184</v>
      </c>
      <c r="C1968" s="548" t="s">
        <v>782</v>
      </c>
      <c r="D1968" s="549">
        <v>2019</v>
      </c>
      <c r="E1968" s="549" t="s">
        <v>775</v>
      </c>
      <c r="F1968" s="550">
        <v>52</v>
      </c>
      <c r="G1968" s="550">
        <v>0</v>
      </c>
      <c r="H1968" s="550">
        <v>0</v>
      </c>
      <c r="I1968" s="550">
        <v>0</v>
      </c>
      <c r="J1968" s="550">
        <v>31</v>
      </c>
      <c r="K1968" s="550">
        <v>0</v>
      </c>
      <c r="L1968" s="550">
        <v>0</v>
      </c>
      <c r="M1968" s="550">
        <v>0</v>
      </c>
      <c r="N1968" s="550">
        <v>36</v>
      </c>
      <c r="O1968" s="550">
        <v>12</v>
      </c>
      <c r="P1968" s="550">
        <v>121</v>
      </c>
      <c r="Q1968" s="550">
        <v>7</v>
      </c>
      <c r="R1968" s="574" t="s">
        <v>631</v>
      </c>
      <c r="S1968" s="552">
        <f>SUM(G1963:G1968) +SUM(K1963:K1968)</f>
        <v>55</v>
      </c>
      <c r="T1968" s="552">
        <f>F1968+J1968</f>
        <v>83</v>
      </c>
      <c r="U1968" s="552">
        <f>SUM(O1963:O1968)</f>
        <v>24</v>
      </c>
      <c r="V1968" s="552">
        <f>N1968</f>
        <v>36</v>
      </c>
      <c r="W1968" s="554">
        <f>SUM(Q1963:Q1968)</f>
        <v>52</v>
      </c>
      <c r="X1968" s="552">
        <f>P1968</f>
        <v>121</v>
      </c>
      <c r="Y1968" s="552">
        <f>S1968+U1968+SUM(Q1963:Q1968)</f>
        <v>131</v>
      </c>
      <c r="Z1968" s="552">
        <f>F1968+J1968+N1968+P1968</f>
        <v>240</v>
      </c>
      <c r="AA1968" s="553"/>
      <c r="AB1968" s="553"/>
    </row>
    <row r="1969" spans="1:28" ht="12.75">
      <c r="A1969" s="547" t="s">
        <v>632</v>
      </c>
      <c r="B1969" s="547" t="s">
        <v>184</v>
      </c>
      <c r="C1969" s="548" t="s">
        <v>774</v>
      </c>
      <c r="D1969" s="549">
        <v>2015</v>
      </c>
      <c r="E1969" s="549" t="s">
        <v>775</v>
      </c>
      <c r="F1969" s="550">
        <v>32</v>
      </c>
      <c r="G1969" s="550">
        <v>16</v>
      </c>
      <c r="H1969" s="550">
        <v>0</v>
      </c>
      <c r="I1969" s="550">
        <v>16</v>
      </c>
      <c r="J1969" s="550">
        <v>17</v>
      </c>
      <c r="K1969" s="550">
        <v>8</v>
      </c>
      <c r="L1969" s="550">
        <v>0</v>
      </c>
      <c r="M1969" s="550">
        <v>8</v>
      </c>
      <c r="N1969" s="550">
        <v>21</v>
      </c>
      <c r="O1969" s="550">
        <v>10</v>
      </c>
      <c r="P1969" s="550">
        <v>21</v>
      </c>
      <c r="Q1969" s="550">
        <v>5</v>
      </c>
      <c r="R1969" s="574" t="s">
        <v>632</v>
      </c>
      <c r="S1969" s="552"/>
      <c r="T1969" s="552"/>
      <c r="U1969" s="552"/>
      <c r="V1969" s="552"/>
      <c r="W1969" s="552"/>
      <c r="X1969" s="552"/>
      <c r="Y1969" s="552"/>
      <c r="Z1969" s="552"/>
      <c r="AA1969" s="553"/>
      <c r="AB1969" s="553"/>
    </row>
    <row r="1970" spans="1:28" ht="12.75">
      <c r="A1970" s="547" t="s">
        <v>632</v>
      </c>
      <c r="B1970" s="547" t="s">
        <v>184</v>
      </c>
      <c r="C1970" s="548" t="s">
        <v>774</v>
      </c>
      <c r="D1970" s="549">
        <v>2016</v>
      </c>
      <c r="E1970" s="549" t="s">
        <v>775</v>
      </c>
      <c r="F1970" s="550">
        <v>32</v>
      </c>
      <c r="G1970" s="550">
        <v>4</v>
      </c>
      <c r="H1970" s="550">
        <v>0</v>
      </c>
      <c r="I1970" s="550">
        <v>4</v>
      </c>
      <c r="J1970" s="550">
        <v>17</v>
      </c>
      <c r="K1970" s="550">
        <v>2</v>
      </c>
      <c r="L1970" s="550">
        <v>0</v>
      </c>
      <c r="M1970" s="550">
        <v>2</v>
      </c>
      <c r="N1970" s="550">
        <v>21</v>
      </c>
      <c r="O1970" s="550">
        <v>2</v>
      </c>
      <c r="P1970" s="550">
        <v>21</v>
      </c>
      <c r="Q1970" s="550">
        <v>2</v>
      </c>
      <c r="R1970" s="574" t="s">
        <v>632</v>
      </c>
      <c r="S1970" s="552"/>
      <c r="T1970" s="552"/>
      <c r="U1970" s="552"/>
      <c r="V1970" s="552"/>
      <c r="W1970" s="552"/>
      <c r="X1970" s="552"/>
      <c r="Y1970" s="552"/>
      <c r="Z1970" s="552"/>
      <c r="AA1970" s="553"/>
      <c r="AB1970" s="553"/>
    </row>
    <row r="1971" spans="1:28" ht="12.75">
      <c r="A1971" s="547" t="s">
        <v>632</v>
      </c>
      <c r="B1971" s="547" t="s">
        <v>184</v>
      </c>
      <c r="C1971" s="548" t="s">
        <v>774</v>
      </c>
      <c r="D1971" s="549">
        <v>2017</v>
      </c>
      <c r="E1971" s="549" t="s">
        <v>775</v>
      </c>
      <c r="F1971" s="550">
        <v>32</v>
      </c>
      <c r="G1971" s="550">
        <v>8</v>
      </c>
      <c r="H1971" s="550">
        <v>0</v>
      </c>
      <c r="I1971" s="550">
        <v>8</v>
      </c>
      <c r="J1971" s="550">
        <v>17</v>
      </c>
      <c r="K1971" s="550">
        <v>3</v>
      </c>
      <c r="L1971" s="550">
        <v>0</v>
      </c>
      <c r="M1971" s="550">
        <v>3</v>
      </c>
      <c r="N1971" s="550">
        <v>21</v>
      </c>
      <c r="O1971" s="550">
        <v>4</v>
      </c>
      <c r="P1971" s="550">
        <v>21</v>
      </c>
      <c r="Q1971" s="550">
        <v>3</v>
      </c>
      <c r="R1971" s="574" t="s">
        <v>632</v>
      </c>
      <c r="S1971" s="552"/>
      <c r="T1971" s="552"/>
      <c r="U1971" s="552"/>
      <c r="V1971" s="552"/>
      <c r="W1971" s="552"/>
      <c r="X1971" s="552"/>
      <c r="Y1971" s="552"/>
      <c r="Z1971" s="552"/>
      <c r="AA1971" s="553"/>
      <c r="AB1971" s="553"/>
    </row>
    <row r="1972" spans="1:28" ht="12.75">
      <c r="A1972" s="547" t="s">
        <v>632</v>
      </c>
      <c r="B1972" s="547" t="s">
        <v>184</v>
      </c>
      <c r="C1972" s="548" t="s">
        <v>774</v>
      </c>
      <c r="D1972" s="549">
        <v>2018</v>
      </c>
      <c r="E1972" s="549" t="s">
        <v>775</v>
      </c>
      <c r="F1972" s="550">
        <v>32</v>
      </c>
      <c r="G1972" s="550">
        <v>6</v>
      </c>
      <c r="H1972" s="550">
        <v>0</v>
      </c>
      <c r="I1972" s="550">
        <v>6</v>
      </c>
      <c r="J1972" s="550">
        <v>17</v>
      </c>
      <c r="K1972" s="550">
        <v>4</v>
      </c>
      <c r="L1972" s="550">
        <v>0</v>
      </c>
      <c r="M1972" s="550">
        <v>4</v>
      </c>
      <c r="N1972" s="550">
        <v>21</v>
      </c>
      <c r="O1972" s="550">
        <v>3</v>
      </c>
      <c r="P1972" s="550">
        <v>21</v>
      </c>
      <c r="Q1972" s="550">
        <v>3</v>
      </c>
      <c r="R1972" s="574" t="s">
        <v>632</v>
      </c>
      <c r="S1972" s="255">
        <f>SUM(G1969:G1972) +SUM(K1969:K1972)</f>
        <v>51</v>
      </c>
      <c r="T1972" s="255">
        <f>F1972+J1972</f>
        <v>49</v>
      </c>
      <c r="U1972" s="255">
        <f>SUM(O1969:O1972)</f>
        <v>19</v>
      </c>
      <c r="V1972" s="255">
        <f>N1972</f>
        <v>21</v>
      </c>
      <c r="W1972" s="83">
        <f>SUM(Q1969:Q1972)</f>
        <v>13</v>
      </c>
      <c r="X1972" s="255">
        <f>P1972</f>
        <v>21</v>
      </c>
      <c r="Y1972" s="255">
        <f>S1972+U1972+SUM(Q1969:Q1972)</f>
        <v>83</v>
      </c>
      <c r="Z1972" s="255">
        <f>F1972+J1972+N1972+P1972</f>
        <v>91</v>
      </c>
      <c r="AA1972" s="553"/>
      <c r="AB1972" s="553"/>
    </row>
    <row r="1973" spans="1:28" ht="12.75">
      <c r="A1973" s="547" t="s">
        <v>633</v>
      </c>
      <c r="B1973" s="547" t="s">
        <v>184</v>
      </c>
      <c r="C1973" s="548" t="s">
        <v>774</v>
      </c>
      <c r="D1973" s="549">
        <v>2015</v>
      </c>
      <c r="E1973" s="549" t="s">
        <v>775</v>
      </c>
      <c r="F1973" s="550">
        <v>233</v>
      </c>
      <c r="G1973" s="550">
        <v>85</v>
      </c>
      <c r="H1973" s="550">
        <v>84</v>
      </c>
      <c r="I1973" s="550">
        <v>1</v>
      </c>
      <c r="J1973" s="550">
        <v>129</v>
      </c>
      <c r="K1973" s="550">
        <v>22</v>
      </c>
      <c r="L1973" s="550">
        <v>20</v>
      </c>
      <c r="M1973" s="550">
        <v>2</v>
      </c>
      <c r="N1973" s="550">
        <v>143</v>
      </c>
      <c r="O1973" s="550">
        <v>0</v>
      </c>
      <c r="P1973" s="550">
        <v>150</v>
      </c>
      <c r="Q1973" s="550">
        <v>712</v>
      </c>
      <c r="R1973" s="574" t="s">
        <v>633</v>
      </c>
      <c r="S1973" s="552"/>
      <c r="T1973" s="552"/>
      <c r="U1973" s="552"/>
      <c r="V1973" s="552"/>
      <c r="W1973" s="552"/>
      <c r="X1973" s="552"/>
      <c r="Y1973" s="552"/>
      <c r="Z1973" s="552"/>
      <c r="AA1973" s="553"/>
      <c r="AB1973" s="553"/>
    </row>
    <row r="1974" spans="1:28" ht="12.75">
      <c r="A1974" s="547" t="s">
        <v>633</v>
      </c>
      <c r="B1974" s="547" t="s">
        <v>184</v>
      </c>
      <c r="C1974" s="548" t="s">
        <v>774</v>
      </c>
      <c r="D1974" s="549">
        <v>2016</v>
      </c>
      <c r="E1974" s="549" t="s">
        <v>775</v>
      </c>
      <c r="F1974" s="550">
        <v>233</v>
      </c>
      <c r="G1974" s="550">
        <v>45</v>
      </c>
      <c r="H1974" s="550">
        <v>42</v>
      </c>
      <c r="I1974" s="550">
        <v>3</v>
      </c>
      <c r="J1974" s="550">
        <v>129</v>
      </c>
      <c r="K1974" s="550">
        <v>4</v>
      </c>
      <c r="L1974" s="550">
        <v>0</v>
      </c>
      <c r="M1974" s="550">
        <v>4</v>
      </c>
      <c r="N1974" s="550">
        <v>143</v>
      </c>
      <c r="O1974" s="550">
        <v>0</v>
      </c>
      <c r="P1974" s="550">
        <v>150</v>
      </c>
      <c r="Q1974" s="550">
        <v>17</v>
      </c>
      <c r="R1974" s="574" t="s">
        <v>633</v>
      </c>
      <c r="S1974" s="552"/>
      <c r="T1974" s="552"/>
      <c r="U1974" s="552"/>
      <c r="V1974" s="552"/>
      <c r="W1974" s="552"/>
      <c r="X1974" s="552"/>
      <c r="Y1974" s="552"/>
      <c r="Z1974" s="552"/>
      <c r="AA1974" s="553"/>
      <c r="AB1974" s="553"/>
    </row>
    <row r="1975" spans="1:28" ht="12.75">
      <c r="A1975" s="547" t="s">
        <v>633</v>
      </c>
      <c r="B1975" s="547" t="s">
        <v>184</v>
      </c>
      <c r="C1975" s="548" t="s">
        <v>774</v>
      </c>
      <c r="D1975" s="549">
        <v>2017</v>
      </c>
      <c r="E1975" s="549" t="s">
        <v>775</v>
      </c>
      <c r="F1975" s="550">
        <v>233</v>
      </c>
      <c r="G1975" s="550">
        <v>8</v>
      </c>
      <c r="H1975" s="550">
        <v>0</v>
      </c>
      <c r="I1975" s="550">
        <v>8</v>
      </c>
      <c r="J1975" s="550">
        <v>129</v>
      </c>
      <c r="K1975" s="550">
        <v>6</v>
      </c>
      <c r="L1975" s="550">
        <v>2</v>
      </c>
      <c r="M1975" s="550">
        <v>4</v>
      </c>
      <c r="N1975" s="550">
        <v>143</v>
      </c>
      <c r="O1975" s="550">
        <v>1</v>
      </c>
      <c r="P1975" s="550">
        <v>150</v>
      </c>
      <c r="Q1975" s="550">
        <v>20</v>
      </c>
      <c r="R1975" s="574" t="s">
        <v>633</v>
      </c>
      <c r="S1975" s="552"/>
      <c r="T1975" s="552"/>
      <c r="U1975" s="552"/>
      <c r="V1975" s="552"/>
      <c r="W1975" s="552"/>
      <c r="X1975" s="552"/>
      <c r="Y1975" s="552"/>
      <c r="Z1975" s="552"/>
      <c r="AA1975" s="553"/>
      <c r="AB1975" s="553"/>
    </row>
    <row r="1976" spans="1:28" ht="12.75">
      <c r="A1976" s="547" t="s">
        <v>633</v>
      </c>
      <c r="B1976" s="547" t="s">
        <v>184</v>
      </c>
      <c r="C1976" s="548" t="s">
        <v>774</v>
      </c>
      <c r="D1976" s="549">
        <v>2018</v>
      </c>
      <c r="E1976" s="549" t="s">
        <v>775</v>
      </c>
      <c r="F1976" s="550">
        <v>233</v>
      </c>
      <c r="G1976" s="550">
        <v>9</v>
      </c>
      <c r="H1976" s="550">
        <v>0</v>
      </c>
      <c r="I1976" s="550">
        <v>9</v>
      </c>
      <c r="J1976" s="550">
        <v>129</v>
      </c>
      <c r="K1976" s="550">
        <v>6</v>
      </c>
      <c r="L1976" s="550">
        <v>1</v>
      </c>
      <c r="M1976" s="550">
        <v>5</v>
      </c>
      <c r="N1976" s="550">
        <v>143</v>
      </c>
      <c r="O1976" s="550">
        <v>3</v>
      </c>
      <c r="P1976" s="550">
        <v>150</v>
      </c>
      <c r="Q1976" s="550">
        <v>26</v>
      </c>
      <c r="R1976" s="574" t="s">
        <v>633</v>
      </c>
      <c r="S1976" s="552"/>
      <c r="T1976" s="552"/>
      <c r="U1976" s="552"/>
      <c r="V1976" s="552"/>
      <c r="W1976" s="552"/>
      <c r="X1976" s="552"/>
      <c r="Y1976" s="552"/>
      <c r="Z1976" s="552"/>
      <c r="AA1976" s="553"/>
      <c r="AB1976" s="553"/>
    </row>
    <row r="1977" spans="1:28" ht="12.75">
      <c r="A1977" s="547" t="s">
        <v>633</v>
      </c>
      <c r="B1977" s="547" t="s">
        <v>184</v>
      </c>
      <c r="C1977" s="548" t="s">
        <v>782</v>
      </c>
      <c r="D1977" s="549">
        <v>2019</v>
      </c>
      <c r="E1977" s="549" t="s">
        <v>775</v>
      </c>
      <c r="F1977" s="550">
        <v>233</v>
      </c>
      <c r="G1977" s="550">
        <v>1</v>
      </c>
      <c r="H1977" s="550">
        <v>0</v>
      </c>
      <c r="I1977" s="550">
        <v>1</v>
      </c>
      <c r="J1977" s="550">
        <v>129</v>
      </c>
      <c r="K1977" s="550">
        <v>16</v>
      </c>
      <c r="L1977" s="550">
        <v>14</v>
      </c>
      <c r="M1977" s="550">
        <v>2</v>
      </c>
      <c r="N1977" s="550">
        <v>143</v>
      </c>
      <c r="O1977" s="550">
        <v>7</v>
      </c>
      <c r="P1977" s="550">
        <v>150</v>
      </c>
      <c r="Q1977" s="550">
        <v>172</v>
      </c>
      <c r="R1977" s="574" t="s">
        <v>633</v>
      </c>
      <c r="S1977" s="255">
        <f>SUM(G1973:G1977) +SUM(K1973:K1977)</f>
        <v>202</v>
      </c>
      <c r="T1977" s="255">
        <f>F1977+J1977</f>
        <v>362</v>
      </c>
      <c r="U1977" s="255">
        <f>SUM(O1973:O1977)</f>
        <v>11</v>
      </c>
      <c r="V1977" s="255">
        <f>N1977</f>
        <v>143</v>
      </c>
      <c r="W1977" s="83">
        <f>SUM(Q1973:Q1977)</f>
        <v>947</v>
      </c>
      <c r="X1977" s="255">
        <f>P1977</f>
        <v>150</v>
      </c>
      <c r="Y1977" s="255">
        <f>S1977+U1977+SUM(Q1973:Q1977)</f>
        <v>1160</v>
      </c>
      <c r="Z1977" s="255">
        <f>F1977+J1977+N1977+P1977</f>
        <v>655</v>
      </c>
      <c r="AA1977" s="553"/>
      <c r="AB1977" s="553"/>
    </row>
    <row r="1978" spans="1:28" ht="12.75">
      <c r="A1978" s="547" t="s">
        <v>634</v>
      </c>
      <c r="B1978" s="547" t="s">
        <v>184</v>
      </c>
      <c r="C1978" s="548" t="s">
        <v>774</v>
      </c>
      <c r="D1978" s="549">
        <v>2016</v>
      </c>
      <c r="E1978" s="549" t="s">
        <v>775</v>
      </c>
      <c r="F1978" s="550">
        <v>193</v>
      </c>
      <c r="G1978" s="550">
        <v>0</v>
      </c>
      <c r="H1978" s="550">
        <v>0</v>
      </c>
      <c r="I1978" s="550">
        <v>0</v>
      </c>
      <c r="J1978" s="550">
        <v>101</v>
      </c>
      <c r="K1978" s="550">
        <v>0</v>
      </c>
      <c r="L1978" s="550">
        <v>0</v>
      </c>
      <c r="M1978" s="550">
        <v>0</v>
      </c>
      <c r="N1978" s="550">
        <v>112</v>
      </c>
      <c r="O1978" s="550">
        <v>0</v>
      </c>
      <c r="P1978" s="550">
        <v>257</v>
      </c>
      <c r="Q1978" s="550">
        <v>0</v>
      </c>
      <c r="R1978" s="574" t="s">
        <v>634</v>
      </c>
      <c r="S1978" s="552"/>
      <c r="T1978" s="552"/>
      <c r="U1978" s="552"/>
      <c r="V1978" s="552"/>
      <c r="W1978" s="552"/>
      <c r="X1978" s="552"/>
      <c r="Y1978" s="552"/>
      <c r="Z1978" s="552"/>
      <c r="AA1978" s="553"/>
      <c r="AB1978" s="553"/>
    </row>
    <row r="1979" spans="1:28" ht="12.75">
      <c r="A1979" s="547" t="s">
        <v>634</v>
      </c>
      <c r="B1979" s="547" t="s">
        <v>184</v>
      </c>
      <c r="C1979" s="548" t="s">
        <v>774</v>
      </c>
      <c r="D1979" s="549">
        <v>2017</v>
      </c>
      <c r="E1979" s="549" t="s">
        <v>775</v>
      </c>
      <c r="F1979" s="550">
        <v>193</v>
      </c>
      <c r="G1979" s="550">
        <v>0</v>
      </c>
      <c r="H1979" s="550">
        <v>0</v>
      </c>
      <c r="I1979" s="550">
        <v>0</v>
      </c>
      <c r="J1979" s="550">
        <v>101</v>
      </c>
      <c r="K1979" s="550">
        <v>0</v>
      </c>
      <c r="L1979" s="550">
        <v>0</v>
      </c>
      <c r="M1979" s="550">
        <v>0</v>
      </c>
      <c r="N1979" s="550">
        <v>112</v>
      </c>
      <c r="O1979" s="550">
        <v>0</v>
      </c>
      <c r="P1979" s="550">
        <v>257</v>
      </c>
      <c r="Q1979" s="550">
        <v>3</v>
      </c>
      <c r="R1979" s="574" t="s">
        <v>634</v>
      </c>
      <c r="S1979" s="552"/>
      <c r="T1979" s="552"/>
      <c r="U1979" s="552"/>
      <c r="V1979" s="552"/>
      <c r="W1979" s="552"/>
      <c r="X1979" s="552"/>
      <c r="Y1979" s="552"/>
      <c r="Z1979" s="552"/>
      <c r="AA1979" s="553"/>
      <c r="AB1979" s="553"/>
    </row>
    <row r="1980" spans="1:28" ht="12.75">
      <c r="A1980" s="547" t="s">
        <v>634</v>
      </c>
      <c r="B1980" s="547" t="s">
        <v>184</v>
      </c>
      <c r="C1980" s="548" t="s">
        <v>774</v>
      </c>
      <c r="D1980" s="549">
        <v>2018</v>
      </c>
      <c r="E1980" s="549" t="s">
        <v>775</v>
      </c>
      <c r="F1980" s="550">
        <v>193</v>
      </c>
      <c r="G1980" s="564"/>
      <c r="H1980" s="564"/>
      <c r="I1980" s="564"/>
      <c r="J1980" s="550">
        <v>101</v>
      </c>
      <c r="K1980" s="564"/>
      <c r="L1980" s="564"/>
      <c r="M1980" s="564"/>
      <c r="N1980" s="550">
        <v>112</v>
      </c>
      <c r="O1980" s="564"/>
      <c r="P1980" s="550">
        <v>257</v>
      </c>
      <c r="Q1980" s="564"/>
      <c r="R1980" s="574" t="s">
        <v>634</v>
      </c>
      <c r="S1980" s="552"/>
      <c r="T1980" s="552"/>
      <c r="U1980" s="552"/>
      <c r="V1980" s="552"/>
      <c r="W1980" s="552"/>
      <c r="X1980" s="552"/>
      <c r="Y1980" s="552"/>
      <c r="Z1980" s="552"/>
      <c r="AA1980" s="553"/>
      <c r="AB1980" s="553"/>
    </row>
    <row r="1981" spans="1:28" ht="12.75">
      <c r="A1981" s="547" t="s">
        <v>634</v>
      </c>
      <c r="B1981" s="547" t="s">
        <v>184</v>
      </c>
      <c r="C1981" s="548" t="s">
        <v>782</v>
      </c>
      <c r="D1981" s="549">
        <v>2019</v>
      </c>
      <c r="E1981" s="549" t="s">
        <v>775</v>
      </c>
      <c r="F1981" s="550">
        <v>193</v>
      </c>
      <c r="G1981" s="550">
        <v>5</v>
      </c>
      <c r="H1981" s="550">
        <v>0</v>
      </c>
      <c r="I1981" s="550">
        <v>5</v>
      </c>
      <c r="J1981" s="550">
        <v>101</v>
      </c>
      <c r="K1981" s="550">
        <v>5</v>
      </c>
      <c r="L1981" s="550">
        <v>0</v>
      </c>
      <c r="M1981" s="550">
        <v>5</v>
      </c>
      <c r="N1981" s="550">
        <v>112</v>
      </c>
      <c r="O1981" s="550">
        <v>4</v>
      </c>
      <c r="P1981" s="550">
        <v>257</v>
      </c>
      <c r="Q1981" s="550">
        <v>4</v>
      </c>
      <c r="R1981" s="574" t="s">
        <v>634</v>
      </c>
      <c r="S1981" s="255">
        <f>SUM(G1978:G1981) +SUM(K1978:K1981)</f>
        <v>10</v>
      </c>
      <c r="T1981" s="255">
        <f>F1981+J1981</f>
        <v>294</v>
      </c>
      <c r="U1981" s="255">
        <f>SUM(O1978:O1981)</f>
        <v>4</v>
      </c>
      <c r="V1981" s="255">
        <f>N1981</f>
        <v>112</v>
      </c>
      <c r="W1981" s="83">
        <f>SUM(Q1978:Q1981)</f>
        <v>7</v>
      </c>
      <c r="X1981" s="255">
        <f>P1981</f>
        <v>257</v>
      </c>
      <c r="Y1981" s="255">
        <f>S1981+U1981+SUM(Q1978:Q1981)</f>
        <v>21</v>
      </c>
      <c r="Z1981" s="255">
        <f>F1981+J1981+N1981+P1981</f>
        <v>663</v>
      </c>
      <c r="AA1981" s="553"/>
      <c r="AB1981" s="553"/>
    </row>
    <row r="1982" spans="1:28" ht="12.75">
      <c r="A1982" s="547" t="s">
        <v>635</v>
      </c>
      <c r="B1982" s="547" t="s">
        <v>184</v>
      </c>
      <c r="C1982" s="548" t="s">
        <v>774</v>
      </c>
      <c r="D1982" s="549">
        <v>2015</v>
      </c>
      <c r="E1982" s="549" t="s">
        <v>775</v>
      </c>
      <c r="F1982" s="550">
        <v>121</v>
      </c>
      <c r="G1982" s="550">
        <v>0</v>
      </c>
      <c r="H1982" s="550">
        <v>0</v>
      </c>
      <c r="I1982" s="550">
        <v>0</v>
      </c>
      <c r="J1982" s="550">
        <v>68</v>
      </c>
      <c r="K1982" s="550">
        <v>0</v>
      </c>
      <c r="L1982" s="550">
        <v>0</v>
      </c>
      <c r="M1982" s="550">
        <v>0</v>
      </c>
      <c r="N1982" s="550">
        <v>70</v>
      </c>
      <c r="O1982" s="550">
        <v>1</v>
      </c>
      <c r="P1982" s="550">
        <v>154</v>
      </c>
      <c r="Q1982" s="550">
        <v>7</v>
      </c>
      <c r="R1982" s="574" t="s">
        <v>635</v>
      </c>
      <c r="S1982" s="552"/>
      <c r="T1982" s="552"/>
      <c r="U1982" s="552"/>
      <c r="V1982" s="552"/>
      <c r="W1982" s="552"/>
      <c r="X1982" s="552"/>
      <c r="Y1982" s="552"/>
      <c r="Z1982" s="552"/>
      <c r="AA1982" s="553"/>
      <c r="AB1982" s="553"/>
    </row>
    <row r="1983" spans="1:28" ht="12.75">
      <c r="A1983" s="547" t="s">
        <v>635</v>
      </c>
      <c r="B1983" s="547" t="s">
        <v>184</v>
      </c>
      <c r="C1983" s="548" t="s">
        <v>774</v>
      </c>
      <c r="D1983" s="549">
        <v>2016</v>
      </c>
      <c r="E1983" s="549" t="s">
        <v>775</v>
      </c>
      <c r="F1983" s="550">
        <v>121</v>
      </c>
      <c r="G1983" s="550">
        <v>0</v>
      </c>
      <c r="H1983" s="550">
        <v>0</v>
      </c>
      <c r="I1983" s="550">
        <v>0</v>
      </c>
      <c r="J1983" s="550">
        <v>68</v>
      </c>
      <c r="K1983" s="550">
        <v>0</v>
      </c>
      <c r="L1983" s="550">
        <v>0</v>
      </c>
      <c r="M1983" s="550">
        <v>0</v>
      </c>
      <c r="N1983" s="550">
        <v>70</v>
      </c>
      <c r="O1983" s="550">
        <v>1</v>
      </c>
      <c r="P1983" s="550">
        <v>154</v>
      </c>
      <c r="Q1983" s="550">
        <v>12</v>
      </c>
      <c r="R1983" s="574" t="s">
        <v>635</v>
      </c>
      <c r="S1983" s="552"/>
      <c r="T1983" s="552"/>
      <c r="U1983" s="552"/>
      <c r="V1983" s="552"/>
      <c r="W1983" s="552"/>
      <c r="X1983" s="552"/>
      <c r="Y1983" s="552"/>
      <c r="Z1983" s="552"/>
      <c r="AA1983" s="553"/>
      <c r="AB1983" s="553"/>
    </row>
    <row r="1984" spans="1:28" ht="12.75">
      <c r="A1984" s="547" t="s">
        <v>635</v>
      </c>
      <c r="B1984" s="547" t="s">
        <v>184</v>
      </c>
      <c r="C1984" s="548" t="s">
        <v>774</v>
      </c>
      <c r="D1984" s="549">
        <v>2017</v>
      </c>
      <c r="E1984" s="549" t="s">
        <v>775</v>
      </c>
      <c r="F1984" s="550">
        <v>121</v>
      </c>
      <c r="G1984" s="550">
        <v>0</v>
      </c>
      <c r="H1984" s="550">
        <v>0</v>
      </c>
      <c r="I1984" s="550">
        <v>0</v>
      </c>
      <c r="J1984" s="550">
        <v>68</v>
      </c>
      <c r="K1984" s="550">
        <v>0</v>
      </c>
      <c r="L1984" s="550">
        <v>0</v>
      </c>
      <c r="M1984" s="550">
        <v>0</v>
      </c>
      <c r="N1984" s="550">
        <v>70</v>
      </c>
      <c r="O1984" s="550">
        <v>4</v>
      </c>
      <c r="P1984" s="550">
        <v>154</v>
      </c>
      <c r="Q1984" s="550">
        <v>5</v>
      </c>
      <c r="R1984" s="574" t="s">
        <v>635</v>
      </c>
      <c r="S1984" s="552"/>
      <c r="T1984" s="552"/>
      <c r="U1984" s="552"/>
      <c r="V1984" s="552"/>
      <c r="W1984" s="552"/>
      <c r="X1984" s="552"/>
      <c r="Y1984" s="552"/>
      <c r="Z1984" s="552"/>
      <c r="AA1984" s="553"/>
      <c r="AB1984" s="553"/>
    </row>
    <row r="1985" spans="1:28" ht="12.75">
      <c r="A1985" s="547" t="s">
        <v>635</v>
      </c>
      <c r="B1985" s="547" t="s">
        <v>184</v>
      </c>
      <c r="C1985" s="548" t="s">
        <v>774</v>
      </c>
      <c r="D1985" s="549">
        <v>2018</v>
      </c>
      <c r="E1985" s="549" t="s">
        <v>775</v>
      </c>
      <c r="F1985" s="550">
        <v>121</v>
      </c>
      <c r="G1985" s="550">
        <v>0</v>
      </c>
      <c r="H1985" s="550">
        <v>0</v>
      </c>
      <c r="I1985" s="550">
        <v>0</v>
      </c>
      <c r="J1985" s="550">
        <v>68</v>
      </c>
      <c r="K1985" s="550">
        <v>0</v>
      </c>
      <c r="L1985" s="550">
        <v>0</v>
      </c>
      <c r="M1985" s="550">
        <v>0</v>
      </c>
      <c r="N1985" s="550">
        <v>70</v>
      </c>
      <c r="O1985" s="550">
        <v>0</v>
      </c>
      <c r="P1985" s="550">
        <v>154</v>
      </c>
      <c r="Q1985" s="550">
        <v>26</v>
      </c>
      <c r="R1985" s="574" t="s">
        <v>635</v>
      </c>
      <c r="S1985" s="552"/>
      <c r="T1985" s="552"/>
      <c r="U1985" s="552"/>
      <c r="V1985" s="552"/>
      <c r="W1985" s="552"/>
      <c r="X1985" s="552"/>
      <c r="Y1985" s="552"/>
      <c r="Z1985" s="552"/>
      <c r="AA1985" s="553"/>
      <c r="AB1985" s="553"/>
    </row>
    <row r="1986" spans="1:28" ht="12.75">
      <c r="A1986" s="547" t="s">
        <v>635</v>
      </c>
      <c r="B1986" s="547" t="s">
        <v>184</v>
      </c>
      <c r="C1986" s="548" t="s">
        <v>782</v>
      </c>
      <c r="D1986" s="549">
        <v>2019</v>
      </c>
      <c r="E1986" s="549" t="s">
        <v>775</v>
      </c>
      <c r="F1986" s="550">
        <v>121</v>
      </c>
      <c r="G1986" s="550">
        <v>0</v>
      </c>
      <c r="H1986" s="550">
        <v>0</v>
      </c>
      <c r="I1986" s="550">
        <v>0</v>
      </c>
      <c r="J1986" s="550">
        <v>68</v>
      </c>
      <c r="K1986" s="550">
        <v>0</v>
      </c>
      <c r="L1986" s="550">
        <v>0</v>
      </c>
      <c r="M1986" s="550">
        <v>0</v>
      </c>
      <c r="N1986" s="550">
        <v>70</v>
      </c>
      <c r="O1986" s="550">
        <v>0</v>
      </c>
      <c r="P1986" s="550">
        <v>154</v>
      </c>
      <c r="Q1986" s="550">
        <v>14</v>
      </c>
      <c r="R1986" s="574" t="s">
        <v>635</v>
      </c>
      <c r="S1986" s="255">
        <f>SUM(G1982:G1986) +SUM(K1982:K1986)</f>
        <v>0</v>
      </c>
      <c r="T1986" s="255">
        <f>F1986+J1986</f>
        <v>189</v>
      </c>
      <c r="U1986" s="255">
        <f>SUM(O1982:O1986)</f>
        <v>6</v>
      </c>
      <c r="V1986" s="255">
        <f>N1986</f>
        <v>70</v>
      </c>
      <c r="W1986" s="83">
        <f>SUM(Q1982:Q1986)</f>
        <v>64</v>
      </c>
      <c r="X1986" s="255">
        <f>P1986</f>
        <v>154</v>
      </c>
      <c r="Y1986" s="255">
        <f>S1986+U1986+SUM(Q1982:Q1986)</f>
        <v>70</v>
      </c>
      <c r="Z1986" s="255">
        <f>F1986+J1986+N1986+P1986</f>
        <v>413</v>
      </c>
      <c r="AA1986" s="553"/>
      <c r="AB1986" s="553"/>
    </row>
    <row r="1987" spans="1:28" ht="12.75">
      <c r="A1987" s="547" t="s">
        <v>636</v>
      </c>
      <c r="B1987" s="547" t="s">
        <v>184</v>
      </c>
      <c r="C1987" s="548" t="s">
        <v>774</v>
      </c>
      <c r="D1987" s="549">
        <v>2015</v>
      </c>
      <c r="E1987" s="549" t="s">
        <v>775</v>
      </c>
      <c r="F1987" s="550">
        <v>21</v>
      </c>
      <c r="G1987" s="550">
        <v>0</v>
      </c>
      <c r="H1987" s="550">
        <v>0</v>
      </c>
      <c r="I1987" s="550">
        <v>0</v>
      </c>
      <c r="J1987" s="550">
        <v>15</v>
      </c>
      <c r="K1987" s="550">
        <v>0</v>
      </c>
      <c r="L1987" s="550">
        <v>0</v>
      </c>
      <c r="M1987" s="550">
        <v>0</v>
      </c>
      <c r="N1987" s="550">
        <v>15</v>
      </c>
      <c r="O1987" s="550">
        <v>0</v>
      </c>
      <c r="P1987" s="550">
        <v>13</v>
      </c>
      <c r="Q1987" s="550">
        <v>8</v>
      </c>
      <c r="R1987" s="574" t="s">
        <v>636</v>
      </c>
      <c r="S1987" s="552"/>
      <c r="T1987" s="552"/>
      <c r="U1987" s="552"/>
      <c r="V1987" s="552"/>
      <c r="W1987" s="552"/>
      <c r="X1987" s="552"/>
      <c r="Y1987" s="552"/>
      <c r="Z1987" s="552"/>
      <c r="AA1987" s="553"/>
      <c r="AB1987" s="553"/>
    </row>
    <row r="1988" spans="1:28" ht="12.75">
      <c r="A1988" s="547" t="s">
        <v>636</v>
      </c>
      <c r="B1988" s="547" t="s">
        <v>184</v>
      </c>
      <c r="C1988" s="548" t="s">
        <v>774</v>
      </c>
      <c r="D1988" s="549">
        <v>2016</v>
      </c>
      <c r="E1988" s="549" t="s">
        <v>775</v>
      </c>
      <c r="F1988" s="550">
        <v>21</v>
      </c>
      <c r="G1988" s="550">
        <v>0</v>
      </c>
      <c r="H1988" s="550">
        <v>0</v>
      </c>
      <c r="I1988" s="550">
        <v>0</v>
      </c>
      <c r="J1988" s="550">
        <v>15</v>
      </c>
      <c r="K1988" s="550">
        <v>0</v>
      </c>
      <c r="L1988" s="550">
        <v>0</v>
      </c>
      <c r="M1988" s="550">
        <v>0</v>
      </c>
      <c r="N1988" s="550">
        <v>15</v>
      </c>
      <c r="O1988" s="550">
        <v>1</v>
      </c>
      <c r="P1988" s="550">
        <v>13</v>
      </c>
      <c r="Q1988" s="550">
        <v>8</v>
      </c>
      <c r="R1988" s="574" t="s">
        <v>636</v>
      </c>
      <c r="S1988" s="552"/>
      <c r="T1988" s="552"/>
      <c r="U1988" s="552"/>
      <c r="V1988" s="552"/>
      <c r="W1988" s="552"/>
      <c r="X1988" s="552"/>
      <c r="Y1988" s="552"/>
      <c r="Z1988" s="552"/>
      <c r="AA1988" s="553"/>
      <c r="AB1988" s="553"/>
    </row>
    <row r="1989" spans="1:28" ht="12.75">
      <c r="A1989" s="547" t="s">
        <v>636</v>
      </c>
      <c r="B1989" s="547" t="s">
        <v>184</v>
      </c>
      <c r="C1989" s="548" t="s">
        <v>774</v>
      </c>
      <c r="D1989" s="549">
        <v>2017</v>
      </c>
      <c r="E1989" s="549" t="s">
        <v>775</v>
      </c>
      <c r="F1989" s="550">
        <v>21</v>
      </c>
      <c r="G1989" s="550">
        <v>0</v>
      </c>
      <c r="H1989" s="550">
        <v>0</v>
      </c>
      <c r="I1989" s="550">
        <v>0</v>
      </c>
      <c r="J1989" s="550">
        <v>15</v>
      </c>
      <c r="K1989" s="550">
        <v>0</v>
      </c>
      <c r="L1989" s="550">
        <v>0</v>
      </c>
      <c r="M1989" s="550">
        <v>0</v>
      </c>
      <c r="N1989" s="550">
        <v>15</v>
      </c>
      <c r="O1989" s="550">
        <v>2</v>
      </c>
      <c r="P1989" s="550">
        <v>13</v>
      </c>
      <c r="Q1989" s="550">
        <v>6</v>
      </c>
      <c r="R1989" s="574" t="s">
        <v>636</v>
      </c>
      <c r="S1989" s="552"/>
      <c r="T1989" s="552"/>
      <c r="U1989" s="552"/>
      <c r="V1989" s="552"/>
      <c r="W1989" s="552"/>
      <c r="X1989" s="552"/>
      <c r="Y1989" s="552"/>
      <c r="Z1989" s="552"/>
      <c r="AA1989" s="553"/>
      <c r="AB1989" s="553"/>
    </row>
    <row r="1990" spans="1:28" ht="12.75">
      <c r="A1990" s="547" t="s">
        <v>636</v>
      </c>
      <c r="B1990" s="547" t="s">
        <v>184</v>
      </c>
      <c r="C1990" s="548" t="s">
        <v>774</v>
      </c>
      <c r="D1990" s="549">
        <v>2018</v>
      </c>
      <c r="E1990" s="549" t="s">
        <v>775</v>
      </c>
      <c r="F1990" s="550">
        <v>21</v>
      </c>
      <c r="G1990" s="550">
        <v>4</v>
      </c>
      <c r="H1990" s="550">
        <v>0</v>
      </c>
      <c r="I1990" s="550">
        <v>4</v>
      </c>
      <c r="J1990" s="550">
        <v>15</v>
      </c>
      <c r="K1990" s="550">
        <v>1</v>
      </c>
      <c r="L1990" s="550">
        <v>0</v>
      </c>
      <c r="M1990" s="550">
        <v>1</v>
      </c>
      <c r="N1990" s="550">
        <v>15</v>
      </c>
      <c r="O1990" s="550">
        <v>1</v>
      </c>
      <c r="P1990" s="550">
        <v>13</v>
      </c>
      <c r="Q1990" s="550">
        <v>2</v>
      </c>
      <c r="R1990" s="574" t="s">
        <v>636</v>
      </c>
      <c r="S1990" s="552"/>
      <c r="T1990" s="552"/>
      <c r="U1990" s="552"/>
      <c r="V1990" s="552"/>
      <c r="W1990" s="552"/>
      <c r="X1990" s="552"/>
      <c r="Y1990" s="552"/>
      <c r="Z1990" s="552"/>
      <c r="AA1990" s="553"/>
      <c r="AB1990" s="553"/>
    </row>
    <row r="1991" spans="1:28" ht="12.75">
      <c r="A1991" s="547" t="s">
        <v>636</v>
      </c>
      <c r="B1991" s="547" t="s">
        <v>184</v>
      </c>
      <c r="C1991" s="548" t="s">
        <v>782</v>
      </c>
      <c r="D1991" s="549">
        <v>2019</v>
      </c>
      <c r="E1991" s="549" t="s">
        <v>775</v>
      </c>
      <c r="F1991" s="550">
        <v>21</v>
      </c>
      <c r="G1991" s="550">
        <v>4</v>
      </c>
      <c r="H1991" s="550">
        <v>0</v>
      </c>
      <c r="I1991" s="550">
        <v>4</v>
      </c>
      <c r="J1991" s="550">
        <v>15</v>
      </c>
      <c r="K1991" s="550">
        <v>1</v>
      </c>
      <c r="L1991" s="550">
        <v>0</v>
      </c>
      <c r="M1991" s="550">
        <v>1</v>
      </c>
      <c r="N1991" s="550">
        <v>15</v>
      </c>
      <c r="O1991" s="550">
        <v>1</v>
      </c>
      <c r="P1991" s="550">
        <v>13</v>
      </c>
      <c r="Q1991" s="550">
        <v>4</v>
      </c>
      <c r="R1991" s="574" t="s">
        <v>636</v>
      </c>
      <c r="S1991" s="255">
        <f>SUM(G1987:G1991) +SUM(K1987:K1991)</f>
        <v>10</v>
      </c>
      <c r="T1991" s="255">
        <f>F1991+J1991</f>
        <v>36</v>
      </c>
      <c r="U1991" s="255">
        <f>SUM(O1987:O1991)</f>
        <v>5</v>
      </c>
      <c r="V1991" s="255">
        <f>N1991</f>
        <v>15</v>
      </c>
      <c r="W1991" s="83">
        <f>SUM(Q1987:Q1991)</f>
        <v>28</v>
      </c>
      <c r="X1991" s="255">
        <f>P1991</f>
        <v>13</v>
      </c>
      <c r="Y1991" s="255">
        <f>S1991+U1991+SUM(Q1987:Q1991)</f>
        <v>43</v>
      </c>
      <c r="Z1991" s="255">
        <f>F1991+J1991+N1991+P1991</f>
        <v>64</v>
      </c>
      <c r="AA1991" s="553"/>
      <c r="AB1991" s="553"/>
    </row>
    <row r="1992" spans="1:28" ht="12.75">
      <c r="A1992" s="547" t="s">
        <v>637</v>
      </c>
      <c r="B1992" s="547" t="s">
        <v>184</v>
      </c>
      <c r="C1992" s="548" t="s">
        <v>774</v>
      </c>
      <c r="D1992" s="549">
        <v>2015</v>
      </c>
      <c r="E1992" s="549" t="s">
        <v>775</v>
      </c>
      <c r="F1992" s="550">
        <v>706</v>
      </c>
      <c r="G1992" s="550">
        <v>0</v>
      </c>
      <c r="H1992" s="550">
        <v>0</v>
      </c>
      <c r="I1992" s="550">
        <v>0</v>
      </c>
      <c r="J1992" s="550">
        <v>429</v>
      </c>
      <c r="K1992" s="550">
        <v>2</v>
      </c>
      <c r="L1992" s="550">
        <v>0</v>
      </c>
      <c r="M1992" s="550">
        <v>2</v>
      </c>
      <c r="N1992" s="550">
        <v>502</v>
      </c>
      <c r="O1992" s="550">
        <v>0</v>
      </c>
      <c r="P1992" s="550">
        <v>1152</v>
      </c>
      <c r="Q1992" s="550">
        <v>1126</v>
      </c>
      <c r="R1992" s="574" t="s">
        <v>637</v>
      </c>
      <c r="S1992" s="552"/>
      <c r="T1992" s="552"/>
      <c r="U1992" s="552"/>
      <c r="V1992" s="552"/>
      <c r="W1992" s="552"/>
      <c r="X1992" s="552"/>
      <c r="Y1992" s="552"/>
      <c r="Z1992" s="552"/>
      <c r="AA1992" s="553"/>
      <c r="AB1992" s="553"/>
    </row>
    <row r="1993" spans="1:28" ht="12.75">
      <c r="A1993" s="547" t="s">
        <v>637</v>
      </c>
      <c r="B1993" s="547" t="s">
        <v>184</v>
      </c>
      <c r="C1993" s="548" t="s">
        <v>774</v>
      </c>
      <c r="D1993" s="549">
        <v>2016</v>
      </c>
      <c r="E1993" s="549" t="s">
        <v>775</v>
      </c>
      <c r="F1993" s="550">
        <v>706</v>
      </c>
      <c r="G1993" s="550">
        <v>7</v>
      </c>
      <c r="H1993" s="550">
        <v>7</v>
      </c>
      <c r="I1993" s="550">
        <v>0</v>
      </c>
      <c r="J1993" s="550">
        <v>429</v>
      </c>
      <c r="K1993" s="550">
        <v>16</v>
      </c>
      <c r="L1993" s="550">
        <v>0</v>
      </c>
      <c r="M1993" s="550">
        <v>16</v>
      </c>
      <c r="N1993" s="550">
        <v>502</v>
      </c>
      <c r="O1993" s="550">
        <v>0</v>
      </c>
      <c r="P1993" s="550">
        <v>1152</v>
      </c>
      <c r="Q1993" s="550">
        <v>240</v>
      </c>
      <c r="R1993" s="574" t="s">
        <v>637</v>
      </c>
      <c r="S1993" s="552"/>
      <c r="T1993" s="552"/>
      <c r="U1993" s="552"/>
      <c r="V1993" s="552"/>
      <c r="W1993" s="552"/>
      <c r="X1993" s="552"/>
      <c r="Y1993" s="552"/>
      <c r="Z1993" s="552"/>
      <c r="AA1993" s="553"/>
      <c r="AB1993" s="553"/>
    </row>
    <row r="1994" spans="1:28" ht="12.75">
      <c r="A1994" s="547" t="s">
        <v>637</v>
      </c>
      <c r="B1994" s="547" t="s">
        <v>184</v>
      </c>
      <c r="C1994" s="548" t="s">
        <v>774</v>
      </c>
      <c r="D1994" s="549">
        <v>2017</v>
      </c>
      <c r="E1994" s="549" t="s">
        <v>775</v>
      </c>
      <c r="F1994" s="550">
        <v>706</v>
      </c>
      <c r="G1994" s="550">
        <v>0</v>
      </c>
      <c r="H1994" s="550">
        <v>0</v>
      </c>
      <c r="I1994" s="550">
        <v>0</v>
      </c>
      <c r="J1994" s="550">
        <v>429</v>
      </c>
      <c r="K1994" s="550">
        <v>36</v>
      </c>
      <c r="L1994" s="550">
        <v>36</v>
      </c>
      <c r="M1994" s="550">
        <v>0</v>
      </c>
      <c r="N1994" s="550">
        <v>502</v>
      </c>
      <c r="O1994" s="550">
        <v>0</v>
      </c>
      <c r="P1994" s="550">
        <v>1152</v>
      </c>
      <c r="Q1994" s="550">
        <v>8</v>
      </c>
      <c r="R1994" s="574" t="s">
        <v>637</v>
      </c>
      <c r="S1994" s="552"/>
      <c r="T1994" s="552"/>
      <c r="U1994" s="552"/>
      <c r="V1994" s="552"/>
      <c r="W1994" s="552"/>
      <c r="X1994" s="552"/>
      <c r="Y1994" s="552"/>
      <c r="Z1994" s="552"/>
      <c r="AA1994" s="553"/>
      <c r="AB1994" s="553"/>
    </row>
    <row r="1995" spans="1:28" ht="12.75">
      <c r="A1995" s="547" t="s">
        <v>637</v>
      </c>
      <c r="B1995" s="547" t="s">
        <v>184</v>
      </c>
      <c r="C1995" s="548" t="s">
        <v>774</v>
      </c>
      <c r="D1995" s="549">
        <v>2018</v>
      </c>
      <c r="E1995" s="549" t="s">
        <v>775</v>
      </c>
      <c r="F1995" s="550">
        <v>706</v>
      </c>
      <c r="G1995" s="550">
        <v>0</v>
      </c>
      <c r="H1995" s="550">
        <v>0</v>
      </c>
      <c r="I1995" s="550">
        <v>0</v>
      </c>
      <c r="J1995" s="550">
        <v>429</v>
      </c>
      <c r="K1995" s="550">
        <v>58</v>
      </c>
      <c r="L1995" s="550">
        <v>35</v>
      </c>
      <c r="M1995" s="550">
        <v>23</v>
      </c>
      <c r="N1995" s="550">
        <v>502</v>
      </c>
      <c r="O1995" s="550">
        <v>0</v>
      </c>
      <c r="P1995" s="550">
        <v>1152</v>
      </c>
      <c r="Q1995" s="550">
        <v>348</v>
      </c>
      <c r="R1995" s="574" t="s">
        <v>637</v>
      </c>
      <c r="S1995" s="552"/>
      <c r="T1995" s="552"/>
      <c r="U1995" s="552"/>
      <c r="V1995" s="552"/>
      <c r="W1995" s="552"/>
      <c r="X1995" s="552"/>
      <c r="Y1995" s="552"/>
      <c r="Z1995" s="552"/>
      <c r="AA1995" s="553"/>
      <c r="AB1995" s="553"/>
    </row>
    <row r="1996" spans="1:28" ht="12.75">
      <c r="A1996" s="547" t="s">
        <v>637</v>
      </c>
      <c r="B1996" s="547" t="s">
        <v>184</v>
      </c>
      <c r="C1996" s="548" t="s">
        <v>782</v>
      </c>
      <c r="D1996" s="549">
        <v>2019</v>
      </c>
      <c r="E1996" s="549" t="s">
        <v>775</v>
      </c>
      <c r="F1996" s="550">
        <v>706</v>
      </c>
      <c r="G1996" s="550">
        <v>117</v>
      </c>
      <c r="H1996" s="550">
        <v>117</v>
      </c>
      <c r="I1996" s="550">
        <v>0</v>
      </c>
      <c r="J1996" s="550">
        <v>429</v>
      </c>
      <c r="K1996" s="550">
        <v>39</v>
      </c>
      <c r="L1996" s="550">
        <v>0</v>
      </c>
      <c r="M1996" s="550">
        <v>39</v>
      </c>
      <c r="N1996" s="550">
        <v>502</v>
      </c>
      <c r="O1996" s="550">
        <v>0</v>
      </c>
      <c r="P1996" s="550">
        <v>1152</v>
      </c>
      <c r="Q1996" s="550">
        <v>60</v>
      </c>
      <c r="R1996" s="574" t="s">
        <v>637</v>
      </c>
      <c r="S1996" s="255">
        <f>SUM(G1992:G1996) +SUM(K1992:K1996)</f>
        <v>275</v>
      </c>
      <c r="T1996" s="255">
        <f>F1996+J1996</f>
        <v>1135</v>
      </c>
      <c r="U1996" s="255">
        <f>SUM(O1992:O1996)</f>
        <v>0</v>
      </c>
      <c r="V1996" s="255">
        <f>N1996</f>
        <v>502</v>
      </c>
      <c r="W1996" s="83">
        <f>SUM(Q1992:Q1996)</f>
        <v>1782</v>
      </c>
      <c r="X1996" s="255">
        <f>P1996</f>
        <v>1152</v>
      </c>
      <c r="Y1996" s="255">
        <f>S1996+U1996+SUM(Q1992:Q1996)</f>
        <v>2057</v>
      </c>
      <c r="Z1996" s="255">
        <f>F1996+J1996+N1996+P1996</f>
        <v>2789</v>
      </c>
      <c r="AA1996" s="553"/>
      <c r="AB1996" s="553"/>
    </row>
    <row r="1997" spans="1:28" ht="12.75">
      <c r="A1997" s="547" t="s">
        <v>638</v>
      </c>
      <c r="B1997" s="547" t="s">
        <v>184</v>
      </c>
      <c r="C1997" s="548" t="s">
        <v>774</v>
      </c>
      <c r="D1997" s="549">
        <v>2014</v>
      </c>
      <c r="E1997" s="549" t="s">
        <v>775</v>
      </c>
      <c r="F1997" s="550">
        <v>358</v>
      </c>
      <c r="G1997" s="550">
        <v>0</v>
      </c>
      <c r="H1997" s="550">
        <v>0</v>
      </c>
      <c r="I1997" s="550">
        <v>0</v>
      </c>
      <c r="J1997" s="550">
        <v>161</v>
      </c>
      <c r="K1997" s="550">
        <v>0</v>
      </c>
      <c r="L1997" s="550">
        <v>0</v>
      </c>
      <c r="M1997" s="550">
        <v>0</v>
      </c>
      <c r="N1997" s="550">
        <v>205</v>
      </c>
      <c r="O1997" s="550">
        <v>0</v>
      </c>
      <c r="P1997" s="550">
        <v>431</v>
      </c>
      <c r="Q1997" s="550">
        <v>1</v>
      </c>
      <c r="R1997" s="574" t="s">
        <v>638</v>
      </c>
      <c r="S1997" s="552"/>
      <c r="T1997" s="552"/>
      <c r="U1997" s="552"/>
      <c r="V1997" s="552"/>
      <c r="W1997" s="552"/>
      <c r="X1997" s="552"/>
      <c r="Y1997" s="552"/>
      <c r="Z1997" s="552"/>
      <c r="AA1997" s="553"/>
      <c r="AB1997" s="553"/>
    </row>
    <row r="1998" spans="1:28" ht="12.75">
      <c r="A1998" s="547" t="s">
        <v>638</v>
      </c>
      <c r="B1998" s="547" t="s">
        <v>184</v>
      </c>
      <c r="C1998" s="548" t="s">
        <v>774</v>
      </c>
      <c r="D1998" s="549">
        <v>2015</v>
      </c>
      <c r="E1998" s="549" t="s">
        <v>775</v>
      </c>
      <c r="F1998" s="550">
        <v>358</v>
      </c>
      <c r="G1998" s="550">
        <v>0</v>
      </c>
      <c r="H1998" s="550">
        <v>0</v>
      </c>
      <c r="I1998" s="550">
        <v>0</v>
      </c>
      <c r="J1998" s="550">
        <v>161</v>
      </c>
      <c r="K1998" s="550">
        <v>0</v>
      </c>
      <c r="L1998" s="550">
        <v>0</v>
      </c>
      <c r="M1998" s="550">
        <v>0</v>
      </c>
      <c r="N1998" s="550">
        <v>205</v>
      </c>
      <c r="O1998" s="550">
        <v>1</v>
      </c>
      <c r="P1998" s="550">
        <v>431</v>
      </c>
      <c r="Q1998" s="550">
        <v>9</v>
      </c>
      <c r="R1998" s="574" t="s">
        <v>638</v>
      </c>
      <c r="S1998" s="552"/>
      <c r="T1998" s="552"/>
      <c r="U1998" s="552"/>
      <c r="V1998" s="552"/>
      <c r="W1998" s="552"/>
      <c r="X1998" s="552"/>
      <c r="Y1998" s="552"/>
      <c r="Z1998" s="552"/>
      <c r="AA1998" s="553"/>
      <c r="AB1998" s="553"/>
    </row>
    <row r="1999" spans="1:28" ht="12.75">
      <c r="A1999" s="547" t="s">
        <v>638</v>
      </c>
      <c r="B1999" s="547" t="s">
        <v>184</v>
      </c>
      <c r="C1999" s="548" t="s">
        <v>774</v>
      </c>
      <c r="D1999" s="549">
        <v>2016</v>
      </c>
      <c r="E1999" s="549" t="s">
        <v>775</v>
      </c>
      <c r="F1999" s="550">
        <v>358</v>
      </c>
      <c r="G1999" s="550">
        <v>0</v>
      </c>
      <c r="H1999" s="550">
        <v>0</v>
      </c>
      <c r="I1999" s="550">
        <v>0</v>
      </c>
      <c r="J1999" s="550">
        <v>161</v>
      </c>
      <c r="K1999" s="550">
        <v>4</v>
      </c>
      <c r="L1999" s="550">
        <v>4</v>
      </c>
      <c r="M1999" s="550">
        <v>0</v>
      </c>
      <c r="N1999" s="550">
        <v>205</v>
      </c>
      <c r="O1999" s="550">
        <v>41</v>
      </c>
      <c r="P1999" s="550">
        <v>431</v>
      </c>
      <c r="Q1999" s="550">
        <v>42</v>
      </c>
      <c r="R1999" s="574" t="s">
        <v>638</v>
      </c>
      <c r="S1999" s="552"/>
      <c r="T1999" s="552"/>
      <c r="U1999" s="552"/>
      <c r="V1999" s="552"/>
      <c r="W1999" s="552"/>
      <c r="X1999" s="552"/>
      <c r="Y1999" s="552"/>
      <c r="Z1999" s="552"/>
      <c r="AA1999" s="553"/>
      <c r="AB1999" s="553"/>
    </row>
    <row r="2000" spans="1:28" ht="12.75">
      <c r="A2000" s="547" t="s">
        <v>638</v>
      </c>
      <c r="B2000" s="555" t="s">
        <v>184</v>
      </c>
      <c r="C2000" s="548" t="s">
        <v>774</v>
      </c>
      <c r="D2000" s="549">
        <v>2017</v>
      </c>
      <c r="E2000" s="549" t="s">
        <v>775</v>
      </c>
      <c r="F2000" s="550">
        <v>358</v>
      </c>
      <c r="G2000" s="550">
        <v>0</v>
      </c>
      <c r="H2000" s="550">
        <v>0</v>
      </c>
      <c r="I2000" s="550">
        <v>0</v>
      </c>
      <c r="J2000" s="550">
        <v>161</v>
      </c>
      <c r="K2000" s="550">
        <v>14</v>
      </c>
      <c r="L2000" s="550">
        <v>14</v>
      </c>
      <c r="M2000" s="550">
        <v>0</v>
      </c>
      <c r="N2000" s="550">
        <v>205</v>
      </c>
      <c r="O2000" s="550">
        <v>0</v>
      </c>
      <c r="P2000" s="550">
        <v>431</v>
      </c>
      <c r="Q2000" s="550">
        <v>1</v>
      </c>
      <c r="R2000" s="574" t="s">
        <v>638</v>
      </c>
      <c r="S2000" s="552"/>
      <c r="T2000" s="552"/>
      <c r="U2000" s="552"/>
      <c r="V2000" s="552"/>
      <c r="W2000" s="552"/>
      <c r="X2000" s="552"/>
      <c r="Y2000" s="552"/>
      <c r="Z2000" s="552"/>
      <c r="AA2000" s="553"/>
      <c r="AB2000" s="553"/>
    </row>
    <row r="2001" spans="1:28" ht="12.75">
      <c r="A2001" s="547" t="s">
        <v>638</v>
      </c>
      <c r="B2001" s="547" t="s">
        <v>184</v>
      </c>
      <c r="C2001" s="548" t="s">
        <v>774</v>
      </c>
      <c r="D2001" s="549">
        <v>2018</v>
      </c>
      <c r="E2001" s="549" t="s">
        <v>775</v>
      </c>
      <c r="F2001" s="550">
        <v>358</v>
      </c>
      <c r="G2001" s="550">
        <v>0</v>
      </c>
      <c r="H2001" s="550">
        <v>0</v>
      </c>
      <c r="I2001" s="550">
        <v>0</v>
      </c>
      <c r="J2001" s="550">
        <v>161</v>
      </c>
      <c r="K2001" s="550">
        <v>6</v>
      </c>
      <c r="L2001" s="550">
        <v>0</v>
      </c>
      <c r="M2001" s="550">
        <v>6</v>
      </c>
      <c r="N2001" s="550">
        <v>205</v>
      </c>
      <c r="O2001" s="550">
        <v>0</v>
      </c>
      <c r="P2001" s="550">
        <v>431</v>
      </c>
      <c r="Q2001" s="550">
        <v>0</v>
      </c>
      <c r="R2001" s="574" t="s">
        <v>638</v>
      </c>
      <c r="S2001" s="552"/>
      <c r="T2001" s="552"/>
      <c r="U2001" s="552"/>
      <c r="V2001" s="552"/>
      <c r="W2001" s="552"/>
      <c r="X2001" s="552"/>
      <c r="Y2001" s="552"/>
      <c r="Z2001" s="552"/>
      <c r="AA2001" s="553"/>
      <c r="AB2001" s="553"/>
    </row>
    <row r="2002" spans="1:28" ht="12.75">
      <c r="A2002" s="547" t="s">
        <v>638</v>
      </c>
      <c r="B2002" s="547" t="s">
        <v>184</v>
      </c>
      <c r="C2002" s="548" t="s">
        <v>782</v>
      </c>
      <c r="D2002" s="549">
        <v>2019</v>
      </c>
      <c r="E2002" s="549" t="s">
        <v>775</v>
      </c>
      <c r="F2002" s="550">
        <v>358</v>
      </c>
      <c r="G2002" s="550">
        <v>0</v>
      </c>
      <c r="H2002" s="550">
        <v>0</v>
      </c>
      <c r="I2002" s="550">
        <v>0</v>
      </c>
      <c r="J2002" s="550">
        <v>161</v>
      </c>
      <c r="K2002" s="550">
        <v>42</v>
      </c>
      <c r="L2002" s="550">
        <v>6</v>
      </c>
      <c r="M2002" s="550">
        <v>36</v>
      </c>
      <c r="N2002" s="550">
        <v>205</v>
      </c>
      <c r="O2002" s="550">
        <v>5</v>
      </c>
      <c r="P2002" s="550">
        <v>431</v>
      </c>
      <c r="Q2002" s="550">
        <v>2</v>
      </c>
      <c r="R2002" s="574" t="s">
        <v>638</v>
      </c>
      <c r="S2002" s="552">
        <f>SUM(G1997:G2002) +SUM(K1997:K2002)</f>
        <v>66</v>
      </c>
      <c r="T2002" s="552">
        <f>F2002+J2002</f>
        <v>519</v>
      </c>
      <c r="U2002" s="552">
        <f>SUM(O1997:O2002)</f>
        <v>47</v>
      </c>
      <c r="V2002" s="552">
        <f>N2002</f>
        <v>205</v>
      </c>
      <c r="W2002" s="554">
        <f>SUM(Q1997:Q2002)</f>
        <v>55</v>
      </c>
      <c r="X2002" s="552">
        <f>P2002</f>
        <v>431</v>
      </c>
      <c r="Y2002" s="552">
        <f>S2002+U2002+SUM(Q1997:Q2002)</f>
        <v>168</v>
      </c>
      <c r="Z2002" s="552">
        <f>F2002+J2002+N2002+P2002</f>
        <v>1155</v>
      </c>
      <c r="AA2002" s="553"/>
      <c r="AB2002" s="553"/>
    </row>
    <row r="2003" spans="1:28" ht="12.75">
      <c r="A2003" s="547" t="s">
        <v>639</v>
      </c>
      <c r="B2003" s="547" t="s">
        <v>184</v>
      </c>
      <c r="C2003" s="548" t="s">
        <v>774</v>
      </c>
      <c r="D2003" s="549">
        <v>2016</v>
      </c>
      <c r="E2003" s="549" t="s">
        <v>775</v>
      </c>
      <c r="F2003" s="550">
        <v>195</v>
      </c>
      <c r="G2003" s="550">
        <v>4</v>
      </c>
      <c r="H2003" s="550">
        <v>4</v>
      </c>
      <c r="I2003" s="550">
        <v>0</v>
      </c>
      <c r="J2003" s="550">
        <v>107</v>
      </c>
      <c r="K2003" s="550">
        <v>13</v>
      </c>
      <c r="L2003" s="550">
        <v>13</v>
      </c>
      <c r="M2003" s="550">
        <v>0</v>
      </c>
      <c r="N2003" s="550">
        <v>111</v>
      </c>
      <c r="O2003" s="550">
        <v>10</v>
      </c>
      <c r="P2003" s="550">
        <v>183</v>
      </c>
      <c r="Q2003" s="550">
        <v>358</v>
      </c>
      <c r="R2003" s="574" t="s">
        <v>639</v>
      </c>
      <c r="S2003" s="552"/>
      <c r="T2003" s="552"/>
      <c r="U2003" s="552"/>
      <c r="V2003" s="552"/>
      <c r="W2003" s="552"/>
      <c r="X2003" s="552"/>
      <c r="Y2003" s="552"/>
      <c r="Z2003" s="552"/>
      <c r="AA2003" s="553"/>
      <c r="AB2003" s="553"/>
    </row>
    <row r="2004" spans="1:28" ht="12.75">
      <c r="A2004" s="547" t="s">
        <v>639</v>
      </c>
      <c r="B2004" s="547" t="s">
        <v>184</v>
      </c>
      <c r="C2004" s="548" t="s">
        <v>774</v>
      </c>
      <c r="D2004" s="549">
        <v>2017</v>
      </c>
      <c r="E2004" s="549" t="s">
        <v>775</v>
      </c>
      <c r="F2004" s="550">
        <v>195</v>
      </c>
      <c r="G2004" s="550">
        <v>1</v>
      </c>
      <c r="H2004" s="550">
        <v>1</v>
      </c>
      <c r="I2004" s="550">
        <v>0</v>
      </c>
      <c r="J2004" s="550">
        <v>107</v>
      </c>
      <c r="K2004" s="550">
        <v>0</v>
      </c>
      <c r="L2004" s="550">
        <v>0</v>
      </c>
      <c r="M2004" s="550">
        <v>0</v>
      </c>
      <c r="N2004" s="550">
        <v>111</v>
      </c>
      <c r="O2004" s="550">
        <v>1</v>
      </c>
      <c r="P2004" s="550">
        <v>183</v>
      </c>
      <c r="Q2004" s="550">
        <v>44</v>
      </c>
      <c r="R2004" s="574" t="s">
        <v>639</v>
      </c>
      <c r="S2004" s="552"/>
      <c r="T2004" s="552"/>
      <c r="U2004" s="552"/>
      <c r="V2004" s="552"/>
      <c r="W2004" s="552"/>
      <c r="X2004" s="552"/>
      <c r="Y2004" s="552"/>
      <c r="Z2004" s="552"/>
      <c r="AA2004" s="553"/>
      <c r="AB2004" s="553"/>
    </row>
    <row r="2005" spans="1:28" ht="12.75">
      <c r="A2005" s="547" t="s">
        <v>639</v>
      </c>
      <c r="B2005" s="547" t="s">
        <v>184</v>
      </c>
      <c r="C2005" s="548" t="s">
        <v>774</v>
      </c>
      <c r="D2005" s="549">
        <v>2018</v>
      </c>
      <c r="E2005" s="549" t="s">
        <v>775</v>
      </c>
      <c r="F2005" s="550">
        <v>195</v>
      </c>
      <c r="G2005" s="550">
        <v>0</v>
      </c>
      <c r="H2005" s="550">
        <v>0</v>
      </c>
      <c r="I2005" s="550">
        <v>0</v>
      </c>
      <c r="J2005" s="550">
        <v>107</v>
      </c>
      <c r="K2005" s="550">
        <v>0</v>
      </c>
      <c r="L2005" s="550">
        <v>0</v>
      </c>
      <c r="M2005" s="550">
        <v>0</v>
      </c>
      <c r="N2005" s="550">
        <v>111</v>
      </c>
      <c r="O2005" s="550">
        <v>0</v>
      </c>
      <c r="P2005" s="550">
        <v>183</v>
      </c>
      <c r="Q2005" s="550">
        <v>32</v>
      </c>
      <c r="R2005" s="574" t="s">
        <v>639</v>
      </c>
      <c r="S2005" s="552"/>
      <c r="T2005" s="552"/>
      <c r="U2005" s="552"/>
      <c r="V2005" s="552"/>
      <c r="W2005" s="552"/>
      <c r="X2005" s="552"/>
      <c r="Y2005" s="552"/>
      <c r="Z2005" s="552"/>
      <c r="AA2005" s="553"/>
      <c r="AB2005" s="553"/>
    </row>
    <row r="2006" spans="1:28" ht="12.75">
      <c r="A2006" s="547" t="s">
        <v>639</v>
      </c>
      <c r="B2006" s="547" t="s">
        <v>184</v>
      </c>
      <c r="C2006" s="548" t="s">
        <v>782</v>
      </c>
      <c r="D2006" s="549">
        <v>2019</v>
      </c>
      <c r="E2006" s="549" t="s">
        <v>775</v>
      </c>
      <c r="F2006" s="550">
        <v>195</v>
      </c>
      <c r="G2006" s="550">
        <v>0</v>
      </c>
      <c r="H2006" s="550">
        <v>0</v>
      </c>
      <c r="I2006" s="550">
        <v>0</v>
      </c>
      <c r="J2006" s="550">
        <v>107</v>
      </c>
      <c r="K2006" s="550">
        <v>1</v>
      </c>
      <c r="L2006" s="550">
        <v>1</v>
      </c>
      <c r="M2006" s="550">
        <v>0</v>
      </c>
      <c r="N2006" s="550">
        <v>111</v>
      </c>
      <c r="O2006" s="550">
        <v>2</v>
      </c>
      <c r="P2006" s="550">
        <v>183</v>
      </c>
      <c r="Q2006" s="550">
        <v>52</v>
      </c>
      <c r="R2006" s="574" t="s">
        <v>639</v>
      </c>
      <c r="S2006" s="255">
        <f>SUM(G2003:G2006) +SUM(K2003:K2006)</f>
        <v>19</v>
      </c>
      <c r="T2006" s="255">
        <f>F2006+J2006</f>
        <v>302</v>
      </c>
      <c r="U2006" s="255">
        <f>SUM(O2003:O2006)</f>
        <v>13</v>
      </c>
      <c r="V2006" s="255">
        <f>N2006</f>
        <v>111</v>
      </c>
      <c r="W2006" s="83">
        <f>SUM(Q2003:Q2006)</f>
        <v>486</v>
      </c>
      <c r="X2006" s="255">
        <f>P2006</f>
        <v>183</v>
      </c>
      <c r="Y2006" s="255">
        <f>S2006+U2006+SUM(Q2003:Q2006)</f>
        <v>518</v>
      </c>
      <c r="Z2006" s="255">
        <f>F2006+J2006+N2006+P2006</f>
        <v>596</v>
      </c>
      <c r="AA2006" s="553"/>
      <c r="AB2006" s="553"/>
    </row>
    <row r="2007" spans="1:28" ht="12.75">
      <c r="A2007" s="547" t="s">
        <v>184</v>
      </c>
      <c r="B2007" s="547" t="s">
        <v>184</v>
      </c>
      <c r="C2007" s="548" t="s">
        <v>774</v>
      </c>
      <c r="D2007" s="549">
        <v>2015</v>
      </c>
      <c r="E2007" s="549" t="s">
        <v>775</v>
      </c>
      <c r="F2007" s="550">
        <v>859</v>
      </c>
      <c r="G2007" s="550">
        <v>0</v>
      </c>
      <c r="H2007" s="550">
        <v>0</v>
      </c>
      <c r="I2007" s="550">
        <v>0</v>
      </c>
      <c r="J2007" s="550">
        <v>469</v>
      </c>
      <c r="K2007" s="550">
        <v>23</v>
      </c>
      <c r="L2007" s="550">
        <v>23</v>
      </c>
      <c r="M2007" s="550">
        <v>0</v>
      </c>
      <c r="N2007" s="550">
        <v>530</v>
      </c>
      <c r="O2007" s="550">
        <v>88</v>
      </c>
      <c r="P2007" s="550">
        <v>1242</v>
      </c>
      <c r="Q2007" s="550">
        <v>480</v>
      </c>
      <c r="R2007" s="574" t="s">
        <v>184</v>
      </c>
      <c r="S2007" s="552"/>
      <c r="T2007" s="552"/>
      <c r="U2007" s="552"/>
      <c r="V2007" s="552"/>
      <c r="W2007" s="552"/>
      <c r="X2007" s="552"/>
      <c r="Y2007" s="552"/>
      <c r="Z2007" s="552"/>
      <c r="AA2007" s="553"/>
      <c r="AB2007" s="553"/>
    </row>
    <row r="2008" spans="1:28" ht="12.75">
      <c r="A2008" s="547" t="s">
        <v>184</v>
      </c>
      <c r="B2008" s="547" t="s">
        <v>184</v>
      </c>
      <c r="C2008" s="548" t="s">
        <v>774</v>
      </c>
      <c r="D2008" s="549">
        <v>2016</v>
      </c>
      <c r="E2008" s="549" t="s">
        <v>775</v>
      </c>
      <c r="F2008" s="550">
        <v>859</v>
      </c>
      <c r="G2008" s="550">
        <v>12</v>
      </c>
      <c r="H2008" s="550">
        <v>12</v>
      </c>
      <c r="I2008" s="550">
        <v>0</v>
      </c>
      <c r="J2008" s="550">
        <v>469</v>
      </c>
      <c r="K2008" s="550">
        <v>3</v>
      </c>
      <c r="L2008" s="550">
        <v>3</v>
      </c>
      <c r="M2008" s="550">
        <v>0</v>
      </c>
      <c r="N2008" s="550">
        <v>530</v>
      </c>
      <c r="O2008" s="550">
        <v>2</v>
      </c>
      <c r="P2008" s="550">
        <v>1242</v>
      </c>
      <c r="Q2008" s="550">
        <v>172</v>
      </c>
      <c r="R2008" s="574" t="s">
        <v>184</v>
      </c>
      <c r="S2008" s="552"/>
      <c r="T2008" s="552"/>
      <c r="U2008" s="552"/>
      <c r="V2008" s="552"/>
      <c r="W2008" s="552"/>
      <c r="X2008" s="552"/>
      <c r="Y2008" s="552"/>
      <c r="Z2008" s="552"/>
      <c r="AA2008" s="553"/>
      <c r="AB2008" s="553"/>
    </row>
    <row r="2009" spans="1:28" ht="12.75">
      <c r="A2009" s="547" t="s">
        <v>184</v>
      </c>
      <c r="B2009" s="547" t="s">
        <v>184</v>
      </c>
      <c r="C2009" s="548" t="s">
        <v>774</v>
      </c>
      <c r="D2009" s="549">
        <v>2017</v>
      </c>
      <c r="E2009" s="549" t="s">
        <v>775</v>
      </c>
      <c r="F2009" s="550">
        <v>859</v>
      </c>
      <c r="G2009" s="550">
        <v>37</v>
      </c>
      <c r="H2009" s="550">
        <v>37</v>
      </c>
      <c r="I2009" s="550">
        <v>0</v>
      </c>
      <c r="J2009" s="550">
        <v>469</v>
      </c>
      <c r="K2009" s="550">
        <v>0</v>
      </c>
      <c r="L2009" s="550">
        <v>0</v>
      </c>
      <c r="M2009" s="550">
        <v>0</v>
      </c>
      <c r="N2009" s="550">
        <v>530</v>
      </c>
      <c r="O2009" s="550">
        <v>4</v>
      </c>
      <c r="P2009" s="550">
        <v>1242</v>
      </c>
      <c r="Q2009" s="550">
        <v>424</v>
      </c>
      <c r="R2009" s="574" t="s">
        <v>184</v>
      </c>
      <c r="S2009" s="552"/>
      <c r="T2009" s="552"/>
      <c r="U2009" s="552"/>
      <c r="V2009" s="552"/>
      <c r="W2009" s="552"/>
      <c r="X2009" s="552"/>
      <c r="Y2009" s="552"/>
      <c r="Z2009" s="552"/>
      <c r="AA2009" s="553"/>
      <c r="AB2009" s="553"/>
    </row>
    <row r="2010" spans="1:28" ht="12.75">
      <c r="A2010" s="547" t="s">
        <v>184</v>
      </c>
      <c r="B2010" s="547" t="s">
        <v>184</v>
      </c>
      <c r="C2010" s="548" t="s">
        <v>774</v>
      </c>
      <c r="D2010" s="549">
        <v>2018</v>
      </c>
      <c r="E2010" s="549" t="s">
        <v>775</v>
      </c>
      <c r="F2010" s="550">
        <v>859</v>
      </c>
      <c r="G2010" s="550">
        <v>0</v>
      </c>
      <c r="H2010" s="550">
        <v>0</v>
      </c>
      <c r="I2010" s="550">
        <v>0</v>
      </c>
      <c r="J2010" s="550">
        <v>469</v>
      </c>
      <c r="K2010" s="550">
        <v>21</v>
      </c>
      <c r="L2010" s="550">
        <v>0</v>
      </c>
      <c r="M2010" s="550">
        <v>21</v>
      </c>
      <c r="N2010" s="550">
        <v>530</v>
      </c>
      <c r="O2010" s="550">
        <v>0</v>
      </c>
      <c r="P2010" s="550">
        <v>1242</v>
      </c>
      <c r="Q2010" s="550">
        <v>62</v>
      </c>
      <c r="R2010" s="574" t="s">
        <v>184</v>
      </c>
      <c r="S2010" s="552"/>
      <c r="T2010" s="552"/>
      <c r="U2010" s="552"/>
      <c r="V2010" s="552"/>
      <c r="W2010" s="552"/>
      <c r="X2010" s="552"/>
      <c r="Y2010" s="552"/>
      <c r="Z2010" s="552"/>
      <c r="AA2010" s="553"/>
      <c r="AB2010" s="553"/>
    </row>
    <row r="2011" spans="1:28" ht="12.75">
      <c r="A2011" s="547" t="s">
        <v>184</v>
      </c>
      <c r="B2011" s="547" t="s">
        <v>184</v>
      </c>
      <c r="C2011" s="548" t="s">
        <v>782</v>
      </c>
      <c r="D2011" s="549">
        <v>2019</v>
      </c>
      <c r="E2011" s="549" t="s">
        <v>775</v>
      </c>
      <c r="F2011" s="550">
        <v>859</v>
      </c>
      <c r="G2011" s="550">
        <v>67</v>
      </c>
      <c r="H2011" s="550">
        <v>67</v>
      </c>
      <c r="I2011" s="550">
        <v>0</v>
      </c>
      <c r="J2011" s="550">
        <v>469</v>
      </c>
      <c r="K2011" s="550">
        <v>25</v>
      </c>
      <c r="L2011" s="550">
        <v>25</v>
      </c>
      <c r="M2011" s="550">
        <v>0</v>
      </c>
      <c r="N2011" s="550">
        <v>530</v>
      </c>
      <c r="O2011" s="550">
        <v>0</v>
      </c>
      <c r="P2011" s="550">
        <v>1242</v>
      </c>
      <c r="Q2011" s="550">
        <v>294</v>
      </c>
      <c r="R2011" s="574" t="s">
        <v>184</v>
      </c>
      <c r="S2011" s="255">
        <f>SUM(G2007:G2011) +SUM(K2007:K2011)</f>
        <v>188</v>
      </c>
      <c r="T2011" s="255">
        <f>F2011+J2011</f>
        <v>1328</v>
      </c>
      <c r="U2011" s="255">
        <f>SUM(O2007:O2011)</f>
        <v>94</v>
      </c>
      <c r="V2011" s="255">
        <f>N2011</f>
        <v>530</v>
      </c>
      <c r="W2011" s="83">
        <f>SUM(Q2007:Q2011)</f>
        <v>1432</v>
      </c>
      <c r="X2011" s="255">
        <f>P2011</f>
        <v>1242</v>
      </c>
      <c r="Y2011" s="255">
        <f>S2011+U2011+SUM(Q2007:Q2011)</f>
        <v>1714</v>
      </c>
      <c r="Z2011" s="255">
        <f>F2011+J2011+N2011+P2011</f>
        <v>3100</v>
      </c>
      <c r="AA2011" s="553"/>
      <c r="AB2011" s="553"/>
    </row>
    <row r="2012" spans="1:28" ht="12.75">
      <c r="A2012" s="547" t="s">
        <v>640</v>
      </c>
      <c r="B2012" s="547" t="s">
        <v>184</v>
      </c>
      <c r="C2012" s="548" t="s">
        <v>774</v>
      </c>
      <c r="D2012" s="549">
        <v>2015</v>
      </c>
      <c r="E2012" s="549" t="s">
        <v>775</v>
      </c>
      <c r="F2012" s="550">
        <v>153</v>
      </c>
      <c r="G2012" s="550">
        <v>0</v>
      </c>
      <c r="H2012" s="550">
        <v>0</v>
      </c>
      <c r="I2012" s="550">
        <v>0</v>
      </c>
      <c r="J2012" s="550">
        <v>103</v>
      </c>
      <c r="K2012" s="550">
        <v>1</v>
      </c>
      <c r="L2012" s="550">
        <v>0</v>
      </c>
      <c r="M2012" s="550">
        <v>1</v>
      </c>
      <c r="N2012" s="550">
        <v>102</v>
      </c>
      <c r="O2012" s="550">
        <v>6</v>
      </c>
      <c r="P2012" s="550">
        <v>555</v>
      </c>
      <c r="Q2012" s="550">
        <v>53</v>
      </c>
      <c r="R2012" s="574" t="s">
        <v>640</v>
      </c>
      <c r="S2012" s="552"/>
      <c r="T2012" s="552"/>
      <c r="U2012" s="552"/>
      <c r="V2012" s="552"/>
      <c r="W2012" s="552"/>
      <c r="X2012" s="552"/>
      <c r="Y2012" s="552"/>
      <c r="Z2012" s="552"/>
      <c r="AA2012" s="553"/>
      <c r="AB2012" s="553"/>
    </row>
    <row r="2013" spans="1:28" ht="12.75">
      <c r="A2013" s="547" t="s">
        <v>640</v>
      </c>
      <c r="B2013" s="547" t="s">
        <v>184</v>
      </c>
      <c r="C2013" s="548" t="s">
        <v>774</v>
      </c>
      <c r="D2013" s="549">
        <v>2016</v>
      </c>
      <c r="E2013" s="549" t="s">
        <v>775</v>
      </c>
      <c r="F2013" s="550">
        <v>153</v>
      </c>
      <c r="G2013" s="550">
        <v>0</v>
      </c>
      <c r="H2013" s="550">
        <v>0</v>
      </c>
      <c r="I2013" s="550">
        <v>0</v>
      </c>
      <c r="J2013" s="550">
        <v>103</v>
      </c>
      <c r="K2013" s="550">
        <v>3</v>
      </c>
      <c r="L2013" s="550">
        <v>0</v>
      </c>
      <c r="M2013" s="550">
        <v>3</v>
      </c>
      <c r="N2013" s="550">
        <v>102</v>
      </c>
      <c r="O2013" s="550">
        <v>7</v>
      </c>
      <c r="P2013" s="550">
        <v>555</v>
      </c>
      <c r="Q2013" s="550">
        <v>50</v>
      </c>
      <c r="R2013" s="574" t="s">
        <v>640</v>
      </c>
      <c r="S2013" s="552"/>
      <c r="T2013" s="552"/>
      <c r="U2013" s="552"/>
      <c r="V2013" s="552"/>
      <c r="W2013" s="552"/>
      <c r="X2013" s="552"/>
      <c r="Y2013" s="552"/>
      <c r="Z2013" s="552"/>
      <c r="AA2013" s="553"/>
      <c r="AB2013" s="553"/>
    </row>
    <row r="2014" spans="1:28" ht="12.75">
      <c r="A2014" s="547" t="s">
        <v>640</v>
      </c>
      <c r="B2014" s="547" t="s">
        <v>184</v>
      </c>
      <c r="C2014" s="548" t="s">
        <v>774</v>
      </c>
      <c r="D2014" s="549">
        <v>2017</v>
      </c>
      <c r="E2014" s="549" t="s">
        <v>775</v>
      </c>
      <c r="F2014" s="550">
        <v>153</v>
      </c>
      <c r="G2014" s="550">
        <v>1</v>
      </c>
      <c r="H2014" s="550">
        <v>0</v>
      </c>
      <c r="I2014" s="550">
        <v>1</v>
      </c>
      <c r="J2014" s="550">
        <v>103</v>
      </c>
      <c r="K2014" s="550">
        <v>8</v>
      </c>
      <c r="L2014" s="550">
        <v>7</v>
      </c>
      <c r="M2014" s="550">
        <v>1</v>
      </c>
      <c r="N2014" s="550">
        <v>102</v>
      </c>
      <c r="O2014" s="550">
        <v>4</v>
      </c>
      <c r="P2014" s="550">
        <v>555</v>
      </c>
      <c r="Q2014" s="550">
        <v>44</v>
      </c>
      <c r="R2014" s="574" t="s">
        <v>640</v>
      </c>
      <c r="S2014" s="552"/>
      <c r="T2014" s="552"/>
      <c r="U2014" s="552"/>
      <c r="V2014" s="552"/>
      <c r="W2014" s="552"/>
      <c r="X2014" s="552"/>
      <c r="Y2014" s="552"/>
      <c r="Z2014" s="552"/>
      <c r="AA2014" s="553"/>
      <c r="AB2014" s="553"/>
    </row>
    <row r="2015" spans="1:28" ht="12.75">
      <c r="A2015" s="547" t="s">
        <v>640</v>
      </c>
      <c r="B2015" s="547" t="s">
        <v>184</v>
      </c>
      <c r="C2015" s="548" t="s">
        <v>774</v>
      </c>
      <c r="D2015" s="549">
        <v>2018</v>
      </c>
      <c r="E2015" s="549" t="s">
        <v>775</v>
      </c>
      <c r="F2015" s="550">
        <v>153</v>
      </c>
      <c r="G2015" s="550">
        <v>0</v>
      </c>
      <c r="H2015" s="550">
        <v>0</v>
      </c>
      <c r="I2015" s="550">
        <v>0</v>
      </c>
      <c r="J2015" s="550">
        <v>103</v>
      </c>
      <c r="K2015" s="550">
        <v>21</v>
      </c>
      <c r="L2015" s="550">
        <v>0</v>
      </c>
      <c r="M2015" s="550">
        <v>21</v>
      </c>
      <c r="N2015" s="550">
        <v>102</v>
      </c>
      <c r="O2015" s="550">
        <v>0</v>
      </c>
      <c r="P2015" s="550">
        <v>555</v>
      </c>
      <c r="Q2015" s="550">
        <v>62</v>
      </c>
      <c r="R2015" s="574" t="s">
        <v>640</v>
      </c>
      <c r="S2015" s="552"/>
      <c r="T2015" s="552"/>
      <c r="U2015" s="552"/>
      <c r="V2015" s="552"/>
      <c r="W2015" s="552"/>
      <c r="X2015" s="552"/>
      <c r="Y2015" s="552"/>
      <c r="Z2015" s="552"/>
      <c r="AA2015" s="553"/>
      <c r="AB2015" s="553"/>
    </row>
    <row r="2016" spans="1:28" ht="12.75">
      <c r="A2016" s="547" t="s">
        <v>640</v>
      </c>
      <c r="B2016" s="547" t="s">
        <v>184</v>
      </c>
      <c r="C2016" s="548" t="s">
        <v>782</v>
      </c>
      <c r="D2016" s="549">
        <v>2019</v>
      </c>
      <c r="E2016" s="549" t="s">
        <v>775</v>
      </c>
      <c r="F2016" s="550">
        <v>153</v>
      </c>
      <c r="G2016" s="550">
        <v>0</v>
      </c>
      <c r="H2016" s="550">
        <v>0</v>
      </c>
      <c r="I2016" s="550">
        <v>0</v>
      </c>
      <c r="J2016" s="550">
        <v>103</v>
      </c>
      <c r="K2016" s="550">
        <v>9</v>
      </c>
      <c r="L2016" s="550">
        <v>0</v>
      </c>
      <c r="M2016" s="550">
        <v>9</v>
      </c>
      <c r="N2016" s="550">
        <v>102</v>
      </c>
      <c r="O2016" s="550">
        <v>11</v>
      </c>
      <c r="P2016" s="550">
        <v>555</v>
      </c>
      <c r="Q2016" s="550">
        <v>123</v>
      </c>
      <c r="R2016" s="574" t="s">
        <v>640</v>
      </c>
      <c r="S2016" s="255">
        <f>SUM(G2012:G2016) +SUM(K2012:K2016)</f>
        <v>43</v>
      </c>
      <c r="T2016" s="255">
        <f>F2016+J2016</f>
        <v>256</v>
      </c>
      <c r="U2016" s="255">
        <f>SUM(O2012:O2016)</f>
        <v>28</v>
      </c>
      <c r="V2016" s="255">
        <f>N2016</f>
        <v>102</v>
      </c>
      <c r="W2016" s="83">
        <f>SUM(Q2012:Q2016)</f>
        <v>332</v>
      </c>
      <c r="X2016" s="255">
        <f>P2016</f>
        <v>555</v>
      </c>
      <c r="Y2016" s="255">
        <f>S2016+U2016+SUM(Q2012:Q2016)</f>
        <v>403</v>
      </c>
      <c r="Z2016" s="255">
        <f>F2016+J2016+N2016+P2016</f>
        <v>913</v>
      </c>
      <c r="AA2016" s="553"/>
      <c r="AB2016" s="553"/>
    </row>
    <row r="2017" spans="1:28" ht="12.75">
      <c r="A2017" s="547" t="s">
        <v>641</v>
      </c>
      <c r="B2017" s="547" t="s">
        <v>184</v>
      </c>
      <c r="C2017" s="548" t="s">
        <v>774</v>
      </c>
      <c r="D2017" s="549">
        <v>2015</v>
      </c>
      <c r="E2017" s="549" t="s">
        <v>775</v>
      </c>
      <c r="F2017" s="550">
        <v>565</v>
      </c>
      <c r="G2017" s="550">
        <v>0</v>
      </c>
      <c r="H2017" s="550">
        <v>0</v>
      </c>
      <c r="I2017" s="550">
        <v>0</v>
      </c>
      <c r="J2017" s="550">
        <v>281</v>
      </c>
      <c r="K2017" s="550">
        <v>3</v>
      </c>
      <c r="L2017" s="550">
        <v>3</v>
      </c>
      <c r="M2017" s="550">
        <v>0</v>
      </c>
      <c r="N2017" s="550">
        <v>313</v>
      </c>
      <c r="O2017" s="550">
        <v>10</v>
      </c>
      <c r="P2017" s="550">
        <v>705</v>
      </c>
      <c r="Q2017" s="550">
        <v>28</v>
      </c>
      <c r="R2017" s="574" t="s">
        <v>641</v>
      </c>
      <c r="S2017" s="552"/>
      <c r="T2017" s="552"/>
      <c r="U2017" s="552"/>
      <c r="V2017" s="552"/>
      <c r="W2017" s="552"/>
      <c r="X2017" s="552"/>
      <c r="Y2017" s="552"/>
      <c r="Z2017" s="552"/>
      <c r="AA2017" s="553"/>
      <c r="AB2017" s="553"/>
    </row>
    <row r="2018" spans="1:28" ht="12.75">
      <c r="A2018" s="547" t="s">
        <v>641</v>
      </c>
      <c r="B2018" s="547" t="s">
        <v>184</v>
      </c>
      <c r="C2018" s="548" t="s">
        <v>774</v>
      </c>
      <c r="D2018" s="549">
        <v>2016</v>
      </c>
      <c r="E2018" s="549" t="s">
        <v>775</v>
      </c>
      <c r="F2018" s="550">
        <v>565</v>
      </c>
      <c r="G2018" s="550">
        <v>0</v>
      </c>
      <c r="H2018" s="550">
        <v>0</v>
      </c>
      <c r="I2018" s="550">
        <v>0</v>
      </c>
      <c r="J2018" s="550">
        <v>281</v>
      </c>
      <c r="K2018" s="550">
        <v>1</v>
      </c>
      <c r="L2018" s="550">
        <v>1</v>
      </c>
      <c r="M2018" s="550">
        <v>0</v>
      </c>
      <c r="N2018" s="550">
        <v>313</v>
      </c>
      <c r="O2018" s="550">
        <v>13</v>
      </c>
      <c r="P2018" s="550">
        <v>705</v>
      </c>
      <c r="Q2018" s="550">
        <v>92</v>
      </c>
      <c r="R2018" s="574" t="s">
        <v>641</v>
      </c>
      <c r="S2018" s="552"/>
      <c r="T2018" s="552"/>
      <c r="U2018" s="552"/>
      <c r="V2018" s="552"/>
      <c r="W2018" s="552"/>
      <c r="X2018" s="552"/>
      <c r="Y2018" s="552"/>
      <c r="Z2018" s="552"/>
      <c r="AA2018" s="553"/>
      <c r="AB2018" s="553"/>
    </row>
    <row r="2019" spans="1:28" ht="12.75">
      <c r="A2019" s="547" t="s">
        <v>641</v>
      </c>
      <c r="B2019" s="547" t="s">
        <v>184</v>
      </c>
      <c r="C2019" s="548" t="s">
        <v>774</v>
      </c>
      <c r="D2019" s="549">
        <v>2017</v>
      </c>
      <c r="E2019" s="549" t="s">
        <v>775</v>
      </c>
      <c r="F2019" s="550">
        <v>565</v>
      </c>
      <c r="G2019" s="550">
        <v>80</v>
      </c>
      <c r="H2019" s="550">
        <v>80</v>
      </c>
      <c r="I2019" s="550">
        <v>0</v>
      </c>
      <c r="J2019" s="550">
        <v>281</v>
      </c>
      <c r="K2019" s="550">
        <v>0</v>
      </c>
      <c r="L2019" s="550">
        <v>0</v>
      </c>
      <c r="M2019" s="550">
        <v>0</v>
      </c>
      <c r="N2019" s="550">
        <v>313</v>
      </c>
      <c r="O2019" s="550">
        <v>5</v>
      </c>
      <c r="P2019" s="550">
        <v>705</v>
      </c>
      <c r="Q2019" s="550">
        <v>283</v>
      </c>
      <c r="R2019" s="574" t="s">
        <v>641</v>
      </c>
      <c r="S2019" s="552"/>
      <c r="T2019" s="552"/>
      <c r="U2019" s="552"/>
      <c r="V2019" s="552"/>
      <c r="W2019" s="552"/>
      <c r="X2019" s="552"/>
      <c r="Y2019" s="552"/>
      <c r="Z2019" s="552"/>
      <c r="AA2019" s="553"/>
      <c r="AB2019" s="553"/>
    </row>
    <row r="2020" spans="1:28" ht="12.75">
      <c r="A2020" s="547" t="s">
        <v>641</v>
      </c>
      <c r="B2020" s="547" t="s">
        <v>184</v>
      </c>
      <c r="C2020" s="548" t="s">
        <v>774</v>
      </c>
      <c r="D2020" s="549">
        <v>2018</v>
      </c>
      <c r="E2020" s="549" t="s">
        <v>775</v>
      </c>
      <c r="F2020" s="550">
        <v>565</v>
      </c>
      <c r="G2020" s="550">
        <v>0</v>
      </c>
      <c r="H2020" s="550">
        <v>0</v>
      </c>
      <c r="I2020" s="550">
        <v>0</v>
      </c>
      <c r="J2020" s="550">
        <v>281</v>
      </c>
      <c r="K2020" s="550">
        <v>0</v>
      </c>
      <c r="L2020" s="550">
        <v>0</v>
      </c>
      <c r="M2020" s="550">
        <v>0</v>
      </c>
      <c r="N2020" s="550">
        <v>313</v>
      </c>
      <c r="O2020" s="550">
        <v>5</v>
      </c>
      <c r="P2020" s="550">
        <v>705</v>
      </c>
      <c r="Q2020" s="550">
        <v>162</v>
      </c>
      <c r="R2020" s="574" t="s">
        <v>641</v>
      </c>
      <c r="S2020" s="552"/>
      <c r="T2020" s="552"/>
      <c r="U2020" s="552"/>
      <c r="V2020" s="552"/>
      <c r="W2020" s="552"/>
      <c r="X2020" s="552"/>
      <c r="Y2020" s="552"/>
      <c r="Z2020" s="552"/>
      <c r="AA2020" s="553"/>
      <c r="AB2020" s="553"/>
    </row>
    <row r="2021" spans="1:28" ht="12.75">
      <c r="A2021" s="547" t="s">
        <v>641</v>
      </c>
      <c r="B2021" s="547" t="s">
        <v>184</v>
      </c>
      <c r="C2021" s="548" t="s">
        <v>782</v>
      </c>
      <c r="D2021" s="549">
        <v>2019</v>
      </c>
      <c r="E2021" s="549" t="s">
        <v>775</v>
      </c>
      <c r="F2021" s="550">
        <v>565</v>
      </c>
      <c r="G2021" s="550">
        <v>0</v>
      </c>
      <c r="H2021" s="550">
        <v>0</v>
      </c>
      <c r="I2021" s="550">
        <v>0</v>
      </c>
      <c r="J2021" s="550">
        <v>281</v>
      </c>
      <c r="K2021" s="550">
        <v>1</v>
      </c>
      <c r="L2021" s="550">
        <v>1</v>
      </c>
      <c r="M2021" s="550">
        <v>0</v>
      </c>
      <c r="N2021" s="550">
        <v>313</v>
      </c>
      <c r="O2021" s="550">
        <v>25</v>
      </c>
      <c r="P2021" s="550">
        <v>705</v>
      </c>
      <c r="Q2021" s="550">
        <v>269</v>
      </c>
      <c r="R2021" s="574" t="s">
        <v>641</v>
      </c>
      <c r="S2021" s="255">
        <f>SUM(G2017:G2021) +SUM(K2017:K2021)</f>
        <v>85</v>
      </c>
      <c r="T2021" s="255">
        <f>F2021+J2021</f>
        <v>846</v>
      </c>
      <c r="U2021" s="255">
        <f>SUM(O2017:O2021)</f>
        <v>58</v>
      </c>
      <c r="V2021" s="255">
        <f>N2021</f>
        <v>313</v>
      </c>
      <c r="W2021" s="83">
        <f>SUM(Q2017:Q2021)</f>
        <v>834</v>
      </c>
      <c r="X2021" s="255">
        <f>P2021</f>
        <v>705</v>
      </c>
      <c r="Y2021" s="255">
        <f>S2021+U2021+SUM(Q2017:Q2021)</f>
        <v>977</v>
      </c>
      <c r="Z2021" s="255">
        <f>F2021+J2021+N2021+P2021</f>
        <v>1864</v>
      </c>
      <c r="AA2021" s="553"/>
      <c r="AB2021" s="553"/>
    </row>
    <row r="2022" spans="1:28" ht="12.75">
      <c r="A2022" s="547" t="s">
        <v>642</v>
      </c>
      <c r="B2022" s="547" t="s">
        <v>184</v>
      </c>
      <c r="C2022" s="548" t="s">
        <v>774</v>
      </c>
      <c r="D2022" s="549">
        <v>2015</v>
      </c>
      <c r="E2022" s="549" t="s">
        <v>775</v>
      </c>
      <c r="F2022" s="550">
        <v>23</v>
      </c>
      <c r="G2022" s="550">
        <v>1</v>
      </c>
      <c r="H2022" s="550">
        <v>0</v>
      </c>
      <c r="I2022" s="550">
        <v>1</v>
      </c>
      <c r="J2022" s="550">
        <v>13</v>
      </c>
      <c r="K2022" s="550">
        <v>0</v>
      </c>
      <c r="L2022" s="550">
        <v>0</v>
      </c>
      <c r="M2022" s="550">
        <v>0</v>
      </c>
      <c r="N2022" s="550">
        <v>15</v>
      </c>
      <c r="O2022" s="550">
        <v>0</v>
      </c>
      <c r="P2022" s="550">
        <v>11</v>
      </c>
      <c r="Q2022" s="550">
        <v>4</v>
      </c>
      <c r="R2022" s="574" t="s">
        <v>642</v>
      </c>
      <c r="S2022" s="552"/>
      <c r="T2022" s="552"/>
      <c r="U2022" s="552"/>
      <c r="V2022" s="552"/>
      <c r="W2022" s="552"/>
      <c r="X2022" s="552"/>
      <c r="Y2022" s="552"/>
      <c r="Z2022" s="552"/>
      <c r="AA2022" s="553"/>
      <c r="AB2022" s="553"/>
    </row>
    <row r="2023" spans="1:28" ht="12.75">
      <c r="A2023" s="547" t="s">
        <v>642</v>
      </c>
      <c r="B2023" s="547" t="s">
        <v>184</v>
      </c>
      <c r="C2023" s="548" t="s">
        <v>774</v>
      </c>
      <c r="D2023" s="549">
        <v>2016</v>
      </c>
      <c r="E2023" s="549" t="s">
        <v>775</v>
      </c>
      <c r="F2023" s="550">
        <v>23</v>
      </c>
      <c r="G2023" s="550">
        <v>5</v>
      </c>
      <c r="H2023" s="550">
        <v>0</v>
      </c>
      <c r="I2023" s="550">
        <v>5</v>
      </c>
      <c r="J2023" s="550">
        <v>13</v>
      </c>
      <c r="K2023" s="550">
        <v>1</v>
      </c>
      <c r="L2023" s="550">
        <v>0</v>
      </c>
      <c r="M2023" s="550">
        <v>1</v>
      </c>
      <c r="N2023" s="550">
        <v>15</v>
      </c>
      <c r="O2023" s="550">
        <v>1</v>
      </c>
      <c r="P2023" s="550">
        <v>11</v>
      </c>
      <c r="Q2023" s="550">
        <v>8</v>
      </c>
      <c r="R2023" s="574" t="s">
        <v>642</v>
      </c>
      <c r="S2023" s="552"/>
      <c r="T2023" s="552"/>
      <c r="U2023" s="552"/>
      <c r="V2023" s="552"/>
      <c r="W2023" s="552"/>
      <c r="X2023" s="552"/>
      <c r="Y2023" s="552"/>
      <c r="Z2023" s="552"/>
      <c r="AA2023" s="553"/>
      <c r="AB2023" s="553"/>
    </row>
    <row r="2024" spans="1:28" ht="12.75">
      <c r="A2024" s="547" t="s">
        <v>642</v>
      </c>
      <c r="B2024" s="547" t="s">
        <v>184</v>
      </c>
      <c r="C2024" s="548" t="s">
        <v>774</v>
      </c>
      <c r="D2024" s="549">
        <v>2017</v>
      </c>
      <c r="E2024" s="549" t="s">
        <v>775</v>
      </c>
      <c r="F2024" s="550">
        <v>23</v>
      </c>
      <c r="G2024" s="550">
        <v>6</v>
      </c>
      <c r="H2024" s="550">
        <v>0</v>
      </c>
      <c r="I2024" s="550">
        <v>6</v>
      </c>
      <c r="J2024" s="550">
        <v>13</v>
      </c>
      <c r="K2024" s="550">
        <v>1</v>
      </c>
      <c r="L2024" s="550">
        <v>0</v>
      </c>
      <c r="M2024" s="550">
        <v>1</v>
      </c>
      <c r="N2024" s="550">
        <v>15</v>
      </c>
      <c r="O2024" s="550">
        <v>1</v>
      </c>
      <c r="P2024" s="550">
        <v>11</v>
      </c>
      <c r="Q2024" s="550">
        <v>5</v>
      </c>
      <c r="R2024" s="574" t="s">
        <v>642</v>
      </c>
      <c r="S2024" s="552"/>
      <c r="T2024" s="552"/>
      <c r="U2024" s="552"/>
      <c r="V2024" s="552"/>
      <c r="W2024" s="552"/>
      <c r="X2024" s="552"/>
      <c r="Y2024" s="552"/>
      <c r="Z2024" s="552"/>
      <c r="AA2024" s="553"/>
      <c r="AB2024" s="553"/>
    </row>
    <row r="2025" spans="1:28" ht="12.75">
      <c r="A2025" s="547" t="s">
        <v>642</v>
      </c>
      <c r="B2025" s="547" t="s">
        <v>184</v>
      </c>
      <c r="C2025" s="548" t="s">
        <v>774</v>
      </c>
      <c r="D2025" s="549">
        <v>2018</v>
      </c>
      <c r="E2025" s="549" t="s">
        <v>775</v>
      </c>
      <c r="F2025" s="550">
        <v>23</v>
      </c>
      <c r="G2025" s="550">
        <v>11</v>
      </c>
      <c r="H2025" s="550">
        <v>0</v>
      </c>
      <c r="I2025" s="550">
        <v>11</v>
      </c>
      <c r="J2025" s="550">
        <v>13</v>
      </c>
      <c r="K2025" s="550">
        <v>2</v>
      </c>
      <c r="L2025" s="550">
        <v>0</v>
      </c>
      <c r="M2025" s="550">
        <v>2</v>
      </c>
      <c r="N2025" s="550">
        <v>15</v>
      </c>
      <c r="O2025" s="550">
        <v>1</v>
      </c>
      <c r="P2025" s="550">
        <v>11</v>
      </c>
      <c r="Q2025" s="550">
        <v>7</v>
      </c>
      <c r="R2025" s="574" t="s">
        <v>642</v>
      </c>
      <c r="S2025" s="552"/>
      <c r="T2025" s="552"/>
      <c r="U2025" s="552"/>
      <c r="V2025" s="552"/>
      <c r="W2025" s="552"/>
      <c r="X2025" s="552"/>
      <c r="Y2025" s="552"/>
      <c r="Z2025" s="552"/>
      <c r="AA2025" s="553"/>
      <c r="AB2025" s="553"/>
    </row>
    <row r="2026" spans="1:28" ht="12.75">
      <c r="A2026" s="547" t="s">
        <v>642</v>
      </c>
      <c r="B2026" s="547" t="s">
        <v>184</v>
      </c>
      <c r="C2026" s="548" t="s">
        <v>782</v>
      </c>
      <c r="D2026" s="549">
        <v>2019</v>
      </c>
      <c r="E2026" s="549" t="s">
        <v>775</v>
      </c>
      <c r="F2026" s="550">
        <v>23</v>
      </c>
      <c r="G2026" s="550">
        <v>11</v>
      </c>
      <c r="H2026" s="550">
        <v>0</v>
      </c>
      <c r="I2026" s="550">
        <v>11</v>
      </c>
      <c r="J2026" s="550">
        <v>13</v>
      </c>
      <c r="K2026" s="550">
        <v>2</v>
      </c>
      <c r="L2026" s="550">
        <v>0</v>
      </c>
      <c r="M2026" s="550">
        <v>2</v>
      </c>
      <c r="N2026" s="550">
        <v>15</v>
      </c>
      <c r="O2026" s="550">
        <v>2</v>
      </c>
      <c r="P2026" s="550">
        <v>11</v>
      </c>
      <c r="Q2026" s="550">
        <v>12</v>
      </c>
      <c r="R2026" s="574" t="s">
        <v>642</v>
      </c>
      <c r="S2026" s="561">
        <f>SUM(G2022:G2026) +SUM(K2022:K2026)</f>
        <v>40</v>
      </c>
      <c r="T2026" s="561">
        <f>F2026+J2026</f>
        <v>36</v>
      </c>
      <c r="U2026" s="561">
        <f>SUM(O2022:O2026)</f>
        <v>5</v>
      </c>
      <c r="V2026" s="561">
        <f>N2026</f>
        <v>15</v>
      </c>
      <c r="W2026" s="562">
        <f>SUM(Q2022:Q2026)</f>
        <v>36</v>
      </c>
      <c r="X2026" s="561">
        <f>P2026</f>
        <v>11</v>
      </c>
      <c r="Y2026" s="561">
        <f>S2026+U2026+SUM(Q2022:Q2026)</f>
        <v>81</v>
      </c>
      <c r="Z2026" s="561">
        <f>F2026+J2026+N2026+P2026</f>
        <v>62</v>
      </c>
      <c r="AA2026" s="553"/>
      <c r="AB2026" s="553"/>
    </row>
    <row r="2027" spans="1:28" ht="12.75">
      <c r="A2027" s="547"/>
      <c r="B2027" s="547"/>
      <c r="C2027" s="548"/>
      <c r="D2027" s="549"/>
      <c r="E2027" s="549"/>
      <c r="F2027" s="550"/>
      <c r="G2027" s="550"/>
      <c r="H2027" s="550"/>
      <c r="I2027" s="550"/>
      <c r="J2027" s="550"/>
      <c r="K2027" s="550"/>
      <c r="L2027" s="550"/>
      <c r="M2027" s="550"/>
      <c r="N2027" s="550"/>
      <c r="O2027" s="550"/>
      <c r="P2027" s="550"/>
      <c r="Q2027" s="550"/>
      <c r="R2027" s="574"/>
      <c r="S2027" s="563">
        <f t="shared" ref="S2027:Z2027" si="214">SUM(S1917:S2026)</f>
        <v>1701</v>
      </c>
      <c r="T2027" s="563">
        <f t="shared" si="214"/>
        <v>7102</v>
      </c>
      <c r="U2027" s="563">
        <f t="shared" si="214"/>
        <v>574</v>
      </c>
      <c r="V2027" s="563">
        <f t="shared" si="214"/>
        <v>2830</v>
      </c>
      <c r="W2027" s="563">
        <f t="shared" si="214"/>
        <v>7812</v>
      </c>
      <c r="X2027" s="563">
        <f t="shared" si="214"/>
        <v>6486</v>
      </c>
      <c r="Y2027" s="563">
        <f t="shared" si="214"/>
        <v>10087</v>
      </c>
      <c r="Z2027" s="563">
        <f t="shared" si="214"/>
        <v>16418</v>
      </c>
      <c r="AA2027" s="553"/>
      <c r="AB2027" s="553"/>
    </row>
    <row r="2028" spans="1:28" ht="12.75">
      <c r="A2028" s="547" t="s">
        <v>643</v>
      </c>
      <c r="B2028" s="547" t="s">
        <v>185</v>
      </c>
      <c r="C2028" s="548" t="s">
        <v>868</v>
      </c>
      <c r="D2028" s="549">
        <v>2014</v>
      </c>
      <c r="E2028" s="549" t="s">
        <v>775</v>
      </c>
      <c r="F2028" s="550">
        <v>66</v>
      </c>
      <c r="G2028" s="550">
        <v>0</v>
      </c>
      <c r="H2028" s="550">
        <v>0</v>
      </c>
      <c r="I2028" s="550">
        <v>0</v>
      </c>
      <c r="J2028" s="550">
        <v>44</v>
      </c>
      <c r="K2028" s="550">
        <v>0</v>
      </c>
      <c r="L2028" s="550">
        <v>0</v>
      </c>
      <c r="M2028" s="550">
        <v>0</v>
      </c>
      <c r="N2028" s="550">
        <v>41</v>
      </c>
      <c r="O2028" s="550">
        <v>0</v>
      </c>
      <c r="P2028" s="550">
        <v>124</v>
      </c>
      <c r="Q2028" s="550">
        <v>0</v>
      </c>
      <c r="R2028" s="574" t="s">
        <v>643</v>
      </c>
      <c r="S2028" s="552"/>
      <c r="T2028" s="552"/>
      <c r="U2028" s="552"/>
      <c r="V2028" s="552"/>
      <c r="W2028" s="552"/>
      <c r="X2028" s="552"/>
      <c r="Y2028" s="552"/>
      <c r="Z2028" s="552"/>
      <c r="AA2028" s="553"/>
      <c r="AB2028" s="553"/>
    </row>
    <row r="2029" spans="1:28" ht="12.75">
      <c r="A2029" s="547" t="s">
        <v>643</v>
      </c>
      <c r="B2029" s="547" t="s">
        <v>185</v>
      </c>
      <c r="C2029" s="548" t="s">
        <v>868</v>
      </c>
      <c r="D2029" s="549">
        <v>2015</v>
      </c>
      <c r="E2029" s="549" t="s">
        <v>775</v>
      </c>
      <c r="F2029" s="550">
        <v>66</v>
      </c>
      <c r="G2029" s="550">
        <v>5</v>
      </c>
      <c r="H2029" s="550">
        <v>5</v>
      </c>
      <c r="I2029" s="550">
        <v>0</v>
      </c>
      <c r="J2029" s="550">
        <v>44</v>
      </c>
      <c r="K2029" s="550">
        <v>4</v>
      </c>
      <c r="L2029" s="550">
        <v>4</v>
      </c>
      <c r="M2029" s="550">
        <v>0</v>
      </c>
      <c r="N2029" s="550">
        <v>41</v>
      </c>
      <c r="O2029" s="550">
        <v>60</v>
      </c>
      <c r="P2029" s="550">
        <v>124</v>
      </c>
      <c r="Q2029" s="550">
        <v>0</v>
      </c>
      <c r="R2029" s="574" t="s">
        <v>643</v>
      </c>
      <c r="S2029" s="552"/>
      <c r="T2029" s="552"/>
      <c r="U2029" s="552"/>
      <c r="V2029" s="552"/>
      <c r="W2029" s="552"/>
      <c r="X2029" s="552"/>
      <c r="Y2029" s="552"/>
      <c r="Z2029" s="552"/>
      <c r="AA2029" s="553"/>
      <c r="AB2029" s="553"/>
    </row>
    <row r="2030" spans="1:28" ht="12.75">
      <c r="A2030" s="547" t="s">
        <v>643</v>
      </c>
      <c r="B2030" s="547" t="s">
        <v>185</v>
      </c>
      <c r="C2030" s="548" t="s">
        <v>868</v>
      </c>
      <c r="D2030" s="549">
        <v>2016</v>
      </c>
      <c r="E2030" s="549" t="s">
        <v>775</v>
      </c>
      <c r="F2030" s="550">
        <v>66</v>
      </c>
      <c r="G2030" s="550">
        <v>0</v>
      </c>
      <c r="H2030" s="550">
        <v>0</v>
      </c>
      <c r="I2030" s="550">
        <v>0</v>
      </c>
      <c r="J2030" s="550">
        <v>44</v>
      </c>
      <c r="K2030" s="550">
        <v>0</v>
      </c>
      <c r="L2030" s="550">
        <v>0</v>
      </c>
      <c r="M2030" s="550">
        <v>0</v>
      </c>
      <c r="N2030" s="550">
        <v>41</v>
      </c>
      <c r="O2030" s="550">
        <v>0</v>
      </c>
      <c r="P2030" s="550">
        <v>124</v>
      </c>
      <c r="Q2030" s="550">
        <v>51</v>
      </c>
      <c r="R2030" s="574" t="s">
        <v>643</v>
      </c>
      <c r="S2030" s="552"/>
      <c r="T2030" s="552"/>
      <c r="U2030" s="552"/>
      <c r="V2030" s="552"/>
      <c r="W2030" s="552"/>
      <c r="X2030" s="552"/>
      <c r="Y2030" s="552"/>
      <c r="Z2030" s="552"/>
      <c r="AA2030" s="553"/>
      <c r="AB2030" s="553"/>
    </row>
    <row r="2031" spans="1:28" ht="12.75">
      <c r="A2031" s="547" t="s">
        <v>643</v>
      </c>
      <c r="B2031" s="547" t="s">
        <v>185</v>
      </c>
      <c r="C2031" s="548" t="s">
        <v>868</v>
      </c>
      <c r="D2031" s="549">
        <v>2017</v>
      </c>
      <c r="E2031" s="549" t="s">
        <v>775</v>
      </c>
      <c r="F2031" s="550">
        <v>66</v>
      </c>
      <c r="G2031" s="550">
        <v>0</v>
      </c>
      <c r="H2031" s="550">
        <v>0</v>
      </c>
      <c r="I2031" s="550">
        <v>0</v>
      </c>
      <c r="J2031" s="550">
        <v>44</v>
      </c>
      <c r="K2031" s="550">
        <v>0</v>
      </c>
      <c r="L2031" s="550">
        <v>0</v>
      </c>
      <c r="M2031" s="550">
        <v>0</v>
      </c>
      <c r="N2031" s="550">
        <v>41</v>
      </c>
      <c r="O2031" s="550">
        <v>1</v>
      </c>
      <c r="P2031" s="550">
        <v>124</v>
      </c>
      <c r="Q2031" s="550">
        <v>38</v>
      </c>
      <c r="R2031" s="574" t="s">
        <v>643</v>
      </c>
      <c r="S2031" s="552"/>
      <c r="T2031" s="552"/>
      <c r="U2031" s="552"/>
      <c r="V2031" s="552"/>
      <c r="W2031" s="552"/>
      <c r="X2031" s="552"/>
      <c r="Y2031" s="552"/>
      <c r="Z2031" s="552"/>
      <c r="AA2031" s="553"/>
      <c r="AB2031" s="553"/>
    </row>
    <row r="2032" spans="1:28" ht="12.75">
      <c r="A2032" s="547" t="s">
        <v>643</v>
      </c>
      <c r="B2032" s="547" t="s">
        <v>185</v>
      </c>
      <c r="C2032" s="548" t="s">
        <v>868</v>
      </c>
      <c r="D2032" s="549">
        <v>2018</v>
      </c>
      <c r="E2032" s="549" t="s">
        <v>775</v>
      </c>
      <c r="F2032" s="550">
        <v>66</v>
      </c>
      <c r="G2032" s="550">
        <v>0</v>
      </c>
      <c r="H2032" s="550">
        <v>0</v>
      </c>
      <c r="I2032" s="550">
        <v>0</v>
      </c>
      <c r="J2032" s="550">
        <v>44</v>
      </c>
      <c r="K2032" s="550">
        <v>0</v>
      </c>
      <c r="L2032" s="550">
        <v>0</v>
      </c>
      <c r="M2032" s="550">
        <v>0</v>
      </c>
      <c r="N2032" s="550">
        <v>41</v>
      </c>
      <c r="O2032" s="550">
        <v>0</v>
      </c>
      <c r="P2032" s="550">
        <v>124</v>
      </c>
      <c r="Q2032" s="550">
        <v>36</v>
      </c>
      <c r="R2032" s="574" t="s">
        <v>643</v>
      </c>
      <c r="S2032" s="552"/>
      <c r="T2032" s="552"/>
      <c r="U2032" s="552"/>
      <c r="V2032" s="552"/>
      <c r="W2032" s="552"/>
      <c r="X2032" s="552"/>
      <c r="Y2032" s="552"/>
      <c r="Z2032" s="552"/>
      <c r="AA2032" s="553"/>
      <c r="AB2032" s="553"/>
    </row>
    <row r="2033" spans="1:28" ht="12.75">
      <c r="A2033" s="547" t="s">
        <v>643</v>
      </c>
      <c r="B2033" s="547" t="s">
        <v>185</v>
      </c>
      <c r="C2033" s="548" t="s">
        <v>872</v>
      </c>
      <c r="D2033" s="549">
        <v>2019</v>
      </c>
      <c r="E2033" s="549" t="s">
        <v>775</v>
      </c>
      <c r="F2033" s="550">
        <v>66</v>
      </c>
      <c r="G2033" s="550">
        <v>0</v>
      </c>
      <c r="H2033" s="550">
        <v>0</v>
      </c>
      <c r="I2033" s="550">
        <v>0</v>
      </c>
      <c r="J2033" s="550">
        <v>44</v>
      </c>
      <c r="K2033" s="550">
        <v>0</v>
      </c>
      <c r="L2033" s="550">
        <v>0</v>
      </c>
      <c r="M2033" s="550">
        <v>0</v>
      </c>
      <c r="N2033" s="550">
        <v>41</v>
      </c>
      <c r="O2033" s="550">
        <v>1</v>
      </c>
      <c r="P2033" s="550">
        <v>124</v>
      </c>
      <c r="Q2033" s="550">
        <v>17</v>
      </c>
      <c r="R2033" s="574" t="s">
        <v>643</v>
      </c>
      <c r="S2033" s="552">
        <f>SUM(G2028:G2033) +SUM(K2028:K2033)</f>
        <v>9</v>
      </c>
      <c r="T2033" s="552">
        <f>F2033+J2033</f>
        <v>110</v>
      </c>
      <c r="U2033" s="552">
        <f>SUM(O2028:O2033)</f>
        <v>62</v>
      </c>
      <c r="V2033" s="552">
        <f>N2033</f>
        <v>41</v>
      </c>
      <c r="W2033" s="554">
        <f>SUM(Q2028:Q2033)</f>
        <v>142</v>
      </c>
      <c r="X2033" s="552">
        <f>P2033</f>
        <v>124</v>
      </c>
      <c r="Y2033" s="552">
        <f>S2033+U2033+SUM(Q2028:Q2033)</f>
        <v>213</v>
      </c>
      <c r="Z2033" s="552">
        <f>F2033+J2033+N2033+P2033</f>
        <v>275</v>
      </c>
      <c r="AA2033" s="553"/>
      <c r="AB2033" s="553"/>
    </row>
    <row r="2034" spans="1:28" ht="12.75">
      <c r="A2034" s="547" t="s">
        <v>644</v>
      </c>
      <c r="B2034" s="547" t="s">
        <v>185</v>
      </c>
      <c r="C2034" s="548" t="s">
        <v>868</v>
      </c>
      <c r="D2034" s="549">
        <v>2014</v>
      </c>
      <c r="E2034" s="549" t="s">
        <v>775</v>
      </c>
      <c r="F2034" s="550">
        <v>39</v>
      </c>
      <c r="G2034" s="550">
        <v>33</v>
      </c>
      <c r="H2034" s="550">
        <v>33</v>
      </c>
      <c r="I2034" s="550">
        <v>0</v>
      </c>
      <c r="J2034" s="550">
        <v>26</v>
      </c>
      <c r="K2034" s="550">
        <v>9</v>
      </c>
      <c r="L2034" s="550">
        <v>9</v>
      </c>
      <c r="M2034" s="550">
        <v>0</v>
      </c>
      <c r="N2034" s="550">
        <v>34</v>
      </c>
      <c r="O2034" s="550">
        <v>0</v>
      </c>
      <c r="P2034" s="550">
        <v>64</v>
      </c>
      <c r="Q2034" s="550">
        <v>46</v>
      </c>
      <c r="R2034" s="574" t="s">
        <v>644</v>
      </c>
      <c r="S2034" s="552"/>
      <c r="T2034" s="552"/>
      <c r="U2034" s="552"/>
      <c r="V2034" s="552"/>
      <c r="W2034" s="552"/>
      <c r="X2034" s="552"/>
      <c r="Y2034" s="552"/>
      <c r="Z2034" s="552"/>
      <c r="AA2034" s="553"/>
      <c r="AB2034" s="553"/>
    </row>
    <row r="2035" spans="1:28" ht="12.75">
      <c r="A2035" s="547" t="s">
        <v>644</v>
      </c>
      <c r="B2035" s="547" t="s">
        <v>185</v>
      </c>
      <c r="C2035" s="548" t="s">
        <v>868</v>
      </c>
      <c r="D2035" s="549">
        <v>2015</v>
      </c>
      <c r="E2035" s="549" t="s">
        <v>775</v>
      </c>
      <c r="F2035" s="550">
        <v>39</v>
      </c>
      <c r="G2035" s="550">
        <v>0</v>
      </c>
      <c r="H2035" s="550">
        <v>0</v>
      </c>
      <c r="I2035" s="550">
        <v>0</v>
      </c>
      <c r="J2035" s="550">
        <v>26</v>
      </c>
      <c r="K2035" s="550">
        <v>0</v>
      </c>
      <c r="L2035" s="550">
        <v>0</v>
      </c>
      <c r="M2035" s="550">
        <v>0</v>
      </c>
      <c r="N2035" s="550">
        <v>34</v>
      </c>
      <c r="O2035" s="550">
        <v>0</v>
      </c>
      <c r="P2035" s="550">
        <v>64</v>
      </c>
      <c r="Q2035" s="550">
        <v>5</v>
      </c>
      <c r="R2035" s="574" t="s">
        <v>644</v>
      </c>
      <c r="S2035" s="552"/>
      <c r="T2035" s="552"/>
      <c r="U2035" s="552"/>
      <c r="V2035" s="552"/>
      <c r="W2035" s="552"/>
      <c r="X2035" s="552"/>
      <c r="Y2035" s="552"/>
      <c r="Z2035" s="552"/>
      <c r="AA2035" s="553"/>
      <c r="AB2035" s="553"/>
    </row>
    <row r="2036" spans="1:28" ht="12.75">
      <c r="A2036" s="547" t="s">
        <v>644</v>
      </c>
      <c r="B2036" s="547" t="s">
        <v>185</v>
      </c>
      <c r="C2036" s="548" t="s">
        <v>868</v>
      </c>
      <c r="D2036" s="549">
        <v>2016</v>
      </c>
      <c r="E2036" s="549" t="s">
        <v>775</v>
      </c>
      <c r="F2036" s="550">
        <v>39</v>
      </c>
      <c r="G2036" s="550">
        <v>0</v>
      </c>
      <c r="H2036" s="550">
        <v>0</v>
      </c>
      <c r="I2036" s="550">
        <v>0</v>
      </c>
      <c r="J2036" s="550">
        <v>26</v>
      </c>
      <c r="K2036" s="550">
        <v>0</v>
      </c>
      <c r="L2036" s="550">
        <v>0</v>
      </c>
      <c r="M2036" s="550">
        <v>0</v>
      </c>
      <c r="N2036" s="550">
        <v>34</v>
      </c>
      <c r="O2036" s="550">
        <v>0</v>
      </c>
      <c r="P2036" s="550">
        <v>64</v>
      </c>
      <c r="Q2036" s="550">
        <v>4</v>
      </c>
      <c r="R2036" s="574" t="s">
        <v>644</v>
      </c>
      <c r="S2036" s="552"/>
      <c r="T2036" s="552"/>
      <c r="U2036" s="552"/>
      <c r="V2036" s="552"/>
      <c r="W2036" s="552"/>
      <c r="X2036" s="552"/>
      <c r="Y2036" s="552"/>
      <c r="Z2036" s="552"/>
      <c r="AA2036" s="553"/>
      <c r="AB2036" s="553"/>
    </row>
    <row r="2037" spans="1:28" ht="12.75">
      <c r="A2037" s="547" t="s">
        <v>644</v>
      </c>
      <c r="B2037" s="547" t="s">
        <v>185</v>
      </c>
      <c r="C2037" s="548" t="s">
        <v>868</v>
      </c>
      <c r="D2037" s="549">
        <v>2017</v>
      </c>
      <c r="E2037" s="549" t="s">
        <v>775</v>
      </c>
      <c r="F2037" s="550">
        <v>39</v>
      </c>
      <c r="G2037" s="550">
        <v>0</v>
      </c>
      <c r="H2037" s="550">
        <v>0</v>
      </c>
      <c r="I2037" s="550">
        <v>0</v>
      </c>
      <c r="J2037" s="550">
        <v>26</v>
      </c>
      <c r="K2037" s="550">
        <v>3</v>
      </c>
      <c r="L2037" s="550">
        <v>3</v>
      </c>
      <c r="M2037" s="550">
        <v>0</v>
      </c>
      <c r="N2037" s="550">
        <v>34</v>
      </c>
      <c r="O2037" s="550">
        <v>0</v>
      </c>
      <c r="P2037" s="550">
        <v>64</v>
      </c>
      <c r="Q2037" s="550">
        <v>0</v>
      </c>
      <c r="R2037" s="574" t="s">
        <v>644</v>
      </c>
      <c r="S2037" s="552"/>
      <c r="T2037" s="552"/>
      <c r="U2037" s="552"/>
      <c r="V2037" s="552"/>
      <c r="W2037" s="552"/>
      <c r="X2037" s="552"/>
      <c r="Y2037" s="552"/>
      <c r="Z2037" s="552"/>
      <c r="AA2037" s="553"/>
      <c r="AB2037" s="553"/>
    </row>
    <row r="2038" spans="1:28" ht="12.75">
      <c r="A2038" s="547" t="s">
        <v>644</v>
      </c>
      <c r="B2038" s="547" t="s">
        <v>185</v>
      </c>
      <c r="C2038" s="548" t="s">
        <v>868</v>
      </c>
      <c r="D2038" s="549">
        <v>2018</v>
      </c>
      <c r="E2038" s="549" t="s">
        <v>775</v>
      </c>
      <c r="F2038" s="550">
        <v>39</v>
      </c>
      <c r="G2038" s="550">
        <v>0</v>
      </c>
      <c r="H2038" s="550">
        <v>0</v>
      </c>
      <c r="I2038" s="550">
        <v>0</v>
      </c>
      <c r="J2038" s="550">
        <v>26</v>
      </c>
      <c r="K2038" s="550">
        <v>0</v>
      </c>
      <c r="L2038" s="550">
        <v>0</v>
      </c>
      <c r="M2038" s="550">
        <v>0</v>
      </c>
      <c r="N2038" s="550">
        <v>34</v>
      </c>
      <c r="O2038" s="550">
        <v>0</v>
      </c>
      <c r="P2038" s="550">
        <v>64</v>
      </c>
      <c r="Q2038" s="550">
        <v>1</v>
      </c>
      <c r="R2038" s="574" t="s">
        <v>644</v>
      </c>
      <c r="S2038" s="552"/>
      <c r="T2038" s="552"/>
      <c r="U2038" s="552"/>
      <c r="V2038" s="552"/>
      <c r="W2038" s="552"/>
      <c r="X2038" s="552"/>
      <c r="Y2038" s="552"/>
      <c r="Z2038" s="552"/>
      <c r="AA2038" s="553"/>
      <c r="AB2038" s="553"/>
    </row>
    <row r="2039" spans="1:28" ht="12.75">
      <c r="A2039" s="547" t="s">
        <v>644</v>
      </c>
      <c r="B2039" s="547" t="s">
        <v>185</v>
      </c>
      <c r="C2039" s="548" t="s">
        <v>872</v>
      </c>
      <c r="D2039" s="549">
        <v>2019</v>
      </c>
      <c r="E2039" s="549" t="s">
        <v>775</v>
      </c>
      <c r="F2039" s="550">
        <v>39</v>
      </c>
      <c r="G2039" s="550">
        <v>0</v>
      </c>
      <c r="H2039" s="550">
        <v>0</v>
      </c>
      <c r="I2039" s="550">
        <v>0</v>
      </c>
      <c r="J2039" s="550">
        <v>26</v>
      </c>
      <c r="K2039" s="550">
        <v>0</v>
      </c>
      <c r="L2039" s="550">
        <v>0</v>
      </c>
      <c r="M2039" s="550">
        <v>0</v>
      </c>
      <c r="N2039" s="550">
        <v>34</v>
      </c>
      <c r="O2039" s="550">
        <v>0</v>
      </c>
      <c r="P2039" s="550">
        <v>64</v>
      </c>
      <c r="Q2039" s="550">
        <v>25</v>
      </c>
      <c r="R2039" s="574" t="s">
        <v>644</v>
      </c>
      <c r="S2039" s="552">
        <f>SUM(G2034:G2039) +SUM(K2034:K2039)</f>
        <v>45</v>
      </c>
      <c r="T2039" s="552">
        <f>F2039+J2039</f>
        <v>65</v>
      </c>
      <c r="U2039" s="552">
        <f>SUM(O2034:O2039)</f>
        <v>0</v>
      </c>
      <c r="V2039" s="552">
        <f>N2039</f>
        <v>34</v>
      </c>
      <c r="W2039" s="554">
        <f>SUM(Q2034:Q2039)</f>
        <v>81</v>
      </c>
      <c r="X2039" s="552">
        <f>P2039</f>
        <v>64</v>
      </c>
      <c r="Y2039" s="552">
        <f>S2039+U2039+SUM(Q2034:Q2039)</f>
        <v>126</v>
      </c>
      <c r="Z2039" s="552">
        <f>F2039+J2039+N2039+P2039</f>
        <v>163</v>
      </c>
      <c r="AA2039" s="553"/>
      <c r="AB2039" s="553"/>
    </row>
    <row r="2040" spans="1:28" ht="12.75">
      <c r="A2040" s="547" t="s">
        <v>645</v>
      </c>
      <c r="B2040" s="547" t="s">
        <v>185</v>
      </c>
      <c r="C2040" s="548" t="s">
        <v>868</v>
      </c>
      <c r="D2040" s="549">
        <v>2014</v>
      </c>
      <c r="E2040" s="549" t="s">
        <v>775</v>
      </c>
      <c r="F2040" s="550">
        <v>235</v>
      </c>
      <c r="G2040" s="550">
        <v>0</v>
      </c>
      <c r="H2040" s="550">
        <v>0</v>
      </c>
      <c r="I2040" s="550">
        <v>0</v>
      </c>
      <c r="J2040" s="550">
        <v>157</v>
      </c>
      <c r="K2040" s="550">
        <v>0</v>
      </c>
      <c r="L2040" s="550">
        <v>0</v>
      </c>
      <c r="M2040" s="550">
        <v>0</v>
      </c>
      <c r="N2040" s="550">
        <v>174</v>
      </c>
      <c r="O2040" s="550">
        <v>0</v>
      </c>
      <c r="P2040" s="550">
        <v>413</v>
      </c>
      <c r="Q2040" s="550">
        <v>132</v>
      </c>
      <c r="R2040" s="574" t="s">
        <v>645</v>
      </c>
      <c r="S2040" s="552"/>
      <c r="T2040" s="552"/>
      <c r="U2040" s="552"/>
      <c r="V2040" s="552"/>
      <c r="W2040" s="552"/>
      <c r="X2040" s="552"/>
      <c r="Y2040" s="552"/>
      <c r="Z2040" s="552"/>
      <c r="AA2040" s="553"/>
      <c r="AB2040" s="553"/>
    </row>
    <row r="2041" spans="1:28" ht="12.75">
      <c r="A2041" s="547" t="s">
        <v>645</v>
      </c>
      <c r="B2041" s="547" t="s">
        <v>185</v>
      </c>
      <c r="C2041" s="548" t="s">
        <v>868</v>
      </c>
      <c r="D2041" s="549">
        <v>2015</v>
      </c>
      <c r="E2041" s="549" t="s">
        <v>775</v>
      </c>
      <c r="F2041" s="550">
        <v>235</v>
      </c>
      <c r="G2041" s="550">
        <v>0</v>
      </c>
      <c r="H2041" s="550">
        <v>0</v>
      </c>
      <c r="I2041" s="550">
        <v>0</v>
      </c>
      <c r="J2041" s="550">
        <v>157</v>
      </c>
      <c r="K2041" s="550">
        <v>0</v>
      </c>
      <c r="L2041" s="550">
        <v>0</v>
      </c>
      <c r="M2041" s="550">
        <v>0</v>
      </c>
      <c r="N2041" s="550">
        <v>174</v>
      </c>
      <c r="O2041" s="550">
        <v>5</v>
      </c>
      <c r="P2041" s="550">
        <v>413</v>
      </c>
      <c r="Q2041" s="550">
        <v>197</v>
      </c>
      <c r="R2041" s="574" t="s">
        <v>645</v>
      </c>
      <c r="S2041" s="552"/>
      <c r="T2041" s="552"/>
      <c r="U2041" s="552"/>
      <c r="V2041" s="552"/>
      <c r="W2041" s="552"/>
      <c r="X2041" s="552"/>
      <c r="Y2041" s="552"/>
      <c r="Z2041" s="552"/>
      <c r="AA2041" s="553"/>
      <c r="AB2041" s="553"/>
    </row>
    <row r="2042" spans="1:28" ht="12.75">
      <c r="A2042" s="547" t="s">
        <v>645</v>
      </c>
      <c r="B2042" s="547" t="s">
        <v>185</v>
      </c>
      <c r="C2042" s="548" t="s">
        <v>868</v>
      </c>
      <c r="D2042" s="549">
        <v>2016</v>
      </c>
      <c r="E2042" s="549" t="s">
        <v>775</v>
      </c>
      <c r="F2042" s="550">
        <v>235</v>
      </c>
      <c r="G2042" s="550">
        <v>0</v>
      </c>
      <c r="H2042" s="550">
        <v>0</v>
      </c>
      <c r="I2042" s="550">
        <v>0</v>
      </c>
      <c r="J2042" s="550">
        <v>157</v>
      </c>
      <c r="K2042" s="550">
        <v>0</v>
      </c>
      <c r="L2042" s="550">
        <v>0</v>
      </c>
      <c r="M2042" s="550">
        <v>0</v>
      </c>
      <c r="N2042" s="550">
        <v>174</v>
      </c>
      <c r="O2042" s="550">
        <v>0</v>
      </c>
      <c r="P2042" s="550">
        <v>413</v>
      </c>
      <c r="Q2042" s="550">
        <v>135</v>
      </c>
      <c r="R2042" s="574" t="s">
        <v>645</v>
      </c>
      <c r="S2042" s="552"/>
      <c r="T2042" s="552"/>
      <c r="U2042" s="552"/>
      <c r="V2042" s="552"/>
      <c r="W2042" s="552"/>
      <c r="X2042" s="552"/>
      <c r="Y2042" s="552"/>
      <c r="Z2042" s="552"/>
      <c r="AA2042" s="553"/>
      <c r="AB2042" s="553"/>
    </row>
    <row r="2043" spans="1:28" ht="12.75">
      <c r="A2043" s="547" t="s">
        <v>645</v>
      </c>
      <c r="B2043" s="547" t="s">
        <v>185</v>
      </c>
      <c r="C2043" s="548" t="s">
        <v>868</v>
      </c>
      <c r="D2043" s="549">
        <v>2017</v>
      </c>
      <c r="E2043" s="549" t="s">
        <v>775</v>
      </c>
      <c r="F2043" s="550">
        <v>235</v>
      </c>
      <c r="G2043" s="550">
        <v>0</v>
      </c>
      <c r="H2043" s="550">
        <v>0</v>
      </c>
      <c r="I2043" s="550">
        <v>0</v>
      </c>
      <c r="J2043" s="550">
        <v>157</v>
      </c>
      <c r="K2043" s="550">
        <v>0</v>
      </c>
      <c r="L2043" s="550">
        <v>0</v>
      </c>
      <c r="M2043" s="550">
        <v>0</v>
      </c>
      <c r="N2043" s="550">
        <v>174</v>
      </c>
      <c r="O2043" s="550">
        <v>0</v>
      </c>
      <c r="P2043" s="550">
        <v>413</v>
      </c>
      <c r="Q2043" s="550">
        <v>100</v>
      </c>
      <c r="R2043" s="574" t="s">
        <v>645</v>
      </c>
      <c r="S2043" s="552"/>
      <c r="T2043" s="552"/>
      <c r="U2043" s="552"/>
      <c r="V2043" s="552"/>
      <c r="W2043" s="552"/>
      <c r="X2043" s="552"/>
      <c r="Y2043" s="552"/>
      <c r="Z2043" s="552"/>
      <c r="AA2043" s="553"/>
      <c r="AB2043" s="553"/>
    </row>
    <row r="2044" spans="1:28" ht="12.75">
      <c r="A2044" s="547" t="s">
        <v>645</v>
      </c>
      <c r="B2044" s="547" t="s">
        <v>185</v>
      </c>
      <c r="C2044" s="548" t="s">
        <v>868</v>
      </c>
      <c r="D2044" s="549">
        <v>2018</v>
      </c>
      <c r="E2044" s="549" t="s">
        <v>775</v>
      </c>
      <c r="F2044" s="550">
        <v>235</v>
      </c>
      <c r="G2044" s="550">
        <v>0</v>
      </c>
      <c r="H2044" s="550">
        <v>0</v>
      </c>
      <c r="I2044" s="550">
        <v>0</v>
      </c>
      <c r="J2044" s="550">
        <v>157</v>
      </c>
      <c r="K2044" s="550">
        <v>69</v>
      </c>
      <c r="L2044" s="550">
        <v>69</v>
      </c>
      <c r="M2044" s="550">
        <v>0</v>
      </c>
      <c r="N2044" s="550">
        <v>174</v>
      </c>
      <c r="O2044" s="550">
        <v>0</v>
      </c>
      <c r="P2044" s="550">
        <v>413</v>
      </c>
      <c r="Q2044" s="550">
        <v>0</v>
      </c>
      <c r="R2044" s="574" t="s">
        <v>645</v>
      </c>
      <c r="S2044" s="552"/>
      <c r="T2044" s="552"/>
      <c r="U2044" s="552"/>
      <c r="V2044" s="552"/>
      <c r="W2044" s="552"/>
      <c r="X2044" s="552"/>
      <c r="Y2044" s="552"/>
      <c r="Z2044" s="552"/>
      <c r="AA2044" s="553"/>
      <c r="AB2044" s="553"/>
    </row>
    <row r="2045" spans="1:28" ht="12.75">
      <c r="A2045" s="547" t="s">
        <v>645</v>
      </c>
      <c r="B2045" s="547" t="s">
        <v>185</v>
      </c>
      <c r="C2045" s="548" t="s">
        <v>872</v>
      </c>
      <c r="D2045" s="549">
        <v>2019</v>
      </c>
      <c r="E2045" s="549" t="s">
        <v>775</v>
      </c>
      <c r="F2045" s="550">
        <v>235</v>
      </c>
      <c r="G2045" s="550">
        <v>0</v>
      </c>
      <c r="H2045" s="550">
        <v>0</v>
      </c>
      <c r="I2045" s="550">
        <v>0</v>
      </c>
      <c r="J2045" s="550">
        <v>157</v>
      </c>
      <c r="K2045" s="550">
        <v>7</v>
      </c>
      <c r="L2045" s="550">
        <v>5</v>
      </c>
      <c r="M2045" s="550">
        <v>2</v>
      </c>
      <c r="N2045" s="550">
        <v>174</v>
      </c>
      <c r="O2045" s="550">
        <v>4</v>
      </c>
      <c r="P2045" s="550">
        <v>413</v>
      </c>
      <c r="Q2045" s="550">
        <v>273</v>
      </c>
      <c r="R2045" s="574" t="s">
        <v>645</v>
      </c>
      <c r="S2045" s="552">
        <f>SUM(G2040:G2045) +SUM(K2040:K2045)</f>
        <v>76</v>
      </c>
      <c r="T2045" s="552">
        <f>F2045+J2045</f>
        <v>392</v>
      </c>
      <c r="U2045" s="552">
        <f>SUM(O2040:O2045)</f>
        <v>9</v>
      </c>
      <c r="V2045" s="552">
        <f>N2045</f>
        <v>174</v>
      </c>
      <c r="W2045" s="554">
        <f>SUM(Q2040:Q2045)</f>
        <v>837</v>
      </c>
      <c r="X2045" s="552">
        <f>P2045</f>
        <v>413</v>
      </c>
      <c r="Y2045" s="552">
        <f>S2045+U2045+SUM(Q2040:Q2045)</f>
        <v>922</v>
      </c>
      <c r="Z2045" s="552">
        <f>F2045+J2045+N2045+P2045</f>
        <v>979</v>
      </c>
      <c r="AA2045" s="553"/>
      <c r="AB2045" s="553"/>
    </row>
    <row r="2046" spans="1:28" ht="12.75">
      <c r="A2046" s="547" t="s">
        <v>646</v>
      </c>
      <c r="B2046" s="547" t="s">
        <v>185</v>
      </c>
      <c r="C2046" s="548" t="s">
        <v>868</v>
      </c>
      <c r="D2046" s="549">
        <v>2018</v>
      </c>
      <c r="E2046" s="549" t="s">
        <v>775</v>
      </c>
      <c r="F2046" s="550">
        <v>12</v>
      </c>
      <c r="G2046" s="550">
        <v>30</v>
      </c>
      <c r="H2046" s="550">
        <v>30</v>
      </c>
      <c r="I2046" s="550">
        <v>0</v>
      </c>
      <c r="J2046" s="550">
        <v>8</v>
      </c>
      <c r="K2046" s="550">
        <v>7</v>
      </c>
      <c r="L2046" s="550">
        <v>7</v>
      </c>
      <c r="M2046" s="550">
        <v>0</v>
      </c>
      <c r="N2046" s="550">
        <v>13</v>
      </c>
      <c r="O2046" s="550">
        <v>0</v>
      </c>
      <c r="P2046" s="550">
        <v>16</v>
      </c>
      <c r="Q2046" s="550">
        <v>62</v>
      </c>
      <c r="R2046" s="574" t="s">
        <v>646</v>
      </c>
      <c r="S2046" s="552"/>
      <c r="T2046" s="552"/>
      <c r="U2046" s="552"/>
      <c r="V2046" s="552"/>
      <c r="W2046" s="552"/>
      <c r="X2046" s="552"/>
      <c r="Y2046" s="552"/>
      <c r="Z2046" s="552"/>
      <c r="AA2046" s="553"/>
      <c r="AB2046" s="553"/>
    </row>
    <row r="2047" spans="1:28" ht="12.75">
      <c r="A2047" s="547" t="s">
        <v>646</v>
      </c>
      <c r="B2047" s="555" t="s">
        <v>185</v>
      </c>
      <c r="C2047" s="548" t="s">
        <v>872</v>
      </c>
      <c r="D2047" s="549">
        <v>2019</v>
      </c>
      <c r="E2047" s="549" t="s">
        <v>775</v>
      </c>
      <c r="F2047" s="550">
        <v>12</v>
      </c>
      <c r="G2047" s="550">
        <v>30</v>
      </c>
      <c r="H2047" s="550">
        <v>30</v>
      </c>
      <c r="I2047" s="550">
        <v>0</v>
      </c>
      <c r="J2047" s="550">
        <v>8</v>
      </c>
      <c r="K2047" s="550">
        <v>7</v>
      </c>
      <c r="L2047" s="550">
        <v>7</v>
      </c>
      <c r="M2047" s="550">
        <v>0</v>
      </c>
      <c r="N2047" s="550">
        <v>13</v>
      </c>
      <c r="O2047" s="550">
        <v>35</v>
      </c>
      <c r="P2047" s="550">
        <v>16</v>
      </c>
      <c r="Q2047" s="550">
        <v>0</v>
      </c>
      <c r="R2047" s="574" t="s">
        <v>646</v>
      </c>
      <c r="S2047" s="255">
        <f>SUM(G2046:G2047) +SUM(K2046:K2047)</f>
        <v>74</v>
      </c>
      <c r="T2047" s="255">
        <f>F2047+J2047</f>
        <v>20</v>
      </c>
      <c r="U2047" s="255">
        <f>SUM(O2046:O2047)</f>
        <v>35</v>
      </c>
      <c r="V2047" s="255">
        <f>N2047</f>
        <v>13</v>
      </c>
      <c r="W2047" s="83">
        <f>SUM(Q2046:Q2047)</f>
        <v>62</v>
      </c>
      <c r="X2047" s="255">
        <f>P2047</f>
        <v>16</v>
      </c>
      <c r="Y2047" s="255">
        <f>S2047+U2047+SUM(Q2046:Q2047)</f>
        <v>171</v>
      </c>
      <c r="Z2047" s="255">
        <f>F2047+J2047+N2047+P2047</f>
        <v>49</v>
      </c>
      <c r="AA2047" s="553"/>
      <c r="AB2047" s="553"/>
    </row>
    <row r="2048" spans="1:28" ht="12.75">
      <c r="A2048" s="547" t="s">
        <v>647</v>
      </c>
      <c r="B2048" s="555" t="s">
        <v>185</v>
      </c>
      <c r="C2048" s="548" t="s">
        <v>868</v>
      </c>
      <c r="D2048" s="549">
        <v>2015</v>
      </c>
      <c r="E2048" s="549" t="s">
        <v>775</v>
      </c>
      <c r="F2048" s="550">
        <v>126</v>
      </c>
      <c r="G2048" s="550">
        <v>0</v>
      </c>
      <c r="H2048" s="550">
        <v>0</v>
      </c>
      <c r="I2048" s="550">
        <v>0</v>
      </c>
      <c r="J2048" s="550">
        <v>84</v>
      </c>
      <c r="K2048" s="550">
        <v>0</v>
      </c>
      <c r="L2048" s="550">
        <v>0</v>
      </c>
      <c r="M2048" s="550">
        <v>0</v>
      </c>
      <c r="N2048" s="550">
        <v>95</v>
      </c>
      <c r="O2048" s="550">
        <v>44</v>
      </c>
      <c r="P2048" s="550">
        <v>221</v>
      </c>
      <c r="Q2048" s="550">
        <v>0</v>
      </c>
      <c r="R2048" s="574" t="s">
        <v>647</v>
      </c>
      <c r="S2048" s="552"/>
      <c r="T2048" s="552"/>
      <c r="U2048" s="552"/>
      <c r="V2048" s="552"/>
      <c r="W2048" s="552"/>
      <c r="X2048" s="552"/>
      <c r="Y2048" s="552"/>
      <c r="Z2048" s="552"/>
      <c r="AA2048" s="553"/>
      <c r="AB2048" s="553"/>
    </row>
    <row r="2049" spans="1:28" ht="12.75">
      <c r="A2049" s="547" t="s">
        <v>647</v>
      </c>
      <c r="B2049" s="547" t="s">
        <v>185</v>
      </c>
      <c r="C2049" s="548" t="s">
        <v>868</v>
      </c>
      <c r="D2049" s="549">
        <v>2016</v>
      </c>
      <c r="E2049" s="549" t="s">
        <v>775</v>
      </c>
      <c r="F2049" s="550">
        <v>126</v>
      </c>
      <c r="G2049" s="550">
        <v>0</v>
      </c>
      <c r="H2049" s="550">
        <v>0</v>
      </c>
      <c r="I2049" s="550">
        <v>0</v>
      </c>
      <c r="J2049" s="550">
        <v>84</v>
      </c>
      <c r="K2049" s="550">
        <v>0</v>
      </c>
      <c r="L2049" s="550">
        <v>0</v>
      </c>
      <c r="M2049" s="550">
        <v>0</v>
      </c>
      <c r="N2049" s="550">
        <v>95</v>
      </c>
      <c r="O2049" s="550">
        <v>0</v>
      </c>
      <c r="P2049" s="550">
        <v>221</v>
      </c>
      <c r="Q2049" s="550">
        <v>0</v>
      </c>
      <c r="R2049" s="574" t="s">
        <v>647</v>
      </c>
      <c r="S2049" s="552"/>
      <c r="T2049" s="552"/>
      <c r="U2049" s="552"/>
      <c r="V2049" s="552"/>
      <c r="W2049" s="552"/>
      <c r="X2049" s="552"/>
      <c r="Y2049" s="552"/>
      <c r="Z2049" s="552"/>
      <c r="AA2049" s="553"/>
      <c r="AB2049" s="553"/>
    </row>
    <row r="2050" spans="1:28" ht="12.75">
      <c r="A2050" s="547" t="s">
        <v>647</v>
      </c>
      <c r="B2050" s="547" t="s">
        <v>185</v>
      </c>
      <c r="C2050" s="548" t="s">
        <v>868</v>
      </c>
      <c r="D2050" s="549">
        <v>2017</v>
      </c>
      <c r="E2050" s="549" t="s">
        <v>775</v>
      </c>
      <c r="F2050" s="550">
        <v>126</v>
      </c>
      <c r="G2050" s="550">
        <v>0</v>
      </c>
      <c r="H2050" s="550">
        <v>0</v>
      </c>
      <c r="I2050" s="550">
        <v>0</v>
      </c>
      <c r="J2050" s="550">
        <v>84</v>
      </c>
      <c r="K2050" s="550">
        <v>0</v>
      </c>
      <c r="L2050" s="550">
        <v>0</v>
      </c>
      <c r="M2050" s="550">
        <v>0</v>
      </c>
      <c r="N2050" s="550">
        <v>95</v>
      </c>
      <c r="O2050" s="550">
        <v>0</v>
      </c>
      <c r="P2050" s="550">
        <v>221</v>
      </c>
      <c r="Q2050" s="550">
        <v>4</v>
      </c>
      <c r="R2050" s="574" t="s">
        <v>647</v>
      </c>
      <c r="S2050" s="552"/>
      <c r="T2050" s="552"/>
      <c r="U2050" s="552"/>
      <c r="V2050" s="552"/>
      <c r="W2050" s="552"/>
      <c r="X2050" s="552"/>
      <c r="Y2050" s="552"/>
      <c r="Z2050" s="552"/>
      <c r="AA2050" s="553"/>
      <c r="AB2050" s="553"/>
    </row>
    <row r="2051" spans="1:28" ht="12.75">
      <c r="A2051" s="547" t="s">
        <v>647</v>
      </c>
      <c r="B2051" s="547" t="s">
        <v>185</v>
      </c>
      <c r="C2051" s="548" t="s">
        <v>868</v>
      </c>
      <c r="D2051" s="549">
        <v>2018</v>
      </c>
      <c r="E2051" s="549" t="s">
        <v>775</v>
      </c>
      <c r="F2051" s="550">
        <v>126</v>
      </c>
      <c r="G2051" s="550">
        <v>0</v>
      </c>
      <c r="H2051" s="550">
        <v>0</v>
      </c>
      <c r="I2051" s="550">
        <v>0</v>
      </c>
      <c r="J2051" s="550">
        <v>84</v>
      </c>
      <c r="K2051" s="550">
        <v>0</v>
      </c>
      <c r="L2051" s="550">
        <v>0</v>
      </c>
      <c r="M2051" s="550">
        <v>0</v>
      </c>
      <c r="N2051" s="550">
        <v>95</v>
      </c>
      <c r="O2051" s="550">
        <v>5</v>
      </c>
      <c r="P2051" s="550">
        <v>221</v>
      </c>
      <c r="Q2051" s="550">
        <v>0</v>
      </c>
      <c r="R2051" s="574" t="s">
        <v>647</v>
      </c>
      <c r="S2051" s="552"/>
      <c r="T2051" s="552"/>
      <c r="U2051" s="552"/>
      <c r="V2051" s="552"/>
      <c r="W2051" s="552"/>
      <c r="X2051" s="552"/>
      <c r="Y2051" s="552"/>
      <c r="Z2051" s="552"/>
      <c r="AA2051" s="553"/>
      <c r="AB2051" s="553"/>
    </row>
    <row r="2052" spans="1:28" ht="12.75">
      <c r="A2052" s="547" t="s">
        <v>647</v>
      </c>
      <c r="B2052" s="547" t="s">
        <v>185</v>
      </c>
      <c r="C2052" s="548" t="s">
        <v>872</v>
      </c>
      <c r="D2052" s="549">
        <v>2019</v>
      </c>
      <c r="E2052" s="549" t="s">
        <v>775</v>
      </c>
      <c r="F2052" s="550">
        <v>126</v>
      </c>
      <c r="G2052" s="550">
        <v>0</v>
      </c>
      <c r="H2052" s="550">
        <v>0</v>
      </c>
      <c r="I2052" s="550">
        <v>0</v>
      </c>
      <c r="J2052" s="550">
        <v>84</v>
      </c>
      <c r="K2052" s="550">
        <v>0</v>
      </c>
      <c r="L2052" s="550">
        <v>0</v>
      </c>
      <c r="M2052" s="550">
        <v>0</v>
      </c>
      <c r="N2052" s="550">
        <v>95</v>
      </c>
      <c r="O2052" s="550">
        <v>0</v>
      </c>
      <c r="P2052" s="550">
        <v>221</v>
      </c>
      <c r="Q2052" s="550">
        <v>6</v>
      </c>
      <c r="R2052" s="574" t="s">
        <v>647</v>
      </c>
      <c r="S2052" s="255">
        <f>SUM(G2048:G2052) +SUM(K2048:K2052)</f>
        <v>0</v>
      </c>
      <c r="T2052" s="255">
        <f>F2052+J2052</f>
        <v>210</v>
      </c>
      <c r="U2052" s="255">
        <f>SUM(O2048:O2052)</f>
        <v>49</v>
      </c>
      <c r="V2052" s="255">
        <f>N2052</f>
        <v>95</v>
      </c>
      <c r="W2052" s="83">
        <f>SUM(Q2048:Q2052)</f>
        <v>10</v>
      </c>
      <c r="X2052" s="255">
        <f>P2052</f>
        <v>221</v>
      </c>
      <c r="Y2052" s="255">
        <f>S2052+U2052+SUM(Q2048:Q2052)</f>
        <v>59</v>
      </c>
      <c r="Z2052" s="255">
        <f>F2052+J2052+N2052+P2052</f>
        <v>526</v>
      </c>
      <c r="AA2052" s="553"/>
      <c r="AB2052" s="553"/>
    </row>
    <row r="2053" spans="1:28" ht="12.75">
      <c r="A2053" s="547" t="s">
        <v>185</v>
      </c>
      <c r="B2053" s="547" t="s">
        <v>185</v>
      </c>
      <c r="C2053" s="548" t="s">
        <v>868</v>
      </c>
      <c r="D2053" s="549">
        <v>2015</v>
      </c>
      <c r="E2053" s="549" t="s">
        <v>775</v>
      </c>
      <c r="F2053" s="550">
        <v>962</v>
      </c>
      <c r="G2053" s="550">
        <v>0</v>
      </c>
      <c r="H2053" s="550">
        <v>0</v>
      </c>
      <c r="I2053" s="550">
        <v>0</v>
      </c>
      <c r="J2053" s="550">
        <v>701</v>
      </c>
      <c r="K2053" s="550">
        <v>0</v>
      </c>
      <c r="L2053" s="550">
        <v>0</v>
      </c>
      <c r="M2053" s="550">
        <v>0</v>
      </c>
      <c r="N2053" s="550">
        <v>820</v>
      </c>
      <c r="O2053" s="550">
        <v>4</v>
      </c>
      <c r="P2053" s="550">
        <v>1617</v>
      </c>
      <c r="Q2053" s="550">
        <v>290</v>
      </c>
      <c r="R2053" s="574" t="s">
        <v>185</v>
      </c>
      <c r="S2053" s="552"/>
      <c r="T2053" s="552"/>
      <c r="U2053" s="552"/>
      <c r="V2053" s="552"/>
      <c r="W2053" s="552"/>
      <c r="X2053" s="552"/>
      <c r="Y2053" s="552"/>
      <c r="Z2053" s="552"/>
      <c r="AA2053" s="553"/>
      <c r="AB2053" s="553"/>
    </row>
    <row r="2054" spans="1:28" ht="12.75">
      <c r="A2054" s="547" t="s">
        <v>185</v>
      </c>
      <c r="B2054" s="555" t="s">
        <v>185</v>
      </c>
      <c r="C2054" s="548" t="s">
        <v>868</v>
      </c>
      <c r="D2054" s="549">
        <v>2016</v>
      </c>
      <c r="E2054" s="549" t="s">
        <v>775</v>
      </c>
      <c r="F2054" s="550">
        <v>962</v>
      </c>
      <c r="G2054" s="550">
        <v>61</v>
      </c>
      <c r="H2054" s="550">
        <v>61</v>
      </c>
      <c r="I2054" s="550">
        <v>0</v>
      </c>
      <c r="J2054" s="550">
        <v>701</v>
      </c>
      <c r="K2054" s="550">
        <v>36</v>
      </c>
      <c r="L2054" s="550">
        <v>36</v>
      </c>
      <c r="M2054" s="550">
        <v>0</v>
      </c>
      <c r="N2054" s="550">
        <v>820</v>
      </c>
      <c r="O2054" s="550">
        <v>0</v>
      </c>
      <c r="P2054" s="550">
        <v>1617</v>
      </c>
      <c r="Q2054" s="550">
        <v>159</v>
      </c>
      <c r="R2054" s="574" t="s">
        <v>185</v>
      </c>
      <c r="S2054" s="552"/>
      <c r="T2054" s="552"/>
      <c r="U2054" s="552"/>
      <c r="V2054" s="552"/>
      <c r="W2054" s="552"/>
      <c r="X2054" s="552"/>
      <c r="Y2054" s="552"/>
      <c r="Z2054" s="552"/>
      <c r="AA2054" s="553"/>
      <c r="AB2054" s="553"/>
    </row>
    <row r="2055" spans="1:28" ht="12.75">
      <c r="A2055" s="547" t="s">
        <v>185</v>
      </c>
      <c r="B2055" s="547" t="s">
        <v>185</v>
      </c>
      <c r="C2055" s="548" t="s">
        <v>868</v>
      </c>
      <c r="D2055" s="549">
        <v>2017</v>
      </c>
      <c r="E2055" s="549" t="s">
        <v>775</v>
      </c>
      <c r="F2055" s="550">
        <v>962</v>
      </c>
      <c r="G2055" s="550">
        <v>0</v>
      </c>
      <c r="H2055" s="550">
        <v>0</v>
      </c>
      <c r="I2055" s="550">
        <v>0</v>
      </c>
      <c r="J2055" s="550">
        <v>701</v>
      </c>
      <c r="K2055" s="550">
        <v>0</v>
      </c>
      <c r="L2055" s="550">
        <v>0</v>
      </c>
      <c r="M2055" s="550">
        <v>0</v>
      </c>
      <c r="N2055" s="550">
        <v>820</v>
      </c>
      <c r="O2055" s="550">
        <v>0</v>
      </c>
      <c r="P2055" s="550">
        <v>1617</v>
      </c>
      <c r="Q2055" s="550">
        <v>117</v>
      </c>
      <c r="R2055" s="574" t="s">
        <v>185</v>
      </c>
      <c r="S2055" s="552"/>
      <c r="T2055" s="552"/>
      <c r="U2055" s="552"/>
      <c r="V2055" s="552"/>
      <c r="W2055" s="552"/>
      <c r="X2055" s="552"/>
      <c r="Y2055" s="552"/>
      <c r="Z2055" s="552"/>
      <c r="AA2055" s="553"/>
      <c r="AB2055" s="553"/>
    </row>
    <row r="2056" spans="1:28" ht="12.75">
      <c r="A2056" s="547" t="s">
        <v>185</v>
      </c>
      <c r="B2056" s="547" t="s">
        <v>185</v>
      </c>
      <c r="C2056" s="548" t="s">
        <v>868</v>
      </c>
      <c r="D2056" s="549">
        <v>2018</v>
      </c>
      <c r="E2056" s="549" t="s">
        <v>775</v>
      </c>
      <c r="F2056" s="550">
        <v>962</v>
      </c>
      <c r="G2056" s="550">
        <v>57</v>
      </c>
      <c r="H2056" s="550">
        <v>57</v>
      </c>
      <c r="I2056" s="550">
        <v>0</v>
      </c>
      <c r="J2056" s="550">
        <v>701</v>
      </c>
      <c r="K2056" s="550">
        <v>48</v>
      </c>
      <c r="L2056" s="550">
        <v>48</v>
      </c>
      <c r="M2056" s="550">
        <v>0</v>
      </c>
      <c r="N2056" s="550">
        <v>820</v>
      </c>
      <c r="O2056" s="550">
        <v>0</v>
      </c>
      <c r="P2056" s="550">
        <v>1617</v>
      </c>
      <c r="Q2056" s="550">
        <v>245</v>
      </c>
      <c r="R2056" s="574" t="s">
        <v>185</v>
      </c>
      <c r="S2056" s="552"/>
      <c r="T2056" s="552"/>
      <c r="U2056" s="552"/>
      <c r="V2056" s="552"/>
      <c r="W2056" s="552"/>
      <c r="X2056" s="552"/>
      <c r="Y2056" s="552"/>
      <c r="Z2056" s="552"/>
      <c r="AA2056" s="553"/>
      <c r="AB2056" s="553"/>
    </row>
    <row r="2057" spans="1:28" ht="12.75">
      <c r="A2057" s="547" t="s">
        <v>185</v>
      </c>
      <c r="B2057" s="547" t="s">
        <v>185</v>
      </c>
      <c r="C2057" s="548" t="s">
        <v>872</v>
      </c>
      <c r="D2057" s="549">
        <v>2019</v>
      </c>
      <c r="E2057" s="549" t="s">
        <v>775</v>
      </c>
      <c r="F2057" s="550">
        <v>962</v>
      </c>
      <c r="G2057" s="550">
        <v>0</v>
      </c>
      <c r="H2057" s="550">
        <v>0</v>
      </c>
      <c r="I2057" s="550">
        <v>0</v>
      </c>
      <c r="J2057" s="550">
        <v>701</v>
      </c>
      <c r="K2057" s="550">
        <v>0</v>
      </c>
      <c r="L2057" s="550">
        <v>0</v>
      </c>
      <c r="M2057" s="550">
        <v>0</v>
      </c>
      <c r="N2057" s="550">
        <v>820</v>
      </c>
      <c r="O2057" s="550">
        <v>0</v>
      </c>
      <c r="P2057" s="550">
        <v>1617</v>
      </c>
      <c r="Q2057" s="550">
        <v>180</v>
      </c>
      <c r="R2057" s="574" t="s">
        <v>185</v>
      </c>
      <c r="S2057" s="255">
        <f>SUM(G2053:G2057) +SUM(K2053:K2057)</f>
        <v>202</v>
      </c>
      <c r="T2057" s="255">
        <f>F2057+J2057</f>
        <v>1663</v>
      </c>
      <c r="U2057" s="255">
        <f>SUM(O2053:O2057)</f>
        <v>4</v>
      </c>
      <c r="V2057" s="255">
        <f>N2057</f>
        <v>820</v>
      </c>
      <c r="W2057" s="83">
        <f>SUM(Q2053:Q2057)</f>
        <v>991</v>
      </c>
      <c r="X2057" s="255">
        <f>P2057</f>
        <v>1617</v>
      </c>
      <c r="Y2057" s="255">
        <f>S2057+U2057+SUM(Q2053:Q2057)</f>
        <v>1197</v>
      </c>
      <c r="Z2057" s="255">
        <f>F2057+J2057+N2057+P2057</f>
        <v>4100</v>
      </c>
      <c r="AA2057" s="553"/>
      <c r="AB2057" s="553"/>
    </row>
    <row r="2058" spans="1:28" ht="12.75">
      <c r="A2058" s="547" t="s">
        <v>648</v>
      </c>
      <c r="B2058" s="547" t="s">
        <v>185</v>
      </c>
      <c r="C2058" s="548" t="s">
        <v>868</v>
      </c>
      <c r="D2058" s="549">
        <v>2014</v>
      </c>
      <c r="E2058" s="549" t="s">
        <v>775</v>
      </c>
      <c r="F2058" s="550">
        <v>159</v>
      </c>
      <c r="G2058" s="550">
        <v>0</v>
      </c>
      <c r="H2058" s="550">
        <v>0</v>
      </c>
      <c r="I2058" s="550">
        <v>0</v>
      </c>
      <c r="J2058" s="550">
        <v>106</v>
      </c>
      <c r="K2058" s="550">
        <v>0</v>
      </c>
      <c r="L2058" s="550">
        <v>0</v>
      </c>
      <c r="M2058" s="550">
        <v>0</v>
      </c>
      <c r="N2058" s="550">
        <v>112</v>
      </c>
      <c r="O2058" s="550">
        <v>59</v>
      </c>
      <c r="P2058" s="550">
        <v>284</v>
      </c>
      <c r="Q2058" s="550">
        <v>80</v>
      </c>
      <c r="R2058" s="574" t="s">
        <v>648</v>
      </c>
      <c r="S2058" s="552"/>
      <c r="T2058" s="552"/>
      <c r="U2058" s="552"/>
      <c r="V2058" s="552"/>
      <c r="W2058" s="552"/>
      <c r="X2058" s="552"/>
      <c r="Y2058" s="552"/>
      <c r="Z2058" s="552"/>
      <c r="AA2058" s="553"/>
      <c r="AB2058" s="553"/>
    </row>
    <row r="2059" spans="1:28" ht="12.75">
      <c r="A2059" s="547" t="s">
        <v>648</v>
      </c>
      <c r="B2059" s="547" t="s">
        <v>185</v>
      </c>
      <c r="C2059" s="548" t="s">
        <v>868</v>
      </c>
      <c r="D2059" s="549">
        <v>2015</v>
      </c>
      <c r="E2059" s="549" t="s">
        <v>775</v>
      </c>
      <c r="F2059" s="550">
        <v>159</v>
      </c>
      <c r="G2059" s="550">
        <v>49</v>
      </c>
      <c r="H2059" s="550">
        <v>49</v>
      </c>
      <c r="I2059" s="550">
        <v>0</v>
      </c>
      <c r="J2059" s="550">
        <v>106</v>
      </c>
      <c r="K2059" s="550">
        <v>41</v>
      </c>
      <c r="L2059" s="550">
        <v>36</v>
      </c>
      <c r="M2059" s="550">
        <v>5</v>
      </c>
      <c r="N2059" s="550">
        <v>112</v>
      </c>
      <c r="O2059" s="550">
        <v>44</v>
      </c>
      <c r="P2059" s="550">
        <v>284</v>
      </c>
      <c r="Q2059" s="550">
        <v>94</v>
      </c>
      <c r="R2059" s="574" t="s">
        <v>648</v>
      </c>
      <c r="S2059" s="552"/>
      <c r="T2059" s="552"/>
      <c r="U2059" s="552"/>
      <c r="V2059" s="552"/>
      <c r="W2059" s="552"/>
      <c r="X2059" s="552"/>
      <c r="Y2059" s="552"/>
      <c r="Z2059" s="552"/>
      <c r="AA2059" s="553"/>
      <c r="AB2059" s="553"/>
    </row>
    <row r="2060" spans="1:28" ht="12.75">
      <c r="A2060" s="547" t="s">
        <v>648</v>
      </c>
      <c r="B2060" s="547" t="s">
        <v>185</v>
      </c>
      <c r="C2060" s="548" t="s">
        <v>868</v>
      </c>
      <c r="D2060" s="549">
        <v>2016</v>
      </c>
      <c r="E2060" s="549" t="s">
        <v>775</v>
      </c>
      <c r="F2060" s="550">
        <v>159</v>
      </c>
      <c r="G2060" s="550">
        <v>0</v>
      </c>
      <c r="H2060" s="550">
        <v>0</v>
      </c>
      <c r="I2060" s="550">
        <v>0</v>
      </c>
      <c r="J2060" s="550">
        <v>106</v>
      </c>
      <c r="K2060" s="550">
        <v>7</v>
      </c>
      <c r="L2060" s="550">
        <v>0</v>
      </c>
      <c r="M2060" s="550">
        <v>7</v>
      </c>
      <c r="N2060" s="550">
        <v>112</v>
      </c>
      <c r="O2060" s="550">
        <v>13</v>
      </c>
      <c r="P2060" s="550">
        <v>284</v>
      </c>
      <c r="Q2060" s="550">
        <v>31</v>
      </c>
      <c r="R2060" s="574" t="s">
        <v>648</v>
      </c>
      <c r="S2060" s="552"/>
      <c r="T2060" s="552"/>
      <c r="U2060" s="552"/>
      <c r="V2060" s="552"/>
      <c r="W2060" s="552"/>
      <c r="X2060" s="552"/>
      <c r="Y2060" s="552"/>
      <c r="Z2060" s="552"/>
      <c r="AA2060" s="553"/>
      <c r="AB2060" s="553"/>
    </row>
    <row r="2061" spans="1:28" ht="12.75">
      <c r="A2061" s="547" t="s">
        <v>648</v>
      </c>
      <c r="B2061" s="547" t="s">
        <v>185</v>
      </c>
      <c r="C2061" s="548" t="s">
        <v>868</v>
      </c>
      <c r="D2061" s="549">
        <v>2017</v>
      </c>
      <c r="E2061" s="549" t="s">
        <v>775</v>
      </c>
      <c r="F2061" s="550">
        <v>159</v>
      </c>
      <c r="G2061" s="550">
        <v>8</v>
      </c>
      <c r="H2061" s="550">
        <v>8</v>
      </c>
      <c r="I2061" s="550">
        <v>0</v>
      </c>
      <c r="J2061" s="550">
        <v>106</v>
      </c>
      <c r="K2061" s="550">
        <v>1</v>
      </c>
      <c r="L2061" s="550">
        <v>0</v>
      </c>
      <c r="M2061" s="550">
        <v>1</v>
      </c>
      <c r="N2061" s="550">
        <v>112</v>
      </c>
      <c r="O2061" s="550">
        <v>54</v>
      </c>
      <c r="P2061" s="550">
        <v>284</v>
      </c>
      <c r="Q2061" s="550">
        <v>145</v>
      </c>
      <c r="R2061" s="574" t="s">
        <v>648</v>
      </c>
      <c r="S2061" s="552"/>
      <c r="T2061" s="552"/>
      <c r="U2061" s="552"/>
      <c r="V2061" s="552"/>
      <c r="W2061" s="552"/>
      <c r="X2061" s="552"/>
      <c r="Y2061" s="552"/>
      <c r="Z2061" s="552"/>
      <c r="AA2061" s="553"/>
      <c r="AB2061" s="553"/>
    </row>
    <row r="2062" spans="1:28" ht="12.75">
      <c r="A2062" s="547" t="s">
        <v>648</v>
      </c>
      <c r="B2062" s="547" t="s">
        <v>185</v>
      </c>
      <c r="C2062" s="548" t="s">
        <v>868</v>
      </c>
      <c r="D2062" s="549">
        <v>2018</v>
      </c>
      <c r="E2062" s="549" t="s">
        <v>775</v>
      </c>
      <c r="F2062" s="550">
        <v>159</v>
      </c>
      <c r="G2062" s="550">
        <v>1</v>
      </c>
      <c r="H2062" s="550">
        <v>0</v>
      </c>
      <c r="I2062" s="550">
        <v>1</v>
      </c>
      <c r="J2062" s="550">
        <v>106</v>
      </c>
      <c r="K2062" s="550">
        <v>14</v>
      </c>
      <c r="L2062" s="550">
        <v>0</v>
      </c>
      <c r="M2062" s="550">
        <v>14</v>
      </c>
      <c r="N2062" s="550">
        <v>112</v>
      </c>
      <c r="O2062" s="550">
        <v>82</v>
      </c>
      <c r="P2062" s="550">
        <v>284</v>
      </c>
      <c r="Q2062" s="550">
        <v>231</v>
      </c>
      <c r="R2062" s="574" t="s">
        <v>648</v>
      </c>
      <c r="S2062" s="552"/>
      <c r="T2062" s="552"/>
      <c r="U2062" s="552"/>
      <c r="V2062" s="552"/>
      <c r="W2062" s="552"/>
      <c r="X2062" s="552"/>
      <c r="Y2062" s="552"/>
      <c r="Z2062" s="552"/>
      <c r="AA2062" s="553"/>
      <c r="AB2062" s="553"/>
    </row>
    <row r="2063" spans="1:28" ht="12.75">
      <c r="A2063" s="547" t="s">
        <v>648</v>
      </c>
      <c r="B2063" s="547" t="s">
        <v>185</v>
      </c>
      <c r="C2063" s="548" t="s">
        <v>872</v>
      </c>
      <c r="D2063" s="549">
        <v>2019</v>
      </c>
      <c r="E2063" s="549" t="s">
        <v>775</v>
      </c>
      <c r="F2063" s="550">
        <v>159</v>
      </c>
      <c r="G2063" s="550">
        <v>0</v>
      </c>
      <c r="H2063" s="550">
        <v>0</v>
      </c>
      <c r="I2063" s="550">
        <v>0</v>
      </c>
      <c r="J2063" s="550">
        <v>106</v>
      </c>
      <c r="K2063" s="550">
        <v>26</v>
      </c>
      <c r="L2063" s="550">
        <v>0</v>
      </c>
      <c r="M2063" s="550">
        <v>26</v>
      </c>
      <c r="N2063" s="550">
        <v>112</v>
      </c>
      <c r="O2063" s="550">
        <v>21</v>
      </c>
      <c r="P2063" s="550">
        <v>284</v>
      </c>
      <c r="Q2063" s="550">
        <v>195</v>
      </c>
      <c r="R2063" s="574" t="s">
        <v>648</v>
      </c>
      <c r="S2063" s="552">
        <f>SUM(G2058:G2063) +SUM(K2058:K2063)</f>
        <v>147</v>
      </c>
      <c r="T2063" s="552">
        <f>F2063+J2063</f>
        <v>265</v>
      </c>
      <c r="U2063" s="552">
        <f>SUM(O2058:O2063)</f>
        <v>273</v>
      </c>
      <c r="V2063" s="552">
        <f>N2063</f>
        <v>112</v>
      </c>
      <c r="W2063" s="554">
        <f>SUM(Q2058:Q2063)</f>
        <v>776</v>
      </c>
      <c r="X2063" s="552">
        <f>P2063</f>
        <v>284</v>
      </c>
      <c r="Y2063" s="552">
        <f>S2063+U2063+SUM(Q2058:Q2063)</f>
        <v>1196</v>
      </c>
      <c r="Z2063" s="552">
        <f>F2063+J2063+N2063+P2063</f>
        <v>661</v>
      </c>
      <c r="AA2063" s="553"/>
      <c r="AB2063" s="553"/>
    </row>
    <row r="2064" spans="1:28" ht="12.75">
      <c r="A2064" s="547" t="s">
        <v>649</v>
      </c>
      <c r="B2064" s="547" t="s">
        <v>185</v>
      </c>
      <c r="C2064" s="548" t="s">
        <v>868</v>
      </c>
      <c r="D2064" s="549">
        <v>2015</v>
      </c>
      <c r="E2064" s="549" t="s">
        <v>775</v>
      </c>
      <c r="F2064" s="550">
        <v>985</v>
      </c>
      <c r="G2064" s="550">
        <v>0</v>
      </c>
      <c r="H2064" s="550">
        <v>0</v>
      </c>
      <c r="I2064" s="550">
        <v>0</v>
      </c>
      <c r="J2064" s="550">
        <v>656</v>
      </c>
      <c r="K2064" s="550">
        <v>0</v>
      </c>
      <c r="L2064" s="550">
        <v>0</v>
      </c>
      <c r="M2064" s="550">
        <v>0</v>
      </c>
      <c r="N2064" s="550">
        <v>730</v>
      </c>
      <c r="O2064" s="550">
        <v>286</v>
      </c>
      <c r="P2064" s="550">
        <v>1731</v>
      </c>
      <c r="Q2064" s="550">
        <v>150</v>
      </c>
      <c r="R2064" s="574" t="s">
        <v>649</v>
      </c>
      <c r="S2064" s="552"/>
      <c r="T2064" s="552"/>
      <c r="U2064" s="552"/>
      <c r="V2064" s="552"/>
      <c r="W2064" s="552"/>
      <c r="X2064" s="552"/>
      <c r="Y2064" s="552"/>
      <c r="Z2064" s="552"/>
      <c r="AA2064" s="553"/>
      <c r="AB2064" s="553"/>
    </row>
    <row r="2065" spans="1:28" ht="12.75">
      <c r="A2065" s="547" t="s">
        <v>649</v>
      </c>
      <c r="B2065" s="547" t="s">
        <v>185</v>
      </c>
      <c r="C2065" s="548" t="s">
        <v>868</v>
      </c>
      <c r="D2065" s="549">
        <v>2016</v>
      </c>
      <c r="E2065" s="549" t="s">
        <v>775</v>
      </c>
      <c r="F2065" s="550">
        <v>985</v>
      </c>
      <c r="G2065" s="550">
        <v>27</v>
      </c>
      <c r="H2065" s="550">
        <v>27</v>
      </c>
      <c r="I2065" s="550">
        <v>0</v>
      </c>
      <c r="J2065" s="550">
        <v>656</v>
      </c>
      <c r="K2065" s="550">
        <v>59</v>
      </c>
      <c r="L2065" s="550">
        <v>59</v>
      </c>
      <c r="M2065" s="550">
        <v>0</v>
      </c>
      <c r="N2065" s="550">
        <v>730</v>
      </c>
      <c r="O2065" s="550">
        <v>14</v>
      </c>
      <c r="P2065" s="550">
        <v>1731</v>
      </c>
      <c r="Q2065" s="550">
        <v>191</v>
      </c>
      <c r="R2065" s="574" t="s">
        <v>649</v>
      </c>
      <c r="S2065" s="552"/>
      <c r="T2065" s="552"/>
      <c r="U2065" s="552"/>
      <c r="V2065" s="552"/>
      <c r="W2065" s="552"/>
      <c r="X2065" s="552"/>
      <c r="Y2065" s="552"/>
      <c r="Z2065" s="552"/>
      <c r="AA2065" s="553"/>
      <c r="AB2065" s="553"/>
    </row>
    <row r="2066" spans="1:28" ht="12.75">
      <c r="A2066" s="547" t="s">
        <v>649</v>
      </c>
      <c r="B2066" s="547" t="s">
        <v>185</v>
      </c>
      <c r="C2066" s="548" t="s">
        <v>868</v>
      </c>
      <c r="D2066" s="549">
        <v>2017</v>
      </c>
      <c r="E2066" s="549" t="s">
        <v>775</v>
      </c>
      <c r="F2066" s="550">
        <v>985</v>
      </c>
      <c r="G2066" s="550">
        <v>0</v>
      </c>
      <c r="H2066" s="550">
        <v>0</v>
      </c>
      <c r="I2066" s="550">
        <v>0</v>
      </c>
      <c r="J2066" s="550">
        <v>656</v>
      </c>
      <c r="K2066" s="550">
        <v>0</v>
      </c>
      <c r="L2066" s="550">
        <v>0</v>
      </c>
      <c r="M2066" s="550">
        <v>0</v>
      </c>
      <c r="N2066" s="550">
        <v>730</v>
      </c>
      <c r="O2066" s="550">
        <v>391</v>
      </c>
      <c r="P2066" s="550">
        <v>1731</v>
      </c>
      <c r="Q2066" s="550">
        <v>125</v>
      </c>
      <c r="R2066" s="574" t="s">
        <v>649</v>
      </c>
      <c r="S2066" s="552"/>
      <c r="T2066" s="552"/>
      <c r="U2066" s="552"/>
      <c r="V2066" s="552"/>
      <c r="W2066" s="552"/>
      <c r="X2066" s="552"/>
      <c r="Y2066" s="552"/>
      <c r="Z2066" s="552"/>
      <c r="AA2066" s="553"/>
      <c r="AB2066" s="553"/>
    </row>
    <row r="2067" spans="1:28" ht="12.75">
      <c r="A2067" s="547" t="s">
        <v>649</v>
      </c>
      <c r="B2067" s="547" t="s">
        <v>185</v>
      </c>
      <c r="C2067" s="548" t="s">
        <v>868</v>
      </c>
      <c r="D2067" s="549">
        <v>2018</v>
      </c>
      <c r="E2067" s="549" t="s">
        <v>775</v>
      </c>
      <c r="F2067" s="550">
        <v>985</v>
      </c>
      <c r="G2067" s="550">
        <v>0</v>
      </c>
      <c r="H2067" s="550">
        <v>0</v>
      </c>
      <c r="I2067" s="550">
        <v>0</v>
      </c>
      <c r="J2067" s="550">
        <v>656</v>
      </c>
      <c r="K2067" s="550">
        <v>108</v>
      </c>
      <c r="L2067" s="550">
        <v>78</v>
      </c>
      <c r="M2067" s="550">
        <v>30</v>
      </c>
      <c r="N2067" s="550">
        <v>730</v>
      </c>
      <c r="O2067" s="550">
        <v>0</v>
      </c>
      <c r="P2067" s="550">
        <v>1731</v>
      </c>
      <c r="Q2067" s="550">
        <v>52</v>
      </c>
      <c r="R2067" s="574" t="s">
        <v>649</v>
      </c>
      <c r="S2067" s="552"/>
      <c r="T2067" s="552"/>
      <c r="U2067" s="552"/>
      <c r="V2067" s="552"/>
      <c r="W2067" s="552"/>
      <c r="X2067" s="552"/>
      <c r="Y2067" s="552"/>
      <c r="Z2067" s="552"/>
      <c r="AA2067" s="553"/>
      <c r="AB2067" s="553"/>
    </row>
    <row r="2068" spans="1:28" ht="12.75">
      <c r="A2068" s="547" t="s">
        <v>649</v>
      </c>
      <c r="B2068" s="547" t="s">
        <v>185</v>
      </c>
      <c r="C2068" s="548" t="s">
        <v>872</v>
      </c>
      <c r="D2068" s="549">
        <v>2019</v>
      </c>
      <c r="E2068" s="549" t="s">
        <v>775</v>
      </c>
      <c r="F2068" s="550">
        <v>985</v>
      </c>
      <c r="G2068" s="550">
        <v>4</v>
      </c>
      <c r="H2068" s="550">
        <v>4</v>
      </c>
      <c r="I2068" s="550">
        <v>0</v>
      </c>
      <c r="J2068" s="550">
        <v>656</v>
      </c>
      <c r="K2068" s="550">
        <v>146</v>
      </c>
      <c r="L2068" s="550">
        <v>35</v>
      </c>
      <c r="M2068" s="550">
        <v>111</v>
      </c>
      <c r="N2068" s="550">
        <v>730</v>
      </c>
      <c r="O2068" s="550">
        <v>92</v>
      </c>
      <c r="P2068" s="550">
        <v>1731</v>
      </c>
      <c r="Q2068" s="550">
        <v>252</v>
      </c>
      <c r="R2068" s="574" t="s">
        <v>649</v>
      </c>
      <c r="S2068" s="255">
        <f>SUM(G2064:G2068) +SUM(K2064:K2068)</f>
        <v>344</v>
      </c>
      <c r="T2068" s="255">
        <f>F2068+J2068</f>
        <v>1641</v>
      </c>
      <c r="U2068" s="255">
        <f>SUM(O2064:O2068)</f>
        <v>783</v>
      </c>
      <c r="V2068" s="255">
        <f>N2068</f>
        <v>730</v>
      </c>
      <c r="W2068" s="83">
        <f>SUM(Q2064:Q2068)</f>
        <v>770</v>
      </c>
      <c r="X2068" s="255">
        <f>P2068</f>
        <v>1731</v>
      </c>
      <c r="Y2068" s="255">
        <f>S2068+U2068+SUM(Q2064:Q2068)</f>
        <v>1897</v>
      </c>
      <c r="Z2068" s="255">
        <f>F2068+J2068+N2068+P2068</f>
        <v>4102</v>
      </c>
      <c r="AA2068" s="553"/>
      <c r="AB2068" s="553"/>
    </row>
    <row r="2069" spans="1:28" ht="12.75">
      <c r="A2069" s="547" t="s">
        <v>650</v>
      </c>
      <c r="B2069" s="547" t="s">
        <v>185</v>
      </c>
      <c r="C2069" s="548" t="s">
        <v>868</v>
      </c>
      <c r="D2069" s="549">
        <v>2015</v>
      </c>
      <c r="E2069" s="549" t="s">
        <v>775</v>
      </c>
      <c r="F2069" s="550">
        <v>42</v>
      </c>
      <c r="G2069" s="550">
        <v>0</v>
      </c>
      <c r="H2069" s="550">
        <v>0</v>
      </c>
      <c r="I2069" s="550">
        <v>0</v>
      </c>
      <c r="J2069" s="550">
        <v>28</v>
      </c>
      <c r="K2069" s="550">
        <v>0</v>
      </c>
      <c r="L2069" s="550">
        <v>0</v>
      </c>
      <c r="M2069" s="550">
        <v>0</v>
      </c>
      <c r="N2069" s="550">
        <v>30</v>
      </c>
      <c r="O2069" s="550">
        <v>0</v>
      </c>
      <c r="P2069" s="550">
        <v>75</v>
      </c>
      <c r="Q2069" s="550">
        <v>35</v>
      </c>
      <c r="R2069" s="574" t="s">
        <v>650</v>
      </c>
      <c r="S2069" s="552"/>
      <c r="T2069" s="552"/>
      <c r="U2069" s="552"/>
      <c r="V2069" s="552"/>
      <c r="W2069" s="552"/>
      <c r="X2069" s="552"/>
      <c r="Y2069" s="552"/>
      <c r="Z2069" s="552"/>
      <c r="AA2069" s="553"/>
      <c r="AB2069" s="553"/>
    </row>
    <row r="2070" spans="1:28" ht="12.75">
      <c r="A2070" s="547" t="s">
        <v>650</v>
      </c>
      <c r="B2070" s="547" t="s">
        <v>185</v>
      </c>
      <c r="C2070" s="548" t="s">
        <v>868</v>
      </c>
      <c r="D2070" s="549">
        <v>2016</v>
      </c>
      <c r="E2070" s="549" t="s">
        <v>775</v>
      </c>
      <c r="F2070" s="550">
        <v>42</v>
      </c>
      <c r="G2070" s="550">
        <v>35</v>
      </c>
      <c r="H2070" s="550">
        <v>35</v>
      </c>
      <c r="I2070" s="550">
        <v>0</v>
      </c>
      <c r="J2070" s="550">
        <v>28</v>
      </c>
      <c r="K2070" s="550">
        <v>10</v>
      </c>
      <c r="L2070" s="550">
        <v>10</v>
      </c>
      <c r="M2070" s="550">
        <v>0</v>
      </c>
      <c r="N2070" s="550">
        <v>30</v>
      </c>
      <c r="O2070" s="550">
        <v>0</v>
      </c>
      <c r="P2070" s="550">
        <v>75</v>
      </c>
      <c r="Q2070" s="550">
        <v>23</v>
      </c>
      <c r="R2070" s="574" t="s">
        <v>650</v>
      </c>
      <c r="S2070" s="552"/>
      <c r="T2070" s="552"/>
      <c r="U2070" s="552"/>
      <c r="V2070" s="552"/>
      <c r="W2070" s="552"/>
      <c r="X2070" s="552"/>
      <c r="Y2070" s="552"/>
      <c r="Z2070" s="552"/>
      <c r="AA2070" s="553"/>
      <c r="AB2070" s="553"/>
    </row>
    <row r="2071" spans="1:28" ht="12.75">
      <c r="A2071" s="547" t="s">
        <v>650</v>
      </c>
      <c r="B2071" s="547" t="s">
        <v>185</v>
      </c>
      <c r="C2071" s="548" t="s">
        <v>868</v>
      </c>
      <c r="D2071" s="549">
        <v>2017</v>
      </c>
      <c r="E2071" s="549" t="s">
        <v>775</v>
      </c>
      <c r="F2071" s="550">
        <v>42</v>
      </c>
      <c r="G2071" s="550">
        <v>0</v>
      </c>
      <c r="H2071" s="550">
        <v>0</v>
      </c>
      <c r="I2071" s="550">
        <v>0</v>
      </c>
      <c r="J2071" s="550">
        <v>28</v>
      </c>
      <c r="K2071" s="550">
        <v>0</v>
      </c>
      <c r="L2071" s="550">
        <v>0</v>
      </c>
      <c r="M2071" s="550">
        <v>0</v>
      </c>
      <c r="N2071" s="550">
        <v>30</v>
      </c>
      <c r="O2071" s="550">
        <v>1</v>
      </c>
      <c r="P2071" s="550">
        <v>75</v>
      </c>
      <c r="Q2071" s="550">
        <v>23</v>
      </c>
      <c r="R2071" s="574" t="s">
        <v>650</v>
      </c>
      <c r="S2071" s="552"/>
      <c r="T2071" s="552"/>
      <c r="U2071" s="552"/>
      <c r="V2071" s="552"/>
      <c r="W2071" s="552"/>
      <c r="X2071" s="552"/>
      <c r="Y2071" s="552"/>
      <c r="Z2071" s="552"/>
      <c r="AA2071" s="553"/>
      <c r="AB2071" s="553"/>
    </row>
    <row r="2072" spans="1:28" ht="12.75">
      <c r="A2072" s="547" t="s">
        <v>650</v>
      </c>
      <c r="B2072" s="547" t="s">
        <v>185</v>
      </c>
      <c r="C2072" s="548" t="s">
        <v>868</v>
      </c>
      <c r="D2072" s="549">
        <v>2018</v>
      </c>
      <c r="E2072" s="549" t="s">
        <v>775</v>
      </c>
      <c r="F2072" s="550">
        <v>42</v>
      </c>
      <c r="G2072" s="564"/>
      <c r="H2072" s="564"/>
      <c r="I2072" s="564"/>
      <c r="J2072" s="550">
        <v>28</v>
      </c>
      <c r="K2072" s="564"/>
      <c r="L2072" s="564"/>
      <c r="M2072" s="564"/>
      <c r="N2072" s="550">
        <v>30</v>
      </c>
      <c r="O2072" s="564"/>
      <c r="P2072" s="550">
        <v>75</v>
      </c>
      <c r="Q2072" s="564"/>
      <c r="R2072" s="574" t="s">
        <v>650</v>
      </c>
      <c r="S2072" s="552"/>
      <c r="T2072" s="552"/>
      <c r="U2072" s="552"/>
      <c r="V2072" s="552"/>
      <c r="W2072" s="554"/>
      <c r="X2072" s="552"/>
      <c r="Y2072" s="552"/>
      <c r="Z2072" s="552"/>
      <c r="AA2072" s="553"/>
      <c r="AB2072" s="553"/>
    </row>
    <row r="2073" spans="1:28" ht="12.75">
      <c r="A2073" s="547" t="s">
        <v>650</v>
      </c>
      <c r="B2073" s="547" t="s">
        <v>185</v>
      </c>
      <c r="C2073" s="548" t="s">
        <v>872</v>
      </c>
      <c r="D2073" s="549">
        <v>2019</v>
      </c>
      <c r="E2073" s="549" t="s">
        <v>775</v>
      </c>
      <c r="F2073" s="550">
        <v>42</v>
      </c>
      <c r="G2073" s="550">
        <v>0</v>
      </c>
      <c r="H2073" s="550">
        <v>0</v>
      </c>
      <c r="I2073" s="550">
        <v>0</v>
      </c>
      <c r="J2073" s="550">
        <v>28</v>
      </c>
      <c r="K2073" s="550">
        <v>0</v>
      </c>
      <c r="L2073" s="550">
        <v>0</v>
      </c>
      <c r="M2073" s="550">
        <v>0</v>
      </c>
      <c r="N2073" s="550">
        <v>30</v>
      </c>
      <c r="O2073" s="550">
        <v>0</v>
      </c>
      <c r="P2073" s="550">
        <v>75</v>
      </c>
      <c r="Q2073" s="550">
        <v>0</v>
      </c>
      <c r="R2073" s="574" t="s">
        <v>650</v>
      </c>
      <c r="S2073" s="561">
        <f>SUM(G2069:G2073) +SUM(K2069:K2073)</f>
        <v>45</v>
      </c>
      <c r="T2073" s="561">
        <f>F2073+J2073</f>
        <v>70</v>
      </c>
      <c r="U2073" s="561">
        <f>SUM(O2069:O2073)</f>
        <v>1</v>
      </c>
      <c r="V2073" s="561">
        <f>N2073</f>
        <v>30</v>
      </c>
      <c r="W2073" s="562">
        <f>SUM(Q2069:Q2073)</f>
        <v>81</v>
      </c>
      <c r="X2073" s="561">
        <f>P2073</f>
        <v>75</v>
      </c>
      <c r="Y2073" s="561">
        <f>S2073+U2073+SUM(Q2069:Q2073)</f>
        <v>127</v>
      </c>
      <c r="Z2073" s="561">
        <f>F2073+J2073+N2073+P2073</f>
        <v>175</v>
      </c>
      <c r="AA2073" s="553"/>
      <c r="AB2073" s="553"/>
    </row>
    <row r="2074" spans="1:28" ht="12.75">
      <c r="A2074" s="547"/>
      <c r="B2074" s="547"/>
      <c r="C2074" s="548"/>
      <c r="D2074" s="549"/>
      <c r="E2074" s="549"/>
      <c r="F2074" s="550"/>
      <c r="G2074" s="550"/>
      <c r="H2074" s="550"/>
      <c r="I2074" s="550"/>
      <c r="J2074" s="550"/>
      <c r="K2074" s="550"/>
      <c r="L2074" s="550"/>
      <c r="M2074" s="550"/>
      <c r="N2074" s="550"/>
      <c r="O2074" s="550"/>
      <c r="P2074" s="550"/>
      <c r="Q2074" s="550"/>
      <c r="R2074" s="574"/>
      <c r="S2074" s="563">
        <f t="shared" ref="S2074:Z2074" si="215">SUM(S2028:S2073)</f>
        <v>942</v>
      </c>
      <c r="T2074" s="563">
        <f t="shared" si="215"/>
        <v>4436</v>
      </c>
      <c r="U2074" s="563">
        <f t="shared" si="215"/>
        <v>1216</v>
      </c>
      <c r="V2074" s="563">
        <f t="shared" si="215"/>
        <v>2049</v>
      </c>
      <c r="W2074" s="563">
        <f t="shared" si="215"/>
        <v>3750</v>
      </c>
      <c r="X2074" s="563">
        <f t="shared" si="215"/>
        <v>4545</v>
      </c>
      <c r="Y2074" s="563">
        <f t="shared" si="215"/>
        <v>5908</v>
      </c>
      <c r="Z2074" s="563">
        <f t="shared" si="215"/>
        <v>11030</v>
      </c>
      <c r="AA2074" s="553"/>
      <c r="AB2074" s="553"/>
    </row>
    <row r="2075" spans="1:28" ht="12.75">
      <c r="A2075" s="547" t="s">
        <v>651</v>
      </c>
      <c r="B2075" s="547" t="s">
        <v>187</v>
      </c>
      <c r="C2075" s="548" t="s">
        <v>774</v>
      </c>
      <c r="D2075" s="549">
        <v>2015</v>
      </c>
      <c r="E2075" s="549" t="s">
        <v>775</v>
      </c>
      <c r="F2075" s="550">
        <v>253</v>
      </c>
      <c r="G2075" s="550">
        <v>0</v>
      </c>
      <c r="H2075" s="550">
        <v>0</v>
      </c>
      <c r="I2075" s="550">
        <v>0</v>
      </c>
      <c r="J2075" s="550">
        <v>138</v>
      </c>
      <c r="K2075" s="550">
        <v>0</v>
      </c>
      <c r="L2075" s="550">
        <v>0</v>
      </c>
      <c r="M2075" s="550">
        <v>0</v>
      </c>
      <c r="N2075" s="550">
        <v>151</v>
      </c>
      <c r="O2075" s="550">
        <v>0</v>
      </c>
      <c r="P2075" s="550">
        <v>391</v>
      </c>
      <c r="Q2075" s="550">
        <v>52</v>
      </c>
      <c r="R2075" s="574" t="s">
        <v>651</v>
      </c>
      <c r="S2075" s="552"/>
      <c r="T2075" s="552"/>
      <c r="U2075" s="552"/>
      <c r="V2075" s="552"/>
      <c r="W2075" s="552"/>
      <c r="X2075" s="552"/>
      <c r="Y2075" s="552"/>
      <c r="Z2075" s="552"/>
      <c r="AA2075" s="553"/>
      <c r="AB2075" s="553"/>
    </row>
    <row r="2076" spans="1:28" ht="12.75">
      <c r="A2076" s="547" t="s">
        <v>651</v>
      </c>
      <c r="B2076" s="547" t="s">
        <v>187</v>
      </c>
      <c r="C2076" s="548" t="s">
        <v>774</v>
      </c>
      <c r="D2076" s="549">
        <v>2016</v>
      </c>
      <c r="E2076" s="549" t="s">
        <v>775</v>
      </c>
      <c r="F2076" s="550">
        <v>253</v>
      </c>
      <c r="G2076" s="550">
        <v>9</v>
      </c>
      <c r="H2076" s="550">
        <v>9</v>
      </c>
      <c r="I2076" s="550">
        <v>0</v>
      </c>
      <c r="J2076" s="550">
        <v>138</v>
      </c>
      <c r="K2076" s="550">
        <v>1</v>
      </c>
      <c r="L2076" s="550">
        <v>1</v>
      </c>
      <c r="M2076" s="550">
        <v>0</v>
      </c>
      <c r="N2076" s="550">
        <v>151</v>
      </c>
      <c r="O2076" s="550">
        <v>9</v>
      </c>
      <c r="P2076" s="550">
        <v>391</v>
      </c>
      <c r="Q2076" s="550">
        <v>214</v>
      </c>
      <c r="R2076" s="574" t="s">
        <v>651</v>
      </c>
      <c r="S2076" s="552"/>
      <c r="T2076" s="552"/>
      <c r="U2076" s="552"/>
      <c r="V2076" s="552"/>
      <c r="W2076" s="552"/>
      <c r="X2076" s="552"/>
      <c r="Y2076" s="552"/>
      <c r="Z2076" s="552"/>
      <c r="AA2076" s="553"/>
      <c r="AB2076" s="553"/>
    </row>
    <row r="2077" spans="1:28" ht="12.75">
      <c r="A2077" s="547" t="s">
        <v>651</v>
      </c>
      <c r="B2077" s="547" t="s">
        <v>187</v>
      </c>
      <c r="C2077" s="548" t="s">
        <v>774</v>
      </c>
      <c r="D2077" s="549">
        <v>2017</v>
      </c>
      <c r="E2077" s="549" t="s">
        <v>775</v>
      </c>
      <c r="F2077" s="550">
        <v>253</v>
      </c>
      <c r="G2077" s="550">
        <v>0</v>
      </c>
      <c r="H2077" s="550">
        <v>0</v>
      </c>
      <c r="I2077" s="550">
        <v>0</v>
      </c>
      <c r="J2077" s="550">
        <v>138</v>
      </c>
      <c r="K2077" s="550">
        <v>1</v>
      </c>
      <c r="L2077" s="550">
        <v>1</v>
      </c>
      <c r="M2077" s="550">
        <v>0</v>
      </c>
      <c r="N2077" s="550">
        <v>151</v>
      </c>
      <c r="O2077" s="550">
        <v>4</v>
      </c>
      <c r="P2077" s="550">
        <v>391</v>
      </c>
      <c r="Q2077" s="550">
        <v>59</v>
      </c>
      <c r="R2077" s="574" t="s">
        <v>651</v>
      </c>
      <c r="S2077" s="552"/>
      <c r="T2077" s="552"/>
      <c r="U2077" s="552"/>
      <c r="V2077" s="552"/>
      <c r="W2077" s="552"/>
      <c r="X2077" s="552"/>
      <c r="Y2077" s="552"/>
      <c r="Z2077" s="552"/>
      <c r="AA2077" s="553"/>
      <c r="AB2077" s="553"/>
    </row>
    <row r="2078" spans="1:28" ht="12.75">
      <c r="A2078" s="547" t="s">
        <v>651</v>
      </c>
      <c r="B2078" s="547" t="s">
        <v>187</v>
      </c>
      <c r="C2078" s="548" t="s">
        <v>774</v>
      </c>
      <c r="D2078" s="549">
        <v>2018</v>
      </c>
      <c r="E2078" s="549" t="s">
        <v>775</v>
      </c>
      <c r="F2078" s="550">
        <v>253</v>
      </c>
      <c r="G2078" s="550">
        <v>2</v>
      </c>
      <c r="H2078" s="550">
        <v>2</v>
      </c>
      <c r="I2078" s="550">
        <v>0</v>
      </c>
      <c r="J2078" s="550">
        <v>138</v>
      </c>
      <c r="K2078" s="550">
        <v>2</v>
      </c>
      <c r="L2078" s="550">
        <v>2</v>
      </c>
      <c r="M2078" s="550">
        <v>0</v>
      </c>
      <c r="N2078" s="550">
        <v>151</v>
      </c>
      <c r="O2078" s="550">
        <v>3</v>
      </c>
      <c r="P2078" s="550">
        <v>391</v>
      </c>
      <c r="Q2078" s="550">
        <v>46</v>
      </c>
      <c r="R2078" s="574" t="s">
        <v>651</v>
      </c>
      <c r="S2078" s="552"/>
      <c r="T2078" s="552"/>
      <c r="U2078" s="552"/>
      <c r="V2078" s="552"/>
      <c r="W2078" s="552"/>
      <c r="X2078" s="552"/>
      <c r="Y2078" s="552"/>
      <c r="Z2078" s="552"/>
      <c r="AA2078" s="553"/>
      <c r="AB2078" s="553"/>
    </row>
    <row r="2079" spans="1:28" ht="12.75">
      <c r="A2079" s="547" t="s">
        <v>651</v>
      </c>
      <c r="B2079" s="547" t="s">
        <v>187</v>
      </c>
      <c r="C2079" s="548" t="s">
        <v>782</v>
      </c>
      <c r="D2079" s="549">
        <v>2019</v>
      </c>
      <c r="E2079" s="549" t="s">
        <v>775</v>
      </c>
      <c r="F2079" s="550">
        <v>253</v>
      </c>
      <c r="G2079" s="550">
        <v>0</v>
      </c>
      <c r="H2079" s="550">
        <v>0</v>
      </c>
      <c r="I2079" s="550">
        <v>0</v>
      </c>
      <c r="J2079" s="550">
        <v>138</v>
      </c>
      <c r="K2079" s="550">
        <v>0</v>
      </c>
      <c r="L2079" s="550">
        <v>0</v>
      </c>
      <c r="M2079" s="550">
        <v>0</v>
      </c>
      <c r="N2079" s="550">
        <v>151</v>
      </c>
      <c r="O2079" s="550">
        <v>0</v>
      </c>
      <c r="P2079" s="550">
        <v>391</v>
      </c>
      <c r="Q2079" s="550">
        <v>36</v>
      </c>
      <c r="R2079" s="574" t="s">
        <v>651</v>
      </c>
      <c r="S2079" s="255">
        <f>SUM(G2075:G2079) +SUM(K2075:K2079)</f>
        <v>15</v>
      </c>
      <c r="T2079" s="255">
        <f>F2079+J2079</f>
        <v>391</v>
      </c>
      <c r="U2079" s="255">
        <f>SUM(O2075:O2079)</f>
        <v>16</v>
      </c>
      <c r="V2079" s="255">
        <f>N2079</f>
        <v>151</v>
      </c>
      <c r="W2079" s="83">
        <f>SUM(Q2075:Q2079)</f>
        <v>407</v>
      </c>
      <c r="X2079" s="255">
        <f>P2079</f>
        <v>391</v>
      </c>
      <c r="Y2079" s="255">
        <f>S2079+U2079+SUM(Q2075:Q2079)</f>
        <v>438</v>
      </c>
      <c r="Z2079" s="255">
        <f>F2079+J2079+N2079+P2079</f>
        <v>933</v>
      </c>
      <c r="AA2079" s="553"/>
      <c r="AB2079" s="553"/>
    </row>
    <row r="2080" spans="1:28" ht="12.75">
      <c r="A2080" s="547" t="s">
        <v>652</v>
      </c>
      <c r="B2080" s="547" t="s">
        <v>187</v>
      </c>
      <c r="C2080" s="548" t="s">
        <v>774</v>
      </c>
      <c r="D2080" s="549">
        <v>2015</v>
      </c>
      <c r="E2080" s="549" t="s">
        <v>775</v>
      </c>
      <c r="F2080" s="550">
        <v>356</v>
      </c>
      <c r="G2080" s="550">
        <v>0</v>
      </c>
      <c r="H2080" s="550">
        <v>0</v>
      </c>
      <c r="I2080" s="550">
        <v>0</v>
      </c>
      <c r="J2080" s="550">
        <v>207</v>
      </c>
      <c r="K2080" s="550">
        <v>0</v>
      </c>
      <c r="L2080" s="550">
        <v>0</v>
      </c>
      <c r="M2080" s="550">
        <v>0</v>
      </c>
      <c r="N2080" s="550">
        <v>231</v>
      </c>
      <c r="O2080" s="550">
        <v>14</v>
      </c>
      <c r="P2080" s="550">
        <v>270</v>
      </c>
      <c r="Q2080" s="550">
        <v>164</v>
      </c>
      <c r="R2080" s="574" t="s">
        <v>652</v>
      </c>
      <c r="S2080" s="552"/>
      <c r="T2080" s="552"/>
      <c r="U2080" s="552"/>
      <c r="V2080" s="552"/>
      <c r="W2080" s="552"/>
      <c r="X2080" s="552"/>
      <c r="Y2080" s="552"/>
      <c r="Z2080" s="552"/>
      <c r="AA2080" s="553"/>
      <c r="AB2080" s="553"/>
    </row>
    <row r="2081" spans="1:28" ht="12.75">
      <c r="A2081" s="547" t="s">
        <v>652</v>
      </c>
      <c r="B2081" s="547" t="s">
        <v>187</v>
      </c>
      <c r="C2081" s="548" t="s">
        <v>774</v>
      </c>
      <c r="D2081" s="549">
        <v>2016</v>
      </c>
      <c r="E2081" s="549" t="s">
        <v>775</v>
      </c>
      <c r="F2081" s="550">
        <v>356</v>
      </c>
      <c r="G2081" s="550">
        <v>0</v>
      </c>
      <c r="H2081" s="550">
        <v>0</v>
      </c>
      <c r="I2081" s="550">
        <v>0</v>
      </c>
      <c r="J2081" s="550">
        <v>207</v>
      </c>
      <c r="K2081" s="550">
        <v>0</v>
      </c>
      <c r="L2081" s="550">
        <v>0</v>
      </c>
      <c r="M2081" s="550">
        <v>0</v>
      </c>
      <c r="N2081" s="550">
        <v>231</v>
      </c>
      <c r="O2081" s="550">
        <v>18</v>
      </c>
      <c r="P2081" s="550">
        <v>270</v>
      </c>
      <c r="Q2081" s="550">
        <v>9</v>
      </c>
      <c r="R2081" s="574" t="s">
        <v>652</v>
      </c>
      <c r="S2081" s="552"/>
      <c r="T2081" s="552"/>
      <c r="U2081" s="552"/>
      <c r="V2081" s="552"/>
      <c r="W2081" s="552"/>
      <c r="X2081" s="552"/>
      <c r="Y2081" s="552"/>
      <c r="Z2081" s="552"/>
      <c r="AA2081" s="553"/>
      <c r="AB2081" s="553"/>
    </row>
    <row r="2082" spans="1:28" ht="12.75">
      <c r="A2082" s="547" t="s">
        <v>652</v>
      </c>
      <c r="B2082" s="547" t="s">
        <v>187</v>
      </c>
      <c r="C2082" s="548" t="s">
        <v>774</v>
      </c>
      <c r="D2082" s="549">
        <v>2017</v>
      </c>
      <c r="E2082" s="549" t="s">
        <v>775</v>
      </c>
      <c r="F2082" s="550">
        <v>356</v>
      </c>
      <c r="G2082" s="550">
        <v>0</v>
      </c>
      <c r="H2082" s="550">
        <v>0</v>
      </c>
      <c r="I2082" s="550">
        <v>0</v>
      </c>
      <c r="J2082" s="550">
        <v>207</v>
      </c>
      <c r="K2082" s="550">
        <v>0</v>
      </c>
      <c r="L2082" s="550">
        <v>0</v>
      </c>
      <c r="M2082" s="550">
        <v>0</v>
      </c>
      <c r="N2082" s="550">
        <v>231</v>
      </c>
      <c r="O2082" s="550">
        <v>12</v>
      </c>
      <c r="P2082" s="550">
        <v>270</v>
      </c>
      <c r="Q2082" s="550">
        <v>16</v>
      </c>
      <c r="R2082" s="574" t="s">
        <v>652</v>
      </c>
      <c r="S2082" s="552"/>
      <c r="T2082" s="552"/>
      <c r="U2082" s="552"/>
      <c r="V2082" s="552"/>
      <c r="W2082" s="552"/>
      <c r="X2082" s="552"/>
      <c r="Y2082" s="552"/>
      <c r="Z2082" s="552"/>
      <c r="AA2082" s="553"/>
      <c r="AB2082" s="553"/>
    </row>
    <row r="2083" spans="1:28" ht="12.75">
      <c r="A2083" s="547" t="s">
        <v>652</v>
      </c>
      <c r="B2083" s="547" t="s">
        <v>187</v>
      </c>
      <c r="C2083" s="548" t="s">
        <v>774</v>
      </c>
      <c r="D2083" s="549">
        <v>2018</v>
      </c>
      <c r="E2083" s="549" t="s">
        <v>775</v>
      </c>
      <c r="F2083" s="550">
        <v>356</v>
      </c>
      <c r="G2083" s="550">
        <v>19</v>
      </c>
      <c r="H2083" s="550">
        <v>18</v>
      </c>
      <c r="I2083" s="550">
        <v>1</v>
      </c>
      <c r="J2083" s="550">
        <v>207</v>
      </c>
      <c r="K2083" s="550">
        <v>0</v>
      </c>
      <c r="L2083" s="550">
        <v>0</v>
      </c>
      <c r="M2083" s="550">
        <v>0</v>
      </c>
      <c r="N2083" s="550">
        <v>231</v>
      </c>
      <c r="O2083" s="550">
        <v>15</v>
      </c>
      <c r="P2083" s="550">
        <v>270</v>
      </c>
      <c r="Q2083" s="550">
        <v>2</v>
      </c>
      <c r="R2083" s="574" t="s">
        <v>652</v>
      </c>
      <c r="S2083" s="552"/>
      <c r="T2083" s="552"/>
      <c r="U2083" s="552"/>
      <c r="V2083" s="552"/>
      <c r="W2083" s="552"/>
      <c r="X2083" s="552"/>
      <c r="Y2083" s="552"/>
      <c r="Z2083" s="552"/>
      <c r="AA2083" s="553"/>
      <c r="AB2083" s="553"/>
    </row>
    <row r="2084" spans="1:28" ht="12.75">
      <c r="A2084" s="547" t="s">
        <v>652</v>
      </c>
      <c r="B2084" s="547" t="s">
        <v>187</v>
      </c>
      <c r="C2084" s="548" t="s">
        <v>782</v>
      </c>
      <c r="D2084" s="549">
        <v>2019</v>
      </c>
      <c r="E2084" s="549" t="s">
        <v>775</v>
      </c>
      <c r="F2084" s="550">
        <v>356</v>
      </c>
      <c r="G2084" s="550">
        <v>0</v>
      </c>
      <c r="H2084" s="550">
        <v>0</v>
      </c>
      <c r="I2084" s="550">
        <v>0</v>
      </c>
      <c r="J2084" s="550">
        <v>207</v>
      </c>
      <c r="K2084" s="550">
        <v>0</v>
      </c>
      <c r="L2084" s="550">
        <v>0</v>
      </c>
      <c r="M2084" s="550">
        <v>0</v>
      </c>
      <c r="N2084" s="550">
        <v>231</v>
      </c>
      <c r="O2084" s="550">
        <v>15</v>
      </c>
      <c r="P2084" s="550">
        <v>270</v>
      </c>
      <c r="Q2084" s="550">
        <v>24</v>
      </c>
      <c r="R2084" s="574" t="s">
        <v>652</v>
      </c>
      <c r="S2084" s="255">
        <f>SUM(G2080:G2084) +SUM(K2080:K2084)</f>
        <v>19</v>
      </c>
      <c r="T2084" s="255">
        <f>F2084+J2084</f>
        <v>563</v>
      </c>
      <c r="U2084" s="255">
        <f>SUM(O2080:O2084)</f>
        <v>74</v>
      </c>
      <c r="V2084" s="255">
        <f>N2084</f>
        <v>231</v>
      </c>
      <c r="W2084" s="83">
        <f>SUM(Q2080:Q2084)</f>
        <v>215</v>
      </c>
      <c r="X2084" s="255">
        <f>P2084</f>
        <v>270</v>
      </c>
      <c r="Y2084" s="255">
        <f>S2084+U2084+SUM(Q2080:Q2084)</f>
        <v>308</v>
      </c>
      <c r="Z2084" s="255">
        <f>F2084+J2084+N2084+P2084</f>
        <v>1064</v>
      </c>
      <c r="AA2084" s="553"/>
      <c r="AB2084" s="553"/>
    </row>
    <row r="2085" spans="1:28" ht="12.75">
      <c r="A2085" s="547" t="s">
        <v>653</v>
      </c>
      <c r="B2085" s="547" t="s">
        <v>187</v>
      </c>
      <c r="C2085" s="548" t="s">
        <v>774</v>
      </c>
      <c r="D2085" s="549">
        <v>2015</v>
      </c>
      <c r="E2085" s="549" t="s">
        <v>775</v>
      </c>
      <c r="F2085" s="550">
        <v>236</v>
      </c>
      <c r="G2085" s="550">
        <v>26</v>
      </c>
      <c r="H2085" s="550">
        <v>26</v>
      </c>
      <c r="I2085" s="550">
        <v>0</v>
      </c>
      <c r="J2085" s="550">
        <v>160</v>
      </c>
      <c r="K2085" s="550">
        <v>247</v>
      </c>
      <c r="L2085" s="550">
        <v>247</v>
      </c>
      <c r="M2085" s="550">
        <v>0</v>
      </c>
      <c r="N2085" s="550">
        <v>217</v>
      </c>
      <c r="O2085" s="550">
        <v>14</v>
      </c>
      <c r="P2085" s="550">
        <v>475</v>
      </c>
      <c r="Q2085" s="550">
        <v>406</v>
      </c>
      <c r="R2085" s="574" t="s">
        <v>653</v>
      </c>
      <c r="S2085" s="552"/>
      <c r="T2085" s="552"/>
      <c r="U2085" s="552"/>
      <c r="V2085" s="552"/>
      <c r="W2085" s="552"/>
      <c r="X2085" s="552"/>
      <c r="Y2085" s="552"/>
      <c r="Z2085" s="552"/>
      <c r="AA2085" s="553"/>
      <c r="AB2085" s="553"/>
    </row>
    <row r="2086" spans="1:28" ht="12.75">
      <c r="A2086" s="547" t="s">
        <v>653</v>
      </c>
      <c r="B2086" s="547" t="s">
        <v>187</v>
      </c>
      <c r="C2086" s="548" t="s">
        <v>774</v>
      </c>
      <c r="D2086" s="549">
        <v>2016</v>
      </c>
      <c r="E2086" s="549" t="s">
        <v>775</v>
      </c>
      <c r="F2086" s="550">
        <v>236</v>
      </c>
      <c r="G2086" s="550">
        <v>0</v>
      </c>
      <c r="H2086" s="550">
        <v>0</v>
      </c>
      <c r="I2086" s="550">
        <v>0</v>
      </c>
      <c r="J2086" s="550">
        <v>160</v>
      </c>
      <c r="K2086" s="550">
        <v>0</v>
      </c>
      <c r="L2086" s="550">
        <v>0</v>
      </c>
      <c r="M2086" s="550">
        <v>0</v>
      </c>
      <c r="N2086" s="550">
        <v>217</v>
      </c>
      <c r="O2086" s="550">
        <v>0</v>
      </c>
      <c r="P2086" s="550">
        <v>475</v>
      </c>
      <c r="Q2086" s="550">
        <v>321</v>
      </c>
      <c r="R2086" s="574" t="s">
        <v>653</v>
      </c>
      <c r="S2086" s="552"/>
      <c r="T2086" s="552"/>
      <c r="U2086" s="552"/>
      <c r="V2086" s="552"/>
      <c r="W2086" s="552"/>
      <c r="X2086" s="552"/>
      <c r="Y2086" s="552"/>
      <c r="Z2086" s="552"/>
      <c r="AA2086" s="553"/>
      <c r="AB2086" s="553"/>
    </row>
    <row r="2087" spans="1:28" ht="12.75">
      <c r="A2087" s="547" t="s">
        <v>653</v>
      </c>
      <c r="B2087" s="547" t="s">
        <v>187</v>
      </c>
      <c r="C2087" s="548" t="s">
        <v>774</v>
      </c>
      <c r="D2087" s="549">
        <v>2017</v>
      </c>
      <c r="E2087" s="549" t="s">
        <v>775</v>
      </c>
      <c r="F2087" s="550">
        <v>236</v>
      </c>
      <c r="G2087" s="550">
        <v>0</v>
      </c>
      <c r="H2087" s="550">
        <v>0</v>
      </c>
      <c r="I2087" s="550">
        <v>0</v>
      </c>
      <c r="J2087" s="550">
        <v>160</v>
      </c>
      <c r="K2087" s="550">
        <v>202</v>
      </c>
      <c r="L2087" s="550">
        <v>202</v>
      </c>
      <c r="M2087" s="550">
        <v>0</v>
      </c>
      <c r="N2087" s="550">
        <v>217</v>
      </c>
      <c r="O2087" s="550">
        <v>0</v>
      </c>
      <c r="P2087" s="550">
        <v>475</v>
      </c>
      <c r="Q2087" s="550">
        <v>243</v>
      </c>
      <c r="R2087" s="574" t="s">
        <v>653</v>
      </c>
      <c r="S2087" s="552"/>
      <c r="T2087" s="552"/>
      <c r="U2087" s="552"/>
      <c r="V2087" s="552"/>
      <c r="W2087" s="552"/>
      <c r="X2087" s="552"/>
      <c r="Y2087" s="552"/>
      <c r="Z2087" s="552"/>
      <c r="AA2087" s="553"/>
      <c r="AB2087" s="553"/>
    </row>
    <row r="2088" spans="1:28" ht="12.75">
      <c r="A2088" s="547" t="s">
        <v>653</v>
      </c>
      <c r="B2088" s="547" t="s">
        <v>187</v>
      </c>
      <c r="C2088" s="548" t="s">
        <v>774</v>
      </c>
      <c r="D2088" s="549">
        <v>2018</v>
      </c>
      <c r="E2088" s="549" t="s">
        <v>775</v>
      </c>
      <c r="F2088" s="550">
        <v>236</v>
      </c>
      <c r="G2088" s="550">
        <v>37</v>
      </c>
      <c r="H2088" s="550">
        <v>37</v>
      </c>
      <c r="I2088" s="550">
        <v>0</v>
      </c>
      <c r="J2088" s="550">
        <v>160</v>
      </c>
      <c r="K2088" s="550">
        <v>38</v>
      </c>
      <c r="L2088" s="550">
        <v>38</v>
      </c>
      <c r="M2088" s="550">
        <v>0</v>
      </c>
      <c r="N2088" s="550">
        <v>217</v>
      </c>
      <c r="O2088" s="550">
        <v>0</v>
      </c>
      <c r="P2088" s="550">
        <v>475</v>
      </c>
      <c r="Q2088" s="550">
        <v>1</v>
      </c>
      <c r="R2088" s="574" t="s">
        <v>653</v>
      </c>
      <c r="S2088" s="552"/>
      <c r="T2088" s="552"/>
      <c r="U2088" s="552"/>
      <c r="V2088" s="552"/>
      <c r="W2088" s="552"/>
      <c r="X2088" s="552"/>
      <c r="Y2088" s="552"/>
      <c r="Z2088" s="552"/>
      <c r="AA2088" s="553"/>
      <c r="AB2088" s="553"/>
    </row>
    <row r="2089" spans="1:28" ht="12.75">
      <c r="A2089" s="547" t="s">
        <v>653</v>
      </c>
      <c r="B2089" s="547" t="s">
        <v>187</v>
      </c>
      <c r="C2089" s="548" t="s">
        <v>782</v>
      </c>
      <c r="D2089" s="549">
        <v>2019</v>
      </c>
      <c r="E2089" s="549" t="s">
        <v>775</v>
      </c>
      <c r="F2089" s="550">
        <v>236</v>
      </c>
      <c r="G2089" s="550">
        <v>0</v>
      </c>
      <c r="H2089" s="550">
        <v>0</v>
      </c>
      <c r="I2089" s="550">
        <v>0</v>
      </c>
      <c r="J2089" s="550">
        <v>160</v>
      </c>
      <c r="K2089" s="550">
        <v>0</v>
      </c>
      <c r="L2089" s="550">
        <v>0</v>
      </c>
      <c r="M2089" s="550">
        <v>0</v>
      </c>
      <c r="N2089" s="550">
        <v>217</v>
      </c>
      <c r="O2089" s="550">
        <v>10</v>
      </c>
      <c r="P2089" s="550">
        <v>475</v>
      </c>
      <c r="Q2089" s="550">
        <v>153</v>
      </c>
      <c r="R2089" s="574" t="s">
        <v>653</v>
      </c>
      <c r="S2089" s="255">
        <f>SUM(G2085:G2089) +SUM(K2085:K2089)</f>
        <v>550</v>
      </c>
      <c r="T2089" s="255">
        <f>F2089+J2089</f>
        <v>396</v>
      </c>
      <c r="U2089" s="255">
        <f>SUM(O2085:O2089)</f>
        <v>24</v>
      </c>
      <c r="V2089" s="255">
        <f>N2089</f>
        <v>217</v>
      </c>
      <c r="W2089" s="83">
        <f>SUM(Q2085:Q2089)</f>
        <v>1124</v>
      </c>
      <c r="X2089" s="255">
        <f>P2089</f>
        <v>475</v>
      </c>
      <c r="Y2089" s="255">
        <f>S2089+U2089+SUM(Q2085:Q2089)</f>
        <v>1698</v>
      </c>
      <c r="Z2089" s="255">
        <f>F2089+J2089+N2089+P2089</f>
        <v>1088</v>
      </c>
      <c r="AA2089" s="553"/>
      <c r="AB2089" s="553"/>
    </row>
    <row r="2090" spans="1:28" ht="12.75">
      <c r="A2090" s="547" t="s">
        <v>654</v>
      </c>
      <c r="B2090" s="547" t="s">
        <v>187</v>
      </c>
      <c r="C2090" s="548" t="s">
        <v>774</v>
      </c>
      <c r="D2090" s="549">
        <v>2015</v>
      </c>
      <c r="E2090" s="549" t="s">
        <v>775</v>
      </c>
      <c r="F2090" s="550">
        <v>169</v>
      </c>
      <c r="G2090" s="550">
        <v>1</v>
      </c>
      <c r="H2090" s="550">
        <v>1</v>
      </c>
      <c r="I2090" s="550">
        <v>0</v>
      </c>
      <c r="J2090" s="550">
        <v>99</v>
      </c>
      <c r="K2090" s="550">
        <v>17</v>
      </c>
      <c r="L2090" s="550">
        <v>17</v>
      </c>
      <c r="M2090" s="550">
        <v>0</v>
      </c>
      <c r="N2090" s="550">
        <v>112</v>
      </c>
      <c r="O2090" s="550">
        <v>1</v>
      </c>
      <c r="P2090" s="550">
        <v>97</v>
      </c>
      <c r="Q2090" s="550">
        <v>267</v>
      </c>
      <c r="R2090" s="574" t="s">
        <v>654</v>
      </c>
      <c r="S2090" s="552"/>
      <c r="T2090" s="552"/>
      <c r="U2090" s="552"/>
      <c r="V2090" s="552"/>
      <c r="W2090" s="552"/>
      <c r="X2090" s="552"/>
      <c r="Y2090" s="552"/>
      <c r="Z2090" s="552"/>
      <c r="AA2090" s="553"/>
      <c r="AB2090" s="553"/>
    </row>
    <row r="2091" spans="1:28" ht="12.75">
      <c r="A2091" s="547" t="s">
        <v>654</v>
      </c>
      <c r="B2091" s="547" t="s">
        <v>187</v>
      </c>
      <c r="C2091" s="548" t="s">
        <v>774</v>
      </c>
      <c r="D2091" s="549">
        <v>2016</v>
      </c>
      <c r="E2091" s="549" t="s">
        <v>775</v>
      </c>
      <c r="F2091" s="550">
        <v>169</v>
      </c>
      <c r="G2091" s="550">
        <v>1</v>
      </c>
      <c r="H2091" s="550">
        <v>1</v>
      </c>
      <c r="I2091" s="550">
        <v>0</v>
      </c>
      <c r="J2091" s="550">
        <v>99</v>
      </c>
      <c r="K2091" s="550">
        <v>1</v>
      </c>
      <c r="L2091" s="550">
        <v>1</v>
      </c>
      <c r="M2091" s="550">
        <v>0</v>
      </c>
      <c r="N2091" s="550">
        <v>112</v>
      </c>
      <c r="O2091" s="550">
        <v>0</v>
      </c>
      <c r="P2091" s="550">
        <v>97</v>
      </c>
      <c r="Q2091" s="550">
        <v>52</v>
      </c>
      <c r="R2091" s="574" t="s">
        <v>654</v>
      </c>
      <c r="S2091" s="552"/>
      <c r="T2091" s="552"/>
      <c r="U2091" s="552"/>
      <c r="V2091" s="552"/>
      <c r="W2091" s="552"/>
      <c r="X2091" s="552"/>
      <c r="Y2091" s="552"/>
      <c r="Z2091" s="552"/>
      <c r="AA2091" s="553"/>
      <c r="AB2091" s="553"/>
    </row>
    <row r="2092" spans="1:28" ht="12.75">
      <c r="A2092" s="547" t="s">
        <v>654</v>
      </c>
      <c r="B2092" s="547" t="s">
        <v>187</v>
      </c>
      <c r="C2092" s="548" t="s">
        <v>774</v>
      </c>
      <c r="D2092" s="549">
        <v>2017</v>
      </c>
      <c r="E2092" s="549" t="s">
        <v>775</v>
      </c>
      <c r="F2092" s="550">
        <v>169</v>
      </c>
      <c r="G2092" s="550">
        <v>0</v>
      </c>
      <c r="H2092" s="550">
        <v>0</v>
      </c>
      <c r="I2092" s="550">
        <v>0</v>
      </c>
      <c r="J2092" s="550">
        <v>99</v>
      </c>
      <c r="K2092" s="550">
        <v>0</v>
      </c>
      <c r="L2092" s="550">
        <v>0</v>
      </c>
      <c r="M2092" s="550">
        <v>0</v>
      </c>
      <c r="N2092" s="550">
        <v>112</v>
      </c>
      <c r="O2092" s="550">
        <v>0</v>
      </c>
      <c r="P2092" s="550">
        <v>97</v>
      </c>
      <c r="Q2092" s="550">
        <v>49</v>
      </c>
      <c r="R2092" s="574" t="s">
        <v>654</v>
      </c>
      <c r="S2092" s="552"/>
      <c r="T2092" s="552"/>
      <c r="U2092" s="552"/>
      <c r="V2092" s="552"/>
      <c r="W2092" s="552"/>
      <c r="X2092" s="552"/>
      <c r="Y2092" s="552"/>
      <c r="Z2092" s="552"/>
      <c r="AA2092" s="553"/>
      <c r="AB2092" s="553"/>
    </row>
    <row r="2093" spans="1:28" ht="12.75">
      <c r="A2093" s="547" t="s">
        <v>654</v>
      </c>
      <c r="B2093" s="547" t="s">
        <v>187</v>
      </c>
      <c r="C2093" s="548" t="s">
        <v>774</v>
      </c>
      <c r="D2093" s="549">
        <v>2018</v>
      </c>
      <c r="E2093" s="549" t="s">
        <v>775</v>
      </c>
      <c r="F2093" s="550">
        <v>169</v>
      </c>
      <c r="G2093" s="550">
        <v>0</v>
      </c>
      <c r="H2093" s="550">
        <v>0</v>
      </c>
      <c r="I2093" s="550">
        <v>0</v>
      </c>
      <c r="J2093" s="550">
        <v>99</v>
      </c>
      <c r="K2093" s="550">
        <v>10</v>
      </c>
      <c r="L2093" s="550">
        <v>2</v>
      </c>
      <c r="M2093" s="550">
        <v>8</v>
      </c>
      <c r="N2093" s="550">
        <v>112</v>
      </c>
      <c r="O2093" s="550">
        <v>1</v>
      </c>
      <c r="P2093" s="550">
        <v>97</v>
      </c>
      <c r="Q2093" s="550">
        <v>60</v>
      </c>
      <c r="R2093" s="574" t="s">
        <v>654</v>
      </c>
      <c r="S2093" s="552"/>
      <c r="T2093" s="552"/>
      <c r="U2093" s="552"/>
      <c r="V2093" s="552"/>
      <c r="W2093" s="552"/>
      <c r="X2093" s="552"/>
      <c r="Y2093" s="552"/>
      <c r="Z2093" s="552"/>
      <c r="AA2093" s="553"/>
      <c r="AB2093" s="553"/>
    </row>
    <row r="2094" spans="1:28" ht="12.75">
      <c r="A2094" s="547" t="s">
        <v>654</v>
      </c>
      <c r="B2094" s="547" t="s">
        <v>187</v>
      </c>
      <c r="C2094" s="548" t="s">
        <v>782</v>
      </c>
      <c r="D2094" s="549">
        <v>2019</v>
      </c>
      <c r="E2094" s="549" t="s">
        <v>775</v>
      </c>
      <c r="F2094" s="550">
        <v>169</v>
      </c>
      <c r="G2094" s="550">
        <v>0</v>
      </c>
      <c r="H2094" s="550">
        <v>0</v>
      </c>
      <c r="I2094" s="550">
        <v>0</v>
      </c>
      <c r="J2094" s="550">
        <v>99</v>
      </c>
      <c r="K2094" s="550">
        <v>0</v>
      </c>
      <c r="L2094" s="550">
        <v>0</v>
      </c>
      <c r="M2094" s="550">
        <v>0</v>
      </c>
      <c r="N2094" s="550">
        <v>112</v>
      </c>
      <c r="O2094" s="550">
        <v>0</v>
      </c>
      <c r="P2094" s="550">
        <v>97</v>
      </c>
      <c r="Q2094" s="550">
        <v>107</v>
      </c>
      <c r="R2094" s="574" t="s">
        <v>654</v>
      </c>
      <c r="S2094" s="255">
        <f>SUM(G2090:G2094) +SUM(K2090:K2094)</f>
        <v>30</v>
      </c>
      <c r="T2094" s="255">
        <f>F2094+J2094</f>
        <v>268</v>
      </c>
      <c r="U2094" s="255">
        <f>SUM(O2090:O2094)</f>
        <v>2</v>
      </c>
      <c r="V2094" s="255">
        <f>N2094</f>
        <v>112</v>
      </c>
      <c r="W2094" s="83">
        <f>SUM(Q2090:Q2094)</f>
        <v>535</v>
      </c>
      <c r="X2094" s="255">
        <f>P2094</f>
        <v>97</v>
      </c>
      <c r="Y2094" s="255">
        <f>S2094+U2094+SUM(Q2090:Q2094)</f>
        <v>567</v>
      </c>
      <c r="Z2094" s="255">
        <f>F2094+J2094+N2094+P2094</f>
        <v>477</v>
      </c>
      <c r="AA2094" s="553"/>
      <c r="AB2094" s="553"/>
    </row>
    <row r="2095" spans="1:28" ht="12.75">
      <c r="A2095" s="547" t="s">
        <v>655</v>
      </c>
      <c r="B2095" s="547" t="s">
        <v>187</v>
      </c>
      <c r="C2095" s="548" t="s">
        <v>774</v>
      </c>
      <c r="D2095" s="549">
        <v>2017</v>
      </c>
      <c r="E2095" s="549" t="s">
        <v>775</v>
      </c>
      <c r="F2095" s="550">
        <v>46</v>
      </c>
      <c r="G2095" s="550">
        <v>5</v>
      </c>
      <c r="H2095" s="550">
        <v>5</v>
      </c>
      <c r="I2095" s="550">
        <v>0</v>
      </c>
      <c r="J2095" s="550">
        <v>28</v>
      </c>
      <c r="K2095" s="550">
        <v>2</v>
      </c>
      <c r="L2095" s="550">
        <v>2</v>
      </c>
      <c r="M2095" s="550">
        <v>0</v>
      </c>
      <c r="N2095" s="550">
        <v>32</v>
      </c>
      <c r="O2095" s="550">
        <v>2</v>
      </c>
      <c r="P2095" s="550">
        <v>15</v>
      </c>
      <c r="Q2095" s="550">
        <v>4</v>
      </c>
      <c r="R2095" s="574" t="s">
        <v>655</v>
      </c>
      <c r="S2095" s="552"/>
      <c r="T2095" s="552"/>
      <c r="U2095" s="552"/>
      <c r="V2095" s="552"/>
      <c r="W2095" s="552"/>
      <c r="X2095" s="552"/>
      <c r="Y2095" s="552"/>
      <c r="Z2095" s="552"/>
      <c r="AA2095" s="553"/>
      <c r="AB2095" s="553"/>
    </row>
    <row r="2096" spans="1:28" ht="12.75">
      <c r="A2096" s="547" t="s">
        <v>655</v>
      </c>
      <c r="B2096" s="547" t="s">
        <v>187</v>
      </c>
      <c r="C2096" s="548" t="s">
        <v>774</v>
      </c>
      <c r="D2096" s="549">
        <v>2018</v>
      </c>
      <c r="E2096" s="549" t="s">
        <v>775</v>
      </c>
      <c r="F2096" s="550">
        <v>46</v>
      </c>
      <c r="G2096" s="550">
        <v>3</v>
      </c>
      <c r="H2096" s="550">
        <v>0</v>
      </c>
      <c r="I2096" s="550">
        <v>3</v>
      </c>
      <c r="J2096" s="550">
        <v>28</v>
      </c>
      <c r="K2096" s="550">
        <v>1</v>
      </c>
      <c r="L2096" s="550">
        <v>0</v>
      </c>
      <c r="M2096" s="550">
        <v>1</v>
      </c>
      <c r="N2096" s="550">
        <v>32</v>
      </c>
      <c r="O2096" s="550">
        <v>1</v>
      </c>
      <c r="P2096" s="550">
        <v>15</v>
      </c>
      <c r="Q2096" s="550">
        <v>23</v>
      </c>
      <c r="R2096" s="574" t="s">
        <v>655</v>
      </c>
      <c r="S2096" s="552"/>
      <c r="T2096" s="552"/>
      <c r="U2096" s="552"/>
      <c r="V2096" s="552"/>
      <c r="W2096" s="552"/>
      <c r="X2096" s="552"/>
      <c r="Y2096" s="552"/>
      <c r="Z2096" s="552"/>
      <c r="AA2096" s="553"/>
      <c r="AB2096" s="553"/>
    </row>
    <row r="2097" spans="1:28" ht="12.75">
      <c r="A2097" s="547" t="s">
        <v>655</v>
      </c>
      <c r="B2097" s="547" t="s">
        <v>187</v>
      </c>
      <c r="C2097" s="548" t="s">
        <v>782</v>
      </c>
      <c r="D2097" s="549">
        <v>2019</v>
      </c>
      <c r="E2097" s="549" t="s">
        <v>775</v>
      </c>
      <c r="F2097" s="550">
        <v>46</v>
      </c>
      <c r="G2097" s="550">
        <v>5</v>
      </c>
      <c r="H2097" s="550">
        <v>0</v>
      </c>
      <c r="I2097" s="550">
        <v>5</v>
      </c>
      <c r="J2097" s="550">
        <v>28</v>
      </c>
      <c r="K2097" s="550">
        <v>2</v>
      </c>
      <c r="L2097" s="550">
        <v>0</v>
      </c>
      <c r="M2097" s="550">
        <v>2</v>
      </c>
      <c r="N2097" s="550">
        <v>32</v>
      </c>
      <c r="O2097" s="550">
        <v>1</v>
      </c>
      <c r="P2097" s="550">
        <v>15</v>
      </c>
      <c r="Q2097" s="550">
        <v>11</v>
      </c>
      <c r="R2097" s="574" t="s">
        <v>655</v>
      </c>
      <c r="S2097" s="255">
        <f>SUM(G2095:G2097) +SUM(K2095:K2097)</f>
        <v>18</v>
      </c>
      <c r="T2097" s="255">
        <f>F2097+J2097</f>
        <v>74</v>
      </c>
      <c r="U2097" s="255">
        <f>SUM(O2095:O2097)</f>
        <v>4</v>
      </c>
      <c r="V2097" s="255">
        <f>N2097</f>
        <v>32</v>
      </c>
      <c r="W2097" s="83">
        <f>SUM(Q2095:Q2097)</f>
        <v>38</v>
      </c>
      <c r="X2097" s="255">
        <f>P2097</f>
        <v>15</v>
      </c>
      <c r="Y2097" s="255">
        <f>S2097+U2097+SUM(Q2095:Q2097)</f>
        <v>60</v>
      </c>
      <c r="Z2097" s="255">
        <f>F2097+J2097+N2097+P2097</f>
        <v>121</v>
      </c>
      <c r="AA2097" s="553"/>
      <c r="AB2097" s="553"/>
    </row>
    <row r="2098" spans="1:28" ht="12.75">
      <c r="A2098" s="547" t="s">
        <v>656</v>
      </c>
      <c r="B2098" s="547" t="s">
        <v>187</v>
      </c>
      <c r="C2098" s="548" t="s">
        <v>774</v>
      </c>
      <c r="D2098" s="549">
        <v>2014</v>
      </c>
      <c r="E2098" s="549" t="s">
        <v>775</v>
      </c>
      <c r="F2098" s="550">
        <v>201</v>
      </c>
      <c r="G2098" s="550">
        <v>0</v>
      </c>
      <c r="H2098" s="550">
        <v>0</v>
      </c>
      <c r="I2098" s="550">
        <v>0</v>
      </c>
      <c r="J2098" s="550">
        <v>112</v>
      </c>
      <c r="K2098" s="550">
        <v>0</v>
      </c>
      <c r="L2098" s="550">
        <v>0</v>
      </c>
      <c r="M2098" s="550">
        <v>0</v>
      </c>
      <c r="N2098" s="550">
        <v>132</v>
      </c>
      <c r="O2098" s="550">
        <v>0</v>
      </c>
      <c r="P2098" s="550">
        <v>174</v>
      </c>
      <c r="Q2098" s="550">
        <v>9</v>
      </c>
      <c r="R2098" s="574" t="s">
        <v>656</v>
      </c>
      <c r="S2098" s="552"/>
      <c r="T2098" s="552"/>
      <c r="U2098" s="552"/>
      <c r="V2098" s="552"/>
      <c r="W2098" s="552"/>
      <c r="X2098" s="552"/>
      <c r="Y2098" s="552"/>
      <c r="Z2098" s="552"/>
      <c r="AA2098" s="553"/>
      <c r="AB2098" s="553"/>
    </row>
    <row r="2099" spans="1:28" ht="12.75">
      <c r="A2099" s="547" t="s">
        <v>656</v>
      </c>
      <c r="B2099" s="547" t="s">
        <v>187</v>
      </c>
      <c r="C2099" s="548" t="s">
        <v>774</v>
      </c>
      <c r="D2099" s="549">
        <v>2015</v>
      </c>
      <c r="E2099" s="549" t="s">
        <v>775</v>
      </c>
      <c r="F2099" s="550">
        <v>201</v>
      </c>
      <c r="G2099" s="550">
        <v>0</v>
      </c>
      <c r="H2099" s="550">
        <v>0</v>
      </c>
      <c r="I2099" s="550">
        <v>0</v>
      </c>
      <c r="J2099" s="550">
        <v>112</v>
      </c>
      <c r="K2099" s="550">
        <v>0</v>
      </c>
      <c r="L2099" s="550">
        <v>0</v>
      </c>
      <c r="M2099" s="550">
        <v>0</v>
      </c>
      <c r="N2099" s="550">
        <v>132</v>
      </c>
      <c r="O2099" s="550">
        <v>2</v>
      </c>
      <c r="P2099" s="550">
        <v>174</v>
      </c>
      <c r="Q2099" s="550">
        <v>13</v>
      </c>
      <c r="R2099" s="574" t="s">
        <v>656</v>
      </c>
      <c r="S2099" s="552"/>
      <c r="T2099" s="552"/>
      <c r="U2099" s="552"/>
      <c r="V2099" s="552"/>
      <c r="W2099" s="552"/>
      <c r="X2099" s="552"/>
      <c r="Y2099" s="552"/>
      <c r="Z2099" s="552"/>
      <c r="AA2099" s="553"/>
      <c r="AB2099" s="553"/>
    </row>
    <row r="2100" spans="1:28" ht="12.75">
      <c r="A2100" s="547" t="s">
        <v>656</v>
      </c>
      <c r="B2100" s="547" t="s">
        <v>187</v>
      </c>
      <c r="C2100" s="548" t="s">
        <v>774</v>
      </c>
      <c r="D2100" s="549">
        <v>2016</v>
      </c>
      <c r="E2100" s="549" t="s">
        <v>775</v>
      </c>
      <c r="F2100" s="550">
        <v>201</v>
      </c>
      <c r="G2100" s="550">
        <v>0</v>
      </c>
      <c r="H2100" s="550">
        <v>0</v>
      </c>
      <c r="I2100" s="550">
        <v>0</v>
      </c>
      <c r="J2100" s="550">
        <v>112</v>
      </c>
      <c r="K2100" s="550">
        <v>2</v>
      </c>
      <c r="L2100" s="550">
        <v>2</v>
      </c>
      <c r="M2100" s="550">
        <v>0</v>
      </c>
      <c r="N2100" s="550">
        <v>132</v>
      </c>
      <c r="O2100" s="550">
        <v>3</v>
      </c>
      <c r="P2100" s="550">
        <v>174</v>
      </c>
      <c r="Q2100" s="550">
        <v>38</v>
      </c>
      <c r="R2100" s="574" t="s">
        <v>656</v>
      </c>
      <c r="S2100" s="552"/>
      <c r="T2100" s="552"/>
      <c r="U2100" s="552"/>
      <c r="V2100" s="552"/>
      <c r="W2100" s="552"/>
      <c r="X2100" s="552"/>
      <c r="Y2100" s="552"/>
      <c r="Z2100" s="552"/>
      <c r="AA2100" s="553"/>
      <c r="AB2100" s="553"/>
    </row>
    <row r="2101" spans="1:28" ht="12.75">
      <c r="A2101" s="547" t="s">
        <v>656</v>
      </c>
      <c r="B2101" s="547" t="s">
        <v>187</v>
      </c>
      <c r="C2101" s="548" t="s">
        <v>774</v>
      </c>
      <c r="D2101" s="549">
        <v>2017</v>
      </c>
      <c r="E2101" s="549" t="s">
        <v>775</v>
      </c>
      <c r="F2101" s="550">
        <v>201</v>
      </c>
      <c r="G2101" s="550">
        <v>0</v>
      </c>
      <c r="H2101" s="550">
        <v>0</v>
      </c>
      <c r="I2101" s="550">
        <v>0</v>
      </c>
      <c r="J2101" s="550">
        <v>112</v>
      </c>
      <c r="K2101" s="550">
        <v>0</v>
      </c>
      <c r="L2101" s="550">
        <v>0</v>
      </c>
      <c r="M2101" s="550">
        <v>0</v>
      </c>
      <c r="N2101" s="550">
        <v>132</v>
      </c>
      <c r="O2101" s="550">
        <v>4</v>
      </c>
      <c r="P2101" s="550">
        <v>174</v>
      </c>
      <c r="Q2101" s="550">
        <v>9</v>
      </c>
      <c r="R2101" s="574" t="s">
        <v>656</v>
      </c>
      <c r="S2101" s="552"/>
      <c r="T2101" s="552"/>
      <c r="U2101" s="552"/>
      <c r="V2101" s="552"/>
      <c r="W2101" s="552"/>
      <c r="X2101" s="552"/>
      <c r="Y2101" s="552"/>
      <c r="Z2101" s="552"/>
      <c r="AA2101" s="553"/>
      <c r="AB2101" s="553"/>
    </row>
    <row r="2102" spans="1:28" ht="12.75">
      <c r="A2102" s="547" t="s">
        <v>656</v>
      </c>
      <c r="B2102" s="547" t="s">
        <v>187</v>
      </c>
      <c r="C2102" s="548" t="s">
        <v>774</v>
      </c>
      <c r="D2102" s="549">
        <v>2018</v>
      </c>
      <c r="E2102" s="549" t="s">
        <v>775</v>
      </c>
      <c r="F2102" s="550">
        <v>201</v>
      </c>
      <c r="G2102" s="550">
        <v>0</v>
      </c>
      <c r="H2102" s="550">
        <v>0</v>
      </c>
      <c r="I2102" s="550">
        <v>0</v>
      </c>
      <c r="J2102" s="550">
        <v>112</v>
      </c>
      <c r="K2102" s="550">
        <v>0</v>
      </c>
      <c r="L2102" s="550">
        <v>0</v>
      </c>
      <c r="M2102" s="550">
        <v>0</v>
      </c>
      <c r="N2102" s="550">
        <v>132</v>
      </c>
      <c r="O2102" s="550">
        <v>16</v>
      </c>
      <c r="P2102" s="550">
        <v>174</v>
      </c>
      <c r="Q2102" s="550">
        <v>7</v>
      </c>
      <c r="R2102" s="574" t="s">
        <v>656</v>
      </c>
      <c r="S2102" s="552"/>
      <c r="T2102" s="552"/>
      <c r="U2102" s="552"/>
      <c r="V2102" s="552"/>
      <c r="W2102" s="552"/>
      <c r="X2102" s="552"/>
      <c r="Y2102" s="552"/>
      <c r="Z2102" s="552"/>
      <c r="AA2102" s="553"/>
      <c r="AB2102" s="553"/>
    </row>
    <row r="2103" spans="1:28" ht="12.75">
      <c r="A2103" s="547" t="s">
        <v>656</v>
      </c>
      <c r="B2103" s="547" t="s">
        <v>187</v>
      </c>
      <c r="C2103" s="548" t="s">
        <v>782</v>
      </c>
      <c r="D2103" s="549">
        <v>2019</v>
      </c>
      <c r="E2103" s="549" t="s">
        <v>775</v>
      </c>
      <c r="F2103" s="550">
        <v>201</v>
      </c>
      <c r="G2103" s="550">
        <v>0</v>
      </c>
      <c r="H2103" s="550">
        <v>0</v>
      </c>
      <c r="I2103" s="550">
        <v>0</v>
      </c>
      <c r="J2103" s="550">
        <v>112</v>
      </c>
      <c r="K2103" s="550">
        <v>0</v>
      </c>
      <c r="L2103" s="550">
        <v>0</v>
      </c>
      <c r="M2103" s="550">
        <v>0</v>
      </c>
      <c r="N2103" s="550">
        <v>132</v>
      </c>
      <c r="O2103" s="550">
        <v>28</v>
      </c>
      <c r="P2103" s="550">
        <v>174</v>
      </c>
      <c r="Q2103" s="550">
        <v>3</v>
      </c>
      <c r="R2103" s="574" t="s">
        <v>656</v>
      </c>
      <c r="S2103" s="552">
        <f>SUM(G2098:G2103) +SUM(K2098:K2103)</f>
        <v>2</v>
      </c>
      <c r="T2103" s="552">
        <f>F2103+J2103</f>
        <v>313</v>
      </c>
      <c r="U2103" s="552">
        <f>SUM(O2098:O2103)</f>
        <v>53</v>
      </c>
      <c r="V2103" s="552">
        <f>N2103</f>
        <v>132</v>
      </c>
      <c r="W2103" s="554">
        <f>SUM(Q2098:Q2103)</f>
        <v>79</v>
      </c>
      <c r="X2103" s="552">
        <f>P2103</f>
        <v>174</v>
      </c>
      <c r="Y2103" s="552">
        <f>S2103+U2103+SUM(Q2098:Q2103)</f>
        <v>134</v>
      </c>
      <c r="Z2103" s="552">
        <f>F2103+J2103+N2103+P2103</f>
        <v>619</v>
      </c>
      <c r="AA2103" s="553"/>
      <c r="AB2103" s="553"/>
    </row>
    <row r="2104" spans="1:28" ht="12.75">
      <c r="A2104" s="547" t="s">
        <v>657</v>
      </c>
      <c r="B2104" s="547" t="s">
        <v>187</v>
      </c>
      <c r="C2104" s="548" t="s">
        <v>774</v>
      </c>
      <c r="D2104" s="549">
        <v>2014</v>
      </c>
      <c r="E2104" s="549" t="s">
        <v>775</v>
      </c>
      <c r="F2104" s="550">
        <v>1004</v>
      </c>
      <c r="G2104" s="550">
        <v>0</v>
      </c>
      <c r="H2104" s="550">
        <v>0</v>
      </c>
      <c r="I2104" s="550">
        <v>0</v>
      </c>
      <c r="J2104" s="550">
        <v>570</v>
      </c>
      <c r="K2104" s="550">
        <v>0</v>
      </c>
      <c r="L2104" s="550">
        <v>0</v>
      </c>
      <c r="M2104" s="550">
        <v>0</v>
      </c>
      <c r="N2104" s="550">
        <v>565</v>
      </c>
      <c r="O2104" s="550">
        <v>0</v>
      </c>
      <c r="P2104" s="550">
        <v>1151</v>
      </c>
      <c r="Q2104" s="550">
        <v>841</v>
      </c>
      <c r="R2104" s="574" t="s">
        <v>657</v>
      </c>
      <c r="S2104" s="552"/>
      <c r="T2104" s="552"/>
      <c r="U2104" s="552"/>
      <c r="V2104" s="552"/>
      <c r="W2104" s="552"/>
      <c r="X2104" s="552"/>
      <c r="Y2104" s="552"/>
      <c r="Z2104" s="552"/>
      <c r="AA2104" s="553"/>
      <c r="AB2104" s="553"/>
    </row>
    <row r="2105" spans="1:28" ht="12.75">
      <c r="A2105" s="547" t="s">
        <v>657</v>
      </c>
      <c r="B2105" s="547" t="s">
        <v>187</v>
      </c>
      <c r="C2105" s="548" t="s">
        <v>774</v>
      </c>
      <c r="D2105" s="549">
        <v>2015</v>
      </c>
      <c r="E2105" s="549" t="s">
        <v>775</v>
      </c>
      <c r="F2105" s="550">
        <v>1004</v>
      </c>
      <c r="G2105" s="550">
        <v>0</v>
      </c>
      <c r="H2105" s="550">
        <v>0</v>
      </c>
      <c r="I2105" s="550">
        <v>0</v>
      </c>
      <c r="J2105" s="550">
        <v>570</v>
      </c>
      <c r="K2105" s="550">
        <v>0</v>
      </c>
      <c r="L2105" s="550">
        <v>0</v>
      </c>
      <c r="M2105" s="550">
        <v>0</v>
      </c>
      <c r="N2105" s="550">
        <v>565</v>
      </c>
      <c r="O2105" s="550">
        <v>0</v>
      </c>
      <c r="P2105" s="550">
        <v>1151</v>
      </c>
      <c r="Q2105" s="550">
        <v>270</v>
      </c>
      <c r="R2105" s="574" t="s">
        <v>657</v>
      </c>
      <c r="S2105" s="552"/>
      <c r="T2105" s="552"/>
      <c r="U2105" s="552"/>
      <c r="V2105" s="552"/>
      <c r="W2105" s="552"/>
      <c r="X2105" s="552"/>
      <c r="Y2105" s="552"/>
      <c r="Z2105" s="552"/>
      <c r="AA2105" s="553"/>
      <c r="AB2105" s="553"/>
    </row>
    <row r="2106" spans="1:28" ht="12.75">
      <c r="A2106" s="547" t="s">
        <v>657</v>
      </c>
      <c r="B2106" s="547" t="s">
        <v>187</v>
      </c>
      <c r="C2106" s="548" t="s">
        <v>774</v>
      </c>
      <c r="D2106" s="549">
        <v>2016</v>
      </c>
      <c r="E2106" s="549" t="s">
        <v>775</v>
      </c>
      <c r="F2106" s="550">
        <v>1004</v>
      </c>
      <c r="G2106" s="550">
        <v>0</v>
      </c>
      <c r="H2106" s="550">
        <v>0</v>
      </c>
      <c r="I2106" s="550">
        <v>0</v>
      </c>
      <c r="J2106" s="550">
        <v>570</v>
      </c>
      <c r="K2106" s="550">
        <v>0</v>
      </c>
      <c r="L2106" s="550">
        <v>0</v>
      </c>
      <c r="M2106" s="550">
        <v>0</v>
      </c>
      <c r="N2106" s="550">
        <v>565</v>
      </c>
      <c r="O2106" s="550">
        <v>0</v>
      </c>
      <c r="P2106" s="550">
        <v>1151</v>
      </c>
      <c r="Q2106" s="550">
        <v>82</v>
      </c>
      <c r="R2106" s="574" t="s">
        <v>657</v>
      </c>
      <c r="S2106" s="552"/>
      <c r="T2106" s="552"/>
      <c r="U2106" s="552"/>
      <c r="V2106" s="552"/>
      <c r="W2106" s="552"/>
      <c r="X2106" s="552"/>
      <c r="Y2106" s="552"/>
      <c r="Z2106" s="552"/>
      <c r="AA2106" s="553"/>
      <c r="AB2106" s="553"/>
    </row>
    <row r="2107" spans="1:28" ht="12.75">
      <c r="A2107" s="547" t="s">
        <v>657</v>
      </c>
      <c r="B2107" s="547" t="s">
        <v>187</v>
      </c>
      <c r="C2107" s="548" t="s">
        <v>774</v>
      </c>
      <c r="D2107" s="549">
        <v>2017</v>
      </c>
      <c r="E2107" s="549" t="s">
        <v>775</v>
      </c>
      <c r="F2107" s="550">
        <v>1004</v>
      </c>
      <c r="G2107" s="550">
        <v>0</v>
      </c>
      <c r="H2107" s="550">
        <v>0</v>
      </c>
      <c r="I2107" s="550">
        <v>0</v>
      </c>
      <c r="J2107" s="550">
        <v>570</v>
      </c>
      <c r="K2107" s="550">
        <v>0</v>
      </c>
      <c r="L2107" s="550">
        <v>0</v>
      </c>
      <c r="M2107" s="550">
        <v>0</v>
      </c>
      <c r="N2107" s="550">
        <v>565</v>
      </c>
      <c r="O2107" s="550">
        <v>0</v>
      </c>
      <c r="P2107" s="550">
        <v>1151</v>
      </c>
      <c r="Q2107" s="550">
        <v>111</v>
      </c>
      <c r="R2107" s="574" t="s">
        <v>657</v>
      </c>
      <c r="S2107" s="552"/>
      <c r="T2107" s="552"/>
      <c r="U2107" s="552"/>
      <c r="V2107" s="552"/>
      <c r="W2107" s="552"/>
      <c r="X2107" s="552"/>
      <c r="Y2107" s="552"/>
      <c r="Z2107" s="552"/>
      <c r="AA2107" s="553"/>
      <c r="AB2107" s="553"/>
    </row>
    <row r="2108" spans="1:28" ht="12.75">
      <c r="A2108" s="547" t="s">
        <v>657</v>
      </c>
      <c r="B2108" s="547" t="s">
        <v>187</v>
      </c>
      <c r="C2108" s="548" t="s">
        <v>774</v>
      </c>
      <c r="D2108" s="549">
        <v>2018</v>
      </c>
      <c r="E2108" s="549" t="s">
        <v>775</v>
      </c>
      <c r="F2108" s="550">
        <v>1004</v>
      </c>
      <c r="G2108" s="550">
        <v>10</v>
      </c>
      <c r="H2108" s="550">
        <v>10</v>
      </c>
      <c r="I2108" s="550">
        <v>0</v>
      </c>
      <c r="J2108" s="550">
        <v>570</v>
      </c>
      <c r="K2108" s="550">
        <v>0</v>
      </c>
      <c r="L2108" s="550">
        <v>0</v>
      </c>
      <c r="M2108" s="550">
        <v>0</v>
      </c>
      <c r="N2108" s="550">
        <v>565</v>
      </c>
      <c r="O2108" s="550">
        <v>0</v>
      </c>
      <c r="P2108" s="550">
        <v>1151</v>
      </c>
      <c r="Q2108" s="550">
        <v>1776</v>
      </c>
      <c r="R2108" s="574" t="s">
        <v>657</v>
      </c>
      <c r="S2108" s="552"/>
      <c r="T2108" s="552"/>
      <c r="U2108" s="552"/>
      <c r="V2108" s="552"/>
      <c r="W2108" s="552"/>
      <c r="X2108" s="552"/>
      <c r="Y2108" s="552"/>
      <c r="Z2108" s="552"/>
      <c r="AA2108" s="553"/>
      <c r="AB2108" s="553"/>
    </row>
    <row r="2109" spans="1:28" ht="12.75">
      <c r="A2109" s="547" t="s">
        <v>657</v>
      </c>
      <c r="B2109" s="547" t="s">
        <v>187</v>
      </c>
      <c r="C2109" s="548" t="s">
        <v>782</v>
      </c>
      <c r="D2109" s="549">
        <v>2019</v>
      </c>
      <c r="E2109" s="549" t="s">
        <v>775</v>
      </c>
      <c r="F2109" s="550">
        <v>1004</v>
      </c>
      <c r="G2109" s="550">
        <v>0</v>
      </c>
      <c r="H2109" s="550">
        <v>0</v>
      </c>
      <c r="I2109" s="550">
        <v>0</v>
      </c>
      <c r="J2109" s="550">
        <v>570</v>
      </c>
      <c r="K2109" s="550">
        <v>0</v>
      </c>
      <c r="L2109" s="550">
        <v>0</v>
      </c>
      <c r="M2109" s="550">
        <v>0</v>
      </c>
      <c r="N2109" s="550">
        <v>565</v>
      </c>
      <c r="O2109" s="550">
        <v>0</v>
      </c>
      <c r="P2109" s="550">
        <v>1151</v>
      </c>
      <c r="Q2109" s="550">
        <v>141</v>
      </c>
      <c r="R2109" s="574" t="s">
        <v>657</v>
      </c>
      <c r="S2109" s="552">
        <f>SUM(G2104:G2109) +SUM(K2104:K2109)</f>
        <v>10</v>
      </c>
      <c r="T2109" s="552">
        <f>F2109+J2109</f>
        <v>1574</v>
      </c>
      <c r="U2109" s="552">
        <f>SUM(O2104:O2109)</f>
        <v>0</v>
      </c>
      <c r="V2109" s="552">
        <f>N2109</f>
        <v>565</v>
      </c>
      <c r="W2109" s="554">
        <f>SUM(Q2104:Q2109)</f>
        <v>3221</v>
      </c>
      <c r="X2109" s="552">
        <f>P2109</f>
        <v>1151</v>
      </c>
      <c r="Y2109" s="552">
        <f>S2109+U2109+SUM(Q2104:Q2109)</f>
        <v>3231</v>
      </c>
      <c r="Z2109" s="552">
        <f>F2109+J2109+N2109+P2109</f>
        <v>3290</v>
      </c>
      <c r="AA2109" s="553"/>
      <c r="AB2109" s="553"/>
    </row>
    <row r="2110" spans="1:28" ht="12.75">
      <c r="A2110" s="547" t="s">
        <v>658</v>
      </c>
      <c r="B2110" s="547" t="s">
        <v>187</v>
      </c>
      <c r="C2110" s="548" t="s">
        <v>774</v>
      </c>
      <c r="D2110" s="549">
        <v>2014</v>
      </c>
      <c r="E2110" s="549" t="s">
        <v>775</v>
      </c>
      <c r="F2110" s="550">
        <v>23</v>
      </c>
      <c r="G2110" s="550">
        <v>0</v>
      </c>
      <c r="H2110" s="550">
        <v>0</v>
      </c>
      <c r="I2110" s="550">
        <v>0</v>
      </c>
      <c r="J2110" s="550">
        <v>13</v>
      </c>
      <c r="K2110" s="550">
        <v>1</v>
      </c>
      <c r="L2110" s="550">
        <v>1</v>
      </c>
      <c r="M2110" s="550">
        <v>0</v>
      </c>
      <c r="N2110" s="550">
        <v>13</v>
      </c>
      <c r="O2110" s="550">
        <v>0</v>
      </c>
      <c r="P2110" s="550">
        <v>12</v>
      </c>
      <c r="Q2110" s="550">
        <v>4</v>
      </c>
      <c r="R2110" s="574" t="s">
        <v>658</v>
      </c>
      <c r="S2110" s="552"/>
      <c r="T2110" s="552"/>
      <c r="U2110" s="552"/>
      <c r="V2110" s="552"/>
      <c r="W2110" s="552"/>
      <c r="X2110" s="552"/>
      <c r="Y2110" s="552"/>
      <c r="Z2110" s="552"/>
      <c r="AA2110" s="553"/>
      <c r="AB2110" s="553"/>
    </row>
    <row r="2111" spans="1:28" ht="12.75">
      <c r="A2111" s="547" t="s">
        <v>658</v>
      </c>
      <c r="B2111" s="547" t="s">
        <v>187</v>
      </c>
      <c r="C2111" s="548" t="s">
        <v>774</v>
      </c>
      <c r="D2111" s="549">
        <v>2015</v>
      </c>
      <c r="E2111" s="549" t="s">
        <v>775</v>
      </c>
      <c r="F2111" s="550">
        <v>23</v>
      </c>
      <c r="G2111" s="550">
        <v>4</v>
      </c>
      <c r="H2111" s="550">
        <v>0</v>
      </c>
      <c r="I2111" s="550">
        <v>4</v>
      </c>
      <c r="J2111" s="550">
        <v>13</v>
      </c>
      <c r="K2111" s="550">
        <v>0</v>
      </c>
      <c r="L2111" s="550">
        <v>0</v>
      </c>
      <c r="M2111" s="550">
        <v>0</v>
      </c>
      <c r="N2111" s="550">
        <v>13</v>
      </c>
      <c r="O2111" s="550">
        <v>1</v>
      </c>
      <c r="P2111" s="550">
        <v>12</v>
      </c>
      <c r="Q2111" s="550">
        <v>2</v>
      </c>
      <c r="R2111" s="574" t="s">
        <v>658</v>
      </c>
      <c r="S2111" s="552"/>
      <c r="T2111" s="552"/>
      <c r="U2111" s="552"/>
      <c r="V2111" s="552"/>
      <c r="W2111" s="552"/>
      <c r="X2111" s="552"/>
      <c r="Y2111" s="552"/>
      <c r="Z2111" s="552"/>
      <c r="AA2111" s="553"/>
      <c r="AB2111" s="553"/>
    </row>
    <row r="2112" spans="1:28" ht="12.75">
      <c r="A2112" s="547" t="s">
        <v>658</v>
      </c>
      <c r="B2112" s="547" t="s">
        <v>187</v>
      </c>
      <c r="C2112" s="548" t="s">
        <v>774</v>
      </c>
      <c r="D2112" s="549">
        <v>2016</v>
      </c>
      <c r="E2112" s="549" t="s">
        <v>775</v>
      </c>
      <c r="F2112" s="550">
        <v>23</v>
      </c>
      <c r="G2112" s="550">
        <v>5</v>
      </c>
      <c r="H2112" s="550">
        <v>5</v>
      </c>
      <c r="I2112" s="550">
        <v>0</v>
      </c>
      <c r="J2112" s="550">
        <v>13</v>
      </c>
      <c r="K2112" s="550">
        <v>0</v>
      </c>
      <c r="L2112" s="550">
        <v>0</v>
      </c>
      <c r="M2112" s="550">
        <v>0</v>
      </c>
      <c r="N2112" s="550">
        <v>13</v>
      </c>
      <c r="O2112" s="550">
        <v>0</v>
      </c>
      <c r="P2112" s="550">
        <v>12</v>
      </c>
      <c r="Q2112" s="550">
        <v>8</v>
      </c>
      <c r="R2112" s="574" t="s">
        <v>658</v>
      </c>
      <c r="S2112" s="552"/>
      <c r="T2112" s="552"/>
      <c r="U2112" s="552"/>
      <c r="V2112" s="552"/>
      <c r="W2112" s="552"/>
      <c r="X2112" s="552"/>
      <c r="Y2112" s="552"/>
      <c r="Z2112" s="552"/>
      <c r="AA2112" s="553"/>
      <c r="AB2112" s="553"/>
    </row>
    <row r="2113" spans="1:28" ht="12.75">
      <c r="A2113" s="547" t="s">
        <v>658</v>
      </c>
      <c r="B2113" s="547" t="s">
        <v>187</v>
      </c>
      <c r="C2113" s="548" t="s">
        <v>774</v>
      </c>
      <c r="D2113" s="549">
        <v>2017</v>
      </c>
      <c r="E2113" s="549" t="s">
        <v>775</v>
      </c>
      <c r="F2113" s="550">
        <v>23</v>
      </c>
      <c r="G2113" s="550">
        <v>12</v>
      </c>
      <c r="H2113" s="550">
        <v>0</v>
      </c>
      <c r="I2113" s="550">
        <v>12</v>
      </c>
      <c r="J2113" s="550">
        <v>13</v>
      </c>
      <c r="K2113" s="550">
        <v>0</v>
      </c>
      <c r="L2113" s="550">
        <v>0</v>
      </c>
      <c r="M2113" s="550">
        <v>0</v>
      </c>
      <c r="N2113" s="550">
        <v>13</v>
      </c>
      <c r="O2113" s="550">
        <v>0</v>
      </c>
      <c r="P2113" s="550">
        <v>12</v>
      </c>
      <c r="Q2113" s="550">
        <v>4</v>
      </c>
      <c r="R2113" s="574" t="s">
        <v>658</v>
      </c>
      <c r="S2113" s="552"/>
      <c r="T2113" s="552"/>
      <c r="U2113" s="552"/>
      <c r="V2113" s="552"/>
      <c r="W2113" s="552"/>
      <c r="X2113" s="552"/>
      <c r="Y2113" s="552"/>
      <c r="Z2113" s="552"/>
      <c r="AA2113" s="553"/>
      <c r="AB2113" s="553"/>
    </row>
    <row r="2114" spans="1:28" ht="12.75">
      <c r="A2114" s="547" t="s">
        <v>658</v>
      </c>
      <c r="B2114" s="547" t="s">
        <v>187</v>
      </c>
      <c r="C2114" s="548" t="s">
        <v>774</v>
      </c>
      <c r="D2114" s="549">
        <v>2018</v>
      </c>
      <c r="E2114" s="549" t="s">
        <v>775</v>
      </c>
      <c r="F2114" s="550">
        <v>23</v>
      </c>
      <c r="G2114" s="550">
        <v>8</v>
      </c>
      <c r="H2114" s="550">
        <v>0</v>
      </c>
      <c r="I2114" s="550">
        <v>8</v>
      </c>
      <c r="J2114" s="550">
        <v>13</v>
      </c>
      <c r="K2114" s="550">
        <v>0</v>
      </c>
      <c r="L2114" s="550">
        <v>0</v>
      </c>
      <c r="M2114" s="550">
        <v>0</v>
      </c>
      <c r="N2114" s="550">
        <v>13</v>
      </c>
      <c r="O2114" s="550">
        <v>0</v>
      </c>
      <c r="P2114" s="550">
        <v>12</v>
      </c>
      <c r="Q2114" s="550">
        <v>0</v>
      </c>
      <c r="R2114" s="574" t="s">
        <v>658</v>
      </c>
      <c r="S2114" s="552"/>
      <c r="T2114" s="552"/>
      <c r="U2114" s="552"/>
      <c r="V2114" s="552"/>
      <c r="W2114" s="552"/>
      <c r="X2114" s="552"/>
      <c r="Y2114" s="552"/>
      <c r="Z2114" s="552"/>
      <c r="AA2114" s="553"/>
      <c r="AB2114" s="553"/>
    </row>
    <row r="2115" spans="1:28" ht="12.75">
      <c r="A2115" s="547" t="s">
        <v>658</v>
      </c>
      <c r="B2115" s="547" t="s">
        <v>187</v>
      </c>
      <c r="C2115" s="548" t="s">
        <v>782</v>
      </c>
      <c r="D2115" s="549">
        <v>2019</v>
      </c>
      <c r="E2115" s="549" t="s">
        <v>775</v>
      </c>
      <c r="F2115" s="550">
        <v>23</v>
      </c>
      <c r="G2115" s="550">
        <v>14</v>
      </c>
      <c r="H2115" s="550">
        <v>0</v>
      </c>
      <c r="I2115" s="550">
        <v>14</v>
      </c>
      <c r="J2115" s="550">
        <v>13</v>
      </c>
      <c r="K2115" s="550">
        <v>0</v>
      </c>
      <c r="L2115" s="550">
        <v>0</v>
      </c>
      <c r="M2115" s="550">
        <v>0</v>
      </c>
      <c r="N2115" s="550">
        <v>13</v>
      </c>
      <c r="O2115" s="550">
        <v>0</v>
      </c>
      <c r="P2115" s="550">
        <v>12</v>
      </c>
      <c r="Q2115" s="550">
        <v>12</v>
      </c>
      <c r="R2115" s="574" t="s">
        <v>658</v>
      </c>
      <c r="S2115" s="552">
        <f>SUM(G2110:G2115) +SUM(K2110:K2115)</f>
        <v>44</v>
      </c>
      <c r="T2115" s="552">
        <f>F2115+J2115</f>
        <v>36</v>
      </c>
      <c r="U2115" s="552">
        <f>SUM(O2110:O2115)</f>
        <v>1</v>
      </c>
      <c r="V2115" s="552">
        <f>N2115</f>
        <v>13</v>
      </c>
      <c r="W2115" s="554">
        <f>SUM(Q2110:Q2115)</f>
        <v>30</v>
      </c>
      <c r="X2115" s="552">
        <f>P2115</f>
        <v>12</v>
      </c>
      <c r="Y2115" s="552">
        <f>S2115+U2115+SUM(Q2110:Q2115)</f>
        <v>75</v>
      </c>
      <c r="Z2115" s="552">
        <f>F2115+J2115+N2115+P2115</f>
        <v>61</v>
      </c>
      <c r="AA2115" s="553"/>
      <c r="AB2115" s="553"/>
    </row>
    <row r="2116" spans="1:28" ht="12.75">
      <c r="A2116" s="547" t="s">
        <v>659</v>
      </c>
      <c r="B2116" s="547" t="s">
        <v>187</v>
      </c>
      <c r="C2116" s="548" t="s">
        <v>774</v>
      </c>
      <c r="D2116" s="549">
        <v>2015</v>
      </c>
      <c r="E2116" s="549" t="s">
        <v>775</v>
      </c>
      <c r="F2116" s="550">
        <v>273</v>
      </c>
      <c r="G2116" s="550">
        <v>12</v>
      </c>
      <c r="H2116" s="550">
        <v>12</v>
      </c>
      <c r="I2116" s="550">
        <v>0</v>
      </c>
      <c r="J2116" s="550">
        <v>154</v>
      </c>
      <c r="K2116" s="550">
        <v>118</v>
      </c>
      <c r="L2116" s="550">
        <v>118</v>
      </c>
      <c r="M2116" s="550">
        <v>0</v>
      </c>
      <c r="N2116" s="550">
        <v>185</v>
      </c>
      <c r="O2116" s="550">
        <v>107</v>
      </c>
      <c r="P2116" s="550">
        <v>316</v>
      </c>
      <c r="Q2116" s="550">
        <v>647</v>
      </c>
      <c r="R2116" s="574" t="s">
        <v>659</v>
      </c>
      <c r="S2116" s="552"/>
      <c r="T2116" s="552"/>
      <c r="U2116" s="552"/>
      <c r="V2116" s="552"/>
      <c r="W2116" s="552"/>
      <c r="X2116" s="552"/>
      <c r="Y2116" s="552"/>
      <c r="Z2116" s="552"/>
      <c r="AA2116" s="553"/>
      <c r="AB2116" s="553"/>
    </row>
    <row r="2117" spans="1:28" ht="12.75">
      <c r="A2117" s="547" t="s">
        <v>659</v>
      </c>
      <c r="B2117" s="547" t="s">
        <v>187</v>
      </c>
      <c r="C2117" s="548" t="s">
        <v>774</v>
      </c>
      <c r="D2117" s="549">
        <v>2016</v>
      </c>
      <c r="E2117" s="549" t="s">
        <v>775</v>
      </c>
      <c r="F2117" s="550">
        <v>273</v>
      </c>
      <c r="G2117" s="550">
        <v>29</v>
      </c>
      <c r="H2117" s="550">
        <v>29</v>
      </c>
      <c r="I2117" s="550">
        <v>0</v>
      </c>
      <c r="J2117" s="550">
        <v>154</v>
      </c>
      <c r="K2117" s="550">
        <v>23</v>
      </c>
      <c r="L2117" s="550">
        <v>23</v>
      </c>
      <c r="M2117" s="550">
        <v>0</v>
      </c>
      <c r="N2117" s="550">
        <v>185</v>
      </c>
      <c r="O2117" s="550">
        <v>6</v>
      </c>
      <c r="P2117" s="550">
        <v>316</v>
      </c>
      <c r="Q2117" s="550">
        <v>219</v>
      </c>
      <c r="R2117" s="574" t="s">
        <v>659</v>
      </c>
      <c r="S2117" s="552"/>
      <c r="T2117" s="552"/>
      <c r="U2117" s="552"/>
      <c r="V2117" s="552"/>
      <c r="W2117" s="552"/>
      <c r="X2117" s="552"/>
      <c r="Y2117" s="552"/>
      <c r="Z2117" s="552"/>
      <c r="AA2117" s="553"/>
      <c r="AB2117" s="553"/>
    </row>
    <row r="2118" spans="1:28" ht="12.75">
      <c r="A2118" s="547" t="s">
        <v>659</v>
      </c>
      <c r="B2118" s="547" t="s">
        <v>187</v>
      </c>
      <c r="C2118" s="548" t="s">
        <v>774</v>
      </c>
      <c r="D2118" s="549">
        <v>2017</v>
      </c>
      <c r="E2118" s="549" t="s">
        <v>775</v>
      </c>
      <c r="F2118" s="550">
        <v>273</v>
      </c>
      <c r="G2118" s="550">
        <v>0</v>
      </c>
      <c r="H2118" s="550">
        <v>0</v>
      </c>
      <c r="I2118" s="550">
        <v>0</v>
      </c>
      <c r="J2118" s="550">
        <v>154</v>
      </c>
      <c r="K2118" s="550">
        <v>13</v>
      </c>
      <c r="L2118" s="550">
        <v>13</v>
      </c>
      <c r="M2118" s="550">
        <v>0</v>
      </c>
      <c r="N2118" s="550">
        <v>185</v>
      </c>
      <c r="O2118" s="550">
        <v>9</v>
      </c>
      <c r="P2118" s="550">
        <v>316</v>
      </c>
      <c r="Q2118" s="550">
        <v>192</v>
      </c>
      <c r="R2118" s="574" t="s">
        <v>659</v>
      </c>
      <c r="S2118" s="552"/>
      <c r="T2118" s="552"/>
      <c r="U2118" s="552"/>
      <c r="V2118" s="552"/>
      <c r="W2118" s="552"/>
      <c r="X2118" s="552"/>
      <c r="Y2118" s="552"/>
      <c r="Z2118" s="552"/>
      <c r="AA2118" s="553"/>
      <c r="AB2118" s="553"/>
    </row>
    <row r="2119" spans="1:28" ht="12.75">
      <c r="A2119" s="547" t="s">
        <v>659</v>
      </c>
      <c r="B2119" s="547" t="s">
        <v>187</v>
      </c>
      <c r="C2119" s="548" t="s">
        <v>774</v>
      </c>
      <c r="D2119" s="549">
        <v>2018</v>
      </c>
      <c r="E2119" s="549" t="s">
        <v>775</v>
      </c>
      <c r="F2119" s="550">
        <v>273</v>
      </c>
      <c r="G2119" s="550">
        <v>39</v>
      </c>
      <c r="H2119" s="550">
        <v>39</v>
      </c>
      <c r="I2119" s="550">
        <v>0</v>
      </c>
      <c r="J2119" s="550">
        <v>154</v>
      </c>
      <c r="K2119" s="550">
        <v>24</v>
      </c>
      <c r="L2119" s="550">
        <v>24</v>
      </c>
      <c r="M2119" s="550">
        <v>0</v>
      </c>
      <c r="N2119" s="550">
        <v>185</v>
      </c>
      <c r="O2119" s="550">
        <v>263</v>
      </c>
      <c r="P2119" s="550">
        <v>316</v>
      </c>
      <c r="Q2119" s="550">
        <v>193</v>
      </c>
      <c r="R2119" s="574" t="s">
        <v>659</v>
      </c>
      <c r="S2119" s="552"/>
      <c r="T2119" s="552"/>
      <c r="U2119" s="552"/>
      <c r="V2119" s="552"/>
      <c r="W2119" s="552"/>
      <c r="X2119" s="552"/>
      <c r="Y2119" s="552"/>
      <c r="Z2119" s="552"/>
      <c r="AA2119" s="553"/>
      <c r="AB2119" s="553"/>
    </row>
    <row r="2120" spans="1:28" ht="12.75">
      <c r="A2120" s="547" t="s">
        <v>659</v>
      </c>
      <c r="B2120" s="547" t="s">
        <v>187</v>
      </c>
      <c r="C2120" s="548" t="s">
        <v>782</v>
      </c>
      <c r="D2120" s="549">
        <v>2019</v>
      </c>
      <c r="E2120" s="549" t="s">
        <v>775</v>
      </c>
      <c r="F2120" s="550">
        <v>273</v>
      </c>
      <c r="G2120" s="550">
        <v>0</v>
      </c>
      <c r="H2120" s="550">
        <v>0</v>
      </c>
      <c r="I2120" s="550">
        <v>0</v>
      </c>
      <c r="J2120" s="550">
        <v>154</v>
      </c>
      <c r="K2120" s="550">
        <v>11</v>
      </c>
      <c r="L2120" s="550">
        <v>11</v>
      </c>
      <c r="M2120" s="550">
        <v>0</v>
      </c>
      <c r="N2120" s="550">
        <v>185</v>
      </c>
      <c r="O2120" s="550">
        <v>14</v>
      </c>
      <c r="P2120" s="550">
        <v>316</v>
      </c>
      <c r="Q2120" s="550">
        <v>142</v>
      </c>
      <c r="R2120" s="574" t="s">
        <v>659</v>
      </c>
      <c r="S2120" s="255">
        <f>SUM(G2116:G2120) +SUM(K2116:K2120)</f>
        <v>269</v>
      </c>
      <c r="T2120" s="255">
        <f>F2120+J2120</f>
        <v>427</v>
      </c>
      <c r="U2120" s="255">
        <f>SUM(O2116:O2120)</f>
        <v>399</v>
      </c>
      <c r="V2120" s="255">
        <f>N2120</f>
        <v>185</v>
      </c>
      <c r="W2120" s="83">
        <f>SUM(Q2116:Q2120)</f>
        <v>1393</v>
      </c>
      <c r="X2120" s="255">
        <f>P2120</f>
        <v>316</v>
      </c>
      <c r="Y2120" s="255">
        <f>S2120+U2120+SUM(Q2116:Q2120)</f>
        <v>2061</v>
      </c>
      <c r="Z2120" s="255">
        <f>F2120+J2120+N2120+P2120</f>
        <v>928</v>
      </c>
      <c r="AA2120" s="553"/>
      <c r="AB2120" s="553"/>
    </row>
    <row r="2121" spans="1:28" ht="12.75">
      <c r="A2121" s="547" t="s">
        <v>660</v>
      </c>
      <c r="B2121" s="547" t="s">
        <v>187</v>
      </c>
      <c r="C2121" s="548" t="s">
        <v>774</v>
      </c>
      <c r="D2121" s="549">
        <v>2014</v>
      </c>
      <c r="E2121" s="549" t="s">
        <v>775</v>
      </c>
      <c r="F2121" s="550">
        <v>814</v>
      </c>
      <c r="G2121" s="550">
        <v>26</v>
      </c>
      <c r="H2121" s="550">
        <v>26</v>
      </c>
      <c r="I2121" s="550">
        <v>0</v>
      </c>
      <c r="J2121" s="550">
        <v>492</v>
      </c>
      <c r="K2121" s="550">
        <v>19</v>
      </c>
      <c r="L2121" s="550">
        <v>18</v>
      </c>
      <c r="M2121" s="550">
        <v>1</v>
      </c>
      <c r="N2121" s="550">
        <v>527</v>
      </c>
      <c r="O2121" s="550">
        <v>0</v>
      </c>
      <c r="P2121" s="550">
        <v>1093</v>
      </c>
      <c r="Q2121" s="550">
        <v>598</v>
      </c>
      <c r="R2121" s="574" t="s">
        <v>660</v>
      </c>
      <c r="S2121" s="552"/>
      <c r="T2121" s="552"/>
      <c r="U2121" s="552"/>
      <c r="V2121" s="552"/>
      <c r="W2121" s="552"/>
      <c r="X2121" s="552"/>
      <c r="Y2121" s="552"/>
      <c r="Z2121" s="552"/>
      <c r="AA2121" s="553"/>
      <c r="AB2121" s="553"/>
    </row>
    <row r="2122" spans="1:28" ht="12.75">
      <c r="A2122" s="547" t="s">
        <v>660</v>
      </c>
      <c r="B2122" s="547" t="s">
        <v>187</v>
      </c>
      <c r="C2122" s="548" t="s">
        <v>774</v>
      </c>
      <c r="D2122" s="549">
        <v>2015</v>
      </c>
      <c r="E2122" s="549" t="s">
        <v>775</v>
      </c>
      <c r="F2122" s="550">
        <v>814</v>
      </c>
      <c r="G2122" s="550">
        <v>0</v>
      </c>
      <c r="H2122" s="550">
        <v>0</v>
      </c>
      <c r="I2122" s="550">
        <v>0</v>
      </c>
      <c r="J2122" s="550">
        <v>492</v>
      </c>
      <c r="K2122" s="550">
        <v>9</v>
      </c>
      <c r="L2122" s="550">
        <v>9</v>
      </c>
      <c r="M2122" s="550">
        <v>0</v>
      </c>
      <c r="N2122" s="550">
        <v>527</v>
      </c>
      <c r="O2122" s="550">
        <v>0</v>
      </c>
      <c r="P2122" s="550">
        <v>1093</v>
      </c>
      <c r="Q2122" s="550">
        <v>278</v>
      </c>
      <c r="R2122" s="574" t="s">
        <v>660</v>
      </c>
      <c r="S2122" s="552"/>
      <c r="T2122" s="552"/>
      <c r="U2122" s="552"/>
      <c r="V2122" s="552"/>
      <c r="W2122" s="552"/>
      <c r="X2122" s="552"/>
      <c r="Y2122" s="552"/>
      <c r="Z2122" s="552"/>
      <c r="AA2122" s="553"/>
      <c r="AB2122" s="553"/>
    </row>
    <row r="2123" spans="1:28" ht="12.75">
      <c r="A2123" s="547" t="s">
        <v>660</v>
      </c>
      <c r="B2123" s="547" t="s">
        <v>187</v>
      </c>
      <c r="C2123" s="548" t="s">
        <v>774</v>
      </c>
      <c r="D2123" s="549">
        <v>2016</v>
      </c>
      <c r="E2123" s="549" t="s">
        <v>775</v>
      </c>
      <c r="F2123" s="550">
        <v>814</v>
      </c>
      <c r="G2123" s="550">
        <v>17</v>
      </c>
      <c r="H2123" s="550">
        <v>17</v>
      </c>
      <c r="I2123" s="550">
        <v>0</v>
      </c>
      <c r="J2123" s="550">
        <v>492</v>
      </c>
      <c r="K2123" s="550">
        <v>109</v>
      </c>
      <c r="L2123" s="550">
        <v>109</v>
      </c>
      <c r="M2123" s="550">
        <v>0</v>
      </c>
      <c r="N2123" s="550">
        <v>527</v>
      </c>
      <c r="O2123" s="550">
        <v>0</v>
      </c>
      <c r="P2123" s="550">
        <v>1093</v>
      </c>
      <c r="Q2123" s="550">
        <v>376</v>
      </c>
      <c r="R2123" s="574" t="s">
        <v>660</v>
      </c>
      <c r="S2123" s="552"/>
      <c r="T2123" s="552"/>
      <c r="U2123" s="552"/>
      <c r="V2123" s="552"/>
      <c r="W2123" s="552"/>
      <c r="X2123" s="552"/>
      <c r="Y2123" s="552"/>
      <c r="Z2123" s="552"/>
      <c r="AA2123" s="553"/>
      <c r="AB2123" s="553"/>
    </row>
    <row r="2124" spans="1:28" ht="12.75">
      <c r="A2124" s="547" t="s">
        <v>660</v>
      </c>
      <c r="B2124" s="547" t="s">
        <v>187</v>
      </c>
      <c r="C2124" s="548" t="s">
        <v>774</v>
      </c>
      <c r="D2124" s="549">
        <v>2017</v>
      </c>
      <c r="E2124" s="549" t="s">
        <v>775</v>
      </c>
      <c r="F2124" s="550">
        <v>814</v>
      </c>
      <c r="G2124" s="550">
        <v>98</v>
      </c>
      <c r="H2124" s="550">
        <v>98</v>
      </c>
      <c r="I2124" s="550">
        <v>0</v>
      </c>
      <c r="J2124" s="550">
        <v>492</v>
      </c>
      <c r="K2124" s="550">
        <v>23</v>
      </c>
      <c r="L2124" s="550">
        <v>23</v>
      </c>
      <c r="M2124" s="550">
        <v>0</v>
      </c>
      <c r="N2124" s="550">
        <v>527</v>
      </c>
      <c r="O2124" s="550">
        <v>0</v>
      </c>
      <c r="P2124" s="550">
        <v>1093</v>
      </c>
      <c r="Q2124" s="550">
        <v>1418</v>
      </c>
      <c r="R2124" s="574" t="s">
        <v>660</v>
      </c>
      <c r="S2124" s="552"/>
      <c r="T2124" s="552"/>
      <c r="U2124" s="552"/>
      <c r="V2124" s="552"/>
      <c r="W2124" s="552"/>
      <c r="X2124" s="552"/>
      <c r="Y2124" s="552"/>
      <c r="Z2124" s="552"/>
      <c r="AA2124" s="553"/>
      <c r="AB2124" s="553"/>
    </row>
    <row r="2125" spans="1:28" ht="12.75">
      <c r="A2125" s="547" t="s">
        <v>660</v>
      </c>
      <c r="B2125" s="547" t="s">
        <v>187</v>
      </c>
      <c r="C2125" s="548" t="s">
        <v>774</v>
      </c>
      <c r="D2125" s="549">
        <v>2018</v>
      </c>
      <c r="E2125" s="549" t="s">
        <v>775</v>
      </c>
      <c r="F2125" s="550">
        <v>814</v>
      </c>
      <c r="G2125" s="550">
        <v>0</v>
      </c>
      <c r="H2125" s="550">
        <v>0</v>
      </c>
      <c r="I2125" s="550">
        <v>0</v>
      </c>
      <c r="J2125" s="550">
        <v>492</v>
      </c>
      <c r="K2125" s="550">
        <v>10</v>
      </c>
      <c r="L2125" s="550">
        <v>10</v>
      </c>
      <c r="M2125" s="550">
        <v>0</v>
      </c>
      <c r="N2125" s="550">
        <v>527</v>
      </c>
      <c r="O2125" s="550">
        <v>0</v>
      </c>
      <c r="P2125" s="550">
        <v>1093</v>
      </c>
      <c r="Q2125" s="550">
        <v>320</v>
      </c>
      <c r="R2125" s="574" t="s">
        <v>660</v>
      </c>
      <c r="S2125" s="552"/>
      <c r="T2125" s="552"/>
      <c r="U2125" s="552"/>
      <c r="V2125" s="552"/>
      <c r="W2125" s="552"/>
      <c r="X2125" s="552"/>
      <c r="Y2125" s="552"/>
      <c r="Z2125" s="552"/>
      <c r="AA2125" s="553"/>
      <c r="AB2125" s="553"/>
    </row>
    <row r="2126" spans="1:28" ht="12.75">
      <c r="A2126" s="547" t="s">
        <v>660</v>
      </c>
      <c r="B2126" s="547" t="s">
        <v>187</v>
      </c>
      <c r="C2126" s="548" t="s">
        <v>782</v>
      </c>
      <c r="D2126" s="549">
        <v>2019</v>
      </c>
      <c r="E2126" s="549" t="s">
        <v>775</v>
      </c>
      <c r="F2126" s="550">
        <v>814</v>
      </c>
      <c r="G2126" s="550">
        <v>61</v>
      </c>
      <c r="H2126" s="550">
        <v>61</v>
      </c>
      <c r="I2126" s="550">
        <v>0</v>
      </c>
      <c r="J2126" s="550">
        <v>492</v>
      </c>
      <c r="K2126" s="550">
        <v>0</v>
      </c>
      <c r="L2126" s="550">
        <v>0</v>
      </c>
      <c r="M2126" s="550">
        <v>0</v>
      </c>
      <c r="N2126" s="550">
        <v>527</v>
      </c>
      <c r="O2126" s="550">
        <v>0</v>
      </c>
      <c r="P2126" s="550">
        <v>1093</v>
      </c>
      <c r="Q2126" s="550">
        <v>233</v>
      </c>
      <c r="R2126" s="574" t="s">
        <v>660</v>
      </c>
      <c r="S2126" s="552">
        <f>SUM(G2121:G2126) +SUM(K2121:K2126)</f>
        <v>372</v>
      </c>
      <c r="T2126" s="552">
        <f>F2126+J2126</f>
        <v>1306</v>
      </c>
      <c r="U2126" s="552">
        <f>SUM(O2121:O2126)</f>
        <v>0</v>
      </c>
      <c r="V2126" s="552">
        <f>N2126</f>
        <v>527</v>
      </c>
      <c r="W2126" s="554">
        <f>SUM(Q2121:Q2126)</f>
        <v>3223</v>
      </c>
      <c r="X2126" s="552">
        <f>P2126</f>
        <v>1093</v>
      </c>
      <c r="Y2126" s="552">
        <f>S2126+U2126+SUM(Q2121:Q2126)</f>
        <v>3595</v>
      </c>
      <c r="Z2126" s="552">
        <f>F2126+J2126+N2126+P2126</f>
        <v>2926</v>
      </c>
      <c r="AA2126" s="553"/>
      <c r="AB2126" s="553"/>
    </row>
    <row r="2127" spans="1:28" ht="12.75">
      <c r="A2127" s="547" t="s">
        <v>661</v>
      </c>
      <c r="B2127" s="547" t="s">
        <v>187</v>
      </c>
      <c r="C2127" s="548" t="s">
        <v>774</v>
      </c>
      <c r="D2127" s="549">
        <v>2015</v>
      </c>
      <c r="E2127" s="549" t="s">
        <v>775</v>
      </c>
      <c r="F2127" s="550">
        <v>691</v>
      </c>
      <c r="G2127" s="550">
        <v>43</v>
      </c>
      <c r="H2127" s="550">
        <v>43</v>
      </c>
      <c r="I2127" s="550">
        <v>0</v>
      </c>
      <c r="J2127" s="550">
        <v>432</v>
      </c>
      <c r="K2127" s="550">
        <v>58</v>
      </c>
      <c r="L2127" s="550">
        <v>58</v>
      </c>
      <c r="M2127" s="550">
        <v>0</v>
      </c>
      <c r="N2127" s="550">
        <v>278</v>
      </c>
      <c r="O2127" s="550">
        <v>11</v>
      </c>
      <c r="P2127" s="550">
        <v>587</v>
      </c>
      <c r="Q2127" s="550">
        <v>174</v>
      </c>
      <c r="R2127" s="574" t="s">
        <v>661</v>
      </c>
      <c r="S2127" s="552"/>
      <c r="T2127" s="552"/>
      <c r="U2127" s="552"/>
      <c r="V2127" s="552"/>
      <c r="W2127" s="552"/>
      <c r="X2127" s="552"/>
      <c r="Y2127" s="552"/>
      <c r="Z2127" s="552"/>
      <c r="AA2127" s="553"/>
      <c r="AB2127" s="553"/>
    </row>
    <row r="2128" spans="1:28" ht="12.75">
      <c r="A2128" s="547" t="s">
        <v>661</v>
      </c>
      <c r="B2128" s="547" t="s">
        <v>187</v>
      </c>
      <c r="C2128" s="548" t="s">
        <v>774</v>
      </c>
      <c r="D2128" s="549">
        <v>2016</v>
      </c>
      <c r="E2128" s="549" t="s">
        <v>775</v>
      </c>
      <c r="F2128" s="550">
        <v>691</v>
      </c>
      <c r="G2128" s="550">
        <v>0</v>
      </c>
      <c r="H2128" s="550">
        <v>0</v>
      </c>
      <c r="I2128" s="550">
        <v>0</v>
      </c>
      <c r="J2128" s="550">
        <v>432</v>
      </c>
      <c r="K2128" s="550">
        <v>0</v>
      </c>
      <c r="L2128" s="550">
        <v>0</v>
      </c>
      <c r="M2128" s="550">
        <v>0</v>
      </c>
      <c r="N2128" s="550">
        <v>278</v>
      </c>
      <c r="O2128" s="550">
        <v>3</v>
      </c>
      <c r="P2128" s="550">
        <v>587</v>
      </c>
      <c r="Q2128" s="550">
        <v>15</v>
      </c>
      <c r="R2128" s="574" t="s">
        <v>661</v>
      </c>
      <c r="S2128" s="552"/>
      <c r="T2128" s="552"/>
      <c r="U2128" s="552"/>
      <c r="V2128" s="552"/>
      <c r="W2128" s="552"/>
      <c r="X2128" s="552"/>
      <c r="Y2128" s="552"/>
      <c r="Z2128" s="552"/>
      <c r="AA2128" s="553"/>
      <c r="AB2128" s="553"/>
    </row>
    <row r="2129" spans="1:28" ht="12.75">
      <c r="A2129" s="547" t="s">
        <v>661</v>
      </c>
      <c r="B2129" s="547" t="s">
        <v>187</v>
      </c>
      <c r="C2129" s="548" t="s">
        <v>774</v>
      </c>
      <c r="D2129" s="549">
        <v>2017</v>
      </c>
      <c r="E2129" s="549" t="s">
        <v>775</v>
      </c>
      <c r="F2129" s="550">
        <v>691</v>
      </c>
      <c r="G2129" s="550">
        <v>0</v>
      </c>
      <c r="H2129" s="550">
        <v>0</v>
      </c>
      <c r="I2129" s="550">
        <v>0</v>
      </c>
      <c r="J2129" s="550">
        <v>432</v>
      </c>
      <c r="K2129" s="550">
        <v>0</v>
      </c>
      <c r="L2129" s="550">
        <v>0</v>
      </c>
      <c r="M2129" s="550">
        <v>0</v>
      </c>
      <c r="N2129" s="550">
        <v>278</v>
      </c>
      <c r="O2129" s="550">
        <v>28</v>
      </c>
      <c r="P2129" s="550">
        <v>587</v>
      </c>
      <c r="Q2129" s="550">
        <v>61</v>
      </c>
      <c r="R2129" s="574" t="s">
        <v>661</v>
      </c>
      <c r="S2129" s="552"/>
      <c r="T2129" s="552"/>
      <c r="U2129" s="552"/>
      <c r="V2129" s="552"/>
      <c r="W2129" s="552"/>
      <c r="X2129" s="552"/>
      <c r="Y2129" s="552"/>
      <c r="Z2129" s="552"/>
      <c r="AA2129" s="553"/>
      <c r="AB2129" s="553"/>
    </row>
    <row r="2130" spans="1:28" ht="12.75">
      <c r="A2130" s="547" t="s">
        <v>661</v>
      </c>
      <c r="B2130" s="547" t="s">
        <v>187</v>
      </c>
      <c r="C2130" s="548" t="s">
        <v>774</v>
      </c>
      <c r="D2130" s="549">
        <v>2018</v>
      </c>
      <c r="E2130" s="549" t="s">
        <v>775</v>
      </c>
      <c r="F2130" s="550">
        <v>691</v>
      </c>
      <c r="G2130" s="550">
        <v>0</v>
      </c>
      <c r="H2130" s="550">
        <v>0</v>
      </c>
      <c r="I2130" s="550">
        <v>0</v>
      </c>
      <c r="J2130" s="550">
        <v>432</v>
      </c>
      <c r="K2130" s="550">
        <v>0</v>
      </c>
      <c r="L2130" s="550">
        <v>0</v>
      </c>
      <c r="M2130" s="550">
        <v>0</v>
      </c>
      <c r="N2130" s="550">
        <v>278</v>
      </c>
      <c r="O2130" s="550">
        <v>0</v>
      </c>
      <c r="P2130" s="550">
        <v>587</v>
      </c>
      <c r="Q2130" s="550">
        <v>54</v>
      </c>
      <c r="R2130" s="574" t="s">
        <v>661</v>
      </c>
      <c r="S2130" s="552"/>
      <c r="T2130" s="552"/>
      <c r="U2130" s="552"/>
      <c r="V2130" s="552"/>
      <c r="W2130" s="552"/>
      <c r="X2130" s="552"/>
      <c r="Y2130" s="552"/>
      <c r="Z2130" s="552"/>
      <c r="AA2130" s="553"/>
      <c r="AB2130" s="553"/>
    </row>
    <row r="2131" spans="1:28" ht="12.75">
      <c r="A2131" s="547" t="s">
        <v>661</v>
      </c>
      <c r="B2131" s="547" t="s">
        <v>187</v>
      </c>
      <c r="C2131" s="548" t="s">
        <v>782</v>
      </c>
      <c r="D2131" s="549">
        <v>2019</v>
      </c>
      <c r="E2131" s="549" t="s">
        <v>775</v>
      </c>
      <c r="F2131" s="550">
        <v>691</v>
      </c>
      <c r="G2131" s="550">
        <v>0</v>
      </c>
      <c r="H2131" s="550">
        <v>0</v>
      </c>
      <c r="I2131" s="550">
        <v>0</v>
      </c>
      <c r="J2131" s="550">
        <v>432</v>
      </c>
      <c r="K2131" s="550">
        <v>2</v>
      </c>
      <c r="L2131" s="550">
        <v>2</v>
      </c>
      <c r="M2131" s="550">
        <v>0</v>
      </c>
      <c r="N2131" s="550">
        <v>278</v>
      </c>
      <c r="O2131" s="550">
        <v>0</v>
      </c>
      <c r="P2131" s="550">
        <v>587</v>
      </c>
      <c r="Q2131" s="550">
        <v>105</v>
      </c>
      <c r="R2131" s="574" t="s">
        <v>661</v>
      </c>
      <c r="S2131" s="255">
        <f>SUM(G2127:G2131) +SUM(K2127:K2131)</f>
        <v>103</v>
      </c>
      <c r="T2131" s="255">
        <f>F2131+J2131</f>
        <v>1123</v>
      </c>
      <c r="U2131" s="255">
        <f>SUM(O2127:O2131)</f>
        <v>42</v>
      </c>
      <c r="V2131" s="255">
        <f>N2131</f>
        <v>278</v>
      </c>
      <c r="W2131" s="83">
        <f>SUM(Q2127:Q2131)</f>
        <v>409</v>
      </c>
      <c r="X2131" s="255">
        <f>P2131</f>
        <v>587</v>
      </c>
      <c r="Y2131" s="255">
        <f>S2131+U2131+SUM(Q2127:Q2131)</f>
        <v>554</v>
      </c>
      <c r="Z2131" s="255">
        <f>F2131+J2131+N2131+P2131</f>
        <v>1988</v>
      </c>
      <c r="AA2131" s="553"/>
      <c r="AB2131" s="553"/>
    </row>
    <row r="2132" spans="1:28" ht="12.75">
      <c r="A2132" s="547" t="s">
        <v>662</v>
      </c>
      <c r="B2132" s="547" t="s">
        <v>187</v>
      </c>
      <c r="C2132" s="548" t="s">
        <v>774</v>
      </c>
      <c r="D2132" s="549">
        <v>2014</v>
      </c>
      <c r="E2132" s="549" t="s">
        <v>775</v>
      </c>
      <c r="F2132" s="550">
        <v>9233</v>
      </c>
      <c r="G2132" s="550">
        <v>275</v>
      </c>
      <c r="H2132" s="550">
        <v>275</v>
      </c>
      <c r="I2132" s="550">
        <v>0</v>
      </c>
      <c r="J2132" s="550">
        <v>5428</v>
      </c>
      <c r="K2132" s="550">
        <v>231</v>
      </c>
      <c r="L2132" s="550">
        <v>231</v>
      </c>
      <c r="M2132" s="550">
        <v>0</v>
      </c>
      <c r="N2132" s="550">
        <v>6188</v>
      </c>
      <c r="O2132" s="550">
        <v>0</v>
      </c>
      <c r="P2132" s="550">
        <v>14231</v>
      </c>
      <c r="Q2132" s="550">
        <v>3946</v>
      </c>
      <c r="R2132" s="574" t="s">
        <v>662</v>
      </c>
      <c r="S2132" s="552"/>
      <c r="T2132" s="552"/>
      <c r="U2132" s="552"/>
      <c r="V2132" s="552"/>
      <c r="W2132" s="552"/>
      <c r="X2132" s="552"/>
      <c r="Y2132" s="552"/>
      <c r="Z2132" s="552"/>
      <c r="AA2132" s="553"/>
      <c r="AB2132" s="553"/>
    </row>
    <row r="2133" spans="1:28" ht="12.75">
      <c r="A2133" s="547" t="s">
        <v>662</v>
      </c>
      <c r="B2133" s="547" t="s">
        <v>187</v>
      </c>
      <c r="C2133" s="548" t="s">
        <v>774</v>
      </c>
      <c r="D2133" s="549">
        <v>2015</v>
      </c>
      <c r="E2133" s="549" t="s">
        <v>775</v>
      </c>
      <c r="F2133" s="550">
        <v>9233</v>
      </c>
      <c r="G2133" s="550">
        <v>70</v>
      </c>
      <c r="H2133" s="550">
        <v>70</v>
      </c>
      <c r="I2133" s="550">
        <v>0</v>
      </c>
      <c r="J2133" s="550">
        <v>5428</v>
      </c>
      <c r="K2133" s="550">
        <v>0</v>
      </c>
      <c r="L2133" s="550">
        <v>0</v>
      </c>
      <c r="M2133" s="550">
        <v>0</v>
      </c>
      <c r="N2133" s="550">
        <v>6188</v>
      </c>
      <c r="O2133" s="550">
        <v>0</v>
      </c>
      <c r="P2133" s="550">
        <v>14231</v>
      </c>
      <c r="Q2133" s="550">
        <v>1951</v>
      </c>
      <c r="R2133" s="574" t="s">
        <v>662</v>
      </c>
      <c r="S2133" s="552"/>
      <c r="T2133" s="552"/>
      <c r="U2133" s="552"/>
      <c r="V2133" s="552"/>
      <c r="W2133" s="552"/>
      <c r="X2133" s="552"/>
      <c r="Y2133" s="552"/>
      <c r="Z2133" s="552"/>
      <c r="AA2133" s="553"/>
      <c r="AB2133" s="553"/>
    </row>
    <row r="2134" spans="1:28" ht="12.75">
      <c r="A2134" s="547" t="s">
        <v>662</v>
      </c>
      <c r="B2134" s="547" t="s">
        <v>187</v>
      </c>
      <c r="C2134" s="548" t="s">
        <v>774</v>
      </c>
      <c r="D2134" s="549">
        <v>2016</v>
      </c>
      <c r="E2134" s="549" t="s">
        <v>775</v>
      </c>
      <c r="F2134" s="550">
        <v>9233</v>
      </c>
      <c r="G2134" s="550">
        <v>314</v>
      </c>
      <c r="H2134" s="550">
        <v>314</v>
      </c>
      <c r="I2134" s="550">
        <v>0</v>
      </c>
      <c r="J2134" s="550">
        <v>5428</v>
      </c>
      <c r="K2134" s="550">
        <v>0</v>
      </c>
      <c r="L2134" s="550">
        <v>0</v>
      </c>
      <c r="M2134" s="550">
        <v>0</v>
      </c>
      <c r="N2134" s="550">
        <v>6188</v>
      </c>
      <c r="O2134" s="550">
        <v>0</v>
      </c>
      <c r="P2134" s="550">
        <v>14231</v>
      </c>
      <c r="Q2134" s="550">
        <v>1774</v>
      </c>
      <c r="R2134" s="574" t="s">
        <v>662</v>
      </c>
      <c r="S2134" s="552"/>
      <c r="T2134" s="552"/>
      <c r="U2134" s="552"/>
      <c r="V2134" s="552"/>
      <c r="W2134" s="552"/>
      <c r="X2134" s="552"/>
      <c r="Y2134" s="552"/>
      <c r="Z2134" s="552"/>
      <c r="AA2134" s="553"/>
      <c r="AB2134" s="553"/>
    </row>
    <row r="2135" spans="1:28" ht="12.75">
      <c r="A2135" s="547" t="s">
        <v>662</v>
      </c>
      <c r="B2135" s="547" t="s">
        <v>187</v>
      </c>
      <c r="C2135" s="548" t="s">
        <v>774</v>
      </c>
      <c r="D2135" s="549">
        <v>2017</v>
      </c>
      <c r="E2135" s="549" t="s">
        <v>775</v>
      </c>
      <c r="F2135" s="550">
        <v>9233</v>
      </c>
      <c r="G2135" s="550">
        <v>190</v>
      </c>
      <c r="H2135" s="550">
        <v>190</v>
      </c>
      <c r="I2135" s="550">
        <v>0</v>
      </c>
      <c r="J2135" s="550">
        <v>5428</v>
      </c>
      <c r="K2135" s="550">
        <v>0</v>
      </c>
      <c r="L2135" s="550">
        <v>0</v>
      </c>
      <c r="M2135" s="550">
        <v>0</v>
      </c>
      <c r="N2135" s="550">
        <v>6188</v>
      </c>
      <c r="O2135" s="550">
        <v>285</v>
      </c>
      <c r="P2135" s="550">
        <v>14231</v>
      </c>
      <c r="Q2135" s="550">
        <v>2622</v>
      </c>
      <c r="R2135" s="574" t="s">
        <v>662</v>
      </c>
      <c r="S2135" s="552"/>
      <c r="T2135" s="552"/>
      <c r="U2135" s="552"/>
      <c r="V2135" s="552"/>
      <c r="W2135" s="552"/>
      <c r="X2135" s="552"/>
      <c r="Y2135" s="552"/>
      <c r="Z2135" s="552"/>
      <c r="AA2135" s="553"/>
      <c r="AB2135" s="553"/>
    </row>
    <row r="2136" spans="1:28" ht="12.75">
      <c r="A2136" s="547" t="s">
        <v>662</v>
      </c>
      <c r="B2136" s="547" t="s">
        <v>187</v>
      </c>
      <c r="C2136" s="548" t="s">
        <v>774</v>
      </c>
      <c r="D2136" s="549">
        <v>2018</v>
      </c>
      <c r="E2136" s="549" t="s">
        <v>775</v>
      </c>
      <c r="F2136" s="550">
        <v>9233</v>
      </c>
      <c r="G2136" s="550">
        <v>146</v>
      </c>
      <c r="H2136" s="550">
        <v>146</v>
      </c>
      <c r="I2136" s="550">
        <v>0</v>
      </c>
      <c r="J2136" s="550">
        <v>5428</v>
      </c>
      <c r="K2136" s="550">
        <v>0</v>
      </c>
      <c r="L2136" s="550">
        <v>0</v>
      </c>
      <c r="M2136" s="550">
        <v>0</v>
      </c>
      <c r="N2136" s="550">
        <v>6188</v>
      </c>
      <c r="O2136" s="550">
        <v>1300</v>
      </c>
      <c r="P2136" s="550">
        <v>14231</v>
      </c>
      <c r="Q2136" s="550">
        <v>1527</v>
      </c>
      <c r="R2136" s="574" t="s">
        <v>662</v>
      </c>
      <c r="S2136" s="552"/>
      <c r="T2136" s="552"/>
      <c r="U2136" s="552"/>
      <c r="V2136" s="552"/>
      <c r="W2136" s="552"/>
      <c r="X2136" s="552"/>
      <c r="Y2136" s="552"/>
      <c r="Z2136" s="552"/>
      <c r="AA2136" s="553"/>
      <c r="AB2136" s="553"/>
    </row>
    <row r="2137" spans="1:28" ht="12.75">
      <c r="A2137" s="547" t="s">
        <v>662</v>
      </c>
      <c r="B2137" s="547" t="s">
        <v>187</v>
      </c>
      <c r="C2137" s="548" t="s">
        <v>782</v>
      </c>
      <c r="D2137" s="549">
        <v>2019</v>
      </c>
      <c r="E2137" s="549" t="s">
        <v>775</v>
      </c>
      <c r="F2137" s="550">
        <v>9233</v>
      </c>
      <c r="G2137" s="550">
        <v>134</v>
      </c>
      <c r="H2137" s="550">
        <v>134</v>
      </c>
      <c r="I2137" s="550">
        <v>0</v>
      </c>
      <c r="J2137" s="550">
        <v>5428</v>
      </c>
      <c r="K2137" s="550">
        <v>0</v>
      </c>
      <c r="L2137" s="550">
        <v>0</v>
      </c>
      <c r="M2137" s="550">
        <v>0</v>
      </c>
      <c r="N2137" s="550">
        <v>6188</v>
      </c>
      <c r="O2137" s="550">
        <v>719</v>
      </c>
      <c r="P2137" s="550">
        <v>14231</v>
      </c>
      <c r="Q2137" s="550">
        <v>1572</v>
      </c>
      <c r="R2137" s="574" t="s">
        <v>662</v>
      </c>
      <c r="S2137" s="552">
        <f>SUM(G2132:G2137) +SUM(K2132:K2137)</f>
        <v>1360</v>
      </c>
      <c r="T2137" s="552">
        <f>F2137+J2137</f>
        <v>14661</v>
      </c>
      <c r="U2137" s="552">
        <f>SUM(O2132:O2137)</f>
        <v>2304</v>
      </c>
      <c r="V2137" s="552">
        <f>N2137</f>
        <v>6188</v>
      </c>
      <c r="W2137" s="554">
        <f>SUM(Q2132:Q2137)</f>
        <v>13392</v>
      </c>
      <c r="X2137" s="552">
        <f>P2137</f>
        <v>14231</v>
      </c>
      <c r="Y2137" s="552">
        <f>S2137+U2137+SUM(Q2132:Q2137)</f>
        <v>17056</v>
      </c>
      <c r="Z2137" s="552">
        <f>F2137+J2137+N2137+P2137</f>
        <v>35080</v>
      </c>
      <c r="AA2137" s="553"/>
      <c r="AB2137" s="553"/>
    </row>
    <row r="2138" spans="1:28" ht="12.75">
      <c r="A2138" s="547" t="s">
        <v>187</v>
      </c>
      <c r="B2138" s="547" t="s">
        <v>187</v>
      </c>
      <c r="C2138" s="548" t="s">
        <v>774</v>
      </c>
      <c r="D2138" s="549">
        <v>2015</v>
      </c>
      <c r="E2138" s="549" t="s">
        <v>775</v>
      </c>
      <c r="F2138" s="550">
        <v>1050</v>
      </c>
      <c r="G2138" s="550">
        <v>0</v>
      </c>
      <c r="H2138" s="550">
        <v>0</v>
      </c>
      <c r="I2138" s="550">
        <v>0</v>
      </c>
      <c r="J2138" s="550">
        <v>695</v>
      </c>
      <c r="K2138" s="550">
        <v>0</v>
      </c>
      <c r="L2138" s="550">
        <v>0</v>
      </c>
      <c r="M2138" s="550">
        <v>0</v>
      </c>
      <c r="N2138" s="550">
        <v>755</v>
      </c>
      <c r="O2138" s="550">
        <v>19</v>
      </c>
      <c r="P2138" s="550">
        <v>1593</v>
      </c>
      <c r="Q2138" s="550">
        <v>212</v>
      </c>
      <c r="R2138" s="574" t="s">
        <v>187</v>
      </c>
      <c r="S2138" s="552"/>
      <c r="T2138" s="552"/>
      <c r="U2138" s="552"/>
      <c r="V2138" s="552"/>
      <c r="W2138" s="552"/>
      <c r="X2138" s="552"/>
      <c r="Y2138" s="552"/>
      <c r="Z2138" s="552"/>
      <c r="AA2138" s="553"/>
      <c r="AB2138" s="553"/>
    </row>
    <row r="2139" spans="1:28" ht="12.75">
      <c r="A2139" s="547" t="s">
        <v>187</v>
      </c>
      <c r="B2139" s="547" t="s">
        <v>187</v>
      </c>
      <c r="C2139" s="548" t="s">
        <v>774</v>
      </c>
      <c r="D2139" s="549">
        <v>2016</v>
      </c>
      <c r="E2139" s="549" t="s">
        <v>775</v>
      </c>
      <c r="F2139" s="550">
        <v>1050</v>
      </c>
      <c r="G2139" s="550">
        <v>1</v>
      </c>
      <c r="H2139" s="550">
        <v>1</v>
      </c>
      <c r="I2139" s="550">
        <v>0</v>
      </c>
      <c r="J2139" s="550">
        <v>695</v>
      </c>
      <c r="K2139" s="550">
        <v>1</v>
      </c>
      <c r="L2139" s="550">
        <v>1</v>
      </c>
      <c r="M2139" s="550">
        <v>0</v>
      </c>
      <c r="N2139" s="550">
        <v>755</v>
      </c>
      <c r="O2139" s="550">
        <v>16</v>
      </c>
      <c r="P2139" s="550">
        <v>1593</v>
      </c>
      <c r="Q2139" s="550">
        <v>399</v>
      </c>
      <c r="R2139" s="574" t="s">
        <v>187</v>
      </c>
      <c r="S2139" s="552"/>
      <c r="T2139" s="552"/>
      <c r="U2139" s="552"/>
      <c r="V2139" s="552"/>
      <c r="W2139" s="552"/>
      <c r="X2139" s="552"/>
      <c r="Y2139" s="552"/>
      <c r="Z2139" s="552"/>
      <c r="AA2139" s="553"/>
      <c r="AB2139" s="553"/>
    </row>
    <row r="2140" spans="1:28" ht="12.75">
      <c r="A2140" s="547" t="s">
        <v>187</v>
      </c>
      <c r="B2140" s="547" t="s">
        <v>187</v>
      </c>
      <c r="C2140" s="548" t="s">
        <v>774</v>
      </c>
      <c r="D2140" s="549">
        <v>2017</v>
      </c>
      <c r="E2140" s="549" t="s">
        <v>775</v>
      </c>
      <c r="F2140" s="550">
        <v>1050</v>
      </c>
      <c r="G2140" s="550">
        <v>0</v>
      </c>
      <c r="H2140" s="550">
        <v>0</v>
      </c>
      <c r="I2140" s="550">
        <v>0</v>
      </c>
      <c r="J2140" s="550">
        <v>695</v>
      </c>
      <c r="K2140" s="550">
        <v>0</v>
      </c>
      <c r="L2140" s="550">
        <v>0</v>
      </c>
      <c r="M2140" s="550">
        <v>0</v>
      </c>
      <c r="N2140" s="550">
        <v>755</v>
      </c>
      <c r="O2140" s="550">
        <v>6</v>
      </c>
      <c r="P2140" s="550">
        <v>1593</v>
      </c>
      <c r="Q2140" s="550">
        <v>1609</v>
      </c>
      <c r="R2140" s="574" t="s">
        <v>187</v>
      </c>
      <c r="S2140" s="552"/>
      <c r="T2140" s="552"/>
      <c r="U2140" s="552"/>
      <c r="V2140" s="552"/>
      <c r="W2140" s="552"/>
      <c r="X2140" s="552"/>
      <c r="Y2140" s="552"/>
      <c r="Z2140" s="552"/>
      <c r="AA2140" s="553"/>
      <c r="AB2140" s="553"/>
    </row>
    <row r="2141" spans="1:28" ht="12.75">
      <c r="A2141" s="547" t="s">
        <v>187</v>
      </c>
      <c r="B2141" s="547" t="s">
        <v>187</v>
      </c>
      <c r="C2141" s="548" t="s">
        <v>774</v>
      </c>
      <c r="D2141" s="549">
        <v>2018</v>
      </c>
      <c r="E2141" s="549" t="s">
        <v>775</v>
      </c>
      <c r="F2141" s="550">
        <v>1050</v>
      </c>
      <c r="G2141" s="550">
        <v>0</v>
      </c>
      <c r="H2141" s="550">
        <v>0</v>
      </c>
      <c r="I2141" s="550">
        <v>0</v>
      </c>
      <c r="J2141" s="550">
        <v>695</v>
      </c>
      <c r="K2141" s="550">
        <v>0</v>
      </c>
      <c r="L2141" s="550">
        <v>0</v>
      </c>
      <c r="M2141" s="550">
        <v>0</v>
      </c>
      <c r="N2141" s="550">
        <v>755</v>
      </c>
      <c r="O2141" s="550">
        <v>5</v>
      </c>
      <c r="P2141" s="550">
        <v>1593</v>
      </c>
      <c r="Q2141" s="550">
        <v>1162</v>
      </c>
      <c r="R2141" s="574" t="s">
        <v>187</v>
      </c>
      <c r="S2141" s="552"/>
      <c r="T2141" s="552"/>
      <c r="U2141" s="552"/>
      <c r="V2141" s="552"/>
      <c r="W2141" s="552"/>
      <c r="X2141" s="552"/>
      <c r="Y2141" s="552"/>
      <c r="Z2141" s="552"/>
      <c r="AA2141" s="553"/>
      <c r="AB2141" s="553"/>
    </row>
    <row r="2142" spans="1:28" ht="12.75">
      <c r="A2142" s="547" t="s">
        <v>187</v>
      </c>
      <c r="B2142" s="547" t="s">
        <v>187</v>
      </c>
      <c r="C2142" s="548" t="s">
        <v>782</v>
      </c>
      <c r="D2142" s="549">
        <v>2019</v>
      </c>
      <c r="E2142" s="549" t="s">
        <v>775</v>
      </c>
      <c r="F2142" s="550">
        <v>1050</v>
      </c>
      <c r="G2142" s="550">
        <v>130</v>
      </c>
      <c r="H2142" s="550">
        <v>130</v>
      </c>
      <c r="I2142" s="550">
        <v>0</v>
      </c>
      <c r="J2142" s="550">
        <v>695</v>
      </c>
      <c r="K2142" s="550">
        <v>15</v>
      </c>
      <c r="L2142" s="550">
        <v>15</v>
      </c>
      <c r="M2142" s="550">
        <v>0</v>
      </c>
      <c r="N2142" s="550">
        <v>755</v>
      </c>
      <c r="O2142" s="550">
        <v>8</v>
      </c>
      <c r="P2142" s="550">
        <v>1593</v>
      </c>
      <c r="Q2142" s="550">
        <v>626</v>
      </c>
      <c r="R2142" s="574" t="s">
        <v>187</v>
      </c>
      <c r="S2142" s="255">
        <f>SUM(G2138:G2142) +SUM(K2138:K2142)</f>
        <v>147</v>
      </c>
      <c r="T2142" s="255">
        <f>F2142+J2142</f>
        <v>1745</v>
      </c>
      <c r="U2142" s="255">
        <f>SUM(O2138:O2142)</f>
        <v>54</v>
      </c>
      <c r="V2142" s="255">
        <f>N2142</f>
        <v>755</v>
      </c>
      <c r="W2142" s="83">
        <f>SUM(Q2138:Q2142)</f>
        <v>4008</v>
      </c>
      <c r="X2142" s="255">
        <f>P2142</f>
        <v>1593</v>
      </c>
      <c r="Y2142" s="255">
        <f>S2142+U2142+SUM(Q2138:Q2142)</f>
        <v>4209</v>
      </c>
      <c r="Z2142" s="255">
        <f>F2142+J2142+N2142+P2142</f>
        <v>4093</v>
      </c>
      <c r="AA2142" s="553"/>
      <c r="AB2142" s="553"/>
    </row>
    <row r="2143" spans="1:28" ht="12.75">
      <c r="A2143" s="547" t="s">
        <v>663</v>
      </c>
      <c r="B2143" s="547" t="s">
        <v>187</v>
      </c>
      <c r="C2143" s="548" t="s">
        <v>774</v>
      </c>
      <c r="D2143" s="549">
        <v>2014</v>
      </c>
      <c r="E2143" s="549" t="s">
        <v>775</v>
      </c>
      <c r="F2143" s="550">
        <v>22</v>
      </c>
      <c r="G2143" s="550">
        <v>13</v>
      </c>
      <c r="H2143" s="550">
        <v>13</v>
      </c>
      <c r="I2143" s="550">
        <v>0</v>
      </c>
      <c r="J2143" s="550">
        <v>13</v>
      </c>
      <c r="K2143" s="550">
        <v>0</v>
      </c>
      <c r="L2143" s="550">
        <v>0</v>
      </c>
      <c r="M2143" s="550">
        <v>0</v>
      </c>
      <c r="N2143" s="550">
        <v>214</v>
      </c>
      <c r="O2143" s="550">
        <v>0</v>
      </c>
      <c r="P2143" s="550">
        <v>28</v>
      </c>
      <c r="Q2143" s="550">
        <v>58</v>
      </c>
      <c r="R2143" s="574" t="s">
        <v>663</v>
      </c>
      <c r="S2143" s="552"/>
      <c r="T2143" s="552"/>
      <c r="U2143" s="552"/>
      <c r="V2143" s="552"/>
      <c r="W2143" s="552"/>
      <c r="X2143" s="552"/>
      <c r="Y2143" s="552"/>
      <c r="Z2143" s="552"/>
      <c r="AA2143" s="553"/>
      <c r="AB2143" s="553"/>
    </row>
    <row r="2144" spans="1:28" ht="12.75">
      <c r="A2144" s="547" t="s">
        <v>663</v>
      </c>
      <c r="B2144" s="547" t="s">
        <v>187</v>
      </c>
      <c r="C2144" s="548" t="s">
        <v>774</v>
      </c>
      <c r="D2144" s="549">
        <v>2015</v>
      </c>
      <c r="E2144" s="549" t="s">
        <v>775</v>
      </c>
      <c r="F2144" s="550">
        <v>22</v>
      </c>
      <c r="G2144" s="550">
        <v>5</v>
      </c>
      <c r="H2144" s="550">
        <v>5</v>
      </c>
      <c r="I2144" s="550">
        <v>0</v>
      </c>
      <c r="J2144" s="550">
        <v>13</v>
      </c>
      <c r="K2144" s="550">
        <v>0</v>
      </c>
      <c r="L2144" s="550">
        <v>0</v>
      </c>
      <c r="M2144" s="550">
        <v>0</v>
      </c>
      <c r="N2144" s="550">
        <v>214</v>
      </c>
      <c r="O2144" s="550">
        <v>0</v>
      </c>
      <c r="P2144" s="550">
        <v>28</v>
      </c>
      <c r="Q2144" s="550">
        <v>60</v>
      </c>
      <c r="R2144" s="574" t="s">
        <v>663</v>
      </c>
      <c r="S2144" s="552"/>
      <c r="T2144" s="552"/>
      <c r="U2144" s="552"/>
      <c r="V2144" s="552"/>
      <c r="W2144" s="552"/>
      <c r="X2144" s="552"/>
      <c r="Y2144" s="552"/>
      <c r="Z2144" s="552"/>
      <c r="AA2144" s="553"/>
      <c r="AB2144" s="553"/>
    </row>
    <row r="2145" spans="1:28" ht="12.75">
      <c r="A2145" s="547" t="s">
        <v>663</v>
      </c>
      <c r="B2145" s="547" t="s">
        <v>187</v>
      </c>
      <c r="C2145" s="548" t="s">
        <v>774</v>
      </c>
      <c r="D2145" s="549">
        <v>2016</v>
      </c>
      <c r="E2145" s="549" t="s">
        <v>775</v>
      </c>
      <c r="F2145" s="550">
        <v>22</v>
      </c>
      <c r="G2145" s="550">
        <v>11</v>
      </c>
      <c r="H2145" s="550">
        <v>11</v>
      </c>
      <c r="I2145" s="550">
        <v>0</v>
      </c>
      <c r="J2145" s="550">
        <v>13</v>
      </c>
      <c r="K2145" s="550">
        <v>0</v>
      </c>
      <c r="L2145" s="550">
        <v>0</v>
      </c>
      <c r="M2145" s="550">
        <v>0</v>
      </c>
      <c r="N2145" s="550">
        <v>214</v>
      </c>
      <c r="O2145" s="550">
        <v>0</v>
      </c>
      <c r="P2145" s="550">
        <v>28</v>
      </c>
      <c r="Q2145" s="550">
        <v>66</v>
      </c>
      <c r="R2145" s="574" t="s">
        <v>663</v>
      </c>
      <c r="S2145" s="552"/>
      <c r="T2145" s="552"/>
      <c r="U2145" s="552"/>
      <c r="V2145" s="552"/>
      <c r="W2145" s="552"/>
      <c r="X2145" s="552"/>
      <c r="Y2145" s="552"/>
      <c r="Z2145" s="552"/>
      <c r="AA2145" s="553"/>
      <c r="AB2145" s="553"/>
    </row>
    <row r="2146" spans="1:28" ht="12.75">
      <c r="A2146" s="547" t="s">
        <v>663</v>
      </c>
      <c r="B2146" s="547" t="s">
        <v>187</v>
      </c>
      <c r="C2146" s="548" t="s">
        <v>774</v>
      </c>
      <c r="D2146" s="549">
        <v>2017</v>
      </c>
      <c r="E2146" s="549" t="s">
        <v>775</v>
      </c>
      <c r="F2146" s="550">
        <v>22</v>
      </c>
      <c r="G2146" s="550">
        <v>13</v>
      </c>
      <c r="H2146" s="550">
        <v>0</v>
      </c>
      <c r="I2146" s="550">
        <v>13</v>
      </c>
      <c r="J2146" s="550">
        <v>13</v>
      </c>
      <c r="K2146" s="550">
        <v>0</v>
      </c>
      <c r="L2146" s="550">
        <v>0</v>
      </c>
      <c r="M2146" s="550">
        <v>0</v>
      </c>
      <c r="N2146" s="550">
        <v>214</v>
      </c>
      <c r="O2146" s="550">
        <v>0</v>
      </c>
      <c r="P2146" s="550">
        <v>28</v>
      </c>
      <c r="Q2146" s="550">
        <v>43</v>
      </c>
      <c r="R2146" s="574" t="s">
        <v>663</v>
      </c>
      <c r="S2146" s="552"/>
      <c r="T2146" s="552"/>
      <c r="U2146" s="552"/>
      <c r="V2146" s="552"/>
      <c r="W2146" s="552"/>
      <c r="X2146" s="552"/>
      <c r="Y2146" s="552"/>
      <c r="Z2146" s="552"/>
      <c r="AA2146" s="553"/>
      <c r="AB2146" s="553"/>
    </row>
    <row r="2147" spans="1:28" ht="12.75">
      <c r="A2147" s="547" t="s">
        <v>663</v>
      </c>
      <c r="B2147" s="547" t="s">
        <v>187</v>
      </c>
      <c r="C2147" s="548" t="s">
        <v>774</v>
      </c>
      <c r="D2147" s="549">
        <v>2018</v>
      </c>
      <c r="E2147" s="549" t="s">
        <v>775</v>
      </c>
      <c r="F2147" s="550">
        <v>22</v>
      </c>
      <c r="G2147" s="550">
        <v>22</v>
      </c>
      <c r="H2147" s="550">
        <v>0</v>
      </c>
      <c r="I2147" s="550">
        <v>22</v>
      </c>
      <c r="J2147" s="550">
        <v>13</v>
      </c>
      <c r="K2147" s="550">
        <v>0</v>
      </c>
      <c r="L2147" s="550">
        <v>0</v>
      </c>
      <c r="M2147" s="550">
        <v>0</v>
      </c>
      <c r="N2147" s="550">
        <v>214</v>
      </c>
      <c r="O2147" s="550">
        <v>65</v>
      </c>
      <c r="P2147" s="550">
        <v>28</v>
      </c>
      <c r="Q2147" s="550">
        <v>0</v>
      </c>
      <c r="R2147" s="574" t="s">
        <v>663</v>
      </c>
      <c r="S2147" s="552"/>
      <c r="T2147" s="552"/>
      <c r="U2147" s="552"/>
      <c r="V2147" s="552"/>
      <c r="W2147" s="552"/>
      <c r="X2147" s="552"/>
      <c r="Y2147" s="552"/>
      <c r="Z2147" s="552"/>
      <c r="AA2147" s="553"/>
      <c r="AB2147" s="553"/>
    </row>
    <row r="2148" spans="1:28" ht="12.75">
      <c r="A2148" s="547" t="s">
        <v>663</v>
      </c>
      <c r="B2148" s="547" t="s">
        <v>187</v>
      </c>
      <c r="C2148" s="548" t="s">
        <v>782</v>
      </c>
      <c r="D2148" s="549">
        <v>2019</v>
      </c>
      <c r="E2148" s="549" t="s">
        <v>775</v>
      </c>
      <c r="F2148" s="550">
        <v>22</v>
      </c>
      <c r="G2148" s="550">
        <v>24</v>
      </c>
      <c r="H2148" s="550">
        <v>0</v>
      </c>
      <c r="I2148" s="550">
        <v>24</v>
      </c>
      <c r="J2148" s="550">
        <v>13</v>
      </c>
      <c r="K2148" s="550">
        <v>0</v>
      </c>
      <c r="L2148" s="550">
        <v>0</v>
      </c>
      <c r="M2148" s="550">
        <v>0</v>
      </c>
      <c r="N2148" s="550">
        <v>214</v>
      </c>
      <c r="O2148" s="550">
        <v>2532</v>
      </c>
      <c r="P2148" s="550">
        <v>28</v>
      </c>
      <c r="Q2148" s="550">
        <v>41</v>
      </c>
      <c r="R2148" s="574" t="s">
        <v>663</v>
      </c>
      <c r="S2148" s="552">
        <f>SUM(G2143:G2148) +SUM(K2143:K2148)</f>
        <v>88</v>
      </c>
      <c r="T2148" s="552">
        <f>F2148+J2148</f>
        <v>35</v>
      </c>
      <c r="U2148" s="552">
        <f>SUM(O2143:O2148)</f>
        <v>2597</v>
      </c>
      <c r="V2148" s="552">
        <f>N2148</f>
        <v>214</v>
      </c>
      <c r="W2148" s="554">
        <f>SUM(Q2143:Q2148)</f>
        <v>268</v>
      </c>
      <c r="X2148" s="552">
        <f>P2148</f>
        <v>28</v>
      </c>
      <c r="Y2148" s="552">
        <f>S2148+U2148+SUM(Q2143:Q2148)</f>
        <v>2953</v>
      </c>
      <c r="Z2148" s="552">
        <f>F2148+J2148+N2148+P2148</f>
        <v>277</v>
      </c>
      <c r="AA2148" s="553"/>
      <c r="AB2148" s="553"/>
    </row>
    <row r="2149" spans="1:28" ht="12.75">
      <c r="A2149" s="547" t="s">
        <v>664</v>
      </c>
      <c r="B2149" s="547" t="s">
        <v>187</v>
      </c>
      <c r="C2149" s="548" t="s">
        <v>774</v>
      </c>
      <c r="D2149" s="549">
        <v>2015</v>
      </c>
      <c r="E2149" s="549" t="s">
        <v>775</v>
      </c>
      <c r="F2149" s="550">
        <v>147</v>
      </c>
      <c r="G2149" s="550">
        <v>0</v>
      </c>
      <c r="H2149" s="550">
        <v>0</v>
      </c>
      <c r="I2149" s="550">
        <v>0</v>
      </c>
      <c r="J2149" s="550">
        <v>95</v>
      </c>
      <c r="K2149" s="550">
        <v>7</v>
      </c>
      <c r="L2149" s="550">
        <v>7</v>
      </c>
      <c r="M2149" s="550">
        <v>0</v>
      </c>
      <c r="N2149" s="550">
        <v>104</v>
      </c>
      <c r="O2149" s="550">
        <v>1</v>
      </c>
      <c r="P2149" s="550">
        <v>93</v>
      </c>
      <c r="Q2149" s="550">
        <v>6</v>
      </c>
      <c r="R2149" s="574" t="s">
        <v>664</v>
      </c>
      <c r="S2149" s="552"/>
      <c r="T2149" s="552"/>
      <c r="U2149" s="552"/>
      <c r="V2149" s="552"/>
      <c r="W2149" s="552"/>
      <c r="X2149" s="552"/>
      <c r="Y2149" s="552"/>
      <c r="Z2149" s="552"/>
      <c r="AA2149" s="553"/>
      <c r="AB2149" s="553"/>
    </row>
    <row r="2150" spans="1:28" ht="12.75">
      <c r="A2150" s="547" t="s">
        <v>664</v>
      </c>
      <c r="B2150" s="547" t="s">
        <v>187</v>
      </c>
      <c r="C2150" s="548" t="s">
        <v>774</v>
      </c>
      <c r="D2150" s="549">
        <v>2016</v>
      </c>
      <c r="E2150" s="549" t="s">
        <v>775</v>
      </c>
      <c r="F2150" s="550">
        <v>147</v>
      </c>
      <c r="G2150" s="550">
        <v>0</v>
      </c>
      <c r="H2150" s="550">
        <v>0</v>
      </c>
      <c r="I2150" s="550">
        <v>0</v>
      </c>
      <c r="J2150" s="550">
        <v>95</v>
      </c>
      <c r="K2150" s="550">
        <v>11</v>
      </c>
      <c r="L2150" s="550">
        <v>11</v>
      </c>
      <c r="M2150" s="550">
        <v>0</v>
      </c>
      <c r="N2150" s="550">
        <v>104</v>
      </c>
      <c r="O2150" s="550">
        <v>1</v>
      </c>
      <c r="P2150" s="550">
        <v>93</v>
      </c>
      <c r="Q2150" s="550">
        <v>6</v>
      </c>
      <c r="R2150" s="574" t="s">
        <v>664</v>
      </c>
      <c r="S2150" s="552"/>
      <c r="T2150" s="552"/>
      <c r="U2150" s="552"/>
      <c r="V2150" s="552"/>
      <c r="W2150" s="552"/>
      <c r="X2150" s="552"/>
      <c r="Y2150" s="552"/>
      <c r="Z2150" s="552"/>
      <c r="AA2150" s="553"/>
      <c r="AB2150" s="553"/>
    </row>
    <row r="2151" spans="1:28" ht="12.75">
      <c r="A2151" s="547" t="s">
        <v>664</v>
      </c>
      <c r="B2151" s="547" t="s">
        <v>187</v>
      </c>
      <c r="C2151" s="548" t="s">
        <v>774</v>
      </c>
      <c r="D2151" s="549">
        <v>2017</v>
      </c>
      <c r="E2151" s="549" t="s">
        <v>775</v>
      </c>
      <c r="F2151" s="550">
        <v>147</v>
      </c>
      <c r="G2151" s="550">
        <v>0</v>
      </c>
      <c r="H2151" s="550">
        <v>0</v>
      </c>
      <c r="I2151" s="550">
        <v>0</v>
      </c>
      <c r="J2151" s="550">
        <v>95</v>
      </c>
      <c r="K2151" s="550">
        <v>14</v>
      </c>
      <c r="L2151" s="550">
        <v>14</v>
      </c>
      <c r="M2151" s="550">
        <v>0</v>
      </c>
      <c r="N2151" s="550">
        <v>104</v>
      </c>
      <c r="O2151" s="550">
        <v>4</v>
      </c>
      <c r="P2151" s="550">
        <v>93</v>
      </c>
      <c r="Q2151" s="550">
        <v>7</v>
      </c>
      <c r="R2151" s="574" t="s">
        <v>664</v>
      </c>
      <c r="S2151" s="552"/>
      <c r="T2151" s="552"/>
      <c r="U2151" s="552"/>
      <c r="V2151" s="552"/>
      <c r="W2151" s="552"/>
      <c r="X2151" s="552"/>
      <c r="Y2151" s="552"/>
      <c r="Z2151" s="552"/>
      <c r="AA2151" s="553"/>
      <c r="AB2151" s="553"/>
    </row>
    <row r="2152" spans="1:28" ht="12.75">
      <c r="A2152" s="547" t="s">
        <v>664</v>
      </c>
      <c r="B2152" s="547" t="s">
        <v>187</v>
      </c>
      <c r="C2152" s="548" t="s">
        <v>774</v>
      </c>
      <c r="D2152" s="549">
        <v>2018</v>
      </c>
      <c r="E2152" s="549" t="s">
        <v>775</v>
      </c>
      <c r="F2152" s="550">
        <v>147</v>
      </c>
      <c r="G2152" s="564"/>
      <c r="H2152" s="564"/>
      <c r="I2152" s="564"/>
      <c r="J2152" s="550">
        <v>95</v>
      </c>
      <c r="K2152" s="564"/>
      <c r="L2152" s="564"/>
      <c r="M2152" s="564"/>
      <c r="N2152" s="550">
        <v>104</v>
      </c>
      <c r="O2152" s="564"/>
      <c r="P2152" s="550">
        <v>93</v>
      </c>
      <c r="Q2152" s="564"/>
      <c r="R2152" s="574" t="s">
        <v>664</v>
      </c>
      <c r="S2152" s="552"/>
      <c r="T2152" s="552"/>
      <c r="U2152" s="552"/>
      <c r="V2152" s="552"/>
      <c r="W2152" s="552"/>
      <c r="X2152" s="552"/>
      <c r="Y2152" s="552"/>
      <c r="Z2152" s="552"/>
      <c r="AA2152" s="553"/>
      <c r="AB2152" s="553"/>
    </row>
    <row r="2153" spans="1:28" ht="12.75">
      <c r="A2153" s="547" t="s">
        <v>664</v>
      </c>
      <c r="B2153" s="547" t="s">
        <v>187</v>
      </c>
      <c r="C2153" s="548" t="s">
        <v>782</v>
      </c>
      <c r="D2153" s="549">
        <v>2019</v>
      </c>
      <c r="E2153" s="549" t="s">
        <v>775</v>
      </c>
      <c r="F2153" s="550">
        <v>147</v>
      </c>
      <c r="G2153" s="550">
        <v>0</v>
      </c>
      <c r="H2153" s="550">
        <v>0</v>
      </c>
      <c r="I2153" s="550">
        <v>0</v>
      </c>
      <c r="J2153" s="550">
        <v>95</v>
      </c>
      <c r="K2153" s="550">
        <v>17</v>
      </c>
      <c r="L2153" s="550">
        <v>17</v>
      </c>
      <c r="M2153" s="550">
        <v>0</v>
      </c>
      <c r="N2153" s="550">
        <v>104</v>
      </c>
      <c r="O2153" s="550">
        <v>8</v>
      </c>
      <c r="P2153" s="550">
        <v>93</v>
      </c>
      <c r="Q2153" s="550">
        <v>3</v>
      </c>
      <c r="R2153" s="574" t="s">
        <v>664</v>
      </c>
      <c r="S2153" s="255">
        <f>SUM(G2149:G2153) +SUM(K2149:K2153)</f>
        <v>49</v>
      </c>
      <c r="T2153" s="255">
        <f>F2153+J2153</f>
        <v>242</v>
      </c>
      <c r="U2153" s="255">
        <f>SUM(O2149:O2153)</f>
        <v>14</v>
      </c>
      <c r="V2153" s="255">
        <f>N2153</f>
        <v>104</v>
      </c>
      <c r="W2153" s="83">
        <f>SUM(Q2149:Q2153)</f>
        <v>22</v>
      </c>
      <c r="X2153" s="255">
        <f>P2153</f>
        <v>93</v>
      </c>
      <c r="Y2153" s="255">
        <f>S2153+U2153+SUM(Q2149:Q2153)</f>
        <v>85</v>
      </c>
      <c r="Z2153" s="255">
        <f>F2153+J2153+N2153+P2153</f>
        <v>439</v>
      </c>
      <c r="AA2153" s="553"/>
      <c r="AB2153" s="553"/>
    </row>
    <row r="2154" spans="1:28" ht="12.75">
      <c r="A2154" s="547" t="s">
        <v>665</v>
      </c>
      <c r="B2154" s="547" t="s">
        <v>187</v>
      </c>
      <c r="C2154" s="548" t="s">
        <v>774</v>
      </c>
      <c r="D2154" s="549">
        <v>2015</v>
      </c>
      <c r="E2154" s="549" t="s">
        <v>775</v>
      </c>
      <c r="F2154" s="550">
        <v>1640</v>
      </c>
      <c r="G2154" s="550">
        <v>43</v>
      </c>
      <c r="H2154" s="550">
        <v>43</v>
      </c>
      <c r="I2154" s="550">
        <v>0</v>
      </c>
      <c r="J2154" s="550">
        <v>906</v>
      </c>
      <c r="K2154" s="550">
        <v>0</v>
      </c>
      <c r="L2154" s="550">
        <v>0</v>
      </c>
      <c r="M2154" s="550">
        <v>0</v>
      </c>
      <c r="N2154" s="550">
        <v>932</v>
      </c>
      <c r="O2154" s="550">
        <v>26</v>
      </c>
      <c r="P2154" s="550">
        <v>1974</v>
      </c>
      <c r="Q2154" s="550">
        <v>796</v>
      </c>
      <c r="R2154" s="574" t="s">
        <v>665</v>
      </c>
      <c r="S2154" s="552"/>
      <c r="T2154" s="552"/>
      <c r="U2154" s="552"/>
      <c r="V2154" s="552"/>
      <c r="W2154" s="552"/>
      <c r="X2154" s="552"/>
      <c r="Y2154" s="552"/>
      <c r="Z2154" s="552"/>
      <c r="AA2154" s="553"/>
      <c r="AB2154" s="553"/>
    </row>
    <row r="2155" spans="1:28" ht="12.75">
      <c r="A2155" s="547" t="s">
        <v>665</v>
      </c>
      <c r="B2155" s="547" t="s">
        <v>187</v>
      </c>
      <c r="C2155" s="548" t="s">
        <v>774</v>
      </c>
      <c r="D2155" s="549">
        <v>2016</v>
      </c>
      <c r="E2155" s="549" t="s">
        <v>775</v>
      </c>
      <c r="F2155" s="550">
        <v>1640</v>
      </c>
      <c r="G2155" s="550">
        <v>0</v>
      </c>
      <c r="H2155" s="550">
        <v>0</v>
      </c>
      <c r="I2155" s="550">
        <v>0</v>
      </c>
      <c r="J2155" s="550">
        <v>906</v>
      </c>
      <c r="K2155" s="550">
        <v>1</v>
      </c>
      <c r="L2155" s="550">
        <v>1</v>
      </c>
      <c r="M2155" s="550">
        <v>0</v>
      </c>
      <c r="N2155" s="550">
        <v>932</v>
      </c>
      <c r="O2155" s="550">
        <v>32</v>
      </c>
      <c r="P2155" s="550">
        <v>1974</v>
      </c>
      <c r="Q2155" s="550">
        <v>222</v>
      </c>
      <c r="R2155" s="574" t="s">
        <v>665</v>
      </c>
      <c r="S2155" s="552"/>
      <c r="T2155" s="552"/>
      <c r="U2155" s="552"/>
      <c r="V2155" s="552"/>
      <c r="W2155" s="552"/>
      <c r="X2155" s="552"/>
      <c r="Y2155" s="552"/>
      <c r="Z2155" s="552"/>
      <c r="AA2155" s="553"/>
      <c r="AB2155" s="553"/>
    </row>
    <row r="2156" spans="1:28" ht="12.75">
      <c r="A2156" s="547" t="s">
        <v>665</v>
      </c>
      <c r="B2156" s="547" t="s">
        <v>187</v>
      </c>
      <c r="C2156" s="548" t="s">
        <v>774</v>
      </c>
      <c r="D2156" s="549">
        <v>2017</v>
      </c>
      <c r="E2156" s="549" t="s">
        <v>775</v>
      </c>
      <c r="F2156" s="550">
        <v>1640</v>
      </c>
      <c r="G2156" s="550">
        <v>46</v>
      </c>
      <c r="H2156" s="550">
        <v>46</v>
      </c>
      <c r="I2156" s="550">
        <v>0</v>
      </c>
      <c r="J2156" s="550">
        <v>906</v>
      </c>
      <c r="K2156" s="550">
        <v>20</v>
      </c>
      <c r="L2156" s="550">
        <v>20</v>
      </c>
      <c r="M2156" s="550">
        <v>0</v>
      </c>
      <c r="N2156" s="550">
        <v>932</v>
      </c>
      <c r="O2156" s="550">
        <v>47</v>
      </c>
      <c r="P2156" s="550">
        <v>1974</v>
      </c>
      <c r="Q2156" s="550">
        <v>381</v>
      </c>
      <c r="R2156" s="574" t="s">
        <v>665</v>
      </c>
      <c r="S2156" s="552"/>
      <c r="T2156" s="552"/>
      <c r="U2156" s="552"/>
      <c r="V2156" s="552"/>
      <c r="W2156" s="552"/>
      <c r="X2156" s="552"/>
      <c r="Y2156" s="552"/>
      <c r="Z2156" s="552"/>
      <c r="AA2156" s="553"/>
      <c r="AB2156" s="553"/>
    </row>
    <row r="2157" spans="1:28" ht="12.75">
      <c r="A2157" s="547" t="s">
        <v>665</v>
      </c>
      <c r="B2157" s="547" t="s">
        <v>187</v>
      </c>
      <c r="C2157" s="548" t="s">
        <v>774</v>
      </c>
      <c r="D2157" s="549">
        <v>2018</v>
      </c>
      <c r="E2157" s="549" t="s">
        <v>775</v>
      </c>
      <c r="F2157" s="550">
        <v>1640</v>
      </c>
      <c r="G2157" s="550">
        <v>0</v>
      </c>
      <c r="H2157" s="550">
        <v>0</v>
      </c>
      <c r="I2157" s="550">
        <v>0</v>
      </c>
      <c r="J2157" s="550">
        <v>906</v>
      </c>
      <c r="K2157" s="550">
        <v>0</v>
      </c>
      <c r="L2157" s="550">
        <v>0</v>
      </c>
      <c r="M2157" s="550">
        <v>0</v>
      </c>
      <c r="N2157" s="550">
        <v>932</v>
      </c>
      <c r="O2157" s="550">
        <v>62</v>
      </c>
      <c r="P2157" s="550">
        <v>1974</v>
      </c>
      <c r="Q2157" s="550">
        <v>207</v>
      </c>
      <c r="R2157" s="574" t="s">
        <v>665</v>
      </c>
      <c r="S2157" s="552"/>
      <c r="T2157" s="552"/>
      <c r="U2157" s="552"/>
      <c r="V2157" s="552"/>
      <c r="W2157" s="552"/>
      <c r="X2157" s="552"/>
      <c r="Y2157" s="552"/>
      <c r="Z2157" s="552"/>
      <c r="AA2157" s="553"/>
      <c r="AB2157" s="553"/>
    </row>
    <row r="2158" spans="1:28" ht="12.75">
      <c r="A2158" s="547" t="s">
        <v>665</v>
      </c>
      <c r="B2158" s="547" t="s">
        <v>187</v>
      </c>
      <c r="C2158" s="548" t="s">
        <v>782</v>
      </c>
      <c r="D2158" s="549">
        <v>2019</v>
      </c>
      <c r="E2158" s="549" t="s">
        <v>775</v>
      </c>
      <c r="F2158" s="550">
        <v>1640</v>
      </c>
      <c r="G2158" s="550">
        <v>25</v>
      </c>
      <c r="H2158" s="550">
        <v>25</v>
      </c>
      <c r="I2158" s="550">
        <v>0</v>
      </c>
      <c r="J2158" s="550">
        <v>906</v>
      </c>
      <c r="K2158" s="550">
        <v>0</v>
      </c>
      <c r="L2158" s="550">
        <v>0</v>
      </c>
      <c r="M2158" s="550">
        <v>0</v>
      </c>
      <c r="N2158" s="550">
        <v>932</v>
      </c>
      <c r="O2158" s="550">
        <v>40</v>
      </c>
      <c r="P2158" s="550">
        <v>1974</v>
      </c>
      <c r="Q2158" s="550">
        <v>609</v>
      </c>
      <c r="R2158" s="574" t="s">
        <v>665</v>
      </c>
      <c r="S2158" s="561">
        <f>SUM(G2154:G2158) +SUM(K2154:K2158)</f>
        <v>135</v>
      </c>
      <c r="T2158" s="561">
        <f>F2158+J2158</f>
        <v>2546</v>
      </c>
      <c r="U2158" s="561">
        <f>SUM(O2154:O2158)</f>
        <v>207</v>
      </c>
      <c r="V2158" s="561">
        <f>N2158</f>
        <v>932</v>
      </c>
      <c r="W2158" s="562">
        <f>SUM(Q2154:Q2158)</f>
        <v>2215</v>
      </c>
      <c r="X2158" s="561">
        <f>P2158</f>
        <v>1974</v>
      </c>
      <c r="Y2158" s="561">
        <f>S2158+U2158+SUM(Q2154:Q2158)</f>
        <v>2557</v>
      </c>
      <c r="Z2158" s="561">
        <f>F2158+J2158+N2158+P2158</f>
        <v>5452</v>
      </c>
      <c r="AA2158" s="553"/>
      <c r="AB2158" s="553"/>
    </row>
    <row r="2159" spans="1:28" ht="12.75">
      <c r="A2159" s="547"/>
      <c r="B2159" s="547"/>
      <c r="C2159" s="548"/>
      <c r="D2159" s="549"/>
      <c r="E2159" s="549"/>
      <c r="F2159" s="550"/>
      <c r="G2159" s="550"/>
      <c r="H2159" s="550"/>
      <c r="I2159" s="550"/>
      <c r="J2159" s="550"/>
      <c r="K2159" s="550"/>
      <c r="L2159" s="550"/>
      <c r="M2159" s="550"/>
      <c r="N2159" s="550"/>
      <c r="O2159" s="550"/>
      <c r="P2159" s="550"/>
      <c r="Q2159" s="550"/>
      <c r="R2159" s="574"/>
      <c r="S2159" s="563">
        <f t="shared" ref="S2159:Z2159" si="216">SUM(S2075:S2158)</f>
        <v>3211</v>
      </c>
      <c r="T2159" s="563">
        <f t="shared" si="216"/>
        <v>25700</v>
      </c>
      <c r="U2159" s="563">
        <f t="shared" si="216"/>
        <v>5791</v>
      </c>
      <c r="V2159" s="563">
        <f t="shared" si="216"/>
        <v>10636</v>
      </c>
      <c r="W2159" s="563">
        <f t="shared" si="216"/>
        <v>30579</v>
      </c>
      <c r="X2159" s="563">
        <f t="shared" si="216"/>
        <v>22500</v>
      </c>
      <c r="Y2159" s="563">
        <f t="shared" si="216"/>
        <v>39581</v>
      </c>
      <c r="Z2159" s="563">
        <f t="shared" si="216"/>
        <v>58836</v>
      </c>
      <c r="AA2159" s="553"/>
      <c r="AB2159" s="553"/>
    </row>
    <row r="2160" spans="1:28" ht="12.75">
      <c r="A2160" s="547" t="s">
        <v>666</v>
      </c>
      <c r="B2160" s="547" t="s">
        <v>188</v>
      </c>
      <c r="C2160" s="548" t="s">
        <v>177</v>
      </c>
      <c r="D2160" s="549">
        <v>2015</v>
      </c>
      <c r="E2160" s="549" t="s">
        <v>775</v>
      </c>
      <c r="F2160" s="550">
        <v>34</v>
      </c>
      <c r="G2160" s="550">
        <v>0</v>
      </c>
      <c r="H2160" s="550">
        <v>0</v>
      </c>
      <c r="I2160" s="550">
        <v>0</v>
      </c>
      <c r="J2160" s="550">
        <v>23</v>
      </c>
      <c r="K2160" s="550">
        <v>0</v>
      </c>
      <c r="L2160" s="550">
        <v>0</v>
      </c>
      <c r="M2160" s="550">
        <v>0</v>
      </c>
      <c r="N2160" s="550">
        <v>26</v>
      </c>
      <c r="O2160" s="550">
        <v>0</v>
      </c>
      <c r="P2160" s="550">
        <v>60</v>
      </c>
      <c r="Q2160" s="550">
        <v>2</v>
      </c>
      <c r="R2160" s="574" t="s">
        <v>666</v>
      </c>
      <c r="S2160" s="552"/>
      <c r="T2160" s="552"/>
      <c r="U2160" s="552"/>
      <c r="V2160" s="552"/>
      <c r="W2160" s="552"/>
      <c r="X2160" s="552"/>
      <c r="Y2160" s="552"/>
      <c r="Z2160" s="552"/>
      <c r="AA2160" s="553"/>
      <c r="AB2160" s="553"/>
    </row>
    <row r="2161" spans="1:28" ht="12.75">
      <c r="A2161" s="547" t="s">
        <v>666</v>
      </c>
      <c r="B2161" s="547" t="s">
        <v>188</v>
      </c>
      <c r="C2161" s="548" t="s">
        <v>177</v>
      </c>
      <c r="D2161" s="549">
        <v>2016</v>
      </c>
      <c r="E2161" s="549" t="s">
        <v>775</v>
      </c>
      <c r="F2161" s="550">
        <v>34</v>
      </c>
      <c r="G2161" s="550">
        <v>0</v>
      </c>
      <c r="H2161" s="550">
        <v>0</v>
      </c>
      <c r="I2161" s="550">
        <v>0</v>
      </c>
      <c r="J2161" s="550">
        <v>23</v>
      </c>
      <c r="K2161" s="550">
        <v>0</v>
      </c>
      <c r="L2161" s="550">
        <v>0</v>
      </c>
      <c r="M2161" s="550">
        <v>0</v>
      </c>
      <c r="N2161" s="550">
        <v>26</v>
      </c>
      <c r="O2161" s="550">
        <v>0</v>
      </c>
      <c r="P2161" s="550">
        <v>60</v>
      </c>
      <c r="Q2161" s="550">
        <v>1</v>
      </c>
      <c r="R2161" s="574" t="s">
        <v>666</v>
      </c>
      <c r="S2161" s="552"/>
      <c r="T2161" s="552"/>
      <c r="U2161" s="552"/>
      <c r="V2161" s="552"/>
      <c r="W2161" s="552"/>
      <c r="X2161" s="552"/>
      <c r="Y2161" s="552"/>
      <c r="Z2161" s="552"/>
      <c r="AA2161" s="553"/>
      <c r="AB2161" s="553"/>
    </row>
    <row r="2162" spans="1:28" ht="12.75">
      <c r="A2162" s="547" t="s">
        <v>666</v>
      </c>
      <c r="B2162" s="547" t="s">
        <v>188</v>
      </c>
      <c r="C2162" s="548" t="s">
        <v>177</v>
      </c>
      <c r="D2162" s="549">
        <v>2017</v>
      </c>
      <c r="E2162" s="549" t="s">
        <v>775</v>
      </c>
      <c r="F2162" s="550">
        <v>34</v>
      </c>
      <c r="G2162" s="550">
        <v>0</v>
      </c>
      <c r="H2162" s="550">
        <v>0</v>
      </c>
      <c r="I2162" s="550">
        <v>0</v>
      </c>
      <c r="J2162" s="550">
        <v>23</v>
      </c>
      <c r="K2162" s="550">
        <v>0</v>
      </c>
      <c r="L2162" s="550">
        <v>0</v>
      </c>
      <c r="M2162" s="550">
        <v>0</v>
      </c>
      <c r="N2162" s="550">
        <v>26</v>
      </c>
      <c r="O2162" s="550">
        <v>1</v>
      </c>
      <c r="P2162" s="550">
        <v>60</v>
      </c>
      <c r="Q2162" s="550">
        <v>20</v>
      </c>
      <c r="R2162" s="574" t="s">
        <v>666</v>
      </c>
      <c r="S2162" s="552"/>
      <c r="T2162" s="552"/>
      <c r="U2162" s="552"/>
      <c r="V2162" s="552"/>
      <c r="W2162" s="552"/>
      <c r="X2162" s="552"/>
      <c r="Y2162" s="552"/>
      <c r="Z2162" s="552"/>
      <c r="AA2162" s="553"/>
      <c r="AB2162" s="553"/>
    </row>
    <row r="2163" spans="1:28" ht="12.75">
      <c r="A2163" s="547" t="s">
        <v>666</v>
      </c>
      <c r="B2163" s="547" t="s">
        <v>188</v>
      </c>
      <c r="C2163" s="548" t="s">
        <v>177</v>
      </c>
      <c r="D2163" s="549">
        <v>2018</v>
      </c>
      <c r="E2163" s="549" t="s">
        <v>775</v>
      </c>
      <c r="F2163" s="550">
        <v>34</v>
      </c>
      <c r="G2163" s="550">
        <v>0</v>
      </c>
      <c r="H2163" s="550">
        <v>0</v>
      </c>
      <c r="I2163" s="550">
        <v>0</v>
      </c>
      <c r="J2163" s="550">
        <v>23</v>
      </c>
      <c r="K2163" s="550">
        <v>0</v>
      </c>
      <c r="L2163" s="550">
        <v>0</v>
      </c>
      <c r="M2163" s="550">
        <v>0</v>
      </c>
      <c r="N2163" s="550">
        <v>26</v>
      </c>
      <c r="O2163" s="550">
        <v>0</v>
      </c>
      <c r="P2163" s="550">
        <v>60</v>
      </c>
      <c r="Q2163" s="550">
        <v>0</v>
      </c>
      <c r="R2163" s="574" t="s">
        <v>666</v>
      </c>
      <c r="S2163" s="552"/>
      <c r="T2163" s="552"/>
      <c r="U2163" s="552"/>
      <c r="V2163" s="552"/>
      <c r="W2163" s="552"/>
      <c r="X2163" s="552"/>
      <c r="Y2163" s="552"/>
      <c r="Z2163" s="552"/>
      <c r="AA2163" s="553"/>
      <c r="AB2163" s="553"/>
    </row>
    <row r="2164" spans="1:28" ht="12.75">
      <c r="A2164" s="547" t="s">
        <v>666</v>
      </c>
      <c r="B2164" s="547" t="s">
        <v>188</v>
      </c>
      <c r="C2164" s="548" t="s">
        <v>811</v>
      </c>
      <c r="D2164" s="549">
        <v>2019</v>
      </c>
      <c r="E2164" s="549" t="s">
        <v>775</v>
      </c>
      <c r="F2164" s="550">
        <v>34</v>
      </c>
      <c r="G2164" s="550">
        <v>0</v>
      </c>
      <c r="H2164" s="550">
        <v>0</v>
      </c>
      <c r="I2164" s="550">
        <v>0</v>
      </c>
      <c r="J2164" s="550">
        <v>23</v>
      </c>
      <c r="K2164" s="550">
        <v>0</v>
      </c>
      <c r="L2164" s="550">
        <v>0</v>
      </c>
      <c r="M2164" s="550">
        <v>0</v>
      </c>
      <c r="N2164" s="550">
        <v>26</v>
      </c>
      <c r="O2164" s="550">
        <v>0</v>
      </c>
      <c r="P2164" s="550">
        <v>60</v>
      </c>
      <c r="Q2164" s="550">
        <v>7</v>
      </c>
      <c r="R2164" s="574" t="s">
        <v>666</v>
      </c>
      <c r="S2164" s="255">
        <f>SUM(G2160:G2164) +SUM(K2160:K2164)</f>
        <v>0</v>
      </c>
      <c r="T2164" s="255">
        <f>F2164+J2164</f>
        <v>57</v>
      </c>
      <c r="U2164" s="255">
        <f>SUM(O2160:O2164)</f>
        <v>1</v>
      </c>
      <c r="V2164" s="255">
        <f>N2164</f>
        <v>26</v>
      </c>
      <c r="W2164" s="83">
        <f>SUM(Q2160:Q2164)</f>
        <v>30</v>
      </c>
      <c r="X2164" s="255">
        <f>P2164</f>
        <v>60</v>
      </c>
      <c r="Y2164" s="255">
        <f>S2164+U2164+SUM(Q2160:Q2164)</f>
        <v>31</v>
      </c>
      <c r="Z2164" s="255">
        <f>F2164+J2164+N2164+P2164</f>
        <v>143</v>
      </c>
      <c r="AA2164" s="553"/>
      <c r="AB2164" s="553"/>
    </row>
    <row r="2165" spans="1:28" ht="12.75">
      <c r="A2165" s="547" t="s">
        <v>188</v>
      </c>
      <c r="B2165" s="547" t="s">
        <v>188</v>
      </c>
      <c r="C2165" s="548" t="s">
        <v>177</v>
      </c>
      <c r="D2165" s="549">
        <v>2015</v>
      </c>
      <c r="E2165" s="549" t="s">
        <v>775</v>
      </c>
      <c r="F2165" s="550">
        <v>180</v>
      </c>
      <c r="G2165" s="550">
        <v>5</v>
      </c>
      <c r="H2165" s="550">
        <v>5</v>
      </c>
      <c r="I2165" s="550">
        <v>0</v>
      </c>
      <c r="J2165" s="550">
        <v>118</v>
      </c>
      <c r="K2165" s="550">
        <v>7</v>
      </c>
      <c r="L2165" s="550">
        <v>7</v>
      </c>
      <c r="M2165" s="550">
        <v>0</v>
      </c>
      <c r="N2165" s="550">
        <v>136</v>
      </c>
      <c r="O2165" s="550">
        <v>39</v>
      </c>
      <c r="P2165" s="550">
        <v>313</v>
      </c>
      <c r="Q2165" s="550">
        <v>94</v>
      </c>
      <c r="R2165" s="574" t="s">
        <v>188</v>
      </c>
      <c r="S2165" s="552"/>
      <c r="T2165" s="552"/>
      <c r="U2165" s="552"/>
      <c r="V2165" s="552"/>
      <c r="W2165" s="552"/>
      <c r="X2165" s="552"/>
      <c r="Y2165" s="552"/>
      <c r="Z2165" s="552"/>
      <c r="AA2165" s="553"/>
      <c r="AB2165" s="553"/>
    </row>
    <row r="2166" spans="1:28" ht="12.75">
      <c r="A2166" s="547" t="s">
        <v>188</v>
      </c>
      <c r="B2166" s="547" t="s">
        <v>188</v>
      </c>
      <c r="C2166" s="548" t="s">
        <v>177</v>
      </c>
      <c r="D2166" s="549">
        <v>2016</v>
      </c>
      <c r="E2166" s="549" t="s">
        <v>775</v>
      </c>
      <c r="F2166" s="550">
        <v>180</v>
      </c>
      <c r="G2166" s="550">
        <v>1</v>
      </c>
      <c r="H2166" s="550">
        <v>1</v>
      </c>
      <c r="I2166" s="550">
        <v>0</v>
      </c>
      <c r="J2166" s="550">
        <v>118</v>
      </c>
      <c r="K2166" s="550">
        <v>15</v>
      </c>
      <c r="L2166" s="550">
        <v>15</v>
      </c>
      <c r="M2166" s="550">
        <v>0</v>
      </c>
      <c r="N2166" s="550">
        <v>136</v>
      </c>
      <c r="O2166" s="550">
        <v>112</v>
      </c>
      <c r="P2166" s="550">
        <v>313</v>
      </c>
      <c r="Q2166" s="550">
        <v>44</v>
      </c>
      <c r="R2166" s="574" t="s">
        <v>188</v>
      </c>
      <c r="S2166" s="552"/>
      <c r="T2166" s="552"/>
      <c r="U2166" s="552"/>
      <c r="V2166" s="552"/>
      <c r="W2166" s="552"/>
      <c r="X2166" s="552"/>
      <c r="Y2166" s="552"/>
      <c r="Z2166" s="552"/>
      <c r="AA2166" s="553"/>
      <c r="AB2166" s="553"/>
    </row>
    <row r="2167" spans="1:28" ht="12.75">
      <c r="A2167" s="547" t="s">
        <v>188</v>
      </c>
      <c r="B2167" s="547" t="s">
        <v>188</v>
      </c>
      <c r="C2167" s="548" t="s">
        <v>177</v>
      </c>
      <c r="D2167" s="549">
        <v>2017</v>
      </c>
      <c r="E2167" s="549" t="s">
        <v>775</v>
      </c>
      <c r="F2167" s="550">
        <v>180</v>
      </c>
      <c r="G2167" s="550">
        <v>0</v>
      </c>
      <c r="H2167" s="550">
        <v>0</v>
      </c>
      <c r="I2167" s="550">
        <v>0</v>
      </c>
      <c r="J2167" s="550">
        <v>118</v>
      </c>
      <c r="K2167" s="550">
        <v>13</v>
      </c>
      <c r="L2167" s="550">
        <v>13</v>
      </c>
      <c r="M2167" s="550">
        <v>0</v>
      </c>
      <c r="N2167" s="550">
        <v>136</v>
      </c>
      <c r="O2167" s="550">
        <v>41</v>
      </c>
      <c r="P2167" s="550">
        <v>313</v>
      </c>
      <c r="Q2167" s="550">
        <v>109</v>
      </c>
      <c r="R2167" s="574" t="s">
        <v>188</v>
      </c>
      <c r="S2167" s="552"/>
      <c r="T2167" s="552"/>
      <c r="U2167" s="552"/>
      <c r="V2167" s="552"/>
      <c r="W2167" s="552"/>
      <c r="X2167" s="552"/>
      <c r="Y2167" s="552"/>
      <c r="Z2167" s="552"/>
      <c r="AA2167" s="553"/>
      <c r="AB2167" s="553"/>
    </row>
    <row r="2168" spans="1:28" ht="12.75">
      <c r="A2168" s="547" t="s">
        <v>188</v>
      </c>
      <c r="B2168" s="547" t="s">
        <v>188</v>
      </c>
      <c r="C2168" s="548" t="s">
        <v>177</v>
      </c>
      <c r="D2168" s="549">
        <v>2018</v>
      </c>
      <c r="E2168" s="549" t="s">
        <v>775</v>
      </c>
      <c r="F2168" s="550">
        <v>180</v>
      </c>
      <c r="G2168" s="550">
        <v>6</v>
      </c>
      <c r="H2168" s="550">
        <v>6</v>
      </c>
      <c r="I2168" s="550">
        <v>0</v>
      </c>
      <c r="J2168" s="550">
        <v>118</v>
      </c>
      <c r="K2168" s="550">
        <v>53</v>
      </c>
      <c r="L2168" s="550">
        <v>47</v>
      </c>
      <c r="M2168" s="550">
        <v>6</v>
      </c>
      <c r="N2168" s="550">
        <v>136</v>
      </c>
      <c r="O2168" s="550">
        <v>1</v>
      </c>
      <c r="P2168" s="550">
        <v>313</v>
      </c>
      <c r="Q2168" s="550">
        <v>90</v>
      </c>
      <c r="R2168" s="574" t="s">
        <v>188</v>
      </c>
      <c r="S2168" s="552"/>
      <c r="T2168" s="552"/>
      <c r="U2168" s="552"/>
      <c r="V2168" s="552"/>
      <c r="W2168" s="552"/>
      <c r="X2168" s="552"/>
      <c r="Y2168" s="552"/>
      <c r="Z2168" s="552"/>
      <c r="AA2168" s="553"/>
      <c r="AB2168" s="553"/>
    </row>
    <row r="2169" spans="1:28" ht="12.75">
      <c r="A2169" s="547" t="s">
        <v>188</v>
      </c>
      <c r="B2169" s="547" t="s">
        <v>188</v>
      </c>
      <c r="C2169" s="548" t="s">
        <v>811</v>
      </c>
      <c r="D2169" s="549">
        <v>2019</v>
      </c>
      <c r="E2169" s="549" t="s">
        <v>775</v>
      </c>
      <c r="F2169" s="550">
        <v>180</v>
      </c>
      <c r="G2169" s="550">
        <v>0</v>
      </c>
      <c r="H2169" s="550">
        <v>0</v>
      </c>
      <c r="I2169" s="550">
        <v>0</v>
      </c>
      <c r="J2169" s="550">
        <v>118</v>
      </c>
      <c r="K2169" s="550">
        <v>115</v>
      </c>
      <c r="L2169" s="550">
        <v>64</v>
      </c>
      <c r="M2169" s="550">
        <v>51</v>
      </c>
      <c r="N2169" s="550">
        <v>136</v>
      </c>
      <c r="O2169" s="550">
        <v>16</v>
      </c>
      <c r="P2169" s="550">
        <v>313</v>
      </c>
      <c r="Q2169" s="550">
        <v>27</v>
      </c>
      <c r="R2169" s="574" t="s">
        <v>188</v>
      </c>
      <c r="S2169" s="255">
        <f>SUM(G2165:G2169) +SUM(K2165:K2169)</f>
        <v>215</v>
      </c>
      <c r="T2169" s="255">
        <f>F2169+J2169</f>
        <v>298</v>
      </c>
      <c r="U2169" s="255">
        <f>SUM(O2165:O2169)</f>
        <v>209</v>
      </c>
      <c r="V2169" s="255">
        <f>N2169</f>
        <v>136</v>
      </c>
      <c r="W2169" s="83">
        <f>SUM(Q2165:Q2169)</f>
        <v>364</v>
      </c>
      <c r="X2169" s="255">
        <f>P2169</f>
        <v>313</v>
      </c>
      <c r="Y2169" s="255">
        <f>S2169+U2169+SUM(Q2165:Q2169)</f>
        <v>788</v>
      </c>
      <c r="Z2169" s="255">
        <f>F2169+J2169+N2169+P2169</f>
        <v>747</v>
      </c>
      <c r="AA2169" s="553"/>
      <c r="AB2169" s="553"/>
    </row>
    <row r="2170" spans="1:28" ht="12.75">
      <c r="A2170" s="547" t="s">
        <v>667</v>
      </c>
      <c r="B2170" s="547" t="s">
        <v>188</v>
      </c>
      <c r="C2170" s="548" t="s">
        <v>177</v>
      </c>
      <c r="D2170" s="549">
        <v>2015</v>
      </c>
      <c r="E2170" s="549" t="s">
        <v>775</v>
      </c>
      <c r="F2170" s="550">
        <v>317</v>
      </c>
      <c r="G2170" s="550">
        <v>1</v>
      </c>
      <c r="H2170" s="550">
        <v>1</v>
      </c>
      <c r="I2170" s="550">
        <v>0</v>
      </c>
      <c r="J2170" s="550">
        <v>207</v>
      </c>
      <c r="K2170" s="550">
        <v>2</v>
      </c>
      <c r="L2170" s="550">
        <v>2</v>
      </c>
      <c r="M2170" s="550">
        <v>0</v>
      </c>
      <c r="N2170" s="550">
        <v>239</v>
      </c>
      <c r="O2170" s="550">
        <v>84</v>
      </c>
      <c r="P2170" s="550">
        <v>551</v>
      </c>
      <c r="Q2170" s="550">
        <v>33</v>
      </c>
      <c r="R2170" s="574" t="s">
        <v>667</v>
      </c>
      <c r="S2170" s="552"/>
      <c r="T2170" s="552"/>
      <c r="U2170" s="552"/>
      <c r="V2170" s="552"/>
      <c r="W2170" s="552"/>
      <c r="X2170" s="552"/>
      <c r="Y2170" s="552"/>
      <c r="Z2170" s="552"/>
      <c r="AA2170" s="553"/>
      <c r="AB2170" s="553"/>
    </row>
    <row r="2171" spans="1:28" ht="12.75">
      <c r="A2171" s="547" t="s">
        <v>667</v>
      </c>
      <c r="B2171" s="547" t="s">
        <v>188</v>
      </c>
      <c r="C2171" s="548" t="s">
        <v>177</v>
      </c>
      <c r="D2171" s="549">
        <v>2016</v>
      </c>
      <c r="E2171" s="549" t="s">
        <v>775</v>
      </c>
      <c r="F2171" s="550">
        <v>317</v>
      </c>
      <c r="G2171" s="550">
        <v>42</v>
      </c>
      <c r="H2171" s="550">
        <v>42</v>
      </c>
      <c r="I2171" s="550">
        <v>0</v>
      </c>
      <c r="J2171" s="550">
        <v>207</v>
      </c>
      <c r="K2171" s="550">
        <v>23</v>
      </c>
      <c r="L2171" s="550">
        <v>23</v>
      </c>
      <c r="M2171" s="550">
        <v>0</v>
      </c>
      <c r="N2171" s="550">
        <v>239</v>
      </c>
      <c r="O2171" s="550">
        <v>35</v>
      </c>
      <c r="P2171" s="550">
        <v>551</v>
      </c>
      <c r="Q2171" s="550">
        <v>17</v>
      </c>
      <c r="R2171" s="574" t="s">
        <v>667</v>
      </c>
      <c r="S2171" s="552"/>
      <c r="T2171" s="552"/>
      <c r="U2171" s="552"/>
      <c r="V2171" s="552"/>
      <c r="W2171" s="552"/>
      <c r="X2171" s="552"/>
      <c r="Y2171" s="552"/>
      <c r="Z2171" s="552"/>
      <c r="AA2171" s="553"/>
      <c r="AB2171" s="553"/>
    </row>
    <row r="2172" spans="1:28" ht="12.75">
      <c r="A2172" s="547" t="s">
        <v>667</v>
      </c>
      <c r="B2172" s="547" t="s">
        <v>188</v>
      </c>
      <c r="C2172" s="548" t="s">
        <v>177</v>
      </c>
      <c r="D2172" s="549">
        <v>2017</v>
      </c>
      <c r="E2172" s="549" t="s">
        <v>775</v>
      </c>
      <c r="F2172" s="550">
        <v>317</v>
      </c>
      <c r="G2172" s="550">
        <v>0</v>
      </c>
      <c r="H2172" s="550">
        <v>0</v>
      </c>
      <c r="I2172" s="550">
        <v>0</v>
      </c>
      <c r="J2172" s="550">
        <v>207</v>
      </c>
      <c r="K2172" s="550">
        <v>0</v>
      </c>
      <c r="L2172" s="550">
        <v>0</v>
      </c>
      <c r="M2172" s="550">
        <v>0</v>
      </c>
      <c r="N2172" s="550">
        <v>239</v>
      </c>
      <c r="O2172" s="550">
        <v>66</v>
      </c>
      <c r="P2172" s="550">
        <v>551</v>
      </c>
      <c r="Q2172" s="550">
        <v>38</v>
      </c>
      <c r="R2172" s="574" t="s">
        <v>667</v>
      </c>
      <c r="S2172" s="552"/>
      <c r="T2172" s="552"/>
      <c r="U2172" s="552"/>
      <c r="V2172" s="552"/>
      <c r="W2172" s="552"/>
      <c r="X2172" s="552"/>
      <c r="Y2172" s="552"/>
      <c r="Z2172" s="552"/>
      <c r="AA2172" s="553"/>
      <c r="AB2172" s="553"/>
    </row>
    <row r="2173" spans="1:28" ht="12.75">
      <c r="A2173" s="547" t="s">
        <v>667</v>
      </c>
      <c r="B2173" s="547" t="s">
        <v>188</v>
      </c>
      <c r="C2173" s="548" t="s">
        <v>177</v>
      </c>
      <c r="D2173" s="549">
        <v>2018</v>
      </c>
      <c r="E2173" s="549" t="s">
        <v>775</v>
      </c>
      <c r="F2173" s="550">
        <v>317</v>
      </c>
      <c r="G2173" s="550">
        <v>0</v>
      </c>
      <c r="H2173" s="550">
        <v>0</v>
      </c>
      <c r="I2173" s="550">
        <v>0</v>
      </c>
      <c r="J2173" s="550">
        <v>207</v>
      </c>
      <c r="K2173" s="550">
        <v>15</v>
      </c>
      <c r="L2173" s="550">
        <v>0</v>
      </c>
      <c r="M2173" s="550">
        <v>15</v>
      </c>
      <c r="N2173" s="550">
        <v>239</v>
      </c>
      <c r="O2173" s="550">
        <v>26</v>
      </c>
      <c r="P2173" s="550">
        <v>551</v>
      </c>
      <c r="Q2173" s="550">
        <v>44</v>
      </c>
      <c r="R2173" s="574" t="s">
        <v>667</v>
      </c>
      <c r="S2173" s="552"/>
      <c r="T2173" s="552"/>
      <c r="U2173" s="552"/>
      <c r="V2173" s="552"/>
      <c r="W2173" s="552"/>
      <c r="X2173" s="552"/>
      <c r="Y2173" s="552"/>
      <c r="Z2173" s="552"/>
      <c r="AA2173" s="553"/>
      <c r="AB2173" s="553"/>
    </row>
    <row r="2174" spans="1:28" ht="12.75">
      <c r="A2174" s="547" t="s">
        <v>667</v>
      </c>
      <c r="B2174" s="547" t="s">
        <v>188</v>
      </c>
      <c r="C2174" s="548" t="s">
        <v>811</v>
      </c>
      <c r="D2174" s="549">
        <v>2019</v>
      </c>
      <c r="E2174" s="549" t="s">
        <v>775</v>
      </c>
      <c r="F2174" s="550">
        <v>317</v>
      </c>
      <c r="G2174" s="550">
        <v>0</v>
      </c>
      <c r="H2174" s="550">
        <v>0</v>
      </c>
      <c r="I2174" s="550">
        <v>0</v>
      </c>
      <c r="J2174" s="550">
        <v>207</v>
      </c>
      <c r="K2174" s="550">
        <v>2</v>
      </c>
      <c r="L2174" s="550">
        <v>2</v>
      </c>
      <c r="M2174" s="550">
        <v>0</v>
      </c>
      <c r="N2174" s="550">
        <v>239</v>
      </c>
      <c r="O2174" s="550">
        <v>28</v>
      </c>
      <c r="P2174" s="550">
        <v>551</v>
      </c>
      <c r="Q2174" s="550">
        <v>46</v>
      </c>
      <c r="R2174" s="574" t="s">
        <v>667</v>
      </c>
      <c r="S2174" s="255">
        <f>SUM(G2170:G2174) +SUM(K2170:K2174)</f>
        <v>85</v>
      </c>
      <c r="T2174" s="255">
        <f>F2174+J2174</f>
        <v>524</v>
      </c>
      <c r="U2174" s="255">
        <f>SUM(O2170:O2174)</f>
        <v>239</v>
      </c>
      <c r="V2174" s="255">
        <f>N2174</f>
        <v>239</v>
      </c>
      <c r="W2174" s="83">
        <f>SUM(Q2170:Q2174)</f>
        <v>178</v>
      </c>
      <c r="X2174" s="255">
        <f>P2174</f>
        <v>551</v>
      </c>
      <c r="Y2174" s="255">
        <f>S2174+U2174+SUM(Q2170:Q2174)</f>
        <v>502</v>
      </c>
      <c r="Z2174" s="255">
        <f>F2174+J2174+N2174+P2174</f>
        <v>1314</v>
      </c>
      <c r="AA2174" s="553"/>
      <c r="AB2174" s="553"/>
    </row>
    <row r="2175" spans="1:28" ht="12.75">
      <c r="A2175" s="547" t="s">
        <v>668</v>
      </c>
      <c r="B2175" s="547" t="s">
        <v>188</v>
      </c>
      <c r="C2175" s="548" t="s">
        <v>177</v>
      </c>
      <c r="D2175" s="549">
        <v>2015</v>
      </c>
      <c r="E2175" s="549" t="s">
        <v>775</v>
      </c>
      <c r="F2175" s="550">
        <v>34</v>
      </c>
      <c r="G2175" s="550">
        <v>0</v>
      </c>
      <c r="H2175" s="550">
        <v>0</v>
      </c>
      <c r="I2175" s="550">
        <v>0</v>
      </c>
      <c r="J2175" s="550">
        <v>22</v>
      </c>
      <c r="K2175" s="550">
        <v>0</v>
      </c>
      <c r="L2175" s="550">
        <v>0</v>
      </c>
      <c r="M2175" s="550">
        <v>0</v>
      </c>
      <c r="N2175" s="550">
        <v>26</v>
      </c>
      <c r="O2175" s="550">
        <v>0</v>
      </c>
      <c r="P2175" s="550">
        <v>58</v>
      </c>
      <c r="Q2175" s="550">
        <v>5</v>
      </c>
      <c r="R2175" s="574" t="s">
        <v>668</v>
      </c>
      <c r="S2175" s="552"/>
      <c r="T2175" s="552"/>
      <c r="U2175" s="552"/>
      <c r="V2175" s="552"/>
      <c r="W2175" s="552"/>
      <c r="X2175" s="552"/>
      <c r="Y2175" s="552"/>
      <c r="Z2175" s="552"/>
      <c r="AA2175" s="553"/>
      <c r="AB2175" s="553"/>
    </row>
    <row r="2176" spans="1:28" ht="12.75">
      <c r="A2176" s="547" t="s">
        <v>668</v>
      </c>
      <c r="B2176" s="547" t="s">
        <v>188</v>
      </c>
      <c r="C2176" s="548" t="s">
        <v>177</v>
      </c>
      <c r="D2176" s="549">
        <v>2016</v>
      </c>
      <c r="E2176" s="549" t="s">
        <v>775</v>
      </c>
      <c r="F2176" s="550">
        <v>34</v>
      </c>
      <c r="G2176" s="550">
        <v>0</v>
      </c>
      <c r="H2176" s="550">
        <v>0</v>
      </c>
      <c r="I2176" s="550">
        <v>0</v>
      </c>
      <c r="J2176" s="550">
        <v>22</v>
      </c>
      <c r="K2176" s="550">
        <v>0</v>
      </c>
      <c r="L2176" s="550">
        <v>0</v>
      </c>
      <c r="M2176" s="550">
        <v>0</v>
      </c>
      <c r="N2176" s="550">
        <v>26</v>
      </c>
      <c r="O2176" s="550">
        <v>0</v>
      </c>
      <c r="P2176" s="550">
        <v>58</v>
      </c>
      <c r="Q2176" s="550">
        <v>9</v>
      </c>
      <c r="R2176" s="574" t="s">
        <v>668</v>
      </c>
      <c r="S2176" s="552"/>
      <c r="T2176" s="552"/>
      <c r="U2176" s="552"/>
      <c r="V2176" s="552"/>
      <c r="W2176" s="552"/>
      <c r="X2176" s="552"/>
      <c r="Y2176" s="552"/>
      <c r="Z2176" s="552"/>
      <c r="AA2176" s="553"/>
      <c r="AB2176" s="553"/>
    </row>
    <row r="2177" spans="1:28" ht="12.75">
      <c r="A2177" s="547" t="s">
        <v>668</v>
      </c>
      <c r="B2177" s="547" t="s">
        <v>188</v>
      </c>
      <c r="C2177" s="548" t="s">
        <v>177</v>
      </c>
      <c r="D2177" s="549">
        <v>2017</v>
      </c>
      <c r="E2177" s="549" t="s">
        <v>775</v>
      </c>
      <c r="F2177" s="550">
        <v>34</v>
      </c>
      <c r="G2177" s="550">
        <v>0</v>
      </c>
      <c r="H2177" s="550">
        <v>0</v>
      </c>
      <c r="I2177" s="550">
        <v>0</v>
      </c>
      <c r="J2177" s="550">
        <v>22</v>
      </c>
      <c r="K2177" s="550">
        <v>3</v>
      </c>
      <c r="L2177" s="550">
        <v>3</v>
      </c>
      <c r="M2177" s="550">
        <v>0</v>
      </c>
      <c r="N2177" s="550">
        <v>26</v>
      </c>
      <c r="O2177" s="550">
        <v>4</v>
      </c>
      <c r="P2177" s="550">
        <v>58</v>
      </c>
      <c r="Q2177" s="550">
        <v>38</v>
      </c>
      <c r="R2177" s="574" t="s">
        <v>668</v>
      </c>
      <c r="S2177" s="552"/>
      <c r="T2177" s="552"/>
      <c r="U2177" s="552"/>
      <c r="V2177" s="552"/>
      <c r="W2177" s="552"/>
      <c r="X2177" s="552"/>
      <c r="Y2177" s="552"/>
      <c r="Z2177" s="552"/>
      <c r="AA2177" s="553"/>
      <c r="AB2177" s="553"/>
    </row>
    <row r="2178" spans="1:28" ht="12.75">
      <c r="A2178" s="547" t="s">
        <v>668</v>
      </c>
      <c r="B2178" s="547" t="s">
        <v>188</v>
      </c>
      <c r="C2178" s="548" t="s">
        <v>177</v>
      </c>
      <c r="D2178" s="549">
        <v>2018</v>
      </c>
      <c r="E2178" s="549" t="s">
        <v>775</v>
      </c>
      <c r="F2178" s="550">
        <v>34</v>
      </c>
      <c r="G2178" s="550">
        <v>0</v>
      </c>
      <c r="H2178" s="550">
        <v>0</v>
      </c>
      <c r="I2178" s="550">
        <v>0</v>
      </c>
      <c r="J2178" s="550">
        <v>22</v>
      </c>
      <c r="K2178" s="550">
        <v>0</v>
      </c>
      <c r="L2178" s="550">
        <v>0</v>
      </c>
      <c r="M2178" s="550">
        <v>0</v>
      </c>
      <c r="N2178" s="550">
        <v>26</v>
      </c>
      <c r="O2178" s="550">
        <v>3</v>
      </c>
      <c r="P2178" s="550">
        <v>58</v>
      </c>
      <c r="Q2178" s="550">
        <v>63</v>
      </c>
      <c r="R2178" s="574" t="s">
        <v>668</v>
      </c>
      <c r="S2178" s="552"/>
      <c r="T2178" s="552"/>
      <c r="U2178" s="552"/>
      <c r="V2178" s="552"/>
      <c r="W2178" s="552"/>
      <c r="X2178" s="552"/>
      <c r="Y2178" s="552"/>
      <c r="Z2178" s="552"/>
      <c r="AA2178" s="553"/>
      <c r="AB2178" s="553"/>
    </row>
    <row r="2179" spans="1:28" ht="12.75">
      <c r="A2179" s="547" t="s">
        <v>668</v>
      </c>
      <c r="B2179" s="547" t="s">
        <v>188</v>
      </c>
      <c r="C2179" s="548" t="s">
        <v>811</v>
      </c>
      <c r="D2179" s="549">
        <v>2019</v>
      </c>
      <c r="E2179" s="549" t="s">
        <v>775</v>
      </c>
      <c r="F2179" s="550">
        <v>34</v>
      </c>
      <c r="G2179" s="550">
        <v>0</v>
      </c>
      <c r="H2179" s="550">
        <v>0</v>
      </c>
      <c r="I2179" s="550">
        <v>0</v>
      </c>
      <c r="J2179" s="550">
        <v>22</v>
      </c>
      <c r="K2179" s="550">
        <v>0</v>
      </c>
      <c r="L2179" s="550">
        <v>0</v>
      </c>
      <c r="M2179" s="550">
        <v>0</v>
      </c>
      <c r="N2179" s="550">
        <v>26</v>
      </c>
      <c r="O2179" s="550">
        <v>0</v>
      </c>
      <c r="P2179" s="550">
        <v>58</v>
      </c>
      <c r="Q2179" s="550">
        <v>12</v>
      </c>
      <c r="R2179" s="574" t="s">
        <v>668</v>
      </c>
      <c r="S2179" s="255">
        <f>SUM(G2175:G2179) +SUM(K2175:K2179)</f>
        <v>3</v>
      </c>
      <c r="T2179" s="255">
        <f>F2179+J2179</f>
        <v>56</v>
      </c>
      <c r="U2179" s="255">
        <f>SUM(O2175:O2179)</f>
        <v>7</v>
      </c>
      <c r="V2179" s="255">
        <f>N2179</f>
        <v>26</v>
      </c>
      <c r="W2179" s="83">
        <f>SUM(Q2175:Q2179)</f>
        <v>127</v>
      </c>
      <c r="X2179" s="255">
        <f>P2179</f>
        <v>58</v>
      </c>
      <c r="Y2179" s="255">
        <f>S2179+U2179+SUM(Q2175:Q2179)</f>
        <v>137</v>
      </c>
      <c r="Z2179" s="255">
        <f>F2179+J2179+N2179+P2179</f>
        <v>140</v>
      </c>
      <c r="AA2179" s="553"/>
      <c r="AB2179" s="553"/>
    </row>
    <row r="2180" spans="1:28" ht="12.75">
      <c r="A2180" s="547" t="s">
        <v>669</v>
      </c>
      <c r="B2180" s="547" t="s">
        <v>188</v>
      </c>
      <c r="C2180" s="548" t="s">
        <v>177</v>
      </c>
      <c r="D2180" s="549">
        <v>2016</v>
      </c>
      <c r="E2180" s="549" t="s">
        <v>775</v>
      </c>
      <c r="F2180" s="550">
        <v>169</v>
      </c>
      <c r="G2180" s="550">
        <v>20</v>
      </c>
      <c r="H2180" s="550">
        <v>20</v>
      </c>
      <c r="I2180" s="550">
        <v>0</v>
      </c>
      <c r="J2180" s="550">
        <v>110</v>
      </c>
      <c r="K2180" s="550">
        <v>2</v>
      </c>
      <c r="L2180" s="550">
        <v>2</v>
      </c>
      <c r="M2180" s="550">
        <v>0</v>
      </c>
      <c r="N2180" s="550">
        <v>128</v>
      </c>
      <c r="O2180" s="550">
        <v>4</v>
      </c>
      <c r="P2180" s="550">
        <v>293</v>
      </c>
      <c r="Q2180" s="550">
        <v>27</v>
      </c>
      <c r="R2180" s="574" t="s">
        <v>669</v>
      </c>
      <c r="S2180" s="552"/>
      <c r="T2180" s="552"/>
      <c r="U2180" s="552"/>
      <c r="V2180" s="552"/>
      <c r="W2180" s="552"/>
      <c r="X2180" s="552"/>
      <c r="Y2180" s="552"/>
      <c r="Z2180" s="552"/>
      <c r="AA2180" s="553"/>
      <c r="AB2180" s="553"/>
    </row>
    <row r="2181" spans="1:28" ht="12.75">
      <c r="A2181" s="547" t="s">
        <v>669</v>
      </c>
      <c r="B2181" s="547" t="s">
        <v>188</v>
      </c>
      <c r="C2181" s="548" t="s">
        <v>177</v>
      </c>
      <c r="D2181" s="549">
        <v>2017</v>
      </c>
      <c r="E2181" s="549" t="s">
        <v>775</v>
      </c>
      <c r="F2181" s="550">
        <v>169</v>
      </c>
      <c r="G2181" s="550">
        <v>1</v>
      </c>
      <c r="H2181" s="550">
        <v>1</v>
      </c>
      <c r="I2181" s="550">
        <v>0</v>
      </c>
      <c r="J2181" s="550">
        <v>110</v>
      </c>
      <c r="K2181" s="550">
        <v>3</v>
      </c>
      <c r="L2181" s="550">
        <v>3</v>
      </c>
      <c r="M2181" s="550">
        <v>0</v>
      </c>
      <c r="N2181" s="550">
        <v>128</v>
      </c>
      <c r="O2181" s="550">
        <v>7</v>
      </c>
      <c r="P2181" s="550">
        <v>293</v>
      </c>
      <c r="Q2181" s="550">
        <v>103</v>
      </c>
      <c r="R2181" s="574" t="s">
        <v>669</v>
      </c>
      <c r="S2181" s="552"/>
      <c r="T2181" s="552"/>
      <c r="U2181" s="552"/>
      <c r="V2181" s="552"/>
      <c r="W2181" s="552"/>
      <c r="X2181" s="552"/>
      <c r="Y2181" s="552"/>
      <c r="Z2181" s="552"/>
      <c r="AA2181" s="553"/>
      <c r="AB2181" s="553"/>
    </row>
    <row r="2182" spans="1:28" ht="12.75">
      <c r="A2182" s="547" t="s">
        <v>669</v>
      </c>
      <c r="B2182" s="547" t="s">
        <v>188</v>
      </c>
      <c r="C2182" s="548" t="s">
        <v>177</v>
      </c>
      <c r="D2182" s="549">
        <v>2018</v>
      </c>
      <c r="E2182" s="549" t="s">
        <v>775</v>
      </c>
      <c r="F2182" s="550">
        <v>169</v>
      </c>
      <c r="G2182" s="550">
        <v>0</v>
      </c>
      <c r="H2182" s="550">
        <v>0</v>
      </c>
      <c r="I2182" s="550">
        <v>0</v>
      </c>
      <c r="J2182" s="550">
        <v>110</v>
      </c>
      <c r="K2182" s="550">
        <v>0</v>
      </c>
      <c r="L2182" s="550">
        <v>0</v>
      </c>
      <c r="M2182" s="550">
        <v>0</v>
      </c>
      <c r="N2182" s="550">
        <v>128</v>
      </c>
      <c r="O2182" s="550">
        <v>0</v>
      </c>
      <c r="P2182" s="550">
        <v>293</v>
      </c>
      <c r="Q2182" s="550">
        <v>4</v>
      </c>
      <c r="R2182" s="574" t="s">
        <v>669</v>
      </c>
      <c r="S2182" s="552"/>
      <c r="T2182" s="552"/>
      <c r="U2182" s="552"/>
      <c r="V2182" s="552"/>
      <c r="W2182" s="552"/>
      <c r="X2182" s="552"/>
      <c r="Y2182" s="552"/>
      <c r="Z2182" s="552"/>
      <c r="AA2182" s="553"/>
      <c r="AB2182" s="553"/>
    </row>
    <row r="2183" spans="1:28" ht="12.75">
      <c r="A2183" s="547" t="s">
        <v>669</v>
      </c>
      <c r="B2183" s="547" t="s">
        <v>188</v>
      </c>
      <c r="C2183" s="548" t="s">
        <v>811</v>
      </c>
      <c r="D2183" s="549">
        <v>2019</v>
      </c>
      <c r="E2183" s="549" t="s">
        <v>775</v>
      </c>
      <c r="F2183" s="550">
        <v>169</v>
      </c>
      <c r="G2183" s="550">
        <v>0</v>
      </c>
      <c r="H2183" s="550">
        <v>0</v>
      </c>
      <c r="I2183" s="550">
        <v>0</v>
      </c>
      <c r="J2183" s="550">
        <v>110</v>
      </c>
      <c r="K2183" s="550">
        <v>1</v>
      </c>
      <c r="L2183" s="550">
        <v>1</v>
      </c>
      <c r="M2183" s="550">
        <v>0</v>
      </c>
      <c r="N2183" s="550">
        <v>128</v>
      </c>
      <c r="O2183" s="550">
        <v>1</v>
      </c>
      <c r="P2183" s="550">
        <v>293</v>
      </c>
      <c r="Q2183" s="550">
        <v>25</v>
      </c>
      <c r="R2183" s="574" t="s">
        <v>669</v>
      </c>
      <c r="S2183" s="561">
        <f>SUM(G2180:G2183) +SUM(K2179:K2183)</f>
        <v>27</v>
      </c>
      <c r="T2183" s="561">
        <f>F2183+J2183</f>
        <v>279</v>
      </c>
      <c r="U2183" s="561">
        <f>SUM(O2180:O2183)</f>
        <v>12</v>
      </c>
      <c r="V2183" s="561">
        <f>N2183</f>
        <v>128</v>
      </c>
      <c r="W2183" s="562">
        <f>SUM(Q2180:Q2183)</f>
        <v>159</v>
      </c>
      <c r="X2183" s="561">
        <f>P2183</f>
        <v>293</v>
      </c>
      <c r="Y2183" s="561">
        <f>S2183+U2183+SUM(Q2180:Q2183)</f>
        <v>198</v>
      </c>
      <c r="Z2183" s="561">
        <f>F2183+J2183+N2183+P2183</f>
        <v>700</v>
      </c>
      <c r="AA2183" s="553"/>
      <c r="AB2183" s="553"/>
    </row>
    <row r="2184" spans="1:28" ht="12.75">
      <c r="A2184" s="547"/>
      <c r="B2184" s="547"/>
      <c r="C2184" s="548"/>
      <c r="D2184" s="549"/>
      <c r="E2184" s="549"/>
      <c r="F2184" s="550"/>
      <c r="G2184" s="550"/>
      <c r="H2184" s="550"/>
      <c r="I2184" s="550"/>
      <c r="J2184" s="550"/>
      <c r="K2184" s="550"/>
      <c r="L2184" s="550"/>
      <c r="M2184" s="550"/>
      <c r="N2184" s="550"/>
      <c r="O2184" s="550"/>
      <c r="P2184" s="550"/>
      <c r="Q2184" s="550"/>
      <c r="R2184" s="574"/>
      <c r="S2184" s="563">
        <f t="shared" ref="S2184:Z2184" si="217">SUM(S2160:S2183)</f>
        <v>330</v>
      </c>
      <c r="T2184" s="563">
        <f t="shared" si="217"/>
        <v>1214</v>
      </c>
      <c r="U2184" s="563">
        <f t="shared" si="217"/>
        <v>468</v>
      </c>
      <c r="V2184" s="563">
        <f t="shared" si="217"/>
        <v>555</v>
      </c>
      <c r="W2184" s="563">
        <f t="shared" si="217"/>
        <v>858</v>
      </c>
      <c r="X2184" s="563">
        <f t="shared" si="217"/>
        <v>1275</v>
      </c>
      <c r="Y2184" s="563">
        <f t="shared" si="217"/>
        <v>1656</v>
      </c>
      <c r="Z2184" s="563">
        <f t="shared" si="217"/>
        <v>3044</v>
      </c>
      <c r="AA2184" s="553"/>
      <c r="AB2184" s="553"/>
    </row>
    <row r="2185" spans="1:28" ht="12.75">
      <c r="A2185" s="547" t="s">
        <v>670</v>
      </c>
      <c r="B2185" s="547" t="s">
        <v>189</v>
      </c>
      <c r="C2185" s="548" t="s">
        <v>784</v>
      </c>
      <c r="D2185" s="549">
        <v>2015</v>
      </c>
      <c r="E2185" s="549" t="s">
        <v>775</v>
      </c>
      <c r="F2185" s="550">
        <v>32</v>
      </c>
      <c r="G2185" s="550">
        <v>0</v>
      </c>
      <c r="H2185" s="550">
        <v>0</v>
      </c>
      <c r="I2185" s="550">
        <v>0</v>
      </c>
      <c r="J2185" s="550">
        <v>21</v>
      </c>
      <c r="K2185" s="550">
        <v>0</v>
      </c>
      <c r="L2185" s="550">
        <v>0</v>
      </c>
      <c r="M2185" s="550">
        <v>0</v>
      </c>
      <c r="N2185" s="550">
        <v>24</v>
      </c>
      <c r="O2185" s="550">
        <v>19</v>
      </c>
      <c r="P2185" s="550">
        <v>59</v>
      </c>
      <c r="Q2185" s="550">
        <v>1</v>
      </c>
      <c r="R2185" s="574" t="s">
        <v>670</v>
      </c>
      <c r="S2185" s="552"/>
      <c r="T2185" s="552"/>
      <c r="U2185" s="552"/>
      <c r="V2185" s="552"/>
      <c r="W2185" s="552"/>
      <c r="X2185" s="552"/>
      <c r="Y2185" s="552"/>
      <c r="Z2185" s="552"/>
      <c r="AA2185" s="553"/>
      <c r="AB2185" s="553"/>
    </row>
    <row r="2186" spans="1:28" ht="12.75">
      <c r="A2186" s="547" t="s">
        <v>670</v>
      </c>
      <c r="B2186" s="547" t="s">
        <v>189</v>
      </c>
      <c r="C2186" s="548" t="s">
        <v>784</v>
      </c>
      <c r="D2186" s="549">
        <v>2016</v>
      </c>
      <c r="E2186" s="549" t="s">
        <v>775</v>
      </c>
      <c r="F2186" s="550">
        <v>32</v>
      </c>
      <c r="G2186" s="550">
        <v>0</v>
      </c>
      <c r="H2186" s="550">
        <v>0</v>
      </c>
      <c r="I2186" s="550">
        <v>0</v>
      </c>
      <c r="J2186" s="550">
        <v>21</v>
      </c>
      <c r="K2186" s="550">
        <v>4</v>
      </c>
      <c r="L2186" s="550">
        <v>4</v>
      </c>
      <c r="M2186" s="550">
        <v>0</v>
      </c>
      <c r="N2186" s="550">
        <v>24</v>
      </c>
      <c r="O2186" s="550">
        <v>33</v>
      </c>
      <c r="P2186" s="550">
        <v>59</v>
      </c>
      <c r="Q2186" s="550">
        <v>9</v>
      </c>
      <c r="R2186" s="574" t="s">
        <v>670</v>
      </c>
      <c r="S2186" s="552"/>
      <c r="T2186" s="552"/>
      <c r="U2186" s="552"/>
      <c r="V2186" s="552"/>
      <c r="W2186" s="552"/>
      <c r="X2186" s="552"/>
      <c r="Y2186" s="552"/>
      <c r="Z2186" s="552"/>
      <c r="AA2186" s="553"/>
      <c r="AB2186" s="553"/>
    </row>
    <row r="2187" spans="1:28" ht="12.75">
      <c r="A2187" s="547" t="s">
        <v>670</v>
      </c>
      <c r="B2187" s="547" t="s">
        <v>189</v>
      </c>
      <c r="C2187" s="548" t="s">
        <v>784</v>
      </c>
      <c r="D2187" s="549">
        <v>2017</v>
      </c>
      <c r="E2187" s="549" t="s">
        <v>775</v>
      </c>
      <c r="F2187" s="550">
        <v>32</v>
      </c>
      <c r="G2187" s="550">
        <v>23</v>
      </c>
      <c r="H2187" s="550">
        <v>23</v>
      </c>
      <c r="I2187" s="550">
        <v>0</v>
      </c>
      <c r="J2187" s="550">
        <v>21</v>
      </c>
      <c r="K2187" s="550">
        <v>15</v>
      </c>
      <c r="L2187" s="550">
        <v>15</v>
      </c>
      <c r="M2187" s="550">
        <v>0</v>
      </c>
      <c r="N2187" s="550">
        <v>24</v>
      </c>
      <c r="O2187" s="550">
        <v>40</v>
      </c>
      <c r="P2187" s="550">
        <v>59</v>
      </c>
      <c r="Q2187" s="550">
        <v>23</v>
      </c>
      <c r="R2187" s="574" t="s">
        <v>670</v>
      </c>
      <c r="S2187" s="552"/>
      <c r="T2187" s="552"/>
      <c r="U2187" s="552"/>
      <c r="V2187" s="552"/>
      <c r="W2187" s="552"/>
      <c r="X2187" s="552"/>
      <c r="Y2187" s="552"/>
      <c r="Z2187" s="552"/>
      <c r="AA2187" s="553"/>
      <c r="AB2187" s="553"/>
    </row>
    <row r="2188" spans="1:28" ht="12.75">
      <c r="A2188" s="547" t="s">
        <v>670</v>
      </c>
      <c r="B2188" s="547" t="s">
        <v>189</v>
      </c>
      <c r="C2188" s="548" t="s">
        <v>784</v>
      </c>
      <c r="D2188" s="549">
        <v>2018</v>
      </c>
      <c r="E2188" s="549" t="s">
        <v>775</v>
      </c>
      <c r="F2188" s="550">
        <v>32</v>
      </c>
      <c r="G2188" s="550">
        <v>0</v>
      </c>
      <c r="H2188" s="550">
        <v>0</v>
      </c>
      <c r="I2188" s="550">
        <v>0</v>
      </c>
      <c r="J2188" s="550">
        <v>21</v>
      </c>
      <c r="K2188" s="550">
        <v>1</v>
      </c>
      <c r="L2188" s="550">
        <v>0</v>
      </c>
      <c r="M2188" s="550">
        <v>1</v>
      </c>
      <c r="N2188" s="550">
        <v>24</v>
      </c>
      <c r="O2188" s="550">
        <v>1</v>
      </c>
      <c r="P2188" s="550">
        <v>59</v>
      </c>
      <c r="Q2188" s="550">
        <v>27</v>
      </c>
      <c r="R2188" s="574" t="s">
        <v>670</v>
      </c>
      <c r="S2188" s="552"/>
      <c r="T2188" s="552"/>
      <c r="U2188" s="552"/>
      <c r="V2188" s="552"/>
      <c r="W2188" s="552"/>
      <c r="X2188" s="552"/>
      <c r="Y2188" s="552"/>
      <c r="Z2188" s="552"/>
      <c r="AA2188" s="553"/>
      <c r="AB2188" s="553"/>
    </row>
    <row r="2189" spans="1:28" ht="12.75">
      <c r="A2189" s="547" t="s">
        <v>670</v>
      </c>
      <c r="B2189" s="547" t="s">
        <v>189</v>
      </c>
      <c r="C2189" s="548" t="s">
        <v>785</v>
      </c>
      <c r="D2189" s="549">
        <v>2019</v>
      </c>
      <c r="E2189" s="549" t="s">
        <v>775</v>
      </c>
      <c r="F2189" s="550">
        <v>32</v>
      </c>
      <c r="G2189" s="550">
        <v>0</v>
      </c>
      <c r="H2189" s="550">
        <v>0</v>
      </c>
      <c r="I2189" s="550">
        <v>0</v>
      </c>
      <c r="J2189" s="550">
        <v>21</v>
      </c>
      <c r="K2189" s="550">
        <v>0</v>
      </c>
      <c r="L2189" s="550">
        <v>0</v>
      </c>
      <c r="M2189" s="550">
        <v>0</v>
      </c>
      <c r="N2189" s="550">
        <v>24</v>
      </c>
      <c r="O2189" s="550">
        <v>0</v>
      </c>
      <c r="P2189" s="550">
        <v>59</v>
      </c>
      <c r="Q2189" s="550">
        <v>26</v>
      </c>
      <c r="R2189" s="574" t="s">
        <v>670</v>
      </c>
      <c r="S2189" s="255">
        <f>SUM(G2185:G2189) +SUM(K2185:K2189)</f>
        <v>43</v>
      </c>
      <c r="T2189" s="255">
        <f>F2189+J2189</f>
        <v>53</v>
      </c>
      <c r="U2189" s="255">
        <f>SUM(O2185:O2189)</f>
        <v>93</v>
      </c>
      <c r="V2189" s="255">
        <f>N2189</f>
        <v>24</v>
      </c>
      <c r="W2189" s="83">
        <f>SUM(Q2185:Q2189)</f>
        <v>86</v>
      </c>
      <c r="X2189" s="255">
        <f>P2189</f>
        <v>59</v>
      </c>
      <c r="Y2189" s="255">
        <f>S2189+U2189+SUM(Q2185:Q2189)</f>
        <v>222</v>
      </c>
      <c r="Z2189" s="255">
        <f>F2189+J2189+N2189+P2189</f>
        <v>136</v>
      </c>
      <c r="AA2189" s="553"/>
      <c r="AB2189" s="553"/>
    </row>
    <row r="2190" spans="1:28" ht="12.75">
      <c r="A2190" s="547" t="s">
        <v>671</v>
      </c>
      <c r="B2190" s="547" t="s">
        <v>189</v>
      </c>
      <c r="C2190" s="548" t="s">
        <v>784</v>
      </c>
      <c r="D2190" s="549">
        <v>2014</v>
      </c>
      <c r="E2190" s="549" t="s">
        <v>775</v>
      </c>
      <c r="F2190" s="550">
        <v>287</v>
      </c>
      <c r="G2190" s="550">
        <v>0</v>
      </c>
      <c r="H2190" s="550">
        <v>0</v>
      </c>
      <c r="I2190" s="550">
        <v>0</v>
      </c>
      <c r="J2190" s="550">
        <v>181</v>
      </c>
      <c r="K2190" s="550">
        <v>2</v>
      </c>
      <c r="L2190" s="550">
        <v>2</v>
      </c>
      <c r="M2190" s="550">
        <v>0</v>
      </c>
      <c r="N2190" s="550">
        <v>205</v>
      </c>
      <c r="O2190" s="550">
        <v>17</v>
      </c>
      <c r="P2190" s="550">
        <v>502</v>
      </c>
      <c r="Q2190" s="550">
        <v>83</v>
      </c>
      <c r="R2190" s="574" t="s">
        <v>671</v>
      </c>
      <c r="S2190" s="552"/>
      <c r="T2190" s="552"/>
      <c r="U2190" s="552"/>
      <c r="V2190" s="552"/>
      <c r="W2190" s="552"/>
      <c r="X2190" s="552"/>
      <c r="Y2190" s="552"/>
      <c r="Z2190" s="552"/>
      <c r="AA2190" s="553"/>
      <c r="AB2190" s="553"/>
    </row>
    <row r="2191" spans="1:28" ht="12.75">
      <c r="A2191" s="547" t="s">
        <v>671</v>
      </c>
      <c r="B2191" s="547" t="s">
        <v>189</v>
      </c>
      <c r="C2191" s="548" t="s">
        <v>784</v>
      </c>
      <c r="D2191" s="549">
        <v>2015</v>
      </c>
      <c r="E2191" s="549" t="s">
        <v>775</v>
      </c>
      <c r="F2191" s="550">
        <v>287</v>
      </c>
      <c r="G2191" s="550">
        <v>35</v>
      </c>
      <c r="H2191" s="550">
        <v>35</v>
      </c>
      <c r="I2191" s="550">
        <v>0</v>
      </c>
      <c r="J2191" s="550">
        <v>181</v>
      </c>
      <c r="K2191" s="550">
        <v>48</v>
      </c>
      <c r="L2191" s="550">
        <v>48</v>
      </c>
      <c r="M2191" s="550">
        <v>0</v>
      </c>
      <c r="N2191" s="550">
        <v>205</v>
      </c>
      <c r="O2191" s="550">
        <v>63</v>
      </c>
      <c r="P2191" s="550">
        <v>502</v>
      </c>
      <c r="Q2191" s="550">
        <v>174</v>
      </c>
      <c r="R2191" s="574" t="s">
        <v>671</v>
      </c>
      <c r="S2191" s="552"/>
      <c r="T2191" s="552"/>
      <c r="U2191" s="552"/>
      <c r="V2191" s="552"/>
      <c r="W2191" s="552"/>
      <c r="X2191" s="552"/>
      <c r="Y2191" s="552"/>
      <c r="Z2191" s="552"/>
      <c r="AA2191" s="553"/>
      <c r="AB2191" s="553"/>
    </row>
    <row r="2192" spans="1:28" ht="12.75">
      <c r="A2192" s="547" t="s">
        <v>671</v>
      </c>
      <c r="B2192" s="547" t="s">
        <v>189</v>
      </c>
      <c r="C2192" s="548" t="s">
        <v>784</v>
      </c>
      <c r="D2192" s="549">
        <v>2016</v>
      </c>
      <c r="E2192" s="549" t="s">
        <v>775</v>
      </c>
      <c r="F2192" s="550">
        <v>287</v>
      </c>
      <c r="G2192" s="550">
        <v>0</v>
      </c>
      <c r="H2192" s="550">
        <v>0</v>
      </c>
      <c r="I2192" s="550">
        <v>0</v>
      </c>
      <c r="J2192" s="550">
        <v>181</v>
      </c>
      <c r="K2192" s="550">
        <v>0</v>
      </c>
      <c r="L2192" s="550">
        <v>0</v>
      </c>
      <c r="M2192" s="550">
        <v>0</v>
      </c>
      <c r="N2192" s="550">
        <v>205</v>
      </c>
      <c r="O2192" s="550">
        <v>6</v>
      </c>
      <c r="P2192" s="550">
        <v>502</v>
      </c>
      <c r="Q2192" s="550">
        <v>128</v>
      </c>
      <c r="R2192" s="574" t="s">
        <v>671</v>
      </c>
      <c r="S2192" s="552"/>
      <c r="T2192" s="552"/>
      <c r="U2192" s="552"/>
      <c r="V2192" s="552"/>
      <c r="W2192" s="552"/>
      <c r="X2192" s="552"/>
      <c r="Y2192" s="552"/>
      <c r="Z2192" s="552"/>
      <c r="AA2192" s="553"/>
      <c r="AB2192" s="553"/>
    </row>
    <row r="2193" spans="1:28" ht="12.75">
      <c r="A2193" s="547" t="s">
        <v>671</v>
      </c>
      <c r="B2193" s="547" t="s">
        <v>189</v>
      </c>
      <c r="C2193" s="548" t="s">
        <v>784</v>
      </c>
      <c r="D2193" s="549">
        <v>2017</v>
      </c>
      <c r="E2193" s="549" t="s">
        <v>775</v>
      </c>
      <c r="F2193" s="550">
        <v>287</v>
      </c>
      <c r="G2193" s="550">
        <v>0</v>
      </c>
      <c r="H2193" s="550">
        <v>0</v>
      </c>
      <c r="I2193" s="550">
        <v>0</v>
      </c>
      <c r="J2193" s="550">
        <v>181</v>
      </c>
      <c r="K2193" s="550">
        <v>0</v>
      </c>
      <c r="L2193" s="550">
        <v>0</v>
      </c>
      <c r="M2193" s="550">
        <v>0</v>
      </c>
      <c r="N2193" s="550">
        <v>205</v>
      </c>
      <c r="O2193" s="550">
        <v>17</v>
      </c>
      <c r="P2193" s="550">
        <v>502</v>
      </c>
      <c r="Q2193" s="550">
        <v>135</v>
      </c>
      <c r="R2193" s="574" t="s">
        <v>671</v>
      </c>
      <c r="S2193" s="552"/>
      <c r="T2193" s="552"/>
      <c r="U2193" s="552"/>
      <c r="V2193" s="552"/>
      <c r="W2193" s="552"/>
      <c r="X2193" s="552"/>
      <c r="Y2193" s="552"/>
      <c r="Z2193" s="552"/>
      <c r="AA2193" s="553"/>
      <c r="AB2193" s="553"/>
    </row>
    <row r="2194" spans="1:28" ht="12.75">
      <c r="A2194" s="547" t="s">
        <v>671</v>
      </c>
      <c r="B2194" s="547" t="s">
        <v>189</v>
      </c>
      <c r="C2194" s="548" t="s">
        <v>784</v>
      </c>
      <c r="D2194" s="549">
        <v>2018</v>
      </c>
      <c r="E2194" s="549" t="s">
        <v>775</v>
      </c>
      <c r="F2194" s="550">
        <v>287</v>
      </c>
      <c r="G2194" s="550">
        <v>0</v>
      </c>
      <c r="H2194" s="550">
        <v>0</v>
      </c>
      <c r="I2194" s="550">
        <v>0</v>
      </c>
      <c r="J2194" s="550">
        <v>181</v>
      </c>
      <c r="K2194" s="550">
        <v>79</v>
      </c>
      <c r="L2194" s="550">
        <v>79</v>
      </c>
      <c r="M2194" s="550">
        <v>0</v>
      </c>
      <c r="N2194" s="550">
        <v>205</v>
      </c>
      <c r="O2194" s="550">
        <v>10</v>
      </c>
      <c r="P2194" s="550">
        <v>502</v>
      </c>
      <c r="Q2194" s="550">
        <v>109</v>
      </c>
      <c r="R2194" s="574" t="s">
        <v>671</v>
      </c>
      <c r="S2194" s="552"/>
      <c r="T2194" s="552"/>
      <c r="U2194" s="552"/>
      <c r="V2194" s="552"/>
      <c r="W2194" s="552"/>
      <c r="X2194" s="552"/>
      <c r="Y2194" s="552"/>
      <c r="Z2194" s="552"/>
      <c r="AA2194" s="553"/>
      <c r="AB2194" s="553"/>
    </row>
    <row r="2195" spans="1:28" ht="12.75">
      <c r="A2195" s="547" t="s">
        <v>671</v>
      </c>
      <c r="B2195" s="547" t="s">
        <v>189</v>
      </c>
      <c r="C2195" s="548" t="s">
        <v>785</v>
      </c>
      <c r="D2195" s="549">
        <v>2019</v>
      </c>
      <c r="E2195" s="549" t="s">
        <v>775</v>
      </c>
      <c r="F2195" s="550">
        <v>287</v>
      </c>
      <c r="G2195" s="550">
        <v>0</v>
      </c>
      <c r="H2195" s="550">
        <v>0</v>
      </c>
      <c r="I2195" s="550">
        <v>0</v>
      </c>
      <c r="J2195" s="550">
        <v>181</v>
      </c>
      <c r="K2195" s="550">
        <v>59</v>
      </c>
      <c r="L2195" s="550">
        <v>59</v>
      </c>
      <c r="M2195" s="550">
        <v>0</v>
      </c>
      <c r="N2195" s="550">
        <v>205</v>
      </c>
      <c r="O2195" s="550">
        <v>0</v>
      </c>
      <c r="P2195" s="550">
        <v>502</v>
      </c>
      <c r="Q2195" s="550">
        <v>249</v>
      </c>
      <c r="R2195" s="574" t="s">
        <v>671</v>
      </c>
      <c r="S2195" s="552">
        <f>SUM(G2190:G2195) +SUM(K2190:K2195)</f>
        <v>223</v>
      </c>
      <c r="T2195" s="552">
        <f>F2195+J2195</f>
        <v>468</v>
      </c>
      <c r="U2195" s="552">
        <f>SUM(O2190:O2195)</f>
        <v>113</v>
      </c>
      <c r="V2195" s="552">
        <f>N2195</f>
        <v>205</v>
      </c>
      <c r="W2195" s="554">
        <f>SUM(Q2190:Q2195)</f>
        <v>878</v>
      </c>
      <c r="X2195" s="552">
        <f>P2195</f>
        <v>502</v>
      </c>
      <c r="Y2195" s="552">
        <f>S2195+U2195+SUM(Q2190:Q2195)</f>
        <v>1214</v>
      </c>
      <c r="Z2195" s="552">
        <f>F2195+J2195+N2195+P2195</f>
        <v>1175</v>
      </c>
      <c r="AA2195" s="553"/>
      <c r="AB2195" s="553"/>
    </row>
    <row r="2196" spans="1:28" ht="12.75">
      <c r="A2196" s="547" t="s">
        <v>672</v>
      </c>
      <c r="B2196" s="547" t="s">
        <v>189</v>
      </c>
      <c r="C2196" s="548" t="s">
        <v>784</v>
      </c>
      <c r="D2196" s="549">
        <v>2017</v>
      </c>
      <c r="E2196" s="549" t="s">
        <v>775</v>
      </c>
      <c r="F2196" s="550">
        <v>189</v>
      </c>
      <c r="G2196" s="550">
        <v>4</v>
      </c>
      <c r="H2196" s="550">
        <v>0</v>
      </c>
      <c r="I2196" s="550">
        <v>4</v>
      </c>
      <c r="J2196" s="550">
        <v>117</v>
      </c>
      <c r="K2196" s="550">
        <v>9</v>
      </c>
      <c r="L2196" s="550">
        <v>0</v>
      </c>
      <c r="M2196" s="550">
        <v>9</v>
      </c>
      <c r="N2196" s="550">
        <v>128</v>
      </c>
      <c r="O2196" s="550">
        <v>132</v>
      </c>
      <c r="P2196" s="550">
        <v>321</v>
      </c>
      <c r="Q2196" s="550">
        <v>1</v>
      </c>
      <c r="R2196" s="574" t="s">
        <v>672</v>
      </c>
      <c r="S2196" s="552"/>
      <c r="T2196" s="552"/>
      <c r="U2196" s="552"/>
      <c r="V2196" s="552"/>
      <c r="W2196" s="552"/>
      <c r="X2196" s="552"/>
      <c r="Y2196" s="552"/>
      <c r="Z2196" s="552"/>
      <c r="AA2196" s="553"/>
      <c r="AB2196" s="553"/>
    </row>
    <row r="2197" spans="1:28" ht="12.75">
      <c r="A2197" s="547" t="s">
        <v>672</v>
      </c>
      <c r="B2197" s="547" t="s">
        <v>189</v>
      </c>
      <c r="C2197" s="548" t="s">
        <v>784</v>
      </c>
      <c r="D2197" s="549">
        <v>2018</v>
      </c>
      <c r="E2197" s="549" t="s">
        <v>775</v>
      </c>
      <c r="F2197" s="550">
        <v>189</v>
      </c>
      <c r="G2197" s="550">
        <v>12</v>
      </c>
      <c r="H2197" s="550">
        <v>0</v>
      </c>
      <c r="I2197" s="550">
        <v>12</v>
      </c>
      <c r="J2197" s="550">
        <v>117</v>
      </c>
      <c r="K2197" s="550">
        <v>23</v>
      </c>
      <c r="L2197" s="550">
        <v>0</v>
      </c>
      <c r="M2197" s="550">
        <v>23</v>
      </c>
      <c r="N2197" s="550">
        <v>128</v>
      </c>
      <c r="O2197" s="550">
        <v>6</v>
      </c>
      <c r="P2197" s="550">
        <v>321</v>
      </c>
      <c r="Q2197" s="550">
        <v>144</v>
      </c>
      <c r="R2197" s="574" t="s">
        <v>672</v>
      </c>
      <c r="S2197" s="552"/>
      <c r="T2197" s="552"/>
      <c r="U2197" s="552"/>
      <c r="V2197" s="552"/>
      <c r="W2197" s="552"/>
      <c r="X2197" s="552"/>
      <c r="Y2197" s="552"/>
      <c r="Z2197" s="552"/>
      <c r="AA2197" s="553"/>
      <c r="AB2197" s="553"/>
    </row>
    <row r="2198" spans="1:28" ht="12.75">
      <c r="A2198" s="547" t="s">
        <v>672</v>
      </c>
      <c r="B2198" s="547" t="s">
        <v>189</v>
      </c>
      <c r="C2198" s="548" t="s">
        <v>785</v>
      </c>
      <c r="D2198" s="549">
        <v>2019</v>
      </c>
      <c r="E2198" s="549" t="s">
        <v>775</v>
      </c>
      <c r="F2198" s="550">
        <v>189</v>
      </c>
      <c r="G2198" s="550">
        <v>3</v>
      </c>
      <c r="H2198" s="550">
        <v>0</v>
      </c>
      <c r="I2198" s="550">
        <v>3</v>
      </c>
      <c r="J2198" s="550">
        <v>117</v>
      </c>
      <c r="K2198" s="550">
        <v>8</v>
      </c>
      <c r="L2198" s="550">
        <v>0</v>
      </c>
      <c r="M2198" s="550">
        <v>8</v>
      </c>
      <c r="N2198" s="550">
        <v>128</v>
      </c>
      <c r="O2198" s="550">
        <v>5</v>
      </c>
      <c r="P2198" s="550">
        <v>321</v>
      </c>
      <c r="Q2198" s="550">
        <v>280</v>
      </c>
      <c r="R2198" s="574" t="s">
        <v>672</v>
      </c>
      <c r="S2198" s="255">
        <f>SUM(G2196:G2198) +SUM(K2196:K2198)</f>
        <v>59</v>
      </c>
      <c r="T2198" s="255">
        <f>F2198+J2198</f>
        <v>306</v>
      </c>
      <c r="U2198" s="255">
        <f>SUM(O2196:O2198)</f>
        <v>143</v>
      </c>
      <c r="V2198" s="255">
        <f>N2198</f>
        <v>128</v>
      </c>
      <c r="W2198" s="83">
        <f>SUM(Q2196:Q2198)</f>
        <v>425</v>
      </c>
      <c r="X2198" s="255">
        <f>P2198</f>
        <v>321</v>
      </c>
      <c r="Y2198" s="255">
        <f>S2198+U2198+SUM(Q2196:Q2198)</f>
        <v>627</v>
      </c>
      <c r="Z2198" s="255">
        <f>F2198+J2198+N2198+P2198</f>
        <v>755</v>
      </c>
      <c r="AA2198" s="553"/>
      <c r="AB2198" s="553"/>
    </row>
    <row r="2199" spans="1:28" ht="12.75">
      <c r="A2199" s="547" t="s">
        <v>673</v>
      </c>
      <c r="B2199" s="547" t="s">
        <v>189</v>
      </c>
      <c r="C2199" s="548" t="s">
        <v>784</v>
      </c>
      <c r="D2199" s="549">
        <v>2015</v>
      </c>
      <c r="E2199" s="549" t="s">
        <v>775</v>
      </c>
      <c r="F2199" s="550">
        <v>32</v>
      </c>
      <c r="G2199" s="550">
        <v>7</v>
      </c>
      <c r="H2199" s="550">
        <v>7</v>
      </c>
      <c r="I2199" s="550">
        <v>0</v>
      </c>
      <c r="J2199" s="550">
        <v>21</v>
      </c>
      <c r="K2199" s="550">
        <v>13</v>
      </c>
      <c r="L2199" s="550">
        <v>13</v>
      </c>
      <c r="M2199" s="550">
        <v>0</v>
      </c>
      <c r="N2199" s="550">
        <v>23</v>
      </c>
      <c r="O2199" s="550">
        <v>0</v>
      </c>
      <c r="P2199" s="550">
        <v>58</v>
      </c>
      <c r="Q2199" s="550">
        <v>0</v>
      </c>
      <c r="R2199" s="574" t="s">
        <v>673</v>
      </c>
      <c r="S2199" s="552"/>
      <c r="T2199" s="552"/>
      <c r="U2199" s="552"/>
      <c r="V2199" s="552"/>
      <c r="W2199" s="552"/>
      <c r="X2199" s="552"/>
      <c r="Y2199" s="552"/>
      <c r="Z2199" s="552"/>
      <c r="AA2199" s="553"/>
      <c r="AB2199" s="553"/>
    </row>
    <row r="2200" spans="1:28" ht="12.75">
      <c r="A2200" s="547" t="s">
        <v>673</v>
      </c>
      <c r="B2200" s="547" t="s">
        <v>189</v>
      </c>
      <c r="C2200" s="548" t="s">
        <v>784</v>
      </c>
      <c r="D2200" s="549">
        <v>2016</v>
      </c>
      <c r="E2200" s="549" t="s">
        <v>775</v>
      </c>
      <c r="F2200" s="550">
        <v>32</v>
      </c>
      <c r="G2200" s="550">
        <v>2</v>
      </c>
      <c r="H2200" s="550">
        <v>2</v>
      </c>
      <c r="I2200" s="550">
        <v>0</v>
      </c>
      <c r="J2200" s="550">
        <v>21</v>
      </c>
      <c r="K2200" s="550">
        <v>0</v>
      </c>
      <c r="L2200" s="550">
        <v>0</v>
      </c>
      <c r="M2200" s="550">
        <v>0</v>
      </c>
      <c r="N2200" s="550">
        <v>23</v>
      </c>
      <c r="O2200" s="550">
        <v>8</v>
      </c>
      <c r="P2200" s="550">
        <v>58</v>
      </c>
      <c r="Q2200" s="550">
        <v>0</v>
      </c>
      <c r="R2200" s="574" t="s">
        <v>673</v>
      </c>
      <c r="S2200" s="552"/>
      <c r="T2200" s="552"/>
      <c r="U2200" s="552"/>
      <c r="V2200" s="552"/>
      <c r="W2200" s="552"/>
      <c r="X2200" s="552"/>
      <c r="Y2200" s="552"/>
      <c r="Z2200" s="552"/>
      <c r="AA2200" s="553"/>
      <c r="AB2200" s="553"/>
    </row>
    <row r="2201" spans="1:28" ht="12.75">
      <c r="A2201" s="547" t="s">
        <v>673</v>
      </c>
      <c r="B2201" s="547" t="s">
        <v>189</v>
      </c>
      <c r="C2201" s="548" t="s">
        <v>784</v>
      </c>
      <c r="D2201" s="549">
        <v>2017</v>
      </c>
      <c r="E2201" s="549" t="s">
        <v>775</v>
      </c>
      <c r="F2201" s="550">
        <v>32</v>
      </c>
      <c r="G2201" s="550">
        <v>0</v>
      </c>
      <c r="H2201" s="550">
        <v>0</v>
      </c>
      <c r="I2201" s="550">
        <v>0</v>
      </c>
      <c r="J2201" s="550">
        <v>21</v>
      </c>
      <c r="K2201" s="550">
        <v>4</v>
      </c>
      <c r="L2201" s="550">
        <v>1</v>
      </c>
      <c r="M2201" s="550">
        <v>3</v>
      </c>
      <c r="N2201" s="550">
        <v>23</v>
      </c>
      <c r="O2201" s="550">
        <v>29</v>
      </c>
      <c r="P2201" s="550">
        <v>58</v>
      </c>
      <c r="Q2201" s="550">
        <v>2</v>
      </c>
      <c r="R2201" s="574" t="s">
        <v>673</v>
      </c>
      <c r="S2201" s="552"/>
      <c r="T2201" s="552"/>
      <c r="U2201" s="552"/>
      <c r="V2201" s="552"/>
      <c r="W2201" s="552"/>
      <c r="X2201" s="552"/>
      <c r="Y2201" s="552"/>
      <c r="Z2201" s="552"/>
      <c r="AA2201" s="553"/>
      <c r="AB2201" s="553"/>
    </row>
    <row r="2202" spans="1:28" ht="12.75">
      <c r="A2202" s="547" t="s">
        <v>673</v>
      </c>
      <c r="B2202" s="547" t="s">
        <v>189</v>
      </c>
      <c r="C2202" s="548" t="s">
        <v>784</v>
      </c>
      <c r="D2202" s="549">
        <v>2018</v>
      </c>
      <c r="E2202" s="549" t="s">
        <v>775</v>
      </c>
      <c r="F2202" s="550">
        <v>32</v>
      </c>
      <c r="G2202" s="550">
        <v>0</v>
      </c>
      <c r="H2202" s="550">
        <v>0</v>
      </c>
      <c r="I2202" s="550">
        <v>0</v>
      </c>
      <c r="J2202" s="550">
        <v>21</v>
      </c>
      <c r="K2202" s="550">
        <v>15</v>
      </c>
      <c r="L2202" s="550">
        <v>0</v>
      </c>
      <c r="M2202" s="550">
        <v>15</v>
      </c>
      <c r="N2202" s="550">
        <v>23</v>
      </c>
      <c r="O2202" s="550">
        <v>26</v>
      </c>
      <c r="P2202" s="550">
        <v>58</v>
      </c>
      <c r="Q2202" s="550">
        <v>0</v>
      </c>
      <c r="R2202" s="574" t="s">
        <v>673</v>
      </c>
      <c r="S2202" s="552"/>
      <c r="T2202" s="552"/>
      <c r="U2202" s="552"/>
      <c r="V2202" s="552"/>
      <c r="W2202" s="552"/>
      <c r="X2202" s="552"/>
      <c r="Y2202" s="552"/>
      <c r="Z2202" s="552"/>
      <c r="AA2202" s="553"/>
      <c r="AB2202" s="553"/>
    </row>
    <row r="2203" spans="1:28" ht="12.75">
      <c r="A2203" s="547" t="s">
        <v>673</v>
      </c>
      <c r="B2203" s="547" t="s">
        <v>189</v>
      </c>
      <c r="C2203" s="548" t="s">
        <v>785</v>
      </c>
      <c r="D2203" s="549">
        <v>2019</v>
      </c>
      <c r="E2203" s="549" t="s">
        <v>775</v>
      </c>
      <c r="F2203" s="550">
        <v>32</v>
      </c>
      <c r="G2203" s="550">
        <v>30</v>
      </c>
      <c r="H2203" s="550">
        <v>30</v>
      </c>
      <c r="I2203" s="550">
        <v>0</v>
      </c>
      <c r="J2203" s="550">
        <v>21</v>
      </c>
      <c r="K2203" s="550">
        <v>0</v>
      </c>
      <c r="L2203" s="550">
        <v>0</v>
      </c>
      <c r="M2203" s="550">
        <v>0</v>
      </c>
      <c r="N2203" s="550">
        <v>23</v>
      </c>
      <c r="O2203" s="550">
        <v>25</v>
      </c>
      <c r="P2203" s="550">
        <v>58</v>
      </c>
      <c r="Q2203" s="550">
        <v>17</v>
      </c>
      <c r="R2203" s="574" t="s">
        <v>673</v>
      </c>
      <c r="S2203" s="561">
        <f>SUM(G2199:G2203) +SUM(K2199:K2203)</f>
        <v>71</v>
      </c>
      <c r="T2203" s="561">
        <f>F2203+J2203</f>
        <v>53</v>
      </c>
      <c r="U2203" s="561">
        <f>SUM(O2199:O2203)</f>
        <v>88</v>
      </c>
      <c r="V2203" s="561">
        <f>N2203</f>
        <v>23</v>
      </c>
      <c r="W2203" s="562">
        <f>SUM(Q2199:Q2203)</f>
        <v>19</v>
      </c>
      <c r="X2203" s="561">
        <f>P2203</f>
        <v>58</v>
      </c>
      <c r="Y2203" s="561">
        <f>S2203+U2203+SUM(Q2199:Q2203)</f>
        <v>178</v>
      </c>
      <c r="Z2203" s="561">
        <f>F2203+J2203+N2203+P2203</f>
        <v>134</v>
      </c>
      <c r="AA2203" s="553"/>
      <c r="AB2203" s="553"/>
    </row>
    <row r="2204" spans="1:28" ht="12.75">
      <c r="A2204" s="547"/>
      <c r="B2204" s="547"/>
      <c r="C2204" s="548"/>
      <c r="D2204" s="549"/>
      <c r="E2204" s="549"/>
      <c r="F2204" s="550"/>
      <c r="G2204" s="550"/>
      <c r="H2204" s="550"/>
      <c r="I2204" s="550"/>
      <c r="J2204" s="550"/>
      <c r="K2204" s="550"/>
      <c r="L2204" s="550"/>
      <c r="M2204" s="550"/>
      <c r="N2204" s="550"/>
      <c r="O2204" s="550"/>
      <c r="P2204" s="550"/>
      <c r="Q2204" s="550"/>
      <c r="R2204" s="574"/>
      <c r="S2204" s="552">
        <f t="shared" ref="S2204:Z2204" si="218">SUM(S2185:S2203)</f>
        <v>396</v>
      </c>
      <c r="T2204" s="552">
        <f t="shared" si="218"/>
        <v>880</v>
      </c>
      <c r="U2204" s="552">
        <f t="shared" si="218"/>
        <v>437</v>
      </c>
      <c r="V2204" s="552">
        <f t="shared" si="218"/>
        <v>380</v>
      </c>
      <c r="W2204" s="552">
        <f t="shared" si="218"/>
        <v>1408</v>
      </c>
      <c r="X2204" s="552">
        <f t="shared" si="218"/>
        <v>940</v>
      </c>
      <c r="Y2204" s="552">
        <f t="shared" si="218"/>
        <v>2241</v>
      </c>
      <c r="Z2204" s="552">
        <f t="shared" si="218"/>
        <v>2200</v>
      </c>
      <c r="AA2204" s="553"/>
      <c r="AB2204" s="553"/>
    </row>
    <row r="2205" spans="1:28" ht="12.75">
      <c r="A2205" s="547" t="s">
        <v>676</v>
      </c>
      <c r="B2205" s="547" t="s">
        <v>191</v>
      </c>
      <c r="C2205" s="548" t="s">
        <v>784</v>
      </c>
      <c r="D2205" s="549">
        <v>2014</v>
      </c>
      <c r="E2205" s="549" t="s">
        <v>775</v>
      </c>
      <c r="F2205" s="550">
        <v>3</v>
      </c>
      <c r="G2205" s="550">
        <v>0</v>
      </c>
      <c r="H2205" s="550">
        <v>0</v>
      </c>
      <c r="I2205" s="550">
        <v>0</v>
      </c>
      <c r="J2205" s="550">
        <v>2</v>
      </c>
      <c r="K2205" s="550">
        <v>0</v>
      </c>
      <c r="L2205" s="550">
        <v>0</v>
      </c>
      <c r="M2205" s="550">
        <v>0</v>
      </c>
      <c r="N2205" s="550">
        <v>2</v>
      </c>
      <c r="O2205" s="550">
        <v>0</v>
      </c>
      <c r="P2205" s="550">
        <v>5</v>
      </c>
      <c r="Q2205" s="550">
        <v>0</v>
      </c>
      <c r="R2205" s="574" t="s">
        <v>676</v>
      </c>
      <c r="S2205" s="552"/>
      <c r="T2205" s="552"/>
      <c r="U2205" s="552"/>
      <c r="V2205" s="552"/>
      <c r="W2205" s="552"/>
      <c r="X2205" s="552"/>
      <c r="Y2205" s="552"/>
      <c r="Z2205" s="552"/>
      <c r="AA2205" s="553"/>
      <c r="AB2205" s="553"/>
    </row>
    <row r="2206" spans="1:28" ht="12.75">
      <c r="A2206" s="547" t="s">
        <v>676</v>
      </c>
      <c r="B2206" s="547" t="s">
        <v>191</v>
      </c>
      <c r="C2206" s="548" t="s">
        <v>784</v>
      </c>
      <c r="D2206" s="549">
        <v>2015</v>
      </c>
      <c r="E2206" s="549" t="s">
        <v>775</v>
      </c>
      <c r="F2206" s="550">
        <v>3</v>
      </c>
      <c r="G2206" s="550">
        <v>0</v>
      </c>
      <c r="H2206" s="550">
        <v>0</v>
      </c>
      <c r="I2206" s="550">
        <v>0</v>
      </c>
      <c r="J2206" s="550">
        <v>2</v>
      </c>
      <c r="K2206" s="550">
        <v>1</v>
      </c>
      <c r="L2206" s="550">
        <v>1</v>
      </c>
      <c r="M2206" s="550">
        <v>0</v>
      </c>
      <c r="N2206" s="550">
        <v>2</v>
      </c>
      <c r="O2206" s="550">
        <v>1</v>
      </c>
      <c r="P2206" s="550">
        <v>5</v>
      </c>
      <c r="Q2206" s="550">
        <v>0</v>
      </c>
      <c r="R2206" s="574" t="s">
        <v>676</v>
      </c>
      <c r="S2206" s="552"/>
      <c r="T2206" s="552"/>
      <c r="U2206" s="552"/>
      <c r="V2206" s="552"/>
      <c r="W2206" s="552"/>
      <c r="X2206" s="552"/>
      <c r="Y2206" s="552"/>
      <c r="Z2206" s="552"/>
      <c r="AA2206" s="553"/>
      <c r="AB2206" s="553"/>
    </row>
    <row r="2207" spans="1:28" ht="12.75">
      <c r="A2207" s="547" t="s">
        <v>676</v>
      </c>
      <c r="B2207" s="547" t="s">
        <v>191</v>
      </c>
      <c r="C2207" s="548" t="s">
        <v>784</v>
      </c>
      <c r="D2207" s="549">
        <v>2017</v>
      </c>
      <c r="E2207" s="549" t="s">
        <v>775</v>
      </c>
      <c r="F2207" s="550">
        <v>3</v>
      </c>
      <c r="G2207" s="550">
        <v>0</v>
      </c>
      <c r="H2207" s="550">
        <v>0</v>
      </c>
      <c r="I2207" s="550">
        <v>0</v>
      </c>
      <c r="J2207" s="550">
        <v>2</v>
      </c>
      <c r="K2207" s="550">
        <v>0</v>
      </c>
      <c r="L2207" s="550">
        <v>0</v>
      </c>
      <c r="M2207" s="550">
        <v>0</v>
      </c>
      <c r="N2207" s="550">
        <v>2</v>
      </c>
      <c r="O2207" s="550">
        <v>0</v>
      </c>
      <c r="P2207" s="550">
        <v>5</v>
      </c>
      <c r="Q2207" s="550">
        <v>0</v>
      </c>
      <c r="R2207" s="574" t="s">
        <v>676</v>
      </c>
      <c r="S2207" s="552"/>
      <c r="T2207" s="552"/>
      <c r="U2207" s="552"/>
      <c r="V2207" s="552"/>
      <c r="W2207" s="552"/>
      <c r="X2207" s="552"/>
      <c r="Y2207" s="552"/>
      <c r="Z2207" s="552"/>
      <c r="AA2207" s="553"/>
      <c r="AB2207" s="553"/>
    </row>
    <row r="2208" spans="1:28" ht="12.75">
      <c r="A2208" s="547" t="s">
        <v>676</v>
      </c>
      <c r="B2208" s="547" t="s">
        <v>191</v>
      </c>
      <c r="C2208" s="548" t="s">
        <v>784</v>
      </c>
      <c r="D2208" s="549">
        <v>2018</v>
      </c>
      <c r="E2208" s="549" t="s">
        <v>775</v>
      </c>
      <c r="F2208" s="550">
        <v>3</v>
      </c>
      <c r="G2208" s="564"/>
      <c r="H2208" s="564"/>
      <c r="I2208" s="564"/>
      <c r="J2208" s="550">
        <v>2</v>
      </c>
      <c r="K2208" s="564"/>
      <c r="L2208" s="564"/>
      <c r="M2208" s="564"/>
      <c r="N2208" s="550">
        <v>2</v>
      </c>
      <c r="O2208" s="564"/>
      <c r="P2208" s="550">
        <v>5</v>
      </c>
      <c r="Q2208" s="564"/>
      <c r="R2208" s="574" t="s">
        <v>676</v>
      </c>
      <c r="S2208" s="552"/>
      <c r="T2208" s="552"/>
      <c r="U2208" s="552"/>
      <c r="V2208" s="552"/>
      <c r="W2208" s="552"/>
      <c r="X2208" s="552"/>
      <c r="Y2208" s="552"/>
      <c r="Z2208" s="552"/>
      <c r="AA2208" s="553"/>
      <c r="AB2208" s="553"/>
    </row>
    <row r="2209" spans="1:28" ht="12.75">
      <c r="A2209" s="547" t="s">
        <v>676</v>
      </c>
      <c r="B2209" s="547" t="s">
        <v>191</v>
      </c>
      <c r="C2209" s="548" t="s">
        <v>785</v>
      </c>
      <c r="D2209" s="549">
        <v>2019</v>
      </c>
      <c r="E2209" s="549" t="s">
        <v>775</v>
      </c>
      <c r="F2209" s="550">
        <v>3</v>
      </c>
      <c r="G2209" s="550">
        <v>0</v>
      </c>
      <c r="H2209" s="550">
        <v>0</v>
      </c>
      <c r="I2209" s="550">
        <v>0</v>
      </c>
      <c r="J2209" s="550">
        <v>2</v>
      </c>
      <c r="K2209" s="550">
        <v>0</v>
      </c>
      <c r="L2209" s="550">
        <v>0</v>
      </c>
      <c r="M2209" s="550">
        <v>0</v>
      </c>
      <c r="N2209" s="550">
        <v>2</v>
      </c>
      <c r="O2209" s="550">
        <v>0</v>
      </c>
      <c r="P2209" s="550">
        <v>5</v>
      </c>
      <c r="Q2209" s="550">
        <v>0</v>
      </c>
      <c r="R2209" s="574" t="s">
        <v>676</v>
      </c>
      <c r="S2209" s="255">
        <f>SUM(G2205:G2209) +SUM(K2205:K2209)</f>
        <v>1</v>
      </c>
      <c r="T2209" s="255">
        <f>F2209+J2209</f>
        <v>5</v>
      </c>
      <c r="U2209" s="255">
        <f>SUM(O2205:O2209)</f>
        <v>1</v>
      </c>
      <c r="V2209" s="255">
        <f>N2209</f>
        <v>2</v>
      </c>
      <c r="W2209" s="83">
        <f>SUM(Q2205:Q2209)</f>
        <v>0</v>
      </c>
      <c r="X2209" s="255">
        <f>P2209</f>
        <v>5</v>
      </c>
      <c r="Y2209" s="255">
        <f>S2209+U2209+SUM(Q2205:Q2209)</f>
        <v>2</v>
      </c>
      <c r="Z2209" s="255">
        <f>F2209+J2209+N2209+P2209</f>
        <v>12</v>
      </c>
      <c r="AA2209" s="553"/>
      <c r="AB2209" s="553"/>
    </row>
    <row r="2210" spans="1:28" ht="12.75">
      <c r="A2210" s="547" t="s">
        <v>677</v>
      </c>
      <c r="B2210" s="547" t="s">
        <v>191</v>
      </c>
      <c r="C2210" s="548" t="s">
        <v>784</v>
      </c>
      <c r="D2210" s="549">
        <v>2014</v>
      </c>
      <c r="E2210" s="549" t="s">
        <v>775</v>
      </c>
      <c r="F2210" s="550">
        <v>6</v>
      </c>
      <c r="G2210" s="550">
        <v>0</v>
      </c>
      <c r="H2210" s="550">
        <v>0</v>
      </c>
      <c r="I2210" s="550">
        <v>0</v>
      </c>
      <c r="J2210" s="550">
        <v>4</v>
      </c>
      <c r="K2210" s="550">
        <v>0</v>
      </c>
      <c r="L2210" s="550">
        <v>0</v>
      </c>
      <c r="M2210" s="550">
        <v>0</v>
      </c>
      <c r="N2210" s="550">
        <v>4</v>
      </c>
      <c r="O2210" s="550">
        <v>0</v>
      </c>
      <c r="P2210" s="550">
        <v>9</v>
      </c>
      <c r="Q2210" s="550">
        <v>0</v>
      </c>
      <c r="R2210" s="574" t="s">
        <v>677</v>
      </c>
      <c r="S2210" s="552"/>
      <c r="T2210" s="552"/>
      <c r="U2210" s="552"/>
      <c r="V2210" s="552"/>
      <c r="W2210" s="552"/>
      <c r="X2210" s="552"/>
      <c r="Y2210" s="552"/>
      <c r="Z2210" s="552"/>
      <c r="AA2210" s="553"/>
      <c r="AB2210" s="553"/>
    </row>
    <row r="2211" spans="1:28" ht="12.75">
      <c r="A2211" s="547" t="s">
        <v>677</v>
      </c>
      <c r="B2211" s="547" t="s">
        <v>191</v>
      </c>
      <c r="C2211" s="548" t="s">
        <v>784</v>
      </c>
      <c r="D2211" s="549">
        <v>2015</v>
      </c>
      <c r="E2211" s="549" t="s">
        <v>775</v>
      </c>
      <c r="F2211" s="550">
        <v>6</v>
      </c>
      <c r="G2211" s="550">
        <v>0</v>
      </c>
      <c r="H2211" s="550">
        <v>0</v>
      </c>
      <c r="I2211" s="550">
        <v>0</v>
      </c>
      <c r="J2211" s="550">
        <v>4</v>
      </c>
      <c r="K2211" s="550">
        <v>0</v>
      </c>
      <c r="L2211" s="550">
        <v>0</v>
      </c>
      <c r="M2211" s="550">
        <v>0</v>
      </c>
      <c r="N2211" s="550">
        <v>4</v>
      </c>
      <c r="O2211" s="550">
        <v>0</v>
      </c>
      <c r="P2211" s="550">
        <v>9</v>
      </c>
      <c r="Q2211" s="550">
        <v>1</v>
      </c>
      <c r="R2211" s="574" t="s">
        <v>677</v>
      </c>
      <c r="S2211" s="552"/>
      <c r="T2211" s="552"/>
      <c r="U2211" s="552"/>
      <c r="V2211" s="552"/>
      <c r="W2211" s="552"/>
      <c r="X2211" s="552"/>
      <c r="Y2211" s="552"/>
      <c r="Z2211" s="552"/>
      <c r="AA2211" s="553"/>
      <c r="AB2211" s="553"/>
    </row>
    <row r="2212" spans="1:28" ht="12.75">
      <c r="A2212" s="547" t="s">
        <v>677</v>
      </c>
      <c r="B2212" s="547" t="s">
        <v>191</v>
      </c>
      <c r="C2212" s="548" t="s">
        <v>784</v>
      </c>
      <c r="D2212" s="549">
        <v>2016</v>
      </c>
      <c r="E2212" s="549" t="s">
        <v>775</v>
      </c>
      <c r="F2212" s="550">
        <v>6</v>
      </c>
      <c r="G2212" s="550">
        <v>0</v>
      </c>
      <c r="H2212" s="550">
        <v>0</v>
      </c>
      <c r="I2212" s="550">
        <v>0</v>
      </c>
      <c r="J2212" s="550">
        <v>4</v>
      </c>
      <c r="K2212" s="550">
        <v>0</v>
      </c>
      <c r="L2212" s="550">
        <v>0</v>
      </c>
      <c r="M2212" s="550">
        <v>0</v>
      </c>
      <c r="N2212" s="550">
        <v>4</v>
      </c>
      <c r="O2212" s="550">
        <v>0</v>
      </c>
      <c r="P2212" s="550">
        <v>9</v>
      </c>
      <c r="Q2212" s="550">
        <v>1</v>
      </c>
      <c r="R2212" s="574" t="s">
        <v>677</v>
      </c>
      <c r="S2212" s="552"/>
      <c r="T2212" s="552"/>
      <c r="U2212" s="552"/>
      <c r="V2212" s="552"/>
      <c r="W2212" s="552"/>
      <c r="X2212" s="552"/>
      <c r="Y2212" s="552"/>
      <c r="Z2212" s="552"/>
      <c r="AA2212" s="553"/>
      <c r="AB2212" s="553"/>
    </row>
    <row r="2213" spans="1:28" ht="12.75">
      <c r="A2213" s="547" t="s">
        <v>677</v>
      </c>
      <c r="B2213" s="547" t="s">
        <v>191</v>
      </c>
      <c r="C2213" s="548" t="s">
        <v>784</v>
      </c>
      <c r="D2213" s="549">
        <v>2017</v>
      </c>
      <c r="E2213" s="549" t="s">
        <v>775</v>
      </c>
      <c r="F2213" s="550">
        <v>6</v>
      </c>
      <c r="G2213" s="550">
        <v>0</v>
      </c>
      <c r="H2213" s="550">
        <v>0</v>
      </c>
      <c r="I2213" s="550">
        <v>0</v>
      </c>
      <c r="J2213" s="550">
        <v>4</v>
      </c>
      <c r="K2213" s="550">
        <v>0</v>
      </c>
      <c r="L2213" s="550">
        <v>0</v>
      </c>
      <c r="M2213" s="550">
        <v>0</v>
      </c>
      <c r="N2213" s="550">
        <v>4</v>
      </c>
      <c r="O2213" s="550">
        <v>0</v>
      </c>
      <c r="P2213" s="550">
        <v>9</v>
      </c>
      <c r="Q2213" s="550">
        <v>1</v>
      </c>
      <c r="R2213" s="574" t="s">
        <v>677</v>
      </c>
      <c r="S2213" s="552"/>
      <c r="T2213" s="552"/>
      <c r="U2213" s="552"/>
      <c r="V2213" s="552"/>
      <c r="W2213" s="552"/>
      <c r="X2213" s="552"/>
      <c r="Y2213" s="552"/>
      <c r="Z2213" s="552"/>
      <c r="AA2213" s="553"/>
      <c r="AB2213" s="553"/>
    </row>
    <row r="2214" spans="1:28" ht="12.75">
      <c r="A2214" s="547" t="s">
        <v>677</v>
      </c>
      <c r="B2214" s="547" t="s">
        <v>191</v>
      </c>
      <c r="C2214" s="548" t="s">
        <v>784</v>
      </c>
      <c r="D2214" s="549">
        <v>2018</v>
      </c>
      <c r="E2214" s="549" t="s">
        <v>775</v>
      </c>
      <c r="F2214" s="550">
        <v>6</v>
      </c>
      <c r="G2214" s="564"/>
      <c r="H2214" s="564"/>
      <c r="I2214" s="564"/>
      <c r="J2214" s="550">
        <v>4</v>
      </c>
      <c r="K2214" s="564"/>
      <c r="L2214" s="564"/>
      <c r="M2214" s="564"/>
      <c r="N2214" s="550">
        <v>4</v>
      </c>
      <c r="O2214" s="564"/>
      <c r="P2214" s="550">
        <v>9</v>
      </c>
      <c r="Q2214" s="564"/>
      <c r="R2214" s="574" t="s">
        <v>677</v>
      </c>
      <c r="S2214" s="552"/>
      <c r="T2214" s="552"/>
      <c r="U2214" s="552"/>
      <c r="V2214" s="552"/>
      <c r="W2214" s="552"/>
      <c r="X2214" s="552"/>
      <c r="Y2214" s="552"/>
      <c r="Z2214" s="552"/>
      <c r="AA2214" s="553"/>
      <c r="AB2214" s="553"/>
    </row>
    <row r="2215" spans="1:28" ht="12.75">
      <c r="A2215" s="547" t="s">
        <v>677</v>
      </c>
      <c r="B2215" s="547" t="s">
        <v>191</v>
      </c>
      <c r="C2215" s="548" t="s">
        <v>785</v>
      </c>
      <c r="D2215" s="549">
        <v>2019</v>
      </c>
      <c r="E2215" s="549" t="s">
        <v>775</v>
      </c>
      <c r="F2215" s="550">
        <v>6</v>
      </c>
      <c r="G2215" s="550">
        <v>0</v>
      </c>
      <c r="H2215" s="550">
        <v>0</v>
      </c>
      <c r="I2215" s="550">
        <v>0</v>
      </c>
      <c r="J2215" s="550">
        <v>4</v>
      </c>
      <c r="K2215" s="550">
        <v>0</v>
      </c>
      <c r="L2215" s="550">
        <v>0</v>
      </c>
      <c r="M2215" s="550">
        <v>0</v>
      </c>
      <c r="N2215" s="550">
        <v>4</v>
      </c>
      <c r="O2215" s="550">
        <v>0</v>
      </c>
      <c r="P2215" s="550">
        <v>9</v>
      </c>
      <c r="Q2215" s="550">
        <v>0</v>
      </c>
      <c r="R2215" s="574" t="s">
        <v>677</v>
      </c>
      <c r="S2215" s="552">
        <f>SUM(G2210:G2215) +SUM(K2210:K2215)</f>
        <v>0</v>
      </c>
      <c r="T2215" s="552">
        <f>F2215+J2215</f>
        <v>10</v>
      </c>
      <c r="U2215" s="552">
        <f>SUM(O2210:O2215)</f>
        <v>0</v>
      </c>
      <c r="V2215" s="552">
        <f>N2215</f>
        <v>4</v>
      </c>
      <c r="W2215" s="554">
        <f>SUM(Q2210:Q2215)</f>
        <v>3</v>
      </c>
      <c r="X2215" s="552">
        <f>P2215</f>
        <v>9</v>
      </c>
      <c r="Y2215" s="552">
        <f>S2215+U2215+SUM(Q2210:Q2215)</f>
        <v>3</v>
      </c>
      <c r="Z2215" s="552">
        <f>F2215+J2215+N2215+P2215</f>
        <v>23</v>
      </c>
      <c r="AA2215" s="553"/>
      <c r="AB2215" s="553"/>
    </row>
    <row r="2216" spans="1:28" ht="12.75">
      <c r="A2216" s="547" t="s">
        <v>678</v>
      </c>
      <c r="B2216" s="547" t="s">
        <v>191</v>
      </c>
      <c r="C2216" s="548" t="s">
        <v>784</v>
      </c>
      <c r="D2216" s="549">
        <v>2017</v>
      </c>
      <c r="E2216" s="549" t="s">
        <v>775</v>
      </c>
      <c r="F2216" s="550">
        <v>3</v>
      </c>
      <c r="G2216" s="550">
        <v>0</v>
      </c>
      <c r="H2216" s="550">
        <v>0</v>
      </c>
      <c r="I2216" s="550">
        <v>0</v>
      </c>
      <c r="J2216" s="550">
        <v>2</v>
      </c>
      <c r="K2216" s="550">
        <v>0</v>
      </c>
      <c r="L2216" s="550">
        <v>0</v>
      </c>
      <c r="M2216" s="550">
        <v>0</v>
      </c>
      <c r="N2216" s="550">
        <v>2</v>
      </c>
      <c r="O2216" s="550">
        <v>1</v>
      </c>
      <c r="P2216" s="550">
        <v>3</v>
      </c>
      <c r="Q2216" s="550">
        <v>0</v>
      </c>
      <c r="R2216" s="574" t="s">
        <v>678</v>
      </c>
      <c r="S2216" s="552"/>
      <c r="T2216" s="552"/>
      <c r="U2216" s="552"/>
      <c r="V2216" s="552"/>
      <c r="W2216" s="552"/>
      <c r="X2216" s="552"/>
      <c r="Y2216" s="552"/>
      <c r="Z2216" s="552"/>
      <c r="AA2216" s="553"/>
      <c r="AB2216" s="553"/>
    </row>
    <row r="2217" spans="1:28" ht="12.75">
      <c r="A2217" s="547" t="s">
        <v>678</v>
      </c>
      <c r="B2217" s="547" t="s">
        <v>191</v>
      </c>
      <c r="C2217" s="548" t="s">
        <v>784</v>
      </c>
      <c r="D2217" s="549">
        <v>2018</v>
      </c>
      <c r="E2217" s="549" t="s">
        <v>775</v>
      </c>
      <c r="F2217" s="550">
        <v>3</v>
      </c>
      <c r="G2217" s="564"/>
      <c r="H2217" s="564"/>
      <c r="I2217" s="564"/>
      <c r="J2217" s="550">
        <v>2</v>
      </c>
      <c r="K2217" s="564"/>
      <c r="L2217" s="564"/>
      <c r="M2217" s="564"/>
      <c r="N2217" s="550">
        <v>2</v>
      </c>
      <c r="O2217" s="564"/>
      <c r="P2217" s="550">
        <v>3</v>
      </c>
      <c r="Q2217" s="564"/>
      <c r="R2217" s="574" t="s">
        <v>678</v>
      </c>
      <c r="S2217" s="552"/>
      <c r="T2217" s="552"/>
      <c r="U2217" s="552"/>
      <c r="V2217" s="552"/>
      <c r="W2217" s="552"/>
      <c r="X2217" s="552"/>
      <c r="Y2217" s="552"/>
      <c r="Z2217" s="552"/>
      <c r="AA2217" s="553"/>
      <c r="AB2217" s="553"/>
    </row>
    <row r="2218" spans="1:28" ht="12.75">
      <c r="A2218" s="547" t="s">
        <v>678</v>
      </c>
      <c r="B2218" s="547" t="s">
        <v>191</v>
      </c>
      <c r="C2218" s="548" t="s">
        <v>785</v>
      </c>
      <c r="D2218" s="549">
        <v>2019</v>
      </c>
      <c r="E2218" s="549" t="s">
        <v>775</v>
      </c>
      <c r="F2218" s="550">
        <v>3</v>
      </c>
      <c r="G2218" s="550">
        <v>0</v>
      </c>
      <c r="H2218" s="550">
        <v>0</v>
      </c>
      <c r="I2218" s="550">
        <v>0</v>
      </c>
      <c r="J2218" s="550">
        <v>2</v>
      </c>
      <c r="K2218" s="550">
        <v>0</v>
      </c>
      <c r="L2218" s="550">
        <v>0</v>
      </c>
      <c r="M2218" s="550">
        <v>0</v>
      </c>
      <c r="N2218" s="550">
        <v>2</v>
      </c>
      <c r="O2218" s="550">
        <v>0</v>
      </c>
      <c r="P2218" s="550">
        <v>3</v>
      </c>
      <c r="Q2218" s="550">
        <v>0</v>
      </c>
      <c r="R2218" s="574" t="s">
        <v>678</v>
      </c>
      <c r="S2218" s="255">
        <f>SUM(G2216:G2218) +SUM(K2216:K2218)</f>
        <v>0</v>
      </c>
      <c r="T2218" s="255">
        <f t="shared" ref="T2218:T2219" si="219">F2218+J2218</f>
        <v>5</v>
      </c>
      <c r="U2218" s="255">
        <f>SUM(O2216:O2218)</f>
        <v>1</v>
      </c>
      <c r="V2218" s="255">
        <f t="shared" ref="V2218:V2219" si="220">N2218</f>
        <v>2</v>
      </c>
      <c r="W2218" s="83">
        <f>SUM(Q2216:Q2218)</f>
        <v>0</v>
      </c>
      <c r="X2218" s="255">
        <f>P2218</f>
        <v>3</v>
      </c>
      <c r="Y2218" s="255">
        <f>S2218+U2218+SUM(Q2216:Q2218)</f>
        <v>1</v>
      </c>
      <c r="Z2218" s="255">
        <f t="shared" ref="Z2218:Z2219" si="221">F2218+J2218+N2218+P2218</f>
        <v>10</v>
      </c>
      <c r="AA2218" s="553"/>
      <c r="AB2218" s="553"/>
    </row>
    <row r="2219" spans="1:28" ht="12.75">
      <c r="A2219" s="547" t="s">
        <v>679</v>
      </c>
      <c r="B2219" s="547" t="s">
        <v>191</v>
      </c>
      <c r="C2219" s="548" t="s">
        <v>785</v>
      </c>
      <c r="D2219" s="549">
        <v>2019</v>
      </c>
      <c r="E2219" s="549" t="s">
        <v>775</v>
      </c>
      <c r="F2219" s="550">
        <v>2</v>
      </c>
      <c r="G2219" s="550">
        <v>0</v>
      </c>
      <c r="H2219" s="550">
        <v>0</v>
      </c>
      <c r="I2219" s="550">
        <v>0</v>
      </c>
      <c r="J2219" s="550">
        <v>1</v>
      </c>
      <c r="K2219" s="550">
        <v>0</v>
      </c>
      <c r="L2219" s="550">
        <v>0</v>
      </c>
      <c r="M2219" s="550">
        <v>0</v>
      </c>
      <c r="N2219" s="550">
        <v>2</v>
      </c>
      <c r="O2219" s="550">
        <v>0</v>
      </c>
      <c r="P2219" s="550">
        <v>4</v>
      </c>
      <c r="Q2219" s="550">
        <v>0</v>
      </c>
      <c r="R2219" s="574" t="s">
        <v>679</v>
      </c>
      <c r="S2219" s="552">
        <f>G2219</f>
        <v>0</v>
      </c>
      <c r="T2219" s="255">
        <f t="shared" si="219"/>
        <v>3</v>
      </c>
      <c r="U2219" s="552">
        <f>K2219</f>
        <v>0</v>
      </c>
      <c r="V2219" s="255">
        <f t="shared" si="220"/>
        <v>2</v>
      </c>
      <c r="W2219" s="552">
        <f t="shared" ref="W2219:Y2219" si="222">O2219</f>
        <v>0</v>
      </c>
      <c r="X2219" s="255">
        <f t="shared" si="222"/>
        <v>4</v>
      </c>
      <c r="Y2219" s="552">
        <f t="shared" si="222"/>
        <v>0</v>
      </c>
      <c r="Z2219" s="255">
        <f t="shared" si="221"/>
        <v>9</v>
      </c>
      <c r="AA2219" s="553"/>
      <c r="AB2219" s="553"/>
    </row>
    <row r="2220" spans="1:28" ht="12.75">
      <c r="A2220" s="547" t="s">
        <v>680</v>
      </c>
      <c r="B2220" s="547" t="s">
        <v>191</v>
      </c>
      <c r="C2220" s="548" t="s">
        <v>784</v>
      </c>
      <c r="D2220" s="549">
        <v>2017</v>
      </c>
      <c r="E2220" s="549" t="s">
        <v>775</v>
      </c>
      <c r="F2220" s="550">
        <v>5</v>
      </c>
      <c r="G2220" s="550">
        <v>0</v>
      </c>
      <c r="H2220" s="550">
        <v>0</v>
      </c>
      <c r="I2220" s="550">
        <v>0</v>
      </c>
      <c r="J2220" s="550">
        <v>3</v>
      </c>
      <c r="K2220" s="550">
        <v>0</v>
      </c>
      <c r="L2220" s="550">
        <v>0</v>
      </c>
      <c r="M2220" s="550">
        <v>0</v>
      </c>
      <c r="N2220" s="550">
        <v>3</v>
      </c>
      <c r="O2220" s="550">
        <v>0</v>
      </c>
      <c r="P2220" s="550">
        <v>8</v>
      </c>
      <c r="Q2220" s="550">
        <v>0</v>
      </c>
      <c r="R2220" s="574" t="s">
        <v>680</v>
      </c>
      <c r="S2220" s="552"/>
      <c r="T2220" s="552"/>
      <c r="U2220" s="552"/>
      <c r="V2220" s="552"/>
      <c r="W2220" s="552"/>
      <c r="X2220" s="552"/>
      <c r="Y2220" s="552"/>
      <c r="Z2220" s="552"/>
      <c r="AA2220" s="553"/>
      <c r="AB2220" s="553"/>
    </row>
    <row r="2221" spans="1:28" ht="12.75">
      <c r="A2221" s="547" t="s">
        <v>680</v>
      </c>
      <c r="B2221" s="547" t="s">
        <v>191</v>
      </c>
      <c r="C2221" s="548" t="s">
        <v>784</v>
      </c>
      <c r="D2221" s="549">
        <v>2018</v>
      </c>
      <c r="E2221" s="549" t="s">
        <v>775</v>
      </c>
      <c r="F2221" s="550">
        <v>5</v>
      </c>
      <c r="G2221" s="564"/>
      <c r="H2221" s="564"/>
      <c r="I2221" s="564"/>
      <c r="J2221" s="550">
        <v>3</v>
      </c>
      <c r="K2221" s="564"/>
      <c r="L2221" s="564"/>
      <c r="M2221" s="564"/>
      <c r="N2221" s="550">
        <v>3</v>
      </c>
      <c r="O2221" s="564"/>
      <c r="P2221" s="550">
        <v>8</v>
      </c>
      <c r="Q2221" s="564"/>
      <c r="R2221" s="574" t="s">
        <v>680</v>
      </c>
      <c r="S2221" s="552"/>
      <c r="T2221" s="552"/>
      <c r="U2221" s="552"/>
      <c r="V2221" s="552"/>
      <c r="W2221" s="552"/>
      <c r="X2221" s="552"/>
      <c r="Y2221" s="552"/>
      <c r="Z2221" s="552"/>
      <c r="AA2221" s="553"/>
      <c r="AB2221" s="553"/>
    </row>
    <row r="2222" spans="1:28" ht="12.75">
      <c r="A2222" s="547" t="s">
        <v>680</v>
      </c>
      <c r="B2222" s="547" t="s">
        <v>191</v>
      </c>
      <c r="C2222" s="548" t="s">
        <v>785</v>
      </c>
      <c r="D2222" s="549">
        <v>2019</v>
      </c>
      <c r="E2222" s="549" t="s">
        <v>775</v>
      </c>
      <c r="F2222" s="550">
        <v>5</v>
      </c>
      <c r="G2222" s="550">
        <v>0</v>
      </c>
      <c r="H2222" s="550">
        <v>0</v>
      </c>
      <c r="I2222" s="550">
        <v>0</v>
      </c>
      <c r="J2222" s="550">
        <v>3</v>
      </c>
      <c r="K2222" s="550">
        <v>0</v>
      </c>
      <c r="L2222" s="550">
        <v>0</v>
      </c>
      <c r="M2222" s="550">
        <v>0</v>
      </c>
      <c r="N2222" s="550">
        <v>3</v>
      </c>
      <c r="O2222" s="550">
        <v>0</v>
      </c>
      <c r="P2222" s="550">
        <v>8</v>
      </c>
      <c r="Q2222" s="550">
        <v>0</v>
      </c>
      <c r="R2222" s="574" t="s">
        <v>680</v>
      </c>
      <c r="S2222" s="255">
        <f>SUM(G2220:G2222) +SUM(K2220:K2222)</f>
        <v>0</v>
      </c>
      <c r="T2222" s="255">
        <f>F2222+J2222</f>
        <v>8</v>
      </c>
      <c r="U2222" s="255">
        <f>SUM(O2220:O2222)</f>
        <v>0</v>
      </c>
      <c r="V2222" s="255">
        <f>N2222</f>
        <v>3</v>
      </c>
      <c r="W2222" s="83">
        <f>SUM(Q2220:Q2222)</f>
        <v>0</v>
      </c>
      <c r="X2222" s="255">
        <f>P2222</f>
        <v>8</v>
      </c>
      <c r="Y2222" s="255">
        <f>S2222+U2222+SUM(Q2220:Q2222)</f>
        <v>0</v>
      </c>
      <c r="Z2222" s="255">
        <f>F2222+J2222+N2222+P2222</f>
        <v>19</v>
      </c>
      <c r="AA2222" s="553"/>
      <c r="AB2222" s="553"/>
    </row>
    <row r="2223" spans="1:28" ht="12.75">
      <c r="A2223" s="547" t="s">
        <v>681</v>
      </c>
      <c r="B2223" s="547" t="s">
        <v>191</v>
      </c>
      <c r="C2223" s="548" t="s">
        <v>784</v>
      </c>
      <c r="D2223" s="549">
        <v>2014</v>
      </c>
      <c r="E2223" s="549" t="s">
        <v>775</v>
      </c>
      <c r="F2223" s="550">
        <v>11</v>
      </c>
      <c r="G2223" s="550">
        <v>0</v>
      </c>
      <c r="H2223" s="550">
        <v>0</v>
      </c>
      <c r="I2223" s="550">
        <v>0</v>
      </c>
      <c r="J2223" s="550">
        <v>7</v>
      </c>
      <c r="K2223" s="550">
        <v>0</v>
      </c>
      <c r="L2223" s="550">
        <v>0</v>
      </c>
      <c r="M2223" s="550">
        <v>0</v>
      </c>
      <c r="N2223" s="550">
        <v>8</v>
      </c>
      <c r="O2223" s="550">
        <v>0</v>
      </c>
      <c r="P2223" s="550">
        <v>19</v>
      </c>
      <c r="Q2223" s="550">
        <v>1</v>
      </c>
      <c r="R2223" s="574" t="s">
        <v>681</v>
      </c>
      <c r="S2223" s="552"/>
      <c r="T2223" s="552"/>
      <c r="U2223" s="552"/>
      <c r="V2223" s="552"/>
      <c r="W2223" s="552"/>
      <c r="X2223" s="552"/>
      <c r="Y2223" s="552"/>
      <c r="Z2223" s="552"/>
      <c r="AA2223" s="553"/>
      <c r="AB2223" s="553"/>
    </row>
    <row r="2224" spans="1:28" ht="12.75">
      <c r="A2224" s="547" t="s">
        <v>681</v>
      </c>
      <c r="B2224" s="547" t="s">
        <v>191</v>
      </c>
      <c r="C2224" s="548" t="s">
        <v>785</v>
      </c>
      <c r="D2224" s="549">
        <v>2019</v>
      </c>
      <c r="E2224" s="549" t="s">
        <v>775</v>
      </c>
      <c r="F2224" s="550">
        <v>11</v>
      </c>
      <c r="G2224" s="550">
        <v>0</v>
      </c>
      <c r="H2224" s="550">
        <v>0</v>
      </c>
      <c r="I2224" s="550">
        <v>0</v>
      </c>
      <c r="J2224" s="550">
        <v>7</v>
      </c>
      <c r="K2224" s="550">
        <v>0</v>
      </c>
      <c r="L2224" s="550">
        <v>0</v>
      </c>
      <c r="M2224" s="550">
        <v>0</v>
      </c>
      <c r="N2224" s="550">
        <v>8</v>
      </c>
      <c r="O2224" s="550">
        <v>1</v>
      </c>
      <c r="P2224" s="550">
        <v>19</v>
      </c>
      <c r="Q2224" s="550">
        <v>1</v>
      </c>
      <c r="R2224" s="574" t="s">
        <v>681</v>
      </c>
      <c r="S2224" s="255">
        <f>SUM(G2223:G2224) +SUM(K2223:K2224)</f>
        <v>0</v>
      </c>
      <c r="T2224" s="255">
        <f t="shared" ref="T2224:T2225" si="223">F2224+J2224</f>
        <v>18</v>
      </c>
      <c r="U2224" s="255">
        <f>SUM(O2223:O2224)</f>
        <v>1</v>
      </c>
      <c r="V2224" s="255">
        <f t="shared" ref="V2224:V2225" si="224">N2224</f>
        <v>8</v>
      </c>
      <c r="W2224" s="83">
        <f>SUM(Q2223:Q2224)</f>
        <v>2</v>
      </c>
      <c r="X2224" s="255">
        <f>P2224</f>
        <v>19</v>
      </c>
      <c r="Y2224" s="255">
        <f>S2224+U2224+SUM(Q2223:Q2224)</f>
        <v>3</v>
      </c>
      <c r="Z2224" s="255">
        <f t="shared" ref="Z2224:Z2225" si="225">F2224+J2224+N2224+P2224</f>
        <v>45</v>
      </c>
      <c r="AA2224" s="553"/>
      <c r="AB2224" s="553"/>
    </row>
    <row r="2225" spans="1:28" ht="12.75">
      <c r="A2225" s="547" t="s">
        <v>682</v>
      </c>
      <c r="B2225" s="547" t="s">
        <v>191</v>
      </c>
      <c r="C2225" s="548" t="s">
        <v>785</v>
      </c>
      <c r="D2225" s="549">
        <v>2019</v>
      </c>
      <c r="E2225" s="549" t="s">
        <v>775</v>
      </c>
      <c r="F2225" s="550">
        <v>65</v>
      </c>
      <c r="G2225" s="550">
        <v>0</v>
      </c>
      <c r="H2225" s="550">
        <v>0</v>
      </c>
      <c r="I2225" s="550">
        <v>0</v>
      </c>
      <c r="J2225" s="550">
        <v>40</v>
      </c>
      <c r="K2225" s="550">
        <v>0</v>
      </c>
      <c r="L2225" s="550">
        <v>0</v>
      </c>
      <c r="M2225" s="550">
        <v>0</v>
      </c>
      <c r="N2225" s="550">
        <v>43</v>
      </c>
      <c r="O2225" s="550">
        <v>0</v>
      </c>
      <c r="P2225" s="550">
        <v>110</v>
      </c>
      <c r="Q2225" s="550">
        <v>11</v>
      </c>
      <c r="R2225" s="574" t="s">
        <v>682</v>
      </c>
      <c r="S2225" s="552">
        <f>G2225</f>
        <v>0</v>
      </c>
      <c r="T2225" s="255">
        <f t="shared" si="223"/>
        <v>105</v>
      </c>
      <c r="U2225" s="552">
        <f>K2225</f>
        <v>0</v>
      </c>
      <c r="V2225" s="255">
        <f t="shared" si="224"/>
        <v>43</v>
      </c>
      <c r="W2225" s="552">
        <f t="shared" ref="W2225:Y2225" si="226">O2225</f>
        <v>0</v>
      </c>
      <c r="X2225" s="255">
        <f t="shared" si="226"/>
        <v>110</v>
      </c>
      <c r="Y2225" s="552">
        <f t="shared" si="226"/>
        <v>11</v>
      </c>
      <c r="Z2225" s="255">
        <f t="shared" si="225"/>
        <v>258</v>
      </c>
      <c r="AA2225" s="553"/>
      <c r="AB2225" s="553"/>
    </row>
    <row r="2226" spans="1:28" ht="12.75">
      <c r="A2226" s="547" t="s">
        <v>683</v>
      </c>
      <c r="B2226" s="547" t="s">
        <v>191</v>
      </c>
      <c r="C2226" s="548" t="s">
        <v>784</v>
      </c>
      <c r="D2226" s="549">
        <v>2018</v>
      </c>
      <c r="E2226" s="549" t="s">
        <v>775</v>
      </c>
      <c r="F2226" s="550">
        <v>3</v>
      </c>
      <c r="G2226" s="564"/>
      <c r="H2226" s="564"/>
      <c r="I2226" s="564"/>
      <c r="J2226" s="550">
        <v>2</v>
      </c>
      <c r="K2226" s="564"/>
      <c r="L2226" s="564"/>
      <c r="M2226" s="564"/>
      <c r="N2226" s="550">
        <v>2</v>
      </c>
      <c r="O2226" s="564"/>
      <c r="P2226" s="550">
        <v>6</v>
      </c>
      <c r="Q2226" s="564"/>
      <c r="R2226" s="574" t="s">
        <v>683</v>
      </c>
      <c r="S2226" s="552"/>
      <c r="T2226" s="552"/>
      <c r="U2226" s="552"/>
      <c r="V2226" s="552"/>
      <c r="W2226" s="552"/>
      <c r="X2226" s="552"/>
      <c r="Y2226" s="552"/>
      <c r="Z2226" s="552"/>
      <c r="AA2226" s="553"/>
      <c r="AB2226" s="553"/>
    </row>
    <row r="2227" spans="1:28" ht="12.75">
      <c r="A2227" s="547" t="s">
        <v>683</v>
      </c>
      <c r="B2227" s="547" t="s">
        <v>191</v>
      </c>
      <c r="C2227" s="548" t="s">
        <v>785</v>
      </c>
      <c r="D2227" s="549">
        <v>2019</v>
      </c>
      <c r="E2227" s="549" t="s">
        <v>775</v>
      </c>
      <c r="F2227" s="550">
        <v>3</v>
      </c>
      <c r="G2227" s="550">
        <v>0</v>
      </c>
      <c r="H2227" s="550">
        <v>0</v>
      </c>
      <c r="I2227" s="550">
        <v>0</v>
      </c>
      <c r="J2227" s="550">
        <v>2</v>
      </c>
      <c r="K2227" s="550">
        <v>0</v>
      </c>
      <c r="L2227" s="550">
        <v>0</v>
      </c>
      <c r="M2227" s="550">
        <v>0</v>
      </c>
      <c r="N2227" s="550">
        <v>2</v>
      </c>
      <c r="O2227" s="550">
        <v>0</v>
      </c>
      <c r="P2227" s="550">
        <v>6</v>
      </c>
      <c r="Q2227" s="550">
        <v>0</v>
      </c>
      <c r="R2227" s="574" t="s">
        <v>683</v>
      </c>
      <c r="S2227" s="255">
        <f>SUM(G2226:G2227) +SUM(K2226:K2227)</f>
        <v>0</v>
      </c>
      <c r="T2227" s="255">
        <f>F2227+J2227</f>
        <v>5</v>
      </c>
      <c r="U2227" s="255">
        <f>SUM(O2226:O2227)</f>
        <v>0</v>
      </c>
      <c r="V2227" s="255">
        <f>N2227</f>
        <v>2</v>
      </c>
      <c r="W2227" s="83">
        <f>SUM(Q2226:Q2227)</f>
        <v>0</v>
      </c>
      <c r="X2227" s="255">
        <f>P2227</f>
        <v>6</v>
      </c>
      <c r="Y2227" s="255">
        <f>S2227+U2227+SUM(Q2226:Q2227)</f>
        <v>0</v>
      </c>
      <c r="Z2227" s="255">
        <f>F2227+J2227+N2227+P2227</f>
        <v>13</v>
      </c>
      <c r="AA2227" s="553"/>
      <c r="AB2227" s="553"/>
    </row>
    <row r="2228" spans="1:28" ht="12.75">
      <c r="A2228" s="547" t="s">
        <v>684</v>
      </c>
      <c r="B2228" s="547" t="s">
        <v>191</v>
      </c>
      <c r="C2228" s="548" t="s">
        <v>784</v>
      </c>
      <c r="D2228" s="549">
        <v>2018</v>
      </c>
      <c r="E2228" s="549" t="s">
        <v>775</v>
      </c>
      <c r="F2228" s="550">
        <v>10</v>
      </c>
      <c r="G2228" s="550">
        <v>0</v>
      </c>
      <c r="H2228" s="550">
        <v>0</v>
      </c>
      <c r="I2228" s="550">
        <v>0</v>
      </c>
      <c r="J2228" s="550">
        <v>6</v>
      </c>
      <c r="K2228" s="550">
        <v>0</v>
      </c>
      <c r="L2228" s="550">
        <v>0</v>
      </c>
      <c r="M2228" s="550">
        <v>0</v>
      </c>
      <c r="N2228" s="550">
        <v>6</v>
      </c>
      <c r="O2228" s="550">
        <v>0</v>
      </c>
      <c r="P2228" s="550">
        <v>16</v>
      </c>
      <c r="Q2228" s="550">
        <v>2</v>
      </c>
      <c r="R2228" s="574" t="s">
        <v>684</v>
      </c>
      <c r="S2228" s="552"/>
      <c r="T2228" s="552"/>
      <c r="U2228" s="552"/>
      <c r="V2228" s="552"/>
      <c r="W2228" s="552"/>
      <c r="X2228" s="552"/>
      <c r="Y2228" s="552"/>
      <c r="Z2228" s="552"/>
      <c r="AA2228" s="553"/>
      <c r="AB2228" s="553"/>
    </row>
    <row r="2229" spans="1:28" ht="12.75">
      <c r="A2229" s="547" t="s">
        <v>684</v>
      </c>
      <c r="B2229" s="547" t="s">
        <v>191</v>
      </c>
      <c r="C2229" s="548" t="s">
        <v>785</v>
      </c>
      <c r="D2229" s="549">
        <v>2019</v>
      </c>
      <c r="E2229" s="549" t="s">
        <v>775</v>
      </c>
      <c r="F2229" s="550">
        <v>10</v>
      </c>
      <c r="G2229" s="550">
        <v>0</v>
      </c>
      <c r="H2229" s="550">
        <v>0</v>
      </c>
      <c r="I2229" s="550">
        <v>0</v>
      </c>
      <c r="J2229" s="550">
        <v>6</v>
      </c>
      <c r="K2229" s="550">
        <v>0</v>
      </c>
      <c r="L2229" s="550">
        <v>0</v>
      </c>
      <c r="M2229" s="550">
        <v>0</v>
      </c>
      <c r="N2229" s="550">
        <v>6</v>
      </c>
      <c r="O2229" s="550">
        <v>0</v>
      </c>
      <c r="P2229" s="550">
        <v>16</v>
      </c>
      <c r="Q2229" s="550">
        <v>4</v>
      </c>
      <c r="R2229" s="574" t="s">
        <v>684</v>
      </c>
      <c r="S2229" s="255">
        <f>SUM(G2228:G2229) +SUM(K2228:K2229)</f>
        <v>0</v>
      </c>
      <c r="T2229" s="255">
        <f>F2229+J2229</f>
        <v>16</v>
      </c>
      <c r="U2229" s="255">
        <f>SUM(O2228:O2229)</f>
        <v>0</v>
      </c>
      <c r="V2229" s="255">
        <f>N2229</f>
        <v>6</v>
      </c>
      <c r="W2229" s="83">
        <f>SUM(Q2228:Q2229)</f>
        <v>6</v>
      </c>
      <c r="X2229" s="255">
        <f>P2229</f>
        <v>16</v>
      </c>
      <c r="Y2229" s="255">
        <f>S2229+U2229+SUM(Q2228:Q2229)</f>
        <v>6</v>
      </c>
      <c r="Z2229" s="255">
        <f>F2229+J2229+N2229+P2229</f>
        <v>38</v>
      </c>
      <c r="AA2229" s="553"/>
      <c r="AB2229" s="553"/>
    </row>
    <row r="2230" spans="1:28" ht="12.75">
      <c r="A2230" s="547" t="s">
        <v>685</v>
      </c>
      <c r="B2230" s="547" t="s">
        <v>191</v>
      </c>
      <c r="C2230" s="548" t="s">
        <v>784</v>
      </c>
      <c r="D2230" s="549">
        <v>2015</v>
      </c>
      <c r="E2230" s="549" t="s">
        <v>775</v>
      </c>
      <c r="F2230" s="550">
        <v>25</v>
      </c>
      <c r="G2230" s="550">
        <v>0</v>
      </c>
      <c r="H2230" s="550">
        <v>0</v>
      </c>
      <c r="I2230" s="550">
        <v>0</v>
      </c>
      <c r="J2230" s="550">
        <v>17</v>
      </c>
      <c r="K2230" s="550">
        <v>0</v>
      </c>
      <c r="L2230" s="550">
        <v>0</v>
      </c>
      <c r="M2230" s="550">
        <v>0</v>
      </c>
      <c r="N2230" s="550">
        <v>18</v>
      </c>
      <c r="O2230" s="550">
        <v>2</v>
      </c>
      <c r="P2230" s="550">
        <v>43</v>
      </c>
      <c r="Q2230" s="550">
        <v>0</v>
      </c>
      <c r="R2230" s="574" t="s">
        <v>685</v>
      </c>
      <c r="S2230" s="552"/>
      <c r="T2230" s="552"/>
      <c r="U2230" s="552"/>
      <c r="V2230" s="552"/>
      <c r="W2230" s="552"/>
      <c r="X2230" s="552"/>
      <c r="Y2230" s="552"/>
      <c r="Z2230" s="552"/>
      <c r="AA2230" s="553"/>
      <c r="AB2230" s="553"/>
    </row>
    <row r="2231" spans="1:28" ht="12.75">
      <c r="A2231" s="547" t="s">
        <v>685</v>
      </c>
      <c r="B2231" s="547" t="s">
        <v>191</v>
      </c>
      <c r="C2231" s="548" t="s">
        <v>784</v>
      </c>
      <c r="D2231" s="549">
        <v>2016</v>
      </c>
      <c r="E2231" s="549" t="s">
        <v>775</v>
      </c>
      <c r="F2231" s="550">
        <v>25</v>
      </c>
      <c r="G2231" s="550">
        <v>0</v>
      </c>
      <c r="H2231" s="550">
        <v>0</v>
      </c>
      <c r="I2231" s="550">
        <v>0</v>
      </c>
      <c r="J2231" s="550">
        <v>17</v>
      </c>
      <c r="K2231" s="550">
        <v>0</v>
      </c>
      <c r="L2231" s="550">
        <v>0</v>
      </c>
      <c r="M2231" s="550">
        <v>0</v>
      </c>
      <c r="N2231" s="550">
        <v>18</v>
      </c>
      <c r="O2231" s="550">
        <v>0</v>
      </c>
      <c r="P2231" s="550">
        <v>43</v>
      </c>
      <c r="Q2231" s="550">
        <v>0</v>
      </c>
      <c r="R2231" s="574" t="s">
        <v>685</v>
      </c>
      <c r="S2231" s="552"/>
      <c r="T2231" s="552"/>
      <c r="U2231" s="552"/>
      <c r="V2231" s="552"/>
      <c r="W2231" s="552"/>
      <c r="X2231" s="552"/>
      <c r="Y2231" s="552"/>
      <c r="Z2231" s="552"/>
      <c r="AA2231" s="553"/>
      <c r="AB2231" s="553"/>
    </row>
    <row r="2232" spans="1:28" ht="12.75">
      <c r="A2232" s="547" t="s">
        <v>685</v>
      </c>
      <c r="B2232" s="547" t="s">
        <v>191</v>
      </c>
      <c r="C2232" s="548" t="s">
        <v>784</v>
      </c>
      <c r="D2232" s="549">
        <v>2017</v>
      </c>
      <c r="E2232" s="549" t="s">
        <v>775</v>
      </c>
      <c r="F2232" s="550">
        <v>25</v>
      </c>
      <c r="G2232" s="550">
        <v>0</v>
      </c>
      <c r="H2232" s="550">
        <v>0</v>
      </c>
      <c r="I2232" s="550">
        <v>0</v>
      </c>
      <c r="J2232" s="550">
        <v>17</v>
      </c>
      <c r="K2232" s="550">
        <v>0</v>
      </c>
      <c r="L2232" s="550">
        <v>0</v>
      </c>
      <c r="M2232" s="550">
        <v>0</v>
      </c>
      <c r="N2232" s="550">
        <v>18</v>
      </c>
      <c r="O2232" s="550">
        <v>3</v>
      </c>
      <c r="P2232" s="550">
        <v>43</v>
      </c>
      <c r="Q2232" s="550">
        <v>0</v>
      </c>
      <c r="R2232" s="574" t="s">
        <v>685</v>
      </c>
      <c r="S2232" s="552"/>
      <c r="T2232" s="552"/>
      <c r="U2232" s="552"/>
      <c r="V2232" s="552"/>
      <c r="W2232" s="552"/>
      <c r="X2232" s="552"/>
      <c r="Y2232" s="552"/>
      <c r="Z2232" s="552"/>
      <c r="AA2232" s="553"/>
      <c r="AB2232" s="553"/>
    </row>
    <row r="2233" spans="1:28" ht="12.75">
      <c r="A2233" s="547" t="s">
        <v>685</v>
      </c>
      <c r="B2233" s="547" t="s">
        <v>191</v>
      </c>
      <c r="C2233" s="548" t="s">
        <v>784</v>
      </c>
      <c r="D2233" s="549">
        <v>2018</v>
      </c>
      <c r="E2233" s="549" t="s">
        <v>775</v>
      </c>
      <c r="F2233" s="550">
        <v>25</v>
      </c>
      <c r="G2233" s="550">
        <v>0</v>
      </c>
      <c r="H2233" s="550">
        <v>0</v>
      </c>
      <c r="I2233" s="550">
        <v>0</v>
      </c>
      <c r="J2233" s="550">
        <v>17</v>
      </c>
      <c r="K2233" s="550">
        <v>0</v>
      </c>
      <c r="L2233" s="550">
        <v>0</v>
      </c>
      <c r="M2233" s="550">
        <v>0</v>
      </c>
      <c r="N2233" s="550">
        <v>18</v>
      </c>
      <c r="O2233" s="550">
        <v>1</v>
      </c>
      <c r="P2233" s="550">
        <v>43</v>
      </c>
      <c r="Q2233" s="550">
        <v>0</v>
      </c>
      <c r="R2233" s="574" t="s">
        <v>685</v>
      </c>
      <c r="S2233" s="552"/>
      <c r="T2233" s="552"/>
      <c r="U2233" s="552"/>
      <c r="V2233" s="552"/>
      <c r="W2233" s="552"/>
      <c r="X2233" s="552"/>
      <c r="Y2233" s="552"/>
      <c r="Z2233" s="552"/>
      <c r="AA2233" s="553"/>
      <c r="AB2233" s="553"/>
    </row>
    <row r="2234" spans="1:28" ht="12.75">
      <c r="A2234" s="547" t="s">
        <v>685</v>
      </c>
      <c r="B2234" s="547" t="s">
        <v>191</v>
      </c>
      <c r="C2234" s="548" t="s">
        <v>785</v>
      </c>
      <c r="D2234" s="549">
        <v>2019</v>
      </c>
      <c r="E2234" s="549" t="s">
        <v>775</v>
      </c>
      <c r="F2234" s="550">
        <v>25</v>
      </c>
      <c r="G2234" s="550">
        <v>0</v>
      </c>
      <c r="H2234" s="550">
        <v>0</v>
      </c>
      <c r="I2234" s="550">
        <v>0</v>
      </c>
      <c r="J2234" s="550">
        <v>17</v>
      </c>
      <c r="K2234" s="550">
        <v>0</v>
      </c>
      <c r="L2234" s="550">
        <v>0</v>
      </c>
      <c r="M2234" s="550">
        <v>0</v>
      </c>
      <c r="N2234" s="550">
        <v>18</v>
      </c>
      <c r="O2234" s="550">
        <v>0</v>
      </c>
      <c r="P2234" s="550">
        <v>43</v>
      </c>
      <c r="Q2234" s="550">
        <v>0</v>
      </c>
      <c r="R2234" s="574" t="s">
        <v>685</v>
      </c>
      <c r="S2234" s="561">
        <f>SUM(G2230:G2234) +SUM(K2230:K2234)</f>
        <v>0</v>
      </c>
      <c r="T2234" s="561">
        <f>F2234+J2234</f>
        <v>42</v>
      </c>
      <c r="U2234" s="561">
        <f>SUM(O2230:O2234)</f>
        <v>6</v>
      </c>
      <c r="V2234" s="561">
        <f>N2234</f>
        <v>18</v>
      </c>
      <c r="W2234" s="562">
        <f>SUM(Q2230:Q2234)</f>
        <v>0</v>
      </c>
      <c r="X2234" s="561">
        <f>P2234</f>
        <v>43</v>
      </c>
      <c r="Y2234" s="561">
        <f>S2234+U2234+SUM(Q2230:Q2234)</f>
        <v>6</v>
      </c>
      <c r="Z2234" s="561">
        <f>F2234+J2234+N2234+P2234</f>
        <v>103</v>
      </c>
      <c r="AA2234" s="553"/>
      <c r="AB2234" s="553"/>
    </row>
    <row r="2235" spans="1:28" ht="12.75">
      <c r="A2235" s="547"/>
      <c r="B2235" s="547"/>
      <c r="C2235" s="548"/>
      <c r="D2235" s="549"/>
      <c r="E2235" s="549"/>
      <c r="F2235" s="550"/>
      <c r="G2235" s="550"/>
      <c r="H2235" s="550"/>
      <c r="I2235" s="550"/>
      <c r="J2235" s="550"/>
      <c r="K2235" s="550"/>
      <c r="L2235" s="550"/>
      <c r="M2235" s="550"/>
      <c r="N2235" s="550"/>
      <c r="O2235" s="550"/>
      <c r="P2235" s="550"/>
      <c r="Q2235" s="550"/>
      <c r="R2235" s="574"/>
      <c r="S2235" s="563">
        <f t="shared" ref="S2235:Z2235" si="227">SUM(S2205:S2234)</f>
        <v>1</v>
      </c>
      <c r="T2235" s="563">
        <f t="shared" si="227"/>
        <v>217</v>
      </c>
      <c r="U2235" s="563">
        <f t="shared" si="227"/>
        <v>9</v>
      </c>
      <c r="V2235" s="563">
        <f t="shared" si="227"/>
        <v>90</v>
      </c>
      <c r="W2235" s="563">
        <f t="shared" si="227"/>
        <v>11</v>
      </c>
      <c r="X2235" s="563">
        <f t="shared" si="227"/>
        <v>223</v>
      </c>
      <c r="Y2235" s="563">
        <f t="shared" si="227"/>
        <v>32</v>
      </c>
      <c r="Z2235" s="563">
        <f t="shared" si="227"/>
        <v>530</v>
      </c>
      <c r="AA2235" s="553"/>
      <c r="AB2235" s="553"/>
    </row>
    <row r="2236" spans="1:28" ht="12.75">
      <c r="A2236" s="547" t="s">
        <v>686</v>
      </c>
      <c r="B2236" s="547" t="s">
        <v>192</v>
      </c>
      <c r="C2236" s="548" t="s">
        <v>774</v>
      </c>
      <c r="D2236" s="549">
        <v>2014</v>
      </c>
      <c r="E2236" s="549" t="s">
        <v>775</v>
      </c>
      <c r="F2236" s="550">
        <v>94</v>
      </c>
      <c r="G2236" s="550">
        <v>0</v>
      </c>
      <c r="H2236" s="550">
        <v>0</v>
      </c>
      <c r="I2236" s="550">
        <v>0</v>
      </c>
      <c r="J2236" s="550">
        <v>54</v>
      </c>
      <c r="K2236" s="550">
        <v>0</v>
      </c>
      <c r="L2236" s="550">
        <v>0</v>
      </c>
      <c r="M2236" s="550">
        <v>0</v>
      </c>
      <c r="N2236" s="550">
        <v>56</v>
      </c>
      <c r="O2236" s="550">
        <v>0</v>
      </c>
      <c r="P2236" s="550">
        <v>123</v>
      </c>
      <c r="Q2236" s="550">
        <v>4</v>
      </c>
      <c r="R2236" s="574" t="s">
        <v>686</v>
      </c>
      <c r="S2236" s="552"/>
      <c r="T2236" s="552"/>
      <c r="U2236" s="552"/>
      <c r="V2236" s="552"/>
      <c r="W2236" s="552"/>
      <c r="X2236" s="552"/>
      <c r="Y2236" s="552"/>
      <c r="Z2236" s="552"/>
      <c r="AA2236" s="553"/>
      <c r="AB2236" s="553"/>
    </row>
    <row r="2237" spans="1:28" ht="12.75">
      <c r="A2237" s="547" t="s">
        <v>686</v>
      </c>
      <c r="B2237" s="547" t="s">
        <v>192</v>
      </c>
      <c r="C2237" s="548" t="s">
        <v>774</v>
      </c>
      <c r="D2237" s="549">
        <v>2015</v>
      </c>
      <c r="E2237" s="549" t="s">
        <v>775</v>
      </c>
      <c r="F2237" s="550">
        <v>94</v>
      </c>
      <c r="G2237" s="550">
        <v>0</v>
      </c>
      <c r="H2237" s="550">
        <v>0</v>
      </c>
      <c r="I2237" s="550">
        <v>0</v>
      </c>
      <c r="J2237" s="550">
        <v>54</v>
      </c>
      <c r="K2237" s="550">
        <v>1</v>
      </c>
      <c r="L2237" s="550">
        <v>1</v>
      </c>
      <c r="M2237" s="550">
        <v>0</v>
      </c>
      <c r="N2237" s="550">
        <v>56</v>
      </c>
      <c r="O2237" s="550">
        <v>0</v>
      </c>
      <c r="P2237" s="550">
        <v>123</v>
      </c>
      <c r="Q2237" s="550">
        <v>2</v>
      </c>
      <c r="R2237" s="574" t="s">
        <v>686</v>
      </c>
      <c r="S2237" s="552"/>
      <c r="T2237" s="552"/>
      <c r="U2237" s="552"/>
      <c r="V2237" s="552"/>
      <c r="W2237" s="552"/>
      <c r="X2237" s="552"/>
      <c r="Y2237" s="552"/>
      <c r="Z2237" s="552"/>
      <c r="AA2237" s="553"/>
      <c r="AB2237" s="553"/>
    </row>
    <row r="2238" spans="1:28" ht="12.75">
      <c r="A2238" s="547" t="s">
        <v>686</v>
      </c>
      <c r="B2238" s="547" t="s">
        <v>192</v>
      </c>
      <c r="C2238" s="548" t="s">
        <v>774</v>
      </c>
      <c r="D2238" s="549">
        <v>2016</v>
      </c>
      <c r="E2238" s="549" t="s">
        <v>775</v>
      </c>
      <c r="F2238" s="550">
        <v>94</v>
      </c>
      <c r="G2238" s="550">
        <v>0</v>
      </c>
      <c r="H2238" s="550">
        <v>0</v>
      </c>
      <c r="I2238" s="550">
        <v>0</v>
      </c>
      <c r="J2238" s="550">
        <v>54</v>
      </c>
      <c r="K2238" s="550">
        <v>2</v>
      </c>
      <c r="L2238" s="550">
        <v>2</v>
      </c>
      <c r="M2238" s="550">
        <v>0</v>
      </c>
      <c r="N2238" s="550">
        <v>56</v>
      </c>
      <c r="O2238" s="550">
        <v>0</v>
      </c>
      <c r="P2238" s="550">
        <v>123</v>
      </c>
      <c r="Q2238" s="550">
        <v>1</v>
      </c>
      <c r="R2238" s="574" t="s">
        <v>686</v>
      </c>
      <c r="S2238" s="552"/>
      <c r="T2238" s="552"/>
      <c r="U2238" s="552"/>
      <c r="V2238" s="552"/>
      <c r="W2238" s="552"/>
      <c r="X2238" s="552"/>
      <c r="Y2238" s="552"/>
      <c r="Z2238" s="552"/>
      <c r="AA2238" s="553"/>
      <c r="AB2238" s="553"/>
    </row>
    <row r="2239" spans="1:28" ht="12.75">
      <c r="A2239" s="547" t="s">
        <v>686</v>
      </c>
      <c r="B2239" s="547" t="s">
        <v>192</v>
      </c>
      <c r="C2239" s="548" t="s">
        <v>774</v>
      </c>
      <c r="D2239" s="549">
        <v>2017</v>
      </c>
      <c r="E2239" s="549" t="s">
        <v>775</v>
      </c>
      <c r="F2239" s="550">
        <v>94</v>
      </c>
      <c r="G2239" s="550">
        <v>1</v>
      </c>
      <c r="H2239" s="550">
        <v>1</v>
      </c>
      <c r="I2239" s="550">
        <v>0</v>
      </c>
      <c r="J2239" s="550">
        <v>54</v>
      </c>
      <c r="K2239" s="550">
        <v>0</v>
      </c>
      <c r="L2239" s="550">
        <v>0</v>
      </c>
      <c r="M2239" s="550">
        <v>0</v>
      </c>
      <c r="N2239" s="550">
        <v>56</v>
      </c>
      <c r="O2239" s="550">
        <v>0</v>
      </c>
      <c r="P2239" s="550">
        <v>123</v>
      </c>
      <c r="Q2239" s="550">
        <v>8</v>
      </c>
      <c r="R2239" s="574" t="s">
        <v>686</v>
      </c>
      <c r="S2239" s="552"/>
      <c r="T2239" s="552"/>
      <c r="U2239" s="552"/>
      <c r="V2239" s="552"/>
      <c r="W2239" s="552"/>
      <c r="X2239" s="552"/>
      <c r="Y2239" s="552"/>
      <c r="Z2239" s="552"/>
      <c r="AA2239" s="553"/>
      <c r="AB2239" s="553"/>
    </row>
    <row r="2240" spans="1:28" ht="12.75">
      <c r="A2240" s="547" t="s">
        <v>686</v>
      </c>
      <c r="B2240" s="547" t="s">
        <v>192</v>
      </c>
      <c r="C2240" s="548" t="s">
        <v>774</v>
      </c>
      <c r="D2240" s="549">
        <v>2018</v>
      </c>
      <c r="E2240" s="549" t="s">
        <v>775</v>
      </c>
      <c r="F2240" s="550">
        <v>94</v>
      </c>
      <c r="G2240" s="550">
        <v>0</v>
      </c>
      <c r="H2240" s="550">
        <v>0</v>
      </c>
      <c r="I2240" s="550">
        <v>0</v>
      </c>
      <c r="J2240" s="550">
        <v>54</v>
      </c>
      <c r="K2240" s="550">
        <v>0</v>
      </c>
      <c r="L2240" s="550">
        <v>0</v>
      </c>
      <c r="M2240" s="550">
        <v>0</v>
      </c>
      <c r="N2240" s="550">
        <v>56</v>
      </c>
      <c r="O2240" s="550">
        <v>3</v>
      </c>
      <c r="P2240" s="550">
        <v>123</v>
      </c>
      <c r="Q2240" s="550">
        <v>0</v>
      </c>
      <c r="R2240" s="574" t="s">
        <v>686</v>
      </c>
      <c r="S2240" s="552"/>
      <c r="T2240" s="552"/>
      <c r="U2240" s="552"/>
      <c r="V2240" s="552"/>
      <c r="W2240" s="552"/>
      <c r="X2240" s="552"/>
      <c r="Y2240" s="552"/>
      <c r="Z2240" s="552"/>
      <c r="AA2240" s="553"/>
      <c r="AB2240" s="553"/>
    </row>
    <row r="2241" spans="1:28" ht="12.75">
      <c r="A2241" s="547" t="s">
        <v>686</v>
      </c>
      <c r="B2241" s="547" t="s">
        <v>192</v>
      </c>
      <c r="C2241" s="548" t="s">
        <v>782</v>
      </c>
      <c r="D2241" s="549">
        <v>2019</v>
      </c>
      <c r="E2241" s="549" t="s">
        <v>775</v>
      </c>
      <c r="F2241" s="550">
        <v>94</v>
      </c>
      <c r="G2241" s="550">
        <v>0</v>
      </c>
      <c r="H2241" s="550">
        <v>0</v>
      </c>
      <c r="I2241" s="550">
        <v>0</v>
      </c>
      <c r="J2241" s="550">
        <v>54</v>
      </c>
      <c r="K2241" s="550">
        <v>0</v>
      </c>
      <c r="L2241" s="550">
        <v>0</v>
      </c>
      <c r="M2241" s="550">
        <v>0</v>
      </c>
      <c r="N2241" s="550">
        <v>56</v>
      </c>
      <c r="O2241" s="550">
        <v>0</v>
      </c>
      <c r="P2241" s="550">
        <v>123</v>
      </c>
      <c r="Q2241" s="550">
        <v>0</v>
      </c>
      <c r="R2241" s="574" t="s">
        <v>686</v>
      </c>
      <c r="S2241" s="552">
        <f>SUM(G2236:G2241) +SUM(K2236:K2241)</f>
        <v>4</v>
      </c>
      <c r="T2241" s="552">
        <f>F2241+J2241</f>
        <v>148</v>
      </c>
      <c r="U2241" s="552">
        <f>SUM(O2236:O2241)</f>
        <v>3</v>
      </c>
      <c r="V2241" s="552">
        <f>N2241</f>
        <v>56</v>
      </c>
      <c r="W2241" s="554">
        <f>SUM(Q2236:Q2241)</f>
        <v>15</v>
      </c>
      <c r="X2241" s="552">
        <f>P2241</f>
        <v>123</v>
      </c>
      <c r="Y2241" s="552">
        <f>S2241+U2241+SUM(Q2236:Q2241)</f>
        <v>22</v>
      </c>
      <c r="Z2241" s="552">
        <f>F2241+J2241+N2241+P2241</f>
        <v>327</v>
      </c>
      <c r="AA2241" s="553"/>
      <c r="AB2241" s="553"/>
    </row>
    <row r="2242" spans="1:28" ht="12.75">
      <c r="A2242" s="547" t="s">
        <v>687</v>
      </c>
      <c r="B2242" s="547" t="s">
        <v>192</v>
      </c>
      <c r="C2242" s="548" t="s">
        <v>774</v>
      </c>
      <c r="D2242" s="549">
        <v>2015</v>
      </c>
      <c r="E2242" s="549" t="s">
        <v>775</v>
      </c>
      <c r="F2242" s="550">
        <v>50</v>
      </c>
      <c r="G2242" s="550">
        <v>0</v>
      </c>
      <c r="H2242" s="550">
        <v>0</v>
      </c>
      <c r="I2242" s="550">
        <v>0</v>
      </c>
      <c r="J2242" s="550">
        <v>24</v>
      </c>
      <c r="K2242" s="550">
        <v>0</v>
      </c>
      <c r="L2242" s="550">
        <v>0</v>
      </c>
      <c r="M2242" s="550">
        <v>0</v>
      </c>
      <c r="N2242" s="550">
        <v>30</v>
      </c>
      <c r="O2242" s="550">
        <v>59</v>
      </c>
      <c r="P2242" s="550">
        <v>93</v>
      </c>
      <c r="Q2242" s="550">
        <v>0</v>
      </c>
      <c r="R2242" s="574" t="s">
        <v>687</v>
      </c>
      <c r="S2242" s="552"/>
      <c r="T2242" s="552"/>
      <c r="U2242" s="552"/>
      <c r="V2242" s="552"/>
      <c r="W2242" s="552"/>
      <c r="X2242" s="552"/>
      <c r="Y2242" s="552"/>
      <c r="Z2242" s="552"/>
      <c r="AA2242" s="553"/>
      <c r="AB2242" s="553"/>
    </row>
    <row r="2243" spans="1:28" ht="12.75">
      <c r="A2243" s="547" t="s">
        <v>687</v>
      </c>
      <c r="B2243" s="547" t="s">
        <v>192</v>
      </c>
      <c r="C2243" s="548" t="s">
        <v>774</v>
      </c>
      <c r="D2243" s="549">
        <v>2016</v>
      </c>
      <c r="E2243" s="549" t="s">
        <v>775</v>
      </c>
      <c r="F2243" s="550">
        <v>50</v>
      </c>
      <c r="G2243" s="550">
        <v>0</v>
      </c>
      <c r="H2243" s="550">
        <v>0</v>
      </c>
      <c r="I2243" s="550">
        <v>0</v>
      </c>
      <c r="J2243" s="550">
        <v>24</v>
      </c>
      <c r="K2243" s="550">
        <v>54</v>
      </c>
      <c r="L2243" s="550">
        <v>54</v>
      </c>
      <c r="M2243" s="550">
        <v>0</v>
      </c>
      <c r="N2243" s="550">
        <v>30</v>
      </c>
      <c r="O2243" s="550">
        <v>0</v>
      </c>
      <c r="P2243" s="550">
        <v>93</v>
      </c>
      <c r="Q2243" s="550">
        <v>43</v>
      </c>
      <c r="R2243" s="574" t="s">
        <v>687</v>
      </c>
      <c r="S2243" s="552"/>
      <c r="T2243" s="552"/>
      <c r="U2243" s="552"/>
      <c r="V2243" s="552"/>
      <c r="W2243" s="552"/>
      <c r="X2243" s="552"/>
      <c r="Y2243" s="552"/>
      <c r="Z2243" s="552"/>
      <c r="AA2243" s="553"/>
      <c r="AB2243" s="553"/>
    </row>
    <row r="2244" spans="1:28" ht="12.75">
      <c r="A2244" s="547" t="s">
        <v>687</v>
      </c>
      <c r="B2244" s="547" t="s">
        <v>192</v>
      </c>
      <c r="C2244" s="548" t="s">
        <v>774</v>
      </c>
      <c r="D2244" s="549">
        <v>2017</v>
      </c>
      <c r="E2244" s="549" t="s">
        <v>775</v>
      </c>
      <c r="F2244" s="550">
        <v>50</v>
      </c>
      <c r="G2244" s="550">
        <v>0</v>
      </c>
      <c r="H2244" s="550">
        <v>0</v>
      </c>
      <c r="I2244" s="550">
        <v>0</v>
      </c>
      <c r="J2244" s="550">
        <v>24</v>
      </c>
      <c r="K2244" s="550">
        <v>0</v>
      </c>
      <c r="L2244" s="550">
        <v>0</v>
      </c>
      <c r="M2244" s="550">
        <v>0</v>
      </c>
      <c r="N2244" s="550">
        <v>30</v>
      </c>
      <c r="O2244" s="550">
        <v>0</v>
      </c>
      <c r="P2244" s="550">
        <v>93</v>
      </c>
      <c r="Q2244" s="550">
        <v>104</v>
      </c>
      <c r="R2244" s="574" t="s">
        <v>687</v>
      </c>
      <c r="S2244" s="552"/>
      <c r="T2244" s="552"/>
      <c r="U2244" s="552"/>
      <c r="V2244" s="552"/>
      <c r="W2244" s="552"/>
      <c r="X2244" s="552"/>
      <c r="Y2244" s="552"/>
      <c r="Z2244" s="552"/>
      <c r="AA2244" s="553"/>
      <c r="AB2244" s="553"/>
    </row>
    <row r="2245" spans="1:28" ht="12.75">
      <c r="A2245" s="547" t="s">
        <v>687</v>
      </c>
      <c r="B2245" s="547" t="s">
        <v>192</v>
      </c>
      <c r="C2245" s="548" t="s">
        <v>774</v>
      </c>
      <c r="D2245" s="549">
        <v>2018</v>
      </c>
      <c r="E2245" s="549" t="s">
        <v>775</v>
      </c>
      <c r="F2245" s="550">
        <v>50</v>
      </c>
      <c r="G2245" s="564"/>
      <c r="H2245" s="564"/>
      <c r="I2245" s="564"/>
      <c r="J2245" s="550">
        <v>24</v>
      </c>
      <c r="K2245" s="564"/>
      <c r="L2245" s="564"/>
      <c r="M2245" s="564"/>
      <c r="N2245" s="550">
        <v>30</v>
      </c>
      <c r="O2245" s="564"/>
      <c r="P2245" s="550">
        <v>93</v>
      </c>
      <c r="Q2245" s="555">
        <v>0</v>
      </c>
      <c r="R2245" s="574" t="s">
        <v>687</v>
      </c>
      <c r="S2245" s="552"/>
      <c r="T2245" s="552"/>
      <c r="U2245" s="552"/>
      <c r="V2245" s="552"/>
      <c r="W2245" s="552"/>
      <c r="X2245" s="552"/>
      <c r="Y2245" s="552"/>
      <c r="Z2245" s="552"/>
      <c r="AA2245" s="553"/>
      <c r="AB2245" s="553"/>
    </row>
    <row r="2246" spans="1:28" ht="12.75">
      <c r="A2246" s="547" t="s">
        <v>687</v>
      </c>
      <c r="B2246" s="547" t="s">
        <v>192</v>
      </c>
      <c r="C2246" s="548" t="s">
        <v>782</v>
      </c>
      <c r="D2246" s="549">
        <v>2019</v>
      </c>
      <c r="E2246" s="549" t="s">
        <v>775</v>
      </c>
      <c r="F2246" s="550">
        <v>50</v>
      </c>
      <c r="G2246" s="550">
        <v>0</v>
      </c>
      <c r="H2246" s="550">
        <v>0</v>
      </c>
      <c r="I2246" s="550">
        <v>0</v>
      </c>
      <c r="J2246" s="550">
        <v>24</v>
      </c>
      <c r="K2246" s="550">
        <v>0</v>
      </c>
      <c r="L2246" s="550">
        <v>0</v>
      </c>
      <c r="M2246" s="550">
        <v>0</v>
      </c>
      <c r="N2246" s="550">
        <v>30</v>
      </c>
      <c r="O2246" s="550">
        <v>71</v>
      </c>
      <c r="P2246" s="550">
        <v>93</v>
      </c>
      <c r="Q2246" s="550">
        <v>44</v>
      </c>
      <c r="R2246" s="574" t="s">
        <v>687</v>
      </c>
      <c r="S2246" s="255">
        <f>SUM(G2242:G2246) +SUM(K2242:K2246)</f>
        <v>54</v>
      </c>
      <c r="T2246" s="255">
        <f>F2246+J2246</f>
        <v>74</v>
      </c>
      <c r="U2246" s="255">
        <f>SUM(O2242:O2246)</f>
        <v>130</v>
      </c>
      <c r="V2246" s="255">
        <f>N2246</f>
        <v>30</v>
      </c>
      <c r="W2246" s="83">
        <f>SUM(Q2242:Q2246)</f>
        <v>191</v>
      </c>
      <c r="X2246" s="255">
        <f>P2246</f>
        <v>93</v>
      </c>
      <c r="Y2246" s="255">
        <f>S2246+U2246+SUM(Q2242:Q2246)</f>
        <v>375</v>
      </c>
      <c r="Z2246" s="255">
        <f>F2246+J2246+N2246+P2246</f>
        <v>197</v>
      </c>
      <c r="AA2246" s="553"/>
      <c r="AB2246" s="553"/>
    </row>
    <row r="2247" spans="1:28" ht="12.75">
      <c r="A2247" s="547" t="s">
        <v>688</v>
      </c>
      <c r="B2247" s="547" t="s">
        <v>192</v>
      </c>
      <c r="C2247" s="548" t="s">
        <v>774</v>
      </c>
      <c r="D2247" s="549">
        <v>2014</v>
      </c>
      <c r="E2247" s="549" t="s">
        <v>775</v>
      </c>
      <c r="F2247" s="550">
        <v>779</v>
      </c>
      <c r="G2247" s="550">
        <v>0</v>
      </c>
      <c r="H2247" s="550">
        <v>0</v>
      </c>
      <c r="I2247" s="550">
        <v>0</v>
      </c>
      <c r="J2247" s="550">
        <v>404</v>
      </c>
      <c r="K2247" s="550">
        <v>0</v>
      </c>
      <c r="L2247" s="550">
        <v>0</v>
      </c>
      <c r="M2247" s="550">
        <v>0</v>
      </c>
      <c r="N2247" s="550">
        <v>456</v>
      </c>
      <c r="O2247" s="550">
        <v>6</v>
      </c>
      <c r="P2247" s="550">
        <v>1461</v>
      </c>
      <c r="Q2247" s="550">
        <v>319</v>
      </c>
      <c r="R2247" s="574" t="s">
        <v>688</v>
      </c>
      <c r="S2247" s="552"/>
      <c r="T2247" s="552"/>
      <c r="U2247" s="552"/>
      <c r="V2247" s="552"/>
      <c r="W2247" s="552"/>
      <c r="X2247" s="552"/>
      <c r="Y2247" s="552"/>
      <c r="Z2247" s="552"/>
      <c r="AA2247" s="553"/>
      <c r="AB2247" s="553"/>
    </row>
    <row r="2248" spans="1:28" ht="12.75">
      <c r="A2248" s="547" t="s">
        <v>688</v>
      </c>
      <c r="B2248" s="547" t="s">
        <v>192</v>
      </c>
      <c r="C2248" s="548" t="s">
        <v>774</v>
      </c>
      <c r="D2248" s="549">
        <v>2015</v>
      </c>
      <c r="E2248" s="549" t="s">
        <v>775</v>
      </c>
      <c r="F2248" s="550">
        <v>779</v>
      </c>
      <c r="G2248" s="550">
        <v>0</v>
      </c>
      <c r="H2248" s="550">
        <v>0</v>
      </c>
      <c r="I2248" s="550">
        <v>0</v>
      </c>
      <c r="J2248" s="550">
        <v>404</v>
      </c>
      <c r="K2248" s="550">
        <v>0</v>
      </c>
      <c r="L2248" s="550">
        <v>0</v>
      </c>
      <c r="M2248" s="550">
        <v>0</v>
      </c>
      <c r="N2248" s="550">
        <v>456</v>
      </c>
      <c r="O2248" s="550">
        <v>290</v>
      </c>
      <c r="P2248" s="550">
        <v>1461</v>
      </c>
      <c r="Q2248" s="550">
        <v>448</v>
      </c>
      <c r="R2248" s="574" t="s">
        <v>688</v>
      </c>
      <c r="S2248" s="552"/>
      <c r="T2248" s="552"/>
      <c r="U2248" s="552"/>
      <c r="V2248" s="552"/>
      <c r="W2248" s="552"/>
      <c r="X2248" s="552"/>
      <c r="Y2248" s="552"/>
      <c r="Z2248" s="552"/>
      <c r="AA2248" s="553"/>
      <c r="AB2248" s="553"/>
    </row>
    <row r="2249" spans="1:28" ht="12.75">
      <c r="A2249" s="547" t="s">
        <v>688</v>
      </c>
      <c r="B2249" s="547" t="s">
        <v>192</v>
      </c>
      <c r="C2249" s="548" t="s">
        <v>774</v>
      </c>
      <c r="D2249" s="549">
        <v>2016</v>
      </c>
      <c r="E2249" s="549" t="s">
        <v>775</v>
      </c>
      <c r="F2249" s="550">
        <v>779</v>
      </c>
      <c r="G2249" s="550">
        <v>0</v>
      </c>
      <c r="H2249" s="550">
        <v>0</v>
      </c>
      <c r="I2249" s="550">
        <v>0</v>
      </c>
      <c r="J2249" s="550">
        <v>404</v>
      </c>
      <c r="K2249" s="550">
        <v>0</v>
      </c>
      <c r="L2249" s="550">
        <v>0</v>
      </c>
      <c r="M2249" s="550">
        <v>0</v>
      </c>
      <c r="N2249" s="550">
        <v>456</v>
      </c>
      <c r="O2249" s="550">
        <v>63</v>
      </c>
      <c r="P2249" s="550">
        <v>1461</v>
      </c>
      <c r="Q2249" s="550">
        <v>200</v>
      </c>
      <c r="R2249" s="574" t="s">
        <v>688</v>
      </c>
      <c r="S2249" s="552"/>
      <c r="T2249" s="552"/>
      <c r="U2249" s="552"/>
      <c r="V2249" s="552"/>
      <c r="W2249" s="552"/>
      <c r="X2249" s="552"/>
      <c r="Y2249" s="552"/>
      <c r="Z2249" s="552"/>
      <c r="AA2249" s="553"/>
      <c r="AB2249" s="553"/>
    </row>
    <row r="2250" spans="1:28" ht="12.75">
      <c r="A2250" s="547" t="s">
        <v>688</v>
      </c>
      <c r="B2250" s="555" t="s">
        <v>192</v>
      </c>
      <c r="C2250" s="548" t="s">
        <v>774</v>
      </c>
      <c r="D2250" s="549">
        <v>2017</v>
      </c>
      <c r="E2250" s="549" t="s">
        <v>775</v>
      </c>
      <c r="F2250" s="550">
        <v>779</v>
      </c>
      <c r="G2250" s="550">
        <v>0</v>
      </c>
      <c r="H2250" s="550">
        <v>0</v>
      </c>
      <c r="I2250" s="550">
        <v>0</v>
      </c>
      <c r="J2250" s="550">
        <v>404</v>
      </c>
      <c r="K2250" s="550">
        <v>0</v>
      </c>
      <c r="L2250" s="550">
        <v>0</v>
      </c>
      <c r="M2250" s="550">
        <v>0</v>
      </c>
      <c r="N2250" s="550">
        <v>456</v>
      </c>
      <c r="O2250" s="550">
        <v>1</v>
      </c>
      <c r="P2250" s="550">
        <v>1461</v>
      </c>
      <c r="Q2250" s="550">
        <v>435</v>
      </c>
      <c r="R2250" s="574" t="s">
        <v>688</v>
      </c>
      <c r="S2250" s="552"/>
      <c r="T2250" s="552"/>
      <c r="U2250" s="552"/>
      <c r="V2250" s="552"/>
      <c r="W2250" s="552"/>
      <c r="X2250" s="552"/>
      <c r="Y2250" s="552"/>
      <c r="Z2250" s="552"/>
      <c r="AA2250" s="553"/>
      <c r="AB2250" s="553"/>
    </row>
    <row r="2251" spans="1:28" ht="12.75">
      <c r="A2251" s="547" t="s">
        <v>688</v>
      </c>
      <c r="B2251" s="547" t="s">
        <v>192</v>
      </c>
      <c r="C2251" s="548" t="s">
        <v>774</v>
      </c>
      <c r="D2251" s="549">
        <v>2018</v>
      </c>
      <c r="E2251" s="549" t="s">
        <v>775</v>
      </c>
      <c r="F2251" s="550">
        <v>779</v>
      </c>
      <c r="G2251" s="550">
        <v>0</v>
      </c>
      <c r="H2251" s="550">
        <v>0</v>
      </c>
      <c r="I2251" s="550">
        <v>0</v>
      </c>
      <c r="J2251" s="550">
        <v>404</v>
      </c>
      <c r="K2251" s="550">
        <v>0</v>
      </c>
      <c r="L2251" s="550">
        <v>0</v>
      </c>
      <c r="M2251" s="550">
        <v>0</v>
      </c>
      <c r="N2251" s="550">
        <v>456</v>
      </c>
      <c r="O2251" s="550">
        <v>0</v>
      </c>
      <c r="P2251" s="550">
        <v>1461</v>
      </c>
      <c r="Q2251" s="550">
        <v>311</v>
      </c>
      <c r="R2251" s="574" t="s">
        <v>688</v>
      </c>
      <c r="S2251" s="552"/>
      <c r="T2251" s="552"/>
      <c r="U2251" s="552"/>
      <c r="V2251" s="552"/>
      <c r="W2251" s="552"/>
      <c r="X2251" s="552"/>
      <c r="Y2251" s="552"/>
      <c r="Z2251" s="552"/>
      <c r="AA2251" s="553"/>
      <c r="AB2251" s="553"/>
    </row>
    <row r="2252" spans="1:28" ht="12.75">
      <c r="A2252" s="547" t="s">
        <v>688</v>
      </c>
      <c r="B2252" s="547" t="s">
        <v>192</v>
      </c>
      <c r="C2252" s="548" t="s">
        <v>782</v>
      </c>
      <c r="D2252" s="549">
        <v>2019</v>
      </c>
      <c r="E2252" s="549" t="s">
        <v>775</v>
      </c>
      <c r="F2252" s="550">
        <v>779</v>
      </c>
      <c r="G2252" s="550">
        <v>0</v>
      </c>
      <c r="H2252" s="550">
        <v>0</v>
      </c>
      <c r="I2252" s="550">
        <v>0</v>
      </c>
      <c r="J2252" s="550">
        <v>404</v>
      </c>
      <c r="K2252" s="550">
        <v>0</v>
      </c>
      <c r="L2252" s="550">
        <v>0</v>
      </c>
      <c r="M2252" s="550">
        <v>0</v>
      </c>
      <c r="N2252" s="550">
        <v>456</v>
      </c>
      <c r="O2252" s="550">
        <v>2</v>
      </c>
      <c r="P2252" s="550">
        <v>1461</v>
      </c>
      <c r="Q2252" s="550">
        <v>352</v>
      </c>
      <c r="R2252" s="574" t="s">
        <v>688</v>
      </c>
      <c r="S2252" s="552">
        <f>SUM(G2247:G2252) +SUM(K2247:K2252)</f>
        <v>0</v>
      </c>
      <c r="T2252" s="552">
        <f>F2252+J2252</f>
        <v>1183</v>
      </c>
      <c r="U2252" s="552">
        <f>SUM(O2247:O2252)</f>
        <v>362</v>
      </c>
      <c r="V2252" s="552">
        <f>N2252</f>
        <v>456</v>
      </c>
      <c r="W2252" s="554">
        <f>SUM(Q2247:Q2252)</f>
        <v>2065</v>
      </c>
      <c r="X2252" s="552">
        <f>P2252</f>
        <v>1461</v>
      </c>
      <c r="Y2252" s="552">
        <f>S2252+U2252+SUM(Q2247:Q2252)</f>
        <v>2427</v>
      </c>
      <c r="Z2252" s="552">
        <f>F2252+J2252+N2252+P2252</f>
        <v>3100</v>
      </c>
      <c r="AA2252" s="553"/>
      <c r="AB2252" s="553"/>
    </row>
    <row r="2253" spans="1:28" ht="12.75">
      <c r="A2253" s="547" t="s">
        <v>689</v>
      </c>
      <c r="B2253" s="547" t="s">
        <v>192</v>
      </c>
      <c r="C2253" s="548" t="s">
        <v>774</v>
      </c>
      <c r="D2253" s="549">
        <v>2015</v>
      </c>
      <c r="E2253" s="549" t="s">
        <v>775</v>
      </c>
      <c r="F2253" s="550">
        <v>45</v>
      </c>
      <c r="G2253" s="550">
        <v>0</v>
      </c>
      <c r="H2253" s="550">
        <v>0</v>
      </c>
      <c r="I2253" s="550">
        <v>0</v>
      </c>
      <c r="J2253" s="550">
        <v>36</v>
      </c>
      <c r="K2253" s="550">
        <v>0</v>
      </c>
      <c r="L2253" s="550">
        <v>0</v>
      </c>
      <c r="M2253" s="550">
        <v>0</v>
      </c>
      <c r="N2253" s="550">
        <v>48</v>
      </c>
      <c r="O2253" s="550">
        <v>67</v>
      </c>
      <c r="P2253" s="550">
        <v>170</v>
      </c>
      <c r="Q2253" s="550">
        <v>80</v>
      </c>
      <c r="R2253" s="574" t="s">
        <v>689</v>
      </c>
      <c r="S2253" s="552"/>
      <c r="T2253" s="552"/>
      <c r="U2253" s="552"/>
      <c r="V2253" s="552"/>
      <c r="W2253" s="552"/>
      <c r="X2253" s="552"/>
      <c r="Y2253" s="552"/>
      <c r="Z2253" s="552"/>
      <c r="AA2253" s="553"/>
      <c r="AB2253" s="553"/>
    </row>
    <row r="2254" spans="1:28" ht="12.75">
      <c r="A2254" s="547" t="s">
        <v>689</v>
      </c>
      <c r="B2254" s="547" t="s">
        <v>192</v>
      </c>
      <c r="C2254" s="548" t="s">
        <v>774</v>
      </c>
      <c r="D2254" s="549">
        <v>2016</v>
      </c>
      <c r="E2254" s="549" t="s">
        <v>775</v>
      </c>
      <c r="F2254" s="550">
        <v>45</v>
      </c>
      <c r="G2254" s="550">
        <v>0</v>
      </c>
      <c r="H2254" s="550">
        <v>0</v>
      </c>
      <c r="I2254" s="550">
        <v>0</v>
      </c>
      <c r="J2254" s="550">
        <v>36</v>
      </c>
      <c r="K2254" s="550">
        <v>0</v>
      </c>
      <c r="L2254" s="550">
        <v>0</v>
      </c>
      <c r="M2254" s="550">
        <v>0</v>
      </c>
      <c r="N2254" s="550">
        <v>48</v>
      </c>
      <c r="O2254" s="550">
        <v>12</v>
      </c>
      <c r="P2254" s="550">
        <v>170</v>
      </c>
      <c r="Q2254" s="550">
        <v>156</v>
      </c>
      <c r="R2254" s="574" t="s">
        <v>689</v>
      </c>
      <c r="S2254" s="552"/>
      <c r="T2254" s="552"/>
      <c r="U2254" s="552"/>
      <c r="V2254" s="552"/>
      <c r="W2254" s="552"/>
      <c r="X2254" s="552"/>
      <c r="Y2254" s="552"/>
      <c r="Z2254" s="552"/>
      <c r="AA2254" s="553"/>
      <c r="AB2254" s="553"/>
    </row>
    <row r="2255" spans="1:28" ht="12.75">
      <c r="A2255" s="547" t="s">
        <v>689</v>
      </c>
      <c r="B2255" s="547" t="s">
        <v>192</v>
      </c>
      <c r="C2255" s="548" t="s">
        <v>774</v>
      </c>
      <c r="D2255" s="549">
        <v>2017</v>
      </c>
      <c r="E2255" s="549" t="s">
        <v>775</v>
      </c>
      <c r="F2255" s="550">
        <v>45</v>
      </c>
      <c r="G2255" s="550">
        <v>0</v>
      </c>
      <c r="H2255" s="550">
        <v>0</v>
      </c>
      <c r="I2255" s="550">
        <v>0</v>
      </c>
      <c r="J2255" s="550">
        <v>36</v>
      </c>
      <c r="K2255" s="550">
        <v>4</v>
      </c>
      <c r="L2255" s="550">
        <v>0</v>
      </c>
      <c r="M2255" s="550">
        <v>4</v>
      </c>
      <c r="N2255" s="550">
        <v>48</v>
      </c>
      <c r="O2255" s="550">
        <v>73</v>
      </c>
      <c r="P2255" s="550">
        <v>170</v>
      </c>
      <c r="Q2255" s="550">
        <v>75</v>
      </c>
      <c r="R2255" s="574" t="s">
        <v>689</v>
      </c>
      <c r="S2255" s="552"/>
      <c r="T2255" s="552"/>
      <c r="U2255" s="552"/>
      <c r="V2255" s="552"/>
      <c r="W2255" s="552"/>
      <c r="X2255" s="552"/>
      <c r="Y2255" s="552"/>
      <c r="Z2255" s="552"/>
      <c r="AA2255" s="553"/>
      <c r="AB2255" s="553"/>
    </row>
    <row r="2256" spans="1:28" ht="12.75">
      <c r="A2256" s="547" t="s">
        <v>689</v>
      </c>
      <c r="B2256" s="547" t="s">
        <v>192</v>
      </c>
      <c r="C2256" s="548" t="s">
        <v>774</v>
      </c>
      <c r="D2256" s="549">
        <v>2018</v>
      </c>
      <c r="E2256" s="549" t="s">
        <v>775</v>
      </c>
      <c r="F2256" s="550">
        <v>45</v>
      </c>
      <c r="G2256" s="550">
        <v>0</v>
      </c>
      <c r="H2256" s="550">
        <v>0</v>
      </c>
      <c r="I2256" s="550">
        <v>0</v>
      </c>
      <c r="J2256" s="550">
        <v>36</v>
      </c>
      <c r="K2256" s="550">
        <v>0</v>
      </c>
      <c r="L2256" s="550">
        <v>0</v>
      </c>
      <c r="M2256" s="550">
        <v>0</v>
      </c>
      <c r="N2256" s="550">
        <v>48</v>
      </c>
      <c r="O2256" s="550">
        <v>3</v>
      </c>
      <c r="P2256" s="550">
        <v>170</v>
      </c>
      <c r="Q2256" s="550">
        <v>6</v>
      </c>
      <c r="R2256" s="574" t="s">
        <v>689</v>
      </c>
      <c r="S2256" s="552"/>
      <c r="T2256" s="552"/>
      <c r="U2256" s="552"/>
      <c r="V2256" s="552"/>
      <c r="W2256" s="552"/>
      <c r="X2256" s="552"/>
      <c r="Y2256" s="552"/>
      <c r="Z2256" s="552"/>
      <c r="AA2256" s="553"/>
      <c r="AB2256" s="553"/>
    </row>
    <row r="2257" spans="1:28" ht="12.75">
      <c r="A2257" s="547" t="s">
        <v>689</v>
      </c>
      <c r="B2257" s="555" t="s">
        <v>192</v>
      </c>
      <c r="C2257" s="548" t="s">
        <v>782</v>
      </c>
      <c r="D2257" s="549">
        <v>2019</v>
      </c>
      <c r="E2257" s="549" t="s">
        <v>775</v>
      </c>
      <c r="F2257" s="550">
        <v>45</v>
      </c>
      <c r="G2257" s="550">
        <v>0</v>
      </c>
      <c r="H2257" s="550">
        <v>0</v>
      </c>
      <c r="I2257" s="550">
        <v>0</v>
      </c>
      <c r="J2257" s="550">
        <v>36</v>
      </c>
      <c r="K2257" s="550">
        <v>0</v>
      </c>
      <c r="L2257" s="550">
        <v>0</v>
      </c>
      <c r="M2257" s="550">
        <v>0</v>
      </c>
      <c r="N2257" s="550">
        <v>48</v>
      </c>
      <c r="O2257" s="550">
        <v>0</v>
      </c>
      <c r="P2257" s="550">
        <v>170</v>
      </c>
      <c r="Q2257" s="550">
        <v>121</v>
      </c>
      <c r="R2257" s="574" t="s">
        <v>689</v>
      </c>
      <c r="S2257" s="255">
        <f>SUM(G2253:G2257) +SUM(K2253:K2257)</f>
        <v>4</v>
      </c>
      <c r="T2257" s="255">
        <f>F2257+J2257</f>
        <v>81</v>
      </c>
      <c r="U2257" s="255">
        <f>SUM(O2253:O2257)</f>
        <v>155</v>
      </c>
      <c r="V2257" s="255">
        <f>N2257</f>
        <v>48</v>
      </c>
      <c r="W2257" s="83">
        <f>SUM(Q2253:Q2257)</f>
        <v>438</v>
      </c>
      <c r="X2257" s="255">
        <f>P2257</f>
        <v>170</v>
      </c>
      <c r="Y2257" s="255">
        <f>S2257+U2257+SUM(Q2253:Q2257)</f>
        <v>597</v>
      </c>
      <c r="Z2257" s="255">
        <f>F2257+J2257+N2257+P2257</f>
        <v>299</v>
      </c>
      <c r="AA2257" s="553"/>
      <c r="AB2257" s="553"/>
    </row>
    <row r="2258" spans="1:28" ht="12.75">
      <c r="A2258" s="547" t="s">
        <v>690</v>
      </c>
      <c r="B2258" s="555" t="s">
        <v>192</v>
      </c>
      <c r="C2258" s="548" t="s">
        <v>774</v>
      </c>
      <c r="D2258" s="549">
        <v>2014</v>
      </c>
      <c r="E2258" s="549" t="s">
        <v>775</v>
      </c>
      <c r="F2258" s="550">
        <v>26</v>
      </c>
      <c r="G2258" s="550">
        <v>1</v>
      </c>
      <c r="H2258" s="550">
        <v>1</v>
      </c>
      <c r="I2258" s="550">
        <v>0</v>
      </c>
      <c r="J2258" s="550">
        <v>15</v>
      </c>
      <c r="K2258" s="550">
        <v>13</v>
      </c>
      <c r="L2258" s="550">
        <v>13</v>
      </c>
      <c r="M2258" s="550">
        <v>0</v>
      </c>
      <c r="N2258" s="550">
        <v>19</v>
      </c>
      <c r="O2258" s="550">
        <v>2</v>
      </c>
      <c r="P2258" s="550">
        <v>43</v>
      </c>
      <c r="Q2258" s="550">
        <v>7</v>
      </c>
      <c r="R2258" s="574" t="s">
        <v>690</v>
      </c>
      <c r="S2258" s="552"/>
      <c r="T2258" s="552"/>
      <c r="U2258" s="552"/>
      <c r="V2258" s="552"/>
      <c r="W2258" s="552"/>
      <c r="X2258" s="552"/>
      <c r="Y2258" s="552"/>
      <c r="Z2258" s="552"/>
      <c r="AA2258" s="553"/>
      <c r="AB2258" s="553"/>
    </row>
    <row r="2259" spans="1:28" ht="12.75">
      <c r="A2259" s="547" t="s">
        <v>690</v>
      </c>
      <c r="B2259" s="547" t="s">
        <v>192</v>
      </c>
      <c r="C2259" s="548" t="s">
        <v>774</v>
      </c>
      <c r="D2259" s="549">
        <v>2015</v>
      </c>
      <c r="E2259" s="549" t="s">
        <v>775</v>
      </c>
      <c r="F2259" s="550">
        <v>26</v>
      </c>
      <c r="G2259" s="550">
        <v>0</v>
      </c>
      <c r="H2259" s="550">
        <v>0</v>
      </c>
      <c r="I2259" s="550">
        <v>0</v>
      </c>
      <c r="J2259" s="550">
        <v>15</v>
      </c>
      <c r="K2259" s="550">
        <v>11</v>
      </c>
      <c r="L2259" s="550">
        <v>0</v>
      </c>
      <c r="M2259" s="550">
        <v>11</v>
      </c>
      <c r="N2259" s="550">
        <v>19</v>
      </c>
      <c r="O2259" s="550">
        <v>7</v>
      </c>
      <c r="P2259" s="550">
        <v>43</v>
      </c>
      <c r="Q2259" s="550">
        <v>14</v>
      </c>
      <c r="R2259" s="574" t="s">
        <v>690</v>
      </c>
      <c r="S2259" s="552"/>
      <c r="T2259" s="552"/>
      <c r="U2259" s="552"/>
      <c r="V2259" s="552"/>
      <c r="W2259" s="552"/>
      <c r="X2259" s="552"/>
      <c r="Y2259" s="552"/>
      <c r="Z2259" s="552"/>
      <c r="AA2259" s="553"/>
      <c r="AB2259" s="553"/>
    </row>
    <row r="2260" spans="1:28" ht="12.75">
      <c r="A2260" s="547" t="s">
        <v>690</v>
      </c>
      <c r="B2260" s="555" t="s">
        <v>192</v>
      </c>
      <c r="C2260" s="548" t="s">
        <v>774</v>
      </c>
      <c r="D2260" s="549">
        <v>2016</v>
      </c>
      <c r="E2260" s="549" t="s">
        <v>775</v>
      </c>
      <c r="F2260" s="550">
        <v>26</v>
      </c>
      <c r="G2260" s="550">
        <v>3</v>
      </c>
      <c r="H2260" s="550">
        <v>0</v>
      </c>
      <c r="I2260" s="550">
        <v>3</v>
      </c>
      <c r="J2260" s="550">
        <v>15</v>
      </c>
      <c r="K2260" s="550">
        <v>8</v>
      </c>
      <c r="L2260" s="550">
        <v>0</v>
      </c>
      <c r="M2260" s="550">
        <v>8</v>
      </c>
      <c r="N2260" s="550">
        <v>19</v>
      </c>
      <c r="O2260" s="550">
        <v>5</v>
      </c>
      <c r="P2260" s="550">
        <v>43</v>
      </c>
      <c r="Q2260" s="550">
        <v>16</v>
      </c>
      <c r="R2260" s="574" t="s">
        <v>690</v>
      </c>
      <c r="S2260" s="552"/>
      <c r="T2260" s="552"/>
      <c r="U2260" s="552"/>
      <c r="V2260" s="552"/>
      <c r="W2260" s="552"/>
      <c r="X2260" s="552"/>
      <c r="Y2260" s="552"/>
      <c r="Z2260" s="552"/>
      <c r="AA2260" s="553"/>
      <c r="AB2260" s="553"/>
    </row>
    <row r="2261" spans="1:28" ht="12.75">
      <c r="A2261" s="547" t="s">
        <v>690</v>
      </c>
      <c r="B2261" s="547" t="s">
        <v>192</v>
      </c>
      <c r="C2261" s="548" t="s">
        <v>774</v>
      </c>
      <c r="D2261" s="549">
        <v>2017</v>
      </c>
      <c r="E2261" s="549" t="s">
        <v>775</v>
      </c>
      <c r="F2261" s="550">
        <v>26</v>
      </c>
      <c r="G2261" s="550">
        <v>0</v>
      </c>
      <c r="H2261" s="550">
        <v>0</v>
      </c>
      <c r="I2261" s="550">
        <v>0</v>
      </c>
      <c r="J2261" s="550">
        <v>15</v>
      </c>
      <c r="K2261" s="550">
        <v>6</v>
      </c>
      <c r="L2261" s="550">
        <v>0</v>
      </c>
      <c r="M2261" s="550">
        <v>6</v>
      </c>
      <c r="N2261" s="550">
        <v>19</v>
      </c>
      <c r="O2261" s="550">
        <v>5</v>
      </c>
      <c r="P2261" s="550">
        <v>43</v>
      </c>
      <c r="Q2261" s="550">
        <v>9</v>
      </c>
      <c r="R2261" s="574" t="s">
        <v>690</v>
      </c>
      <c r="S2261" s="552"/>
      <c r="T2261" s="552"/>
      <c r="U2261" s="552"/>
      <c r="V2261" s="552"/>
      <c r="W2261" s="552"/>
      <c r="X2261" s="552"/>
      <c r="Y2261" s="552"/>
      <c r="Z2261" s="552"/>
      <c r="AA2261" s="553"/>
      <c r="AB2261" s="553"/>
    </row>
    <row r="2262" spans="1:28" ht="12.75">
      <c r="A2262" s="547" t="s">
        <v>690</v>
      </c>
      <c r="B2262" s="547" t="s">
        <v>192</v>
      </c>
      <c r="C2262" s="548" t="s">
        <v>774</v>
      </c>
      <c r="D2262" s="549">
        <v>2018</v>
      </c>
      <c r="E2262" s="549" t="s">
        <v>775</v>
      </c>
      <c r="F2262" s="550">
        <v>26</v>
      </c>
      <c r="G2262" s="550">
        <v>1</v>
      </c>
      <c r="H2262" s="550">
        <v>0</v>
      </c>
      <c r="I2262" s="550">
        <v>1</v>
      </c>
      <c r="J2262" s="550">
        <v>15</v>
      </c>
      <c r="K2262" s="550">
        <v>17</v>
      </c>
      <c r="L2262" s="550">
        <v>0</v>
      </c>
      <c r="M2262" s="550">
        <v>17</v>
      </c>
      <c r="N2262" s="550">
        <v>19</v>
      </c>
      <c r="O2262" s="550">
        <v>3</v>
      </c>
      <c r="P2262" s="550">
        <v>43</v>
      </c>
      <c r="Q2262" s="550">
        <v>13</v>
      </c>
      <c r="R2262" s="574" t="s">
        <v>690</v>
      </c>
      <c r="S2262" s="552"/>
      <c r="T2262" s="552"/>
      <c r="U2262" s="552"/>
      <c r="V2262" s="552"/>
      <c r="W2262" s="552"/>
      <c r="X2262" s="552"/>
      <c r="Y2262" s="552"/>
      <c r="Z2262" s="552"/>
      <c r="AA2262" s="553"/>
      <c r="AB2262" s="553"/>
    </row>
    <row r="2263" spans="1:28" ht="12.75">
      <c r="A2263" s="547" t="s">
        <v>690</v>
      </c>
      <c r="B2263" s="547" t="s">
        <v>192</v>
      </c>
      <c r="C2263" s="548" t="s">
        <v>782</v>
      </c>
      <c r="D2263" s="549">
        <v>2019</v>
      </c>
      <c r="E2263" s="549" t="s">
        <v>775</v>
      </c>
      <c r="F2263" s="550">
        <v>26</v>
      </c>
      <c r="G2263" s="550">
        <v>1</v>
      </c>
      <c r="H2263" s="550">
        <v>0</v>
      </c>
      <c r="I2263" s="550">
        <v>1</v>
      </c>
      <c r="J2263" s="550">
        <v>15</v>
      </c>
      <c r="K2263" s="550">
        <v>18</v>
      </c>
      <c r="L2263" s="550">
        <v>0</v>
      </c>
      <c r="M2263" s="550">
        <v>18</v>
      </c>
      <c r="N2263" s="550">
        <v>19</v>
      </c>
      <c r="O2263" s="550">
        <v>5</v>
      </c>
      <c r="P2263" s="550">
        <v>43</v>
      </c>
      <c r="Q2263" s="550">
        <v>6</v>
      </c>
      <c r="R2263" s="574" t="s">
        <v>690</v>
      </c>
      <c r="S2263" s="552">
        <f>SUM(G2258:G2263) +SUM(K2258:K2263)</f>
        <v>79</v>
      </c>
      <c r="T2263" s="552">
        <f>F2263+J2263</f>
        <v>41</v>
      </c>
      <c r="U2263" s="552">
        <f>SUM(O2258:O2263)</f>
        <v>27</v>
      </c>
      <c r="V2263" s="552">
        <f>N2263</f>
        <v>19</v>
      </c>
      <c r="W2263" s="554">
        <f>SUM(Q2258:Q2263)</f>
        <v>65</v>
      </c>
      <c r="X2263" s="552">
        <f>P2263</f>
        <v>43</v>
      </c>
      <c r="Y2263" s="552">
        <f>S2263+U2263+SUM(Q2258:Q2263)</f>
        <v>171</v>
      </c>
      <c r="Z2263" s="552">
        <f>F2263+J2263+N2263+P2263</f>
        <v>103</v>
      </c>
      <c r="AA2263" s="553"/>
      <c r="AB2263" s="553"/>
    </row>
    <row r="2264" spans="1:28" ht="12.75">
      <c r="A2264" s="547" t="s">
        <v>691</v>
      </c>
      <c r="B2264" s="547" t="s">
        <v>192</v>
      </c>
      <c r="C2264" s="548" t="s">
        <v>774</v>
      </c>
      <c r="D2264" s="549">
        <v>2014</v>
      </c>
      <c r="E2264" s="549" t="s">
        <v>775</v>
      </c>
      <c r="F2264" s="550">
        <v>147</v>
      </c>
      <c r="G2264" s="550">
        <v>0</v>
      </c>
      <c r="H2264" s="550">
        <v>0</v>
      </c>
      <c r="I2264" s="550">
        <v>0</v>
      </c>
      <c r="J2264" s="550">
        <v>57</v>
      </c>
      <c r="K2264" s="550">
        <v>0</v>
      </c>
      <c r="L2264" s="550">
        <v>0</v>
      </c>
      <c r="M2264" s="550">
        <v>0</v>
      </c>
      <c r="N2264" s="550">
        <v>60</v>
      </c>
      <c r="O2264" s="550">
        <v>0</v>
      </c>
      <c r="P2264" s="550">
        <v>241</v>
      </c>
      <c r="Q2264" s="550">
        <v>0</v>
      </c>
      <c r="R2264" s="574" t="s">
        <v>691</v>
      </c>
      <c r="S2264" s="552"/>
      <c r="T2264" s="552"/>
      <c r="U2264" s="552"/>
      <c r="V2264" s="552"/>
      <c r="W2264" s="552"/>
      <c r="X2264" s="552"/>
      <c r="Y2264" s="552"/>
      <c r="Z2264" s="552"/>
      <c r="AA2264" s="553"/>
      <c r="AB2264" s="553"/>
    </row>
    <row r="2265" spans="1:28" ht="12.75">
      <c r="A2265" s="547" t="s">
        <v>691</v>
      </c>
      <c r="B2265" s="547" t="s">
        <v>192</v>
      </c>
      <c r="C2265" s="548" t="s">
        <v>774</v>
      </c>
      <c r="D2265" s="549">
        <v>2015</v>
      </c>
      <c r="E2265" s="549" t="s">
        <v>775</v>
      </c>
      <c r="F2265" s="550">
        <v>147</v>
      </c>
      <c r="G2265" s="550">
        <v>0</v>
      </c>
      <c r="H2265" s="550">
        <v>0</v>
      </c>
      <c r="I2265" s="550">
        <v>0</v>
      </c>
      <c r="J2265" s="550">
        <v>57</v>
      </c>
      <c r="K2265" s="550">
        <v>0</v>
      </c>
      <c r="L2265" s="550">
        <v>0</v>
      </c>
      <c r="M2265" s="550">
        <v>0</v>
      </c>
      <c r="N2265" s="550">
        <v>60</v>
      </c>
      <c r="O2265" s="550">
        <v>0</v>
      </c>
      <c r="P2265" s="550">
        <v>241</v>
      </c>
      <c r="Q2265" s="550">
        <v>8</v>
      </c>
      <c r="R2265" s="574" t="s">
        <v>691</v>
      </c>
      <c r="S2265" s="552"/>
      <c r="T2265" s="552"/>
      <c r="U2265" s="552"/>
      <c r="V2265" s="552"/>
      <c r="W2265" s="552"/>
      <c r="X2265" s="552"/>
      <c r="Y2265" s="552"/>
      <c r="Z2265" s="552"/>
      <c r="AA2265" s="553"/>
      <c r="AB2265" s="553"/>
    </row>
    <row r="2266" spans="1:28" ht="12.75">
      <c r="A2266" s="547" t="s">
        <v>691</v>
      </c>
      <c r="B2266" s="547" t="s">
        <v>192</v>
      </c>
      <c r="C2266" s="548" t="s">
        <v>774</v>
      </c>
      <c r="D2266" s="549">
        <v>2016</v>
      </c>
      <c r="E2266" s="549" t="s">
        <v>775</v>
      </c>
      <c r="F2266" s="550">
        <v>147</v>
      </c>
      <c r="G2266" s="550">
        <v>0</v>
      </c>
      <c r="H2266" s="550">
        <v>0</v>
      </c>
      <c r="I2266" s="550">
        <v>0</v>
      </c>
      <c r="J2266" s="550">
        <v>57</v>
      </c>
      <c r="K2266" s="550">
        <v>0</v>
      </c>
      <c r="L2266" s="550">
        <v>0</v>
      </c>
      <c r="M2266" s="550">
        <v>0</v>
      </c>
      <c r="N2266" s="550">
        <v>60</v>
      </c>
      <c r="O2266" s="550">
        <v>0</v>
      </c>
      <c r="P2266" s="550">
        <v>241</v>
      </c>
      <c r="Q2266" s="550">
        <v>52</v>
      </c>
      <c r="R2266" s="574" t="s">
        <v>691</v>
      </c>
      <c r="S2266" s="552"/>
      <c r="T2266" s="552"/>
      <c r="U2266" s="552"/>
      <c r="V2266" s="552"/>
      <c r="W2266" s="552"/>
      <c r="X2266" s="552"/>
      <c r="Y2266" s="552"/>
      <c r="Z2266" s="552"/>
      <c r="AA2266" s="553"/>
      <c r="AB2266" s="553"/>
    </row>
    <row r="2267" spans="1:28" ht="12.75">
      <c r="A2267" s="547" t="s">
        <v>691</v>
      </c>
      <c r="B2267" s="547" t="s">
        <v>192</v>
      </c>
      <c r="C2267" s="548" t="s">
        <v>774</v>
      </c>
      <c r="D2267" s="549">
        <v>2017</v>
      </c>
      <c r="E2267" s="549" t="s">
        <v>775</v>
      </c>
      <c r="F2267" s="550">
        <v>147</v>
      </c>
      <c r="G2267" s="550">
        <v>0</v>
      </c>
      <c r="H2267" s="550">
        <v>0</v>
      </c>
      <c r="I2267" s="550">
        <v>0</v>
      </c>
      <c r="J2267" s="550">
        <v>57</v>
      </c>
      <c r="K2267" s="550">
        <v>0</v>
      </c>
      <c r="L2267" s="550">
        <v>0</v>
      </c>
      <c r="M2267" s="550">
        <v>0</v>
      </c>
      <c r="N2267" s="550">
        <v>60</v>
      </c>
      <c r="O2267" s="550">
        <v>0</v>
      </c>
      <c r="P2267" s="550">
        <v>241</v>
      </c>
      <c r="Q2267" s="550">
        <v>19</v>
      </c>
      <c r="R2267" s="574" t="s">
        <v>691</v>
      </c>
      <c r="S2267" s="552"/>
      <c r="T2267" s="552"/>
      <c r="U2267" s="552"/>
      <c r="V2267" s="552"/>
      <c r="W2267" s="552"/>
      <c r="X2267" s="552"/>
      <c r="Y2267" s="552"/>
      <c r="Z2267" s="552"/>
      <c r="AA2267" s="553"/>
      <c r="AB2267" s="553"/>
    </row>
    <row r="2268" spans="1:28" ht="12.75">
      <c r="A2268" s="547" t="s">
        <v>691</v>
      </c>
      <c r="B2268" s="547" t="s">
        <v>192</v>
      </c>
      <c r="C2268" s="548" t="s">
        <v>774</v>
      </c>
      <c r="D2268" s="549">
        <v>2018</v>
      </c>
      <c r="E2268" s="549" t="s">
        <v>775</v>
      </c>
      <c r="F2268" s="550">
        <v>147</v>
      </c>
      <c r="G2268" s="550">
        <v>0</v>
      </c>
      <c r="H2268" s="550">
        <v>0</v>
      </c>
      <c r="I2268" s="550">
        <v>0</v>
      </c>
      <c r="J2268" s="550">
        <v>57</v>
      </c>
      <c r="K2268" s="550">
        <v>0</v>
      </c>
      <c r="L2268" s="550">
        <v>0</v>
      </c>
      <c r="M2268" s="550">
        <v>0</v>
      </c>
      <c r="N2268" s="550">
        <v>60</v>
      </c>
      <c r="O2268" s="550">
        <v>0</v>
      </c>
      <c r="P2268" s="550">
        <v>241</v>
      </c>
      <c r="Q2268" s="550">
        <v>5</v>
      </c>
      <c r="R2268" s="574" t="s">
        <v>691</v>
      </c>
      <c r="S2268" s="552"/>
      <c r="T2268" s="552"/>
      <c r="U2268" s="552"/>
      <c r="V2268" s="552"/>
      <c r="W2268" s="552"/>
      <c r="X2268" s="552"/>
      <c r="Y2268" s="552"/>
      <c r="Z2268" s="552"/>
      <c r="AA2268" s="553"/>
      <c r="AB2268" s="553"/>
    </row>
    <row r="2269" spans="1:28" ht="12.75">
      <c r="A2269" s="547" t="s">
        <v>691</v>
      </c>
      <c r="B2269" s="547" t="s">
        <v>192</v>
      </c>
      <c r="C2269" s="548" t="s">
        <v>782</v>
      </c>
      <c r="D2269" s="549">
        <v>2019</v>
      </c>
      <c r="E2269" s="549" t="s">
        <v>775</v>
      </c>
      <c r="F2269" s="550">
        <v>147</v>
      </c>
      <c r="G2269" s="550">
        <v>0</v>
      </c>
      <c r="H2269" s="550">
        <v>0</v>
      </c>
      <c r="I2269" s="550">
        <v>0</v>
      </c>
      <c r="J2269" s="550">
        <v>57</v>
      </c>
      <c r="K2269" s="550">
        <v>0</v>
      </c>
      <c r="L2269" s="550">
        <v>0</v>
      </c>
      <c r="M2269" s="550">
        <v>0</v>
      </c>
      <c r="N2269" s="550">
        <v>60</v>
      </c>
      <c r="O2269" s="550">
        <v>0</v>
      </c>
      <c r="P2269" s="550">
        <v>241</v>
      </c>
      <c r="Q2269" s="550">
        <v>0</v>
      </c>
      <c r="R2269" s="574" t="s">
        <v>691</v>
      </c>
      <c r="S2269" s="552">
        <f>SUM(G2264:G2269) +SUM(K2264:K2269)</f>
        <v>0</v>
      </c>
      <c r="T2269" s="552">
        <f>F2269+J2269</f>
        <v>204</v>
      </c>
      <c r="U2269" s="552">
        <f>SUM(O2264:O2269)</f>
        <v>0</v>
      </c>
      <c r="V2269" s="552">
        <f>N2269</f>
        <v>60</v>
      </c>
      <c r="W2269" s="554">
        <f>SUM(Q2264:Q2269)</f>
        <v>84</v>
      </c>
      <c r="X2269" s="552">
        <f>P2269</f>
        <v>241</v>
      </c>
      <c r="Y2269" s="552">
        <f>S2269+U2269+SUM(Q2264:Q2269)</f>
        <v>84</v>
      </c>
      <c r="Z2269" s="552">
        <f>F2269+J2269+N2269+P2269</f>
        <v>505</v>
      </c>
      <c r="AA2269" s="553"/>
      <c r="AB2269" s="553"/>
    </row>
    <row r="2270" spans="1:28" ht="12.75">
      <c r="A2270" s="547" t="s">
        <v>692</v>
      </c>
      <c r="B2270" s="547" t="s">
        <v>192</v>
      </c>
      <c r="C2270" s="548" t="s">
        <v>774</v>
      </c>
      <c r="D2270" s="549">
        <v>2015</v>
      </c>
      <c r="E2270" s="549" t="s">
        <v>775</v>
      </c>
      <c r="F2270" s="550">
        <v>287</v>
      </c>
      <c r="G2270" s="550">
        <v>20</v>
      </c>
      <c r="H2270" s="550">
        <v>20</v>
      </c>
      <c r="I2270" s="550">
        <v>0</v>
      </c>
      <c r="J2270" s="550">
        <v>134</v>
      </c>
      <c r="K2270" s="550">
        <v>46</v>
      </c>
      <c r="L2270" s="550">
        <v>46</v>
      </c>
      <c r="M2270" s="550">
        <v>0</v>
      </c>
      <c r="N2270" s="550">
        <v>173</v>
      </c>
      <c r="O2270" s="550">
        <v>158</v>
      </c>
      <c r="P2270" s="550">
        <v>490</v>
      </c>
      <c r="Q2270" s="550">
        <v>212</v>
      </c>
      <c r="R2270" s="574" t="s">
        <v>692</v>
      </c>
      <c r="S2270" s="552"/>
      <c r="T2270" s="552"/>
      <c r="U2270" s="552"/>
      <c r="V2270" s="552"/>
      <c r="W2270" s="552"/>
      <c r="X2270" s="552"/>
      <c r="Y2270" s="552"/>
      <c r="Z2270" s="552"/>
      <c r="AA2270" s="553"/>
      <c r="AB2270" s="553"/>
    </row>
    <row r="2271" spans="1:28" ht="12.75">
      <c r="A2271" s="547" t="s">
        <v>692</v>
      </c>
      <c r="B2271" s="547" t="s">
        <v>192</v>
      </c>
      <c r="C2271" s="548" t="s">
        <v>774</v>
      </c>
      <c r="D2271" s="549">
        <v>2016</v>
      </c>
      <c r="E2271" s="549" t="s">
        <v>775</v>
      </c>
      <c r="F2271" s="550">
        <v>287</v>
      </c>
      <c r="G2271" s="550">
        <v>0</v>
      </c>
      <c r="H2271" s="550">
        <v>0</v>
      </c>
      <c r="I2271" s="550">
        <v>0</v>
      </c>
      <c r="J2271" s="550">
        <v>134</v>
      </c>
      <c r="K2271" s="550">
        <v>0</v>
      </c>
      <c r="L2271" s="550">
        <v>0</v>
      </c>
      <c r="M2271" s="550">
        <v>0</v>
      </c>
      <c r="N2271" s="550">
        <v>173</v>
      </c>
      <c r="O2271" s="550">
        <v>160</v>
      </c>
      <c r="P2271" s="550">
        <v>490</v>
      </c>
      <c r="Q2271" s="550">
        <v>177</v>
      </c>
      <c r="R2271" s="574" t="s">
        <v>692</v>
      </c>
      <c r="S2271" s="552"/>
      <c r="T2271" s="552"/>
      <c r="U2271" s="552"/>
      <c r="V2271" s="552"/>
      <c r="W2271" s="552"/>
      <c r="X2271" s="552"/>
      <c r="Y2271" s="552"/>
      <c r="Z2271" s="552"/>
      <c r="AA2271" s="553"/>
      <c r="AB2271" s="553"/>
    </row>
    <row r="2272" spans="1:28" ht="12.75">
      <c r="A2272" s="547" t="s">
        <v>692</v>
      </c>
      <c r="B2272" s="547" t="s">
        <v>192</v>
      </c>
      <c r="C2272" s="548" t="s">
        <v>774</v>
      </c>
      <c r="D2272" s="549">
        <v>2017</v>
      </c>
      <c r="E2272" s="549" t="s">
        <v>775</v>
      </c>
      <c r="F2272" s="550">
        <v>287</v>
      </c>
      <c r="G2272" s="550">
        <v>14</v>
      </c>
      <c r="H2272" s="550">
        <v>14</v>
      </c>
      <c r="I2272" s="550">
        <v>0</v>
      </c>
      <c r="J2272" s="550">
        <v>134</v>
      </c>
      <c r="K2272" s="550">
        <v>26</v>
      </c>
      <c r="L2272" s="550">
        <v>24</v>
      </c>
      <c r="M2272" s="550">
        <v>2</v>
      </c>
      <c r="N2272" s="550">
        <v>173</v>
      </c>
      <c r="O2272" s="550">
        <v>214</v>
      </c>
      <c r="P2272" s="550">
        <v>490</v>
      </c>
      <c r="Q2272" s="550">
        <v>63</v>
      </c>
      <c r="R2272" s="574" t="s">
        <v>692</v>
      </c>
      <c r="S2272" s="552"/>
      <c r="T2272" s="552"/>
      <c r="U2272" s="552"/>
      <c r="V2272" s="552"/>
      <c r="W2272" s="552"/>
      <c r="X2272" s="552"/>
      <c r="Y2272" s="552"/>
      <c r="Z2272" s="552"/>
      <c r="AA2272" s="553"/>
      <c r="AB2272" s="553"/>
    </row>
    <row r="2273" spans="1:28" ht="12.75">
      <c r="A2273" s="547" t="s">
        <v>692</v>
      </c>
      <c r="B2273" s="547" t="s">
        <v>192</v>
      </c>
      <c r="C2273" s="548" t="s">
        <v>774</v>
      </c>
      <c r="D2273" s="549">
        <v>2018</v>
      </c>
      <c r="E2273" s="549" t="s">
        <v>775</v>
      </c>
      <c r="F2273" s="550">
        <v>287</v>
      </c>
      <c r="G2273" s="550">
        <v>14</v>
      </c>
      <c r="H2273" s="550">
        <v>14</v>
      </c>
      <c r="I2273" s="550">
        <v>0</v>
      </c>
      <c r="J2273" s="550">
        <v>134</v>
      </c>
      <c r="K2273" s="550">
        <v>24</v>
      </c>
      <c r="L2273" s="550">
        <v>24</v>
      </c>
      <c r="M2273" s="550">
        <v>0</v>
      </c>
      <c r="N2273" s="550">
        <v>173</v>
      </c>
      <c r="O2273" s="550">
        <v>1</v>
      </c>
      <c r="P2273" s="550">
        <v>490</v>
      </c>
      <c r="Q2273" s="550">
        <v>205</v>
      </c>
      <c r="R2273" s="574" t="s">
        <v>692</v>
      </c>
      <c r="S2273" s="552"/>
      <c r="T2273" s="552"/>
      <c r="U2273" s="552"/>
      <c r="V2273" s="552"/>
      <c r="W2273" s="552"/>
      <c r="X2273" s="552"/>
      <c r="Y2273" s="552"/>
      <c r="Z2273" s="552"/>
      <c r="AA2273" s="553"/>
      <c r="AB2273" s="553"/>
    </row>
    <row r="2274" spans="1:28" ht="12.75">
      <c r="A2274" s="547" t="s">
        <v>692</v>
      </c>
      <c r="B2274" s="547" t="s">
        <v>192</v>
      </c>
      <c r="C2274" s="548" t="s">
        <v>782</v>
      </c>
      <c r="D2274" s="549">
        <v>2019</v>
      </c>
      <c r="E2274" s="549" t="s">
        <v>775</v>
      </c>
      <c r="F2274" s="550">
        <v>287</v>
      </c>
      <c r="G2274" s="550">
        <v>0</v>
      </c>
      <c r="H2274" s="550">
        <v>0</v>
      </c>
      <c r="I2274" s="550">
        <v>0</v>
      </c>
      <c r="J2274" s="550">
        <v>134</v>
      </c>
      <c r="K2274" s="550">
        <v>3</v>
      </c>
      <c r="L2274" s="550">
        <v>0</v>
      </c>
      <c r="M2274" s="550">
        <v>3</v>
      </c>
      <c r="N2274" s="550">
        <v>173</v>
      </c>
      <c r="O2274" s="550">
        <v>0</v>
      </c>
      <c r="P2274" s="550">
        <v>490</v>
      </c>
      <c r="Q2274" s="550">
        <v>378</v>
      </c>
      <c r="R2274" s="574" t="s">
        <v>692</v>
      </c>
      <c r="S2274" s="255">
        <f>SUM(G2270:G2274) +SUM(K2270:K2274)</f>
        <v>147</v>
      </c>
      <c r="T2274" s="255">
        <f>F2274+J2274</f>
        <v>421</v>
      </c>
      <c r="U2274" s="255">
        <f>SUM(O2270:O2274)</f>
        <v>533</v>
      </c>
      <c r="V2274" s="255">
        <f>N2274</f>
        <v>173</v>
      </c>
      <c r="W2274" s="83">
        <f>SUM(Q2270:Q2274)</f>
        <v>1035</v>
      </c>
      <c r="X2274" s="255">
        <f>P2274</f>
        <v>490</v>
      </c>
      <c r="Y2274" s="255">
        <f>S2274+U2274+SUM(Q2270:Q2274)</f>
        <v>1715</v>
      </c>
      <c r="Z2274" s="255">
        <f>F2274+J2274+N2274+P2274</f>
        <v>1084</v>
      </c>
      <c r="AA2274" s="553"/>
      <c r="AB2274" s="553"/>
    </row>
    <row r="2275" spans="1:28" ht="12.75">
      <c r="A2275" s="547" t="s">
        <v>693</v>
      </c>
      <c r="B2275" s="547" t="s">
        <v>192</v>
      </c>
      <c r="C2275" s="548" t="s">
        <v>774</v>
      </c>
      <c r="D2275" s="549">
        <v>2016</v>
      </c>
      <c r="E2275" s="549" t="s">
        <v>775</v>
      </c>
      <c r="F2275" s="550">
        <v>283</v>
      </c>
      <c r="G2275" s="550">
        <v>0</v>
      </c>
      <c r="H2275" s="550">
        <v>0</v>
      </c>
      <c r="I2275" s="550">
        <v>0</v>
      </c>
      <c r="J2275" s="550">
        <v>178</v>
      </c>
      <c r="K2275" s="550">
        <v>0</v>
      </c>
      <c r="L2275" s="550">
        <v>0</v>
      </c>
      <c r="M2275" s="550">
        <v>0</v>
      </c>
      <c r="N2275" s="550">
        <v>211</v>
      </c>
      <c r="O2275" s="550">
        <v>0</v>
      </c>
      <c r="P2275" s="550">
        <v>690</v>
      </c>
      <c r="Q2275" s="550">
        <v>47</v>
      </c>
      <c r="R2275" s="574" t="s">
        <v>693</v>
      </c>
      <c r="S2275" s="552"/>
      <c r="T2275" s="552"/>
      <c r="U2275" s="552"/>
      <c r="V2275" s="552"/>
      <c r="W2275" s="552"/>
      <c r="X2275" s="552"/>
      <c r="Y2275" s="552"/>
      <c r="Z2275" s="552"/>
      <c r="AA2275" s="553"/>
      <c r="AB2275" s="553"/>
    </row>
    <row r="2276" spans="1:28" ht="12.75">
      <c r="A2276" s="547" t="s">
        <v>693</v>
      </c>
      <c r="B2276" s="547" t="s">
        <v>192</v>
      </c>
      <c r="C2276" s="548" t="s">
        <v>774</v>
      </c>
      <c r="D2276" s="549">
        <v>2017</v>
      </c>
      <c r="E2276" s="549" t="s">
        <v>775</v>
      </c>
      <c r="F2276" s="550">
        <v>283</v>
      </c>
      <c r="G2276" s="550">
        <v>0</v>
      </c>
      <c r="H2276" s="550">
        <v>0</v>
      </c>
      <c r="I2276" s="550">
        <v>0</v>
      </c>
      <c r="J2276" s="550">
        <v>178</v>
      </c>
      <c r="K2276" s="550">
        <v>0</v>
      </c>
      <c r="L2276" s="550">
        <v>0</v>
      </c>
      <c r="M2276" s="550">
        <v>0</v>
      </c>
      <c r="N2276" s="550">
        <v>211</v>
      </c>
      <c r="O2276" s="550">
        <v>0</v>
      </c>
      <c r="P2276" s="550">
        <v>690</v>
      </c>
      <c r="Q2276" s="550">
        <v>44</v>
      </c>
      <c r="R2276" s="574" t="s">
        <v>693</v>
      </c>
      <c r="S2276" s="552"/>
      <c r="T2276" s="552"/>
      <c r="U2276" s="552"/>
      <c r="V2276" s="552"/>
      <c r="W2276" s="552"/>
      <c r="X2276" s="552"/>
      <c r="Y2276" s="552"/>
      <c r="Z2276" s="552"/>
      <c r="AA2276" s="553"/>
      <c r="AB2276" s="553"/>
    </row>
    <row r="2277" spans="1:28" ht="12.75">
      <c r="A2277" s="547" t="s">
        <v>693</v>
      </c>
      <c r="B2277" s="547" t="s">
        <v>192</v>
      </c>
      <c r="C2277" s="548" t="s">
        <v>774</v>
      </c>
      <c r="D2277" s="549">
        <v>2018</v>
      </c>
      <c r="E2277" s="549" t="s">
        <v>775</v>
      </c>
      <c r="F2277" s="550">
        <v>283</v>
      </c>
      <c r="G2277" s="550">
        <v>0</v>
      </c>
      <c r="H2277" s="550">
        <v>0</v>
      </c>
      <c r="I2277" s="550">
        <v>0</v>
      </c>
      <c r="J2277" s="550">
        <v>178</v>
      </c>
      <c r="K2277" s="550">
        <v>0</v>
      </c>
      <c r="L2277" s="550">
        <v>0</v>
      </c>
      <c r="M2277" s="550">
        <v>0</v>
      </c>
      <c r="N2277" s="550">
        <v>211</v>
      </c>
      <c r="O2277" s="550">
        <v>0</v>
      </c>
      <c r="P2277" s="550">
        <v>690</v>
      </c>
      <c r="Q2277" s="550">
        <v>55</v>
      </c>
      <c r="R2277" s="574" t="s">
        <v>693</v>
      </c>
      <c r="S2277" s="552"/>
      <c r="T2277" s="552"/>
      <c r="U2277" s="552"/>
      <c r="V2277" s="552"/>
      <c r="W2277" s="552"/>
      <c r="X2277" s="552"/>
      <c r="Y2277" s="552"/>
      <c r="Z2277" s="552"/>
      <c r="AA2277" s="553"/>
      <c r="AB2277" s="553"/>
    </row>
    <row r="2278" spans="1:28" ht="12.75">
      <c r="A2278" s="547" t="s">
        <v>693</v>
      </c>
      <c r="B2278" s="547" t="s">
        <v>192</v>
      </c>
      <c r="C2278" s="548" t="s">
        <v>782</v>
      </c>
      <c r="D2278" s="549">
        <v>2019</v>
      </c>
      <c r="E2278" s="549" t="s">
        <v>775</v>
      </c>
      <c r="F2278" s="550">
        <v>283</v>
      </c>
      <c r="G2278" s="550">
        <v>0</v>
      </c>
      <c r="H2278" s="550">
        <v>0</v>
      </c>
      <c r="I2278" s="550">
        <v>0</v>
      </c>
      <c r="J2278" s="550">
        <v>178</v>
      </c>
      <c r="K2278" s="550">
        <v>0</v>
      </c>
      <c r="L2278" s="550">
        <v>0</v>
      </c>
      <c r="M2278" s="550">
        <v>0</v>
      </c>
      <c r="N2278" s="550">
        <v>211</v>
      </c>
      <c r="O2278" s="550">
        <v>0</v>
      </c>
      <c r="P2278" s="550">
        <v>690</v>
      </c>
      <c r="Q2278" s="550">
        <v>64</v>
      </c>
      <c r="R2278" s="574" t="s">
        <v>693</v>
      </c>
      <c r="S2278" s="561">
        <f>SUM(G2275:G2278) +SUM(K2275:K2278)</f>
        <v>0</v>
      </c>
      <c r="T2278" s="561">
        <f>F2278+J2278</f>
        <v>461</v>
      </c>
      <c r="U2278" s="561">
        <f>SUM(O2275:O2278)</f>
        <v>0</v>
      </c>
      <c r="V2278" s="561">
        <f>N2278</f>
        <v>211</v>
      </c>
      <c r="W2278" s="562">
        <f>SUM(Q2275:Q2278)</f>
        <v>210</v>
      </c>
      <c r="X2278" s="561">
        <f>P2278</f>
        <v>690</v>
      </c>
      <c r="Y2278" s="561">
        <f>S2278+U2278+SUM(Q2275:Q2278)</f>
        <v>210</v>
      </c>
      <c r="Z2278" s="561">
        <f>F2278+J2278+N2278+P2278</f>
        <v>1362</v>
      </c>
      <c r="AA2278" s="553"/>
      <c r="AB2278" s="553"/>
    </row>
    <row r="2279" spans="1:28" ht="12.75">
      <c r="A2279" s="547"/>
      <c r="B2279" s="547"/>
      <c r="C2279" s="548"/>
      <c r="D2279" s="549"/>
      <c r="E2279" s="549"/>
      <c r="F2279" s="550"/>
      <c r="G2279" s="550"/>
      <c r="H2279" s="550"/>
      <c r="I2279" s="550"/>
      <c r="J2279" s="550"/>
      <c r="K2279" s="550"/>
      <c r="L2279" s="550"/>
      <c r="M2279" s="550"/>
      <c r="N2279" s="550"/>
      <c r="O2279" s="550"/>
      <c r="P2279" s="550"/>
      <c r="Q2279" s="550"/>
      <c r="R2279" s="574"/>
      <c r="S2279" s="563">
        <f t="shared" ref="S2279:Z2279" si="228">SUM(S2236:S2278)</f>
        <v>288</v>
      </c>
      <c r="T2279" s="563">
        <f t="shared" si="228"/>
        <v>2613</v>
      </c>
      <c r="U2279" s="563">
        <f t="shared" si="228"/>
        <v>1210</v>
      </c>
      <c r="V2279" s="563">
        <f t="shared" si="228"/>
        <v>1053</v>
      </c>
      <c r="W2279" s="563">
        <f t="shared" si="228"/>
        <v>4103</v>
      </c>
      <c r="X2279" s="563">
        <f t="shared" si="228"/>
        <v>3311</v>
      </c>
      <c r="Y2279" s="563">
        <f t="shared" si="228"/>
        <v>5601</v>
      </c>
      <c r="Z2279" s="563">
        <f t="shared" si="228"/>
        <v>6977</v>
      </c>
      <c r="AA2279" s="553"/>
      <c r="AB2279" s="553"/>
    </row>
    <row r="2280" spans="1:28" ht="12.75">
      <c r="A2280" s="547" t="s">
        <v>694</v>
      </c>
      <c r="B2280" s="547" t="s">
        <v>193</v>
      </c>
      <c r="C2280" s="548" t="s">
        <v>774</v>
      </c>
      <c r="D2280" s="549">
        <v>2014</v>
      </c>
      <c r="E2280" s="549" t="s">
        <v>775</v>
      </c>
      <c r="F2280" s="550">
        <v>39</v>
      </c>
      <c r="G2280" s="550">
        <v>0</v>
      </c>
      <c r="H2280" s="550">
        <v>0</v>
      </c>
      <c r="I2280" s="550">
        <v>0</v>
      </c>
      <c r="J2280" s="550">
        <v>29</v>
      </c>
      <c r="K2280" s="550">
        <v>0</v>
      </c>
      <c r="L2280" s="550">
        <v>0</v>
      </c>
      <c r="M2280" s="550">
        <v>0</v>
      </c>
      <c r="N2280" s="550">
        <v>31</v>
      </c>
      <c r="O2280" s="550">
        <v>0</v>
      </c>
      <c r="P2280" s="550">
        <v>112</v>
      </c>
      <c r="Q2280" s="550">
        <v>0</v>
      </c>
      <c r="R2280" s="574" t="s">
        <v>694</v>
      </c>
      <c r="S2280" s="552"/>
      <c r="T2280" s="552"/>
      <c r="U2280" s="552"/>
      <c r="V2280" s="552"/>
      <c r="W2280" s="552"/>
      <c r="X2280" s="552"/>
      <c r="Y2280" s="552"/>
      <c r="Z2280" s="552"/>
      <c r="AA2280" s="553"/>
      <c r="AB2280" s="553"/>
    </row>
    <row r="2281" spans="1:28" ht="12.75">
      <c r="A2281" s="547" t="s">
        <v>694</v>
      </c>
      <c r="B2281" s="555" t="s">
        <v>193</v>
      </c>
      <c r="C2281" s="548" t="s">
        <v>774</v>
      </c>
      <c r="D2281" s="549">
        <v>2015</v>
      </c>
      <c r="E2281" s="549" t="s">
        <v>775</v>
      </c>
      <c r="F2281" s="550">
        <v>39</v>
      </c>
      <c r="G2281" s="550">
        <v>25</v>
      </c>
      <c r="H2281" s="550">
        <v>25</v>
      </c>
      <c r="I2281" s="550">
        <v>0</v>
      </c>
      <c r="J2281" s="550">
        <v>29</v>
      </c>
      <c r="K2281" s="550">
        <v>7</v>
      </c>
      <c r="L2281" s="550">
        <v>7</v>
      </c>
      <c r="M2281" s="550">
        <v>0</v>
      </c>
      <c r="N2281" s="550">
        <v>31</v>
      </c>
      <c r="O2281" s="550">
        <v>0</v>
      </c>
      <c r="P2281" s="550">
        <v>112</v>
      </c>
      <c r="Q2281" s="550">
        <v>0</v>
      </c>
      <c r="R2281" s="574" t="s">
        <v>694</v>
      </c>
      <c r="S2281" s="552"/>
      <c r="T2281" s="552"/>
      <c r="U2281" s="552"/>
      <c r="V2281" s="552"/>
      <c r="W2281" s="552"/>
      <c r="X2281" s="552"/>
      <c r="Y2281" s="552"/>
      <c r="Z2281" s="552"/>
      <c r="AA2281" s="553"/>
      <c r="AB2281" s="553"/>
    </row>
    <row r="2282" spans="1:28" ht="12.75">
      <c r="A2282" s="547" t="s">
        <v>694</v>
      </c>
      <c r="B2282" s="547" t="s">
        <v>193</v>
      </c>
      <c r="C2282" s="548" t="s">
        <v>774</v>
      </c>
      <c r="D2282" s="549">
        <v>2016</v>
      </c>
      <c r="E2282" s="549" t="s">
        <v>775</v>
      </c>
      <c r="F2282" s="550">
        <v>39</v>
      </c>
      <c r="G2282" s="550">
        <v>0</v>
      </c>
      <c r="H2282" s="550">
        <v>0</v>
      </c>
      <c r="I2282" s="550">
        <v>0</v>
      </c>
      <c r="J2282" s="550">
        <v>29</v>
      </c>
      <c r="K2282" s="550">
        <v>0</v>
      </c>
      <c r="L2282" s="550">
        <v>0</v>
      </c>
      <c r="M2282" s="550">
        <v>0</v>
      </c>
      <c r="N2282" s="550">
        <v>31</v>
      </c>
      <c r="O2282" s="550">
        <v>2</v>
      </c>
      <c r="P2282" s="550">
        <v>112</v>
      </c>
      <c r="Q2282" s="550">
        <v>13</v>
      </c>
      <c r="R2282" s="574" t="s">
        <v>694</v>
      </c>
      <c r="S2282" s="552"/>
      <c r="T2282" s="552"/>
      <c r="U2282" s="552"/>
      <c r="V2282" s="552"/>
      <c r="W2282" s="552"/>
      <c r="X2282" s="552"/>
      <c r="Y2282" s="552"/>
      <c r="Z2282" s="552"/>
      <c r="AA2282" s="553"/>
      <c r="AB2282" s="553"/>
    </row>
    <row r="2283" spans="1:28" ht="12.75">
      <c r="A2283" s="547" t="s">
        <v>694</v>
      </c>
      <c r="B2283" s="547" t="s">
        <v>193</v>
      </c>
      <c r="C2283" s="548" t="s">
        <v>774</v>
      </c>
      <c r="D2283" s="549">
        <v>2017</v>
      </c>
      <c r="E2283" s="549" t="s">
        <v>775</v>
      </c>
      <c r="F2283" s="550">
        <v>39</v>
      </c>
      <c r="G2283" s="550">
        <v>0</v>
      </c>
      <c r="H2283" s="550">
        <v>0</v>
      </c>
      <c r="I2283" s="550">
        <v>0</v>
      </c>
      <c r="J2283" s="550">
        <v>29</v>
      </c>
      <c r="K2283" s="550">
        <v>0</v>
      </c>
      <c r="L2283" s="550">
        <v>0</v>
      </c>
      <c r="M2283" s="550">
        <v>0</v>
      </c>
      <c r="N2283" s="550">
        <v>31</v>
      </c>
      <c r="O2283" s="550">
        <v>3</v>
      </c>
      <c r="P2283" s="550">
        <v>112</v>
      </c>
      <c r="Q2283" s="550">
        <v>22</v>
      </c>
      <c r="R2283" s="574" t="s">
        <v>694</v>
      </c>
      <c r="S2283" s="552"/>
      <c r="T2283" s="552"/>
      <c r="U2283" s="552"/>
      <c r="V2283" s="552"/>
      <c r="W2283" s="552"/>
      <c r="X2283" s="552"/>
      <c r="Y2283" s="552"/>
      <c r="Z2283" s="552"/>
      <c r="AA2283" s="553"/>
      <c r="AB2283" s="553"/>
    </row>
    <row r="2284" spans="1:28" ht="12.75">
      <c r="A2284" s="547" t="s">
        <v>694</v>
      </c>
      <c r="B2284" s="547" t="s">
        <v>193</v>
      </c>
      <c r="C2284" s="548" t="s">
        <v>774</v>
      </c>
      <c r="D2284" s="549">
        <v>2018</v>
      </c>
      <c r="E2284" s="549" t="s">
        <v>775</v>
      </c>
      <c r="F2284" s="550">
        <v>39</v>
      </c>
      <c r="G2284" s="550">
        <v>0</v>
      </c>
      <c r="H2284" s="550">
        <v>0</v>
      </c>
      <c r="I2284" s="550">
        <v>0</v>
      </c>
      <c r="J2284" s="550">
        <v>29</v>
      </c>
      <c r="K2284" s="550">
        <v>0</v>
      </c>
      <c r="L2284" s="550">
        <v>0</v>
      </c>
      <c r="M2284" s="550">
        <v>0</v>
      </c>
      <c r="N2284" s="550">
        <v>31</v>
      </c>
      <c r="O2284" s="550">
        <v>0</v>
      </c>
      <c r="P2284" s="550">
        <v>112</v>
      </c>
      <c r="Q2284" s="550">
        <v>14</v>
      </c>
      <c r="R2284" s="574" t="s">
        <v>694</v>
      </c>
      <c r="S2284" s="552"/>
      <c r="T2284" s="552"/>
      <c r="U2284" s="552"/>
      <c r="V2284" s="552"/>
      <c r="W2284" s="552"/>
      <c r="X2284" s="552"/>
      <c r="Y2284" s="552"/>
      <c r="Z2284" s="552"/>
      <c r="AA2284" s="553"/>
      <c r="AB2284" s="553"/>
    </row>
    <row r="2285" spans="1:28" ht="12.75">
      <c r="A2285" s="547" t="s">
        <v>694</v>
      </c>
      <c r="B2285" s="547" t="s">
        <v>193</v>
      </c>
      <c r="C2285" s="548" t="s">
        <v>782</v>
      </c>
      <c r="D2285" s="549">
        <v>2019</v>
      </c>
      <c r="E2285" s="549" t="s">
        <v>775</v>
      </c>
      <c r="F2285" s="550">
        <v>39</v>
      </c>
      <c r="G2285" s="550">
        <v>0</v>
      </c>
      <c r="H2285" s="550">
        <v>0</v>
      </c>
      <c r="I2285" s="550">
        <v>0</v>
      </c>
      <c r="J2285" s="550">
        <v>29</v>
      </c>
      <c r="K2285" s="550">
        <v>0</v>
      </c>
      <c r="L2285" s="550">
        <v>0</v>
      </c>
      <c r="M2285" s="550">
        <v>0</v>
      </c>
      <c r="N2285" s="550">
        <v>31</v>
      </c>
      <c r="O2285" s="550">
        <v>0</v>
      </c>
      <c r="P2285" s="550">
        <v>112</v>
      </c>
      <c r="Q2285" s="550">
        <v>28</v>
      </c>
      <c r="R2285" s="574" t="s">
        <v>694</v>
      </c>
      <c r="S2285" s="552">
        <f>SUM(G2280:G2285) +SUM(K2280:K2285)</f>
        <v>32</v>
      </c>
      <c r="T2285" s="552">
        <f>F2285+J2285</f>
        <v>68</v>
      </c>
      <c r="U2285" s="552">
        <f>SUM(O2280:O2285)</f>
        <v>5</v>
      </c>
      <c r="V2285" s="552">
        <f>N2285</f>
        <v>31</v>
      </c>
      <c r="W2285" s="554">
        <f>SUM(Q2280:Q2285)</f>
        <v>77</v>
      </c>
      <c r="X2285" s="552">
        <f>P2285</f>
        <v>112</v>
      </c>
      <c r="Y2285" s="552">
        <f>S2285+U2285+SUM(Q2280:Q2285)</f>
        <v>114</v>
      </c>
      <c r="Z2285" s="552">
        <f>F2285+J2285+N2285+P2285</f>
        <v>211</v>
      </c>
      <c r="AA2285" s="553"/>
      <c r="AB2285" s="553"/>
    </row>
    <row r="2286" spans="1:28" ht="12.75">
      <c r="A2286" s="547" t="s">
        <v>695</v>
      </c>
      <c r="B2286" s="547" t="s">
        <v>193</v>
      </c>
      <c r="C2286" s="548" t="s">
        <v>774</v>
      </c>
      <c r="D2286" s="549">
        <v>2016</v>
      </c>
      <c r="E2286" s="549" t="s">
        <v>775</v>
      </c>
      <c r="F2286" s="550">
        <v>35</v>
      </c>
      <c r="G2286" s="550">
        <v>1</v>
      </c>
      <c r="H2286" s="550">
        <v>1</v>
      </c>
      <c r="I2286" s="550">
        <v>0</v>
      </c>
      <c r="J2286" s="550">
        <v>18</v>
      </c>
      <c r="K2286" s="550">
        <v>3</v>
      </c>
      <c r="L2286" s="550">
        <v>3</v>
      </c>
      <c r="M2286" s="550">
        <v>0</v>
      </c>
      <c r="N2286" s="550">
        <v>18</v>
      </c>
      <c r="O2286" s="550">
        <v>0</v>
      </c>
      <c r="P2286" s="550">
        <v>66</v>
      </c>
      <c r="Q2286" s="550">
        <v>16</v>
      </c>
      <c r="R2286" s="574" t="s">
        <v>695</v>
      </c>
      <c r="S2286" s="552"/>
      <c r="T2286" s="552"/>
      <c r="U2286" s="552"/>
      <c r="V2286" s="552"/>
      <c r="W2286" s="552"/>
      <c r="X2286" s="552"/>
      <c r="Y2286" s="552"/>
      <c r="Z2286" s="552"/>
      <c r="AA2286" s="553"/>
      <c r="AB2286" s="553"/>
    </row>
    <row r="2287" spans="1:28" ht="12.75">
      <c r="A2287" s="547" t="s">
        <v>695</v>
      </c>
      <c r="B2287" s="547" t="s">
        <v>193</v>
      </c>
      <c r="C2287" s="548" t="s">
        <v>774</v>
      </c>
      <c r="D2287" s="549">
        <v>2017</v>
      </c>
      <c r="E2287" s="549" t="s">
        <v>775</v>
      </c>
      <c r="F2287" s="550">
        <v>35</v>
      </c>
      <c r="G2287" s="550">
        <v>3</v>
      </c>
      <c r="H2287" s="550">
        <v>3</v>
      </c>
      <c r="I2287" s="550">
        <v>0</v>
      </c>
      <c r="J2287" s="550">
        <v>18</v>
      </c>
      <c r="K2287" s="550">
        <v>10</v>
      </c>
      <c r="L2287" s="550">
        <v>0</v>
      </c>
      <c r="M2287" s="550">
        <v>10</v>
      </c>
      <c r="N2287" s="550">
        <v>18</v>
      </c>
      <c r="O2287" s="550">
        <v>11</v>
      </c>
      <c r="P2287" s="550">
        <v>66</v>
      </c>
      <c r="Q2287" s="550">
        <v>22</v>
      </c>
      <c r="R2287" s="574" t="s">
        <v>695</v>
      </c>
      <c r="S2287" s="552"/>
      <c r="T2287" s="552"/>
      <c r="U2287" s="552"/>
      <c r="V2287" s="552"/>
      <c r="W2287" s="552"/>
      <c r="X2287" s="552"/>
      <c r="Y2287" s="552"/>
      <c r="Z2287" s="552"/>
      <c r="AA2287" s="553"/>
      <c r="AB2287" s="553"/>
    </row>
    <row r="2288" spans="1:28" ht="12.75">
      <c r="A2288" s="547" t="s">
        <v>695</v>
      </c>
      <c r="B2288" s="547" t="s">
        <v>193</v>
      </c>
      <c r="C2288" s="548" t="s">
        <v>774</v>
      </c>
      <c r="D2288" s="549">
        <v>2018</v>
      </c>
      <c r="E2288" s="549" t="s">
        <v>775</v>
      </c>
      <c r="F2288" s="550">
        <v>35</v>
      </c>
      <c r="G2288" s="550">
        <v>0</v>
      </c>
      <c r="H2288" s="550">
        <v>0</v>
      </c>
      <c r="I2288" s="550">
        <v>0</v>
      </c>
      <c r="J2288" s="550">
        <v>18</v>
      </c>
      <c r="K2288" s="550">
        <v>0</v>
      </c>
      <c r="L2288" s="550">
        <v>0</v>
      </c>
      <c r="M2288" s="550">
        <v>0</v>
      </c>
      <c r="N2288" s="550">
        <v>18</v>
      </c>
      <c r="O2288" s="550">
        <v>2</v>
      </c>
      <c r="P2288" s="550">
        <v>66</v>
      </c>
      <c r="Q2288" s="550">
        <v>0</v>
      </c>
      <c r="R2288" s="574" t="s">
        <v>695</v>
      </c>
      <c r="S2288" s="552"/>
      <c r="T2288" s="552"/>
      <c r="U2288" s="552"/>
      <c r="V2288" s="552"/>
      <c r="W2288" s="552"/>
      <c r="X2288" s="552"/>
      <c r="Y2288" s="552"/>
      <c r="Z2288" s="552"/>
      <c r="AA2288" s="553"/>
      <c r="AB2288" s="553"/>
    </row>
    <row r="2289" spans="1:28" ht="12.75">
      <c r="A2289" s="547" t="s">
        <v>695</v>
      </c>
      <c r="B2289" s="547" t="s">
        <v>193</v>
      </c>
      <c r="C2289" s="548" t="s">
        <v>782</v>
      </c>
      <c r="D2289" s="549">
        <v>2019</v>
      </c>
      <c r="E2289" s="549" t="s">
        <v>775</v>
      </c>
      <c r="F2289" s="550">
        <v>35</v>
      </c>
      <c r="G2289" s="550">
        <v>1</v>
      </c>
      <c r="H2289" s="550">
        <v>0</v>
      </c>
      <c r="I2289" s="550">
        <v>1</v>
      </c>
      <c r="J2289" s="550">
        <v>18</v>
      </c>
      <c r="K2289" s="550">
        <v>3</v>
      </c>
      <c r="L2289" s="550">
        <v>0</v>
      </c>
      <c r="M2289" s="550">
        <v>3</v>
      </c>
      <c r="N2289" s="550">
        <v>18</v>
      </c>
      <c r="O2289" s="550">
        <v>0</v>
      </c>
      <c r="P2289" s="550">
        <v>66</v>
      </c>
      <c r="Q2289" s="550">
        <v>3</v>
      </c>
      <c r="R2289" s="574" t="s">
        <v>695</v>
      </c>
      <c r="S2289" s="255">
        <f>SUM(G2286:G2289) +SUM(K2286:K2289)</f>
        <v>21</v>
      </c>
      <c r="T2289" s="255">
        <f>F2289+J2289</f>
        <v>53</v>
      </c>
      <c r="U2289" s="255">
        <f>SUM(O2286:O2289)</f>
        <v>13</v>
      </c>
      <c r="V2289" s="255">
        <f>N2289</f>
        <v>18</v>
      </c>
      <c r="W2289" s="83">
        <f>SUM(Q2286:Q2289)</f>
        <v>41</v>
      </c>
      <c r="X2289" s="255">
        <f>P2289</f>
        <v>66</v>
      </c>
      <c r="Y2289" s="255">
        <f>S2289+U2289+SUM(Q2286:Q2289)</f>
        <v>75</v>
      </c>
      <c r="Z2289" s="255">
        <f>F2289+J2289+N2289+P2289</f>
        <v>137</v>
      </c>
      <c r="AA2289" s="553"/>
      <c r="AB2289" s="553"/>
    </row>
    <row r="2290" spans="1:28" ht="12.75">
      <c r="A2290" s="547" t="s">
        <v>696</v>
      </c>
      <c r="B2290" s="547" t="s">
        <v>193</v>
      </c>
      <c r="C2290" s="548" t="s">
        <v>774</v>
      </c>
      <c r="D2290" s="549">
        <v>2014</v>
      </c>
      <c r="E2290" s="549" t="s">
        <v>775</v>
      </c>
      <c r="F2290" s="550">
        <v>31</v>
      </c>
      <c r="G2290" s="550">
        <v>0</v>
      </c>
      <c r="H2290" s="550">
        <v>0</v>
      </c>
      <c r="I2290" s="550">
        <v>0</v>
      </c>
      <c r="J2290" s="550">
        <v>24</v>
      </c>
      <c r="K2290" s="550">
        <v>0</v>
      </c>
      <c r="L2290" s="550">
        <v>0</v>
      </c>
      <c r="M2290" s="550">
        <v>0</v>
      </c>
      <c r="N2290" s="550">
        <v>26</v>
      </c>
      <c r="O2290" s="550">
        <v>0</v>
      </c>
      <c r="P2290" s="550">
        <v>76</v>
      </c>
      <c r="Q2290" s="550">
        <v>27</v>
      </c>
      <c r="R2290" s="574" t="s">
        <v>696</v>
      </c>
      <c r="S2290" s="552"/>
      <c r="T2290" s="552"/>
      <c r="U2290" s="552"/>
      <c r="V2290" s="552"/>
      <c r="W2290" s="552"/>
      <c r="X2290" s="552"/>
      <c r="Y2290" s="552"/>
      <c r="Z2290" s="552"/>
      <c r="AA2290" s="553"/>
      <c r="AB2290" s="553"/>
    </row>
    <row r="2291" spans="1:28" ht="12.75">
      <c r="A2291" s="547" t="s">
        <v>696</v>
      </c>
      <c r="B2291" s="547" t="s">
        <v>193</v>
      </c>
      <c r="C2291" s="548" t="s">
        <v>774</v>
      </c>
      <c r="D2291" s="549">
        <v>2015</v>
      </c>
      <c r="E2291" s="549" t="s">
        <v>775</v>
      </c>
      <c r="F2291" s="550">
        <v>31</v>
      </c>
      <c r="G2291" s="550">
        <v>1</v>
      </c>
      <c r="H2291" s="550">
        <v>1</v>
      </c>
      <c r="I2291" s="550">
        <v>0</v>
      </c>
      <c r="J2291" s="550">
        <v>24</v>
      </c>
      <c r="K2291" s="550">
        <v>2</v>
      </c>
      <c r="L2291" s="550">
        <v>2</v>
      </c>
      <c r="M2291" s="550">
        <v>0</v>
      </c>
      <c r="N2291" s="550">
        <v>26</v>
      </c>
      <c r="O2291" s="550">
        <v>12</v>
      </c>
      <c r="P2291" s="550">
        <v>76</v>
      </c>
      <c r="Q2291" s="550">
        <v>44</v>
      </c>
      <c r="R2291" s="574" t="s">
        <v>696</v>
      </c>
      <c r="S2291" s="552"/>
      <c r="T2291" s="552"/>
      <c r="U2291" s="552"/>
      <c r="V2291" s="552"/>
      <c r="W2291" s="552"/>
      <c r="X2291" s="552"/>
      <c r="Y2291" s="552"/>
      <c r="Z2291" s="552"/>
      <c r="AA2291" s="553"/>
      <c r="AB2291" s="553"/>
    </row>
    <row r="2292" spans="1:28" ht="12.75">
      <c r="A2292" s="547" t="s">
        <v>696</v>
      </c>
      <c r="B2292" s="547" t="s">
        <v>193</v>
      </c>
      <c r="C2292" s="548" t="s">
        <v>774</v>
      </c>
      <c r="D2292" s="549">
        <v>2016</v>
      </c>
      <c r="E2292" s="549" t="s">
        <v>775</v>
      </c>
      <c r="F2292" s="550">
        <v>31</v>
      </c>
      <c r="G2292" s="550">
        <v>2</v>
      </c>
      <c r="H2292" s="550">
        <v>2</v>
      </c>
      <c r="I2292" s="550">
        <v>0</v>
      </c>
      <c r="J2292" s="550">
        <v>24</v>
      </c>
      <c r="K2292" s="550">
        <v>3</v>
      </c>
      <c r="L2292" s="550">
        <v>3</v>
      </c>
      <c r="M2292" s="550">
        <v>0</v>
      </c>
      <c r="N2292" s="550">
        <v>26</v>
      </c>
      <c r="O2292" s="550">
        <v>4</v>
      </c>
      <c r="P2292" s="550">
        <v>76</v>
      </c>
      <c r="Q2292" s="550">
        <v>23</v>
      </c>
      <c r="R2292" s="574" t="s">
        <v>696</v>
      </c>
      <c r="S2292" s="552"/>
      <c r="T2292" s="552"/>
      <c r="U2292" s="552"/>
      <c r="V2292" s="552"/>
      <c r="W2292" s="552"/>
      <c r="X2292" s="552"/>
      <c r="Y2292" s="552"/>
      <c r="Z2292" s="552"/>
      <c r="AA2292" s="553"/>
      <c r="AB2292" s="553"/>
    </row>
    <row r="2293" spans="1:28" ht="12.75">
      <c r="A2293" s="547" t="s">
        <v>696</v>
      </c>
      <c r="B2293" s="547" t="s">
        <v>193</v>
      </c>
      <c r="C2293" s="548" t="s">
        <v>774</v>
      </c>
      <c r="D2293" s="549">
        <v>2017</v>
      </c>
      <c r="E2293" s="549" t="s">
        <v>775</v>
      </c>
      <c r="F2293" s="550">
        <v>31</v>
      </c>
      <c r="G2293" s="550">
        <v>12</v>
      </c>
      <c r="H2293" s="550">
        <v>12</v>
      </c>
      <c r="I2293" s="550">
        <v>0</v>
      </c>
      <c r="J2293" s="550">
        <v>24</v>
      </c>
      <c r="K2293" s="550">
        <v>20</v>
      </c>
      <c r="L2293" s="550">
        <v>20</v>
      </c>
      <c r="M2293" s="550">
        <v>0</v>
      </c>
      <c r="N2293" s="550">
        <v>26</v>
      </c>
      <c r="O2293" s="550">
        <v>29</v>
      </c>
      <c r="P2293" s="550">
        <v>76</v>
      </c>
      <c r="Q2293" s="550">
        <v>16</v>
      </c>
      <c r="R2293" s="574" t="s">
        <v>696</v>
      </c>
      <c r="S2293" s="552"/>
      <c r="T2293" s="552"/>
      <c r="U2293" s="552"/>
      <c r="V2293" s="552"/>
      <c r="W2293" s="552"/>
      <c r="X2293" s="552"/>
      <c r="Y2293" s="552"/>
      <c r="Z2293" s="552"/>
      <c r="AA2293" s="553"/>
      <c r="AB2293" s="553"/>
    </row>
    <row r="2294" spans="1:28" ht="12.75">
      <c r="A2294" s="547" t="s">
        <v>696</v>
      </c>
      <c r="B2294" s="547" t="s">
        <v>193</v>
      </c>
      <c r="C2294" s="548" t="s">
        <v>774</v>
      </c>
      <c r="D2294" s="549">
        <v>2018</v>
      </c>
      <c r="E2294" s="549" t="s">
        <v>775</v>
      </c>
      <c r="F2294" s="550">
        <v>31</v>
      </c>
      <c r="G2294" s="550">
        <v>0</v>
      </c>
      <c r="H2294" s="550">
        <v>0</v>
      </c>
      <c r="I2294" s="550">
        <v>0</v>
      </c>
      <c r="J2294" s="550">
        <v>24</v>
      </c>
      <c r="K2294" s="550">
        <v>0</v>
      </c>
      <c r="L2294" s="550">
        <v>0</v>
      </c>
      <c r="M2294" s="550">
        <v>0</v>
      </c>
      <c r="N2294" s="550">
        <v>26</v>
      </c>
      <c r="O2294" s="550">
        <v>11</v>
      </c>
      <c r="P2294" s="550">
        <v>76</v>
      </c>
      <c r="Q2294" s="550">
        <v>41</v>
      </c>
      <c r="R2294" s="574" t="s">
        <v>696</v>
      </c>
      <c r="S2294" s="552"/>
      <c r="T2294" s="552"/>
      <c r="U2294" s="552"/>
      <c r="V2294" s="552"/>
      <c r="W2294" s="552"/>
      <c r="X2294" s="552"/>
      <c r="Y2294" s="552"/>
      <c r="Z2294" s="552"/>
      <c r="AA2294" s="553"/>
      <c r="AB2294" s="553"/>
    </row>
    <row r="2295" spans="1:28" ht="12.75">
      <c r="A2295" s="547" t="s">
        <v>696</v>
      </c>
      <c r="B2295" s="547" t="s">
        <v>193</v>
      </c>
      <c r="C2295" s="548" t="s">
        <v>782</v>
      </c>
      <c r="D2295" s="549">
        <v>2019</v>
      </c>
      <c r="E2295" s="549" t="s">
        <v>775</v>
      </c>
      <c r="F2295" s="550">
        <v>31</v>
      </c>
      <c r="G2295" s="550">
        <v>0</v>
      </c>
      <c r="H2295" s="550">
        <v>0</v>
      </c>
      <c r="I2295" s="550">
        <v>0</v>
      </c>
      <c r="J2295" s="550">
        <v>24</v>
      </c>
      <c r="K2295" s="550">
        <v>1</v>
      </c>
      <c r="L2295" s="550">
        <v>1</v>
      </c>
      <c r="M2295" s="550">
        <v>0</v>
      </c>
      <c r="N2295" s="550">
        <v>26</v>
      </c>
      <c r="O2295" s="550">
        <v>18</v>
      </c>
      <c r="P2295" s="550">
        <v>76</v>
      </c>
      <c r="Q2295" s="550">
        <v>12</v>
      </c>
      <c r="R2295" s="574" t="s">
        <v>696</v>
      </c>
      <c r="S2295" s="552">
        <f>SUM(G2290:G2295) +SUM(K2290:K2295)</f>
        <v>41</v>
      </c>
      <c r="T2295" s="552">
        <f>F2295+J2295</f>
        <v>55</v>
      </c>
      <c r="U2295" s="552">
        <f>SUM(O2290:O2295)</f>
        <v>74</v>
      </c>
      <c r="V2295" s="552">
        <f>N2295</f>
        <v>26</v>
      </c>
      <c r="W2295" s="554">
        <f>SUM(Q2290:Q2295)</f>
        <v>163</v>
      </c>
      <c r="X2295" s="552">
        <f>P2295</f>
        <v>76</v>
      </c>
      <c r="Y2295" s="552">
        <f>S2295+U2295+SUM(Q2290:Q2295)</f>
        <v>278</v>
      </c>
      <c r="Z2295" s="552">
        <f>F2295+J2295+N2295+P2295</f>
        <v>157</v>
      </c>
      <c r="AA2295" s="553"/>
      <c r="AB2295" s="553"/>
    </row>
    <row r="2296" spans="1:28" ht="12.75">
      <c r="A2296" s="547" t="s">
        <v>697</v>
      </c>
      <c r="B2296" s="547" t="s">
        <v>193</v>
      </c>
      <c r="C2296" s="548" t="s">
        <v>774</v>
      </c>
      <c r="D2296" s="549">
        <v>2015</v>
      </c>
      <c r="E2296" s="549" t="s">
        <v>775</v>
      </c>
      <c r="F2296" s="550">
        <v>199</v>
      </c>
      <c r="G2296" s="550">
        <v>0</v>
      </c>
      <c r="H2296" s="550">
        <v>0</v>
      </c>
      <c r="I2296" s="550">
        <v>0</v>
      </c>
      <c r="J2296" s="550">
        <v>103</v>
      </c>
      <c r="K2296" s="550">
        <v>0</v>
      </c>
      <c r="L2296" s="550">
        <v>0</v>
      </c>
      <c r="M2296" s="550">
        <v>0</v>
      </c>
      <c r="N2296" s="550">
        <v>121</v>
      </c>
      <c r="O2296" s="550">
        <v>7</v>
      </c>
      <c r="P2296" s="550">
        <v>322</v>
      </c>
      <c r="Q2296" s="550">
        <v>235</v>
      </c>
      <c r="R2296" s="574" t="s">
        <v>697</v>
      </c>
      <c r="S2296" s="552"/>
      <c r="T2296" s="552"/>
      <c r="U2296" s="552"/>
      <c r="V2296" s="552"/>
      <c r="W2296" s="552"/>
      <c r="X2296" s="552"/>
      <c r="Y2296" s="552"/>
      <c r="Z2296" s="552"/>
      <c r="AA2296" s="553"/>
      <c r="AB2296" s="553"/>
    </row>
    <row r="2297" spans="1:28" ht="12.75">
      <c r="A2297" s="547" t="s">
        <v>697</v>
      </c>
      <c r="B2297" s="547" t="s">
        <v>193</v>
      </c>
      <c r="C2297" s="548" t="s">
        <v>774</v>
      </c>
      <c r="D2297" s="549">
        <v>2016</v>
      </c>
      <c r="E2297" s="549" t="s">
        <v>775</v>
      </c>
      <c r="F2297" s="550">
        <v>199</v>
      </c>
      <c r="G2297" s="550">
        <v>0</v>
      </c>
      <c r="H2297" s="550">
        <v>0</v>
      </c>
      <c r="I2297" s="550">
        <v>0</v>
      </c>
      <c r="J2297" s="550">
        <v>103</v>
      </c>
      <c r="K2297" s="550">
        <v>0</v>
      </c>
      <c r="L2297" s="550">
        <v>0</v>
      </c>
      <c r="M2297" s="550">
        <v>0</v>
      </c>
      <c r="N2297" s="550">
        <v>121</v>
      </c>
      <c r="O2297" s="550">
        <v>8</v>
      </c>
      <c r="P2297" s="550">
        <v>322</v>
      </c>
      <c r="Q2297" s="550">
        <v>206</v>
      </c>
      <c r="R2297" s="574" t="s">
        <v>697</v>
      </c>
      <c r="S2297" s="552"/>
      <c r="T2297" s="552"/>
      <c r="U2297" s="552"/>
      <c r="V2297" s="552"/>
      <c r="W2297" s="552"/>
      <c r="X2297" s="552"/>
      <c r="Y2297" s="552"/>
      <c r="Z2297" s="552"/>
      <c r="AA2297" s="553"/>
      <c r="AB2297" s="553"/>
    </row>
    <row r="2298" spans="1:28" ht="12.75">
      <c r="A2298" s="547" t="s">
        <v>697</v>
      </c>
      <c r="B2298" s="547" t="s">
        <v>193</v>
      </c>
      <c r="C2298" s="548" t="s">
        <v>774</v>
      </c>
      <c r="D2298" s="549">
        <v>2017</v>
      </c>
      <c r="E2298" s="549" t="s">
        <v>775</v>
      </c>
      <c r="F2298" s="550">
        <v>199</v>
      </c>
      <c r="G2298" s="550">
        <v>9</v>
      </c>
      <c r="H2298" s="550">
        <v>9</v>
      </c>
      <c r="I2298" s="550">
        <v>0</v>
      </c>
      <c r="J2298" s="550">
        <v>103</v>
      </c>
      <c r="K2298" s="550">
        <v>14</v>
      </c>
      <c r="L2298" s="550">
        <v>14</v>
      </c>
      <c r="M2298" s="550">
        <v>0</v>
      </c>
      <c r="N2298" s="550">
        <v>121</v>
      </c>
      <c r="O2298" s="550">
        <v>9</v>
      </c>
      <c r="P2298" s="550">
        <v>322</v>
      </c>
      <c r="Q2298" s="550">
        <v>150</v>
      </c>
      <c r="R2298" s="574" t="s">
        <v>697</v>
      </c>
      <c r="S2298" s="552"/>
      <c r="T2298" s="552"/>
      <c r="U2298" s="552"/>
      <c r="V2298" s="552"/>
      <c r="W2298" s="552"/>
      <c r="X2298" s="552"/>
      <c r="Y2298" s="552"/>
      <c r="Z2298" s="552"/>
      <c r="AA2298" s="553"/>
      <c r="AB2298" s="553"/>
    </row>
    <row r="2299" spans="1:28" ht="12.75">
      <c r="A2299" s="547" t="s">
        <v>697</v>
      </c>
      <c r="B2299" s="547" t="s">
        <v>193</v>
      </c>
      <c r="C2299" s="548" t="s">
        <v>774</v>
      </c>
      <c r="D2299" s="549">
        <v>2018</v>
      </c>
      <c r="E2299" s="549" t="s">
        <v>775</v>
      </c>
      <c r="F2299" s="550">
        <v>199</v>
      </c>
      <c r="G2299" s="550">
        <v>0</v>
      </c>
      <c r="H2299" s="550">
        <v>0</v>
      </c>
      <c r="I2299" s="550">
        <v>0</v>
      </c>
      <c r="J2299" s="550">
        <v>103</v>
      </c>
      <c r="K2299" s="550">
        <v>4</v>
      </c>
      <c r="L2299" s="550">
        <v>4</v>
      </c>
      <c r="M2299" s="550">
        <v>0</v>
      </c>
      <c r="N2299" s="550">
        <v>121</v>
      </c>
      <c r="O2299" s="550">
        <v>31</v>
      </c>
      <c r="P2299" s="550">
        <v>322</v>
      </c>
      <c r="Q2299" s="550">
        <v>77</v>
      </c>
      <c r="R2299" s="574" t="s">
        <v>697</v>
      </c>
      <c r="S2299" s="552"/>
      <c r="T2299" s="552"/>
      <c r="U2299" s="552"/>
      <c r="V2299" s="552"/>
      <c r="W2299" s="552"/>
      <c r="X2299" s="552"/>
      <c r="Y2299" s="552"/>
      <c r="Z2299" s="552"/>
      <c r="AA2299" s="553"/>
      <c r="AB2299" s="553"/>
    </row>
    <row r="2300" spans="1:28" ht="12.75">
      <c r="A2300" s="547" t="s">
        <v>697</v>
      </c>
      <c r="B2300" s="547" t="s">
        <v>193</v>
      </c>
      <c r="C2300" s="548" t="s">
        <v>782</v>
      </c>
      <c r="D2300" s="549">
        <v>2019</v>
      </c>
      <c r="E2300" s="549" t="s">
        <v>775</v>
      </c>
      <c r="F2300" s="550">
        <v>199</v>
      </c>
      <c r="G2300" s="550">
        <v>0</v>
      </c>
      <c r="H2300" s="550">
        <v>0</v>
      </c>
      <c r="I2300" s="550">
        <v>0</v>
      </c>
      <c r="J2300" s="550">
        <v>103</v>
      </c>
      <c r="K2300" s="550">
        <v>4</v>
      </c>
      <c r="L2300" s="550">
        <v>4</v>
      </c>
      <c r="M2300" s="550">
        <v>0</v>
      </c>
      <c r="N2300" s="550">
        <v>121</v>
      </c>
      <c r="O2300" s="550">
        <v>41</v>
      </c>
      <c r="P2300" s="550">
        <v>322</v>
      </c>
      <c r="Q2300" s="550">
        <v>117</v>
      </c>
      <c r="R2300" s="574" t="s">
        <v>697</v>
      </c>
      <c r="S2300" s="255">
        <f>SUM(G2296:G2300) +SUM(K2296:K2300)</f>
        <v>31</v>
      </c>
      <c r="T2300" s="255">
        <f>F2300+J2300</f>
        <v>302</v>
      </c>
      <c r="U2300" s="255">
        <f>SUM(O2296:O2300)</f>
        <v>96</v>
      </c>
      <c r="V2300" s="255">
        <f>N2300</f>
        <v>121</v>
      </c>
      <c r="W2300" s="83">
        <f>SUM(Q2296:Q2300)</f>
        <v>785</v>
      </c>
      <c r="X2300" s="255">
        <f>P2300</f>
        <v>322</v>
      </c>
      <c r="Y2300" s="255">
        <f>S2300+U2300+SUM(Q2296:Q2300)</f>
        <v>912</v>
      </c>
      <c r="Z2300" s="255">
        <f>F2300+J2300+N2300+P2300</f>
        <v>745</v>
      </c>
      <c r="AA2300" s="553"/>
      <c r="AB2300" s="553"/>
    </row>
    <row r="2301" spans="1:28" ht="12.75">
      <c r="A2301" s="547" t="s">
        <v>698</v>
      </c>
      <c r="B2301" s="547" t="s">
        <v>193</v>
      </c>
      <c r="C2301" s="548" t="s">
        <v>774</v>
      </c>
      <c r="D2301" s="549">
        <v>2014</v>
      </c>
      <c r="E2301" s="549" t="s">
        <v>775</v>
      </c>
      <c r="F2301" s="550">
        <v>181</v>
      </c>
      <c r="G2301" s="550">
        <v>0</v>
      </c>
      <c r="H2301" s="550">
        <v>0</v>
      </c>
      <c r="I2301" s="550">
        <v>0</v>
      </c>
      <c r="J2301" s="550">
        <v>107</v>
      </c>
      <c r="K2301" s="550">
        <v>0</v>
      </c>
      <c r="L2301" s="550">
        <v>0</v>
      </c>
      <c r="M2301" s="550">
        <v>0</v>
      </c>
      <c r="N2301" s="550">
        <v>127</v>
      </c>
      <c r="O2301" s="550">
        <v>0</v>
      </c>
      <c r="P2301" s="550">
        <v>484</v>
      </c>
      <c r="Q2301" s="550">
        <v>0</v>
      </c>
      <c r="R2301" s="574" t="s">
        <v>698</v>
      </c>
      <c r="S2301" s="552"/>
      <c r="T2301" s="552"/>
      <c r="U2301" s="552"/>
      <c r="V2301" s="552"/>
      <c r="W2301" s="552"/>
      <c r="X2301" s="552"/>
      <c r="Y2301" s="552"/>
      <c r="Z2301" s="552"/>
      <c r="AA2301" s="553"/>
      <c r="AB2301" s="553"/>
    </row>
    <row r="2302" spans="1:28" ht="12.75">
      <c r="A2302" s="547" t="s">
        <v>698</v>
      </c>
      <c r="B2302" s="547" t="s">
        <v>193</v>
      </c>
      <c r="C2302" s="548" t="s">
        <v>774</v>
      </c>
      <c r="D2302" s="549">
        <v>2015</v>
      </c>
      <c r="E2302" s="549" t="s">
        <v>775</v>
      </c>
      <c r="F2302" s="550">
        <v>181</v>
      </c>
      <c r="G2302" s="550">
        <v>0</v>
      </c>
      <c r="H2302" s="550">
        <v>0</v>
      </c>
      <c r="I2302" s="550">
        <v>0</v>
      </c>
      <c r="J2302" s="550">
        <v>107</v>
      </c>
      <c r="K2302" s="550">
        <v>0</v>
      </c>
      <c r="L2302" s="550">
        <v>0</v>
      </c>
      <c r="M2302" s="550">
        <v>0</v>
      </c>
      <c r="N2302" s="550">
        <v>127</v>
      </c>
      <c r="O2302" s="550">
        <v>0</v>
      </c>
      <c r="P2302" s="550">
        <v>484</v>
      </c>
      <c r="Q2302" s="550">
        <v>244</v>
      </c>
      <c r="R2302" s="574" t="s">
        <v>698</v>
      </c>
      <c r="S2302" s="552"/>
      <c r="T2302" s="552"/>
      <c r="U2302" s="552"/>
      <c r="V2302" s="552"/>
      <c r="W2302" s="552"/>
      <c r="X2302" s="552"/>
      <c r="Y2302" s="552"/>
      <c r="Z2302" s="552"/>
      <c r="AA2302" s="553"/>
      <c r="AB2302" s="553"/>
    </row>
    <row r="2303" spans="1:28" ht="12.75">
      <c r="A2303" s="547" t="s">
        <v>698</v>
      </c>
      <c r="B2303" s="547" t="s">
        <v>193</v>
      </c>
      <c r="C2303" s="548" t="s">
        <v>774</v>
      </c>
      <c r="D2303" s="549">
        <v>2016</v>
      </c>
      <c r="E2303" s="549" t="s">
        <v>775</v>
      </c>
      <c r="F2303" s="550">
        <v>181</v>
      </c>
      <c r="G2303" s="550">
        <v>0</v>
      </c>
      <c r="H2303" s="550">
        <v>0</v>
      </c>
      <c r="I2303" s="550">
        <v>0</v>
      </c>
      <c r="J2303" s="550">
        <v>107</v>
      </c>
      <c r="K2303" s="550">
        <v>0</v>
      </c>
      <c r="L2303" s="550">
        <v>0</v>
      </c>
      <c r="M2303" s="550">
        <v>0</v>
      </c>
      <c r="N2303" s="550">
        <v>127</v>
      </c>
      <c r="O2303" s="550">
        <v>1</v>
      </c>
      <c r="P2303" s="550">
        <v>484</v>
      </c>
      <c r="Q2303" s="550">
        <v>161</v>
      </c>
      <c r="R2303" s="574" t="s">
        <v>698</v>
      </c>
      <c r="S2303" s="552"/>
      <c r="T2303" s="552"/>
      <c r="U2303" s="552"/>
      <c r="V2303" s="552"/>
      <c r="W2303" s="552"/>
      <c r="X2303" s="552"/>
      <c r="Y2303" s="552"/>
      <c r="Z2303" s="552"/>
      <c r="AA2303" s="553"/>
      <c r="AB2303" s="553"/>
    </row>
    <row r="2304" spans="1:28" ht="12.75">
      <c r="A2304" s="547" t="s">
        <v>698</v>
      </c>
      <c r="B2304" s="547" t="s">
        <v>193</v>
      </c>
      <c r="C2304" s="548" t="s">
        <v>774</v>
      </c>
      <c r="D2304" s="549">
        <v>2017</v>
      </c>
      <c r="E2304" s="549" t="s">
        <v>775</v>
      </c>
      <c r="F2304" s="550">
        <v>181</v>
      </c>
      <c r="G2304" s="550">
        <v>0</v>
      </c>
      <c r="H2304" s="550">
        <v>0</v>
      </c>
      <c r="I2304" s="550">
        <v>0</v>
      </c>
      <c r="J2304" s="550">
        <v>107</v>
      </c>
      <c r="K2304" s="550">
        <v>0</v>
      </c>
      <c r="L2304" s="550">
        <v>0</v>
      </c>
      <c r="M2304" s="550">
        <v>0</v>
      </c>
      <c r="N2304" s="550">
        <v>127</v>
      </c>
      <c r="O2304" s="550">
        <v>13</v>
      </c>
      <c r="P2304" s="550">
        <v>484</v>
      </c>
      <c r="Q2304" s="550">
        <v>165</v>
      </c>
      <c r="R2304" s="574" t="s">
        <v>698</v>
      </c>
      <c r="S2304" s="552"/>
      <c r="T2304" s="552"/>
      <c r="U2304" s="552"/>
      <c r="V2304" s="552"/>
      <c r="W2304" s="552"/>
      <c r="X2304" s="552"/>
      <c r="Y2304" s="552"/>
      <c r="Z2304" s="552"/>
      <c r="AA2304" s="553"/>
      <c r="AB2304" s="553"/>
    </row>
    <row r="2305" spans="1:28" ht="12.75">
      <c r="A2305" s="547" t="s">
        <v>698</v>
      </c>
      <c r="B2305" s="547" t="s">
        <v>193</v>
      </c>
      <c r="C2305" s="548" t="s">
        <v>774</v>
      </c>
      <c r="D2305" s="549">
        <v>2018</v>
      </c>
      <c r="E2305" s="549" t="s">
        <v>775</v>
      </c>
      <c r="F2305" s="550">
        <v>181</v>
      </c>
      <c r="G2305" s="550">
        <v>109</v>
      </c>
      <c r="H2305" s="550">
        <v>109</v>
      </c>
      <c r="I2305" s="550">
        <v>0</v>
      </c>
      <c r="J2305" s="550">
        <v>107</v>
      </c>
      <c r="K2305" s="550">
        <v>109</v>
      </c>
      <c r="L2305" s="550">
        <v>109</v>
      </c>
      <c r="M2305" s="550">
        <v>0</v>
      </c>
      <c r="N2305" s="550">
        <v>127</v>
      </c>
      <c r="O2305" s="550">
        <v>5</v>
      </c>
      <c r="P2305" s="550">
        <v>484</v>
      </c>
      <c r="Q2305" s="550">
        <v>371</v>
      </c>
      <c r="R2305" s="574" t="s">
        <v>698</v>
      </c>
      <c r="S2305" s="552"/>
      <c r="T2305" s="552"/>
      <c r="U2305" s="552"/>
      <c r="V2305" s="552"/>
      <c r="W2305" s="552"/>
      <c r="X2305" s="552"/>
      <c r="Y2305" s="552"/>
      <c r="Z2305" s="552"/>
      <c r="AA2305" s="553"/>
      <c r="AB2305" s="553"/>
    </row>
    <row r="2306" spans="1:28" ht="12.75">
      <c r="A2306" s="547" t="s">
        <v>698</v>
      </c>
      <c r="B2306" s="547" t="s">
        <v>193</v>
      </c>
      <c r="C2306" s="548" t="s">
        <v>782</v>
      </c>
      <c r="D2306" s="549">
        <v>2019</v>
      </c>
      <c r="E2306" s="549" t="s">
        <v>775</v>
      </c>
      <c r="F2306" s="550">
        <v>181</v>
      </c>
      <c r="G2306" s="550">
        <v>7</v>
      </c>
      <c r="H2306" s="550">
        <v>7</v>
      </c>
      <c r="I2306" s="550">
        <v>0</v>
      </c>
      <c r="J2306" s="550">
        <v>107</v>
      </c>
      <c r="K2306" s="550">
        <v>0</v>
      </c>
      <c r="L2306" s="550">
        <v>0</v>
      </c>
      <c r="M2306" s="550">
        <v>0</v>
      </c>
      <c r="N2306" s="550">
        <v>127</v>
      </c>
      <c r="O2306" s="550">
        <v>0</v>
      </c>
      <c r="P2306" s="550">
        <v>484</v>
      </c>
      <c r="Q2306" s="550">
        <v>306</v>
      </c>
      <c r="R2306" s="574" t="s">
        <v>698</v>
      </c>
      <c r="S2306" s="552">
        <f>SUM(G2301:G2306) +SUM(K2301:K2306)</f>
        <v>225</v>
      </c>
      <c r="T2306" s="552">
        <f>F2306+J2306</f>
        <v>288</v>
      </c>
      <c r="U2306" s="552">
        <f>SUM(O2301:O2306)</f>
        <v>19</v>
      </c>
      <c r="V2306" s="552">
        <f>N2306</f>
        <v>127</v>
      </c>
      <c r="W2306" s="554">
        <f>SUM(Q2301:Q2306)</f>
        <v>1247</v>
      </c>
      <c r="X2306" s="552">
        <f>P2306</f>
        <v>484</v>
      </c>
      <c r="Y2306" s="552">
        <f>S2306+U2306+SUM(Q2301:Q2306)</f>
        <v>1491</v>
      </c>
      <c r="Z2306" s="552">
        <f>F2306+J2306+N2306+P2306</f>
        <v>899</v>
      </c>
      <c r="AA2306" s="553"/>
      <c r="AB2306" s="553"/>
    </row>
    <row r="2307" spans="1:28" ht="12.75">
      <c r="A2307" s="547" t="s">
        <v>699</v>
      </c>
      <c r="B2307" s="547" t="s">
        <v>193</v>
      </c>
      <c r="C2307" s="548" t="s">
        <v>774</v>
      </c>
      <c r="D2307" s="549">
        <v>2014</v>
      </c>
      <c r="E2307" s="549" t="s">
        <v>775</v>
      </c>
      <c r="F2307" s="550">
        <v>1041</v>
      </c>
      <c r="G2307" s="550">
        <v>11</v>
      </c>
      <c r="H2307" s="550">
        <v>11</v>
      </c>
      <c r="I2307" s="550">
        <v>0</v>
      </c>
      <c r="J2307" s="550">
        <v>671</v>
      </c>
      <c r="K2307" s="550">
        <v>90</v>
      </c>
      <c r="L2307" s="550">
        <v>90</v>
      </c>
      <c r="M2307" s="550">
        <v>0</v>
      </c>
      <c r="N2307" s="550">
        <v>759</v>
      </c>
      <c r="O2307" s="550">
        <v>10</v>
      </c>
      <c r="P2307" s="550">
        <v>2612</v>
      </c>
      <c r="Q2307" s="550">
        <v>141</v>
      </c>
      <c r="R2307" s="574" t="s">
        <v>699</v>
      </c>
      <c r="S2307" s="552"/>
      <c r="T2307" s="552"/>
      <c r="U2307" s="552"/>
      <c r="V2307" s="552"/>
      <c r="W2307" s="552"/>
      <c r="X2307" s="552"/>
      <c r="Y2307" s="552"/>
      <c r="Z2307" s="552"/>
      <c r="AA2307" s="553"/>
      <c r="AB2307" s="553"/>
    </row>
    <row r="2308" spans="1:28" ht="12.75">
      <c r="A2308" s="547" t="s">
        <v>699</v>
      </c>
      <c r="B2308" s="547" t="s">
        <v>193</v>
      </c>
      <c r="C2308" s="548" t="s">
        <v>774</v>
      </c>
      <c r="D2308" s="549">
        <v>2015</v>
      </c>
      <c r="E2308" s="549" t="s">
        <v>775</v>
      </c>
      <c r="F2308" s="550">
        <v>1041</v>
      </c>
      <c r="G2308" s="550">
        <v>0</v>
      </c>
      <c r="H2308" s="550">
        <v>0</v>
      </c>
      <c r="I2308" s="550">
        <v>0</v>
      </c>
      <c r="J2308" s="550">
        <v>671</v>
      </c>
      <c r="K2308" s="550">
        <v>24</v>
      </c>
      <c r="L2308" s="550">
        <v>24</v>
      </c>
      <c r="M2308" s="550">
        <v>0</v>
      </c>
      <c r="N2308" s="550">
        <v>759</v>
      </c>
      <c r="O2308" s="550">
        <v>8</v>
      </c>
      <c r="P2308" s="550">
        <v>2612</v>
      </c>
      <c r="Q2308" s="550">
        <v>94</v>
      </c>
      <c r="R2308" s="574" t="s">
        <v>699</v>
      </c>
      <c r="S2308" s="552"/>
      <c r="T2308" s="552"/>
      <c r="U2308" s="552"/>
      <c r="V2308" s="552"/>
      <c r="W2308" s="552"/>
      <c r="X2308" s="552"/>
      <c r="Y2308" s="552"/>
      <c r="Z2308" s="552"/>
      <c r="AA2308" s="553"/>
      <c r="AB2308" s="553"/>
    </row>
    <row r="2309" spans="1:28" ht="12.75">
      <c r="A2309" s="547" t="s">
        <v>699</v>
      </c>
      <c r="B2309" s="547" t="s">
        <v>193</v>
      </c>
      <c r="C2309" s="548" t="s">
        <v>774</v>
      </c>
      <c r="D2309" s="549">
        <v>2016</v>
      </c>
      <c r="E2309" s="549" t="s">
        <v>775</v>
      </c>
      <c r="F2309" s="550">
        <v>1041</v>
      </c>
      <c r="G2309" s="550">
        <v>38</v>
      </c>
      <c r="H2309" s="550">
        <v>38</v>
      </c>
      <c r="I2309" s="550">
        <v>0</v>
      </c>
      <c r="J2309" s="550">
        <v>671</v>
      </c>
      <c r="K2309" s="550">
        <v>3</v>
      </c>
      <c r="L2309" s="550">
        <v>3</v>
      </c>
      <c r="M2309" s="550">
        <v>0</v>
      </c>
      <c r="N2309" s="550">
        <v>759</v>
      </c>
      <c r="O2309" s="550">
        <v>16</v>
      </c>
      <c r="P2309" s="550">
        <v>2612</v>
      </c>
      <c r="Q2309" s="550">
        <v>246</v>
      </c>
      <c r="R2309" s="574" t="s">
        <v>699</v>
      </c>
      <c r="S2309" s="552"/>
      <c r="T2309" s="552"/>
      <c r="U2309" s="552"/>
      <c r="V2309" s="552"/>
      <c r="W2309" s="552"/>
      <c r="X2309" s="552"/>
      <c r="Y2309" s="552"/>
      <c r="Z2309" s="552"/>
      <c r="AA2309" s="553"/>
      <c r="AB2309" s="553"/>
    </row>
    <row r="2310" spans="1:28" ht="12.75">
      <c r="A2310" s="547" t="s">
        <v>699</v>
      </c>
      <c r="B2310" s="547" t="s">
        <v>193</v>
      </c>
      <c r="C2310" s="548" t="s">
        <v>774</v>
      </c>
      <c r="D2310" s="549">
        <v>2017</v>
      </c>
      <c r="E2310" s="549" t="s">
        <v>775</v>
      </c>
      <c r="F2310" s="550">
        <v>1041</v>
      </c>
      <c r="G2310" s="550">
        <v>56</v>
      </c>
      <c r="H2310" s="550">
        <v>56</v>
      </c>
      <c r="I2310" s="550">
        <v>0</v>
      </c>
      <c r="J2310" s="550">
        <v>671</v>
      </c>
      <c r="K2310" s="550">
        <v>22</v>
      </c>
      <c r="L2310" s="550">
        <v>22</v>
      </c>
      <c r="M2310" s="550">
        <v>0</v>
      </c>
      <c r="N2310" s="550">
        <v>759</v>
      </c>
      <c r="O2310" s="550">
        <v>16</v>
      </c>
      <c r="P2310" s="550">
        <v>2612</v>
      </c>
      <c r="Q2310" s="550">
        <v>251</v>
      </c>
      <c r="R2310" s="574" t="s">
        <v>699</v>
      </c>
      <c r="S2310" s="552"/>
      <c r="T2310" s="552"/>
      <c r="U2310" s="552"/>
      <c r="V2310" s="552"/>
      <c r="W2310" s="552"/>
      <c r="X2310" s="552"/>
      <c r="Y2310" s="552"/>
      <c r="Z2310" s="552"/>
      <c r="AA2310" s="553"/>
      <c r="AB2310" s="553"/>
    </row>
    <row r="2311" spans="1:28" ht="12.75">
      <c r="A2311" s="547" t="s">
        <v>699</v>
      </c>
      <c r="B2311" s="547" t="s">
        <v>193</v>
      </c>
      <c r="C2311" s="548" t="s">
        <v>782</v>
      </c>
      <c r="D2311" s="549">
        <v>2019</v>
      </c>
      <c r="E2311" s="549" t="s">
        <v>775</v>
      </c>
      <c r="F2311" s="550">
        <v>1041</v>
      </c>
      <c r="G2311" s="550">
        <v>6</v>
      </c>
      <c r="H2311" s="550">
        <v>6</v>
      </c>
      <c r="I2311" s="550">
        <v>0</v>
      </c>
      <c r="J2311" s="550">
        <v>671</v>
      </c>
      <c r="K2311" s="550">
        <v>12</v>
      </c>
      <c r="L2311" s="550">
        <v>12</v>
      </c>
      <c r="M2311" s="550">
        <v>0</v>
      </c>
      <c r="N2311" s="550">
        <v>759</v>
      </c>
      <c r="O2311" s="550">
        <v>50</v>
      </c>
      <c r="P2311" s="550">
        <v>2612</v>
      </c>
      <c r="Q2311" s="550">
        <v>379</v>
      </c>
      <c r="R2311" s="574" t="s">
        <v>699</v>
      </c>
      <c r="S2311" s="255">
        <f>SUM(G2307:G2311) +SUM(K2307:K2311)</f>
        <v>262</v>
      </c>
      <c r="T2311" s="255">
        <f>F2311+J2311</f>
        <v>1712</v>
      </c>
      <c r="U2311" s="255">
        <f>SUM(O2307:O2311)</f>
        <v>100</v>
      </c>
      <c r="V2311" s="255">
        <f>N2311</f>
        <v>759</v>
      </c>
      <c r="W2311" s="83">
        <f>SUM(Q2307:Q2311)</f>
        <v>1111</v>
      </c>
      <c r="X2311" s="255">
        <f>P2311</f>
        <v>2612</v>
      </c>
      <c r="Y2311" s="255">
        <f>S2311+U2311+SUM(Q2307:Q2311)</f>
        <v>1473</v>
      </c>
      <c r="Z2311" s="255">
        <f>F2311+J2311+N2311+P2311</f>
        <v>5083</v>
      </c>
      <c r="AA2311" s="553"/>
      <c r="AB2311" s="553"/>
    </row>
    <row r="2312" spans="1:28" ht="12.75">
      <c r="A2312" s="547" t="s">
        <v>700</v>
      </c>
      <c r="B2312" s="547" t="s">
        <v>193</v>
      </c>
      <c r="C2312" s="548" t="s">
        <v>774</v>
      </c>
      <c r="D2312" s="549">
        <v>2014</v>
      </c>
      <c r="E2312" s="549" t="s">
        <v>775</v>
      </c>
      <c r="F2312" s="550">
        <v>22</v>
      </c>
      <c r="G2312" s="550">
        <v>0</v>
      </c>
      <c r="H2312" s="550">
        <v>0</v>
      </c>
      <c r="I2312" s="550">
        <v>0</v>
      </c>
      <c r="J2312" s="550">
        <v>17</v>
      </c>
      <c r="K2312" s="550">
        <v>0</v>
      </c>
      <c r="L2312" s="550">
        <v>0</v>
      </c>
      <c r="M2312" s="550">
        <v>0</v>
      </c>
      <c r="N2312" s="550">
        <v>19</v>
      </c>
      <c r="O2312" s="550">
        <v>3</v>
      </c>
      <c r="P2312" s="550">
        <v>62</v>
      </c>
      <c r="Q2312" s="550">
        <v>1</v>
      </c>
      <c r="R2312" s="574" t="s">
        <v>700</v>
      </c>
      <c r="S2312" s="552"/>
      <c r="T2312" s="552"/>
      <c r="U2312" s="552"/>
      <c r="V2312" s="552"/>
      <c r="W2312" s="552"/>
      <c r="X2312" s="552"/>
      <c r="Y2312" s="552"/>
      <c r="Z2312" s="552"/>
      <c r="AA2312" s="553"/>
      <c r="AB2312" s="553"/>
    </row>
    <row r="2313" spans="1:28" ht="12.75">
      <c r="A2313" s="547" t="s">
        <v>700</v>
      </c>
      <c r="B2313" s="547" t="s">
        <v>193</v>
      </c>
      <c r="C2313" s="548" t="s">
        <v>774</v>
      </c>
      <c r="D2313" s="549">
        <v>2015</v>
      </c>
      <c r="E2313" s="549" t="s">
        <v>775</v>
      </c>
      <c r="F2313" s="550">
        <v>22</v>
      </c>
      <c r="G2313" s="550">
        <v>0</v>
      </c>
      <c r="H2313" s="550">
        <v>0</v>
      </c>
      <c r="I2313" s="550">
        <v>0</v>
      </c>
      <c r="J2313" s="550">
        <v>17</v>
      </c>
      <c r="K2313" s="550">
        <v>1</v>
      </c>
      <c r="L2313" s="550">
        <v>1</v>
      </c>
      <c r="M2313" s="550">
        <v>0</v>
      </c>
      <c r="N2313" s="550">
        <v>19</v>
      </c>
      <c r="O2313" s="550">
        <v>2</v>
      </c>
      <c r="P2313" s="550">
        <v>62</v>
      </c>
      <c r="Q2313" s="550">
        <v>9</v>
      </c>
      <c r="R2313" s="574" t="s">
        <v>700</v>
      </c>
      <c r="S2313" s="552"/>
      <c r="T2313" s="552"/>
      <c r="U2313" s="552"/>
      <c r="V2313" s="552"/>
      <c r="W2313" s="552"/>
      <c r="X2313" s="552"/>
      <c r="Y2313" s="552"/>
      <c r="Z2313" s="552"/>
      <c r="AA2313" s="553"/>
      <c r="AB2313" s="553"/>
    </row>
    <row r="2314" spans="1:28" ht="12.75">
      <c r="A2314" s="547" t="s">
        <v>700</v>
      </c>
      <c r="B2314" s="547" t="s">
        <v>193</v>
      </c>
      <c r="C2314" s="548" t="s">
        <v>774</v>
      </c>
      <c r="D2314" s="549">
        <v>2016</v>
      </c>
      <c r="E2314" s="549" t="s">
        <v>775</v>
      </c>
      <c r="F2314" s="550">
        <v>22</v>
      </c>
      <c r="G2314" s="550">
        <v>0</v>
      </c>
      <c r="H2314" s="550">
        <v>0</v>
      </c>
      <c r="I2314" s="550">
        <v>0</v>
      </c>
      <c r="J2314" s="550">
        <v>17</v>
      </c>
      <c r="K2314" s="550">
        <v>0</v>
      </c>
      <c r="L2314" s="550">
        <v>0</v>
      </c>
      <c r="M2314" s="550">
        <v>0</v>
      </c>
      <c r="N2314" s="550">
        <v>19</v>
      </c>
      <c r="O2314" s="550">
        <v>6</v>
      </c>
      <c r="P2314" s="550">
        <v>62</v>
      </c>
      <c r="Q2314" s="550">
        <v>2</v>
      </c>
      <c r="R2314" s="574" t="s">
        <v>700</v>
      </c>
      <c r="S2314" s="552"/>
      <c r="T2314" s="552"/>
      <c r="U2314" s="552"/>
      <c r="V2314" s="552"/>
      <c r="W2314" s="552"/>
      <c r="X2314" s="552"/>
      <c r="Y2314" s="552"/>
      <c r="Z2314" s="552"/>
      <c r="AA2314" s="553"/>
      <c r="AB2314" s="553"/>
    </row>
    <row r="2315" spans="1:28" ht="12.75">
      <c r="A2315" s="547" t="s">
        <v>700</v>
      </c>
      <c r="B2315" s="547" t="s">
        <v>193</v>
      </c>
      <c r="C2315" s="548" t="s">
        <v>774</v>
      </c>
      <c r="D2315" s="549">
        <v>2017</v>
      </c>
      <c r="E2315" s="549" t="s">
        <v>775</v>
      </c>
      <c r="F2315" s="550">
        <v>22</v>
      </c>
      <c r="G2315" s="550">
        <v>0</v>
      </c>
      <c r="H2315" s="550">
        <v>0</v>
      </c>
      <c r="I2315" s="550">
        <v>0</v>
      </c>
      <c r="J2315" s="550">
        <v>17</v>
      </c>
      <c r="K2315" s="550">
        <v>2</v>
      </c>
      <c r="L2315" s="550">
        <v>2</v>
      </c>
      <c r="M2315" s="550">
        <v>0</v>
      </c>
      <c r="N2315" s="550">
        <v>19</v>
      </c>
      <c r="O2315" s="550">
        <v>5</v>
      </c>
      <c r="P2315" s="550">
        <v>62</v>
      </c>
      <c r="Q2315" s="550">
        <v>11</v>
      </c>
      <c r="R2315" s="574" t="s">
        <v>700</v>
      </c>
      <c r="S2315" s="552"/>
      <c r="T2315" s="552"/>
      <c r="U2315" s="552"/>
      <c r="V2315" s="552"/>
      <c r="W2315" s="552"/>
      <c r="X2315" s="552"/>
      <c r="Y2315" s="552"/>
      <c r="Z2315" s="552"/>
      <c r="AA2315" s="553"/>
      <c r="AB2315" s="553"/>
    </row>
    <row r="2316" spans="1:28" ht="12.75">
      <c r="A2316" s="547" t="s">
        <v>700</v>
      </c>
      <c r="B2316" s="547" t="s">
        <v>193</v>
      </c>
      <c r="C2316" s="548" t="s">
        <v>774</v>
      </c>
      <c r="D2316" s="549">
        <v>2018</v>
      </c>
      <c r="E2316" s="549" t="s">
        <v>775</v>
      </c>
      <c r="F2316" s="550">
        <v>22</v>
      </c>
      <c r="G2316" s="550">
        <v>3</v>
      </c>
      <c r="H2316" s="550">
        <v>0</v>
      </c>
      <c r="I2316" s="550">
        <v>3</v>
      </c>
      <c r="J2316" s="550">
        <v>17</v>
      </c>
      <c r="K2316" s="550">
        <v>4</v>
      </c>
      <c r="L2316" s="550">
        <v>0</v>
      </c>
      <c r="M2316" s="550">
        <v>4</v>
      </c>
      <c r="N2316" s="550">
        <v>19</v>
      </c>
      <c r="O2316" s="550">
        <v>4</v>
      </c>
      <c r="P2316" s="550">
        <v>62</v>
      </c>
      <c r="Q2316" s="550">
        <v>1</v>
      </c>
      <c r="R2316" s="574" t="s">
        <v>700</v>
      </c>
      <c r="S2316" s="552"/>
      <c r="T2316" s="552"/>
      <c r="U2316" s="552"/>
      <c r="V2316" s="552"/>
      <c r="W2316" s="552"/>
      <c r="X2316" s="552"/>
      <c r="Y2316" s="552"/>
      <c r="Z2316" s="552"/>
      <c r="AA2316" s="553"/>
      <c r="AB2316" s="553"/>
    </row>
    <row r="2317" spans="1:28" ht="12.75">
      <c r="A2317" s="547" t="s">
        <v>700</v>
      </c>
      <c r="B2317" s="547" t="s">
        <v>193</v>
      </c>
      <c r="C2317" s="548" t="s">
        <v>782</v>
      </c>
      <c r="D2317" s="549">
        <v>2019</v>
      </c>
      <c r="E2317" s="549" t="s">
        <v>775</v>
      </c>
      <c r="F2317" s="550">
        <v>22</v>
      </c>
      <c r="G2317" s="550">
        <v>1</v>
      </c>
      <c r="H2317" s="550">
        <v>0</v>
      </c>
      <c r="I2317" s="550">
        <v>1</v>
      </c>
      <c r="J2317" s="550">
        <v>17</v>
      </c>
      <c r="K2317" s="550">
        <v>3</v>
      </c>
      <c r="L2317" s="550">
        <v>0</v>
      </c>
      <c r="M2317" s="550">
        <v>3</v>
      </c>
      <c r="N2317" s="550">
        <v>19</v>
      </c>
      <c r="O2317" s="550">
        <v>0</v>
      </c>
      <c r="P2317" s="550">
        <v>62</v>
      </c>
      <c r="Q2317" s="550">
        <v>1</v>
      </c>
      <c r="R2317" s="574" t="s">
        <v>700</v>
      </c>
      <c r="S2317" s="552">
        <f>SUM(G2312:G2317) +SUM(K2312:K2317)</f>
        <v>14</v>
      </c>
      <c r="T2317" s="552">
        <f>F2317+J2317</f>
        <v>39</v>
      </c>
      <c r="U2317" s="552">
        <f>SUM(O2312:O2317)</f>
        <v>20</v>
      </c>
      <c r="V2317" s="552">
        <f>N2317</f>
        <v>19</v>
      </c>
      <c r="W2317" s="554">
        <f>SUM(Q2312:Q2317)</f>
        <v>25</v>
      </c>
      <c r="X2317" s="552">
        <f>P2317</f>
        <v>62</v>
      </c>
      <c r="Y2317" s="552">
        <f>S2317+U2317+SUM(Q2312:Q2317)</f>
        <v>59</v>
      </c>
      <c r="Z2317" s="552">
        <f>F2317+J2317+N2317+P2317</f>
        <v>120</v>
      </c>
      <c r="AA2317" s="553"/>
      <c r="AB2317" s="553"/>
    </row>
    <row r="2318" spans="1:28" ht="12.75">
      <c r="A2318" s="547" t="s">
        <v>193</v>
      </c>
      <c r="B2318" s="547" t="s">
        <v>193</v>
      </c>
      <c r="C2318" s="548" t="s">
        <v>774</v>
      </c>
      <c r="D2318" s="549">
        <v>2016</v>
      </c>
      <c r="E2318" s="549" t="s">
        <v>775</v>
      </c>
      <c r="F2318" s="550">
        <v>24</v>
      </c>
      <c r="G2318" s="550">
        <v>0</v>
      </c>
      <c r="H2318" s="550">
        <v>0</v>
      </c>
      <c r="I2318" s="550">
        <v>0</v>
      </c>
      <c r="J2318" s="550">
        <v>23</v>
      </c>
      <c r="K2318" s="550">
        <v>0</v>
      </c>
      <c r="L2318" s="550">
        <v>0</v>
      </c>
      <c r="M2318" s="550">
        <v>0</v>
      </c>
      <c r="N2318" s="550">
        <v>27</v>
      </c>
      <c r="O2318" s="550">
        <v>0</v>
      </c>
      <c r="P2318" s="550">
        <v>63</v>
      </c>
      <c r="Q2318" s="550">
        <v>12</v>
      </c>
      <c r="R2318" s="574" t="s">
        <v>193</v>
      </c>
      <c r="S2318" s="552"/>
      <c r="T2318" s="552"/>
      <c r="U2318" s="552"/>
      <c r="V2318" s="552"/>
      <c r="W2318" s="552"/>
      <c r="X2318" s="552"/>
      <c r="Y2318" s="552"/>
      <c r="Z2318" s="552"/>
      <c r="AA2318" s="553"/>
      <c r="AB2318" s="553"/>
    </row>
    <row r="2319" spans="1:28" ht="12.75">
      <c r="A2319" s="547" t="s">
        <v>193</v>
      </c>
      <c r="B2319" s="547" t="s">
        <v>193</v>
      </c>
      <c r="C2319" s="548" t="s">
        <v>774</v>
      </c>
      <c r="D2319" s="549">
        <v>2017</v>
      </c>
      <c r="E2319" s="549" t="s">
        <v>775</v>
      </c>
      <c r="F2319" s="550">
        <v>24</v>
      </c>
      <c r="G2319" s="550">
        <v>0</v>
      </c>
      <c r="H2319" s="550">
        <v>0</v>
      </c>
      <c r="I2319" s="550">
        <v>0</v>
      </c>
      <c r="J2319" s="550">
        <v>23</v>
      </c>
      <c r="K2319" s="550">
        <v>0</v>
      </c>
      <c r="L2319" s="550">
        <v>0</v>
      </c>
      <c r="M2319" s="550">
        <v>0</v>
      </c>
      <c r="N2319" s="550">
        <v>27</v>
      </c>
      <c r="O2319" s="550">
        <v>1</v>
      </c>
      <c r="P2319" s="550">
        <v>63</v>
      </c>
      <c r="Q2319" s="550">
        <v>9</v>
      </c>
      <c r="R2319" s="574" t="s">
        <v>193</v>
      </c>
      <c r="S2319" s="552"/>
      <c r="T2319" s="552"/>
      <c r="U2319" s="552"/>
      <c r="V2319" s="552"/>
      <c r="W2319" s="552"/>
      <c r="X2319" s="552"/>
      <c r="Y2319" s="552"/>
      <c r="Z2319" s="552"/>
      <c r="AA2319" s="553"/>
      <c r="AB2319" s="553"/>
    </row>
    <row r="2320" spans="1:28" ht="12.75">
      <c r="A2320" s="547" t="s">
        <v>193</v>
      </c>
      <c r="B2320" s="547" t="s">
        <v>193</v>
      </c>
      <c r="C2320" s="548" t="s">
        <v>774</v>
      </c>
      <c r="D2320" s="549">
        <v>2018</v>
      </c>
      <c r="E2320" s="549" t="s">
        <v>775</v>
      </c>
      <c r="F2320" s="550">
        <v>24</v>
      </c>
      <c r="G2320" s="550">
        <v>0</v>
      </c>
      <c r="H2320" s="550">
        <v>0</v>
      </c>
      <c r="I2320" s="550">
        <v>0</v>
      </c>
      <c r="J2320" s="550">
        <v>23</v>
      </c>
      <c r="K2320" s="550">
        <v>7</v>
      </c>
      <c r="L2320" s="550">
        <v>0</v>
      </c>
      <c r="M2320" s="550">
        <v>7</v>
      </c>
      <c r="N2320" s="550">
        <v>27</v>
      </c>
      <c r="O2320" s="550">
        <v>10</v>
      </c>
      <c r="P2320" s="550">
        <v>63</v>
      </c>
      <c r="Q2320" s="550">
        <v>7</v>
      </c>
      <c r="R2320" s="574" t="s">
        <v>193</v>
      </c>
      <c r="S2320" s="552"/>
      <c r="T2320" s="552"/>
      <c r="U2320" s="552"/>
      <c r="V2320" s="552"/>
      <c r="W2320" s="552"/>
      <c r="X2320" s="552"/>
      <c r="Y2320" s="552"/>
      <c r="Z2320" s="552"/>
      <c r="AA2320" s="553"/>
      <c r="AB2320" s="553"/>
    </row>
    <row r="2321" spans="1:28" ht="12.75">
      <c r="A2321" s="547" t="s">
        <v>193</v>
      </c>
      <c r="B2321" s="547" t="s">
        <v>193</v>
      </c>
      <c r="C2321" s="548" t="s">
        <v>782</v>
      </c>
      <c r="D2321" s="549">
        <v>2019</v>
      </c>
      <c r="E2321" s="549" t="s">
        <v>775</v>
      </c>
      <c r="F2321" s="550">
        <v>24</v>
      </c>
      <c r="G2321" s="550">
        <v>4</v>
      </c>
      <c r="H2321" s="550">
        <v>4</v>
      </c>
      <c r="I2321" s="550">
        <v>0</v>
      </c>
      <c r="J2321" s="550">
        <v>23</v>
      </c>
      <c r="K2321" s="550">
        <v>2</v>
      </c>
      <c r="L2321" s="550">
        <v>2</v>
      </c>
      <c r="M2321" s="550">
        <v>0</v>
      </c>
      <c r="N2321" s="550">
        <v>27</v>
      </c>
      <c r="O2321" s="550">
        <v>4</v>
      </c>
      <c r="P2321" s="550">
        <v>63</v>
      </c>
      <c r="Q2321" s="550">
        <v>49</v>
      </c>
      <c r="R2321" s="574" t="s">
        <v>193</v>
      </c>
      <c r="S2321" s="255">
        <f>SUM(G2318:G2321) +SUM(K2318:K2321)</f>
        <v>13</v>
      </c>
      <c r="T2321" s="255">
        <f>F2321+J2321</f>
        <v>47</v>
      </c>
      <c r="U2321" s="255">
        <f>SUM(O2318:O2321)</f>
        <v>15</v>
      </c>
      <c r="V2321" s="255">
        <f>N2321</f>
        <v>27</v>
      </c>
      <c r="W2321" s="83">
        <f>SUM(Q2318:Q2321)</f>
        <v>77</v>
      </c>
      <c r="X2321" s="255">
        <f>P2321</f>
        <v>63</v>
      </c>
      <c r="Y2321" s="255">
        <f>S2321+U2321+SUM(Q2318:Q2321)</f>
        <v>105</v>
      </c>
      <c r="Z2321" s="255">
        <f>F2321+J2321+N2321+P2321</f>
        <v>137</v>
      </c>
      <c r="AA2321" s="553"/>
      <c r="AB2321" s="553"/>
    </row>
    <row r="2322" spans="1:28" ht="12.75">
      <c r="A2322" s="547" t="s">
        <v>701</v>
      </c>
      <c r="B2322" s="547" t="s">
        <v>193</v>
      </c>
      <c r="C2322" s="548" t="s">
        <v>774</v>
      </c>
      <c r="D2322" s="549">
        <v>2014</v>
      </c>
      <c r="E2322" s="549" t="s">
        <v>775</v>
      </c>
      <c r="F2322" s="550">
        <v>126</v>
      </c>
      <c r="G2322" s="550">
        <v>1</v>
      </c>
      <c r="H2322" s="550">
        <v>1</v>
      </c>
      <c r="I2322" s="550">
        <v>0</v>
      </c>
      <c r="J2322" s="550">
        <v>37</v>
      </c>
      <c r="K2322" s="550">
        <v>7</v>
      </c>
      <c r="L2322" s="550">
        <v>7</v>
      </c>
      <c r="M2322" s="550">
        <v>0</v>
      </c>
      <c r="N2322" s="550">
        <v>160</v>
      </c>
      <c r="O2322" s="550">
        <v>32</v>
      </c>
      <c r="P2322" s="550">
        <v>192</v>
      </c>
      <c r="Q2322" s="550">
        <v>51</v>
      </c>
      <c r="R2322" s="574" t="s">
        <v>701</v>
      </c>
      <c r="S2322" s="552"/>
      <c r="T2322" s="552"/>
      <c r="U2322" s="552"/>
      <c r="V2322" s="552"/>
      <c r="W2322" s="552"/>
      <c r="X2322" s="552"/>
      <c r="Y2322" s="552"/>
      <c r="Z2322" s="552"/>
      <c r="AA2322" s="553"/>
      <c r="AB2322" s="553"/>
    </row>
    <row r="2323" spans="1:28" ht="12.75">
      <c r="A2323" s="547" t="s">
        <v>701</v>
      </c>
      <c r="B2323" s="547" t="s">
        <v>193</v>
      </c>
      <c r="C2323" s="548" t="s">
        <v>774</v>
      </c>
      <c r="D2323" s="549">
        <v>2015</v>
      </c>
      <c r="E2323" s="549" t="s">
        <v>775</v>
      </c>
      <c r="F2323" s="550">
        <v>126</v>
      </c>
      <c r="G2323" s="550">
        <v>24</v>
      </c>
      <c r="H2323" s="550">
        <v>24</v>
      </c>
      <c r="I2323" s="550">
        <v>0</v>
      </c>
      <c r="J2323" s="550">
        <v>37</v>
      </c>
      <c r="K2323" s="550">
        <v>46</v>
      </c>
      <c r="L2323" s="550">
        <v>46</v>
      </c>
      <c r="M2323" s="550">
        <v>0</v>
      </c>
      <c r="N2323" s="550">
        <v>160</v>
      </c>
      <c r="O2323" s="550">
        <v>44</v>
      </c>
      <c r="P2323" s="550">
        <v>192</v>
      </c>
      <c r="Q2323" s="550">
        <v>79</v>
      </c>
      <c r="R2323" s="574" t="s">
        <v>701</v>
      </c>
      <c r="S2323" s="552"/>
      <c r="T2323" s="552"/>
      <c r="U2323" s="552"/>
      <c r="V2323" s="552"/>
      <c r="W2323" s="552"/>
      <c r="X2323" s="552"/>
      <c r="Y2323" s="552"/>
      <c r="Z2323" s="552"/>
      <c r="AA2323" s="553"/>
      <c r="AB2323" s="553"/>
    </row>
    <row r="2324" spans="1:28" ht="12.75">
      <c r="A2324" s="547" t="s">
        <v>701</v>
      </c>
      <c r="B2324" s="547" t="s">
        <v>193</v>
      </c>
      <c r="C2324" s="548" t="s">
        <v>774</v>
      </c>
      <c r="D2324" s="549">
        <v>2016</v>
      </c>
      <c r="E2324" s="549" t="s">
        <v>775</v>
      </c>
      <c r="F2324" s="550">
        <v>126</v>
      </c>
      <c r="G2324" s="550">
        <v>78</v>
      </c>
      <c r="H2324" s="550">
        <v>78</v>
      </c>
      <c r="I2324" s="550">
        <v>0</v>
      </c>
      <c r="J2324" s="550">
        <v>37</v>
      </c>
      <c r="K2324" s="550">
        <v>18</v>
      </c>
      <c r="L2324" s="550">
        <v>17</v>
      </c>
      <c r="M2324" s="550">
        <v>1</v>
      </c>
      <c r="N2324" s="550">
        <v>160</v>
      </c>
      <c r="O2324" s="550">
        <v>55</v>
      </c>
      <c r="P2324" s="550">
        <v>192</v>
      </c>
      <c r="Q2324" s="550">
        <v>154</v>
      </c>
      <c r="R2324" s="574" t="s">
        <v>701</v>
      </c>
      <c r="S2324" s="552"/>
      <c r="T2324" s="552"/>
      <c r="U2324" s="552"/>
      <c r="V2324" s="552"/>
      <c r="W2324" s="552"/>
      <c r="X2324" s="552"/>
      <c r="Y2324" s="552"/>
      <c r="Z2324" s="552"/>
      <c r="AA2324" s="553"/>
      <c r="AB2324" s="553"/>
    </row>
    <row r="2325" spans="1:28" ht="12.75">
      <c r="A2325" s="547" t="s">
        <v>701</v>
      </c>
      <c r="B2325" s="547" t="s">
        <v>193</v>
      </c>
      <c r="C2325" s="548" t="s">
        <v>774</v>
      </c>
      <c r="D2325" s="549">
        <v>2017</v>
      </c>
      <c r="E2325" s="549" t="s">
        <v>775</v>
      </c>
      <c r="F2325" s="550">
        <v>126</v>
      </c>
      <c r="G2325" s="550">
        <v>0</v>
      </c>
      <c r="H2325" s="550">
        <v>0</v>
      </c>
      <c r="I2325" s="550">
        <v>0</v>
      </c>
      <c r="J2325" s="550">
        <v>37</v>
      </c>
      <c r="K2325" s="550">
        <v>10</v>
      </c>
      <c r="L2325" s="550">
        <v>10</v>
      </c>
      <c r="M2325" s="550">
        <v>0</v>
      </c>
      <c r="N2325" s="550">
        <v>160</v>
      </c>
      <c r="O2325" s="550">
        <v>57</v>
      </c>
      <c r="P2325" s="550">
        <v>192</v>
      </c>
      <c r="Q2325" s="550">
        <v>168</v>
      </c>
      <c r="R2325" s="574" t="s">
        <v>701</v>
      </c>
      <c r="S2325" s="552"/>
      <c r="T2325" s="552"/>
      <c r="U2325" s="552"/>
      <c r="V2325" s="552"/>
      <c r="W2325" s="552"/>
      <c r="X2325" s="552"/>
      <c r="Y2325" s="552"/>
      <c r="Z2325" s="552"/>
      <c r="AA2325" s="553"/>
      <c r="AB2325" s="553"/>
    </row>
    <row r="2326" spans="1:28" ht="12.75">
      <c r="A2326" s="547" t="s">
        <v>701</v>
      </c>
      <c r="B2326" s="547" t="s">
        <v>193</v>
      </c>
      <c r="C2326" s="548" t="s">
        <v>774</v>
      </c>
      <c r="D2326" s="549">
        <v>2018</v>
      </c>
      <c r="E2326" s="549" t="s">
        <v>775</v>
      </c>
      <c r="F2326" s="550">
        <v>126</v>
      </c>
      <c r="G2326" s="550">
        <v>12</v>
      </c>
      <c r="H2326" s="550">
        <v>12</v>
      </c>
      <c r="I2326" s="550">
        <v>0</v>
      </c>
      <c r="J2326" s="550">
        <v>37</v>
      </c>
      <c r="K2326" s="550">
        <v>86</v>
      </c>
      <c r="L2326" s="550">
        <v>85</v>
      </c>
      <c r="M2326" s="550">
        <v>1</v>
      </c>
      <c r="N2326" s="550">
        <v>160</v>
      </c>
      <c r="O2326" s="550">
        <v>71</v>
      </c>
      <c r="P2326" s="550">
        <v>192</v>
      </c>
      <c r="Q2326" s="550">
        <v>108</v>
      </c>
      <c r="R2326" s="574" t="s">
        <v>701</v>
      </c>
      <c r="S2326" s="552"/>
      <c r="T2326" s="552"/>
      <c r="U2326" s="552"/>
      <c r="V2326" s="552"/>
      <c r="W2326" s="552"/>
      <c r="X2326" s="552"/>
      <c r="Y2326" s="552"/>
      <c r="Z2326" s="552"/>
      <c r="AA2326" s="553"/>
      <c r="AB2326" s="553"/>
    </row>
    <row r="2327" spans="1:28" ht="12.75">
      <c r="A2327" s="547" t="s">
        <v>701</v>
      </c>
      <c r="B2327" s="547" t="s">
        <v>193</v>
      </c>
      <c r="C2327" s="548" t="s">
        <v>782</v>
      </c>
      <c r="D2327" s="549">
        <v>2019</v>
      </c>
      <c r="E2327" s="549" t="s">
        <v>775</v>
      </c>
      <c r="F2327" s="550">
        <v>126</v>
      </c>
      <c r="G2327" s="550">
        <v>0</v>
      </c>
      <c r="H2327" s="550">
        <v>0</v>
      </c>
      <c r="I2327" s="550">
        <v>0</v>
      </c>
      <c r="J2327" s="550">
        <v>37</v>
      </c>
      <c r="K2327" s="550">
        <v>63</v>
      </c>
      <c r="L2327" s="550">
        <v>0</v>
      </c>
      <c r="M2327" s="550">
        <v>63</v>
      </c>
      <c r="N2327" s="550">
        <v>160</v>
      </c>
      <c r="O2327" s="550">
        <v>82</v>
      </c>
      <c r="P2327" s="550">
        <v>192</v>
      </c>
      <c r="Q2327" s="550">
        <v>394</v>
      </c>
      <c r="R2327" s="574" t="s">
        <v>701</v>
      </c>
      <c r="S2327" s="552">
        <f>SUM(G2322:G2327) +SUM(K2322:K2327)</f>
        <v>345</v>
      </c>
      <c r="T2327" s="552">
        <f>F2327+J2327</f>
        <v>163</v>
      </c>
      <c r="U2327" s="552">
        <f>SUM(O2322:O2327)</f>
        <v>341</v>
      </c>
      <c r="V2327" s="552">
        <f>N2327</f>
        <v>160</v>
      </c>
      <c r="W2327" s="554">
        <f>SUM(Q2322:Q2327)</f>
        <v>954</v>
      </c>
      <c r="X2327" s="552">
        <f>P2327</f>
        <v>192</v>
      </c>
      <c r="Y2327" s="552">
        <f>S2327+U2327+SUM(Q2322:Q2327)</f>
        <v>1640</v>
      </c>
      <c r="Z2327" s="552">
        <f>F2327+J2327+N2327+P2327</f>
        <v>515</v>
      </c>
      <c r="AA2327" s="553"/>
      <c r="AB2327" s="553"/>
    </row>
    <row r="2328" spans="1:28" ht="12.75">
      <c r="A2328" s="547" t="s">
        <v>702</v>
      </c>
      <c r="B2328" s="547" t="s">
        <v>193</v>
      </c>
      <c r="C2328" s="548" t="s">
        <v>774</v>
      </c>
      <c r="D2328" s="549">
        <v>2014</v>
      </c>
      <c r="E2328" s="549" t="s">
        <v>775</v>
      </c>
      <c r="F2328" s="550">
        <v>120</v>
      </c>
      <c r="G2328" s="550">
        <v>0</v>
      </c>
      <c r="H2328" s="550">
        <v>0</v>
      </c>
      <c r="I2328" s="550">
        <v>0</v>
      </c>
      <c r="J2328" s="550">
        <v>65</v>
      </c>
      <c r="K2328" s="550">
        <v>0</v>
      </c>
      <c r="L2328" s="550">
        <v>0</v>
      </c>
      <c r="M2328" s="550">
        <v>0</v>
      </c>
      <c r="N2328" s="550">
        <v>67</v>
      </c>
      <c r="O2328" s="550">
        <v>1</v>
      </c>
      <c r="P2328" s="550">
        <v>188</v>
      </c>
      <c r="Q2328" s="550">
        <v>9</v>
      </c>
      <c r="R2328" s="574" t="s">
        <v>702</v>
      </c>
      <c r="S2328" s="552"/>
      <c r="T2328" s="552"/>
      <c r="U2328" s="552"/>
      <c r="V2328" s="552"/>
      <c r="W2328" s="552"/>
      <c r="X2328" s="552"/>
      <c r="Y2328" s="552"/>
      <c r="Z2328" s="552"/>
      <c r="AA2328" s="553"/>
      <c r="AB2328" s="553"/>
    </row>
    <row r="2329" spans="1:28" ht="12.75">
      <c r="A2329" s="547" t="s">
        <v>702</v>
      </c>
      <c r="B2329" s="547" t="s">
        <v>193</v>
      </c>
      <c r="C2329" s="548" t="s">
        <v>774</v>
      </c>
      <c r="D2329" s="549">
        <v>2015</v>
      </c>
      <c r="E2329" s="549" t="s">
        <v>775</v>
      </c>
      <c r="F2329" s="550">
        <v>120</v>
      </c>
      <c r="G2329" s="550">
        <v>0</v>
      </c>
      <c r="H2329" s="550">
        <v>0</v>
      </c>
      <c r="I2329" s="550">
        <v>0</v>
      </c>
      <c r="J2329" s="550">
        <v>65</v>
      </c>
      <c r="K2329" s="550">
        <v>0</v>
      </c>
      <c r="L2329" s="550">
        <v>0</v>
      </c>
      <c r="M2329" s="550">
        <v>0</v>
      </c>
      <c r="N2329" s="550">
        <v>67</v>
      </c>
      <c r="O2329" s="550">
        <v>0</v>
      </c>
      <c r="P2329" s="550">
        <v>188</v>
      </c>
      <c r="Q2329" s="550">
        <v>55</v>
      </c>
      <c r="R2329" s="574" t="s">
        <v>702</v>
      </c>
      <c r="S2329" s="552"/>
      <c r="T2329" s="552"/>
      <c r="U2329" s="552"/>
      <c r="V2329" s="552"/>
      <c r="W2329" s="552"/>
      <c r="X2329" s="552"/>
      <c r="Y2329" s="552"/>
      <c r="Z2329" s="552"/>
      <c r="AA2329" s="553"/>
      <c r="AB2329" s="553"/>
    </row>
    <row r="2330" spans="1:28" ht="12.75">
      <c r="A2330" s="547" t="s">
        <v>702</v>
      </c>
      <c r="B2330" s="547" t="s">
        <v>193</v>
      </c>
      <c r="C2330" s="548" t="s">
        <v>774</v>
      </c>
      <c r="D2330" s="549">
        <v>2016</v>
      </c>
      <c r="E2330" s="549" t="s">
        <v>775</v>
      </c>
      <c r="F2330" s="550">
        <v>120</v>
      </c>
      <c r="G2330" s="550">
        <v>0</v>
      </c>
      <c r="H2330" s="550">
        <v>0</v>
      </c>
      <c r="I2330" s="550">
        <v>0</v>
      </c>
      <c r="J2330" s="550">
        <v>65</v>
      </c>
      <c r="K2330" s="550">
        <v>0</v>
      </c>
      <c r="L2330" s="550">
        <v>0</v>
      </c>
      <c r="M2330" s="550">
        <v>0</v>
      </c>
      <c r="N2330" s="550">
        <v>67</v>
      </c>
      <c r="O2330" s="550">
        <v>0</v>
      </c>
      <c r="P2330" s="550">
        <v>188</v>
      </c>
      <c r="Q2330" s="550">
        <v>3</v>
      </c>
      <c r="R2330" s="574" t="s">
        <v>702</v>
      </c>
      <c r="S2330" s="552"/>
      <c r="T2330" s="552"/>
      <c r="U2330" s="552"/>
      <c r="V2330" s="552"/>
      <c r="W2330" s="552"/>
      <c r="X2330" s="552"/>
      <c r="Y2330" s="552"/>
      <c r="Z2330" s="552"/>
      <c r="AA2330" s="553"/>
      <c r="AB2330" s="553"/>
    </row>
    <row r="2331" spans="1:28" ht="12.75">
      <c r="A2331" s="547" t="s">
        <v>702</v>
      </c>
      <c r="B2331" s="547" t="s">
        <v>193</v>
      </c>
      <c r="C2331" s="548" t="s">
        <v>774</v>
      </c>
      <c r="D2331" s="549">
        <v>2017</v>
      </c>
      <c r="E2331" s="549" t="s">
        <v>775</v>
      </c>
      <c r="F2331" s="550">
        <v>120</v>
      </c>
      <c r="G2331" s="550">
        <v>0</v>
      </c>
      <c r="H2331" s="550">
        <v>0</v>
      </c>
      <c r="I2331" s="550">
        <v>0</v>
      </c>
      <c r="J2331" s="550">
        <v>65</v>
      </c>
      <c r="K2331" s="550">
        <v>0</v>
      </c>
      <c r="L2331" s="550">
        <v>0</v>
      </c>
      <c r="M2331" s="550">
        <v>0</v>
      </c>
      <c r="N2331" s="550">
        <v>67</v>
      </c>
      <c r="O2331" s="550">
        <v>0</v>
      </c>
      <c r="P2331" s="550">
        <v>188</v>
      </c>
      <c r="Q2331" s="550">
        <v>5</v>
      </c>
      <c r="R2331" s="574" t="s">
        <v>702</v>
      </c>
      <c r="S2331" s="552"/>
      <c r="T2331" s="552"/>
      <c r="U2331" s="552"/>
      <c r="V2331" s="552"/>
      <c r="W2331" s="552"/>
      <c r="X2331" s="552"/>
      <c r="Y2331" s="552"/>
      <c r="Z2331" s="552"/>
      <c r="AA2331" s="553"/>
      <c r="AB2331" s="553"/>
    </row>
    <row r="2332" spans="1:28" ht="12.75">
      <c r="A2332" s="547" t="s">
        <v>702</v>
      </c>
      <c r="B2332" s="547" t="s">
        <v>193</v>
      </c>
      <c r="C2332" s="548" t="s">
        <v>774</v>
      </c>
      <c r="D2332" s="549">
        <v>2018</v>
      </c>
      <c r="E2332" s="549" t="s">
        <v>775</v>
      </c>
      <c r="F2332" s="550">
        <v>120</v>
      </c>
      <c r="G2332" s="550">
        <v>0</v>
      </c>
      <c r="H2332" s="550">
        <v>0</v>
      </c>
      <c r="I2332" s="550">
        <v>0</v>
      </c>
      <c r="J2332" s="550">
        <v>65</v>
      </c>
      <c r="K2332" s="550">
        <v>0</v>
      </c>
      <c r="L2332" s="550">
        <v>0</v>
      </c>
      <c r="M2332" s="550">
        <v>0</v>
      </c>
      <c r="N2332" s="550">
        <v>67</v>
      </c>
      <c r="O2332" s="550">
        <v>0</v>
      </c>
      <c r="P2332" s="550">
        <v>188</v>
      </c>
      <c r="Q2332" s="550">
        <v>18</v>
      </c>
      <c r="R2332" s="574" t="s">
        <v>702</v>
      </c>
      <c r="S2332" s="552"/>
      <c r="T2332" s="552"/>
      <c r="U2332" s="552"/>
      <c r="V2332" s="552"/>
      <c r="W2332" s="552"/>
      <c r="X2332" s="552"/>
      <c r="Y2332" s="552"/>
      <c r="Z2332" s="552"/>
      <c r="AA2332" s="553"/>
      <c r="AB2332" s="553"/>
    </row>
    <row r="2333" spans="1:28" ht="12.75">
      <c r="A2333" s="547" t="s">
        <v>702</v>
      </c>
      <c r="B2333" s="547" t="s">
        <v>193</v>
      </c>
      <c r="C2333" s="548" t="s">
        <v>782</v>
      </c>
      <c r="D2333" s="549">
        <v>2019</v>
      </c>
      <c r="E2333" s="549" t="s">
        <v>775</v>
      </c>
      <c r="F2333" s="550">
        <v>120</v>
      </c>
      <c r="G2333" s="550">
        <v>30</v>
      </c>
      <c r="H2333" s="550">
        <v>30</v>
      </c>
      <c r="I2333" s="550">
        <v>0</v>
      </c>
      <c r="J2333" s="550">
        <v>65</v>
      </c>
      <c r="K2333" s="550">
        <v>29</v>
      </c>
      <c r="L2333" s="550">
        <v>29</v>
      </c>
      <c r="M2333" s="550">
        <v>0</v>
      </c>
      <c r="N2333" s="550">
        <v>67</v>
      </c>
      <c r="O2333" s="550">
        <v>1</v>
      </c>
      <c r="P2333" s="550">
        <v>188</v>
      </c>
      <c r="Q2333" s="550">
        <v>23</v>
      </c>
      <c r="R2333" s="574" t="s">
        <v>702</v>
      </c>
      <c r="S2333" s="556">
        <f>SUM(G2328:G2333) +SUM(K2328:K2333)</f>
        <v>59</v>
      </c>
      <c r="T2333" s="556">
        <f>F2333+J2333</f>
        <v>185</v>
      </c>
      <c r="U2333" s="556">
        <f>SUM(O2328:O2333)</f>
        <v>2</v>
      </c>
      <c r="V2333" s="556">
        <f>N2333</f>
        <v>67</v>
      </c>
      <c r="W2333" s="557">
        <f>SUM(Q2328:Q2333)</f>
        <v>113</v>
      </c>
      <c r="X2333" s="556">
        <f>P2333</f>
        <v>188</v>
      </c>
      <c r="Y2333" s="556">
        <f>S2333+U2333+SUM(Q2328:Q2333)</f>
        <v>174</v>
      </c>
      <c r="Z2333" s="556">
        <f>F2333+J2333+N2333+P2333</f>
        <v>440</v>
      </c>
      <c r="AA2333" s="553"/>
      <c r="AB2333" s="553"/>
    </row>
    <row r="2334" spans="1:28" ht="12.75">
      <c r="A2334" s="547"/>
      <c r="B2334" s="547"/>
      <c r="C2334" s="548"/>
      <c r="D2334" s="549"/>
      <c r="E2334" s="549"/>
      <c r="F2334" s="550"/>
      <c r="G2334" s="548"/>
      <c r="H2334" s="550"/>
      <c r="I2334" s="550"/>
      <c r="J2334" s="550"/>
      <c r="K2334" s="550"/>
      <c r="L2334" s="550"/>
      <c r="M2334" s="550"/>
      <c r="N2334" s="550"/>
      <c r="O2334" s="550"/>
      <c r="P2334" s="550"/>
      <c r="Q2334" s="550"/>
      <c r="R2334" s="574"/>
      <c r="S2334" s="563">
        <f t="shared" ref="S2334:Z2334" si="229">SUM(S2280:S2333)</f>
        <v>1043</v>
      </c>
      <c r="T2334" s="563">
        <f t="shared" si="229"/>
        <v>2912</v>
      </c>
      <c r="U2334" s="563">
        <f t="shared" si="229"/>
        <v>685</v>
      </c>
      <c r="V2334" s="563">
        <f t="shared" si="229"/>
        <v>1355</v>
      </c>
      <c r="W2334" s="563">
        <f t="shared" si="229"/>
        <v>4593</v>
      </c>
      <c r="X2334" s="563">
        <f t="shared" si="229"/>
        <v>4177</v>
      </c>
      <c r="Y2334" s="563">
        <f t="shared" si="229"/>
        <v>6321</v>
      </c>
      <c r="Z2334" s="563">
        <f t="shared" si="229"/>
        <v>8444</v>
      </c>
      <c r="AA2334" s="553"/>
      <c r="AB2334" s="553"/>
    </row>
    <row r="2335" spans="1:28" ht="12.75">
      <c r="A2335" s="547" t="s">
        <v>703</v>
      </c>
      <c r="B2335" s="547" t="s">
        <v>195</v>
      </c>
      <c r="C2335" s="548" t="s">
        <v>177</v>
      </c>
      <c r="D2335" s="549">
        <v>2016</v>
      </c>
      <c r="E2335" s="549" t="s">
        <v>775</v>
      </c>
      <c r="F2335" s="550">
        <v>622</v>
      </c>
      <c r="G2335" s="550">
        <v>0</v>
      </c>
      <c r="H2335" s="550">
        <v>0</v>
      </c>
      <c r="I2335" s="550">
        <v>0</v>
      </c>
      <c r="J2335" s="550">
        <v>399</v>
      </c>
      <c r="K2335" s="550">
        <v>0</v>
      </c>
      <c r="L2335" s="550">
        <v>0</v>
      </c>
      <c r="M2335" s="550">
        <v>0</v>
      </c>
      <c r="N2335" s="550">
        <v>446</v>
      </c>
      <c r="O2335" s="550">
        <v>0</v>
      </c>
      <c r="P2335" s="550">
        <v>1104</v>
      </c>
      <c r="Q2335" s="550">
        <v>0</v>
      </c>
      <c r="R2335" s="574" t="s">
        <v>703</v>
      </c>
      <c r="S2335" s="552"/>
      <c r="T2335" s="552"/>
      <c r="U2335" s="552"/>
      <c r="V2335" s="552"/>
      <c r="W2335" s="552"/>
      <c r="X2335" s="552"/>
      <c r="Y2335" s="552"/>
      <c r="Z2335" s="552"/>
      <c r="AA2335" s="553"/>
      <c r="AB2335" s="553"/>
    </row>
    <row r="2336" spans="1:28" ht="12.75">
      <c r="A2336" s="547" t="s">
        <v>703</v>
      </c>
      <c r="B2336" s="555" t="s">
        <v>195</v>
      </c>
      <c r="C2336" s="548" t="s">
        <v>177</v>
      </c>
      <c r="D2336" s="549">
        <v>2017</v>
      </c>
      <c r="E2336" s="549" t="s">
        <v>775</v>
      </c>
      <c r="F2336" s="550">
        <v>622</v>
      </c>
      <c r="G2336" s="550">
        <v>0</v>
      </c>
      <c r="H2336" s="550">
        <v>0</v>
      </c>
      <c r="I2336" s="550">
        <v>0</v>
      </c>
      <c r="J2336" s="550">
        <v>399</v>
      </c>
      <c r="K2336" s="550">
        <v>0</v>
      </c>
      <c r="L2336" s="550">
        <v>0</v>
      </c>
      <c r="M2336" s="550">
        <v>0</v>
      </c>
      <c r="N2336" s="550">
        <v>446</v>
      </c>
      <c r="O2336" s="550">
        <v>5</v>
      </c>
      <c r="P2336" s="550">
        <v>1104</v>
      </c>
      <c r="Q2336" s="550">
        <v>0</v>
      </c>
      <c r="R2336" s="574" t="s">
        <v>703</v>
      </c>
      <c r="S2336" s="552"/>
      <c r="T2336" s="552"/>
      <c r="U2336" s="552"/>
      <c r="V2336" s="552"/>
      <c r="W2336" s="552"/>
      <c r="X2336" s="552"/>
      <c r="Y2336" s="552"/>
      <c r="Z2336" s="552"/>
      <c r="AA2336" s="553"/>
      <c r="AB2336" s="553"/>
    </row>
    <row r="2337" spans="1:28" ht="12.75">
      <c r="A2337" s="547" t="s">
        <v>703</v>
      </c>
      <c r="B2337" s="547" t="s">
        <v>195</v>
      </c>
      <c r="C2337" s="548" t="s">
        <v>177</v>
      </c>
      <c r="D2337" s="549">
        <v>2018</v>
      </c>
      <c r="E2337" s="549" t="s">
        <v>775</v>
      </c>
      <c r="F2337" s="550">
        <v>622</v>
      </c>
      <c r="G2337" s="550">
        <v>0</v>
      </c>
      <c r="H2337" s="550">
        <v>0</v>
      </c>
      <c r="I2337" s="550">
        <v>0</v>
      </c>
      <c r="J2337" s="550">
        <v>399</v>
      </c>
      <c r="K2337" s="550">
        <v>0</v>
      </c>
      <c r="L2337" s="550">
        <v>0</v>
      </c>
      <c r="M2337" s="550">
        <v>0</v>
      </c>
      <c r="N2337" s="550">
        <v>446</v>
      </c>
      <c r="O2337" s="550">
        <v>0</v>
      </c>
      <c r="P2337" s="550">
        <v>1104</v>
      </c>
      <c r="Q2337" s="550">
        <v>0</v>
      </c>
      <c r="R2337" s="574" t="s">
        <v>703</v>
      </c>
      <c r="S2337" s="552"/>
      <c r="T2337" s="552"/>
      <c r="U2337" s="552"/>
      <c r="V2337" s="552"/>
      <c r="W2337" s="552"/>
      <c r="X2337" s="552"/>
      <c r="Y2337" s="552"/>
      <c r="Z2337" s="552"/>
      <c r="AA2337" s="553"/>
      <c r="AB2337" s="553"/>
    </row>
    <row r="2338" spans="1:28" ht="12.75">
      <c r="A2338" s="547" t="s">
        <v>703</v>
      </c>
      <c r="B2338" s="547" t="s">
        <v>195</v>
      </c>
      <c r="C2338" s="548" t="s">
        <v>811</v>
      </c>
      <c r="D2338" s="549">
        <v>2019</v>
      </c>
      <c r="E2338" s="549" t="s">
        <v>775</v>
      </c>
      <c r="F2338" s="550">
        <v>622</v>
      </c>
      <c r="G2338" s="550">
        <v>0</v>
      </c>
      <c r="H2338" s="550">
        <v>0</v>
      </c>
      <c r="I2338" s="550">
        <v>0</v>
      </c>
      <c r="J2338" s="550">
        <v>399</v>
      </c>
      <c r="K2338" s="550">
        <v>0</v>
      </c>
      <c r="L2338" s="550">
        <v>0</v>
      </c>
      <c r="M2338" s="550">
        <v>0</v>
      </c>
      <c r="N2338" s="550">
        <v>446</v>
      </c>
      <c r="O2338" s="550">
        <v>6</v>
      </c>
      <c r="P2338" s="550">
        <v>1104</v>
      </c>
      <c r="Q2338" s="550">
        <v>58</v>
      </c>
      <c r="R2338" s="574" t="s">
        <v>703</v>
      </c>
      <c r="S2338" s="255">
        <f>SUM(G2335:G2338) +SUM(K2335:K2338)</f>
        <v>0</v>
      </c>
      <c r="T2338" s="255">
        <f>F2338+J2338</f>
        <v>1021</v>
      </c>
      <c r="U2338" s="255">
        <f>SUM(O2335:O2338)</f>
        <v>11</v>
      </c>
      <c r="V2338" s="255">
        <f>N2338</f>
        <v>446</v>
      </c>
      <c r="W2338" s="83">
        <f>SUM(Q2335:Q2338)</f>
        <v>58</v>
      </c>
      <c r="X2338" s="255">
        <f>P2338</f>
        <v>1104</v>
      </c>
      <c r="Y2338" s="255">
        <f>S2338+U2338+SUM(Q2335:Q2338)</f>
        <v>69</v>
      </c>
      <c r="Z2338" s="255">
        <f>F2338+J2338+N2338+P2338</f>
        <v>2571</v>
      </c>
      <c r="AA2338" s="553"/>
      <c r="AB2338" s="553"/>
    </row>
    <row r="2339" spans="1:28" ht="12.75">
      <c r="A2339" s="547" t="s">
        <v>704</v>
      </c>
      <c r="B2339" s="547" t="s">
        <v>195</v>
      </c>
      <c r="C2339" s="548" t="s">
        <v>177</v>
      </c>
      <c r="D2339" s="549">
        <v>2015</v>
      </c>
      <c r="E2339" s="549" t="s">
        <v>775</v>
      </c>
      <c r="F2339" s="550">
        <v>53</v>
      </c>
      <c r="G2339" s="550">
        <v>0</v>
      </c>
      <c r="H2339" s="550">
        <v>0</v>
      </c>
      <c r="I2339" s="550">
        <v>0</v>
      </c>
      <c r="J2339" s="550">
        <v>34</v>
      </c>
      <c r="K2339" s="550">
        <v>0</v>
      </c>
      <c r="L2339" s="550">
        <v>0</v>
      </c>
      <c r="M2339" s="550">
        <v>0</v>
      </c>
      <c r="N2339" s="550">
        <v>38</v>
      </c>
      <c r="O2339" s="550">
        <v>0</v>
      </c>
      <c r="P2339" s="550">
        <v>93</v>
      </c>
      <c r="Q2339" s="550">
        <v>32</v>
      </c>
      <c r="R2339" s="574" t="s">
        <v>704</v>
      </c>
      <c r="S2339" s="552"/>
      <c r="T2339" s="552"/>
      <c r="U2339" s="552"/>
      <c r="V2339" s="552"/>
      <c r="W2339" s="552"/>
      <c r="X2339" s="552"/>
      <c r="Y2339" s="552"/>
      <c r="Z2339" s="552"/>
      <c r="AA2339" s="553"/>
      <c r="AB2339" s="553"/>
    </row>
    <row r="2340" spans="1:28" ht="12.75">
      <c r="A2340" s="547" t="s">
        <v>704</v>
      </c>
      <c r="B2340" s="547" t="s">
        <v>195</v>
      </c>
      <c r="C2340" s="548" t="s">
        <v>177</v>
      </c>
      <c r="D2340" s="549">
        <v>2016</v>
      </c>
      <c r="E2340" s="549" t="s">
        <v>775</v>
      </c>
      <c r="F2340" s="550">
        <v>53</v>
      </c>
      <c r="G2340" s="550">
        <v>0</v>
      </c>
      <c r="H2340" s="550">
        <v>0</v>
      </c>
      <c r="I2340" s="550">
        <v>0</v>
      </c>
      <c r="J2340" s="550">
        <v>34</v>
      </c>
      <c r="K2340" s="550">
        <v>0</v>
      </c>
      <c r="L2340" s="550">
        <v>0</v>
      </c>
      <c r="M2340" s="550">
        <v>0</v>
      </c>
      <c r="N2340" s="550">
        <v>38</v>
      </c>
      <c r="O2340" s="550">
        <v>0</v>
      </c>
      <c r="P2340" s="550">
        <v>93</v>
      </c>
      <c r="Q2340" s="550">
        <v>15</v>
      </c>
      <c r="R2340" s="574" t="s">
        <v>704</v>
      </c>
      <c r="S2340" s="552"/>
      <c r="T2340" s="552"/>
      <c r="U2340" s="552"/>
      <c r="V2340" s="552"/>
      <c r="W2340" s="552"/>
      <c r="X2340" s="552"/>
      <c r="Y2340" s="552"/>
      <c r="Z2340" s="552"/>
      <c r="AA2340" s="553"/>
      <c r="AB2340" s="553"/>
    </row>
    <row r="2341" spans="1:28" ht="12.75">
      <c r="A2341" s="547" t="s">
        <v>704</v>
      </c>
      <c r="B2341" s="547" t="s">
        <v>195</v>
      </c>
      <c r="C2341" s="548" t="s">
        <v>177</v>
      </c>
      <c r="D2341" s="549">
        <v>2017</v>
      </c>
      <c r="E2341" s="549" t="s">
        <v>775</v>
      </c>
      <c r="F2341" s="550">
        <v>53</v>
      </c>
      <c r="G2341" s="550">
        <v>0</v>
      </c>
      <c r="H2341" s="550">
        <v>0</v>
      </c>
      <c r="I2341" s="550">
        <v>0</v>
      </c>
      <c r="J2341" s="550">
        <v>34</v>
      </c>
      <c r="K2341" s="550">
        <v>0</v>
      </c>
      <c r="L2341" s="550">
        <v>0</v>
      </c>
      <c r="M2341" s="550">
        <v>0</v>
      </c>
      <c r="N2341" s="550">
        <v>38</v>
      </c>
      <c r="O2341" s="550">
        <v>0</v>
      </c>
      <c r="P2341" s="550">
        <v>93</v>
      </c>
      <c r="Q2341" s="550">
        <v>16</v>
      </c>
      <c r="R2341" s="574" t="s">
        <v>704</v>
      </c>
      <c r="S2341" s="552"/>
      <c r="T2341" s="552"/>
      <c r="U2341" s="552"/>
      <c r="V2341" s="552"/>
      <c r="W2341" s="552"/>
      <c r="X2341" s="552"/>
      <c r="Y2341" s="552"/>
      <c r="Z2341" s="552"/>
      <c r="AA2341" s="553"/>
      <c r="AB2341" s="553"/>
    </row>
    <row r="2342" spans="1:28" ht="12.75">
      <c r="A2342" s="547" t="s">
        <v>704</v>
      </c>
      <c r="B2342" s="547" t="s">
        <v>195</v>
      </c>
      <c r="C2342" s="548" t="s">
        <v>177</v>
      </c>
      <c r="D2342" s="549">
        <v>2018</v>
      </c>
      <c r="E2342" s="549" t="s">
        <v>775</v>
      </c>
      <c r="F2342" s="550">
        <v>53</v>
      </c>
      <c r="G2342" s="550">
        <v>0</v>
      </c>
      <c r="H2342" s="550">
        <v>0</v>
      </c>
      <c r="I2342" s="550">
        <v>0</v>
      </c>
      <c r="J2342" s="550">
        <v>34</v>
      </c>
      <c r="K2342" s="550">
        <v>0</v>
      </c>
      <c r="L2342" s="550">
        <v>0</v>
      </c>
      <c r="M2342" s="550">
        <v>0</v>
      </c>
      <c r="N2342" s="550">
        <v>38</v>
      </c>
      <c r="O2342" s="550">
        <v>0</v>
      </c>
      <c r="P2342" s="550">
        <v>93</v>
      </c>
      <c r="Q2342" s="550">
        <v>8</v>
      </c>
      <c r="R2342" s="574" t="s">
        <v>704</v>
      </c>
      <c r="S2342" s="552"/>
      <c r="T2342" s="552"/>
      <c r="U2342" s="552"/>
      <c r="V2342" s="552"/>
      <c r="W2342" s="552"/>
      <c r="X2342" s="552"/>
      <c r="Y2342" s="552"/>
      <c r="Z2342" s="552"/>
      <c r="AA2342" s="553"/>
      <c r="AB2342" s="553"/>
    </row>
    <row r="2343" spans="1:28" ht="12.75">
      <c r="A2343" s="547" t="s">
        <v>704</v>
      </c>
      <c r="B2343" s="547" t="s">
        <v>195</v>
      </c>
      <c r="C2343" s="548" t="s">
        <v>811</v>
      </c>
      <c r="D2343" s="549">
        <v>2019</v>
      </c>
      <c r="E2343" s="549" t="s">
        <v>775</v>
      </c>
      <c r="F2343" s="550">
        <v>53</v>
      </c>
      <c r="G2343" s="550">
        <v>0</v>
      </c>
      <c r="H2343" s="550">
        <v>0</v>
      </c>
      <c r="I2343" s="550">
        <v>0</v>
      </c>
      <c r="J2343" s="550">
        <v>34</v>
      </c>
      <c r="K2343" s="550">
        <v>0</v>
      </c>
      <c r="L2343" s="550">
        <v>0</v>
      </c>
      <c r="M2343" s="550">
        <v>0</v>
      </c>
      <c r="N2343" s="550">
        <v>38</v>
      </c>
      <c r="O2343" s="550">
        <v>0</v>
      </c>
      <c r="P2343" s="550">
        <v>93</v>
      </c>
      <c r="Q2343" s="550">
        <v>20</v>
      </c>
      <c r="R2343" s="574" t="s">
        <v>704</v>
      </c>
      <c r="S2343" s="255">
        <f>SUM(G2339:G2343) +SUM(K2339:K2343)</f>
        <v>0</v>
      </c>
      <c r="T2343" s="255">
        <f>F2343+J2343</f>
        <v>87</v>
      </c>
      <c r="U2343" s="255">
        <f>SUM(O2339:O2343)</f>
        <v>0</v>
      </c>
      <c r="V2343" s="255">
        <f>N2343</f>
        <v>38</v>
      </c>
      <c r="W2343" s="83">
        <f>SUM(Q2339:Q2343)</f>
        <v>91</v>
      </c>
      <c r="X2343" s="255">
        <f>P2343</f>
        <v>93</v>
      </c>
      <c r="Y2343" s="255">
        <f>S2343+U2343+SUM(Q2339:Q2343)</f>
        <v>91</v>
      </c>
      <c r="Z2343" s="255">
        <f>F2343+J2343+N2343+P2343</f>
        <v>218</v>
      </c>
      <c r="AA2343" s="553"/>
      <c r="AB2343" s="553"/>
    </row>
    <row r="2344" spans="1:28" ht="12.75">
      <c r="A2344" s="547" t="s">
        <v>705</v>
      </c>
      <c r="B2344" s="547" t="s">
        <v>195</v>
      </c>
      <c r="C2344" s="548" t="s">
        <v>177</v>
      </c>
      <c r="D2344" s="549">
        <v>2015</v>
      </c>
      <c r="E2344" s="549" t="s">
        <v>775</v>
      </c>
      <c r="F2344" s="550">
        <v>1546</v>
      </c>
      <c r="G2344" s="550">
        <v>0</v>
      </c>
      <c r="H2344" s="550">
        <v>0</v>
      </c>
      <c r="I2344" s="550">
        <v>0</v>
      </c>
      <c r="J2344" s="550">
        <v>991</v>
      </c>
      <c r="K2344" s="550">
        <v>0</v>
      </c>
      <c r="L2344" s="550">
        <v>0</v>
      </c>
      <c r="M2344" s="550">
        <v>0</v>
      </c>
      <c r="N2344" s="550">
        <v>1100</v>
      </c>
      <c r="O2344" s="550">
        <v>0</v>
      </c>
      <c r="P2344" s="550">
        <v>2724</v>
      </c>
      <c r="Q2344" s="550">
        <v>18</v>
      </c>
      <c r="R2344" s="574" t="s">
        <v>705</v>
      </c>
      <c r="S2344" s="552"/>
      <c r="T2344" s="552"/>
      <c r="U2344" s="552"/>
      <c r="V2344" s="552"/>
      <c r="W2344" s="552"/>
      <c r="X2344" s="552"/>
      <c r="Y2344" s="552"/>
      <c r="Z2344" s="552"/>
      <c r="AA2344" s="553"/>
      <c r="AB2344" s="553"/>
    </row>
    <row r="2345" spans="1:28" ht="12.75">
      <c r="A2345" s="547" t="s">
        <v>705</v>
      </c>
      <c r="B2345" s="547" t="s">
        <v>195</v>
      </c>
      <c r="C2345" s="548" t="s">
        <v>177</v>
      </c>
      <c r="D2345" s="549">
        <v>2016</v>
      </c>
      <c r="E2345" s="549" t="s">
        <v>775</v>
      </c>
      <c r="F2345" s="550">
        <v>1546</v>
      </c>
      <c r="G2345" s="550">
        <v>0</v>
      </c>
      <c r="H2345" s="550">
        <v>0</v>
      </c>
      <c r="I2345" s="550">
        <v>0</v>
      </c>
      <c r="J2345" s="550">
        <v>991</v>
      </c>
      <c r="K2345" s="550">
        <v>50</v>
      </c>
      <c r="L2345" s="550">
        <v>50</v>
      </c>
      <c r="M2345" s="550">
        <v>0</v>
      </c>
      <c r="N2345" s="550">
        <v>1100</v>
      </c>
      <c r="O2345" s="550">
        <v>56</v>
      </c>
      <c r="P2345" s="550">
        <v>2724</v>
      </c>
      <c r="Q2345" s="550">
        <v>150</v>
      </c>
      <c r="R2345" s="574" t="s">
        <v>705</v>
      </c>
      <c r="S2345" s="552"/>
      <c r="T2345" s="552"/>
      <c r="U2345" s="552"/>
      <c r="V2345" s="552"/>
      <c r="W2345" s="552"/>
      <c r="X2345" s="552"/>
      <c r="Y2345" s="552"/>
      <c r="Z2345" s="552"/>
      <c r="AA2345" s="553"/>
      <c r="AB2345" s="553"/>
    </row>
    <row r="2346" spans="1:28" ht="12.75">
      <c r="A2346" s="547" t="s">
        <v>705</v>
      </c>
      <c r="B2346" s="547" t="s">
        <v>195</v>
      </c>
      <c r="C2346" s="548" t="s">
        <v>177</v>
      </c>
      <c r="D2346" s="549">
        <v>2017</v>
      </c>
      <c r="E2346" s="549" t="s">
        <v>775</v>
      </c>
      <c r="F2346" s="550">
        <v>1546</v>
      </c>
      <c r="G2346" s="550">
        <v>0</v>
      </c>
      <c r="H2346" s="550">
        <v>0</v>
      </c>
      <c r="I2346" s="550">
        <v>0</v>
      </c>
      <c r="J2346" s="550">
        <v>991</v>
      </c>
      <c r="K2346" s="550">
        <v>0</v>
      </c>
      <c r="L2346" s="550">
        <v>0</v>
      </c>
      <c r="M2346" s="550">
        <v>0</v>
      </c>
      <c r="N2346" s="550">
        <v>1100</v>
      </c>
      <c r="O2346" s="550">
        <v>3</v>
      </c>
      <c r="P2346" s="550">
        <v>2724</v>
      </c>
      <c r="Q2346" s="550">
        <v>137</v>
      </c>
      <c r="R2346" s="574" t="s">
        <v>705</v>
      </c>
      <c r="S2346" s="552"/>
      <c r="T2346" s="552"/>
      <c r="U2346" s="552"/>
      <c r="V2346" s="552"/>
      <c r="W2346" s="552"/>
      <c r="X2346" s="552"/>
      <c r="Y2346" s="552"/>
      <c r="Z2346" s="552"/>
      <c r="AA2346" s="553"/>
      <c r="AB2346" s="553"/>
    </row>
    <row r="2347" spans="1:28" ht="12.75">
      <c r="A2347" s="547" t="s">
        <v>705</v>
      </c>
      <c r="B2347" s="547" t="s">
        <v>195</v>
      </c>
      <c r="C2347" s="548" t="s">
        <v>177</v>
      </c>
      <c r="D2347" s="549">
        <v>2018</v>
      </c>
      <c r="E2347" s="549" t="s">
        <v>775</v>
      </c>
      <c r="F2347" s="550">
        <v>1546</v>
      </c>
      <c r="G2347" s="550">
        <v>0</v>
      </c>
      <c r="H2347" s="550">
        <v>0</v>
      </c>
      <c r="I2347" s="550">
        <v>0</v>
      </c>
      <c r="J2347" s="550">
        <v>991</v>
      </c>
      <c r="K2347" s="550">
        <v>6</v>
      </c>
      <c r="L2347" s="550">
        <v>5</v>
      </c>
      <c r="M2347" s="550">
        <v>1</v>
      </c>
      <c r="N2347" s="550">
        <v>1100</v>
      </c>
      <c r="O2347" s="550">
        <v>87</v>
      </c>
      <c r="P2347" s="550">
        <v>2724</v>
      </c>
      <c r="Q2347" s="550">
        <v>120</v>
      </c>
      <c r="R2347" s="574" t="s">
        <v>705</v>
      </c>
      <c r="S2347" s="552"/>
      <c r="T2347" s="552"/>
      <c r="U2347" s="552"/>
      <c r="V2347" s="552"/>
      <c r="W2347" s="552"/>
      <c r="X2347" s="552"/>
      <c r="Y2347" s="552"/>
      <c r="Z2347" s="552"/>
      <c r="AA2347" s="553"/>
      <c r="AB2347" s="553"/>
    </row>
    <row r="2348" spans="1:28" ht="12.75">
      <c r="A2348" s="547" t="s">
        <v>705</v>
      </c>
      <c r="B2348" s="547" t="s">
        <v>195</v>
      </c>
      <c r="C2348" s="548" t="s">
        <v>811</v>
      </c>
      <c r="D2348" s="549">
        <v>2019</v>
      </c>
      <c r="E2348" s="549" t="s">
        <v>775</v>
      </c>
      <c r="F2348" s="550">
        <v>1546</v>
      </c>
      <c r="G2348" s="550">
        <v>0</v>
      </c>
      <c r="H2348" s="550">
        <v>0</v>
      </c>
      <c r="I2348" s="550">
        <v>0</v>
      </c>
      <c r="J2348" s="550">
        <v>991</v>
      </c>
      <c r="K2348" s="550">
        <v>5</v>
      </c>
      <c r="L2348" s="550">
        <v>0</v>
      </c>
      <c r="M2348" s="550">
        <v>5</v>
      </c>
      <c r="N2348" s="550">
        <v>1100</v>
      </c>
      <c r="O2348" s="550">
        <v>130</v>
      </c>
      <c r="P2348" s="550">
        <v>2724</v>
      </c>
      <c r="Q2348" s="550">
        <v>159</v>
      </c>
      <c r="R2348" s="574" t="s">
        <v>705</v>
      </c>
      <c r="S2348" s="255">
        <f>SUM(G2344:G2348) +SUM(K2344:K2348)</f>
        <v>61</v>
      </c>
      <c r="T2348" s="255">
        <f t="shared" ref="T2348:T2349" si="230">F2348+J2348</f>
        <v>2537</v>
      </c>
      <c r="U2348" s="255">
        <f>SUM(O2344:O2348)</f>
        <v>276</v>
      </c>
      <c r="V2348" s="255">
        <f t="shared" ref="V2348:V2349" si="231">N2348</f>
        <v>1100</v>
      </c>
      <c r="W2348" s="83">
        <f>SUM(Q2344:Q2348)</f>
        <v>584</v>
      </c>
      <c r="X2348" s="255">
        <f>P2348</f>
        <v>2724</v>
      </c>
      <c r="Y2348" s="255">
        <f>S2348+U2348+SUM(Q2344:Q2348)</f>
        <v>921</v>
      </c>
      <c r="Z2348" s="255">
        <f t="shared" ref="Z2348:Z2349" si="232">F2348+J2348+N2348+P2348</f>
        <v>6361</v>
      </c>
      <c r="AA2348" s="553"/>
      <c r="AB2348" s="553"/>
    </row>
    <row r="2349" spans="1:28" ht="12.75">
      <c r="A2349" s="547" t="s">
        <v>706</v>
      </c>
      <c r="B2349" s="547" t="s">
        <v>195</v>
      </c>
      <c r="C2349" s="548" t="s">
        <v>811</v>
      </c>
      <c r="D2349" s="549">
        <v>2019</v>
      </c>
      <c r="E2349" s="549" t="s">
        <v>775</v>
      </c>
      <c r="F2349" s="550">
        <v>186</v>
      </c>
      <c r="G2349" s="550">
        <v>0</v>
      </c>
      <c r="H2349" s="550">
        <v>0</v>
      </c>
      <c r="I2349" s="550">
        <v>0</v>
      </c>
      <c r="J2349" s="550">
        <v>119</v>
      </c>
      <c r="K2349" s="550">
        <v>0</v>
      </c>
      <c r="L2349" s="550">
        <v>0</v>
      </c>
      <c r="M2349" s="550">
        <v>0</v>
      </c>
      <c r="N2349" s="550">
        <v>136</v>
      </c>
      <c r="O2349" s="550">
        <v>0</v>
      </c>
      <c r="P2349" s="550">
        <v>337</v>
      </c>
      <c r="Q2349" s="550">
        <v>0</v>
      </c>
      <c r="R2349" s="574" t="s">
        <v>706</v>
      </c>
      <c r="S2349" s="552">
        <f>G2349</f>
        <v>0</v>
      </c>
      <c r="T2349" s="255">
        <f t="shared" si="230"/>
        <v>305</v>
      </c>
      <c r="U2349" s="552">
        <f>K2349</f>
        <v>0</v>
      </c>
      <c r="V2349" s="255">
        <f t="shared" si="231"/>
        <v>136</v>
      </c>
      <c r="W2349" s="552">
        <f t="shared" ref="W2349:Y2349" si="233">O2349</f>
        <v>0</v>
      </c>
      <c r="X2349" s="255">
        <f t="shared" si="233"/>
        <v>337</v>
      </c>
      <c r="Y2349" s="552">
        <f t="shared" si="233"/>
        <v>0</v>
      </c>
      <c r="Z2349" s="255">
        <f t="shared" si="232"/>
        <v>778</v>
      </c>
      <c r="AA2349" s="553"/>
      <c r="AB2349" s="553"/>
    </row>
    <row r="2350" spans="1:28" ht="12.75">
      <c r="A2350" s="547" t="s">
        <v>707</v>
      </c>
      <c r="B2350" s="547" t="s">
        <v>195</v>
      </c>
      <c r="C2350" s="548" t="s">
        <v>177</v>
      </c>
      <c r="D2350" s="549">
        <v>2016</v>
      </c>
      <c r="E2350" s="549" t="s">
        <v>775</v>
      </c>
      <c r="F2350" s="550">
        <v>315</v>
      </c>
      <c r="G2350" s="550">
        <v>0</v>
      </c>
      <c r="H2350" s="550">
        <v>0</v>
      </c>
      <c r="I2350" s="550">
        <v>0</v>
      </c>
      <c r="J2350" s="550">
        <v>202</v>
      </c>
      <c r="K2350" s="550">
        <v>0</v>
      </c>
      <c r="L2350" s="550">
        <v>0</v>
      </c>
      <c r="M2350" s="550">
        <v>0</v>
      </c>
      <c r="N2350" s="550">
        <v>210</v>
      </c>
      <c r="O2350" s="550">
        <v>4</v>
      </c>
      <c r="P2350" s="550">
        <v>520</v>
      </c>
      <c r="Q2350" s="550">
        <v>101</v>
      </c>
      <c r="R2350" s="574" t="s">
        <v>707</v>
      </c>
      <c r="S2350" s="552"/>
      <c r="T2350" s="552"/>
      <c r="U2350" s="552"/>
      <c r="V2350" s="552"/>
      <c r="W2350" s="552"/>
      <c r="X2350" s="552"/>
      <c r="Y2350" s="552"/>
      <c r="Z2350" s="552"/>
      <c r="AA2350" s="553"/>
      <c r="AB2350" s="553"/>
    </row>
    <row r="2351" spans="1:28" ht="12.75">
      <c r="A2351" s="547" t="s">
        <v>707</v>
      </c>
      <c r="B2351" s="547" t="s">
        <v>195</v>
      </c>
      <c r="C2351" s="548" t="s">
        <v>177</v>
      </c>
      <c r="D2351" s="549">
        <v>2017</v>
      </c>
      <c r="E2351" s="549" t="s">
        <v>775</v>
      </c>
      <c r="F2351" s="550">
        <v>315</v>
      </c>
      <c r="G2351" s="550">
        <v>0</v>
      </c>
      <c r="H2351" s="550">
        <v>0</v>
      </c>
      <c r="I2351" s="550">
        <v>0</v>
      </c>
      <c r="J2351" s="550">
        <v>202</v>
      </c>
      <c r="K2351" s="550">
        <v>0</v>
      </c>
      <c r="L2351" s="550">
        <v>0</v>
      </c>
      <c r="M2351" s="550">
        <v>0</v>
      </c>
      <c r="N2351" s="550">
        <v>210</v>
      </c>
      <c r="O2351" s="550">
        <v>76</v>
      </c>
      <c r="P2351" s="550">
        <v>520</v>
      </c>
      <c r="Q2351" s="550">
        <v>34</v>
      </c>
      <c r="R2351" s="574" t="s">
        <v>707</v>
      </c>
      <c r="S2351" s="552"/>
      <c r="T2351" s="552"/>
      <c r="U2351" s="552"/>
      <c r="V2351" s="552"/>
      <c r="W2351" s="552"/>
      <c r="X2351" s="552"/>
      <c r="Y2351" s="552"/>
      <c r="Z2351" s="552"/>
      <c r="AA2351" s="553"/>
      <c r="AB2351" s="553"/>
    </row>
    <row r="2352" spans="1:28" ht="12.75">
      <c r="A2352" s="547" t="s">
        <v>707</v>
      </c>
      <c r="B2352" s="547" t="s">
        <v>195</v>
      </c>
      <c r="C2352" s="548" t="s">
        <v>177</v>
      </c>
      <c r="D2352" s="549">
        <v>2018</v>
      </c>
      <c r="E2352" s="549" t="s">
        <v>775</v>
      </c>
      <c r="F2352" s="550">
        <v>315</v>
      </c>
      <c r="G2352" s="550">
        <v>0</v>
      </c>
      <c r="H2352" s="550">
        <v>0</v>
      </c>
      <c r="I2352" s="550">
        <v>0</v>
      </c>
      <c r="J2352" s="550">
        <v>202</v>
      </c>
      <c r="K2352" s="550">
        <v>1</v>
      </c>
      <c r="L2352" s="550">
        <v>0</v>
      </c>
      <c r="M2352" s="550">
        <v>1</v>
      </c>
      <c r="N2352" s="550">
        <v>210</v>
      </c>
      <c r="O2352" s="550">
        <v>4</v>
      </c>
      <c r="P2352" s="550">
        <v>520</v>
      </c>
      <c r="Q2352" s="550">
        <v>119</v>
      </c>
      <c r="R2352" s="574" t="s">
        <v>707</v>
      </c>
      <c r="S2352" s="552"/>
      <c r="T2352" s="552"/>
      <c r="U2352" s="552"/>
      <c r="V2352" s="552"/>
      <c r="W2352" s="552"/>
      <c r="X2352" s="552"/>
      <c r="Y2352" s="552"/>
      <c r="Z2352" s="552"/>
      <c r="AA2352" s="553"/>
      <c r="AB2352" s="553"/>
    </row>
    <row r="2353" spans="1:28" ht="12.75">
      <c r="A2353" s="547" t="s">
        <v>707</v>
      </c>
      <c r="B2353" s="547" t="s">
        <v>195</v>
      </c>
      <c r="C2353" s="548" t="s">
        <v>811</v>
      </c>
      <c r="D2353" s="549">
        <v>2019</v>
      </c>
      <c r="E2353" s="549" t="s">
        <v>775</v>
      </c>
      <c r="F2353" s="550">
        <v>315</v>
      </c>
      <c r="G2353" s="550">
        <v>14</v>
      </c>
      <c r="H2353" s="550">
        <v>0</v>
      </c>
      <c r="I2353" s="550">
        <v>14</v>
      </c>
      <c r="J2353" s="550">
        <v>202</v>
      </c>
      <c r="K2353" s="550">
        <v>43</v>
      </c>
      <c r="L2353" s="550">
        <v>0</v>
      </c>
      <c r="M2353" s="550">
        <v>43</v>
      </c>
      <c r="N2353" s="550">
        <v>210</v>
      </c>
      <c r="O2353" s="550">
        <v>0</v>
      </c>
      <c r="P2353" s="550">
        <v>520</v>
      </c>
      <c r="Q2353" s="550">
        <v>33</v>
      </c>
      <c r="R2353" s="574" t="s">
        <v>707</v>
      </c>
      <c r="S2353" s="255">
        <f>SUM(G2350:G2353) +SUM(K2350:K2353)</f>
        <v>58</v>
      </c>
      <c r="T2353" s="255">
        <f>F2353+J2353</f>
        <v>517</v>
      </c>
      <c r="U2353" s="255">
        <f>SUM(O2350:O2353)</f>
        <v>84</v>
      </c>
      <c r="V2353" s="255">
        <f>N2353</f>
        <v>210</v>
      </c>
      <c r="W2353" s="83">
        <f>SUM(Q2350:Q2353)</f>
        <v>287</v>
      </c>
      <c r="X2353" s="255">
        <f>P2353</f>
        <v>520</v>
      </c>
      <c r="Y2353" s="255">
        <f>S2353+U2353+SUM(Q2350:Q2353)</f>
        <v>429</v>
      </c>
      <c r="Z2353" s="255">
        <f>F2353+J2353+N2353+P2353</f>
        <v>1247</v>
      </c>
      <c r="AA2353" s="553"/>
      <c r="AB2353" s="553"/>
    </row>
    <row r="2354" spans="1:28" ht="12.75">
      <c r="A2354" s="547" t="s">
        <v>708</v>
      </c>
      <c r="B2354" s="547" t="s">
        <v>195</v>
      </c>
      <c r="C2354" s="548" t="s">
        <v>811</v>
      </c>
      <c r="D2354" s="549">
        <v>2019</v>
      </c>
      <c r="E2354" s="549" t="s">
        <v>775</v>
      </c>
      <c r="F2354" s="550">
        <v>636</v>
      </c>
      <c r="G2354" s="550">
        <v>0</v>
      </c>
      <c r="H2354" s="550">
        <v>0</v>
      </c>
      <c r="I2354" s="550">
        <v>0</v>
      </c>
      <c r="J2354" s="550">
        <v>408</v>
      </c>
      <c r="K2354" s="550">
        <v>0</v>
      </c>
      <c r="L2354" s="550">
        <v>0</v>
      </c>
      <c r="M2354" s="550">
        <v>0</v>
      </c>
      <c r="N2354" s="550">
        <v>416</v>
      </c>
      <c r="O2354" s="550">
        <v>0</v>
      </c>
      <c r="P2354" s="550">
        <v>1031</v>
      </c>
      <c r="Q2354" s="550">
        <v>0</v>
      </c>
      <c r="R2354" s="574" t="s">
        <v>708</v>
      </c>
      <c r="S2354" s="552"/>
      <c r="T2354" s="552"/>
      <c r="U2354" s="552"/>
      <c r="V2354" s="552"/>
      <c r="W2354" s="552"/>
      <c r="X2354" s="552"/>
      <c r="Y2354" s="552"/>
      <c r="Z2354" s="552"/>
      <c r="AA2354" s="553"/>
      <c r="AB2354" s="553"/>
    </row>
    <row r="2355" spans="1:28" ht="12.75">
      <c r="A2355" s="547" t="s">
        <v>709</v>
      </c>
      <c r="B2355" s="547" t="s">
        <v>195</v>
      </c>
      <c r="C2355" s="548" t="s">
        <v>177</v>
      </c>
      <c r="D2355" s="549">
        <v>2015</v>
      </c>
      <c r="E2355" s="549" t="s">
        <v>775</v>
      </c>
      <c r="F2355" s="550">
        <v>321</v>
      </c>
      <c r="G2355" s="550">
        <v>0</v>
      </c>
      <c r="H2355" s="550">
        <v>0</v>
      </c>
      <c r="I2355" s="550">
        <v>0</v>
      </c>
      <c r="J2355" s="550">
        <v>206</v>
      </c>
      <c r="K2355" s="550">
        <v>0</v>
      </c>
      <c r="L2355" s="550">
        <v>0</v>
      </c>
      <c r="M2355" s="550">
        <v>0</v>
      </c>
      <c r="N2355" s="550">
        <v>217</v>
      </c>
      <c r="O2355" s="550">
        <v>0</v>
      </c>
      <c r="P2355" s="550">
        <v>536</v>
      </c>
      <c r="Q2355" s="550">
        <v>52</v>
      </c>
      <c r="R2355" s="574" t="s">
        <v>709</v>
      </c>
      <c r="S2355" s="552"/>
      <c r="T2355" s="552"/>
      <c r="U2355" s="552"/>
      <c r="V2355" s="552"/>
      <c r="W2355" s="552"/>
      <c r="X2355" s="552"/>
      <c r="Y2355" s="552"/>
      <c r="Z2355" s="552"/>
      <c r="AA2355" s="553"/>
      <c r="AB2355" s="553"/>
    </row>
    <row r="2356" spans="1:28" ht="12.75">
      <c r="A2356" s="547" t="s">
        <v>709</v>
      </c>
      <c r="B2356" s="547" t="s">
        <v>195</v>
      </c>
      <c r="C2356" s="548" t="s">
        <v>177</v>
      </c>
      <c r="D2356" s="549">
        <v>2016</v>
      </c>
      <c r="E2356" s="549" t="s">
        <v>775</v>
      </c>
      <c r="F2356" s="550">
        <v>321</v>
      </c>
      <c r="G2356" s="550">
        <v>33</v>
      </c>
      <c r="H2356" s="550">
        <v>33</v>
      </c>
      <c r="I2356" s="550">
        <v>0</v>
      </c>
      <c r="J2356" s="550">
        <v>206</v>
      </c>
      <c r="K2356" s="550">
        <v>38</v>
      </c>
      <c r="L2356" s="550">
        <v>38</v>
      </c>
      <c r="M2356" s="550">
        <v>0</v>
      </c>
      <c r="N2356" s="550">
        <v>217</v>
      </c>
      <c r="O2356" s="550">
        <v>0</v>
      </c>
      <c r="P2356" s="550">
        <v>536</v>
      </c>
      <c r="Q2356" s="550">
        <v>0</v>
      </c>
      <c r="R2356" s="574" t="s">
        <v>709</v>
      </c>
      <c r="S2356" s="552"/>
      <c r="T2356" s="552"/>
      <c r="U2356" s="552"/>
      <c r="V2356" s="552"/>
      <c r="W2356" s="552"/>
      <c r="X2356" s="552"/>
      <c r="Y2356" s="552"/>
      <c r="Z2356" s="552"/>
      <c r="AA2356" s="553"/>
      <c r="AB2356" s="553"/>
    </row>
    <row r="2357" spans="1:28" ht="12.75">
      <c r="A2357" s="547" t="s">
        <v>709</v>
      </c>
      <c r="B2357" s="547" t="s">
        <v>195</v>
      </c>
      <c r="C2357" s="548" t="s">
        <v>177</v>
      </c>
      <c r="D2357" s="549">
        <v>2017</v>
      </c>
      <c r="E2357" s="549" t="s">
        <v>775</v>
      </c>
      <c r="F2357" s="550">
        <v>321</v>
      </c>
      <c r="G2357" s="550">
        <v>0</v>
      </c>
      <c r="H2357" s="550">
        <v>0</v>
      </c>
      <c r="I2357" s="550">
        <v>0</v>
      </c>
      <c r="J2357" s="550">
        <v>206</v>
      </c>
      <c r="K2357" s="550">
        <v>0</v>
      </c>
      <c r="L2357" s="550">
        <v>0</v>
      </c>
      <c r="M2357" s="550">
        <v>0</v>
      </c>
      <c r="N2357" s="550">
        <v>217</v>
      </c>
      <c r="O2357" s="550">
        <v>0</v>
      </c>
      <c r="P2357" s="550">
        <v>536</v>
      </c>
      <c r="Q2357" s="550">
        <v>13</v>
      </c>
      <c r="R2357" s="574" t="s">
        <v>709</v>
      </c>
      <c r="S2357" s="552"/>
      <c r="T2357" s="552"/>
      <c r="U2357" s="552"/>
      <c r="V2357" s="552"/>
      <c r="W2357" s="552"/>
      <c r="X2357" s="552"/>
      <c r="Y2357" s="552"/>
      <c r="Z2357" s="552"/>
      <c r="AA2357" s="553"/>
      <c r="AB2357" s="553"/>
    </row>
    <row r="2358" spans="1:28" ht="12.75">
      <c r="A2358" s="547" t="s">
        <v>709</v>
      </c>
      <c r="B2358" s="547" t="s">
        <v>195</v>
      </c>
      <c r="C2358" s="548" t="s">
        <v>177</v>
      </c>
      <c r="D2358" s="549">
        <v>2018</v>
      </c>
      <c r="E2358" s="549" t="s">
        <v>775</v>
      </c>
      <c r="F2358" s="550">
        <v>321</v>
      </c>
      <c r="G2358" s="550">
        <v>0</v>
      </c>
      <c r="H2358" s="550">
        <v>0</v>
      </c>
      <c r="I2358" s="550">
        <v>0</v>
      </c>
      <c r="J2358" s="550">
        <v>206</v>
      </c>
      <c r="K2358" s="550">
        <v>0</v>
      </c>
      <c r="L2358" s="550">
        <v>0</v>
      </c>
      <c r="M2358" s="550">
        <v>0</v>
      </c>
      <c r="N2358" s="550">
        <v>217</v>
      </c>
      <c r="O2358" s="550">
        <v>0</v>
      </c>
      <c r="P2358" s="550">
        <v>536</v>
      </c>
      <c r="Q2358" s="550">
        <v>38</v>
      </c>
      <c r="R2358" s="574" t="s">
        <v>709</v>
      </c>
      <c r="S2358" s="552"/>
      <c r="T2358" s="552"/>
      <c r="U2358" s="552"/>
      <c r="V2358" s="552"/>
      <c r="W2358" s="552"/>
      <c r="X2358" s="552"/>
      <c r="Y2358" s="552"/>
      <c r="Z2358" s="552"/>
      <c r="AA2358" s="553"/>
      <c r="AB2358" s="553"/>
    </row>
    <row r="2359" spans="1:28" ht="12.75">
      <c r="A2359" s="547" t="s">
        <v>709</v>
      </c>
      <c r="B2359" s="547" t="s">
        <v>195</v>
      </c>
      <c r="C2359" s="548" t="s">
        <v>811</v>
      </c>
      <c r="D2359" s="549">
        <v>2019</v>
      </c>
      <c r="E2359" s="549" t="s">
        <v>775</v>
      </c>
      <c r="F2359" s="550">
        <v>321</v>
      </c>
      <c r="G2359" s="550">
        <v>0</v>
      </c>
      <c r="H2359" s="550">
        <v>0</v>
      </c>
      <c r="I2359" s="550">
        <v>0</v>
      </c>
      <c r="J2359" s="550">
        <v>206</v>
      </c>
      <c r="K2359" s="550">
        <v>0</v>
      </c>
      <c r="L2359" s="550">
        <v>0</v>
      </c>
      <c r="M2359" s="550">
        <v>0</v>
      </c>
      <c r="N2359" s="550">
        <v>217</v>
      </c>
      <c r="O2359" s="550">
        <v>0</v>
      </c>
      <c r="P2359" s="550">
        <v>536</v>
      </c>
      <c r="Q2359" s="550">
        <v>18</v>
      </c>
      <c r="R2359" s="574" t="s">
        <v>709</v>
      </c>
      <c r="S2359" s="255">
        <f>SUM(G2355:G2359) +SUM(K2355:K2359)</f>
        <v>71</v>
      </c>
      <c r="T2359" s="255">
        <f>F2359+J2359</f>
        <v>527</v>
      </c>
      <c r="U2359" s="255">
        <f>SUM(O2355:O2359)</f>
        <v>0</v>
      </c>
      <c r="V2359" s="255">
        <f>N2359</f>
        <v>217</v>
      </c>
      <c r="W2359" s="83">
        <f>SUM(Q2355:Q2359)</f>
        <v>121</v>
      </c>
      <c r="X2359" s="255">
        <f>P2359</f>
        <v>536</v>
      </c>
      <c r="Y2359" s="255">
        <f>S2359+U2359+SUM(Q2355:Q2359)</f>
        <v>192</v>
      </c>
      <c r="Z2359" s="255">
        <f>F2359+J2359+N2359+P2359</f>
        <v>1280</v>
      </c>
      <c r="AA2359" s="553"/>
      <c r="AB2359" s="553"/>
    </row>
    <row r="2360" spans="1:28" ht="12.75">
      <c r="A2360" s="547" t="s">
        <v>710</v>
      </c>
      <c r="B2360" s="547" t="s">
        <v>195</v>
      </c>
      <c r="C2360" s="548" t="s">
        <v>177</v>
      </c>
      <c r="D2360" s="549">
        <v>2015</v>
      </c>
      <c r="E2360" s="549" t="s">
        <v>775</v>
      </c>
      <c r="F2360" s="550">
        <v>538</v>
      </c>
      <c r="G2360" s="550">
        <v>0</v>
      </c>
      <c r="H2360" s="550">
        <v>0</v>
      </c>
      <c r="I2360" s="550">
        <v>0</v>
      </c>
      <c r="J2360" s="550">
        <v>345</v>
      </c>
      <c r="K2360" s="550">
        <v>0</v>
      </c>
      <c r="L2360" s="550">
        <v>0</v>
      </c>
      <c r="M2360" s="550">
        <v>0</v>
      </c>
      <c r="N2360" s="550">
        <v>391</v>
      </c>
      <c r="O2360" s="550">
        <v>30</v>
      </c>
      <c r="P2360" s="550">
        <v>967</v>
      </c>
      <c r="Q2360" s="550">
        <v>76</v>
      </c>
      <c r="R2360" s="574" t="s">
        <v>710</v>
      </c>
      <c r="S2360" s="552"/>
      <c r="T2360" s="552"/>
      <c r="U2360" s="552"/>
      <c r="V2360" s="552"/>
      <c r="W2360" s="552"/>
      <c r="X2360" s="552"/>
      <c r="Y2360" s="552"/>
      <c r="Z2360" s="552"/>
      <c r="AA2360" s="553"/>
      <c r="AB2360" s="553"/>
    </row>
    <row r="2361" spans="1:28" ht="12.75">
      <c r="A2361" s="547" t="s">
        <v>710</v>
      </c>
      <c r="B2361" s="547" t="s">
        <v>195</v>
      </c>
      <c r="C2361" s="548" t="s">
        <v>177</v>
      </c>
      <c r="D2361" s="549">
        <v>2016</v>
      </c>
      <c r="E2361" s="549" t="s">
        <v>775</v>
      </c>
      <c r="F2361" s="550">
        <v>538</v>
      </c>
      <c r="G2361" s="550">
        <v>0</v>
      </c>
      <c r="H2361" s="550">
        <v>0</v>
      </c>
      <c r="I2361" s="550">
        <v>0</v>
      </c>
      <c r="J2361" s="550">
        <v>345</v>
      </c>
      <c r="K2361" s="550">
        <v>10</v>
      </c>
      <c r="L2361" s="550">
        <v>0</v>
      </c>
      <c r="M2361" s="550">
        <v>10</v>
      </c>
      <c r="N2361" s="550">
        <v>391</v>
      </c>
      <c r="O2361" s="550">
        <v>3</v>
      </c>
      <c r="P2361" s="550">
        <v>967</v>
      </c>
      <c r="Q2361" s="550">
        <v>121</v>
      </c>
      <c r="R2361" s="574" t="s">
        <v>710</v>
      </c>
      <c r="S2361" s="552"/>
      <c r="T2361" s="552"/>
      <c r="U2361" s="552"/>
      <c r="V2361" s="552"/>
      <c r="W2361" s="552"/>
      <c r="X2361" s="552"/>
      <c r="Y2361" s="552"/>
      <c r="Z2361" s="552"/>
      <c r="AA2361" s="553"/>
      <c r="AB2361" s="553"/>
    </row>
    <row r="2362" spans="1:28" ht="12.75">
      <c r="A2362" s="547" t="s">
        <v>710</v>
      </c>
      <c r="B2362" s="547" t="s">
        <v>195</v>
      </c>
      <c r="C2362" s="548" t="s">
        <v>177</v>
      </c>
      <c r="D2362" s="549">
        <v>2017</v>
      </c>
      <c r="E2362" s="549" t="s">
        <v>775</v>
      </c>
      <c r="F2362" s="550">
        <v>538</v>
      </c>
      <c r="G2362" s="550">
        <v>0</v>
      </c>
      <c r="H2362" s="550">
        <v>0</v>
      </c>
      <c r="I2362" s="550">
        <v>0</v>
      </c>
      <c r="J2362" s="550">
        <v>345</v>
      </c>
      <c r="K2362" s="550">
        <v>0</v>
      </c>
      <c r="L2362" s="550">
        <v>0</v>
      </c>
      <c r="M2362" s="550">
        <v>0</v>
      </c>
      <c r="N2362" s="550">
        <v>391</v>
      </c>
      <c r="O2362" s="550">
        <v>11</v>
      </c>
      <c r="P2362" s="550">
        <v>967</v>
      </c>
      <c r="Q2362" s="550">
        <v>120</v>
      </c>
      <c r="R2362" s="574" t="s">
        <v>710</v>
      </c>
      <c r="S2362" s="552"/>
      <c r="T2362" s="552"/>
      <c r="U2362" s="552"/>
      <c r="V2362" s="552"/>
      <c r="W2362" s="552"/>
      <c r="X2362" s="552"/>
      <c r="Y2362" s="552"/>
      <c r="Z2362" s="552"/>
      <c r="AA2362" s="553"/>
      <c r="AB2362" s="553"/>
    </row>
    <row r="2363" spans="1:28" ht="12.75">
      <c r="A2363" s="547" t="s">
        <v>710</v>
      </c>
      <c r="B2363" s="547" t="s">
        <v>195</v>
      </c>
      <c r="C2363" s="548" t="s">
        <v>177</v>
      </c>
      <c r="D2363" s="549">
        <v>2018</v>
      </c>
      <c r="E2363" s="549" t="s">
        <v>775</v>
      </c>
      <c r="F2363" s="550">
        <v>538</v>
      </c>
      <c r="G2363" s="550">
        <v>0</v>
      </c>
      <c r="H2363" s="550">
        <v>0</v>
      </c>
      <c r="I2363" s="550">
        <v>0</v>
      </c>
      <c r="J2363" s="550">
        <v>345</v>
      </c>
      <c r="K2363" s="550">
        <v>6</v>
      </c>
      <c r="L2363" s="550">
        <v>0</v>
      </c>
      <c r="M2363" s="550">
        <v>6</v>
      </c>
      <c r="N2363" s="550">
        <v>391</v>
      </c>
      <c r="O2363" s="550">
        <v>0</v>
      </c>
      <c r="P2363" s="550">
        <v>967</v>
      </c>
      <c r="Q2363" s="550">
        <v>108</v>
      </c>
      <c r="R2363" s="574" t="s">
        <v>710</v>
      </c>
      <c r="S2363" s="552"/>
      <c r="T2363" s="552"/>
      <c r="U2363" s="552"/>
      <c r="V2363" s="552"/>
      <c r="W2363" s="552"/>
      <c r="X2363" s="552"/>
      <c r="Y2363" s="552"/>
      <c r="Z2363" s="552"/>
      <c r="AA2363" s="553"/>
      <c r="AB2363" s="553"/>
    </row>
    <row r="2364" spans="1:28" ht="12.75">
      <c r="A2364" s="547" t="s">
        <v>710</v>
      </c>
      <c r="B2364" s="547" t="s">
        <v>195</v>
      </c>
      <c r="C2364" s="548" t="s">
        <v>811</v>
      </c>
      <c r="D2364" s="549">
        <v>2019</v>
      </c>
      <c r="E2364" s="549" t="s">
        <v>775</v>
      </c>
      <c r="F2364" s="550">
        <v>538</v>
      </c>
      <c r="G2364" s="550">
        <v>0</v>
      </c>
      <c r="H2364" s="550">
        <v>0</v>
      </c>
      <c r="I2364" s="550">
        <v>0</v>
      </c>
      <c r="J2364" s="550">
        <v>345</v>
      </c>
      <c r="K2364" s="550">
        <v>13</v>
      </c>
      <c r="L2364" s="550">
        <v>0</v>
      </c>
      <c r="M2364" s="550">
        <v>13</v>
      </c>
      <c r="N2364" s="550">
        <v>391</v>
      </c>
      <c r="O2364" s="550">
        <v>0</v>
      </c>
      <c r="P2364" s="550">
        <v>967</v>
      </c>
      <c r="Q2364" s="550">
        <v>54</v>
      </c>
      <c r="R2364" s="574" t="s">
        <v>710</v>
      </c>
      <c r="S2364" s="255">
        <f>SUM(G2360:G2364) +SUM(K2360:K2364)</f>
        <v>29</v>
      </c>
      <c r="T2364" s="255">
        <f>F2364+J2364</f>
        <v>883</v>
      </c>
      <c r="U2364" s="255">
        <f>SUM(O2360:O2364)</f>
        <v>44</v>
      </c>
      <c r="V2364" s="255">
        <f>N2364</f>
        <v>391</v>
      </c>
      <c r="W2364" s="83">
        <f>SUM(Q2360:Q2364)</f>
        <v>479</v>
      </c>
      <c r="X2364" s="255">
        <f>P2364</f>
        <v>967</v>
      </c>
      <c r="Y2364" s="255">
        <f>S2364+U2364+SUM(Q2360:Q2364)</f>
        <v>552</v>
      </c>
      <c r="Z2364" s="255">
        <f>F2364+J2364+N2364+P2364</f>
        <v>2241</v>
      </c>
      <c r="AA2364" s="553"/>
      <c r="AB2364" s="553"/>
    </row>
    <row r="2365" spans="1:28" ht="12.75">
      <c r="A2365" s="547" t="s">
        <v>711</v>
      </c>
      <c r="B2365" s="547" t="s">
        <v>195</v>
      </c>
      <c r="C2365" s="548" t="s">
        <v>177</v>
      </c>
      <c r="D2365" s="549">
        <v>2015</v>
      </c>
      <c r="E2365" s="549" t="s">
        <v>775</v>
      </c>
      <c r="F2365" s="550">
        <v>877</v>
      </c>
      <c r="G2365" s="550">
        <v>1</v>
      </c>
      <c r="H2365" s="550">
        <v>1</v>
      </c>
      <c r="I2365" s="550">
        <v>0</v>
      </c>
      <c r="J2365" s="550">
        <v>562</v>
      </c>
      <c r="K2365" s="550">
        <v>3</v>
      </c>
      <c r="L2365" s="550">
        <v>3</v>
      </c>
      <c r="M2365" s="550">
        <v>0</v>
      </c>
      <c r="N2365" s="550">
        <v>627</v>
      </c>
      <c r="O2365" s="550">
        <v>41</v>
      </c>
      <c r="P2365" s="550">
        <v>1552</v>
      </c>
      <c r="Q2365" s="550">
        <v>15</v>
      </c>
      <c r="R2365" s="574" t="s">
        <v>711</v>
      </c>
      <c r="S2365" s="552"/>
      <c r="T2365" s="552"/>
      <c r="U2365" s="552"/>
      <c r="V2365" s="552"/>
      <c r="W2365" s="552"/>
      <c r="X2365" s="552"/>
      <c r="Y2365" s="552"/>
      <c r="Z2365" s="552"/>
      <c r="AA2365" s="553"/>
      <c r="AB2365" s="553"/>
    </row>
    <row r="2366" spans="1:28" ht="12.75">
      <c r="A2366" s="547" t="s">
        <v>711</v>
      </c>
      <c r="B2366" s="547" t="s">
        <v>195</v>
      </c>
      <c r="C2366" s="548" t="s">
        <v>177</v>
      </c>
      <c r="D2366" s="549">
        <v>2016</v>
      </c>
      <c r="E2366" s="549" t="s">
        <v>775</v>
      </c>
      <c r="F2366" s="550">
        <v>877</v>
      </c>
      <c r="G2366" s="550">
        <v>1</v>
      </c>
      <c r="H2366" s="550">
        <v>1</v>
      </c>
      <c r="I2366" s="550">
        <v>0</v>
      </c>
      <c r="J2366" s="550">
        <v>562</v>
      </c>
      <c r="K2366" s="550">
        <v>120</v>
      </c>
      <c r="L2366" s="550">
        <v>120</v>
      </c>
      <c r="M2366" s="550">
        <v>0</v>
      </c>
      <c r="N2366" s="550">
        <v>627</v>
      </c>
      <c r="O2366" s="550">
        <v>547</v>
      </c>
      <c r="P2366" s="550">
        <v>1552</v>
      </c>
      <c r="Q2366" s="550">
        <v>13</v>
      </c>
      <c r="R2366" s="574" t="s">
        <v>711</v>
      </c>
      <c r="S2366" s="552"/>
      <c r="T2366" s="552"/>
      <c r="U2366" s="552"/>
      <c r="V2366" s="552"/>
      <c r="W2366" s="552"/>
      <c r="X2366" s="552"/>
      <c r="Y2366" s="552"/>
      <c r="Z2366" s="552"/>
      <c r="AA2366" s="553"/>
      <c r="AB2366" s="553"/>
    </row>
    <row r="2367" spans="1:28" ht="12.75">
      <c r="A2367" s="547" t="s">
        <v>711</v>
      </c>
      <c r="B2367" s="547" t="s">
        <v>195</v>
      </c>
      <c r="C2367" s="548" t="s">
        <v>177</v>
      </c>
      <c r="D2367" s="549">
        <v>2017</v>
      </c>
      <c r="E2367" s="549" t="s">
        <v>775</v>
      </c>
      <c r="F2367" s="550">
        <v>877</v>
      </c>
      <c r="G2367" s="550">
        <v>0</v>
      </c>
      <c r="H2367" s="550">
        <v>0</v>
      </c>
      <c r="I2367" s="550">
        <v>0</v>
      </c>
      <c r="J2367" s="550">
        <v>562</v>
      </c>
      <c r="K2367" s="550">
        <v>0</v>
      </c>
      <c r="L2367" s="550">
        <v>0</v>
      </c>
      <c r="M2367" s="550">
        <v>0</v>
      </c>
      <c r="N2367" s="550">
        <v>627</v>
      </c>
      <c r="O2367" s="550">
        <v>3</v>
      </c>
      <c r="P2367" s="550">
        <v>1552</v>
      </c>
      <c r="Q2367" s="550">
        <v>18</v>
      </c>
      <c r="R2367" s="574" t="s">
        <v>711</v>
      </c>
      <c r="S2367" s="552"/>
      <c r="T2367" s="552"/>
      <c r="U2367" s="552"/>
      <c r="V2367" s="552"/>
      <c r="W2367" s="552"/>
      <c r="X2367" s="552"/>
      <c r="Y2367" s="552"/>
      <c r="Z2367" s="552"/>
      <c r="AA2367" s="553"/>
      <c r="AB2367" s="553"/>
    </row>
    <row r="2368" spans="1:28" ht="12.75">
      <c r="A2368" s="547" t="s">
        <v>711</v>
      </c>
      <c r="B2368" s="547" t="s">
        <v>195</v>
      </c>
      <c r="C2368" s="548" t="s">
        <v>811</v>
      </c>
      <c r="D2368" s="549">
        <v>2019</v>
      </c>
      <c r="E2368" s="549" t="s">
        <v>775</v>
      </c>
      <c r="F2368" s="550">
        <v>877</v>
      </c>
      <c r="G2368" s="550">
        <v>16</v>
      </c>
      <c r="H2368" s="550">
        <v>16</v>
      </c>
      <c r="I2368" s="550">
        <v>0</v>
      </c>
      <c r="J2368" s="550">
        <v>562</v>
      </c>
      <c r="K2368" s="550">
        <v>114</v>
      </c>
      <c r="L2368" s="550">
        <v>45</v>
      </c>
      <c r="M2368" s="550">
        <v>69</v>
      </c>
      <c r="N2368" s="550">
        <v>627</v>
      </c>
      <c r="O2368" s="550">
        <v>6</v>
      </c>
      <c r="P2368" s="550">
        <v>1552</v>
      </c>
      <c r="Q2368" s="550">
        <v>95</v>
      </c>
      <c r="R2368" s="574" t="s">
        <v>711</v>
      </c>
      <c r="S2368" s="255">
        <f>SUM(G2365:G2368) +SUM(K2365:K2368)</f>
        <v>255</v>
      </c>
      <c r="T2368" s="255">
        <f>F2368+J2368</f>
        <v>1439</v>
      </c>
      <c r="U2368" s="255">
        <f>SUM(O2365:O2368)</f>
        <v>597</v>
      </c>
      <c r="V2368" s="255">
        <f>N2368</f>
        <v>627</v>
      </c>
      <c r="W2368" s="83">
        <f>SUM(Q2365:Q2368)</f>
        <v>141</v>
      </c>
      <c r="X2368" s="255">
        <f>P2368</f>
        <v>1552</v>
      </c>
      <c r="Y2368" s="255">
        <f>S2368+U2368+SUM(Q2365:Q2368)</f>
        <v>993</v>
      </c>
      <c r="Z2368" s="255">
        <f>F2368+J2368+N2368+P2368</f>
        <v>3618</v>
      </c>
      <c r="AA2368" s="553"/>
      <c r="AB2368" s="553"/>
    </row>
    <row r="2369" spans="1:28" ht="12.75">
      <c r="A2369" s="547" t="s">
        <v>712</v>
      </c>
      <c r="B2369" s="547" t="s">
        <v>195</v>
      </c>
      <c r="C2369" s="548" t="s">
        <v>177</v>
      </c>
      <c r="D2369" s="549">
        <v>2018</v>
      </c>
      <c r="E2369" s="549" t="s">
        <v>775</v>
      </c>
      <c r="F2369" s="550">
        <v>131</v>
      </c>
      <c r="G2369" s="550">
        <v>0</v>
      </c>
      <c r="H2369" s="550">
        <v>0</v>
      </c>
      <c r="I2369" s="550">
        <v>0</v>
      </c>
      <c r="J2369" s="550">
        <v>84</v>
      </c>
      <c r="K2369" s="550">
        <v>0</v>
      </c>
      <c r="L2369" s="550">
        <v>0</v>
      </c>
      <c r="M2369" s="550">
        <v>0</v>
      </c>
      <c r="N2369" s="550">
        <v>89</v>
      </c>
      <c r="O2369" s="550">
        <v>0</v>
      </c>
      <c r="P2369" s="550">
        <v>221</v>
      </c>
      <c r="Q2369" s="550">
        <v>8</v>
      </c>
      <c r="R2369" s="574" t="s">
        <v>712</v>
      </c>
      <c r="S2369" s="552"/>
      <c r="T2369" s="552"/>
      <c r="U2369" s="552"/>
      <c r="V2369" s="552"/>
      <c r="W2369" s="552"/>
      <c r="X2369" s="552"/>
      <c r="Y2369" s="552"/>
      <c r="Z2369" s="552"/>
      <c r="AA2369" s="553"/>
      <c r="AB2369" s="553"/>
    </row>
    <row r="2370" spans="1:28" ht="12.75">
      <c r="A2370" s="547" t="s">
        <v>712</v>
      </c>
      <c r="B2370" s="547" t="s">
        <v>195</v>
      </c>
      <c r="C2370" s="548" t="s">
        <v>811</v>
      </c>
      <c r="D2370" s="549">
        <v>2019</v>
      </c>
      <c r="E2370" s="549" t="s">
        <v>775</v>
      </c>
      <c r="F2370" s="550">
        <v>131</v>
      </c>
      <c r="G2370" s="550">
        <v>0</v>
      </c>
      <c r="H2370" s="550">
        <v>0</v>
      </c>
      <c r="I2370" s="550">
        <v>0</v>
      </c>
      <c r="J2370" s="550">
        <v>84</v>
      </c>
      <c r="K2370" s="550">
        <v>0</v>
      </c>
      <c r="L2370" s="550">
        <v>0</v>
      </c>
      <c r="M2370" s="550">
        <v>0</v>
      </c>
      <c r="N2370" s="550">
        <v>89</v>
      </c>
      <c r="O2370" s="550">
        <v>0</v>
      </c>
      <c r="P2370" s="550">
        <v>221</v>
      </c>
      <c r="Q2370" s="550">
        <v>21</v>
      </c>
      <c r="R2370" s="574" t="s">
        <v>712</v>
      </c>
      <c r="S2370" s="561">
        <f>SUM(G2369:G2370) +SUM(K2369:K2370)</f>
        <v>0</v>
      </c>
      <c r="T2370" s="561">
        <f>F2370+J2370</f>
        <v>215</v>
      </c>
      <c r="U2370" s="561">
        <f>SUM(O2369:O2370)</f>
        <v>0</v>
      </c>
      <c r="V2370" s="561">
        <f>N2370</f>
        <v>89</v>
      </c>
      <c r="W2370" s="562">
        <f>SUM(Q2369:Q2370)</f>
        <v>29</v>
      </c>
      <c r="X2370" s="561">
        <f>P2370</f>
        <v>221</v>
      </c>
      <c r="Y2370" s="561">
        <f>S2370+U2370+SUM(Q2369:Q2370)</f>
        <v>29</v>
      </c>
      <c r="Z2370" s="561">
        <f>F2370+J2370+N2370+P2370</f>
        <v>525</v>
      </c>
      <c r="AA2370" s="553"/>
      <c r="AB2370" s="553"/>
    </row>
    <row r="2371" spans="1:28" ht="12.75">
      <c r="A2371" s="547"/>
      <c r="B2371" s="547"/>
      <c r="C2371" s="548"/>
      <c r="D2371" s="549"/>
      <c r="E2371" s="549"/>
      <c r="F2371" s="550"/>
      <c r="G2371" s="550"/>
      <c r="H2371" s="550"/>
      <c r="I2371" s="550"/>
      <c r="J2371" s="550"/>
      <c r="K2371" s="550"/>
      <c r="L2371" s="550"/>
      <c r="M2371" s="550"/>
      <c r="N2371" s="550"/>
      <c r="O2371" s="550"/>
      <c r="P2371" s="550"/>
      <c r="Q2371" s="550"/>
      <c r="R2371" s="574"/>
      <c r="S2371" s="563">
        <f t="shared" ref="S2371:Z2371" si="234">SUM(S2335:S2370)</f>
        <v>474</v>
      </c>
      <c r="T2371" s="563">
        <f t="shared" si="234"/>
        <v>7531</v>
      </c>
      <c r="U2371" s="563">
        <f t="shared" si="234"/>
        <v>1012</v>
      </c>
      <c r="V2371" s="563">
        <f t="shared" si="234"/>
        <v>3254</v>
      </c>
      <c r="W2371" s="563">
        <f t="shared" si="234"/>
        <v>1790</v>
      </c>
      <c r="X2371" s="563">
        <f t="shared" si="234"/>
        <v>8054</v>
      </c>
      <c r="Y2371" s="563">
        <f t="shared" si="234"/>
        <v>3276</v>
      </c>
      <c r="Z2371" s="563">
        <f t="shared" si="234"/>
        <v>18839</v>
      </c>
      <c r="AA2371" s="553"/>
      <c r="AB2371" s="553"/>
    </row>
    <row r="2372" spans="1:28" ht="12.75">
      <c r="A2372" s="547" t="s">
        <v>713</v>
      </c>
      <c r="B2372" s="547" t="s">
        <v>196</v>
      </c>
      <c r="C2372" s="548" t="s">
        <v>799</v>
      </c>
      <c r="D2372" s="549">
        <v>2013</v>
      </c>
      <c r="E2372" s="549" t="s">
        <v>775</v>
      </c>
      <c r="F2372" s="550">
        <v>104</v>
      </c>
      <c r="G2372" s="550">
        <v>0</v>
      </c>
      <c r="H2372" s="550">
        <v>0</v>
      </c>
      <c r="I2372" s="550">
        <v>0</v>
      </c>
      <c r="J2372" s="550">
        <v>72</v>
      </c>
      <c r="K2372" s="550">
        <v>0</v>
      </c>
      <c r="L2372" s="550">
        <v>0</v>
      </c>
      <c r="M2372" s="550">
        <v>0</v>
      </c>
      <c r="N2372" s="550">
        <v>83</v>
      </c>
      <c r="O2372" s="550">
        <v>0</v>
      </c>
      <c r="P2372" s="550">
        <v>190</v>
      </c>
      <c r="Q2372" s="550">
        <v>0</v>
      </c>
      <c r="R2372" s="574" t="s">
        <v>713</v>
      </c>
      <c r="S2372" s="552"/>
      <c r="T2372" s="552"/>
      <c r="U2372" s="552"/>
      <c r="V2372" s="552"/>
      <c r="W2372" s="552"/>
      <c r="X2372" s="552"/>
      <c r="Y2372" s="552"/>
      <c r="Z2372" s="552"/>
      <c r="AA2372" s="553"/>
      <c r="AB2372" s="553"/>
    </row>
    <row r="2373" spans="1:28" ht="12.75">
      <c r="A2373" s="547" t="s">
        <v>713</v>
      </c>
      <c r="B2373" s="547" t="s">
        <v>196</v>
      </c>
      <c r="C2373" s="548" t="s">
        <v>799</v>
      </c>
      <c r="D2373" s="549">
        <v>2014</v>
      </c>
      <c r="E2373" s="549" t="s">
        <v>775</v>
      </c>
      <c r="F2373" s="550">
        <v>104</v>
      </c>
      <c r="G2373" s="550">
        <v>0</v>
      </c>
      <c r="H2373" s="550">
        <v>0</v>
      </c>
      <c r="I2373" s="550">
        <v>0</v>
      </c>
      <c r="J2373" s="550">
        <v>72</v>
      </c>
      <c r="K2373" s="550">
        <v>0</v>
      </c>
      <c r="L2373" s="550">
        <v>0</v>
      </c>
      <c r="M2373" s="550">
        <v>0</v>
      </c>
      <c r="N2373" s="550">
        <v>83</v>
      </c>
      <c r="O2373" s="550">
        <v>1</v>
      </c>
      <c r="P2373" s="550">
        <v>190</v>
      </c>
      <c r="Q2373" s="550">
        <v>0</v>
      </c>
      <c r="R2373" s="574" t="s">
        <v>713</v>
      </c>
      <c r="S2373" s="552"/>
      <c r="T2373" s="552"/>
      <c r="U2373" s="552"/>
      <c r="V2373" s="552"/>
      <c r="W2373" s="552"/>
      <c r="X2373" s="552"/>
      <c r="Y2373" s="552"/>
      <c r="Z2373" s="552"/>
      <c r="AA2373" s="553"/>
      <c r="AB2373" s="553"/>
    </row>
    <row r="2374" spans="1:28" ht="12.75">
      <c r="A2374" s="547" t="s">
        <v>713</v>
      </c>
      <c r="B2374" s="547" t="s">
        <v>196</v>
      </c>
      <c r="C2374" s="548" t="s">
        <v>799</v>
      </c>
      <c r="D2374" s="549">
        <v>2015</v>
      </c>
      <c r="E2374" s="549" t="s">
        <v>775</v>
      </c>
      <c r="F2374" s="550">
        <v>104</v>
      </c>
      <c r="G2374" s="550">
        <v>46</v>
      </c>
      <c r="H2374" s="550">
        <v>46</v>
      </c>
      <c r="I2374" s="550">
        <v>0</v>
      </c>
      <c r="J2374" s="550">
        <v>72</v>
      </c>
      <c r="K2374" s="550">
        <v>37</v>
      </c>
      <c r="L2374" s="550">
        <v>37</v>
      </c>
      <c r="M2374" s="550">
        <v>0</v>
      </c>
      <c r="N2374" s="550">
        <v>83</v>
      </c>
      <c r="O2374" s="550">
        <v>2</v>
      </c>
      <c r="P2374" s="550">
        <v>190</v>
      </c>
      <c r="Q2374" s="550">
        <v>2</v>
      </c>
      <c r="R2374" s="574" t="s">
        <v>713</v>
      </c>
      <c r="S2374" s="552"/>
      <c r="T2374" s="552"/>
      <c r="U2374" s="552"/>
      <c r="V2374" s="552"/>
      <c r="W2374" s="552"/>
      <c r="X2374" s="552"/>
      <c r="Y2374" s="552"/>
      <c r="Z2374" s="552"/>
      <c r="AA2374" s="553"/>
      <c r="AB2374" s="553"/>
    </row>
    <row r="2375" spans="1:28" ht="12.75">
      <c r="A2375" s="547" t="s">
        <v>713</v>
      </c>
      <c r="B2375" s="547" t="s">
        <v>196</v>
      </c>
      <c r="C2375" s="548" t="s">
        <v>799</v>
      </c>
      <c r="D2375" s="549">
        <v>2016</v>
      </c>
      <c r="E2375" s="549" t="s">
        <v>775</v>
      </c>
      <c r="F2375" s="550">
        <v>104</v>
      </c>
      <c r="G2375" s="550">
        <v>0</v>
      </c>
      <c r="H2375" s="550">
        <v>0</v>
      </c>
      <c r="I2375" s="550">
        <v>0</v>
      </c>
      <c r="J2375" s="550">
        <v>72</v>
      </c>
      <c r="K2375" s="550">
        <v>0</v>
      </c>
      <c r="L2375" s="550">
        <v>0</v>
      </c>
      <c r="M2375" s="550">
        <v>0</v>
      </c>
      <c r="N2375" s="550">
        <v>83</v>
      </c>
      <c r="O2375" s="550">
        <v>0</v>
      </c>
      <c r="P2375" s="550">
        <v>190</v>
      </c>
      <c r="Q2375" s="550">
        <v>2</v>
      </c>
      <c r="R2375" s="574" t="s">
        <v>713</v>
      </c>
      <c r="S2375" s="552"/>
      <c r="T2375" s="552"/>
      <c r="U2375" s="552"/>
      <c r="V2375" s="552"/>
      <c r="W2375" s="552"/>
      <c r="X2375" s="552"/>
      <c r="Y2375" s="552"/>
      <c r="Z2375" s="552"/>
      <c r="AA2375" s="553"/>
      <c r="AB2375" s="553"/>
    </row>
    <row r="2376" spans="1:28" ht="12.75">
      <c r="A2376" s="547" t="s">
        <v>713</v>
      </c>
      <c r="B2376" s="547" t="s">
        <v>196</v>
      </c>
      <c r="C2376" s="548" t="s">
        <v>799</v>
      </c>
      <c r="D2376" s="549">
        <v>2017</v>
      </c>
      <c r="E2376" s="549" t="s">
        <v>775</v>
      </c>
      <c r="F2376" s="550">
        <v>104</v>
      </c>
      <c r="G2376" s="550">
        <v>0</v>
      </c>
      <c r="H2376" s="550">
        <v>0</v>
      </c>
      <c r="I2376" s="550">
        <v>0</v>
      </c>
      <c r="J2376" s="550">
        <v>72</v>
      </c>
      <c r="K2376" s="550">
        <v>0</v>
      </c>
      <c r="L2376" s="550">
        <v>0</v>
      </c>
      <c r="M2376" s="550">
        <v>0</v>
      </c>
      <c r="N2376" s="550">
        <v>83</v>
      </c>
      <c r="O2376" s="550">
        <v>0</v>
      </c>
      <c r="P2376" s="550">
        <v>190</v>
      </c>
      <c r="Q2376" s="550">
        <v>1</v>
      </c>
      <c r="R2376" s="574" t="s">
        <v>713</v>
      </c>
      <c r="S2376" s="552"/>
      <c r="T2376" s="552"/>
      <c r="U2376" s="552"/>
      <c r="V2376" s="552"/>
      <c r="W2376" s="552"/>
      <c r="X2376" s="552"/>
      <c r="Y2376" s="552"/>
      <c r="Z2376" s="552"/>
      <c r="AA2376" s="553"/>
      <c r="AB2376" s="553"/>
    </row>
    <row r="2377" spans="1:28" ht="12.75">
      <c r="A2377" s="547" t="s">
        <v>713</v>
      </c>
      <c r="B2377" s="547" t="s">
        <v>196</v>
      </c>
      <c r="C2377" s="548" t="s">
        <v>799</v>
      </c>
      <c r="D2377" s="549">
        <v>2018</v>
      </c>
      <c r="E2377" s="549" t="s">
        <v>775</v>
      </c>
      <c r="F2377" s="550">
        <v>104</v>
      </c>
      <c r="G2377" s="550">
        <v>0</v>
      </c>
      <c r="H2377" s="550">
        <v>0</v>
      </c>
      <c r="I2377" s="550">
        <v>0</v>
      </c>
      <c r="J2377" s="550">
        <v>72</v>
      </c>
      <c r="K2377" s="550">
        <v>0</v>
      </c>
      <c r="L2377" s="550">
        <v>0</v>
      </c>
      <c r="M2377" s="550">
        <v>0</v>
      </c>
      <c r="N2377" s="550">
        <v>83</v>
      </c>
      <c r="O2377" s="550">
        <v>0</v>
      </c>
      <c r="P2377" s="550">
        <v>190</v>
      </c>
      <c r="Q2377" s="550">
        <v>52</v>
      </c>
      <c r="R2377" s="574" t="s">
        <v>713</v>
      </c>
      <c r="S2377" s="552"/>
      <c r="T2377" s="552"/>
      <c r="U2377" s="552"/>
      <c r="V2377" s="552"/>
      <c r="W2377" s="552"/>
      <c r="X2377" s="552"/>
      <c r="Y2377" s="552"/>
      <c r="Z2377" s="552"/>
      <c r="AA2377" s="553"/>
      <c r="AB2377" s="553"/>
    </row>
    <row r="2378" spans="1:28" ht="12.75">
      <c r="A2378" s="547" t="s">
        <v>713</v>
      </c>
      <c r="B2378" s="547" t="s">
        <v>196</v>
      </c>
      <c r="C2378" s="548" t="s">
        <v>801</v>
      </c>
      <c r="D2378" s="549">
        <v>2019</v>
      </c>
      <c r="E2378" s="549" t="s">
        <v>775</v>
      </c>
      <c r="F2378" s="550">
        <v>104</v>
      </c>
      <c r="G2378" s="550">
        <v>0</v>
      </c>
      <c r="H2378" s="550">
        <v>0</v>
      </c>
      <c r="I2378" s="550">
        <v>0</v>
      </c>
      <c r="J2378" s="550">
        <v>72</v>
      </c>
      <c r="K2378" s="550">
        <v>0</v>
      </c>
      <c r="L2378" s="550">
        <v>0</v>
      </c>
      <c r="M2378" s="550">
        <v>0</v>
      </c>
      <c r="N2378" s="550">
        <v>83</v>
      </c>
      <c r="O2378" s="550">
        <v>0</v>
      </c>
      <c r="P2378" s="550">
        <v>190</v>
      </c>
      <c r="Q2378" s="550">
        <v>50</v>
      </c>
      <c r="R2378" s="574" t="s">
        <v>713</v>
      </c>
      <c r="S2378" s="552">
        <f>SUM(G2372:G2378) +SUM(K2372:K2378)</f>
        <v>83</v>
      </c>
      <c r="T2378" s="552">
        <f>F2378+J2378</f>
        <v>176</v>
      </c>
      <c r="U2378" s="552">
        <f>SUM(O2372:O2378)</f>
        <v>3</v>
      </c>
      <c r="V2378" s="552">
        <f>N2378</f>
        <v>83</v>
      </c>
      <c r="W2378" s="554">
        <f>SUM(Q2372:Q2378)</f>
        <v>107</v>
      </c>
      <c r="X2378" s="552">
        <f>P2378</f>
        <v>190</v>
      </c>
      <c r="Y2378" s="552">
        <f>S2378+U2378+SUM(Q2372:Q2378)</f>
        <v>193</v>
      </c>
      <c r="Z2378" s="552">
        <f>F2378+J2378+N2378+P2378</f>
        <v>449</v>
      </c>
      <c r="AA2378" s="553"/>
      <c r="AB2378" s="553"/>
    </row>
    <row r="2379" spans="1:28" ht="12.75">
      <c r="A2379" s="547" t="s">
        <v>714</v>
      </c>
      <c r="B2379" s="547" t="s">
        <v>196</v>
      </c>
      <c r="C2379" s="548" t="s">
        <v>799</v>
      </c>
      <c r="D2379" s="549">
        <v>2013</v>
      </c>
      <c r="E2379" s="549" t="s">
        <v>775</v>
      </c>
      <c r="F2379" s="550">
        <v>85</v>
      </c>
      <c r="G2379" s="550">
        <v>0</v>
      </c>
      <c r="H2379" s="550">
        <v>0</v>
      </c>
      <c r="I2379" s="550">
        <v>0</v>
      </c>
      <c r="J2379" s="550">
        <v>60</v>
      </c>
      <c r="K2379" s="550">
        <v>0</v>
      </c>
      <c r="L2379" s="550">
        <v>0</v>
      </c>
      <c r="M2379" s="550">
        <v>0</v>
      </c>
      <c r="N2379" s="550">
        <v>62</v>
      </c>
      <c r="O2379" s="550">
        <v>4</v>
      </c>
      <c r="P2379" s="550">
        <v>128</v>
      </c>
      <c r="Q2379" s="550">
        <v>8</v>
      </c>
      <c r="R2379" s="574" t="s">
        <v>714</v>
      </c>
      <c r="S2379" s="552"/>
      <c r="T2379" s="552"/>
      <c r="U2379" s="552"/>
      <c r="V2379" s="552"/>
      <c r="W2379" s="552"/>
      <c r="X2379" s="552"/>
      <c r="Y2379" s="552"/>
      <c r="Z2379" s="552"/>
      <c r="AA2379" s="553"/>
      <c r="AB2379" s="553"/>
    </row>
    <row r="2380" spans="1:28" ht="12.75">
      <c r="A2380" s="547" t="s">
        <v>714</v>
      </c>
      <c r="B2380" s="547" t="s">
        <v>196</v>
      </c>
      <c r="C2380" s="548" t="s">
        <v>799</v>
      </c>
      <c r="D2380" s="549">
        <v>2014</v>
      </c>
      <c r="E2380" s="549" t="s">
        <v>775</v>
      </c>
      <c r="F2380" s="550">
        <v>85</v>
      </c>
      <c r="G2380" s="550">
        <v>0</v>
      </c>
      <c r="H2380" s="550">
        <v>0</v>
      </c>
      <c r="I2380" s="550">
        <v>0</v>
      </c>
      <c r="J2380" s="550">
        <v>60</v>
      </c>
      <c r="K2380" s="550">
        <v>0</v>
      </c>
      <c r="L2380" s="550">
        <v>0</v>
      </c>
      <c r="M2380" s="550">
        <v>0</v>
      </c>
      <c r="N2380" s="550">
        <v>62</v>
      </c>
      <c r="O2380" s="550">
        <v>1</v>
      </c>
      <c r="P2380" s="550">
        <v>128</v>
      </c>
      <c r="Q2380" s="550">
        <v>19</v>
      </c>
      <c r="R2380" s="574" t="s">
        <v>714</v>
      </c>
      <c r="S2380" s="552"/>
      <c r="T2380" s="552"/>
      <c r="U2380" s="552"/>
      <c r="V2380" s="552"/>
      <c r="W2380" s="552"/>
      <c r="X2380" s="552"/>
      <c r="Y2380" s="552"/>
      <c r="Z2380" s="552"/>
      <c r="AA2380" s="553"/>
      <c r="AB2380" s="553"/>
    </row>
    <row r="2381" spans="1:28" ht="12.75">
      <c r="A2381" s="547" t="s">
        <v>714</v>
      </c>
      <c r="B2381" s="547" t="s">
        <v>196</v>
      </c>
      <c r="C2381" s="548" t="s">
        <v>799</v>
      </c>
      <c r="D2381" s="549">
        <v>2015</v>
      </c>
      <c r="E2381" s="549" t="s">
        <v>775</v>
      </c>
      <c r="F2381" s="550">
        <v>85</v>
      </c>
      <c r="G2381" s="550">
        <v>0</v>
      </c>
      <c r="H2381" s="550">
        <v>0</v>
      </c>
      <c r="I2381" s="550">
        <v>0</v>
      </c>
      <c r="J2381" s="550">
        <v>60</v>
      </c>
      <c r="K2381" s="550">
        <v>0</v>
      </c>
      <c r="L2381" s="550">
        <v>0</v>
      </c>
      <c r="M2381" s="550">
        <v>0</v>
      </c>
      <c r="N2381" s="550">
        <v>62</v>
      </c>
      <c r="O2381" s="550">
        <v>7</v>
      </c>
      <c r="P2381" s="550">
        <v>128</v>
      </c>
      <c r="Q2381" s="550">
        <v>19</v>
      </c>
      <c r="R2381" s="574" t="s">
        <v>714</v>
      </c>
      <c r="S2381" s="552"/>
      <c r="T2381" s="552"/>
      <c r="U2381" s="552"/>
      <c r="V2381" s="552"/>
      <c r="W2381" s="552"/>
      <c r="X2381" s="552"/>
      <c r="Y2381" s="552"/>
      <c r="Z2381" s="552"/>
      <c r="AA2381" s="553"/>
      <c r="AB2381" s="553"/>
    </row>
    <row r="2382" spans="1:28" ht="12.75">
      <c r="A2382" s="547" t="s">
        <v>714</v>
      </c>
      <c r="B2382" s="547" t="s">
        <v>196</v>
      </c>
      <c r="C2382" s="548" t="s">
        <v>799</v>
      </c>
      <c r="D2382" s="549">
        <v>2016</v>
      </c>
      <c r="E2382" s="549" t="s">
        <v>775</v>
      </c>
      <c r="F2382" s="550">
        <v>85</v>
      </c>
      <c r="G2382" s="550">
        <v>0</v>
      </c>
      <c r="H2382" s="550">
        <v>0</v>
      </c>
      <c r="I2382" s="550">
        <v>0</v>
      </c>
      <c r="J2382" s="550">
        <v>60</v>
      </c>
      <c r="K2382" s="550">
        <v>0</v>
      </c>
      <c r="L2382" s="550">
        <v>0</v>
      </c>
      <c r="M2382" s="550">
        <v>0</v>
      </c>
      <c r="N2382" s="550">
        <v>62</v>
      </c>
      <c r="O2382" s="550">
        <v>2</v>
      </c>
      <c r="P2382" s="550">
        <v>128</v>
      </c>
      <c r="Q2382" s="550">
        <v>8</v>
      </c>
      <c r="R2382" s="574" t="s">
        <v>714</v>
      </c>
      <c r="S2382" s="552"/>
      <c r="T2382" s="552"/>
      <c r="U2382" s="552"/>
      <c r="V2382" s="552"/>
      <c r="W2382" s="552"/>
      <c r="X2382" s="552"/>
      <c r="Y2382" s="552"/>
      <c r="Z2382" s="552"/>
      <c r="AA2382" s="553"/>
      <c r="AB2382" s="553"/>
    </row>
    <row r="2383" spans="1:28" ht="12.75">
      <c r="A2383" s="547" t="s">
        <v>714</v>
      </c>
      <c r="B2383" s="547" t="s">
        <v>196</v>
      </c>
      <c r="C2383" s="548" t="s">
        <v>799</v>
      </c>
      <c r="D2383" s="549">
        <v>2017</v>
      </c>
      <c r="E2383" s="549" t="s">
        <v>775</v>
      </c>
      <c r="F2383" s="550">
        <v>85</v>
      </c>
      <c r="G2383" s="550">
        <v>0</v>
      </c>
      <c r="H2383" s="550">
        <v>0</v>
      </c>
      <c r="I2383" s="550">
        <v>0</v>
      </c>
      <c r="J2383" s="550">
        <v>60</v>
      </c>
      <c r="K2383" s="550">
        <v>0</v>
      </c>
      <c r="L2383" s="550">
        <v>0</v>
      </c>
      <c r="M2383" s="550">
        <v>0</v>
      </c>
      <c r="N2383" s="550">
        <v>62</v>
      </c>
      <c r="O2383" s="550">
        <v>3</v>
      </c>
      <c r="P2383" s="550">
        <v>128</v>
      </c>
      <c r="Q2383" s="550">
        <v>13</v>
      </c>
      <c r="R2383" s="574" t="s">
        <v>714</v>
      </c>
      <c r="S2383" s="552"/>
      <c r="T2383" s="552"/>
      <c r="U2383" s="552"/>
      <c r="V2383" s="552"/>
      <c r="W2383" s="552"/>
      <c r="X2383" s="552"/>
      <c r="Y2383" s="552"/>
      <c r="Z2383" s="552"/>
      <c r="AA2383" s="553"/>
      <c r="AB2383" s="553"/>
    </row>
    <row r="2384" spans="1:28" ht="12.75">
      <c r="A2384" s="547" t="s">
        <v>714</v>
      </c>
      <c r="B2384" s="547" t="s">
        <v>196</v>
      </c>
      <c r="C2384" s="548" t="s">
        <v>799</v>
      </c>
      <c r="D2384" s="549">
        <v>2018</v>
      </c>
      <c r="E2384" s="549" t="s">
        <v>775</v>
      </c>
      <c r="F2384" s="550">
        <v>85</v>
      </c>
      <c r="G2384" s="550">
        <v>2</v>
      </c>
      <c r="H2384" s="550">
        <v>0</v>
      </c>
      <c r="I2384" s="550">
        <v>2</v>
      </c>
      <c r="J2384" s="550">
        <v>60</v>
      </c>
      <c r="K2384" s="550">
        <v>1</v>
      </c>
      <c r="L2384" s="550">
        <v>0</v>
      </c>
      <c r="M2384" s="550">
        <v>1</v>
      </c>
      <c r="N2384" s="550">
        <v>62</v>
      </c>
      <c r="O2384" s="550">
        <v>2</v>
      </c>
      <c r="P2384" s="550">
        <v>128</v>
      </c>
      <c r="Q2384" s="550">
        <v>5</v>
      </c>
      <c r="R2384" s="574" t="s">
        <v>714</v>
      </c>
      <c r="S2384" s="552"/>
      <c r="T2384" s="552"/>
      <c r="U2384" s="552"/>
      <c r="V2384" s="552"/>
      <c r="W2384" s="552"/>
      <c r="X2384" s="552"/>
      <c r="Y2384" s="552"/>
      <c r="Z2384" s="552"/>
      <c r="AA2384" s="553"/>
      <c r="AB2384" s="553"/>
    </row>
    <row r="2385" spans="1:28" ht="12.75">
      <c r="A2385" s="547" t="s">
        <v>714</v>
      </c>
      <c r="B2385" s="547" t="s">
        <v>196</v>
      </c>
      <c r="C2385" s="548" t="s">
        <v>801</v>
      </c>
      <c r="D2385" s="549">
        <v>2019</v>
      </c>
      <c r="E2385" s="549" t="s">
        <v>775</v>
      </c>
      <c r="F2385" s="550">
        <v>85</v>
      </c>
      <c r="G2385" s="550">
        <v>0</v>
      </c>
      <c r="H2385" s="550">
        <v>0</v>
      </c>
      <c r="I2385" s="550">
        <v>0</v>
      </c>
      <c r="J2385" s="550">
        <v>60</v>
      </c>
      <c r="K2385" s="550">
        <v>0</v>
      </c>
      <c r="L2385" s="550">
        <v>0</v>
      </c>
      <c r="M2385" s="550">
        <v>0</v>
      </c>
      <c r="N2385" s="550">
        <v>62</v>
      </c>
      <c r="O2385" s="550">
        <v>0</v>
      </c>
      <c r="P2385" s="550">
        <v>128</v>
      </c>
      <c r="Q2385" s="550">
        <v>9</v>
      </c>
      <c r="R2385" s="574" t="s">
        <v>714</v>
      </c>
      <c r="S2385" s="552">
        <f>SUM(G2379:G2385) +SUM(K2379:K2385)</f>
        <v>3</v>
      </c>
      <c r="T2385" s="552">
        <f>F2385+J2385</f>
        <v>145</v>
      </c>
      <c r="U2385" s="552">
        <f>SUM(O2379:O2385)</f>
        <v>19</v>
      </c>
      <c r="V2385" s="552">
        <f>N2385</f>
        <v>62</v>
      </c>
      <c r="W2385" s="554">
        <f>SUM(Q2379:Q2385)</f>
        <v>81</v>
      </c>
      <c r="X2385" s="552">
        <f>P2385</f>
        <v>128</v>
      </c>
      <c r="Y2385" s="552">
        <f>S2385+U2385+SUM(Q2379:Q2385)</f>
        <v>103</v>
      </c>
      <c r="Z2385" s="552">
        <f>F2385+J2385+N2385+P2385</f>
        <v>335</v>
      </c>
      <c r="AA2385" s="553"/>
      <c r="AB2385" s="553"/>
    </row>
    <row r="2386" spans="1:28" ht="12.75">
      <c r="A2386" s="547" t="s">
        <v>715</v>
      </c>
      <c r="B2386" s="547" t="s">
        <v>196</v>
      </c>
      <c r="C2386" s="548" t="s">
        <v>799</v>
      </c>
      <c r="D2386" s="549">
        <v>2013</v>
      </c>
      <c r="E2386" s="549" t="s">
        <v>775</v>
      </c>
      <c r="F2386" s="550">
        <v>624</v>
      </c>
      <c r="G2386" s="550">
        <v>0</v>
      </c>
      <c r="H2386" s="550">
        <v>0</v>
      </c>
      <c r="I2386" s="550">
        <v>0</v>
      </c>
      <c r="J2386" s="550">
        <v>437</v>
      </c>
      <c r="K2386" s="550">
        <v>0</v>
      </c>
      <c r="L2386" s="550">
        <v>0</v>
      </c>
      <c r="M2386" s="550">
        <v>0</v>
      </c>
      <c r="N2386" s="550">
        <v>498</v>
      </c>
      <c r="O2386" s="550">
        <v>0</v>
      </c>
      <c r="P2386" s="550">
        <v>1120</v>
      </c>
      <c r="Q2386" s="550">
        <v>50</v>
      </c>
      <c r="R2386" s="574" t="s">
        <v>715</v>
      </c>
      <c r="S2386" s="552"/>
      <c r="T2386" s="552"/>
      <c r="U2386" s="552"/>
      <c r="V2386" s="552"/>
      <c r="W2386" s="552"/>
      <c r="X2386" s="552"/>
      <c r="Y2386" s="552"/>
      <c r="Z2386" s="552"/>
      <c r="AA2386" s="553"/>
      <c r="AB2386" s="553"/>
    </row>
    <row r="2387" spans="1:28" ht="12.75">
      <c r="A2387" s="547" t="s">
        <v>715</v>
      </c>
      <c r="B2387" s="547" t="s">
        <v>196</v>
      </c>
      <c r="C2387" s="548" t="s">
        <v>799</v>
      </c>
      <c r="D2387" s="549">
        <v>2014</v>
      </c>
      <c r="E2387" s="549" t="s">
        <v>775</v>
      </c>
      <c r="F2387" s="550">
        <v>624</v>
      </c>
      <c r="G2387" s="550">
        <v>0</v>
      </c>
      <c r="H2387" s="550">
        <v>0</v>
      </c>
      <c r="I2387" s="550">
        <v>0</v>
      </c>
      <c r="J2387" s="550">
        <v>437</v>
      </c>
      <c r="K2387" s="550">
        <v>0</v>
      </c>
      <c r="L2387" s="550">
        <v>0</v>
      </c>
      <c r="M2387" s="550">
        <v>0</v>
      </c>
      <c r="N2387" s="550">
        <v>498</v>
      </c>
      <c r="O2387" s="550">
        <v>5</v>
      </c>
      <c r="P2387" s="550">
        <v>1120</v>
      </c>
      <c r="Q2387" s="550">
        <v>50</v>
      </c>
      <c r="R2387" s="574" t="s">
        <v>715</v>
      </c>
      <c r="S2387" s="552"/>
      <c r="T2387" s="552"/>
      <c r="U2387" s="552"/>
      <c r="V2387" s="552"/>
      <c r="W2387" s="552"/>
      <c r="X2387" s="552"/>
      <c r="Y2387" s="552"/>
      <c r="Z2387" s="552"/>
      <c r="AA2387" s="553"/>
      <c r="AB2387" s="553"/>
    </row>
    <row r="2388" spans="1:28" ht="12.75">
      <c r="A2388" s="547" t="s">
        <v>715</v>
      </c>
      <c r="B2388" s="547" t="s">
        <v>196</v>
      </c>
      <c r="C2388" s="548" t="s">
        <v>799</v>
      </c>
      <c r="D2388" s="549">
        <v>2015</v>
      </c>
      <c r="E2388" s="549" t="s">
        <v>775</v>
      </c>
      <c r="F2388" s="550">
        <v>624</v>
      </c>
      <c r="G2388" s="550">
        <v>0</v>
      </c>
      <c r="H2388" s="550">
        <v>0</v>
      </c>
      <c r="I2388" s="550">
        <v>0</v>
      </c>
      <c r="J2388" s="550">
        <v>437</v>
      </c>
      <c r="K2388" s="550">
        <v>2</v>
      </c>
      <c r="L2388" s="550">
        <v>2</v>
      </c>
      <c r="M2388" s="550">
        <v>0</v>
      </c>
      <c r="N2388" s="550">
        <v>498</v>
      </c>
      <c r="O2388" s="550">
        <v>45</v>
      </c>
      <c r="P2388" s="550">
        <v>1120</v>
      </c>
      <c r="Q2388" s="550">
        <v>0</v>
      </c>
      <c r="R2388" s="574" t="s">
        <v>715</v>
      </c>
      <c r="S2388" s="552"/>
      <c r="T2388" s="552"/>
      <c r="U2388" s="552"/>
      <c r="V2388" s="552"/>
      <c r="W2388" s="552"/>
      <c r="X2388" s="552"/>
      <c r="Y2388" s="552"/>
      <c r="Z2388" s="552"/>
      <c r="AA2388" s="553"/>
      <c r="AB2388" s="553"/>
    </row>
    <row r="2389" spans="1:28" ht="12.75">
      <c r="A2389" s="547" t="s">
        <v>715</v>
      </c>
      <c r="B2389" s="547" t="s">
        <v>196</v>
      </c>
      <c r="C2389" s="548" t="s">
        <v>799</v>
      </c>
      <c r="D2389" s="549">
        <v>2016</v>
      </c>
      <c r="E2389" s="549" t="s">
        <v>775</v>
      </c>
      <c r="F2389" s="550">
        <v>624</v>
      </c>
      <c r="G2389" s="550">
        <v>1</v>
      </c>
      <c r="H2389" s="550">
        <v>1</v>
      </c>
      <c r="I2389" s="550">
        <v>0</v>
      </c>
      <c r="J2389" s="550">
        <v>437</v>
      </c>
      <c r="K2389" s="550">
        <v>5</v>
      </c>
      <c r="L2389" s="550">
        <v>5</v>
      </c>
      <c r="M2389" s="550">
        <v>0</v>
      </c>
      <c r="N2389" s="550">
        <v>498</v>
      </c>
      <c r="O2389" s="550">
        <v>47</v>
      </c>
      <c r="P2389" s="550">
        <v>1120</v>
      </c>
      <c r="Q2389" s="550">
        <v>0</v>
      </c>
      <c r="R2389" s="574" t="s">
        <v>715</v>
      </c>
      <c r="S2389" s="552"/>
      <c r="T2389" s="552"/>
      <c r="U2389" s="552"/>
      <c r="V2389" s="552"/>
      <c r="W2389" s="552"/>
      <c r="X2389" s="552"/>
      <c r="Y2389" s="552"/>
      <c r="Z2389" s="552"/>
      <c r="AA2389" s="553"/>
      <c r="AB2389" s="553"/>
    </row>
    <row r="2390" spans="1:28" ht="12.75">
      <c r="A2390" s="547" t="s">
        <v>715</v>
      </c>
      <c r="B2390" s="547" t="s">
        <v>196</v>
      </c>
      <c r="C2390" s="548" t="s">
        <v>799</v>
      </c>
      <c r="D2390" s="549">
        <v>2017</v>
      </c>
      <c r="E2390" s="549" t="s">
        <v>775</v>
      </c>
      <c r="F2390" s="550">
        <v>624</v>
      </c>
      <c r="G2390" s="550">
        <v>2</v>
      </c>
      <c r="H2390" s="550">
        <v>2</v>
      </c>
      <c r="I2390" s="550">
        <v>0</v>
      </c>
      <c r="J2390" s="550">
        <v>437</v>
      </c>
      <c r="K2390" s="550">
        <v>4</v>
      </c>
      <c r="L2390" s="550">
        <v>4</v>
      </c>
      <c r="M2390" s="550">
        <v>0</v>
      </c>
      <c r="N2390" s="550">
        <v>498</v>
      </c>
      <c r="O2390" s="550">
        <v>38</v>
      </c>
      <c r="P2390" s="550">
        <v>1120</v>
      </c>
      <c r="Q2390" s="550">
        <v>0</v>
      </c>
      <c r="R2390" s="574" t="s">
        <v>715</v>
      </c>
      <c r="S2390" s="552"/>
      <c r="T2390" s="552"/>
      <c r="U2390" s="552"/>
      <c r="V2390" s="552"/>
      <c r="W2390" s="552"/>
      <c r="X2390" s="552"/>
      <c r="Y2390" s="552"/>
      <c r="Z2390" s="552"/>
      <c r="AA2390" s="553"/>
      <c r="AB2390" s="553"/>
    </row>
    <row r="2391" spans="1:28" ht="12.75">
      <c r="A2391" s="547" t="s">
        <v>715</v>
      </c>
      <c r="B2391" s="547" t="s">
        <v>196</v>
      </c>
      <c r="C2391" s="548" t="s">
        <v>801</v>
      </c>
      <c r="D2391" s="549">
        <v>2019</v>
      </c>
      <c r="E2391" s="549" t="s">
        <v>775</v>
      </c>
      <c r="F2391" s="550">
        <v>624</v>
      </c>
      <c r="G2391" s="550">
        <v>0</v>
      </c>
      <c r="H2391" s="550">
        <v>0</v>
      </c>
      <c r="I2391" s="550">
        <v>0</v>
      </c>
      <c r="J2391" s="550">
        <v>437</v>
      </c>
      <c r="K2391" s="550">
        <v>0</v>
      </c>
      <c r="L2391" s="550">
        <v>0</v>
      </c>
      <c r="M2391" s="550">
        <v>0</v>
      </c>
      <c r="N2391" s="550">
        <v>498</v>
      </c>
      <c r="O2391" s="550">
        <v>0</v>
      </c>
      <c r="P2391" s="550">
        <v>1120</v>
      </c>
      <c r="Q2391" s="550">
        <v>0</v>
      </c>
      <c r="R2391" s="574" t="s">
        <v>715</v>
      </c>
      <c r="S2391" s="556">
        <f>SUM(G2386:G2391) +SUM(K2386:K2391)</f>
        <v>14</v>
      </c>
      <c r="T2391" s="556">
        <f>F2391+J2391</f>
        <v>1061</v>
      </c>
      <c r="U2391" s="556">
        <f>SUM(O2386:O2391)</f>
        <v>135</v>
      </c>
      <c r="V2391" s="556">
        <f>N2391</f>
        <v>498</v>
      </c>
      <c r="W2391" s="557">
        <f>SUM(Q2386:Q2391)</f>
        <v>100</v>
      </c>
      <c r="X2391" s="556">
        <f>P2391</f>
        <v>1120</v>
      </c>
      <c r="Y2391" s="556">
        <f>S2391+U2391+SUM(Q2386:Q2391)</f>
        <v>249</v>
      </c>
      <c r="Z2391" s="556">
        <f>F2391+J2391+N2391+P2391</f>
        <v>2679</v>
      </c>
      <c r="AA2391" s="553"/>
      <c r="AB2391" s="553"/>
    </row>
    <row r="2392" spans="1:28" ht="12.75">
      <c r="A2392" s="547"/>
      <c r="B2392" s="547"/>
      <c r="C2392" s="548"/>
      <c r="D2392" s="549"/>
      <c r="E2392" s="549"/>
      <c r="F2392" s="550"/>
      <c r="G2392" s="550"/>
      <c r="H2392" s="550"/>
      <c r="I2392" s="550"/>
      <c r="J2392" s="550"/>
      <c r="K2392" s="550"/>
      <c r="L2392" s="550"/>
      <c r="M2392" s="550"/>
      <c r="N2392" s="550"/>
      <c r="O2392" s="550"/>
      <c r="P2392" s="550"/>
      <c r="Q2392" s="550"/>
      <c r="R2392" s="574"/>
      <c r="S2392" s="563">
        <f t="shared" ref="S2392:Z2392" si="235">SUM(S2372:S2391)</f>
        <v>100</v>
      </c>
      <c r="T2392" s="563">
        <f t="shared" si="235"/>
        <v>1382</v>
      </c>
      <c r="U2392" s="563">
        <f t="shared" si="235"/>
        <v>157</v>
      </c>
      <c r="V2392" s="563">
        <f t="shared" si="235"/>
        <v>643</v>
      </c>
      <c r="W2392" s="563">
        <f t="shared" si="235"/>
        <v>288</v>
      </c>
      <c r="X2392" s="563">
        <f t="shared" si="235"/>
        <v>1438</v>
      </c>
      <c r="Y2392" s="563">
        <f t="shared" si="235"/>
        <v>545</v>
      </c>
      <c r="Z2392" s="563">
        <f t="shared" si="235"/>
        <v>3463</v>
      </c>
      <c r="AA2392" s="553"/>
      <c r="AB2392" s="553"/>
    </row>
    <row r="2393" spans="1:28" ht="12.75">
      <c r="A2393" s="547" t="s">
        <v>716</v>
      </c>
      <c r="B2393" s="547" t="s">
        <v>197</v>
      </c>
      <c r="C2393" s="548" t="s">
        <v>784</v>
      </c>
      <c r="D2393" s="549">
        <v>2018</v>
      </c>
      <c r="E2393" s="549" t="s">
        <v>775</v>
      </c>
      <c r="F2393" s="550">
        <v>38</v>
      </c>
      <c r="G2393" s="550">
        <v>0</v>
      </c>
      <c r="H2393" s="550">
        <v>0</v>
      </c>
      <c r="I2393" s="550">
        <v>0</v>
      </c>
      <c r="J2393" s="550">
        <v>30</v>
      </c>
      <c r="K2393" s="550">
        <v>0</v>
      </c>
      <c r="L2393" s="550">
        <v>0</v>
      </c>
      <c r="M2393" s="550">
        <v>0</v>
      </c>
      <c r="N2393" s="550">
        <v>33</v>
      </c>
      <c r="O2393" s="550">
        <v>4</v>
      </c>
      <c r="P2393" s="550">
        <v>75</v>
      </c>
      <c r="Q2393" s="550">
        <v>13</v>
      </c>
      <c r="R2393" s="574" t="s">
        <v>716</v>
      </c>
      <c r="S2393" s="552"/>
      <c r="T2393" s="552"/>
      <c r="U2393" s="552"/>
      <c r="V2393" s="552"/>
      <c r="W2393" s="552"/>
      <c r="X2393" s="552"/>
      <c r="Y2393" s="552"/>
      <c r="Z2393" s="552"/>
      <c r="AA2393" s="553"/>
      <c r="AB2393" s="553"/>
    </row>
    <row r="2394" spans="1:28" ht="12.75">
      <c r="A2394" s="547" t="s">
        <v>716</v>
      </c>
      <c r="B2394" s="547" t="s">
        <v>197</v>
      </c>
      <c r="C2394" s="548" t="s">
        <v>785</v>
      </c>
      <c r="D2394" s="549">
        <v>2019</v>
      </c>
      <c r="E2394" s="549" t="s">
        <v>775</v>
      </c>
      <c r="F2394" s="550">
        <v>38</v>
      </c>
      <c r="G2394" s="550">
        <v>0</v>
      </c>
      <c r="H2394" s="550">
        <v>0</v>
      </c>
      <c r="I2394" s="550">
        <v>0</v>
      </c>
      <c r="J2394" s="550">
        <v>30</v>
      </c>
      <c r="K2394" s="550">
        <v>0</v>
      </c>
      <c r="L2394" s="550">
        <v>0</v>
      </c>
      <c r="M2394" s="550">
        <v>0</v>
      </c>
      <c r="N2394" s="550">
        <v>33</v>
      </c>
      <c r="O2394" s="550">
        <v>0</v>
      </c>
      <c r="P2394" s="550">
        <v>75</v>
      </c>
      <c r="Q2394" s="550">
        <v>0</v>
      </c>
      <c r="R2394" s="574" t="s">
        <v>716</v>
      </c>
      <c r="S2394" s="255">
        <f>SUM(G2393:G2394) +SUM(K2393:K2394)</f>
        <v>0</v>
      </c>
      <c r="T2394" s="255">
        <f>F2394+J2394</f>
        <v>68</v>
      </c>
      <c r="U2394" s="255">
        <f>SUM(O2393:O2394)</f>
        <v>4</v>
      </c>
      <c r="V2394" s="255">
        <f>N2394</f>
        <v>33</v>
      </c>
      <c r="W2394" s="83">
        <f>SUM(Q2393:Q2394)</f>
        <v>13</v>
      </c>
      <c r="X2394" s="255">
        <f>P2394</f>
        <v>75</v>
      </c>
      <c r="Y2394" s="255">
        <f>S2394+U2394+SUM(Q2393:Q2394)</f>
        <v>17</v>
      </c>
      <c r="Z2394" s="255">
        <f>F2394+J2394+N2394+P2394</f>
        <v>176</v>
      </c>
      <c r="AA2394" s="553"/>
      <c r="AB2394" s="553"/>
    </row>
    <row r="2395" spans="1:28" ht="12.75">
      <c r="A2395" s="547" t="s">
        <v>717</v>
      </c>
      <c r="B2395" s="547" t="s">
        <v>197</v>
      </c>
      <c r="C2395" s="548" t="s">
        <v>784</v>
      </c>
      <c r="D2395" s="549">
        <v>2014</v>
      </c>
      <c r="E2395" s="549" t="s">
        <v>775</v>
      </c>
      <c r="F2395" s="550">
        <v>73</v>
      </c>
      <c r="G2395" s="550">
        <v>0</v>
      </c>
      <c r="H2395" s="550">
        <v>0</v>
      </c>
      <c r="I2395" s="550">
        <v>0</v>
      </c>
      <c r="J2395" s="550">
        <v>52</v>
      </c>
      <c r="K2395" s="550">
        <v>26</v>
      </c>
      <c r="L2395" s="550">
        <v>26</v>
      </c>
      <c r="M2395" s="550">
        <v>0</v>
      </c>
      <c r="N2395" s="550">
        <v>61</v>
      </c>
      <c r="O2395" s="550">
        <v>1</v>
      </c>
      <c r="P2395" s="550">
        <v>137</v>
      </c>
      <c r="Q2395" s="550">
        <v>0</v>
      </c>
      <c r="R2395" s="574" t="s">
        <v>717</v>
      </c>
      <c r="S2395" s="552"/>
      <c r="T2395" s="552"/>
      <c r="U2395" s="552"/>
      <c r="V2395" s="552"/>
      <c r="W2395" s="552"/>
      <c r="X2395" s="552"/>
      <c r="Y2395" s="552"/>
      <c r="Z2395" s="552"/>
      <c r="AA2395" s="553"/>
      <c r="AB2395" s="553"/>
    </row>
    <row r="2396" spans="1:28" ht="12.75">
      <c r="A2396" s="547" t="s">
        <v>717</v>
      </c>
      <c r="B2396" s="547" t="s">
        <v>197</v>
      </c>
      <c r="C2396" s="548" t="s">
        <v>784</v>
      </c>
      <c r="D2396" s="549">
        <v>2015</v>
      </c>
      <c r="E2396" s="549" t="s">
        <v>775</v>
      </c>
      <c r="F2396" s="550">
        <v>73</v>
      </c>
      <c r="G2396" s="550">
        <v>0</v>
      </c>
      <c r="H2396" s="550">
        <v>0</v>
      </c>
      <c r="I2396" s="550">
        <v>0</v>
      </c>
      <c r="J2396" s="550">
        <v>52</v>
      </c>
      <c r="K2396" s="550">
        <v>0</v>
      </c>
      <c r="L2396" s="550">
        <v>0</v>
      </c>
      <c r="M2396" s="550">
        <v>0</v>
      </c>
      <c r="N2396" s="550">
        <v>61</v>
      </c>
      <c r="O2396" s="550">
        <v>1</v>
      </c>
      <c r="P2396" s="550">
        <v>137</v>
      </c>
      <c r="Q2396" s="550">
        <v>0</v>
      </c>
      <c r="R2396" s="574" t="s">
        <v>717</v>
      </c>
      <c r="S2396" s="552"/>
      <c r="T2396" s="552"/>
      <c r="U2396" s="552"/>
      <c r="V2396" s="552"/>
      <c r="W2396" s="552"/>
      <c r="X2396" s="552"/>
      <c r="Y2396" s="552"/>
      <c r="Z2396" s="552"/>
      <c r="AA2396" s="553"/>
      <c r="AB2396" s="553"/>
    </row>
    <row r="2397" spans="1:28" ht="12.75">
      <c r="A2397" s="547" t="s">
        <v>717</v>
      </c>
      <c r="B2397" s="547" t="s">
        <v>197</v>
      </c>
      <c r="C2397" s="548" t="s">
        <v>784</v>
      </c>
      <c r="D2397" s="549">
        <v>2016</v>
      </c>
      <c r="E2397" s="549" t="s">
        <v>775</v>
      </c>
      <c r="F2397" s="550">
        <v>73</v>
      </c>
      <c r="G2397" s="550">
        <v>0</v>
      </c>
      <c r="H2397" s="550">
        <v>0</v>
      </c>
      <c r="I2397" s="550">
        <v>0</v>
      </c>
      <c r="J2397" s="550">
        <v>52</v>
      </c>
      <c r="K2397" s="550">
        <v>0</v>
      </c>
      <c r="L2397" s="550">
        <v>0</v>
      </c>
      <c r="M2397" s="550">
        <v>0</v>
      </c>
      <c r="N2397" s="550">
        <v>61</v>
      </c>
      <c r="O2397" s="550">
        <v>4</v>
      </c>
      <c r="P2397" s="550">
        <v>137</v>
      </c>
      <c r="Q2397" s="550">
        <v>0</v>
      </c>
      <c r="R2397" s="574" t="s">
        <v>717</v>
      </c>
      <c r="S2397" s="552"/>
      <c r="T2397" s="552"/>
      <c r="U2397" s="552"/>
      <c r="V2397" s="552"/>
      <c r="W2397" s="552"/>
      <c r="X2397" s="552"/>
      <c r="Y2397" s="552"/>
      <c r="Z2397" s="552"/>
      <c r="AA2397" s="553"/>
      <c r="AB2397" s="553"/>
    </row>
    <row r="2398" spans="1:28" ht="12.75">
      <c r="A2398" s="547" t="s">
        <v>717</v>
      </c>
      <c r="B2398" s="547" t="s">
        <v>197</v>
      </c>
      <c r="C2398" s="548" t="s">
        <v>784</v>
      </c>
      <c r="D2398" s="549">
        <v>2017</v>
      </c>
      <c r="E2398" s="549" t="s">
        <v>775</v>
      </c>
      <c r="F2398" s="550">
        <v>73</v>
      </c>
      <c r="G2398" s="550">
        <v>0</v>
      </c>
      <c r="H2398" s="550">
        <v>0</v>
      </c>
      <c r="I2398" s="550">
        <v>0</v>
      </c>
      <c r="J2398" s="550">
        <v>52</v>
      </c>
      <c r="K2398" s="550">
        <v>18</v>
      </c>
      <c r="L2398" s="550">
        <v>0</v>
      </c>
      <c r="M2398" s="550">
        <v>18</v>
      </c>
      <c r="N2398" s="550">
        <v>61</v>
      </c>
      <c r="O2398" s="550">
        <v>20</v>
      </c>
      <c r="P2398" s="550">
        <v>137</v>
      </c>
      <c r="Q2398" s="550">
        <v>0</v>
      </c>
      <c r="R2398" s="574" t="s">
        <v>717</v>
      </c>
      <c r="S2398" s="552"/>
      <c r="T2398" s="552"/>
      <c r="U2398" s="552"/>
      <c r="V2398" s="552"/>
      <c r="W2398" s="552"/>
      <c r="X2398" s="552"/>
      <c r="Y2398" s="552"/>
      <c r="Z2398" s="552"/>
      <c r="AA2398" s="553"/>
      <c r="AB2398" s="553"/>
    </row>
    <row r="2399" spans="1:28" ht="12.75">
      <c r="A2399" s="547" t="s">
        <v>717</v>
      </c>
      <c r="B2399" s="547" t="s">
        <v>197</v>
      </c>
      <c r="C2399" s="548" t="s">
        <v>784</v>
      </c>
      <c r="D2399" s="549">
        <v>2018</v>
      </c>
      <c r="E2399" s="549" t="s">
        <v>775</v>
      </c>
      <c r="F2399" s="550">
        <v>73</v>
      </c>
      <c r="G2399" s="550">
        <v>0</v>
      </c>
      <c r="H2399" s="550">
        <v>0</v>
      </c>
      <c r="I2399" s="550">
        <v>0</v>
      </c>
      <c r="J2399" s="550">
        <v>52</v>
      </c>
      <c r="K2399" s="550">
        <v>2</v>
      </c>
      <c r="L2399" s="550">
        <v>0</v>
      </c>
      <c r="M2399" s="550">
        <v>2</v>
      </c>
      <c r="N2399" s="550">
        <v>61</v>
      </c>
      <c r="O2399" s="550">
        <v>3</v>
      </c>
      <c r="P2399" s="550">
        <v>137</v>
      </c>
      <c r="Q2399" s="550">
        <v>0</v>
      </c>
      <c r="R2399" s="574" t="s">
        <v>717</v>
      </c>
      <c r="S2399" s="552"/>
      <c r="T2399" s="552"/>
      <c r="U2399" s="552"/>
      <c r="V2399" s="552"/>
      <c r="W2399" s="552"/>
      <c r="X2399" s="552"/>
      <c r="Y2399" s="552"/>
      <c r="Z2399" s="552"/>
      <c r="AA2399" s="553"/>
      <c r="AB2399" s="553"/>
    </row>
    <row r="2400" spans="1:28" ht="12.75">
      <c r="A2400" s="547" t="s">
        <v>717</v>
      </c>
      <c r="B2400" s="547" t="s">
        <v>197</v>
      </c>
      <c r="C2400" s="548" t="s">
        <v>785</v>
      </c>
      <c r="D2400" s="549">
        <v>2019</v>
      </c>
      <c r="E2400" s="549" t="s">
        <v>775</v>
      </c>
      <c r="F2400" s="550">
        <v>73</v>
      </c>
      <c r="G2400" s="550">
        <v>0</v>
      </c>
      <c r="H2400" s="550">
        <v>0</v>
      </c>
      <c r="I2400" s="550">
        <v>0</v>
      </c>
      <c r="J2400" s="550">
        <v>52</v>
      </c>
      <c r="K2400" s="550">
        <v>0</v>
      </c>
      <c r="L2400" s="550">
        <v>0</v>
      </c>
      <c r="M2400" s="550">
        <v>0</v>
      </c>
      <c r="N2400" s="550">
        <v>61</v>
      </c>
      <c r="O2400" s="550">
        <v>4</v>
      </c>
      <c r="P2400" s="550">
        <v>137</v>
      </c>
      <c r="Q2400" s="550">
        <v>0</v>
      </c>
      <c r="R2400" s="574" t="s">
        <v>717</v>
      </c>
      <c r="S2400" s="552">
        <f>SUM(G2395:G2400) +SUM(K2395:K2400)</f>
        <v>46</v>
      </c>
      <c r="T2400" s="552">
        <f>F2400+J2400</f>
        <v>125</v>
      </c>
      <c r="U2400" s="552">
        <f>SUM(O2395:O2400)</f>
        <v>33</v>
      </c>
      <c r="V2400" s="552">
        <f>N2400</f>
        <v>61</v>
      </c>
      <c r="W2400" s="554">
        <f>SUM(Q2395:Q2400)</f>
        <v>0</v>
      </c>
      <c r="X2400" s="552">
        <f>P2400</f>
        <v>137</v>
      </c>
      <c r="Y2400" s="552">
        <f>S2400+U2400+SUM(Q2395:Q2400)</f>
        <v>79</v>
      </c>
      <c r="Z2400" s="552">
        <f>F2400+J2400+N2400+P2400</f>
        <v>323</v>
      </c>
      <c r="AA2400" s="553"/>
      <c r="AB2400" s="553"/>
    </row>
    <row r="2401" spans="1:28" ht="12.75">
      <c r="A2401" s="547" t="s">
        <v>197</v>
      </c>
      <c r="B2401" s="547" t="s">
        <v>197</v>
      </c>
      <c r="C2401" s="548" t="s">
        <v>784</v>
      </c>
      <c r="D2401" s="549">
        <v>2017</v>
      </c>
      <c r="E2401" s="549" t="s">
        <v>775</v>
      </c>
      <c r="F2401" s="550">
        <v>2</v>
      </c>
      <c r="G2401" s="550">
        <v>0</v>
      </c>
      <c r="H2401" s="550">
        <v>0</v>
      </c>
      <c r="I2401" s="550">
        <v>0</v>
      </c>
      <c r="J2401" s="550">
        <v>2</v>
      </c>
      <c r="K2401" s="550">
        <v>0</v>
      </c>
      <c r="L2401" s="550">
        <v>0</v>
      </c>
      <c r="M2401" s="550">
        <v>0</v>
      </c>
      <c r="N2401" s="550">
        <v>2</v>
      </c>
      <c r="O2401" s="550">
        <v>0</v>
      </c>
      <c r="P2401" s="550">
        <v>4</v>
      </c>
      <c r="Q2401" s="550">
        <v>0</v>
      </c>
      <c r="R2401" s="574" t="s">
        <v>197</v>
      </c>
      <c r="S2401" s="552"/>
      <c r="T2401" s="552"/>
      <c r="U2401" s="552"/>
      <c r="V2401" s="552"/>
      <c r="W2401" s="552"/>
      <c r="X2401" s="552"/>
      <c r="Y2401" s="552"/>
      <c r="Z2401" s="552"/>
      <c r="AA2401" s="553"/>
      <c r="AB2401" s="553"/>
    </row>
    <row r="2402" spans="1:28" ht="12.75">
      <c r="A2402" s="547" t="s">
        <v>197</v>
      </c>
      <c r="B2402" s="547" t="s">
        <v>197</v>
      </c>
      <c r="C2402" s="548" t="s">
        <v>784</v>
      </c>
      <c r="D2402" s="549">
        <v>2018</v>
      </c>
      <c r="E2402" s="549" t="s">
        <v>775</v>
      </c>
      <c r="F2402" s="550">
        <v>2</v>
      </c>
      <c r="G2402" s="564"/>
      <c r="H2402" s="564"/>
      <c r="I2402" s="564"/>
      <c r="J2402" s="550">
        <v>2</v>
      </c>
      <c r="K2402" s="564"/>
      <c r="L2402" s="564"/>
      <c r="M2402" s="564"/>
      <c r="N2402" s="550">
        <v>2</v>
      </c>
      <c r="O2402" s="564"/>
      <c r="P2402" s="550">
        <v>4</v>
      </c>
      <c r="Q2402" s="564"/>
      <c r="R2402" s="574" t="s">
        <v>197</v>
      </c>
      <c r="S2402" s="552"/>
      <c r="T2402" s="552"/>
      <c r="U2402" s="552"/>
      <c r="V2402" s="552"/>
      <c r="W2402" s="552"/>
      <c r="X2402" s="552"/>
      <c r="Y2402" s="552"/>
      <c r="Z2402" s="552"/>
      <c r="AA2402" s="553"/>
      <c r="AB2402" s="553"/>
    </row>
    <row r="2403" spans="1:28" ht="12.75">
      <c r="A2403" s="547" t="s">
        <v>197</v>
      </c>
      <c r="B2403" s="547" t="s">
        <v>197</v>
      </c>
      <c r="C2403" s="548" t="s">
        <v>785</v>
      </c>
      <c r="D2403" s="549">
        <v>2019</v>
      </c>
      <c r="E2403" s="549" t="s">
        <v>775</v>
      </c>
      <c r="F2403" s="550">
        <v>2</v>
      </c>
      <c r="G2403" s="550">
        <v>0</v>
      </c>
      <c r="H2403" s="550">
        <v>0</v>
      </c>
      <c r="I2403" s="550">
        <v>0</v>
      </c>
      <c r="J2403" s="550">
        <v>2</v>
      </c>
      <c r="K2403" s="550">
        <v>0</v>
      </c>
      <c r="L2403" s="550">
        <v>0</v>
      </c>
      <c r="M2403" s="550">
        <v>0</v>
      </c>
      <c r="N2403" s="550">
        <v>2</v>
      </c>
      <c r="O2403" s="550">
        <v>0</v>
      </c>
      <c r="P2403" s="550">
        <v>4</v>
      </c>
      <c r="Q2403" s="550">
        <v>0</v>
      </c>
      <c r="R2403" s="574" t="s">
        <v>197</v>
      </c>
      <c r="S2403" s="255">
        <f>SUM(G2401:G2403) +SUM(K2401:K2403)</f>
        <v>0</v>
      </c>
      <c r="T2403" s="255">
        <f>F2403+J2403</f>
        <v>4</v>
      </c>
      <c r="U2403" s="255">
        <f>SUM(O2401:O2403)</f>
        <v>0</v>
      </c>
      <c r="V2403" s="255">
        <f>N2403</f>
        <v>2</v>
      </c>
      <c r="W2403" s="83">
        <f>SUM(Q2401:Q2403)</f>
        <v>0</v>
      </c>
      <c r="X2403" s="255">
        <f>P2403</f>
        <v>4</v>
      </c>
      <c r="Y2403" s="255">
        <f>S2403+U2403+SUM(Q2401:Q2403)</f>
        <v>0</v>
      </c>
      <c r="Z2403" s="255">
        <f>F2403+J2403+N2403+P2403</f>
        <v>10</v>
      </c>
      <c r="AA2403" s="553"/>
      <c r="AB2403" s="553"/>
    </row>
    <row r="2404" spans="1:28" ht="12.75">
      <c r="A2404" s="547" t="s">
        <v>718</v>
      </c>
      <c r="B2404" s="547" t="s">
        <v>197</v>
      </c>
      <c r="C2404" s="548" t="s">
        <v>784</v>
      </c>
      <c r="D2404" s="549">
        <v>2014</v>
      </c>
      <c r="E2404" s="549" t="s">
        <v>775</v>
      </c>
      <c r="F2404" s="550">
        <v>112</v>
      </c>
      <c r="G2404" s="550">
        <v>16</v>
      </c>
      <c r="H2404" s="550">
        <v>0</v>
      </c>
      <c r="I2404" s="550">
        <v>16</v>
      </c>
      <c r="J2404" s="550">
        <v>76</v>
      </c>
      <c r="K2404" s="550">
        <v>7</v>
      </c>
      <c r="L2404" s="550">
        <v>0</v>
      </c>
      <c r="M2404" s="550">
        <v>7</v>
      </c>
      <c r="N2404" s="550">
        <v>89</v>
      </c>
      <c r="O2404" s="550">
        <v>6</v>
      </c>
      <c r="P2404" s="550">
        <v>209</v>
      </c>
      <c r="Q2404" s="550">
        <v>52</v>
      </c>
      <c r="R2404" s="574" t="s">
        <v>718</v>
      </c>
      <c r="S2404" s="552"/>
      <c r="T2404" s="552"/>
      <c r="U2404" s="552"/>
      <c r="V2404" s="552"/>
      <c r="W2404" s="552"/>
      <c r="X2404" s="552"/>
      <c r="Y2404" s="552"/>
      <c r="Z2404" s="552"/>
      <c r="AA2404" s="553"/>
      <c r="AB2404" s="553"/>
    </row>
    <row r="2405" spans="1:28" ht="12.75">
      <c r="A2405" s="547" t="s">
        <v>718</v>
      </c>
      <c r="B2405" s="547" t="s">
        <v>197</v>
      </c>
      <c r="C2405" s="548" t="s">
        <v>784</v>
      </c>
      <c r="D2405" s="549">
        <v>2016</v>
      </c>
      <c r="E2405" s="549" t="s">
        <v>775</v>
      </c>
      <c r="F2405" s="550">
        <v>112</v>
      </c>
      <c r="G2405" s="550">
        <v>0</v>
      </c>
      <c r="H2405" s="550">
        <v>0</v>
      </c>
      <c r="I2405" s="550">
        <v>0</v>
      </c>
      <c r="J2405" s="550">
        <v>76</v>
      </c>
      <c r="K2405" s="550">
        <v>23</v>
      </c>
      <c r="L2405" s="550">
        <v>23</v>
      </c>
      <c r="M2405" s="550">
        <v>0</v>
      </c>
      <c r="N2405" s="550">
        <v>89</v>
      </c>
      <c r="O2405" s="550">
        <v>8</v>
      </c>
      <c r="P2405" s="550">
        <v>209</v>
      </c>
      <c r="Q2405" s="550">
        <v>0</v>
      </c>
      <c r="R2405" s="574" t="s">
        <v>718</v>
      </c>
      <c r="S2405" s="552"/>
      <c r="T2405" s="552"/>
      <c r="U2405" s="552"/>
      <c r="V2405" s="552"/>
      <c r="W2405" s="552"/>
      <c r="X2405" s="552"/>
      <c r="Y2405" s="552"/>
      <c r="Z2405" s="552"/>
      <c r="AA2405" s="553"/>
      <c r="AB2405" s="553"/>
    </row>
    <row r="2406" spans="1:28" ht="12.75">
      <c r="A2406" s="547" t="s">
        <v>718</v>
      </c>
      <c r="B2406" s="547" t="s">
        <v>197</v>
      </c>
      <c r="C2406" s="548" t="s">
        <v>784</v>
      </c>
      <c r="D2406" s="549">
        <v>2017</v>
      </c>
      <c r="E2406" s="549" t="s">
        <v>775</v>
      </c>
      <c r="F2406" s="550">
        <v>112</v>
      </c>
      <c r="G2406" s="550">
        <v>0</v>
      </c>
      <c r="H2406" s="550">
        <v>0</v>
      </c>
      <c r="I2406" s="550">
        <v>0</v>
      </c>
      <c r="J2406" s="550">
        <v>76</v>
      </c>
      <c r="K2406" s="550">
        <v>40</v>
      </c>
      <c r="L2406" s="550">
        <v>0</v>
      </c>
      <c r="M2406" s="550">
        <v>40</v>
      </c>
      <c r="N2406" s="550">
        <v>89</v>
      </c>
      <c r="O2406" s="550">
        <v>55</v>
      </c>
      <c r="P2406" s="550">
        <v>209</v>
      </c>
      <c r="Q2406" s="550">
        <v>0</v>
      </c>
      <c r="R2406" s="574" t="s">
        <v>718</v>
      </c>
      <c r="S2406" s="552"/>
      <c r="T2406" s="552"/>
      <c r="U2406" s="552"/>
      <c r="V2406" s="552"/>
      <c r="W2406" s="552"/>
      <c r="X2406" s="552"/>
      <c r="Y2406" s="552"/>
      <c r="Z2406" s="552"/>
      <c r="AA2406" s="553"/>
      <c r="AB2406" s="553"/>
    </row>
    <row r="2407" spans="1:28" ht="12.75">
      <c r="A2407" s="547" t="s">
        <v>718</v>
      </c>
      <c r="B2407" s="547" t="s">
        <v>197</v>
      </c>
      <c r="C2407" s="548" t="s">
        <v>784</v>
      </c>
      <c r="D2407" s="549">
        <v>2018</v>
      </c>
      <c r="E2407" s="549" t="s">
        <v>775</v>
      </c>
      <c r="F2407" s="550">
        <v>112</v>
      </c>
      <c r="G2407" s="564"/>
      <c r="H2407" s="564"/>
      <c r="I2407" s="564"/>
      <c r="J2407" s="550">
        <v>76</v>
      </c>
      <c r="K2407" s="564"/>
      <c r="L2407" s="564"/>
      <c r="M2407" s="564"/>
      <c r="N2407" s="550">
        <v>89</v>
      </c>
      <c r="O2407" s="564"/>
      <c r="P2407" s="550">
        <v>209</v>
      </c>
      <c r="Q2407" s="564"/>
      <c r="R2407" s="574" t="s">
        <v>718</v>
      </c>
      <c r="S2407" s="552"/>
      <c r="T2407" s="552"/>
      <c r="U2407" s="552"/>
      <c r="V2407" s="552"/>
      <c r="W2407" s="552"/>
      <c r="X2407" s="552"/>
      <c r="Y2407" s="552"/>
      <c r="Z2407" s="552"/>
      <c r="AA2407" s="553"/>
      <c r="AB2407" s="553"/>
    </row>
    <row r="2408" spans="1:28" ht="12.75">
      <c r="A2408" s="547" t="s">
        <v>718</v>
      </c>
      <c r="B2408" s="547" t="s">
        <v>197</v>
      </c>
      <c r="C2408" s="548" t="s">
        <v>785</v>
      </c>
      <c r="D2408" s="549">
        <v>2019</v>
      </c>
      <c r="E2408" s="549" t="s">
        <v>775</v>
      </c>
      <c r="F2408" s="550">
        <v>112</v>
      </c>
      <c r="G2408" s="550">
        <v>5</v>
      </c>
      <c r="H2408" s="550">
        <v>0</v>
      </c>
      <c r="I2408" s="550">
        <v>5</v>
      </c>
      <c r="J2408" s="550">
        <v>76</v>
      </c>
      <c r="K2408" s="550">
        <v>23</v>
      </c>
      <c r="L2408" s="550">
        <v>0</v>
      </c>
      <c r="M2408" s="550">
        <v>23</v>
      </c>
      <c r="N2408" s="550">
        <v>89</v>
      </c>
      <c r="O2408" s="550">
        <v>12</v>
      </c>
      <c r="P2408" s="550">
        <v>209</v>
      </c>
      <c r="Q2408" s="550">
        <v>47</v>
      </c>
      <c r="R2408" s="574" t="s">
        <v>718</v>
      </c>
      <c r="S2408" s="561">
        <f>SUM(G2404:G2408) +SUM(K2404:K2408)</f>
        <v>114</v>
      </c>
      <c r="T2408" s="561">
        <f>F2408+J2408</f>
        <v>188</v>
      </c>
      <c r="U2408" s="561">
        <f>SUM(O2404:O2408)</f>
        <v>81</v>
      </c>
      <c r="V2408" s="561">
        <f>N2408</f>
        <v>89</v>
      </c>
      <c r="W2408" s="562">
        <f>SUM(Q2404:Q2408)</f>
        <v>99</v>
      </c>
      <c r="X2408" s="561">
        <f>P2408</f>
        <v>209</v>
      </c>
      <c r="Y2408" s="561">
        <f>S2408+U2408+SUM(Q2404:Q2408)</f>
        <v>294</v>
      </c>
      <c r="Z2408" s="561">
        <f>F2408+J2408+N2408+P2408</f>
        <v>486</v>
      </c>
      <c r="AA2408" s="553"/>
      <c r="AB2408" s="553"/>
    </row>
    <row r="2409" spans="1:28" ht="12.75">
      <c r="A2409" s="547"/>
      <c r="B2409" s="547"/>
      <c r="C2409" s="548"/>
      <c r="D2409" s="549"/>
      <c r="E2409" s="549"/>
      <c r="F2409" s="550"/>
      <c r="G2409" s="550"/>
      <c r="H2409" s="550"/>
      <c r="I2409" s="550"/>
      <c r="J2409" s="550"/>
      <c r="K2409" s="550"/>
      <c r="L2409" s="550"/>
      <c r="M2409" s="550"/>
      <c r="N2409" s="550"/>
      <c r="O2409" s="550"/>
      <c r="P2409" s="550"/>
      <c r="Q2409" s="550"/>
      <c r="R2409" s="574"/>
      <c r="S2409" s="563">
        <f t="shared" ref="S2409:Z2409" si="236">SUM(S2393:S2408)</f>
        <v>160</v>
      </c>
      <c r="T2409" s="563">
        <f t="shared" si="236"/>
        <v>385</v>
      </c>
      <c r="U2409" s="563">
        <f t="shared" si="236"/>
        <v>118</v>
      </c>
      <c r="V2409" s="563">
        <f t="shared" si="236"/>
        <v>185</v>
      </c>
      <c r="W2409" s="563">
        <f t="shared" si="236"/>
        <v>112</v>
      </c>
      <c r="X2409" s="563">
        <f t="shared" si="236"/>
        <v>425</v>
      </c>
      <c r="Y2409" s="563">
        <f t="shared" si="236"/>
        <v>390</v>
      </c>
      <c r="Z2409" s="563">
        <f t="shared" si="236"/>
        <v>995</v>
      </c>
      <c r="AA2409" s="553"/>
      <c r="AB2409" s="553"/>
    </row>
    <row r="2410" spans="1:28" ht="12.75">
      <c r="A2410" s="547"/>
      <c r="B2410" s="547"/>
      <c r="C2410" s="548"/>
      <c r="D2410" s="549"/>
      <c r="E2410" s="549"/>
      <c r="F2410" s="550"/>
      <c r="G2410" s="550"/>
      <c r="H2410" s="550"/>
      <c r="I2410" s="550"/>
      <c r="J2410" s="550"/>
      <c r="K2410" s="550"/>
      <c r="L2410" s="550"/>
      <c r="M2410" s="550"/>
      <c r="N2410" s="550"/>
      <c r="O2410" s="550"/>
      <c r="P2410" s="550"/>
      <c r="Q2410" s="550"/>
      <c r="R2410" s="574"/>
      <c r="S2410" s="552"/>
      <c r="T2410" s="255"/>
      <c r="U2410" s="552"/>
      <c r="V2410" s="255"/>
      <c r="W2410" s="552"/>
      <c r="X2410" s="255"/>
      <c r="Y2410" s="552"/>
      <c r="Z2410" s="255"/>
      <c r="AA2410" s="553"/>
      <c r="AB2410" s="553"/>
    </row>
    <row r="2411" spans="1:28" ht="12.75">
      <c r="A2411" s="547" t="s">
        <v>719</v>
      </c>
      <c r="B2411" s="547" t="s">
        <v>198</v>
      </c>
      <c r="C2411" s="548" t="s">
        <v>785</v>
      </c>
      <c r="D2411" s="549">
        <v>2019</v>
      </c>
      <c r="E2411" s="549" t="s">
        <v>775</v>
      </c>
      <c r="F2411" s="550">
        <v>2</v>
      </c>
      <c r="G2411" s="550">
        <v>0</v>
      </c>
      <c r="H2411" s="550">
        <v>0</v>
      </c>
      <c r="I2411" s="550">
        <v>0</v>
      </c>
      <c r="J2411" s="550">
        <v>2</v>
      </c>
      <c r="K2411" s="550">
        <v>0</v>
      </c>
      <c r="L2411" s="550">
        <v>0</v>
      </c>
      <c r="M2411" s="550">
        <v>0</v>
      </c>
      <c r="N2411" s="550">
        <v>2</v>
      </c>
      <c r="O2411" s="550">
        <v>0</v>
      </c>
      <c r="P2411" s="550">
        <v>4</v>
      </c>
      <c r="Q2411" s="550">
        <v>0</v>
      </c>
      <c r="R2411" s="574" t="s">
        <v>719</v>
      </c>
      <c r="S2411" s="563">
        <f>G2411</f>
        <v>0</v>
      </c>
      <c r="T2411" s="579">
        <f>F2411+J2411</f>
        <v>4</v>
      </c>
      <c r="U2411" s="563">
        <f>K2411</f>
        <v>0</v>
      </c>
      <c r="V2411" s="579">
        <f t="shared" ref="V2411:Y2411" si="237">N2411</f>
        <v>2</v>
      </c>
      <c r="W2411" s="563">
        <f t="shared" si="237"/>
        <v>0</v>
      </c>
      <c r="X2411" s="579">
        <f t="shared" si="237"/>
        <v>4</v>
      </c>
      <c r="Y2411" s="563">
        <f t="shared" si="237"/>
        <v>0</v>
      </c>
      <c r="Z2411" s="579">
        <f>F2411+J2411+N2411+P2411</f>
        <v>10</v>
      </c>
      <c r="AA2411" s="553"/>
      <c r="AB2411" s="553"/>
    </row>
    <row r="2412" spans="1:28" ht="12.75">
      <c r="A2412" s="547"/>
      <c r="B2412" s="547"/>
      <c r="C2412" s="548"/>
      <c r="D2412" s="549"/>
      <c r="E2412" s="549"/>
      <c r="F2412" s="550"/>
      <c r="G2412" s="550"/>
      <c r="H2412" s="550"/>
      <c r="I2412" s="550"/>
      <c r="J2412" s="550"/>
      <c r="K2412" s="550"/>
      <c r="L2412" s="550"/>
      <c r="M2412" s="550"/>
      <c r="N2412" s="550"/>
      <c r="O2412" s="550"/>
      <c r="P2412" s="550"/>
      <c r="Q2412" s="550"/>
      <c r="R2412" s="574"/>
      <c r="S2412" s="552"/>
      <c r="T2412" s="552"/>
      <c r="U2412" s="552"/>
      <c r="V2412" s="552"/>
      <c r="W2412" s="552"/>
      <c r="X2412" s="552"/>
      <c r="Y2412" s="552"/>
      <c r="Z2412" s="552"/>
      <c r="AA2412" s="553"/>
      <c r="AB2412" s="553"/>
    </row>
    <row r="2413" spans="1:28" ht="12.75">
      <c r="A2413" s="547" t="s">
        <v>720</v>
      </c>
      <c r="B2413" s="547" t="s">
        <v>199</v>
      </c>
      <c r="C2413" s="548" t="s">
        <v>177</v>
      </c>
      <c r="D2413" s="549">
        <v>2015</v>
      </c>
      <c r="E2413" s="549" t="s">
        <v>775</v>
      </c>
      <c r="F2413" s="550">
        <v>211</v>
      </c>
      <c r="G2413" s="550">
        <v>0</v>
      </c>
      <c r="H2413" s="550">
        <v>0</v>
      </c>
      <c r="I2413" s="550">
        <v>0</v>
      </c>
      <c r="J2413" s="550">
        <v>163</v>
      </c>
      <c r="K2413" s="550">
        <v>64</v>
      </c>
      <c r="L2413" s="550">
        <v>0</v>
      </c>
      <c r="M2413" s="550">
        <v>64</v>
      </c>
      <c r="N2413" s="550">
        <v>121</v>
      </c>
      <c r="O2413" s="550">
        <v>50</v>
      </c>
      <c r="P2413" s="550">
        <v>470</v>
      </c>
      <c r="Q2413" s="550">
        <v>0</v>
      </c>
      <c r="R2413" s="574" t="s">
        <v>720</v>
      </c>
      <c r="S2413" s="552"/>
      <c r="T2413" s="552"/>
      <c r="U2413" s="552"/>
      <c r="V2413" s="552"/>
      <c r="W2413" s="552"/>
      <c r="X2413" s="552"/>
      <c r="Y2413" s="552"/>
      <c r="Z2413" s="552"/>
      <c r="AA2413" s="553"/>
      <c r="AB2413" s="553"/>
    </row>
    <row r="2414" spans="1:28" ht="12.75">
      <c r="A2414" s="547" t="s">
        <v>720</v>
      </c>
      <c r="B2414" s="547" t="s">
        <v>199</v>
      </c>
      <c r="C2414" s="548" t="s">
        <v>177</v>
      </c>
      <c r="D2414" s="549">
        <v>2016</v>
      </c>
      <c r="E2414" s="549" t="s">
        <v>775</v>
      </c>
      <c r="F2414" s="550">
        <v>211</v>
      </c>
      <c r="G2414" s="550">
        <v>0</v>
      </c>
      <c r="H2414" s="550">
        <v>0</v>
      </c>
      <c r="I2414" s="550">
        <v>0</v>
      </c>
      <c r="J2414" s="550">
        <v>163</v>
      </c>
      <c r="K2414" s="550">
        <v>9</v>
      </c>
      <c r="L2414" s="550">
        <v>0</v>
      </c>
      <c r="M2414" s="550">
        <v>9</v>
      </c>
      <c r="N2414" s="550">
        <v>121</v>
      </c>
      <c r="O2414" s="550">
        <v>12</v>
      </c>
      <c r="P2414" s="550">
        <v>470</v>
      </c>
      <c r="Q2414" s="550">
        <v>0</v>
      </c>
      <c r="R2414" s="574" t="s">
        <v>720</v>
      </c>
      <c r="S2414" s="552"/>
      <c r="T2414" s="552"/>
      <c r="U2414" s="552"/>
      <c r="V2414" s="552"/>
      <c r="W2414" s="552"/>
      <c r="X2414" s="552"/>
      <c r="Y2414" s="552"/>
      <c r="Z2414" s="552"/>
      <c r="AA2414" s="553"/>
      <c r="AB2414" s="553"/>
    </row>
    <row r="2415" spans="1:28" ht="12.75">
      <c r="A2415" s="547" t="s">
        <v>720</v>
      </c>
      <c r="B2415" s="547" t="s">
        <v>199</v>
      </c>
      <c r="C2415" s="548" t="s">
        <v>177</v>
      </c>
      <c r="D2415" s="549">
        <v>2017</v>
      </c>
      <c r="E2415" s="549" t="s">
        <v>775</v>
      </c>
      <c r="F2415" s="550">
        <v>211</v>
      </c>
      <c r="G2415" s="550">
        <v>43</v>
      </c>
      <c r="H2415" s="550">
        <v>43</v>
      </c>
      <c r="I2415" s="550">
        <v>0</v>
      </c>
      <c r="J2415" s="550">
        <v>163</v>
      </c>
      <c r="K2415" s="550">
        <v>19</v>
      </c>
      <c r="L2415" s="550">
        <v>0</v>
      </c>
      <c r="M2415" s="550">
        <v>19</v>
      </c>
      <c r="N2415" s="550">
        <v>121</v>
      </c>
      <c r="O2415" s="550">
        <v>46</v>
      </c>
      <c r="P2415" s="550">
        <v>470</v>
      </c>
      <c r="Q2415" s="550">
        <v>11</v>
      </c>
      <c r="R2415" s="574" t="s">
        <v>720</v>
      </c>
      <c r="S2415" s="552"/>
      <c r="T2415" s="552"/>
      <c r="U2415" s="552"/>
      <c r="V2415" s="552"/>
      <c r="W2415" s="552"/>
      <c r="X2415" s="552"/>
      <c r="Y2415" s="552"/>
      <c r="Z2415" s="552"/>
      <c r="AA2415" s="553"/>
      <c r="AB2415" s="553"/>
    </row>
    <row r="2416" spans="1:28" ht="12.75">
      <c r="A2416" s="547" t="s">
        <v>720</v>
      </c>
      <c r="B2416" s="547" t="s">
        <v>199</v>
      </c>
      <c r="C2416" s="548" t="s">
        <v>177</v>
      </c>
      <c r="D2416" s="549">
        <v>2018</v>
      </c>
      <c r="E2416" s="549" t="s">
        <v>775</v>
      </c>
      <c r="F2416" s="550">
        <v>211</v>
      </c>
      <c r="G2416" s="550">
        <v>0</v>
      </c>
      <c r="H2416" s="550">
        <v>0</v>
      </c>
      <c r="I2416" s="550">
        <v>0</v>
      </c>
      <c r="J2416" s="550">
        <v>163</v>
      </c>
      <c r="K2416" s="550">
        <v>0</v>
      </c>
      <c r="L2416" s="550">
        <v>0</v>
      </c>
      <c r="M2416" s="550">
        <v>0</v>
      </c>
      <c r="N2416" s="550">
        <v>121</v>
      </c>
      <c r="O2416" s="550">
        <v>69</v>
      </c>
      <c r="P2416" s="550">
        <v>470</v>
      </c>
      <c r="Q2416" s="550">
        <v>30</v>
      </c>
      <c r="R2416" s="574" t="s">
        <v>720</v>
      </c>
      <c r="S2416" s="552"/>
      <c r="T2416" s="552"/>
      <c r="U2416" s="552"/>
      <c r="V2416" s="552"/>
      <c r="W2416" s="552"/>
      <c r="X2416" s="552"/>
      <c r="Y2416" s="552"/>
      <c r="Z2416" s="552"/>
      <c r="AA2416" s="553"/>
      <c r="AB2416" s="553"/>
    </row>
    <row r="2417" spans="1:28" ht="12.75">
      <c r="A2417" s="547" t="s">
        <v>720</v>
      </c>
      <c r="B2417" s="547" t="s">
        <v>199</v>
      </c>
      <c r="C2417" s="548" t="s">
        <v>811</v>
      </c>
      <c r="D2417" s="549">
        <v>2019</v>
      </c>
      <c r="E2417" s="549" t="s">
        <v>775</v>
      </c>
      <c r="F2417" s="550">
        <v>211</v>
      </c>
      <c r="G2417" s="550">
        <v>2</v>
      </c>
      <c r="H2417" s="550">
        <v>0</v>
      </c>
      <c r="I2417" s="550">
        <v>2</v>
      </c>
      <c r="J2417" s="550">
        <v>163</v>
      </c>
      <c r="K2417" s="550">
        <v>0</v>
      </c>
      <c r="L2417" s="550">
        <v>0</v>
      </c>
      <c r="M2417" s="550">
        <v>0</v>
      </c>
      <c r="N2417" s="550">
        <v>121</v>
      </c>
      <c r="O2417" s="550">
        <v>25</v>
      </c>
      <c r="P2417" s="550">
        <v>470</v>
      </c>
      <c r="Q2417" s="550">
        <v>202</v>
      </c>
      <c r="R2417" s="574" t="s">
        <v>720</v>
      </c>
      <c r="S2417" s="255">
        <f>SUM(G2413:G2417) +SUM(K2413:K2417)</f>
        <v>137</v>
      </c>
      <c r="T2417" s="255">
        <f>F2417+J2417</f>
        <v>374</v>
      </c>
      <c r="U2417" s="255">
        <f>SUM(O2413:O2417)</f>
        <v>202</v>
      </c>
      <c r="V2417" s="255">
        <f>N2417</f>
        <v>121</v>
      </c>
      <c r="W2417" s="83">
        <f>SUM(Q2413:Q2417)</f>
        <v>243</v>
      </c>
      <c r="X2417" s="255">
        <f>P2417</f>
        <v>470</v>
      </c>
      <c r="Y2417" s="255">
        <f>S2417+U2417+SUM(Q2413:Q2417)</f>
        <v>582</v>
      </c>
      <c r="Z2417" s="255">
        <f>F2417+J2417+N2417+P2417</f>
        <v>965</v>
      </c>
      <c r="AA2417" s="553"/>
      <c r="AB2417" s="553"/>
    </row>
    <row r="2418" spans="1:28" ht="12.75">
      <c r="A2418" s="547" t="s">
        <v>721</v>
      </c>
      <c r="B2418" s="547" t="s">
        <v>199</v>
      </c>
      <c r="C2418" s="548" t="s">
        <v>177</v>
      </c>
      <c r="D2418" s="549">
        <v>2017</v>
      </c>
      <c r="E2418" s="549" t="s">
        <v>775</v>
      </c>
      <c r="F2418" s="550">
        <v>143</v>
      </c>
      <c r="G2418" s="550">
        <v>0</v>
      </c>
      <c r="H2418" s="550">
        <v>0</v>
      </c>
      <c r="I2418" s="550">
        <v>0</v>
      </c>
      <c r="J2418" s="550">
        <v>125</v>
      </c>
      <c r="K2418" s="550">
        <v>2</v>
      </c>
      <c r="L2418" s="550">
        <v>0</v>
      </c>
      <c r="M2418" s="550">
        <v>2</v>
      </c>
      <c r="N2418" s="550">
        <v>85</v>
      </c>
      <c r="O2418" s="550">
        <v>2</v>
      </c>
      <c r="P2418" s="550">
        <v>272</v>
      </c>
      <c r="Q2418" s="550">
        <v>6</v>
      </c>
      <c r="R2418" s="574" t="s">
        <v>721</v>
      </c>
      <c r="S2418" s="552"/>
      <c r="T2418" s="552"/>
      <c r="U2418" s="552"/>
      <c r="V2418" s="552"/>
      <c r="W2418" s="552"/>
      <c r="X2418" s="552"/>
      <c r="Y2418" s="552"/>
      <c r="Z2418" s="552"/>
      <c r="AA2418" s="553"/>
      <c r="AB2418" s="553"/>
    </row>
    <row r="2419" spans="1:28" ht="12.75">
      <c r="A2419" s="547" t="s">
        <v>721</v>
      </c>
      <c r="B2419" s="547" t="s">
        <v>199</v>
      </c>
      <c r="C2419" s="548" t="s">
        <v>177</v>
      </c>
      <c r="D2419" s="549">
        <v>2018</v>
      </c>
      <c r="E2419" s="549" t="s">
        <v>775</v>
      </c>
      <c r="F2419" s="550">
        <v>143</v>
      </c>
      <c r="G2419" s="564"/>
      <c r="H2419" s="564"/>
      <c r="I2419" s="564"/>
      <c r="J2419" s="550">
        <v>125</v>
      </c>
      <c r="K2419" s="564"/>
      <c r="L2419" s="564"/>
      <c r="M2419" s="564"/>
      <c r="N2419" s="550">
        <v>85</v>
      </c>
      <c r="O2419" s="564"/>
      <c r="P2419" s="550">
        <v>272</v>
      </c>
      <c r="Q2419" s="564"/>
      <c r="R2419" s="574" t="s">
        <v>721</v>
      </c>
      <c r="S2419" s="552"/>
      <c r="T2419" s="552"/>
      <c r="U2419" s="552"/>
      <c r="V2419" s="552"/>
      <c r="W2419" s="552"/>
      <c r="X2419" s="552"/>
      <c r="Y2419" s="552"/>
      <c r="Z2419" s="552"/>
      <c r="AA2419" s="553"/>
      <c r="AB2419" s="553"/>
    </row>
    <row r="2420" spans="1:28" ht="12.75">
      <c r="A2420" s="547" t="s">
        <v>721</v>
      </c>
      <c r="B2420" s="547" t="s">
        <v>199</v>
      </c>
      <c r="C2420" s="548" t="s">
        <v>811</v>
      </c>
      <c r="D2420" s="549">
        <v>2019</v>
      </c>
      <c r="E2420" s="549" t="s">
        <v>775</v>
      </c>
      <c r="F2420" s="550">
        <v>143</v>
      </c>
      <c r="G2420" s="550">
        <v>0</v>
      </c>
      <c r="H2420" s="550">
        <v>0</v>
      </c>
      <c r="I2420" s="550">
        <v>0</v>
      </c>
      <c r="J2420" s="550">
        <v>125</v>
      </c>
      <c r="K2420" s="550">
        <v>4</v>
      </c>
      <c r="L2420" s="550">
        <v>0</v>
      </c>
      <c r="M2420" s="550">
        <v>4</v>
      </c>
      <c r="N2420" s="550">
        <v>85</v>
      </c>
      <c r="O2420" s="550">
        <v>2</v>
      </c>
      <c r="P2420" s="550">
        <v>272</v>
      </c>
      <c r="Q2420" s="550">
        <v>8</v>
      </c>
      <c r="R2420" s="574" t="s">
        <v>721</v>
      </c>
      <c r="S2420" s="255">
        <f>SUM(G2418:G2420) +SUM(K2418:K2420)</f>
        <v>6</v>
      </c>
      <c r="T2420" s="255">
        <f>F2420+J2420</f>
        <v>268</v>
      </c>
      <c r="U2420" s="255">
        <f>SUM(O2418:O2420)</f>
        <v>4</v>
      </c>
      <c r="V2420" s="255">
        <f>N2420</f>
        <v>85</v>
      </c>
      <c r="W2420" s="83">
        <f>SUM(Q2418:Q2420)</f>
        <v>14</v>
      </c>
      <c r="X2420" s="255">
        <f>P2420</f>
        <v>272</v>
      </c>
      <c r="Y2420" s="255">
        <f>S2420+U2420+SUM(Q2418:Q2420)</f>
        <v>24</v>
      </c>
      <c r="Z2420" s="255">
        <f>F2420+J2420+N2420+P2420</f>
        <v>625</v>
      </c>
      <c r="AA2420" s="553"/>
      <c r="AB2420" s="553"/>
    </row>
    <row r="2421" spans="1:28" ht="12.75">
      <c r="A2421" s="547" t="s">
        <v>722</v>
      </c>
      <c r="B2421" s="547" t="s">
        <v>199</v>
      </c>
      <c r="C2421" s="548" t="s">
        <v>177</v>
      </c>
      <c r="D2421" s="549">
        <v>2016</v>
      </c>
      <c r="E2421" s="549" t="s">
        <v>775</v>
      </c>
      <c r="F2421" s="550">
        <v>74</v>
      </c>
      <c r="G2421" s="550">
        <v>0</v>
      </c>
      <c r="H2421" s="550">
        <v>0</v>
      </c>
      <c r="I2421" s="550">
        <v>0</v>
      </c>
      <c r="J2421" s="550">
        <v>65</v>
      </c>
      <c r="K2421" s="550">
        <v>6</v>
      </c>
      <c r="L2421" s="550">
        <v>6</v>
      </c>
      <c r="M2421" s="550">
        <v>0</v>
      </c>
      <c r="N2421" s="550">
        <v>68</v>
      </c>
      <c r="O2421" s="550">
        <v>6</v>
      </c>
      <c r="P2421" s="550">
        <v>259</v>
      </c>
      <c r="Q2421" s="550">
        <v>0</v>
      </c>
      <c r="R2421" s="574" t="s">
        <v>722</v>
      </c>
      <c r="S2421" s="552"/>
      <c r="T2421" s="552"/>
      <c r="U2421" s="552"/>
      <c r="V2421" s="552"/>
      <c r="W2421" s="552"/>
      <c r="X2421" s="552"/>
      <c r="Y2421" s="552"/>
      <c r="Z2421" s="552"/>
      <c r="AA2421" s="553"/>
      <c r="AB2421" s="553"/>
    </row>
    <row r="2422" spans="1:28" ht="12.75">
      <c r="A2422" s="547" t="s">
        <v>722</v>
      </c>
      <c r="B2422" s="547" t="s">
        <v>199</v>
      </c>
      <c r="C2422" s="548" t="s">
        <v>177</v>
      </c>
      <c r="D2422" s="549">
        <v>2017</v>
      </c>
      <c r="E2422" s="549" t="s">
        <v>775</v>
      </c>
      <c r="F2422" s="550">
        <v>74</v>
      </c>
      <c r="G2422" s="550">
        <v>6</v>
      </c>
      <c r="H2422" s="550">
        <v>0</v>
      </c>
      <c r="I2422" s="550">
        <v>6</v>
      </c>
      <c r="J2422" s="550">
        <v>65</v>
      </c>
      <c r="K2422" s="550">
        <v>7</v>
      </c>
      <c r="L2422" s="550">
        <v>0</v>
      </c>
      <c r="M2422" s="550">
        <v>7</v>
      </c>
      <c r="N2422" s="550">
        <v>68</v>
      </c>
      <c r="O2422" s="550">
        <v>5</v>
      </c>
      <c r="P2422" s="550">
        <v>259</v>
      </c>
      <c r="Q2422" s="550">
        <v>5</v>
      </c>
      <c r="R2422" s="574" t="s">
        <v>722</v>
      </c>
      <c r="S2422" s="552"/>
      <c r="T2422" s="552"/>
      <c r="U2422" s="552"/>
      <c r="V2422" s="552"/>
      <c r="W2422" s="552"/>
      <c r="X2422" s="552"/>
      <c r="Y2422" s="552"/>
      <c r="Z2422" s="552"/>
      <c r="AA2422" s="553"/>
      <c r="AB2422" s="553"/>
    </row>
    <row r="2423" spans="1:28" ht="12.75">
      <c r="A2423" s="547" t="s">
        <v>722</v>
      </c>
      <c r="B2423" s="547" t="s">
        <v>199</v>
      </c>
      <c r="C2423" s="548" t="s">
        <v>177</v>
      </c>
      <c r="D2423" s="549">
        <v>2018</v>
      </c>
      <c r="E2423" s="549" t="s">
        <v>775</v>
      </c>
      <c r="F2423" s="550">
        <v>74</v>
      </c>
      <c r="G2423" s="564"/>
      <c r="H2423" s="564"/>
      <c r="I2423" s="564"/>
      <c r="J2423" s="550">
        <v>65</v>
      </c>
      <c r="K2423" s="564"/>
      <c r="L2423" s="564"/>
      <c r="M2423" s="564"/>
      <c r="N2423" s="550">
        <v>68</v>
      </c>
      <c r="O2423" s="564"/>
      <c r="P2423" s="550">
        <v>259</v>
      </c>
      <c r="Q2423" s="564"/>
      <c r="R2423" s="574" t="s">
        <v>722</v>
      </c>
      <c r="S2423" s="255">
        <f>SUM(G2421:G2423) +SUM(K2421:K2423)</f>
        <v>19</v>
      </c>
      <c r="T2423" s="255">
        <f>F2423+J2423</f>
        <v>139</v>
      </c>
      <c r="U2423" s="255">
        <f>SUM(O2421:O2423)</f>
        <v>11</v>
      </c>
      <c r="V2423" s="255">
        <f>N2423</f>
        <v>68</v>
      </c>
      <c r="W2423" s="83">
        <f>SUM(Q2421:Q2423)</f>
        <v>5</v>
      </c>
      <c r="X2423" s="255">
        <f>P2423</f>
        <v>259</v>
      </c>
      <c r="Y2423" s="255">
        <f>S2423+U2423+SUM(Q2421:Q2423)</f>
        <v>35</v>
      </c>
      <c r="Z2423" s="255">
        <f>F2423+J2423+N2423+P2423</f>
        <v>466</v>
      </c>
      <c r="AA2423" s="553"/>
      <c r="AB2423" s="553"/>
    </row>
    <row r="2424" spans="1:28" ht="12.75">
      <c r="A2424" s="547" t="s">
        <v>723</v>
      </c>
      <c r="B2424" s="547" t="s">
        <v>199</v>
      </c>
      <c r="C2424" s="548" t="s">
        <v>177</v>
      </c>
      <c r="D2424" s="549">
        <v>2015</v>
      </c>
      <c r="E2424" s="549" t="s">
        <v>775</v>
      </c>
      <c r="F2424" s="550">
        <v>80</v>
      </c>
      <c r="G2424" s="550">
        <v>4</v>
      </c>
      <c r="H2424" s="550">
        <v>4</v>
      </c>
      <c r="I2424" s="550">
        <v>0</v>
      </c>
      <c r="J2424" s="550">
        <v>80</v>
      </c>
      <c r="K2424" s="550">
        <v>28</v>
      </c>
      <c r="L2424" s="550">
        <v>27</v>
      </c>
      <c r="M2424" s="550">
        <v>1</v>
      </c>
      <c r="N2424" s="550">
        <v>82</v>
      </c>
      <c r="O2424" s="550">
        <v>7</v>
      </c>
      <c r="P2424" s="550">
        <v>348</v>
      </c>
      <c r="Q2424" s="550">
        <v>9</v>
      </c>
      <c r="R2424" s="574" t="s">
        <v>723</v>
      </c>
      <c r="S2424" s="552"/>
      <c r="T2424" s="552"/>
      <c r="U2424" s="552"/>
      <c r="V2424" s="552"/>
      <c r="W2424" s="552"/>
      <c r="X2424" s="552"/>
      <c r="Y2424" s="552"/>
      <c r="Z2424" s="552"/>
      <c r="AA2424" s="553"/>
      <c r="AB2424" s="553"/>
    </row>
    <row r="2425" spans="1:28" ht="12.75">
      <c r="A2425" s="547" t="s">
        <v>723</v>
      </c>
      <c r="B2425" s="555" t="s">
        <v>199</v>
      </c>
      <c r="C2425" s="548" t="s">
        <v>177</v>
      </c>
      <c r="D2425" s="549">
        <v>2016</v>
      </c>
      <c r="E2425" s="549" t="s">
        <v>775</v>
      </c>
      <c r="F2425" s="550">
        <v>80</v>
      </c>
      <c r="G2425" s="550">
        <v>3</v>
      </c>
      <c r="H2425" s="550">
        <v>3</v>
      </c>
      <c r="I2425" s="550">
        <v>0</v>
      </c>
      <c r="J2425" s="550">
        <v>80</v>
      </c>
      <c r="K2425" s="550">
        <v>20</v>
      </c>
      <c r="L2425" s="550">
        <v>20</v>
      </c>
      <c r="M2425" s="550">
        <v>0</v>
      </c>
      <c r="N2425" s="550">
        <v>82</v>
      </c>
      <c r="O2425" s="550">
        <v>0</v>
      </c>
      <c r="P2425" s="550">
        <v>348</v>
      </c>
      <c r="Q2425" s="550">
        <v>1</v>
      </c>
      <c r="R2425" s="574" t="s">
        <v>723</v>
      </c>
      <c r="S2425" s="552"/>
      <c r="T2425" s="552"/>
      <c r="U2425" s="552"/>
      <c r="V2425" s="552"/>
      <c r="W2425" s="552"/>
      <c r="X2425" s="552"/>
      <c r="Y2425" s="552"/>
      <c r="Z2425" s="552"/>
      <c r="AA2425" s="553"/>
      <c r="AB2425" s="553"/>
    </row>
    <row r="2426" spans="1:28" ht="12.75">
      <c r="A2426" s="547" t="s">
        <v>723</v>
      </c>
      <c r="B2426" s="547" t="s">
        <v>199</v>
      </c>
      <c r="C2426" s="548" t="s">
        <v>177</v>
      </c>
      <c r="D2426" s="549">
        <v>2017</v>
      </c>
      <c r="E2426" s="549" t="s">
        <v>775</v>
      </c>
      <c r="F2426" s="550">
        <v>80</v>
      </c>
      <c r="G2426" s="550">
        <v>33</v>
      </c>
      <c r="H2426" s="550">
        <v>32</v>
      </c>
      <c r="I2426" s="550">
        <v>1</v>
      </c>
      <c r="J2426" s="550">
        <v>80</v>
      </c>
      <c r="K2426" s="550">
        <v>19</v>
      </c>
      <c r="L2426" s="550">
        <v>18</v>
      </c>
      <c r="M2426" s="550">
        <v>1</v>
      </c>
      <c r="N2426" s="550">
        <v>82</v>
      </c>
      <c r="O2426" s="550">
        <v>20</v>
      </c>
      <c r="P2426" s="550">
        <v>348</v>
      </c>
      <c r="Q2426" s="550">
        <v>0</v>
      </c>
      <c r="R2426" s="574" t="s">
        <v>723</v>
      </c>
      <c r="S2426" s="552"/>
      <c r="T2426" s="552"/>
      <c r="U2426" s="552"/>
      <c r="V2426" s="552"/>
      <c r="W2426" s="552"/>
      <c r="X2426" s="552"/>
      <c r="Y2426" s="552"/>
      <c r="Z2426" s="552"/>
      <c r="AA2426" s="553"/>
      <c r="AB2426" s="553"/>
    </row>
    <row r="2427" spans="1:28" ht="12.75">
      <c r="A2427" s="547" t="s">
        <v>723</v>
      </c>
      <c r="B2427" s="547" t="s">
        <v>199</v>
      </c>
      <c r="C2427" s="548" t="s">
        <v>177</v>
      </c>
      <c r="D2427" s="549">
        <v>2018</v>
      </c>
      <c r="E2427" s="549" t="s">
        <v>775</v>
      </c>
      <c r="F2427" s="550">
        <v>80</v>
      </c>
      <c r="G2427" s="550">
        <v>0</v>
      </c>
      <c r="H2427" s="550">
        <v>0</v>
      </c>
      <c r="I2427" s="550">
        <v>0</v>
      </c>
      <c r="J2427" s="550">
        <v>80</v>
      </c>
      <c r="K2427" s="550">
        <v>1</v>
      </c>
      <c r="L2427" s="550">
        <v>0</v>
      </c>
      <c r="M2427" s="550">
        <v>1</v>
      </c>
      <c r="N2427" s="550">
        <v>82</v>
      </c>
      <c r="O2427" s="550">
        <v>20</v>
      </c>
      <c r="P2427" s="550">
        <v>348</v>
      </c>
      <c r="Q2427" s="550">
        <v>0</v>
      </c>
      <c r="R2427" s="574" t="s">
        <v>723</v>
      </c>
      <c r="S2427" s="552"/>
      <c r="T2427" s="552"/>
      <c r="U2427" s="552"/>
      <c r="V2427" s="552"/>
      <c r="W2427" s="552"/>
      <c r="X2427" s="552"/>
      <c r="Y2427" s="552"/>
      <c r="Z2427" s="552"/>
      <c r="AA2427" s="553"/>
      <c r="AB2427" s="553"/>
    </row>
    <row r="2428" spans="1:28" ht="12.75">
      <c r="A2428" s="547" t="s">
        <v>723</v>
      </c>
      <c r="B2428" s="547" t="s">
        <v>199</v>
      </c>
      <c r="C2428" s="548" t="s">
        <v>811</v>
      </c>
      <c r="D2428" s="549">
        <v>2019</v>
      </c>
      <c r="E2428" s="549" t="s">
        <v>775</v>
      </c>
      <c r="F2428" s="550">
        <v>80</v>
      </c>
      <c r="G2428" s="550">
        <v>0</v>
      </c>
      <c r="H2428" s="550">
        <v>0</v>
      </c>
      <c r="I2428" s="550">
        <v>0</v>
      </c>
      <c r="J2428" s="550">
        <v>80</v>
      </c>
      <c r="K2428" s="550">
        <v>0</v>
      </c>
      <c r="L2428" s="550">
        <v>0</v>
      </c>
      <c r="M2428" s="550">
        <v>0</v>
      </c>
      <c r="N2428" s="550">
        <v>82</v>
      </c>
      <c r="O2428" s="550">
        <v>6</v>
      </c>
      <c r="P2428" s="550">
        <v>348</v>
      </c>
      <c r="Q2428" s="550">
        <v>0</v>
      </c>
      <c r="R2428" s="574" t="s">
        <v>723</v>
      </c>
      <c r="S2428" s="255">
        <f>SUM(G2424:G2428) +SUM(K2424:K2428)</f>
        <v>108</v>
      </c>
      <c r="T2428" s="255">
        <f>F2428+J2428</f>
        <v>160</v>
      </c>
      <c r="U2428" s="255">
        <f>SUM(O2424:O2428)</f>
        <v>53</v>
      </c>
      <c r="V2428" s="255">
        <f>N2428</f>
        <v>82</v>
      </c>
      <c r="W2428" s="83">
        <f>SUM(Q2424:Q2428)</f>
        <v>10</v>
      </c>
      <c r="X2428" s="255">
        <f>P2428</f>
        <v>348</v>
      </c>
      <c r="Y2428" s="255">
        <f>S2428+U2428+SUM(Q2424:Q2428)</f>
        <v>171</v>
      </c>
      <c r="Z2428" s="255">
        <f>F2428+J2428+N2428+P2428</f>
        <v>590</v>
      </c>
      <c r="AA2428" s="553"/>
      <c r="AB2428" s="553"/>
    </row>
    <row r="2429" spans="1:28" ht="12.75">
      <c r="A2429" s="547" t="s">
        <v>724</v>
      </c>
      <c r="B2429" s="547" t="s">
        <v>199</v>
      </c>
      <c r="C2429" s="548" t="s">
        <v>177</v>
      </c>
      <c r="D2429" s="549">
        <v>2015</v>
      </c>
      <c r="E2429" s="549" t="s">
        <v>775</v>
      </c>
      <c r="F2429" s="550">
        <v>623</v>
      </c>
      <c r="G2429" s="550">
        <v>0</v>
      </c>
      <c r="H2429" s="550">
        <v>0</v>
      </c>
      <c r="I2429" s="550">
        <v>0</v>
      </c>
      <c r="J2429" s="550">
        <v>576</v>
      </c>
      <c r="K2429" s="550">
        <v>3</v>
      </c>
      <c r="L2429" s="550">
        <v>3</v>
      </c>
      <c r="M2429" s="550">
        <v>0</v>
      </c>
      <c r="N2429" s="550">
        <v>566</v>
      </c>
      <c r="O2429" s="550">
        <v>97</v>
      </c>
      <c r="P2429" s="550">
        <v>1431</v>
      </c>
      <c r="Q2429" s="550">
        <v>8</v>
      </c>
      <c r="R2429" s="574" t="s">
        <v>724</v>
      </c>
      <c r="S2429" s="552"/>
      <c r="T2429" s="552"/>
      <c r="U2429" s="552"/>
      <c r="V2429" s="552"/>
      <c r="W2429" s="552"/>
      <c r="X2429" s="552"/>
      <c r="Y2429" s="552"/>
      <c r="Z2429" s="552"/>
      <c r="AA2429" s="553"/>
      <c r="AB2429" s="553"/>
    </row>
    <row r="2430" spans="1:28" ht="12.75">
      <c r="A2430" s="547" t="s">
        <v>724</v>
      </c>
      <c r="B2430" s="547" t="s">
        <v>199</v>
      </c>
      <c r="C2430" s="548" t="s">
        <v>177</v>
      </c>
      <c r="D2430" s="549">
        <v>2016</v>
      </c>
      <c r="E2430" s="549" t="s">
        <v>775</v>
      </c>
      <c r="F2430" s="550">
        <v>623</v>
      </c>
      <c r="G2430" s="550">
        <v>0</v>
      </c>
      <c r="H2430" s="550">
        <v>0</v>
      </c>
      <c r="I2430" s="550">
        <v>0</v>
      </c>
      <c r="J2430" s="550">
        <v>576</v>
      </c>
      <c r="K2430" s="550">
        <v>2</v>
      </c>
      <c r="L2430" s="550">
        <v>2</v>
      </c>
      <c r="M2430" s="550">
        <v>0</v>
      </c>
      <c r="N2430" s="550">
        <v>566</v>
      </c>
      <c r="O2430" s="550">
        <v>40</v>
      </c>
      <c r="P2430" s="550">
        <v>1431</v>
      </c>
      <c r="Q2430" s="550">
        <v>1</v>
      </c>
      <c r="R2430" s="574" t="s">
        <v>724</v>
      </c>
      <c r="S2430" s="552"/>
      <c r="T2430" s="552"/>
      <c r="U2430" s="552"/>
      <c r="V2430" s="552"/>
      <c r="W2430" s="552"/>
      <c r="X2430" s="552"/>
      <c r="Y2430" s="552"/>
      <c r="Z2430" s="552"/>
      <c r="AA2430" s="553"/>
      <c r="AB2430" s="553"/>
    </row>
    <row r="2431" spans="1:28" ht="12.75">
      <c r="A2431" s="547" t="s">
        <v>724</v>
      </c>
      <c r="B2431" s="547" t="s">
        <v>199</v>
      </c>
      <c r="C2431" s="548" t="s">
        <v>177</v>
      </c>
      <c r="D2431" s="549">
        <v>2017</v>
      </c>
      <c r="E2431" s="549" t="s">
        <v>775</v>
      </c>
      <c r="F2431" s="550">
        <v>623</v>
      </c>
      <c r="G2431" s="550">
        <v>0</v>
      </c>
      <c r="H2431" s="550">
        <v>0</v>
      </c>
      <c r="I2431" s="550">
        <v>0</v>
      </c>
      <c r="J2431" s="550">
        <v>576</v>
      </c>
      <c r="K2431" s="550">
        <v>2</v>
      </c>
      <c r="L2431" s="550">
        <v>2</v>
      </c>
      <c r="M2431" s="550">
        <v>0</v>
      </c>
      <c r="N2431" s="550">
        <v>566</v>
      </c>
      <c r="O2431" s="550">
        <v>15</v>
      </c>
      <c r="P2431" s="550">
        <v>1431</v>
      </c>
      <c r="Q2431" s="550">
        <v>2</v>
      </c>
      <c r="R2431" s="574" t="s">
        <v>724</v>
      </c>
      <c r="S2431" s="552"/>
      <c r="T2431" s="552"/>
      <c r="U2431" s="552"/>
      <c r="V2431" s="552"/>
      <c r="W2431" s="552"/>
      <c r="X2431" s="552"/>
      <c r="Y2431" s="552"/>
      <c r="Z2431" s="552"/>
      <c r="AA2431" s="553"/>
      <c r="AB2431" s="553"/>
    </row>
    <row r="2432" spans="1:28" ht="12.75">
      <c r="A2432" s="547" t="s">
        <v>724</v>
      </c>
      <c r="B2432" s="547" t="s">
        <v>199</v>
      </c>
      <c r="C2432" s="548" t="s">
        <v>811</v>
      </c>
      <c r="D2432" s="549">
        <v>2019</v>
      </c>
      <c r="E2432" s="549" t="s">
        <v>775</v>
      </c>
      <c r="F2432" s="550">
        <v>623</v>
      </c>
      <c r="G2432" s="550">
        <v>0</v>
      </c>
      <c r="H2432" s="550">
        <v>0</v>
      </c>
      <c r="I2432" s="550">
        <v>0</v>
      </c>
      <c r="J2432" s="550">
        <v>576</v>
      </c>
      <c r="K2432" s="550">
        <v>12</v>
      </c>
      <c r="L2432" s="550">
        <v>8</v>
      </c>
      <c r="M2432" s="550">
        <v>4</v>
      </c>
      <c r="N2432" s="550">
        <v>566</v>
      </c>
      <c r="O2432" s="550">
        <v>2</v>
      </c>
      <c r="P2432" s="550">
        <v>1431</v>
      </c>
      <c r="Q2432" s="550">
        <v>64</v>
      </c>
      <c r="R2432" s="574" t="s">
        <v>724</v>
      </c>
      <c r="S2432" s="255">
        <f>SUM(G2429:G2432) +SUM(K2429:K2432)</f>
        <v>19</v>
      </c>
      <c r="T2432" s="255">
        <f>F2432+J2432</f>
        <v>1199</v>
      </c>
      <c r="U2432" s="255">
        <f>SUM(O2429:O2432)</f>
        <v>154</v>
      </c>
      <c r="V2432" s="255">
        <f>N2432</f>
        <v>566</v>
      </c>
      <c r="W2432" s="83">
        <f>SUM(Q2429:Q2432)</f>
        <v>75</v>
      </c>
      <c r="X2432" s="255">
        <f>P2432</f>
        <v>1431</v>
      </c>
      <c r="Y2432" s="255">
        <f>S2432+U2432+SUM(Q2429:Q2432)</f>
        <v>248</v>
      </c>
      <c r="Z2432" s="255">
        <f>F2432+J2432+N2432+P2432</f>
        <v>3196</v>
      </c>
      <c r="AA2432" s="553"/>
      <c r="AB2432" s="553"/>
    </row>
    <row r="2433" spans="1:28" ht="12.75">
      <c r="A2433" s="547" t="s">
        <v>199</v>
      </c>
      <c r="B2433" s="547" t="s">
        <v>199</v>
      </c>
      <c r="C2433" s="548" t="s">
        <v>177</v>
      </c>
      <c r="D2433" s="549">
        <v>2015</v>
      </c>
      <c r="E2433" s="549" t="s">
        <v>775</v>
      </c>
      <c r="F2433" s="550">
        <v>920</v>
      </c>
      <c r="G2433" s="550">
        <v>0</v>
      </c>
      <c r="H2433" s="550">
        <v>0</v>
      </c>
      <c r="I2433" s="550">
        <v>0</v>
      </c>
      <c r="J2433" s="550">
        <v>609</v>
      </c>
      <c r="K2433" s="550">
        <v>0</v>
      </c>
      <c r="L2433" s="550">
        <v>0</v>
      </c>
      <c r="M2433" s="550">
        <v>0</v>
      </c>
      <c r="N2433" s="550">
        <v>613</v>
      </c>
      <c r="O2433" s="550">
        <v>0</v>
      </c>
      <c r="P2433" s="550">
        <v>1452</v>
      </c>
      <c r="Q2433" s="550">
        <v>485</v>
      </c>
      <c r="R2433" s="574" t="s">
        <v>199</v>
      </c>
      <c r="S2433" s="552"/>
      <c r="T2433" s="552"/>
      <c r="U2433" s="552"/>
      <c r="V2433" s="552"/>
      <c r="W2433" s="552"/>
      <c r="X2433" s="552"/>
      <c r="Y2433" s="552"/>
      <c r="Z2433" s="552"/>
      <c r="AA2433" s="553"/>
      <c r="AB2433" s="553"/>
    </row>
    <row r="2434" spans="1:28" ht="12.75">
      <c r="A2434" s="547" t="s">
        <v>199</v>
      </c>
      <c r="B2434" s="547" t="s">
        <v>199</v>
      </c>
      <c r="C2434" s="548" t="s">
        <v>177</v>
      </c>
      <c r="D2434" s="549">
        <v>2016</v>
      </c>
      <c r="E2434" s="549" t="s">
        <v>775</v>
      </c>
      <c r="F2434" s="550">
        <v>920</v>
      </c>
      <c r="G2434" s="550">
        <v>0</v>
      </c>
      <c r="H2434" s="550">
        <v>0</v>
      </c>
      <c r="I2434" s="550">
        <v>0</v>
      </c>
      <c r="J2434" s="550">
        <v>609</v>
      </c>
      <c r="K2434" s="550">
        <v>0</v>
      </c>
      <c r="L2434" s="550">
        <v>0</v>
      </c>
      <c r="M2434" s="550">
        <v>0</v>
      </c>
      <c r="N2434" s="550">
        <v>613</v>
      </c>
      <c r="O2434" s="550">
        <v>0</v>
      </c>
      <c r="P2434" s="550">
        <v>1452</v>
      </c>
      <c r="Q2434" s="550">
        <v>335</v>
      </c>
      <c r="R2434" s="574" t="s">
        <v>199</v>
      </c>
      <c r="S2434" s="552"/>
      <c r="T2434" s="552"/>
      <c r="U2434" s="552"/>
      <c r="V2434" s="552"/>
      <c r="W2434" s="552"/>
      <c r="X2434" s="552"/>
      <c r="Y2434" s="552"/>
      <c r="Z2434" s="552"/>
      <c r="AA2434" s="553"/>
      <c r="AB2434" s="553"/>
    </row>
    <row r="2435" spans="1:28" ht="12.75">
      <c r="A2435" s="547" t="s">
        <v>199</v>
      </c>
      <c r="B2435" s="547" t="s">
        <v>199</v>
      </c>
      <c r="C2435" s="548" t="s">
        <v>177</v>
      </c>
      <c r="D2435" s="549">
        <v>2017</v>
      </c>
      <c r="E2435" s="549" t="s">
        <v>775</v>
      </c>
      <c r="F2435" s="550">
        <v>920</v>
      </c>
      <c r="G2435" s="550">
        <v>0</v>
      </c>
      <c r="H2435" s="550">
        <v>0</v>
      </c>
      <c r="I2435" s="550">
        <v>0</v>
      </c>
      <c r="J2435" s="550">
        <v>609</v>
      </c>
      <c r="K2435" s="550">
        <v>7</v>
      </c>
      <c r="L2435" s="550">
        <v>7</v>
      </c>
      <c r="M2435" s="550">
        <v>0</v>
      </c>
      <c r="N2435" s="550">
        <v>613</v>
      </c>
      <c r="O2435" s="550">
        <v>0</v>
      </c>
      <c r="P2435" s="550">
        <v>1452</v>
      </c>
      <c r="Q2435" s="550">
        <v>354</v>
      </c>
      <c r="R2435" s="574" t="s">
        <v>199</v>
      </c>
      <c r="S2435" s="552"/>
      <c r="T2435" s="552"/>
      <c r="U2435" s="552"/>
      <c r="V2435" s="552"/>
      <c r="W2435" s="552"/>
      <c r="X2435" s="552"/>
      <c r="Y2435" s="552"/>
      <c r="Z2435" s="552"/>
      <c r="AA2435" s="553"/>
      <c r="AB2435" s="553"/>
    </row>
    <row r="2436" spans="1:28" ht="12.75">
      <c r="A2436" s="547" t="s">
        <v>199</v>
      </c>
      <c r="B2436" s="547" t="s">
        <v>199</v>
      </c>
      <c r="C2436" s="548" t="s">
        <v>177</v>
      </c>
      <c r="D2436" s="549">
        <v>2018</v>
      </c>
      <c r="E2436" s="549" t="s">
        <v>775</v>
      </c>
      <c r="F2436" s="550">
        <v>920</v>
      </c>
      <c r="G2436" s="550">
        <v>43</v>
      </c>
      <c r="H2436" s="550">
        <v>43</v>
      </c>
      <c r="I2436" s="550">
        <v>0</v>
      </c>
      <c r="J2436" s="550">
        <v>609</v>
      </c>
      <c r="K2436" s="550">
        <v>21</v>
      </c>
      <c r="L2436" s="550">
        <v>21</v>
      </c>
      <c r="M2436" s="550">
        <v>0</v>
      </c>
      <c r="N2436" s="550">
        <v>613</v>
      </c>
      <c r="O2436" s="550">
        <v>0</v>
      </c>
      <c r="P2436" s="550">
        <v>1452</v>
      </c>
      <c r="Q2436" s="550">
        <v>533</v>
      </c>
      <c r="R2436" s="574" t="s">
        <v>199</v>
      </c>
      <c r="S2436" s="552"/>
      <c r="T2436" s="552"/>
      <c r="U2436" s="552"/>
      <c r="V2436" s="552"/>
      <c r="W2436" s="552"/>
      <c r="X2436" s="552"/>
      <c r="Y2436" s="552"/>
      <c r="Z2436" s="552"/>
      <c r="AA2436" s="553"/>
      <c r="AB2436" s="553"/>
    </row>
    <row r="2437" spans="1:28" ht="12.75">
      <c r="A2437" s="547" t="s">
        <v>199</v>
      </c>
      <c r="B2437" s="547" t="s">
        <v>199</v>
      </c>
      <c r="C2437" s="548" t="s">
        <v>811</v>
      </c>
      <c r="D2437" s="549">
        <v>2019</v>
      </c>
      <c r="E2437" s="549" t="s">
        <v>775</v>
      </c>
      <c r="F2437" s="550">
        <v>920</v>
      </c>
      <c r="G2437" s="550">
        <v>0</v>
      </c>
      <c r="H2437" s="550">
        <v>0</v>
      </c>
      <c r="I2437" s="550">
        <v>0</v>
      </c>
      <c r="J2437" s="550">
        <v>609</v>
      </c>
      <c r="K2437" s="550">
        <v>0</v>
      </c>
      <c r="L2437" s="550">
        <v>0</v>
      </c>
      <c r="M2437" s="550">
        <v>0</v>
      </c>
      <c r="N2437" s="550">
        <v>613</v>
      </c>
      <c r="O2437" s="550">
        <v>193</v>
      </c>
      <c r="P2437" s="550">
        <v>1452</v>
      </c>
      <c r="Q2437" s="550">
        <v>439</v>
      </c>
      <c r="R2437" s="574" t="s">
        <v>199</v>
      </c>
      <c r="S2437" s="255">
        <f>SUM(G2433:G2437) +SUM(K2433:K2437)</f>
        <v>71</v>
      </c>
      <c r="T2437" s="255">
        <f>F2437+J2437</f>
        <v>1529</v>
      </c>
      <c r="U2437" s="255">
        <f>SUM(O2433:O2437)</f>
        <v>193</v>
      </c>
      <c r="V2437" s="255">
        <f>N2437</f>
        <v>613</v>
      </c>
      <c r="W2437" s="83">
        <f>SUM(Q2433:Q2437)</f>
        <v>2146</v>
      </c>
      <c r="X2437" s="255">
        <f>P2437</f>
        <v>1452</v>
      </c>
      <c r="Y2437" s="255">
        <f>S2437+U2437+SUM(Q2433:Q2437)</f>
        <v>2410</v>
      </c>
      <c r="Z2437" s="255">
        <f>F2437+J2437+N2437+P2437</f>
        <v>3594</v>
      </c>
      <c r="AA2437" s="553"/>
      <c r="AB2437" s="553"/>
    </row>
    <row r="2438" spans="1:28" ht="12.75">
      <c r="A2438" s="547" t="s">
        <v>725</v>
      </c>
      <c r="B2438" s="547" t="s">
        <v>199</v>
      </c>
      <c r="C2438" s="548" t="s">
        <v>177</v>
      </c>
      <c r="D2438" s="549">
        <v>2015</v>
      </c>
      <c r="E2438" s="549" t="s">
        <v>775</v>
      </c>
      <c r="F2438" s="550">
        <v>1477</v>
      </c>
      <c r="G2438" s="550">
        <v>55</v>
      </c>
      <c r="H2438" s="550">
        <v>0</v>
      </c>
      <c r="I2438" s="550">
        <v>55</v>
      </c>
      <c r="J2438" s="550">
        <v>1065</v>
      </c>
      <c r="K2438" s="550">
        <v>63</v>
      </c>
      <c r="L2438" s="550">
        <v>0</v>
      </c>
      <c r="M2438" s="550">
        <v>63</v>
      </c>
      <c r="N2438" s="550">
        <v>1169</v>
      </c>
      <c r="O2438" s="550">
        <v>25</v>
      </c>
      <c r="P2438" s="550">
        <v>3370</v>
      </c>
      <c r="Q2438" s="550">
        <v>23</v>
      </c>
      <c r="R2438" s="574" t="s">
        <v>725</v>
      </c>
      <c r="S2438" s="552"/>
      <c r="T2438" s="552"/>
      <c r="U2438" s="552"/>
      <c r="V2438" s="552"/>
      <c r="W2438" s="552"/>
      <c r="X2438" s="552"/>
      <c r="Y2438" s="552"/>
      <c r="Z2438" s="552"/>
      <c r="AA2438" s="553"/>
      <c r="AB2438" s="553"/>
    </row>
    <row r="2439" spans="1:28" ht="12.75">
      <c r="A2439" s="547" t="s">
        <v>725</v>
      </c>
      <c r="B2439" s="547" t="s">
        <v>199</v>
      </c>
      <c r="C2439" s="548" t="s">
        <v>177</v>
      </c>
      <c r="D2439" s="549">
        <v>2016</v>
      </c>
      <c r="E2439" s="549" t="s">
        <v>775</v>
      </c>
      <c r="F2439" s="550">
        <v>1477</v>
      </c>
      <c r="G2439" s="550">
        <v>67</v>
      </c>
      <c r="H2439" s="550">
        <v>0</v>
      </c>
      <c r="I2439" s="550">
        <v>67</v>
      </c>
      <c r="J2439" s="550">
        <v>1065</v>
      </c>
      <c r="K2439" s="550">
        <v>27</v>
      </c>
      <c r="L2439" s="550">
        <v>0</v>
      </c>
      <c r="M2439" s="550">
        <v>27</v>
      </c>
      <c r="N2439" s="550">
        <v>1169</v>
      </c>
      <c r="O2439" s="550">
        <v>57</v>
      </c>
      <c r="P2439" s="550">
        <v>3370</v>
      </c>
      <c r="Q2439" s="550">
        <v>58</v>
      </c>
      <c r="R2439" s="574" t="s">
        <v>725</v>
      </c>
      <c r="S2439" s="552"/>
      <c r="T2439" s="552"/>
      <c r="U2439" s="552"/>
      <c r="V2439" s="552"/>
      <c r="W2439" s="552"/>
      <c r="X2439" s="552"/>
      <c r="Y2439" s="552"/>
      <c r="Z2439" s="552"/>
      <c r="AA2439" s="553"/>
      <c r="AB2439" s="553"/>
    </row>
    <row r="2440" spans="1:28" ht="12.75">
      <c r="A2440" s="547" t="s">
        <v>725</v>
      </c>
      <c r="B2440" s="547" t="s">
        <v>199</v>
      </c>
      <c r="C2440" s="548" t="s">
        <v>177</v>
      </c>
      <c r="D2440" s="549">
        <v>2017</v>
      </c>
      <c r="E2440" s="549" t="s">
        <v>775</v>
      </c>
      <c r="F2440" s="550">
        <v>1477</v>
      </c>
      <c r="G2440" s="550">
        <v>33</v>
      </c>
      <c r="H2440" s="550">
        <v>0</v>
      </c>
      <c r="I2440" s="550">
        <v>33</v>
      </c>
      <c r="J2440" s="550">
        <v>1065</v>
      </c>
      <c r="K2440" s="550">
        <v>84</v>
      </c>
      <c r="L2440" s="550">
        <v>0</v>
      </c>
      <c r="M2440" s="550">
        <v>84</v>
      </c>
      <c r="N2440" s="550">
        <v>1169</v>
      </c>
      <c r="O2440" s="550">
        <v>16</v>
      </c>
      <c r="P2440" s="550">
        <v>3370</v>
      </c>
      <c r="Q2440" s="550">
        <v>13</v>
      </c>
      <c r="R2440" s="574" t="s">
        <v>725</v>
      </c>
      <c r="S2440" s="552"/>
      <c r="T2440" s="552"/>
      <c r="U2440" s="552"/>
      <c r="V2440" s="552"/>
      <c r="W2440" s="552"/>
      <c r="X2440" s="552"/>
      <c r="Y2440" s="552"/>
      <c r="Z2440" s="552"/>
      <c r="AA2440" s="553"/>
      <c r="AB2440" s="553"/>
    </row>
    <row r="2441" spans="1:28" ht="12.75">
      <c r="A2441" s="547" t="s">
        <v>725</v>
      </c>
      <c r="B2441" s="547" t="s">
        <v>199</v>
      </c>
      <c r="C2441" s="548" t="s">
        <v>177</v>
      </c>
      <c r="D2441" s="549">
        <v>2018</v>
      </c>
      <c r="E2441" s="549" t="s">
        <v>775</v>
      </c>
      <c r="F2441" s="550">
        <v>1477</v>
      </c>
      <c r="G2441" s="550">
        <v>60</v>
      </c>
      <c r="H2441" s="550">
        <v>0</v>
      </c>
      <c r="I2441" s="550">
        <v>60</v>
      </c>
      <c r="J2441" s="550">
        <v>1065</v>
      </c>
      <c r="K2441" s="550">
        <v>41</v>
      </c>
      <c r="L2441" s="550">
        <v>0</v>
      </c>
      <c r="M2441" s="550">
        <v>41</v>
      </c>
      <c r="N2441" s="550">
        <v>1169</v>
      </c>
      <c r="O2441" s="550">
        <v>21</v>
      </c>
      <c r="P2441" s="550">
        <v>3370</v>
      </c>
      <c r="Q2441" s="550">
        <v>23</v>
      </c>
      <c r="R2441" s="574" t="s">
        <v>725</v>
      </c>
      <c r="S2441" s="552"/>
      <c r="T2441" s="552"/>
      <c r="U2441" s="552"/>
      <c r="V2441" s="552"/>
      <c r="W2441" s="552"/>
      <c r="X2441" s="552"/>
      <c r="Y2441" s="552"/>
      <c r="Z2441" s="552"/>
      <c r="AA2441" s="553"/>
      <c r="AB2441" s="553"/>
    </row>
    <row r="2442" spans="1:28" ht="12.75">
      <c r="A2442" s="547" t="s">
        <v>725</v>
      </c>
      <c r="B2442" s="547" t="s">
        <v>199</v>
      </c>
      <c r="C2442" s="548" t="s">
        <v>811</v>
      </c>
      <c r="D2442" s="549">
        <v>2019</v>
      </c>
      <c r="E2442" s="549" t="s">
        <v>775</v>
      </c>
      <c r="F2442" s="550">
        <v>1477</v>
      </c>
      <c r="G2442" s="550">
        <v>43</v>
      </c>
      <c r="H2442" s="550">
        <v>0</v>
      </c>
      <c r="I2442" s="550">
        <v>43</v>
      </c>
      <c r="J2442" s="550">
        <v>1065</v>
      </c>
      <c r="K2442" s="550">
        <v>111</v>
      </c>
      <c r="L2442" s="550">
        <v>0</v>
      </c>
      <c r="M2442" s="550">
        <v>111</v>
      </c>
      <c r="N2442" s="550">
        <v>1169</v>
      </c>
      <c r="O2442" s="550">
        <v>35</v>
      </c>
      <c r="P2442" s="550">
        <v>3370</v>
      </c>
      <c r="Q2442" s="550">
        <v>36</v>
      </c>
      <c r="R2442" s="574" t="s">
        <v>725</v>
      </c>
      <c r="S2442" s="255">
        <f>SUM(G2438:G2442) +SUM(K2438:K2442)</f>
        <v>584</v>
      </c>
      <c r="T2442" s="255">
        <f>F2442+J2442</f>
        <v>2542</v>
      </c>
      <c r="U2442" s="255">
        <f>SUM(O2438:O2442)</f>
        <v>154</v>
      </c>
      <c r="V2442" s="255">
        <f>N2442</f>
        <v>1169</v>
      </c>
      <c r="W2442" s="83">
        <f>SUM(Q2438:Q2442)</f>
        <v>153</v>
      </c>
      <c r="X2442" s="255">
        <f>P2442</f>
        <v>3370</v>
      </c>
      <c r="Y2442" s="255">
        <f>S2442+U2442+SUM(Q2438:Q2442)</f>
        <v>891</v>
      </c>
      <c r="Z2442" s="255">
        <f>F2442+J2442+N2442+P2442</f>
        <v>7081</v>
      </c>
      <c r="AA2442" s="553"/>
      <c r="AB2442" s="553"/>
    </row>
    <row r="2443" spans="1:28" ht="12.75">
      <c r="A2443" s="547" t="s">
        <v>726</v>
      </c>
      <c r="B2443" s="547" t="s">
        <v>199</v>
      </c>
      <c r="C2443" s="548" t="s">
        <v>177</v>
      </c>
      <c r="D2443" s="549">
        <v>2015</v>
      </c>
      <c r="E2443" s="549" t="s">
        <v>775</v>
      </c>
      <c r="F2443" s="550">
        <v>2616</v>
      </c>
      <c r="G2443" s="550">
        <v>9</v>
      </c>
      <c r="H2443" s="550">
        <v>9</v>
      </c>
      <c r="I2443" s="550">
        <v>0</v>
      </c>
      <c r="J2443" s="550">
        <v>1931</v>
      </c>
      <c r="K2443" s="550">
        <v>106</v>
      </c>
      <c r="L2443" s="550">
        <v>106</v>
      </c>
      <c r="M2443" s="550">
        <v>0</v>
      </c>
      <c r="N2443" s="550">
        <v>1802</v>
      </c>
      <c r="O2443" s="550">
        <v>132</v>
      </c>
      <c r="P2443" s="550">
        <v>3672</v>
      </c>
      <c r="Q2443" s="550">
        <v>367</v>
      </c>
      <c r="R2443" s="574" t="s">
        <v>726</v>
      </c>
      <c r="S2443" s="552"/>
      <c r="T2443" s="552"/>
      <c r="U2443" s="552"/>
      <c r="V2443" s="552"/>
      <c r="W2443" s="552"/>
      <c r="X2443" s="552"/>
      <c r="Y2443" s="552"/>
      <c r="Z2443" s="552"/>
      <c r="AA2443" s="553"/>
      <c r="AB2443" s="553"/>
    </row>
    <row r="2444" spans="1:28" ht="12.75">
      <c r="A2444" s="547" t="s">
        <v>726</v>
      </c>
      <c r="B2444" s="547" t="s">
        <v>199</v>
      </c>
      <c r="C2444" s="548" t="s">
        <v>177</v>
      </c>
      <c r="D2444" s="549">
        <v>2016</v>
      </c>
      <c r="E2444" s="549" t="s">
        <v>775</v>
      </c>
      <c r="F2444" s="550">
        <v>2616</v>
      </c>
      <c r="G2444" s="550">
        <v>78</v>
      </c>
      <c r="H2444" s="550">
        <v>36</v>
      </c>
      <c r="I2444" s="550">
        <v>42</v>
      </c>
      <c r="J2444" s="550">
        <v>1931</v>
      </c>
      <c r="K2444" s="550">
        <v>118</v>
      </c>
      <c r="L2444" s="550">
        <v>0</v>
      </c>
      <c r="M2444" s="550">
        <v>118</v>
      </c>
      <c r="N2444" s="550">
        <v>1802</v>
      </c>
      <c r="O2444" s="550">
        <v>279</v>
      </c>
      <c r="P2444" s="550">
        <v>3672</v>
      </c>
      <c r="Q2444" s="550">
        <v>246</v>
      </c>
      <c r="R2444" s="574" t="s">
        <v>726</v>
      </c>
      <c r="S2444" s="552"/>
      <c r="T2444" s="552"/>
      <c r="U2444" s="552"/>
      <c r="V2444" s="552"/>
      <c r="W2444" s="552"/>
      <c r="X2444" s="552"/>
      <c r="Y2444" s="552"/>
      <c r="Z2444" s="552"/>
      <c r="AA2444" s="553"/>
      <c r="AB2444" s="553"/>
    </row>
    <row r="2445" spans="1:28" ht="12.75">
      <c r="A2445" s="547" t="s">
        <v>726</v>
      </c>
      <c r="B2445" s="547" t="s">
        <v>199</v>
      </c>
      <c r="C2445" s="548" t="s">
        <v>177</v>
      </c>
      <c r="D2445" s="549">
        <v>2017</v>
      </c>
      <c r="E2445" s="549" t="s">
        <v>775</v>
      </c>
      <c r="F2445" s="550">
        <v>2616</v>
      </c>
      <c r="G2445" s="550">
        <v>2</v>
      </c>
      <c r="H2445" s="550">
        <v>2</v>
      </c>
      <c r="I2445" s="550">
        <v>0</v>
      </c>
      <c r="J2445" s="550">
        <v>1931</v>
      </c>
      <c r="K2445" s="550">
        <v>72</v>
      </c>
      <c r="L2445" s="550">
        <v>72</v>
      </c>
      <c r="M2445" s="550">
        <v>0</v>
      </c>
      <c r="N2445" s="550">
        <v>1802</v>
      </c>
      <c r="O2445" s="550">
        <v>29</v>
      </c>
      <c r="P2445" s="550">
        <v>3672</v>
      </c>
      <c r="Q2445" s="550">
        <v>403</v>
      </c>
      <c r="R2445" s="574" t="s">
        <v>726</v>
      </c>
      <c r="S2445" s="552"/>
      <c r="T2445" s="552"/>
      <c r="U2445" s="552"/>
      <c r="V2445" s="552"/>
      <c r="W2445" s="552"/>
      <c r="X2445" s="552"/>
      <c r="Y2445" s="552"/>
      <c r="Z2445" s="552"/>
      <c r="AA2445" s="553"/>
      <c r="AB2445" s="553"/>
    </row>
    <row r="2446" spans="1:28" ht="12.75">
      <c r="A2446" s="547" t="s">
        <v>726</v>
      </c>
      <c r="B2446" s="547" t="s">
        <v>199</v>
      </c>
      <c r="C2446" s="548" t="s">
        <v>177</v>
      </c>
      <c r="D2446" s="549">
        <v>2018</v>
      </c>
      <c r="E2446" s="549" t="s">
        <v>775</v>
      </c>
      <c r="F2446" s="550">
        <v>2616</v>
      </c>
      <c r="G2446" s="550">
        <v>0</v>
      </c>
      <c r="H2446" s="550">
        <v>0</v>
      </c>
      <c r="I2446" s="550">
        <v>0</v>
      </c>
      <c r="J2446" s="550">
        <v>1931</v>
      </c>
      <c r="K2446" s="550">
        <v>86</v>
      </c>
      <c r="L2446" s="550">
        <v>0</v>
      </c>
      <c r="M2446" s="550">
        <v>86</v>
      </c>
      <c r="N2446" s="550">
        <v>1802</v>
      </c>
      <c r="O2446" s="550">
        <v>102</v>
      </c>
      <c r="P2446" s="550">
        <v>3672</v>
      </c>
      <c r="Q2446" s="550">
        <v>391</v>
      </c>
      <c r="R2446" s="574" t="s">
        <v>726</v>
      </c>
      <c r="S2446" s="552"/>
      <c r="T2446" s="552"/>
      <c r="U2446" s="552"/>
      <c r="V2446" s="552"/>
      <c r="W2446" s="552"/>
      <c r="X2446" s="552"/>
      <c r="Y2446" s="552"/>
      <c r="Z2446" s="552"/>
      <c r="AA2446" s="553"/>
      <c r="AB2446" s="553"/>
    </row>
    <row r="2447" spans="1:28" ht="12.75">
      <c r="A2447" s="547" t="s">
        <v>726</v>
      </c>
      <c r="B2447" s="547" t="s">
        <v>199</v>
      </c>
      <c r="C2447" s="548" t="s">
        <v>811</v>
      </c>
      <c r="D2447" s="549">
        <v>2019</v>
      </c>
      <c r="E2447" s="549" t="s">
        <v>775</v>
      </c>
      <c r="F2447" s="550">
        <v>2616</v>
      </c>
      <c r="G2447" s="550">
        <v>20</v>
      </c>
      <c r="H2447" s="550">
        <v>0</v>
      </c>
      <c r="I2447" s="550">
        <v>20</v>
      </c>
      <c r="J2447" s="550">
        <v>1931</v>
      </c>
      <c r="K2447" s="550">
        <v>46</v>
      </c>
      <c r="L2447" s="550">
        <v>0</v>
      </c>
      <c r="M2447" s="550">
        <v>46</v>
      </c>
      <c r="N2447" s="550">
        <v>1802</v>
      </c>
      <c r="O2447" s="550">
        <v>463</v>
      </c>
      <c r="P2447" s="550">
        <v>3672</v>
      </c>
      <c r="Q2447" s="550">
        <v>169</v>
      </c>
      <c r="R2447" s="574" t="s">
        <v>726</v>
      </c>
      <c r="S2447" s="255">
        <f>SUM(G2443:G2447) +SUM(K2443:K2447)</f>
        <v>537</v>
      </c>
      <c r="T2447" s="255">
        <f>F2447+J2447</f>
        <v>4547</v>
      </c>
      <c r="U2447" s="255">
        <f>SUM(O2443:O2447)</f>
        <v>1005</v>
      </c>
      <c r="V2447" s="255">
        <f>N2447</f>
        <v>1802</v>
      </c>
      <c r="W2447" s="83">
        <f>SUM(Q2443:Q2447)</f>
        <v>1576</v>
      </c>
      <c r="X2447" s="255">
        <f>P2447</f>
        <v>3672</v>
      </c>
      <c r="Y2447" s="255">
        <f>S2447+U2447+SUM(Q2443:Q2447)</f>
        <v>3118</v>
      </c>
      <c r="Z2447" s="255">
        <f>F2447+J2447+N2447+P2447</f>
        <v>10021</v>
      </c>
      <c r="AA2447" s="553"/>
      <c r="AB2447" s="553"/>
    </row>
    <row r="2448" spans="1:28" ht="12.75">
      <c r="A2448" s="547" t="s">
        <v>727</v>
      </c>
      <c r="B2448" s="547" t="s">
        <v>199</v>
      </c>
      <c r="C2448" s="548" t="s">
        <v>177</v>
      </c>
      <c r="D2448" s="549">
        <v>2015</v>
      </c>
      <c r="E2448" s="549" t="s">
        <v>775</v>
      </c>
      <c r="F2448" s="550">
        <v>71</v>
      </c>
      <c r="G2448" s="550">
        <v>0</v>
      </c>
      <c r="H2448" s="550">
        <v>0</v>
      </c>
      <c r="I2448" s="550">
        <v>0</v>
      </c>
      <c r="J2448" s="550">
        <v>41</v>
      </c>
      <c r="K2448" s="550">
        <v>0</v>
      </c>
      <c r="L2448" s="550">
        <v>0</v>
      </c>
      <c r="M2448" s="550">
        <v>0</v>
      </c>
      <c r="N2448" s="550">
        <v>69</v>
      </c>
      <c r="O2448" s="550">
        <v>6</v>
      </c>
      <c r="P2448" s="550">
        <v>191</v>
      </c>
      <c r="Q2448" s="550">
        <v>0</v>
      </c>
      <c r="R2448" s="574" t="s">
        <v>727</v>
      </c>
      <c r="S2448" s="552"/>
      <c r="T2448" s="552"/>
      <c r="U2448" s="552"/>
      <c r="V2448" s="552"/>
      <c r="W2448" s="552"/>
      <c r="X2448" s="552"/>
      <c r="Y2448" s="552"/>
      <c r="Z2448" s="552"/>
      <c r="AA2448" s="553"/>
      <c r="AB2448" s="553"/>
    </row>
    <row r="2449" spans="1:28" ht="12.75">
      <c r="A2449" s="547" t="s">
        <v>727</v>
      </c>
      <c r="B2449" s="547" t="s">
        <v>199</v>
      </c>
      <c r="C2449" s="548" t="s">
        <v>177</v>
      </c>
      <c r="D2449" s="549">
        <v>2016</v>
      </c>
      <c r="E2449" s="549" t="s">
        <v>775</v>
      </c>
      <c r="F2449" s="550">
        <v>71</v>
      </c>
      <c r="G2449" s="550">
        <v>3</v>
      </c>
      <c r="H2449" s="550">
        <v>0</v>
      </c>
      <c r="I2449" s="550">
        <v>3</v>
      </c>
      <c r="J2449" s="550">
        <v>41</v>
      </c>
      <c r="K2449" s="550">
        <v>3</v>
      </c>
      <c r="L2449" s="550">
        <v>0</v>
      </c>
      <c r="M2449" s="550">
        <v>3</v>
      </c>
      <c r="N2449" s="550">
        <v>69</v>
      </c>
      <c r="O2449" s="550">
        <v>1</v>
      </c>
      <c r="P2449" s="550">
        <v>191</v>
      </c>
      <c r="Q2449" s="550">
        <v>0</v>
      </c>
      <c r="R2449" s="574" t="s">
        <v>727</v>
      </c>
      <c r="S2449" s="552"/>
      <c r="T2449" s="552"/>
      <c r="U2449" s="552"/>
      <c r="V2449" s="552"/>
      <c r="W2449" s="552"/>
      <c r="X2449" s="552"/>
      <c r="Y2449" s="552"/>
      <c r="Z2449" s="552"/>
      <c r="AA2449" s="553"/>
      <c r="AB2449" s="553"/>
    </row>
    <row r="2450" spans="1:28" ht="12.75">
      <c r="A2450" s="547" t="s">
        <v>727</v>
      </c>
      <c r="B2450" s="547" t="s">
        <v>199</v>
      </c>
      <c r="C2450" s="548" t="s">
        <v>177</v>
      </c>
      <c r="D2450" s="549">
        <v>2017</v>
      </c>
      <c r="E2450" s="549" t="s">
        <v>775</v>
      </c>
      <c r="F2450" s="550">
        <v>71</v>
      </c>
      <c r="G2450" s="550">
        <v>2</v>
      </c>
      <c r="H2450" s="550">
        <v>0</v>
      </c>
      <c r="I2450" s="550">
        <v>2</v>
      </c>
      <c r="J2450" s="550">
        <v>41</v>
      </c>
      <c r="K2450" s="550">
        <v>1</v>
      </c>
      <c r="L2450" s="550">
        <v>0</v>
      </c>
      <c r="M2450" s="550">
        <v>1</v>
      </c>
      <c r="N2450" s="550">
        <v>69</v>
      </c>
      <c r="O2450" s="550">
        <v>0</v>
      </c>
      <c r="P2450" s="550">
        <v>191</v>
      </c>
      <c r="Q2450" s="550">
        <v>1</v>
      </c>
      <c r="R2450" s="574" t="s">
        <v>727</v>
      </c>
      <c r="S2450" s="552"/>
      <c r="T2450" s="552"/>
      <c r="U2450" s="552"/>
      <c r="V2450" s="552"/>
      <c r="W2450" s="552"/>
      <c r="X2450" s="552"/>
      <c r="Y2450" s="552"/>
      <c r="Z2450" s="552"/>
      <c r="AA2450" s="553"/>
      <c r="AB2450" s="553"/>
    </row>
    <row r="2451" spans="1:28" ht="12.75">
      <c r="A2451" s="547" t="s">
        <v>727</v>
      </c>
      <c r="B2451" s="547" t="s">
        <v>199</v>
      </c>
      <c r="C2451" s="548" t="s">
        <v>177</v>
      </c>
      <c r="D2451" s="549">
        <v>2018</v>
      </c>
      <c r="E2451" s="549" t="s">
        <v>775</v>
      </c>
      <c r="F2451" s="550">
        <v>71</v>
      </c>
      <c r="G2451" s="550">
        <v>0</v>
      </c>
      <c r="H2451" s="550">
        <v>0</v>
      </c>
      <c r="I2451" s="550">
        <v>0</v>
      </c>
      <c r="J2451" s="550">
        <v>41</v>
      </c>
      <c r="K2451" s="550">
        <v>25</v>
      </c>
      <c r="L2451" s="550">
        <v>0</v>
      </c>
      <c r="M2451" s="550">
        <v>25</v>
      </c>
      <c r="N2451" s="550">
        <v>69</v>
      </c>
      <c r="O2451" s="550">
        <v>0</v>
      </c>
      <c r="P2451" s="550">
        <v>191</v>
      </c>
      <c r="Q2451" s="550">
        <v>0</v>
      </c>
      <c r="R2451" s="574" t="s">
        <v>727</v>
      </c>
      <c r="S2451" s="552"/>
      <c r="T2451" s="552"/>
      <c r="U2451" s="552"/>
      <c r="V2451" s="552"/>
      <c r="W2451" s="552"/>
      <c r="X2451" s="552"/>
      <c r="Y2451" s="552"/>
      <c r="Z2451" s="552"/>
      <c r="AA2451" s="553"/>
      <c r="AB2451" s="553"/>
    </row>
    <row r="2452" spans="1:28" ht="12.75">
      <c r="A2452" s="547" t="s">
        <v>727</v>
      </c>
      <c r="B2452" s="547" t="s">
        <v>199</v>
      </c>
      <c r="C2452" s="548" t="s">
        <v>811</v>
      </c>
      <c r="D2452" s="549">
        <v>2019</v>
      </c>
      <c r="E2452" s="549" t="s">
        <v>775</v>
      </c>
      <c r="F2452" s="550">
        <v>71</v>
      </c>
      <c r="G2452" s="550">
        <v>0</v>
      </c>
      <c r="H2452" s="550">
        <v>0</v>
      </c>
      <c r="I2452" s="550">
        <v>0</v>
      </c>
      <c r="J2452" s="550">
        <v>41</v>
      </c>
      <c r="K2452" s="550">
        <v>37</v>
      </c>
      <c r="L2452" s="550">
        <v>0</v>
      </c>
      <c r="M2452" s="550">
        <v>37</v>
      </c>
      <c r="N2452" s="550">
        <v>69</v>
      </c>
      <c r="O2452" s="550">
        <v>17</v>
      </c>
      <c r="P2452" s="550">
        <v>191</v>
      </c>
      <c r="Q2452" s="550">
        <v>0</v>
      </c>
      <c r="R2452" s="574" t="s">
        <v>727</v>
      </c>
      <c r="S2452" s="561">
        <f>SUM(G2448:G2452) +SUM(K2448:K2452)</f>
        <v>71</v>
      </c>
      <c r="T2452" s="561">
        <f>F2452+J2452</f>
        <v>112</v>
      </c>
      <c r="U2452" s="561">
        <f>SUM(O2448:O2452)</f>
        <v>24</v>
      </c>
      <c r="V2452" s="561">
        <f>N2452</f>
        <v>69</v>
      </c>
      <c r="W2452" s="562">
        <f>SUM(Q2448:Q2452)</f>
        <v>1</v>
      </c>
      <c r="X2452" s="561">
        <f>P2452</f>
        <v>191</v>
      </c>
      <c r="Y2452" s="561">
        <f>S2452+U2452+SUM(Q2448:Q2452)</f>
        <v>96</v>
      </c>
      <c r="Z2452" s="561">
        <f>F2452+J2452+N2452+P2452</f>
        <v>372</v>
      </c>
      <c r="AA2452" s="553"/>
      <c r="AB2452" s="553"/>
    </row>
    <row r="2453" spans="1:28" ht="12.75">
      <c r="A2453" s="547"/>
      <c r="B2453" s="547"/>
      <c r="C2453" s="548"/>
      <c r="D2453" s="549"/>
      <c r="E2453" s="549"/>
      <c r="F2453" s="550"/>
      <c r="G2453" s="550"/>
      <c r="H2453" s="550"/>
      <c r="I2453" s="550"/>
      <c r="J2453" s="550"/>
      <c r="K2453" s="550"/>
      <c r="L2453" s="550"/>
      <c r="M2453" s="550"/>
      <c r="N2453" s="550"/>
      <c r="O2453" s="550"/>
      <c r="P2453" s="550"/>
      <c r="Q2453" s="550"/>
      <c r="R2453" s="574"/>
      <c r="S2453" s="563">
        <f t="shared" ref="S2453:Z2453" si="238">SUM(S2413:S2452)</f>
        <v>1552</v>
      </c>
      <c r="T2453" s="563">
        <f t="shared" si="238"/>
        <v>10870</v>
      </c>
      <c r="U2453" s="563">
        <f t="shared" si="238"/>
        <v>1800</v>
      </c>
      <c r="V2453" s="563">
        <f t="shared" si="238"/>
        <v>4575</v>
      </c>
      <c r="W2453" s="563">
        <f t="shared" si="238"/>
        <v>4223</v>
      </c>
      <c r="X2453" s="563">
        <f t="shared" si="238"/>
        <v>11465</v>
      </c>
      <c r="Y2453" s="563">
        <f t="shared" si="238"/>
        <v>7575</v>
      </c>
      <c r="Z2453" s="563">
        <f t="shared" si="238"/>
        <v>26910</v>
      </c>
      <c r="AA2453" s="553"/>
      <c r="AB2453" s="553"/>
    </row>
    <row r="2454" spans="1:28" ht="12.75">
      <c r="A2454" s="547" t="s">
        <v>728</v>
      </c>
      <c r="B2454" s="547" t="s">
        <v>200</v>
      </c>
      <c r="C2454" s="548" t="s">
        <v>784</v>
      </c>
      <c r="D2454" s="549">
        <v>2014</v>
      </c>
      <c r="E2454" s="549" t="s">
        <v>775</v>
      </c>
      <c r="F2454" s="550">
        <v>23</v>
      </c>
      <c r="G2454" s="550">
        <v>0</v>
      </c>
      <c r="H2454" s="550">
        <v>0</v>
      </c>
      <c r="I2454" s="550">
        <v>0</v>
      </c>
      <c r="J2454" s="550">
        <v>16</v>
      </c>
      <c r="K2454" s="550">
        <v>1</v>
      </c>
      <c r="L2454" s="550">
        <v>0</v>
      </c>
      <c r="M2454" s="550">
        <v>1</v>
      </c>
      <c r="N2454" s="550">
        <v>19</v>
      </c>
      <c r="O2454" s="550">
        <v>2</v>
      </c>
      <c r="P2454" s="550">
        <v>42</v>
      </c>
      <c r="Q2454" s="550">
        <v>0</v>
      </c>
      <c r="R2454" s="574" t="s">
        <v>728</v>
      </c>
      <c r="S2454" s="552"/>
      <c r="T2454" s="552"/>
      <c r="U2454" s="552"/>
      <c r="V2454" s="552"/>
      <c r="W2454" s="552"/>
      <c r="X2454" s="552"/>
      <c r="Y2454" s="552"/>
      <c r="Z2454" s="552"/>
      <c r="AA2454" s="553"/>
      <c r="AB2454" s="553"/>
    </row>
    <row r="2455" spans="1:28" ht="12.75">
      <c r="A2455" s="547" t="s">
        <v>728</v>
      </c>
      <c r="B2455" s="547" t="s">
        <v>200</v>
      </c>
      <c r="C2455" s="548" t="s">
        <v>784</v>
      </c>
      <c r="D2455" s="549">
        <v>2015</v>
      </c>
      <c r="E2455" s="549" t="s">
        <v>775</v>
      </c>
      <c r="F2455" s="550">
        <v>23</v>
      </c>
      <c r="G2455" s="550">
        <v>0</v>
      </c>
      <c r="H2455" s="550">
        <v>0</v>
      </c>
      <c r="I2455" s="550">
        <v>0</v>
      </c>
      <c r="J2455" s="550">
        <v>16</v>
      </c>
      <c r="K2455" s="550">
        <v>1</v>
      </c>
      <c r="L2455" s="550">
        <v>0</v>
      </c>
      <c r="M2455" s="550">
        <v>1</v>
      </c>
      <c r="N2455" s="550">
        <v>19</v>
      </c>
      <c r="O2455" s="550">
        <v>2</v>
      </c>
      <c r="P2455" s="550">
        <v>42</v>
      </c>
      <c r="Q2455" s="550">
        <v>0</v>
      </c>
      <c r="R2455" s="574" t="s">
        <v>728</v>
      </c>
      <c r="S2455" s="552"/>
      <c r="T2455" s="552"/>
      <c r="U2455" s="552"/>
      <c r="V2455" s="552"/>
      <c r="W2455" s="552"/>
      <c r="X2455" s="552"/>
      <c r="Y2455" s="552"/>
      <c r="Z2455" s="552"/>
      <c r="AA2455" s="553"/>
      <c r="AB2455" s="553"/>
    </row>
    <row r="2456" spans="1:28" ht="12.75">
      <c r="A2456" s="547" t="s">
        <v>728</v>
      </c>
      <c r="B2456" s="547" t="s">
        <v>200</v>
      </c>
      <c r="C2456" s="548" t="s">
        <v>784</v>
      </c>
      <c r="D2456" s="549">
        <v>2016</v>
      </c>
      <c r="E2456" s="549" t="s">
        <v>775</v>
      </c>
      <c r="F2456" s="550">
        <v>23</v>
      </c>
      <c r="G2456" s="550">
        <v>0</v>
      </c>
      <c r="H2456" s="550">
        <v>0</v>
      </c>
      <c r="I2456" s="550">
        <v>0</v>
      </c>
      <c r="J2456" s="550">
        <v>16</v>
      </c>
      <c r="K2456" s="550">
        <v>8</v>
      </c>
      <c r="L2456" s="550">
        <v>8</v>
      </c>
      <c r="M2456" s="550">
        <v>0</v>
      </c>
      <c r="N2456" s="550">
        <v>19</v>
      </c>
      <c r="O2456" s="550">
        <v>2</v>
      </c>
      <c r="P2456" s="550">
        <v>42</v>
      </c>
      <c r="Q2456" s="550">
        <v>4</v>
      </c>
      <c r="R2456" s="574" t="s">
        <v>728</v>
      </c>
      <c r="S2456" s="552"/>
      <c r="T2456" s="552"/>
      <c r="U2456" s="552"/>
      <c r="V2456" s="552"/>
      <c r="W2456" s="552"/>
      <c r="X2456" s="552"/>
      <c r="Y2456" s="552"/>
      <c r="Z2456" s="552"/>
      <c r="AA2456" s="553"/>
      <c r="AB2456" s="553"/>
    </row>
    <row r="2457" spans="1:28" ht="12.75">
      <c r="A2457" s="547" t="s">
        <v>728</v>
      </c>
      <c r="B2457" s="547" t="s">
        <v>200</v>
      </c>
      <c r="C2457" s="548" t="s">
        <v>784</v>
      </c>
      <c r="D2457" s="549">
        <v>2017</v>
      </c>
      <c r="E2457" s="549" t="s">
        <v>775</v>
      </c>
      <c r="F2457" s="550">
        <v>23</v>
      </c>
      <c r="G2457" s="550">
        <v>0</v>
      </c>
      <c r="H2457" s="550">
        <v>0</v>
      </c>
      <c r="I2457" s="550">
        <v>0</v>
      </c>
      <c r="J2457" s="550">
        <v>16</v>
      </c>
      <c r="K2457" s="550">
        <v>0</v>
      </c>
      <c r="L2457" s="550">
        <v>0</v>
      </c>
      <c r="M2457" s="550">
        <v>0</v>
      </c>
      <c r="N2457" s="550">
        <v>19</v>
      </c>
      <c r="O2457" s="550">
        <v>1</v>
      </c>
      <c r="P2457" s="550">
        <v>42</v>
      </c>
      <c r="Q2457" s="550">
        <v>0</v>
      </c>
      <c r="R2457" s="574" t="s">
        <v>728</v>
      </c>
      <c r="S2457" s="552"/>
      <c r="T2457" s="552"/>
      <c r="U2457" s="552"/>
      <c r="V2457" s="552"/>
      <c r="W2457" s="552"/>
      <c r="X2457" s="552"/>
      <c r="Y2457" s="552"/>
      <c r="Z2457" s="552"/>
      <c r="AA2457" s="553"/>
      <c r="AB2457" s="553"/>
    </row>
    <row r="2458" spans="1:28" ht="12.75">
      <c r="A2458" s="547" t="s">
        <v>728</v>
      </c>
      <c r="B2458" s="547" t="s">
        <v>200</v>
      </c>
      <c r="C2458" s="548" t="s">
        <v>784</v>
      </c>
      <c r="D2458" s="549">
        <v>2018</v>
      </c>
      <c r="E2458" s="549" t="s">
        <v>775</v>
      </c>
      <c r="F2458" s="550">
        <v>23</v>
      </c>
      <c r="G2458" s="550">
        <v>0</v>
      </c>
      <c r="H2458" s="550">
        <v>0</v>
      </c>
      <c r="I2458" s="550">
        <v>0</v>
      </c>
      <c r="J2458" s="550">
        <v>16</v>
      </c>
      <c r="K2458" s="550">
        <v>0</v>
      </c>
      <c r="L2458" s="550">
        <v>0</v>
      </c>
      <c r="M2458" s="550">
        <v>0</v>
      </c>
      <c r="N2458" s="550">
        <v>19</v>
      </c>
      <c r="O2458" s="550">
        <v>1</v>
      </c>
      <c r="P2458" s="550">
        <v>42</v>
      </c>
      <c r="Q2458" s="550">
        <v>1</v>
      </c>
      <c r="R2458" s="574" t="s">
        <v>728</v>
      </c>
      <c r="S2458" s="552"/>
      <c r="T2458" s="552"/>
      <c r="U2458" s="552"/>
      <c r="V2458" s="552"/>
      <c r="W2458" s="552"/>
      <c r="X2458" s="552"/>
      <c r="Y2458" s="552"/>
      <c r="Z2458" s="552"/>
      <c r="AA2458" s="553"/>
      <c r="AB2458" s="553"/>
    </row>
    <row r="2459" spans="1:28" ht="12.75">
      <c r="A2459" s="547" t="s">
        <v>728</v>
      </c>
      <c r="B2459" s="547" t="s">
        <v>200</v>
      </c>
      <c r="C2459" s="548" t="s">
        <v>785</v>
      </c>
      <c r="D2459" s="549">
        <v>2019</v>
      </c>
      <c r="E2459" s="549" t="s">
        <v>775</v>
      </c>
      <c r="F2459" s="550">
        <v>23</v>
      </c>
      <c r="G2459" s="550">
        <v>0</v>
      </c>
      <c r="H2459" s="550">
        <v>0</v>
      </c>
      <c r="I2459" s="550">
        <v>0</v>
      </c>
      <c r="J2459" s="550">
        <v>16</v>
      </c>
      <c r="K2459" s="550">
        <v>0</v>
      </c>
      <c r="L2459" s="550">
        <v>0</v>
      </c>
      <c r="M2459" s="550">
        <v>0</v>
      </c>
      <c r="N2459" s="550">
        <v>19</v>
      </c>
      <c r="O2459" s="550">
        <v>1</v>
      </c>
      <c r="P2459" s="550">
        <v>42</v>
      </c>
      <c r="Q2459" s="550">
        <v>1</v>
      </c>
      <c r="R2459" s="574" t="s">
        <v>728</v>
      </c>
      <c r="S2459" s="552">
        <f>SUM(G2454:G2459) +SUM(K2454:K2459)</f>
        <v>10</v>
      </c>
      <c r="T2459" s="552">
        <f>F2459+J2459</f>
        <v>39</v>
      </c>
      <c r="U2459" s="552">
        <f>SUM(O2454:O2459)</f>
        <v>9</v>
      </c>
      <c r="V2459" s="552">
        <f>N2459</f>
        <v>19</v>
      </c>
      <c r="W2459" s="554">
        <f>SUM(Q2454:Q2459)</f>
        <v>6</v>
      </c>
      <c r="X2459" s="552">
        <f>P2459</f>
        <v>42</v>
      </c>
      <c r="Y2459" s="552">
        <f>S2459+U2459+SUM(Q2454:Q2459)</f>
        <v>25</v>
      </c>
      <c r="Z2459" s="552">
        <f>F2459+J2459+N2459+P2459</f>
        <v>100</v>
      </c>
      <c r="AA2459" s="553"/>
      <c r="AB2459" s="553"/>
    </row>
    <row r="2460" spans="1:28" ht="12.75">
      <c r="A2460" s="547" t="s">
        <v>729</v>
      </c>
      <c r="B2460" s="547" t="s">
        <v>200</v>
      </c>
      <c r="C2460" s="548" t="s">
        <v>784</v>
      </c>
      <c r="D2460" s="549">
        <v>2014</v>
      </c>
      <c r="E2460" s="549" t="s">
        <v>775</v>
      </c>
      <c r="F2460" s="550">
        <v>102</v>
      </c>
      <c r="G2460" s="550">
        <v>0</v>
      </c>
      <c r="H2460" s="550">
        <v>0</v>
      </c>
      <c r="I2460" s="550">
        <v>0</v>
      </c>
      <c r="J2460" s="550">
        <v>74</v>
      </c>
      <c r="K2460" s="550">
        <v>2</v>
      </c>
      <c r="L2460" s="550">
        <v>2</v>
      </c>
      <c r="M2460" s="550">
        <v>0</v>
      </c>
      <c r="N2460" s="550">
        <v>81</v>
      </c>
      <c r="O2460" s="550">
        <v>0</v>
      </c>
      <c r="P2460" s="550">
        <v>193</v>
      </c>
      <c r="Q2460" s="550">
        <v>0</v>
      </c>
      <c r="R2460" s="574" t="s">
        <v>729</v>
      </c>
      <c r="S2460" s="552"/>
      <c r="T2460" s="552"/>
      <c r="U2460" s="552"/>
      <c r="V2460" s="552"/>
      <c r="W2460" s="552"/>
      <c r="X2460" s="552"/>
      <c r="Y2460" s="552"/>
      <c r="Z2460" s="552"/>
      <c r="AA2460" s="553"/>
      <c r="AB2460" s="553"/>
    </row>
    <row r="2461" spans="1:28" ht="12.75">
      <c r="A2461" s="547" t="s">
        <v>729</v>
      </c>
      <c r="B2461" s="547" t="s">
        <v>200</v>
      </c>
      <c r="C2461" s="548" t="s">
        <v>784</v>
      </c>
      <c r="D2461" s="549">
        <v>2015</v>
      </c>
      <c r="E2461" s="549" t="s">
        <v>775</v>
      </c>
      <c r="F2461" s="550">
        <v>102</v>
      </c>
      <c r="G2461" s="550">
        <v>0</v>
      </c>
      <c r="H2461" s="550">
        <v>0</v>
      </c>
      <c r="I2461" s="550">
        <v>0</v>
      </c>
      <c r="J2461" s="550">
        <v>74</v>
      </c>
      <c r="K2461" s="550">
        <v>0</v>
      </c>
      <c r="L2461" s="550">
        <v>0</v>
      </c>
      <c r="M2461" s="550">
        <v>0</v>
      </c>
      <c r="N2461" s="550">
        <v>81</v>
      </c>
      <c r="O2461" s="550">
        <v>0</v>
      </c>
      <c r="P2461" s="550">
        <v>193</v>
      </c>
      <c r="Q2461" s="550">
        <v>33</v>
      </c>
      <c r="R2461" s="574" t="s">
        <v>729</v>
      </c>
      <c r="S2461" s="552"/>
      <c r="T2461" s="552"/>
      <c r="U2461" s="552"/>
      <c r="V2461" s="552"/>
      <c r="W2461" s="552"/>
      <c r="X2461" s="552"/>
      <c r="Y2461" s="552"/>
      <c r="Z2461" s="552"/>
      <c r="AA2461" s="553"/>
      <c r="AB2461" s="553"/>
    </row>
    <row r="2462" spans="1:28" ht="12.75">
      <c r="A2462" s="547" t="s">
        <v>729</v>
      </c>
      <c r="B2462" s="547" t="s">
        <v>200</v>
      </c>
      <c r="C2462" s="548" t="s">
        <v>784</v>
      </c>
      <c r="D2462" s="549">
        <v>2016</v>
      </c>
      <c r="E2462" s="549" t="s">
        <v>775</v>
      </c>
      <c r="F2462" s="550">
        <v>102</v>
      </c>
      <c r="G2462" s="550">
        <v>0</v>
      </c>
      <c r="H2462" s="550">
        <v>0</v>
      </c>
      <c r="I2462" s="550">
        <v>0</v>
      </c>
      <c r="J2462" s="550">
        <v>74</v>
      </c>
      <c r="K2462" s="550">
        <v>2</v>
      </c>
      <c r="L2462" s="550">
        <v>2</v>
      </c>
      <c r="M2462" s="550">
        <v>0</v>
      </c>
      <c r="N2462" s="550">
        <v>81</v>
      </c>
      <c r="O2462" s="550">
        <v>0</v>
      </c>
      <c r="P2462" s="550">
        <v>193</v>
      </c>
      <c r="Q2462" s="550">
        <v>0</v>
      </c>
      <c r="R2462" s="574" t="s">
        <v>729</v>
      </c>
      <c r="S2462" s="552"/>
      <c r="T2462" s="552"/>
      <c r="U2462" s="552"/>
      <c r="V2462" s="552"/>
      <c r="W2462" s="552"/>
      <c r="X2462" s="552"/>
      <c r="Y2462" s="552"/>
      <c r="Z2462" s="552"/>
      <c r="AA2462" s="553"/>
      <c r="AB2462" s="553"/>
    </row>
    <row r="2463" spans="1:28" ht="12.75">
      <c r="A2463" s="547" t="s">
        <v>729</v>
      </c>
      <c r="B2463" s="547" t="s">
        <v>200</v>
      </c>
      <c r="C2463" s="548" t="s">
        <v>784</v>
      </c>
      <c r="D2463" s="549">
        <v>2017</v>
      </c>
      <c r="E2463" s="549" t="s">
        <v>775</v>
      </c>
      <c r="F2463" s="550">
        <v>102</v>
      </c>
      <c r="G2463" s="550">
        <v>0</v>
      </c>
      <c r="H2463" s="550">
        <v>0</v>
      </c>
      <c r="I2463" s="550">
        <v>0</v>
      </c>
      <c r="J2463" s="550">
        <v>74</v>
      </c>
      <c r="K2463" s="550">
        <v>2</v>
      </c>
      <c r="L2463" s="550">
        <v>2</v>
      </c>
      <c r="M2463" s="550">
        <v>0</v>
      </c>
      <c r="N2463" s="550">
        <v>81</v>
      </c>
      <c r="O2463" s="550">
        <v>0</v>
      </c>
      <c r="P2463" s="550">
        <v>193</v>
      </c>
      <c r="Q2463" s="550">
        <v>71</v>
      </c>
      <c r="R2463" s="574" t="s">
        <v>729</v>
      </c>
      <c r="S2463" s="552"/>
      <c r="T2463" s="552"/>
      <c r="U2463" s="552"/>
      <c r="V2463" s="552"/>
      <c r="W2463" s="552"/>
      <c r="X2463" s="552"/>
      <c r="Y2463" s="552"/>
      <c r="Z2463" s="552"/>
      <c r="AA2463" s="553"/>
      <c r="AB2463" s="553"/>
    </row>
    <row r="2464" spans="1:28" ht="12.75">
      <c r="A2464" s="547" t="s">
        <v>729</v>
      </c>
      <c r="B2464" s="547" t="s">
        <v>200</v>
      </c>
      <c r="C2464" s="548" t="s">
        <v>784</v>
      </c>
      <c r="D2464" s="549">
        <v>2018</v>
      </c>
      <c r="E2464" s="549" t="s">
        <v>775</v>
      </c>
      <c r="F2464" s="550">
        <v>102</v>
      </c>
      <c r="G2464" s="550">
        <v>0</v>
      </c>
      <c r="H2464" s="550">
        <v>0</v>
      </c>
      <c r="I2464" s="550">
        <v>0</v>
      </c>
      <c r="J2464" s="550">
        <v>74</v>
      </c>
      <c r="K2464" s="550">
        <v>0</v>
      </c>
      <c r="L2464" s="550">
        <v>0</v>
      </c>
      <c r="M2464" s="550">
        <v>0</v>
      </c>
      <c r="N2464" s="550">
        <v>81</v>
      </c>
      <c r="O2464" s="550">
        <v>0</v>
      </c>
      <c r="P2464" s="550">
        <v>193</v>
      </c>
      <c r="Q2464" s="550">
        <v>9</v>
      </c>
      <c r="R2464" s="574" t="s">
        <v>729</v>
      </c>
      <c r="S2464" s="552"/>
      <c r="T2464" s="552"/>
      <c r="U2464" s="552"/>
      <c r="V2464" s="552"/>
      <c r="W2464" s="552"/>
      <c r="X2464" s="552"/>
      <c r="Y2464" s="552"/>
      <c r="Z2464" s="552"/>
      <c r="AA2464" s="553"/>
      <c r="AB2464" s="553"/>
    </row>
    <row r="2465" spans="1:28" ht="12.75">
      <c r="A2465" s="547" t="s">
        <v>729</v>
      </c>
      <c r="B2465" s="547" t="s">
        <v>200</v>
      </c>
      <c r="C2465" s="548" t="s">
        <v>785</v>
      </c>
      <c r="D2465" s="549">
        <v>2019</v>
      </c>
      <c r="E2465" s="549" t="s">
        <v>775</v>
      </c>
      <c r="F2465" s="550">
        <v>102</v>
      </c>
      <c r="G2465" s="550">
        <v>0</v>
      </c>
      <c r="H2465" s="550">
        <v>0</v>
      </c>
      <c r="I2465" s="550">
        <v>0</v>
      </c>
      <c r="J2465" s="550">
        <v>74</v>
      </c>
      <c r="K2465" s="550">
        <v>0</v>
      </c>
      <c r="L2465" s="550">
        <v>0</v>
      </c>
      <c r="M2465" s="550">
        <v>0</v>
      </c>
      <c r="N2465" s="550">
        <v>81</v>
      </c>
      <c r="O2465" s="550">
        <v>0</v>
      </c>
      <c r="P2465" s="550">
        <v>193</v>
      </c>
      <c r="Q2465" s="550">
        <v>17</v>
      </c>
      <c r="R2465" s="574" t="s">
        <v>729</v>
      </c>
      <c r="S2465" s="556">
        <f>SUM(G2460:G2465) +SUM(K2460:K2465)</f>
        <v>6</v>
      </c>
      <c r="T2465" s="556">
        <f>F2465+J2465</f>
        <v>176</v>
      </c>
      <c r="U2465" s="556">
        <f>SUM(O2460:O2465)</f>
        <v>0</v>
      </c>
      <c r="V2465" s="556">
        <f>N2465</f>
        <v>81</v>
      </c>
      <c r="W2465" s="557">
        <f>SUM(Q2460:Q2465)</f>
        <v>130</v>
      </c>
      <c r="X2465" s="556">
        <f>P2465</f>
        <v>193</v>
      </c>
      <c r="Y2465" s="556">
        <f>S2465+U2465+SUM(Q2460:Q2465)</f>
        <v>136</v>
      </c>
      <c r="Z2465" s="556">
        <f>F2465+J2465+N2465+P2465</f>
        <v>450</v>
      </c>
      <c r="AA2465" s="553"/>
      <c r="AB2465" s="553"/>
    </row>
    <row r="2466" spans="1:28" ht="12.75">
      <c r="A2466" s="547"/>
      <c r="B2466" s="547"/>
      <c r="C2466" s="548"/>
      <c r="D2466" s="549"/>
      <c r="E2466" s="549"/>
      <c r="F2466" s="550"/>
      <c r="G2466" s="550"/>
      <c r="H2466" s="550"/>
      <c r="I2466" s="550"/>
      <c r="J2466" s="550"/>
      <c r="K2466" s="550"/>
      <c r="L2466" s="550"/>
      <c r="M2466" s="550"/>
      <c r="N2466" s="550"/>
      <c r="O2466" s="550"/>
      <c r="P2466" s="550"/>
      <c r="Q2466" s="550"/>
      <c r="R2466" s="574"/>
      <c r="S2466" s="552">
        <f t="shared" ref="S2466:Z2466" si="239">SUM(S2454:S2465)</f>
        <v>16</v>
      </c>
      <c r="T2466" s="552">
        <f t="shared" si="239"/>
        <v>215</v>
      </c>
      <c r="U2466" s="552">
        <f t="shared" si="239"/>
        <v>9</v>
      </c>
      <c r="V2466" s="552">
        <f t="shared" si="239"/>
        <v>100</v>
      </c>
      <c r="W2466" s="552">
        <f t="shared" si="239"/>
        <v>136</v>
      </c>
      <c r="X2466" s="552">
        <f t="shared" si="239"/>
        <v>235</v>
      </c>
      <c r="Y2466" s="552">
        <f t="shared" si="239"/>
        <v>161</v>
      </c>
      <c r="Z2466" s="552">
        <f t="shared" si="239"/>
        <v>550</v>
      </c>
      <c r="AA2466" s="553"/>
      <c r="AB2466" s="553"/>
    </row>
    <row r="2467" spans="1:28" ht="12.75">
      <c r="A2467" s="547" t="s">
        <v>730</v>
      </c>
      <c r="B2467" s="547" t="s">
        <v>201</v>
      </c>
      <c r="C2467" s="548" t="s">
        <v>812</v>
      </c>
      <c r="D2467" s="549">
        <v>2014</v>
      </c>
      <c r="E2467" s="549" t="s">
        <v>775</v>
      </c>
      <c r="F2467" s="550">
        <v>539</v>
      </c>
      <c r="G2467" s="550">
        <v>20</v>
      </c>
      <c r="H2467" s="550">
        <v>20</v>
      </c>
      <c r="I2467" s="550">
        <v>0</v>
      </c>
      <c r="J2467" s="550">
        <v>366</v>
      </c>
      <c r="K2467" s="550">
        <v>21</v>
      </c>
      <c r="L2467" s="550">
        <v>21</v>
      </c>
      <c r="M2467" s="550">
        <v>0</v>
      </c>
      <c r="N2467" s="550">
        <v>411</v>
      </c>
      <c r="O2467" s="550">
        <v>155</v>
      </c>
      <c r="P2467" s="550">
        <v>908</v>
      </c>
      <c r="Q2467" s="550">
        <v>102</v>
      </c>
      <c r="R2467" s="574" t="s">
        <v>730</v>
      </c>
      <c r="S2467" s="552"/>
      <c r="T2467" s="552"/>
      <c r="U2467" s="552"/>
      <c r="V2467" s="552"/>
      <c r="W2467" s="552"/>
      <c r="X2467" s="552"/>
      <c r="Y2467" s="552"/>
      <c r="Z2467" s="552"/>
      <c r="AA2467" s="553"/>
      <c r="AB2467" s="553"/>
    </row>
    <row r="2468" spans="1:28" ht="12.75">
      <c r="A2468" s="547" t="s">
        <v>730</v>
      </c>
      <c r="B2468" s="547" t="s">
        <v>201</v>
      </c>
      <c r="C2468" s="548" t="s">
        <v>812</v>
      </c>
      <c r="D2468" s="549">
        <v>2015</v>
      </c>
      <c r="E2468" s="549" t="s">
        <v>775</v>
      </c>
      <c r="F2468" s="550">
        <v>539</v>
      </c>
      <c r="G2468" s="550">
        <v>0</v>
      </c>
      <c r="H2468" s="550">
        <v>0</v>
      </c>
      <c r="I2468" s="550">
        <v>0</v>
      </c>
      <c r="J2468" s="550">
        <v>366</v>
      </c>
      <c r="K2468" s="550">
        <v>0</v>
      </c>
      <c r="L2468" s="550">
        <v>0</v>
      </c>
      <c r="M2468" s="550">
        <v>0</v>
      </c>
      <c r="N2468" s="550">
        <v>411</v>
      </c>
      <c r="O2468" s="550">
        <v>2</v>
      </c>
      <c r="P2468" s="550">
        <v>908</v>
      </c>
      <c r="Q2468" s="550">
        <v>94</v>
      </c>
      <c r="R2468" s="574" t="s">
        <v>730</v>
      </c>
      <c r="S2468" s="552"/>
      <c r="T2468" s="552"/>
      <c r="U2468" s="552"/>
      <c r="V2468" s="552"/>
      <c r="W2468" s="552"/>
      <c r="X2468" s="552"/>
      <c r="Y2468" s="552"/>
      <c r="Z2468" s="552"/>
      <c r="AA2468" s="553"/>
      <c r="AB2468" s="553"/>
    </row>
    <row r="2469" spans="1:28" ht="12.75">
      <c r="A2469" s="547" t="s">
        <v>730</v>
      </c>
      <c r="B2469" s="547" t="s">
        <v>201</v>
      </c>
      <c r="C2469" s="548" t="s">
        <v>812</v>
      </c>
      <c r="D2469" s="549">
        <v>2016</v>
      </c>
      <c r="E2469" s="549" t="s">
        <v>775</v>
      </c>
      <c r="F2469" s="550">
        <v>539</v>
      </c>
      <c r="G2469" s="550">
        <v>34</v>
      </c>
      <c r="H2469" s="550">
        <v>34</v>
      </c>
      <c r="I2469" s="550">
        <v>0</v>
      </c>
      <c r="J2469" s="550">
        <v>366</v>
      </c>
      <c r="K2469" s="550">
        <v>30</v>
      </c>
      <c r="L2469" s="550">
        <v>30</v>
      </c>
      <c r="M2469" s="550">
        <v>0</v>
      </c>
      <c r="N2469" s="550">
        <v>411</v>
      </c>
      <c r="O2469" s="550">
        <v>52</v>
      </c>
      <c r="P2469" s="550">
        <v>908</v>
      </c>
      <c r="Q2469" s="550">
        <v>121</v>
      </c>
      <c r="R2469" s="574" t="s">
        <v>730</v>
      </c>
      <c r="S2469" s="552"/>
      <c r="T2469" s="552"/>
      <c r="U2469" s="552"/>
      <c r="V2469" s="552"/>
      <c r="W2469" s="552"/>
      <c r="X2469" s="552"/>
      <c r="Y2469" s="552"/>
      <c r="Z2469" s="552"/>
      <c r="AA2469" s="553"/>
      <c r="AB2469" s="553"/>
    </row>
    <row r="2470" spans="1:28" ht="12.75">
      <c r="A2470" s="547" t="s">
        <v>730</v>
      </c>
      <c r="B2470" s="547" t="s">
        <v>201</v>
      </c>
      <c r="C2470" s="548" t="s">
        <v>812</v>
      </c>
      <c r="D2470" s="549">
        <v>2017</v>
      </c>
      <c r="E2470" s="549" t="s">
        <v>775</v>
      </c>
      <c r="F2470" s="550">
        <v>539</v>
      </c>
      <c r="G2470" s="550">
        <v>72</v>
      </c>
      <c r="H2470" s="550">
        <v>72</v>
      </c>
      <c r="I2470" s="550">
        <v>0</v>
      </c>
      <c r="J2470" s="550">
        <v>366</v>
      </c>
      <c r="K2470" s="550">
        <v>54</v>
      </c>
      <c r="L2470" s="550">
        <v>54</v>
      </c>
      <c r="M2470" s="550">
        <v>0</v>
      </c>
      <c r="N2470" s="550">
        <v>411</v>
      </c>
      <c r="O2470" s="550">
        <v>407</v>
      </c>
      <c r="P2470" s="550">
        <v>908</v>
      </c>
      <c r="Q2470" s="550">
        <v>200</v>
      </c>
      <c r="R2470" s="574" t="s">
        <v>730</v>
      </c>
      <c r="S2470" s="552"/>
      <c r="T2470" s="552"/>
      <c r="U2470" s="552"/>
      <c r="V2470" s="552"/>
      <c r="W2470" s="552"/>
      <c r="X2470" s="552"/>
      <c r="Y2470" s="552"/>
      <c r="Z2470" s="552"/>
      <c r="AA2470" s="553"/>
      <c r="AB2470" s="553"/>
    </row>
    <row r="2471" spans="1:28" ht="12.75">
      <c r="A2471" s="547" t="s">
        <v>730</v>
      </c>
      <c r="B2471" s="547" t="s">
        <v>201</v>
      </c>
      <c r="C2471" s="548" t="s">
        <v>812</v>
      </c>
      <c r="D2471" s="549">
        <v>2018</v>
      </c>
      <c r="E2471" s="549" t="s">
        <v>775</v>
      </c>
      <c r="F2471" s="550">
        <v>539</v>
      </c>
      <c r="G2471" s="550">
        <v>1</v>
      </c>
      <c r="H2471" s="550">
        <v>1</v>
      </c>
      <c r="I2471" s="550">
        <v>0</v>
      </c>
      <c r="J2471" s="550">
        <v>366</v>
      </c>
      <c r="K2471" s="550">
        <v>0</v>
      </c>
      <c r="L2471" s="550">
        <v>0</v>
      </c>
      <c r="M2471" s="550">
        <v>0</v>
      </c>
      <c r="N2471" s="550">
        <v>411</v>
      </c>
      <c r="O2471" s="550">
        <v>228</v>
      </c>
      <c r="P2471" s="550">
        <v>908</v>
      </c>
      <c r="Q2471" s="550">
        <v>238</v>
      </c>
      <c r="R2471" s="574" t="s">
        <v>730</v>
      </c>
      <c r="S2471" s="552"/>
      <c r="T2471" s="552"/>
      <c r="U2471" s="552"/>
      <c r="V2471" s="552"/>
      <c r="W2471" s="552"/>
      <c r="X2471" s="552"/>
      <c r="Y2471" s="552"/>
      <c r="Z2471" s="552"/>
      <c r="AA2471" s="553"/>
      <c r="AB2471" s="553"/>
    </row>
    <row r="2472" spans="1:28" ht="12.75">
      <c r="A2472" s="547" t="s">
        <v>730</v>
      </c>
      <c r="B2472" s="547" t="s">
        <v>201</v>
      </c>
      <c r="C2472" s="548" t="s">
        <v>813</v>
      </c>
      <c r="D2472" s="549">
        <v>2019</v>
      </c>
      <c r="E2472" s="549" t="s">
        <v>775</v>
      </c>
      <c r="F2472" s="550">
        <v>539</v>
      </c>
      <c r="G2472" s="550">
        <v>0</v>
      </c>
      <c r="H2472" s="550">
        <v>0</v>
      </c>
      <c r="I2472" s="550">
        <v>0</v>
      </c>
      <c r="J2472" s="550">
        <v>366</v>
      </c>
      <c r="K2472" s="550">
        <v>2</v>
      </c>
      <c r="L2472" s="550">
        <v>2</v>
      </c>
      <c r="M2472" s="550">
        <v>0</v>
      </c>
      <c r="N2472" s="550">
        <v>411</v>
      </c>
      <c r="O2472" s="550">
        <v>14</v>
      </c>
      <c r="P2472" s="550">
        <v>908</v>
      </c>
      <c r="Q2472" s="550">
        <v>72</v>
      </c>
      <c r="R2472" s="574" t="s">
        <v>730</v>
      </c>
      <c r="S2472" s="552">
        <f>SUM(G2467:G2472) +SUM(K2467:K2472)</f>
        <v>234</v>
      </c>
      <c r="T2472" s="552">
        <f>F2472+J2472</f>
        <v>905</v>
      </c>
      <c r="U2472" s="552">
        <f>SUM(O2467:O2472)</f>
        <v>858</v>
      </c>
      <c r="V2472" s="552">
        <f>N2472</f>
        <v>411</v>
      </c>
      <c r="W2472" s="554">
        <f>SUM(Q2467:Q2472)</f>
        <v>827</v>
      </c>
      <c r="X2472" s="552">
        <f>P2472</f>
        <v>908</v>
      </c>
      <c r="Y2472" s="552">
        <f>S2472+U2472+SUM(Q2467:Q2472)</f>
        <v>1919</v>
      </c>
      <c r="Z2472" s="552">
        <f>F2472+J2472+N2472+P2472</f>
        <v>2224</v>
      </c>
      <c r="AA2472" s="553"/>
      <c r="AB2472" s="553"/>
    </row>
    <row r="2473" spans="1:28" ht="12.75">
      <c r="A2473" s="547" t="s">
        <v>732</v>
      </c>
      <c r="B2473" s="547" t="s">
        <v>201</v>
      </c>
      <c r="C2473" s="548" t="s">
        <v>812</v>
      </c>
      <c r="D2473" s="549">
        <v>2014</v>
      </c>
      <c r="E2473" s="549" t="s">
        <v>775</v>
      </c>
      <c r="F2473" s="550">
        <v>289</v>
      </c>
      <c r="G2473" s="550">
        <v>0</v>
      </c>
      <c r="H2473" s="550">
        <v>0</v>
      </c>
      <c r="I2473" s="550">
        <v>0</v>
      </c>
      <c r="J2473" s="550">
        <v>197</v>
      </c>
      <c r="K2473" s="550">
        <v>3</v>
      </c>
      <c r="L2473" s="550">
        <v>3</v>
      </c>
      <c r="M2473" s="550">
        <v>0</v>
      </c>
      <c r="N2473" s="550">
        <v>216</v>
      </c>
      <c r="O2473" s="550">
        <v>0</v>
      </c>
      <c r="P2473" s="550">
        <v>462</v>
      </c>
      <c r="Q2473" s="550">
        <v>159</v>
      </c>
      <c r="R2473" s="574" t="s">
        <v>732</v>
      </c>
      <c r="S2473" s="552"/>
      <c r="T2473" s="552"/>
      <c r="U2473" s="552"/>
      <c r="V2473" s="552"/>
      <c r="W2473" s="552"/>
      <c r="X2473" s="552"/>
      <c r="Y2473" s="552"/>
      <c r="Z2473" s="552"/>
      <c r="AA2473" s="553"/>
      <c r="AB2473" s="553"/>
    </row>
    <row r="2474" spans="1:28" ht="12.75">
      <c r="A2474" s="547" t="s">
        <v>732</v>
      </c>
      <c r="B2474" s="547" t="s">
        <v>201</v>
      </c>
      <c r="C2474" s="548" t="s">
        <v>812</v>
      </c>
      <c r="D2474" s="549">
        <v>2015</v>
      </c>
      <c r="E2474" s="549" t="s">
        <v>775</v>
      </c>
      <c r="F2474" s="550">
        <v>289</v>
      </c>
      <c r="G2474" s="550">
        <v>5</v>
      </c>
      <c r="H2474" s="550">
        <v>5</v>
      </c>
      <c r="I2474" s="550">
        <v>0</v>
      </c>
      <c r="J2474" s="550">
        <v>197</v>
      </c>
      <c r="K2474" s="550">
        <v>15</v>
      </c>
      <c r="L2474" s="550">
        <v>15</v>
      </c>
      <c r="M2474" s="550">
        <v>0</v>
      </c>
      <c r="N2474" s="550">
        <v>216</v>
      </c>
      <c r="O2474" s="550">
        <v>9</v>
      </c>
      <c r="P2474" s="550">
        <v>462</v>
      </c>
      <c r="Q2474" s="550">
        <v>144</v>
      </c>
      <c r="R2474" s="574" t="s">
        <v>732</v>
      </c>
      <c r="S2474" s="552"/>
      <c r="T2474" s="552"/>
      <c r="U2474" s="552"/>
      <c r="V2474" s="552"/>
      <c r="W2474" s="552"/>
      <c r="X2474" s="552"/>
      <c r="Y2474" s="552"/>
      <c r="Z2474" s="552"/>
      <c r="AA2474" s="553"/>
      <c r="AB2474" s="553"/>
    </row>
    <row r="2475" spans="1:28" ht="12.75">
      <c r="A2475" s="547" t="s">
        <v>732</v>
      </c>
      <c r="B2475" s="547" t="s">
        <v>201</v>
      </c>
      <c r="C2475" s="548" t="s">
        <v>812</v>
      </c>
      <c r="D2475" s="549">
        <v>2016</v>
      </c>
      <c r="E2475" s="549" t="s">
        <v>775</v>
      </c>
      <c r="F2475" s="550">
        <v>289</v>
      </c>
      <c r="G2475" s="550">
        <v>0</v>
      </c>
      <c r="H2475" s="550">
        <v>0</v>
      </c>
      <c r="I2475" s="550">
        <v>0</v>
      </c>
      <c r="J2475" s="550">
        <v>197</v>
      </c>
      <c r="K2475" s="550">
        <v>0</v>
      </c>
      <c r="L2475" s="550">
        <v>0</v>
      </c>
      <c r="M2475" s="550">
        <v>0</v>
      </c>
      <c r="N2475" s="550">
        <v>216</v>
      </c>
      <c r="O2475" s="550">
        <v>0</v>
      </c>
      <c r="P2475" s="550">
        <v>462</v>
      </c>
      <c r="Q2475" s="550">
        <v>88</v>
      </c>
      <c r="R2475" s="574" t="s">
        <v>732</v>
      </c>
      <c r="S2475" s="552"/>
      <c r="T2475" s="552"/>
      <c r="U2475" s="552"/>
      <c r="V2475" s="552"/>
      <c r="W2475" s="552"/>
      <c r="X2475" s="552"/>
      <c r="Y2475" s="552"/>
      <c r="Z2475" s="552"/>
      <c r="AA2475" s="553"/>
      <c r="AB2475" s="553"/>
    </row>
    <row r="2476" spans="1:28" ht="12.75">
      <c r="A2476" s="547" t="s">
        <v>732</v>
      </c>
      <c r="B2476" s="547" t="s">
        <v>201</v>
      </c>
      <c r="C2476" s="548" t="s">
        <v>812</v>
      </c>
      <c r="D2476" s="549">
        <v>2017</v>
      </c>
      <c r="E2476" s="549" t="s">
        <v>775</v>
      </c>
      <c r="F2476" s="550">
        <v>289</v>
      </c>
      <c r="G2476" s="550">
        <v>0</v>
      </c>
      <c r="H2476" s="550">
        <v>0</v>
      </c>
      <c r="I2476" s="550">
        <v>0</v>
      </c>
      <c r="J2476" s="550">
        <v>197</v>
      </c>
      <c r="K2476" s="550">
        <v>0</v>
      </c>
      <c r="L2476" s="550">
        <v>0</v>
      </c>
      <c r="M2476" s="550">
        <v>0</v>
      </c>
      <c r="N2476" s="550">
        <v>216</v>
      </c>
      <c r="O2476" s="550">
        <v>0</v>
      </c>
      <c r="P2476" s="550">
        <v>462</v>
      </c>
      <c r="Q2476" s="550">
        <v>88</v>
      </c>
      <c r="R2476" s="574" t="s">
        <v>732</v>
      </c>
      <c r="S2476" s="552"/>
      <c r="T2476" s="552"/>
      <c r="U2476" s="552"/>
      <c r="V2476" s="552"/>
      <c r="W2476" s="552"/>
      <c r="X2476" s="552"/>
      <c r="Y2476" s="552"/>
      <c r="Z2476" s="552"/>
      <c r="AA2476" s="553"/>
      <c r="AB2476" s="553"/>
    </row>
    <row r="2477" spans="1:28" ht="12.75">
      <c r="A2477" s="547" t="s">
        <v>732</v>
      </c>
      <c r="B2477" s="547" t="s">
        <v>201</v>
      </c>
      <c r="C2477" s="548" t="s">
        <v>812</v>
      </c>
      <c r="D2477" s="549">
        <v>2018</v>
      </c>
      <c r="E2477" s="549" t="s">
        <v>775</v>
      </c>
      <c r="F2477" s="550">
        <v>289</v>
      </c>
      <c r="G2477" s="550">
        <v>0</v>
      </c>
      <c r="H2477" s="550">
        <v>0</v>
      </c>
      <c r="I2477" s="550">
        <v>0</v>
      </c>
      <c r="J2477" s="550">
        <v>197</v>
      </c>
      <c r="K2477" s="550">
        <v>3</v>
      </c>
      <c r="L2477" s="550">
        <v>0</v>
      </c>
      <c r="M2477" s="550">
        <v>3</v>
      </c>
      <c r="N2477" s="550">
        <v>216</v>
      </c>
      <c r="O2477" s="550">
        <v>0</v>
      </c>
      <c r="P2477" s="550">
        <v>462</v>
      </c>
      <c r="Q2477" s="550">
        <v>16</v>
      </c>
      <c r="R2477" s="574" t="s">
        <v>732</v>
      </c>
      <c r="S2477" s="552"/>
      <c r="T2477" s="552"/>
      <c r="U2477" s="552"/>
      <c r="V2477" s="552"/>
      <c r="W2477" s="552"/>
      <c r="X2477" s="552"/>
      <c r="Y2477" s="552"/>
      <c r="Z2477" s="552"/>
      <c r="AA2477" s="553"/>
      <c r="AB2477" s="553"/>
    </row>
    <row r="2478" spans="1:28" ht="12.75">
      <c r="A2478" s="547" t="s">
        <v>732</v>
      </c>
      <c r="B2478" s="547" t="s">
        <v>201</v>
      </c>
      <c r="C2478" s="548" t="s">
        <v>813</v>
      </c>
      <c r="D2478" s="549">
        <v>2019</v>
      </c>
      <c r="E2478" s="549" t="s">
        <v>775</v>
      </c>
      <c r="F2478" s="550">
        <v>289</v>
      </c>
      <c r="G2478" s="550">
        <v>0</v>
      </c>
      <c r="H2478" s="550">
        <v>0</v>
      </c>
      <c r="I2478" s="550">
        <v>0</v>
      </c>
      <c r="J2478" s="550">
        <v>197</v>
      </c>
      <c r="K2478" s="550">
        <v>3</v>
      </c>
      <c r="L2478" s="550">
        <v>0</v>
      </c>
      <c r="M2478" s="550">
        <v>3</v>
      </c>
      <c r="N2478" s="550">
        <v>216</v>
      </c>
      <c r="O2478" s="550">
        <v>1</v>
      </c>
      <c r="P2478" s="550">
        <v>462</v>
      </c>
      <c r="Q2478" s="550">
        <v>0</v>
      </c>
      <c r="R2478" s="574" t="s">
        <v>732</v>
      </c>
      <c r="S2478" s="552">
        <f>SUM(G2473:G2478) +SUM(K2473:K2478)</f>
        <v>29</v>
      </c>
      <c r="T2478" s="552">
        <f>F2478+J2478</f>
        <v>486</v>
      </c>
      <c r="U2478" s="552">
        <f>SUM(O2473:O2478)</f>
        <v>10</v>
      </c>
      <c r="V2478" s="552">
        <f>N2478</f>
        <v>216</v>
      </c>
      <c r="W2478" s="554">
        <f>SUM(Q2473:Q2478)</f>
        <v>495</v>
      </c>
      <c r="X2478" s="552">
        <f>P2478</f>
        <v>462</v>
      </c>
      <c r="Y2478" s="552">
        <f>S2478+U2478+SUM(Q2473:Q2478)</f>
        <v>534</v>
      </c>
      <c r="Z2478" s="552">
        <f>F2478+J2478+N2478+P2478</f>
        <v>1164</v>
      </c>
      <c r="AA2478" s="553"/>
      <c r="AB2478" s="553"/>
    </row>
    <row r="2479" spans="1:28" ht="12.75">
      <c r="A2479" s="547" t="s">
        <v>733</v>
      </c>
      <c r="B2479" s="547" t="s">
        <v>201</v>
      </c>
      <c r="C2479" s="548" t="s">
        <v>812</v>
      </c>
      <c r="D2479" s="549">
        <v>2015</v>
      </c>
      <c r="E2479" s="549" t="s">
        <v>775</v>
      </c>
      <c r="F2479" s="550">
        <v>87</v>
      </c>
      <c r="G2479" s="550">
        <v>0</v>
      </c>
      <c r="H2479" s="550">
        <v>0</v>
      </c>
      <c r="I2479" s="550">
        <v>0</v>
      </c>
      <c r="J2479" s="550">
        <v>59</v>
      </c>
      <c r="K2479" s="550">
        <v>0</v>
      </c>
      <c r="L2479" s="550">
        <v>0</v>
      </c>
      <c r="M2479" s="550">
        <v>0</v>
      </c>
      <c r="N2479" s="550">
        <v>70</v>
      </c>
      <c r="O2479" s="550">
        <v>3</v>
      </c>
      <c r="P2479" s="550">
        <v>155</v>
      </c>
      <c r="Q2479" s="550">
        <v>1</v>
      </c>
      <c r="R2479" s="574" t="s">
        <v>733</v>
      </c>
      <c r="S2479" s="552"/>
      <c r="T2479" s="552"/>
      <c r="U2479" s="552"/>
      <c r="V2479" s="552"/>
      <c r="W2479" s="552"/>
      <c r="X2479" s="552"/>
      <c r="Y2479" s="552"/>
      <c r="Z2479" s="552"/>
      <c r="AA2479" s="553"/>
      <c r="AB2479" s="553"/>
    </row>
    <row r="2480" spans="1:28" ht="12.75">
      <c r="A2480" s="547" t="s">
        <v>733</v>
      </c>
      <c r="B2480" s="547" t="s">
        <v>201</v>
      </c>
      <c r="C2480" s="548" t="s">
        <v>812</v>
      </c>
      <c r="D2480" s="549">
        <v>2016</v>
      </c>
      <c r="E2480" s="549" t="s">
        <v>775</v>
      </c>
      <c r="F2480" s="550">
        <v>87</v>
      </c>
      <c r="G2480" s="550">
        <v>0</v>
      </c>
      <c r="H2480" s="550">
        <v>0</v>
      </c>
      <c r="I2480" s="550">
        <v>0</v>
      </c>
      <c r="J2480" s="550">
        <v>59</v>
      </c>
      <c r="K2480" s="550">
        <v>0</v>
      </c>
      <c r="L2480" s="550">
        <v>0</v>
      </c>
      <c r="M2480" s="550">
        <v>0</v>
      </c>
      <c r="N2480" s="550">
        <v>70</v>
      </c>
      <c r="O2480" s="550">
        <v>8</v>
      </c>
      <c r="P2480" s="550">
        <v>155</v>
      </c>
      <c r="Q2480" s="550">
        <v>0</v>
      </c>
      <c r="R2480" s="574" t="s">
        <v>733</v>
      </c>
      <c r="S2480" s="552"/>
      <c r="T2480" s="552"/>
      <c r="U2480" s="552"/>
      <c r="V2480" s="552"/>
      <c r="W2480" s="552"/>
      <c r="X2480" s="552"/>
      <c r="Y2480" s="552"/>
      <c r="Z2480" s="552"/>
      <c r="AA2480" s="553"/>
      <c r="AB2480" s="553"/>
    </row>
    <row r="2481" spans="1:28" ht="12.75">
      <c r="A2481" s="547" t="s">
        <v>733</v>
      </c>
      <c r="B2481" s="547" t="s">
        <v>201</v>
      </c>
      <c r="C2481" s="548" t="s">
        <v>812</v>
      </c>
      <c r="D2481" s="549">
        <v>2017</v>
      </c>
      <c r="E2481" s="549" t="s">
        <v>775</v>
      </c>
      <c r="F2481" s="550">
        <v>87</v>
      </c>
      <c r="G2481" s="550">
        <v>0</v>
      </c>
      <c r="H2481" s="550">
        <v>0</v>
      </c>
      <c r="I2481" s="550">
        <v>0</v>
      </c>
      <c r="J2481" s="550">
        <v>59</v>
      </c>
      <c r="K2481" s="550">
        <v>0</v>
      </c>
      <c r="L2481" s="550">
        <v>0</v>
      </c>
      <c r="M2481" s="550">
        <v>0</v>
      </c>
      <c r="N2481" s="550">
        <v>70</v>
      </c>
      <c r="O2481" s="550">
        <v>2</v>
      </c>
      <c r="P2481" s="550">
        <v>155</v>
      </c>
      <c r="Q2481" s="550">
        <v>9</v>
      </c>
      <c r="R2481" s="574" t="s">
        <v>733</v>
      </c>
      <c r="S2481" s="552"/>
      <c r="T2481" s="552"/>
      <c r="U2481" s="552"/>
      <c r="V2481" s="552"/>
      <c r="W2481" s="552"/>
      <c r="X2481" s="552"/>
      <c r="Y2481" s="552"/>
      <c r="Z2481" s="552"/>
      <c r="AA2481" s="553"/>
      <c r="AB2481" s="553"/>
    </row>
    <row r="2482" spans="1:28" ht="12.75">
      <c r="A2482" s="547" t="s">
        <v>733</v>
      </c>
      <c r="B2482" s="547" t="s">
        <v>201</v>
      </c>
      <c r="C2482" s="548" t="s">
        <v>813</v>
      </c>
      <c r="D2482" s="549">
        <v>2019</v>
      </c>
      <c r="E2482" s="549" t="s">
        <v>775</v>
      </c>
      <c r="F2482" s="550">
        <v>87</v>
      </c>
      <c r="G2482" s="550">
        <v>0</v>
      </c>
      <c r="H2482" s="550">
        <v>0</v>
      </c>
      <c r="I2482" s="550">
        <v>0</v>
      </c>
      <c r="J2482" s="550">
        <v>59</v>
      </c>
      <c r="K2482" s="550">
        <v>0</v>
      </c>
      <c r="L2482" s="550">
        <v>0</v>
      </c>
      <c r="M2482" s="550">
        <v>0</v>
      </c>
      <c r="N2482" s="550">
        <v>70</v>
      </c>
      <c r="O2482" s="550">
        <v>16</v>
      </c>
      <c r="P2482" s="550">
        <v>155</v>
      </c>
      <c r="Q2482" s="550">
        <v>1</v>
      </c>
      <c r="R2482" s="574" t="s">
        <v>733</v>
      </c>
      <c r="S2482" s="255">
        <f>SUM(G2479:G2482) +SUM(K2479:K2482)</f>
        <v>0</v>
      </c>
      <c r="T2482" s="255">
        <f>F2482+J2482</f>
        <v>146</v>
      </c>
      <c r="U2482" s="255">
        <f>SUM(O2479:O2482)</f>
        <v>29</v>
      </c>
      <c r="V2482" s="255">
        <f>N2482</f>
        <v>70</v>
      </c>
      <c r="W2482" s="83">
        <f>SUM(Q2479:Q2482)</f>
        <v>11</v>
      </c>
      <c r="X2482" s="255">
        <f>P2482</f>
        <v>155</v>
      </c>
      <c r="Y2482" s="255">
        <f>S2482+U2482+SUM(Q2479:Q2482)</f>
        <v>40</v>
      </c>
      <c r="Z2482" s="255">
        <f>F2482+J2482+N2482+P2482</f>
        <v>371</v>
      </c>
      <c r="AA2482" s="553"/>
      <c r="AB2482" s="553"/>
    </row>
    <row r="2483" spans="1:28" ht="12.75">
      <c r="A2483" s="547" t="s">
        <v>734</v>
      </c>
      <c r="B2483" s="547" t="s">
        <v>201</v>
      </c>
      <c r="C2483" s="548" t="s">
        <v>812</v>
      </c>
      <c r="D2483" s="549">
        <v>2014</v>
      </c>
      <c r="E2483" s="549" t="s">
        <v>775</v>
      </c>
      <c r="F2483" s="550">
        <v>1688</v>
      </c>
      <c r="G2483" s="550">
        <v>48</v>
      </c>
      <c r="H2483" s="550">
        <v>48</v>
      </c>
      <c r="I2483" s="550">
        <v>0</v>
      </c>
      <c r="J2483" s="550">
        <v>1160</v>
      </c>
      <c r="K2483" s="550">
        <v>67</v>
      </c>
      <c r="L2483" s="550">
        <v>67</v>
      </c>
      <c r="M2483" s="550">
        <v>0</v>
      </c>
      <c r="N2483" s="550">
        <v>1351</v>
      </c>
      <c r="O2483" s="550">
        <v>2</v>
      </c>
      <c r="P2483" s="550">
        <v>3102</v>
      </c>
      <c r="Q2483" s="550">
        <v>39</v>
      </c>
      <c r="R2483" s="574" t="s">
        <v>734</v>
      </c>
      <c r="S2483" s="552"/>
      <c r="T2483" s="552"/>
      <c r="U2483" s="552"/>
      <c r="V2483" s="552"/>
      <c r="W2483" s="552"/>
      <c r="X2483" s="552"/>
      <c r="Y2483" s="552"/>
      <c r="Z2483" s="552"/>
      <c r="AA2483" s="553"/>
      <c r="AB2483" s="553"/>
    </row>
    <row r="2484" spans="1:28" ht="12.75">
      <c r="A2484" s="547" t="s">
        <v>734</v>
      </c>
      <c r="B2484" s="547" t="s">
        <v>201</v>
      </c>
      <c r="C2484" s="548" t="s">
        <v>812</v>
      </c>
      <c r="D2484" s="549">
        <v>2015</v>
      </c>
      <c r="E2484" s="549" t="s">
        <v>775</v>
      </c>
      <c r="F2484" s="550">
        <v>1688</v>
      </c>
      <c r="G2484" s="550">
        <v>0</v>
      </c>
      <c r="H2484" s="550">
        <v>0</v>
      </c>
      <c r="I2484" s="550">
        <v>0</v>
      </c>
      <c r="J2484" s="550">
        <v>1160</v>
      </c>
      <c r="K2484" s="550">
        <v>0</v>
      </c>
      <c r="L2484" s="550">
        <v>0</v>
      </c>
      <c r="M2484" s="550">
        <v>0</v>
      </c>
      <c r="N2484" s="550">
        <v>1351</v>
      </c>
      <c r="O2484" s="550">
        <v>0</v>
      </c>
      <c r="P2484" s="550">
        <v>3102</v>
      </c>
      <c r="Q2484" s="550">
        <v>5</v>
      </c>
      <c r="R2484" s="574" t="s">
        <v>734</v>
      </c>
      <c r="S2484" s="552"/>
      <c r="T2484" s="552"/>
      <c r="U2484" s="552"/>
      <c r="V2484" s="552"/>
      <c r="W2484" s="552"/>
      <c r="X2484" s="552"/>
      <c r="Y2484" s="552"/>
      <c r="Z2484" s="552"/>
      <c r="AA2484" s="553"/>
      <c r="AB2484" s="553"/>
    </row>
    <row r="2485" spans="1:28" ht="12.75">
      <c r="A2485" s="547" t="s">
        <v>734</v>
      </c>
      <c r="B2485" s="547" t="s">
        <v>201</v>
      </c>
      <c r="C2485" s="548" t="s">
        <v>812</v>
      </c>
      <c r="D2485" s="549">
        <v>2016</v>
      </c>
      <c r="E2485" s="549" t="s">
        <v>775</v>
      </c>
      <c r="F2485" s="550">
        <v>1688</v>
      </c>
      <c r="G2485" s="550">
        <v>50</v>
      </c>
      <c r="H2485" s="550">
        <v>50</v>
      </c>
      <c r="I2485" s="550">
        <v>0</v>
      </c>
      <c r="J2485" s="550">
        <v>1160</v>
      </c>
      <c r="K2485" s="550">
        <v>207</v>
      </c>
      <c r="L2485" s="550">
        <v>118</v>
      </c>
      <c r="M2485" s="550">
        <v>89</v>
      </c>
      <c r="N2485" s="550">
        <v>1351</v>
      </c>
      <c r="O2485" s="550">
        <v>2</v>
      </c>
      <c r="P2485" s="550">
        <v>3102</v>
      </c>
      <c r="Q2485" s="550">
        <v>80</v>
      </c>
      <c r="R2485" s="574" t="s">
        <v>734</v>
      </c>
      <c r="S2485" s="552"/>
      <c r="T2485" s="552"/>
      <c r="U2485" s="552"/>
      <c r="V2485" s="552"/>
      <c r="W2485" s="552"/>
      <c r="X2485" s="552"/>
      <c r="Y2485" s="552"/>
      <c r="Z2485" s="552"/>
      <c r="AA2485" s="553"/>
      <c r="AB2485" s="553"/>
    </row>
    <row r="2486" spans="1:28" ht="12.75">
      <c r="A2486" s="547" t="s">
        <v>734</v>
      </c>
      <c r="B2486" s="547" t="s">
        <v>201</v>
      </c>
      <c r="C2486" s="548" t="s">
        <v>812</v>
      </c>
      <c r="D2486" s="549">
        <v>2017</v>
      </c>
      <c r="E2486" s="549" t="s">
        <v>775</v>
      </c>
      <c r="F2486" s="550">
        <v>1688</v>
      </c>
      <c r="G2486" s="550">
        <v>30</v>
      </c>
      <c r="H2486" s="550">
        <v>30</v>
      </c>
      <c r="I2486" s="550">
        <v>0</v>
      </c>
      <c r="J2486" s="550">
        <v>1160</v>
      </c>
      <c r="K2486" s="550">
        <v>234</v>
      </c>
      <c r="L2486" s="550">
        <v>234</v>
      </c>
      <c r="M2486" s="550">
        <v>0</v>
      </c>
      <c r="N2486" s="550">
        <v>1351</v>
      </c>
      <c r="O2486" s="550">
        <v>371</v>
      </c>
      <c r="P2486" s="550">
        <v>3102</v>
      </c>
      <c r="Q2486" s="550">
        <v>138</v>
      </c>
      <c r="R2486" s="574" t="s">
        <v>734</v>
      </c>
      <c r="S2486" s="552"/>
      <c r="T2486" s="552"/>
      <c r="U2486" s="552"/>
      <c r="V2486" s="552"/>
      <c r="W2486" s="552"/>
      <c r="X2486" s="552"/>
      <c r="Y2486" s="552"/>
      <c r="Z2486" s="552"/>
      <c r="AA2486" s="553"/>
      <c r="AB2486" s="553"/>
    </row>
    <row r="2487" spans="1:28" ht="12.75">
      <c r="A2487" s="547" t="s">
        <v>734</v>
      </c>
      <c r="B2487" s="547" t="s">
        <v>201</v>
      </c>
      <c r="C2487" s="548" t="s">
        <v>812</v>
      </c>
      <c r="D2487" s="549">
        <v>2018</v>
      </c>
      <c r="E2487" s="549" t="s">
        <v>775</v>
      </c>
      <c r="F2487" s="550">
        <v>1688</v>
      </c>
      <c r="G2487" s="550">
        <v>51</v>
      </c>
      <c r="H2487" s="550">
        <v>51</v>
      </c>
      <c r="I2487" s="550">
        <v>0</v>
      </c>
      <c r="J2487" s="550">
        <v>1160</v>
      </c>
      <c r="K2487" s="550">
        <v>230</v>
      </c>
      <c r="L2487" s="550">
        <v>229</v>
      </c>
      <c r="M2487" s="550">
        <v>1</v>
      </c>
      <c r="N2487" s="550">
        <v>1351</v>
      </c>
      <c r="O2487" s="550">
        <v>0</v>
      </c>
      <c r="P2487" s="550">
        <v>3102</v>
      </c>
      <c r="Q2487" s="550">
        <v>146</v>
      </c>
      <c r="R2487" s="574" t="s">
        <v>734</v>
      </c>
      <c r="S2487" s="552"/>
      <c r="T2487" s="552"/>
      <c r="U2487" s="552"/>
      <c r="V2487" s="552"/>
      <c r="W2487" s="552"/>
      <c r="X2487" s="552"/>
      <c r="Y2487" s="552"/>
      <c r="Z2487" s="552"/>
      <c r="AA2487" s="553"/>
      <c r="AB2487" s="553"/>
    </row>
    <row r="2488" spans="1:28" ht="12.75">
      <c r="A2488" s="547" t="s">
        <v>734</v>
      </c>
      <c r="B2488" s="547" t="s">
        <v>201</v>
      </c>
      <c r="C2488" s="548" t="s">
        <v>813</v>
      </c>
      <c r="D2488" s="549">
        <v>2019</v>
      </c>
      <c r="E2488" s="549" t="s">
        <v>775</v>
      </c>
      <c r="F2488" s="550">
        <v>1688</v>
      </c>
      <c r="G2488" s="550">
        <v>0</v>
      </c>
      <c r="H2488" s="550">
        <v>0</v>
      </c>
      <c r="I2488" s="550">
        <v>0</v>
      </c>
      <c r="J2488" s="550">
        <v>1160</v>
      </c>
      <c r="K2488" s="550">
        <v>0</v>
      </c>
      <c r="L2488" s="550">
        <v>0</v>
      </c>
      <c r="M2488" s="550">
        <v>0</v>
      </c>
      <c r="N2488" s="550">
        <v>1351</v>
      </c>
      <c r="O2488" s="550">
        <v>0</v>
      </c>
      <c r="P2488" s="550">
        <v>3102</v>
      </c>
      <c r="Q2488" s="550">
        <v>137</v>
      </c>
      <c r="R2488" s="574" t="s">
        <v>734</v>
      </c>
      <c r="S2488" s="552">
        <f>SUM(G2483:G2488) +SUM(K2483:K2488)</f>
        <v>917</v>
      </c>
      <c r="T2488" s="552">
        <f>F2488+J2488</f>
        <v>2848</v>
      </c>
      <c r="U2488" s="552">
        <f>SUM(O2483:O2488)</f>
        <v>375</v>
      </c>
      <c r="V2488" s="552">
        <f>N2488</f>
        <v>1351</v>
      </c>
      <c r="W2488" s="554">
        <f>SUM(Q2483:Q2488)</f>
        <v>545</v>
      </c>
      <c r="X2488" s="552">
        <f>P2488</f>
        <v>3102</v>
      </c>
      <c r="Y2488" s="552">
        <f>S2488+U2488+SUM(Q2483:Q2488)</f>
        <v>1837</v>
      </c>
      <c r="Z2488" s="552">
        <f>F2488+J2488+N2488+P2488</f>
        <v>7301</v>
      </c>
      <c r="AA2488" s="553"/>
      <c r="AB2488" s="553"/>
    </row>
    <row r="2489" spans="1:28" ht="12.75">
      <c r="A2489" s="547" t="s">
        <v>735</v>
      </c>
      <c r="B2489" s="547" t="s">
        <v>201</v>
      </c>
      <c r="C2489" s="548" t="s">
        <v>812</v>
      </c>
      <c r="D2489" s="549">
        <v>2017</v>
      </c>
      <c r="E2489" s="549" t="s">
        <v>775</v>
      </c>
      <c r="F2489" s="550">
        <v>1</v>
      </c>
      <c r="G2489" s="550">
        <v>0</v>
      </c>
      <c r="H2489" s="550">
        <v>0</v>
      </c>
      <c r="I2489" s="550">
        <v>0</v>
      </c>
      <c r="J2489" s="550">
        <v>1</v>
      </c>
      <c r="K2489" s="550">
        <v>0</v>
      </c>
      <c r="L2489" s="550">
        <v>0</v>
      </c>
      <c r="M2489" s="550">
        <v>0</v>
      </c>
      <c r="N2489" s="550">
        <v>0</v>
      </c>
      <c r="O2489" s="550">
        <v>0</v>
      </c>
      <c r="P2489" s="550">
        <v>0</v>
      </c>
      <c r="Q2489" s="550">
        <v>0</v>
      </c>
      <c r="R2489" s="574" t="s">
        <v>735</v>
      </c>
      <c r="S2489" s="552"/>
      <c r="T2489" s="552"/>
      <c r="U2489" s="552"/>
      <c r="V2489" s="552"/>
      <c r="W2489" s="552"/>
      <c r="X2489" s="552"/>
      <c r="Y2489" s="552"/>
      <c r="Z2489" s="552"/>
      <c r="AA2489" s="553"/>
      <c r="AB2489" s="553"/>
    </row>
    <row r="2490" spans="1:28" ht="12.75">
      <c r="A2490" s="547" t="s">
        <v>735</v>
      </c>
      <c r="B2490" s="547" t="s">
        <v>201</v>
      </c>
      <c r="C2490" s="548" t="s">
        <v>812</v>
      </c>
      <c r="D2490" s="549">
        <v>2018</v>
      </c>
      <c r="E2490" s="549" t="s">
        <v>775</v>
      </c>
      <c r="F2490" s="550">
        <v>1</v>
      </c>
      <c r="G2490" s="564"/>
      <c r="H2490" s="564"/>
      <c r="I2490" s="564"/>
      <c r="J2490" s="550">
        <v>1</v>
      </c>
      <c r="K2490" s="564"/>
      <c r="L2490" s="564"/>
      <c r="M2490" s="564"/>
      <c r="N2490" s="550">
        <v>0</v>
      </c>
      <c r="O2490" s="564"/>
      <c r="P2490" s="550">
        <v>0</v>
      </c>
      <c r="Q2490" s="564"/>
      <c r="R2490" s="574" t="s">
        <v>735</v>
      </c>
      <c r="S2490" s="552"/>
      <c r="T2490" s="552"/>
      <c r="U2490" s="552"/>
      <c r="V2490" s="552"/>
      <c r="W2490" s="552"/>
      <c r="X2490" s="552"/>
      <c r="Y2490" s="552"/>
      <c r="Z2490" s="552"/>
      <c r="AA2490" s="553"/>
      <c r="AB2490" s="553"/>
    </row>
    <row r="2491" spans="1:28" ht="12.75">
      <c r="A2491" s="547" t="s">
        <v>735</v>
      </c>
      <c r="B2491" s="547" t="s">
        <v>201</v>
      </c>
      <c r="C2491" s="548" t="s">
        <v>813</v>
      </c>
      <c r="D2491" s="549">
        <v>2019</v>
      </c>
      <c r="E2491" s="549" t="s">
        <v>775</v>
      </c>
      <c r="F2491" s="550">
        <v>1</v>
      </c>
      <c r="G2491" s="550">
        <v>0</v>
      </c>
      <c r="H2491" s="550">
        <v>0</v>
      </c>
      <c r="I2491" s="550">
        <v>0</v>
      </c>
      <c r="J2491" s="550">
        <v>1</v>
      </c>
      <c r="K2491" s="550">
        <v>0</v>
      </c>
      <c r="L2491" s="550">
        <v>0</v>
      </c>
      <c r="M2491" s="550">
        <v>0</v>
      </c>
      <c r="N2491" s="550">
        <v>0</v>
      </c>
      <c r="O2491" s="550">
        <v>0</v>
      </c>
      <c r="P2491" s="550">
        <v>0</v>
      </c>
      <c r="Q2491" s="550">
        <v>4</v>
      </c>
      <c r="R2491" s="574" t="s">
        <v>735</v>
      </c>
      <c r="S2491" s="255">
        <f>SUM(G2489:G2491) +SUM(K2489:K2491)</f>
        <v>0</v>
      </c>
      <c r="T2491" s="255">
        <f>F2491+J2491</f>
        <v>2</v>
      </c>
      <c r="U2491" s="255">
        <f>SUM(O2489:O2491)</f>
        <v>0</v>
      </c>
      <c r="V2491" s="255">
        <f>N2491</f>
        <v>0</v>
      </c>
      <c r="W2491" s="83">
        <f>SUM(Q2489:Q2491)</f>
        <v>4</v>
      </c>
      <c r="X2491" s="255">
        <f>P2491</f>
        <v>0</v>
      </c>
      <c r="Y2491" s="255">
        <f>S2491+U2491+SUM(Q2489:Q2491)</f>
        <v>4</v>
      </c>
      <c r="Z2491" s="255">
        <f>F2491+J2491+N2491+P2491</f>
        <v>2</v>
      </c>
      <c r="AA2491" s="553"/>
      <c r="AB2491" s="553"/>
    </row>
    <row r="2492" spans="1:28" ht="12.75">
      <c r="A2492" s="547" t="s">
        <v>736</v>
      </c>
      <c r="B2492" s="547" t="s">
        <v>201</v>
      </c>
      <c r="C2492" s="548" t="s">
        <v>812</v>
      </c>
      <c r="D2492" s="549">
        <v>2014</v>
      </c>
      <c r="E2492" s="549" t="s">
        <v>775</v>
      </c>
      <c r="F2492" s="550">
        <v>861</v>
      </c>
      <c r="G2492" s="550">
        <v>28</v>
      </c>
      <c r="H2492" s="550">
        <v>28</v>
      </c>
      <c r="I2492" s="550">
        <v>0</v>
      </c>
      <c r="J2492" s="550">
        <v>591</v>
      </c>
      <c r="K2492" s="550">
        <v>0</v>
      </c>
      <c r="L2492" s="550">
        <v>0</v>
      </c>
      <c r="M2492" s="550">
        <v>0</v>
      </c>
      <c r="N2492" s="550">
        <v>673</v>
      </c>
      <c r="O2492" s="550">
        <v>2</v>
      </c>
      <c r="P2492" s="550">
        <v>1529</v>
      </c>
      <c r="Q2492" s="550">
        <v>89</v>
      </c>
      <c r="R2492" s="574" t="s">
        <v>736</v>
      </c>
      <c r="S2492" s="552"/>
      <c r="T2492" s="552"/>
      <c r="U2492" s="552"/>
      <c r="V2492" s="552"/>
      <c r="W2492" s="552"/>
      <c r="X2492" s="552"/>
      <c r="Y2492" s="552"/>
      <c r="Z2492" s="552"/>
      <c r="AA2492" s="553"/>
      <c r="AB2492" s="553"/>
    </row>
    <row r="2493" spans="1:28" ht="12.75">
      <c r="A2493" s="547" t="s">
        <v>736</v>
      </c>
      <c r="B2493" s="547" t="s">
        <v>201</v>
      </c>
      <c r="C2493" s="548" t="s">
        <v>812</v>
      </c>
      <c r="D2493" s="549">
        <v>2015</v>
      </c>
      <c r="E2493" s="549" t="s">
        <v>775</v>
      </c>
      <c r="F2493" s="550">
        <v>861</v>
      </c>
      <c r="G2493" s="550">
        <v>49</v>
      </c>
      <c r="H2493" s="550">
        <v>49</v>
      </c>
      <c r="I2493" s="550">
        <v>0</v>
      </c>
      <c r="J2493" s="550">
        <v>591</v>
      </c>
      <c r="K2493" s="550">
        <v>0</v>
      </c>
      <c r="L2493" s="550">
        <v>0</v>
      </c>
      <c r="M2493" s="550">
        <v>0</v>
      </c>
      <c r="N2493" s="550">
        <v>673</v>
      </c>
      <c r="O2493" s="550">
        <v>41</v>
      </c>
      <c r="P2493" s="550">
        <v>1529</v>
      </c>
      <c r="Q2493" s="550">
        <v>55</v>
      </c>
      <c r="R2493" s="574" t="s">
        <v>736</v>
      </c>
      <c r="S2493" s="552"/>
      <c r="T2493" s="552"/>
      <c r="U2493" s="552"/>
      <c r="V2493" s="552"/>
      <c r="W2493" s="552"/>
      <c r="X2493" s="552"/>
      <c r="Y2493" s="552"/>
      <c r="Z2493" s="552"/>
      <c r="AA2493" s="553"/>
      <c r="AB2493" s="553"/>
    </row>
    <row r="2494" spans="1:28" ht="12.75">
      <c r="A2494" s="547" t="s">
        <v>736</v>
      </c>
      <c r="B2494" s="547" t="s">
        <v>201</v>
      </c>
      <c r="C2494" s="548" t="s">
        <v>812</v>
      </c>
      <c r="D2494" s="549">
        <v>2016</v>
      </c>
      <c r="E2494" s="549" t="s">
        <v>775</v>
      </c>
      <c r="F2494" s="550">
        <v>861</v>
      </c>
      <c r="G2494" s="550">
        <v>0</v>
      </c>
      <c r="H2494" s="550">
        <v>0</v>
      </c>
      <c r="I2494" s="550">
        <v>0</v>
      </c>
      <c r="J2494" s="550">
        <v>591</v>
      </c>
      <c r="K2494" s="550">
        <v>12</v>
      </c>
      <c r="L2494" s="550">
        <v>12</v>
      </c>
      <c r="M2494" s="550">
        <v>0</v>
      </c>
      <c r="N2494" s="550">
        <v>673</v>
      </c>
      <c r="O2494" s="550">
        <v>0</v>
      </c>
      <c r="P2494" s="550">
        <v>1529</v>
      </c>
      <c r="Q2494" s="550">
        <v>223</v>
      </c>
      <c r="R2494" s="574" t="s">
        <v>736</v>
      </c>
      <c r="S2494" s="552"/>
      <c r="T2494" s="552"/>
      <c r="U2494" s="552"/>
      <c r="V2494" s="552"/>
      <c r="W2494" s="552"/>
      <c r="X2494" s="552"/>
      <c r="Y2494" s="552"/>
      <c r="Z2494" s="552"/>
      <c r="AA2494" s="553"/>
      <c r="AB2494" s="553"/>
    </row>
    <row r="2495" spans="1:28" ht="12.75">
      <c r="A2495" s="547" t="s">
        <v>736</v>
      </c>
      <c r="B2495" s="547" t="s">
        <v>201</v>
      </c>
      <c r="C2495" s="548" t="s">
        <v>812</v>
      </c>
      <c r="D2495" s="549">
        <v>2017</v>
      </c>
      <c r="E2495" s="549" t="s">
        <v>775</v>
      </c>
      <c r="F2495" s="550">
        <v>861</v>
      </c>
      <c r="G2495" s="550">
        <v>36</v>
      </c>
      <c r="H2495" s="550">
        <v>36</v>
      </c>
      <c r="I2495" s="550">
        <v>0</v>
      </c>
      <c r="J2495" s="550">
        <v>591</v>
      </c>
      <c r="K2495" s="550">
        <v>34</v>
      </c>
      <c r="L2495" s="550">
        <v>34</v>
      </c>
      <c r="M2495" s="550">
        <v>0</v>
      </c>
      <c r="N2495" s="550">
        <v>673</v>
      </c>
      <c r="O2495" s="550">
        <v>19</v>
      </c>
      <c r="P2495" s="550">
        <v>1529</v>
      </c>
      <c r="Q2495" s="550">
        <v>646</v>
      </c>
      <c r="R2495" s="574" t="s">
        <v>736</v>
      </c>
      <c r="S2495" s="552"/>
      <c r="T2495" s="552"/>
      <c r="U2495" s="552"/>
      <c r="V2495" s="552"/>
      <c r="W2495" s="552"/>
      <c r="X2495" s="552"/>
      <c r="Y2495" s="552"/>
      <c r="Z2495" s="552"/>
      <c r="AA2495" s="553"/>
      <c r="AB2495" s="553"/>
    </row>
    <row r="2496" spans="1:28" ht="12.75">
      <c r="A2496" s="547" t="s">
        <v>736</v>
      </c>
      <c r="B2496" s="547" t="s">
        <v>201</v>
      </c>
      <c r="C2496" s="548" t="s">
        <v>812</v>
      </c>
      <c r="D2496" s="549">
        <v>2018</v>
      </c>
      <c r="E2496" s="549" t="s">
        <v>775</v>
      </c>
      <c r="F2496" s="550">
        <v>861</v>
      </c>
      <c r="G2496" s="550">
        <v>24</v>
      </c>
      <c r="H2496" s="550">
        <v>24</v>
      </c>
      <c r="I2496" s="550">
        <v>0</v>
      </c>
      <c r="J2496" s="550">
        <v>591</v>
      </c>
      <c r="K2496" s="550">
        <v>12</v>
      </c>
      <c r="L2496" s="550">
        <v>12</v>
      </c>
      <c r="M2496" s="550">
        <v>0</v>
      </c>
      <c r="N2496" s="550">
        <v>673</v>
      </c>
      <c r="O2496" s="550">
        <v>15</v>
      </c>
      <c r="P2496" s="550">
        <v>1529</v>
      </c>
      <c r="Q2496" s="550">
        <v>291</v>
      </c>
      <c r="R2496" s="574" t="s">
        <v>736</v>
      </c>
      <c r="S2496" s="552"/>
      <c r="T2496" s="552"/>
      <c r="U2496" s="552"/>
      <c r="V2496" s="552"/>
      <c r="W2496" s="552"/>
      <c r="X2496" s="552"/>
      <c r="Y2496" s="552"/>
      <c r="Z2496" s="552"/>
      <c r="AA2496" s="553"/>
      <c r="AB2496" s="553"/>
    </row>
    <row r="2497" spans="1:28" ht="12.75">
      <c r="A2497" s="547" t="s">
        <v>736</v>
      </c>
      <c r="B2497" s="547" t="s">
        <v>201</v>
      </c>
      <c r="C2497" s="548" t="s">
        <v>813</v>
      </c>
      <c r="D2497" s="549">
        <v>2019</v>
      </c>
      <c r="E2497" s="549" t="s">
        <v>775</v>
      </c>
      <c r="F2497" s="550">
        <v>861</v>
      </c>
      <c r="G2497" s="550">
        <v>0</v>
      </c>
      <c r="H2497" s="550">
        <v>0</v>
      </c>
      <c r="I2497" s="550">
        <v>0</v>
      </c>
      <c r="J2497" s="550">
        <v>591</v>
      </c>
      <c r="K2497" s="550">
        <v>0</v>
      </c>
      <c r="L2497" s="550">
        <v>0</v>
      </c>
      <c r="M2497" s="550">
        <v>0</v>
      </c>
      <c r="N2497" s="550">
        <v>673</v>
      </c>
      <c r="O2497" s="550">
        <v>0</v>
      </c>
      <c r="P2497" s="550">
        <v>1529</v>
      </c>
      <c r="Q2497" s="550">
        <v>280</v>
      </c>
      <c r="R2497" s="574" t="s">
        <v>736</v>
      </c>
      <c r="S2497" s="552">
        <f>SUM(G2492:G2497) +SUM(K2492:K2497)</f>
        <v>195</v>
      </c>
      <c r="T2497" s="552">
        <f>F2497+J2497</f>
        <v>1452</v>
      </c>
      <c r="U2497" s="552">
        <f>SUM(O2492:O2497)</f>
        <v>77</v>
      </c>
      <c r="V2497" s="552">
        <f>N2497</f>
        <v>673</v>
      </c>
      <c r="W2497" s="554">
        <f>SUM(Q2492:Q2497)</f>
        <v>1584</v>
      </c>
      <c r="X2497" s="552">
        <f>P2497</f>
        <v>1529</v>
      </c>
      <c r="Y2497" s="552">
        <f>S2497+U2497+SUM(Q2492:Q2497)</f>
        <v>1856</v>
      </c>
      <c r="Z2497" s="552">
        <f>F2497+J2497+N2497+P2497</f>
        <v>3654</v>
      </c>
      <c r="AA2497" s="553"/>
      <c r="AB2497" s="553"/>
    </row>
    <row r="2498" spans="1:28" ht="12.75">
      <c r="A2498" s="547" t="s">
        <v>737</v>
      </c>
      <c r="B2498" s="547" t="s">
        <v>201</v>
      </c>
      <c r="C2498" s="548" t="s">
        <v>812</v>
      </c>
      <c r="D2498" s="549">
        <v>2017</v>
      </c>
      <c r="E2498" s="549" t="s">
        <v>775</v>
      </c>
      <c r="F2498" s="550">
        <v>288</v>
      </c>
      <c r="G2498" s="550">
        <v>0</v>
      </c>
      <c r="H2498" s="550">
        <v>0</v>
      </c>
      <c r="I2498" s="550">
        <v>0</v>
      </c>
      <c r="J2498" s="550">
        <v>201</v>
      </c>
      <c r="K2498" s="550">
        <v>10</v>
      </c>
      <c r="L2498" s="550">
        <v>10</v>
      </c>
      <c r="M2498" s="550">
        <v>0</v>
      </c>
      <c r="N2498" s="550">
        <v>241</v>
      </c>
      <c r="O2498" s="550">
        <v>6</v>
      </c>
      <c r="P2498" s="550">
        <v>555</v>
      </c>
      <c r="Q2498" s="550">
        <v>1</v>
      </c>
      <c r="R2498" s="574" t="s">
        <v>737</v>
      </c>
      <c r="S2498" s="552"/>
      <c r="T2498" s="552"/>
      <c r="U2498" s="552"/>
      <c r="V2498" s="552"/>
      <c r="W2498" s="552"/>
      <c r="X2498" s="552"/>
      <c r="Y2498" s="552"/>
      <c r="Z2498" s="552"/>
      <c r="AA2498" s="553"/>
      <c r="AB2498" s="553"/>
    </row>
    <row r="2499" spans="1:28" ht="12.75">
      <c r="A2499" s="547" t="s">
        <v>737</v>
      </c>
      <c r="B2499" s="547" t="s">
        <v>201</v>
      </c>
      <c r="C2499" s="548" t="s">
        <v>812</v>
      </c>
      <c r="D2499" s="549">
        <v>2018</v>
      </c>
      <c r="E2499" s="549" t="s">
        <v>775</v>
      </c>
      <c r="F2499" s="550">
        <v>288</v>
      </c>
      <c r="G2499" s="564"/>
      <c r="H2499" s="564"/>
      <c r="I2499" s="564"/>
      <c r="J2499" s="550">
        <v>201</v>
      </c>
      <c r="K2499" s="564"/>
      <c r="L2499" s="564"/>
      <c r="M2499" s="564"/>
      <c r="N2499" s="550">
        <v>241</v>
      </c>
      <c r="O2499" s="564"/>
      <c r="P2499" s="550">
        <v>555</v>
      </c>
      <c r="Q2499" s="564"/>
      <c r="R2499" s="574" t="s">
        <v>737</v>
      </c>
      <c r="S2499" s="552"/>
      <c r="T2499" s="552"/>
      <c r="U2499" s="552"/>
      <c r="V2499" s="552"/>
      <c r="W2499" s="552"/>
      <c r="X2499" s="552"/>
      <c r="Y2499" s="552"/>
      <c r="Z2499" s="552"/>
      <c r="AA2499" s="553"/>
      <c r="AB2499" s="553"/>
    </row>
    <row r="2500" spans="1:28" ht="12.75">
      <c r="A2500" s="547" t="s">
        <v>737</v>
      </c>
      <c r="B2500" s="547" t="s">
        <v>201</v>
      </c>
      <c r="C2500" s="548" t="s">
        <v>813</v>
      </c>
      <c r="D2500" s="549">
        <v>2019</v>
      </c>
      <c r="E2500" s="549" t="s">
        <v>775</v>
      </c>
      <c r="F2500" s="550">
        <v>288</v>
      </c>
      <c r="G2500" s="550">
        <v>0</v>
      </c>
      <c r="H2500" s="550">
        <v>0</v>
      </c>
      <c r="I2500" s="550">
        <v>0</v>
      </c>
      <c r="J2500" s="550">
        <v>201</v>
      </c>
      <c r="K2500" s="550">
        <v>0</v>
      </c>
      <c r="L2500" s="550">
        <v>0</v>
      </c>
      <c r="M2500" s="550">
        <v>0</v>
      </c>
      <c r="N2500" s="550">
        <v>241</v>
      </c>
      <c r="O2500" s="550">
        <v>0</v>
      </c>
      <c r="P2500" s="550">
        <v>555</v>
      </c>
      <c r="Q2500" s="550">
        <v>0</v>
      </c>
      <c r="R2500" s="574" t="s">
        <v>737</v>
      </c>
      <c r="S2500" s="255">
        <f>SUM(G2498:G2500) +SUM(K2498:K2500)</f>
        <v>10</v>
      </c>
      <c r="T2500" s="255">
        <f>F2500+J2500</f>
        <v>489</v>
      </c>
      <c r="U2500" s="255">
        <f>SUM(O2498:O2500)</f>
        <v>6</v>
      </c>
      <c r="V2500" s="255">
        <f>N2500</f>
        <v>241</v>
      </c>
      <c r="W2500" s="83">
        <f>SUM(Q2498:Q2500)</f>
        <v>1</v>
      </c>
      <c r="X2500" s="255">
        <f>P2500</f>
        <v>555</v>
      </c>
      <c r="Y2500" s="255">
        <f>S2500+U2500+SUM(Q2498:Q2500)</f>
        <v>17</v>
      </c>
      <c r="Z2500" s="255">
        <f>F2500+J2500+N2500+P2500</f>
        <v>1285</v>
      </c>
      <c r="AA2500" s="553"/>
      <c r="AB2500" s="553"/>
    </row>
    <row r="2501" spans="1:28" ht="12.75">
      <c r="A2501" s="547" t="s">
        <v>738</v>
      </c>
      <c r="B2501" s="547" t="s">
        <v>201</v>
      </c>
      <c r="C2501" s="548" t="s">
        <v>812</v>
      </c>
      <c r="D2501" s="549">
        <v>2014</v>
      </c>
      <c r="E2501" s="549" t="s">
        <v>775</v>
      </c>
      <c r="F2501" s="550">
        <v>310</v>
      </c>
      <c r="G2501" s="550">
        <v>0</v>
      </c>
      <c r="H2501" s="550">
        <v>0</v>
      </c>
      <c r="I2501" s="550">
        <v>0</v>
      </c>
      <c r="J2501" s="550">
        <v>208</v>
      </c>
      <c r="K2501" s="550">
        <v>0</v>
      </c>
      <c r="L2501" s="550">
        <v>0</v>
      </c>
      <c r="M2501" s="550">
        <v>0</v>
      </c>
      <c r="N2501" s="550">
        <v>229</v>
      </c>
      <c r="O2501" s="550">
        <v>0</v>
      </c>
      <c r="P2501" s="550">
        <v>509</v>
      </c>
      <c r="Q2501" s="550">
        <v>42</v>
      </c>
      <c r="R2501" s="574" t="s">
        <v>738</v>
      </c>
      <c r="S2501" s="552"/>
      <c r="T2501" s="552"/>
      <c r="U2501" s="552"/>
      <c r="V2501" s="552"/>
      <c r="W2501" s="552"/>
      <c r="X2501" s="552"/>
      <c r="Y2501" s="552"/>
      <c r="Z2501" s="552"/>
      <c r="AA2501" s="553"/>
      <c r="AB2501" s="553"/>
    </row>
    <row r="2502" spans="1:28" ht="12.75">
      <c r="A2502" s="547" t="s">
        <v>738</v>
      </c>
      <c r="B2502" s="547" t="s">
        <v>201</v>
      </c>
      <c r="C2502" s="548" t="s">
        <v>812</v>
      </c>
      <c r="D2502" s="549">
        <v>2015</v>
      </c>
      <c r="E2502" s="549" t="s">
        <v>775</v>
      </c>
      <c r="F2502" s="550">
        <v>310</v>
      </c>
      <c r="G2502" s="550">
        <v>0</v>
      </c>
      <c r="H2502" s="550">
        <v>0</v>
      </c>
      <c r="I2502" s="550">
        <v>0</v>
      </c>
      <c r="J2502" s="550">
        <v>208</v>
      </c>
      <c r="K2502" s="550">
        <v>0</v>
      </c>
      <c r="L2502" s="550">
        <v>0</v>
      </c>
      <c r="M2502" s="550">
        <v>0</v>
      </c>
      <c r="N2502" s="550">
        <v>229</v>
      </c>
      <c r="O2502" s="550">
        <v>15</v>
      </c>
      <c r="P2502" s="550">
        <v>509</v>
      </c>
      <c r="Q2502" s="550">
        <v>11</v>
      </c>
      <c r="R2502" s="574" t="s">
        <v>738</v>
      </c>
      <c r="S2502" s="552"/>
      <c r="T2502" s="552"/>
      <c r="U2502" s="552"/>
      <c r="V2502" s="552"/>
      <c r="W2502" s="552"/>
      <c r="X2502" s="552"/>
      <c r="Y2502" s="552"/>
      <c r="Z2502" s="552"/>
      <c r="AA2502" s="553"/>
      <c r="AB2502" s="553"/>
    </row>
    <row r="2503" spans="1:28" ht="12.75">
      <c r="A2503" s="547" t="s">
        <v>738</v>
      </c>
      <c r="B2503" s="547" t="s">
        <v>201</v>
      </c>
      <c r="C2503" s="548" t="s">
        <v>812</v>
      </c>
      <c r="D2503" s="549">
        <v>2016</v>
      </c>
      <c r="E2503" s="549" t="s">
        <v>775</v>
      </c>
      <c r="F2503" s="550">
        <v>310</v>
      </c>
      <c r="G2503" s="550">
        <v>0</v>
      </c>
      <c r="H2503" s="550">
        <v>0</v>
      </c>
      <c r="I2503" s="550">
        <v>0</v>
      </c>
      <c r="J2503" s="550">
        <v>208</v>
      </c>
      <c r="K2503" s="550">
        <v>1</v>
      </c>
      <c r="L2503" s="550">
        <v>1</v>
      </c>
      <c r="M2503" s="550">
        <v>0</v>
      </c>
      <c r="N2503" s="550">
        <v>229</v>
      </c>
      <c r="O2503" s="550">
        <v>0</v>
      </c>
      <c r="P2503" s="550">
        <v>509</v>
      </c>
      <c r="Q2503" s="550">
        <v>152</v>
      </c>
      <c r="R2503" s="574" t="s">
        <v>738</v>
      </c>
      <c r="S2503" s="552"/>
      <c r="T2503" s="552"/>
      <c r="U2503" s="552"/>
      <c r="V2503" s="552"/>
      <c r="W2503" s="552"/>
      <c r="X2503" s="552"/>
      <c r="Y2503" s="552"/>
      <c r="Z2503" s="552"/>
      <c r="AA2503" s="553"/>
      <c r="AB2503" s="553"/>
    </row>
    <row r="2504" spans="1:28" ht="12.75">
      <c r="A2504" s="547" t="s">
        <v>738</v>
      </c>
      <c r="B2504" s="547" t="s">
        <v>201</v>
      </c>
      <c r="C2504" s="548" t="s">
        <v>812</v>
      </c>
      <c r="D2504" s="549">
        <v>2017</v>
      </c>
      <c r="E2504" s="549" t="s">
        <v>775</v>
      </c>
      <c r="F2504" s="550">
        <v>310</v>
      </c>
      <c r="G2504" s="550">
        <v>30</v>
      </c>
      <c r="H2504" s="550">
        <v>30</v>
      </c>
      <c r="I2504" s="550">
        <v>0</v>
      </c>
      <c r="J2504" s="550">
        <v>208</v>
      </c>
      <c r="K2504" s="550">
        <v>0</v>
      </c>
      <c r="L2504" s="550">
        <v>0</v>
      </c>
      <c r="M2504" s="550">
        <v>0</v>
      </c>
      <c r="N2504" s="550">
        <v>229</v>
      </c>
      <c r="O2504" s="550">
        <v>12</v>
      </c>
      <c r="P2504" s="550">
        <v>509</v>
      </c>
      <c r="Q2504" s="550">
        <v>59</v>
      </c>
      <c r="R2504" s="574" t="s">
        <v>738</v>
      </c>
      <c r="S2504" s="552"/>
      <c r="T2504" s="552"/>
      <c r="U2504" s="552"/>
      <c r="V2504" s="552"/>
      <c r="W2504" s="552"/>
      <c r="X2504" s="552"/>
      <c r="Y2504" s="552"/>
      <c r="Z2504" s="552"/>
      <c r="AA2504" s="553"/>
      <c r="AB2504" s="553"/>
    </row>
    <row r="2505" spans="1:28" ht="12.75">
      <c r="A2505" s="547" t="s">
        <v>738</v>
      </c>
      <c r="B2505" s="547" t="s">
        <v>201</v>
      </c>
      <c r="C2505" s="548" t="s">
        <v>812</v>
      </c>
      <c r="D2505" s="549">
        <v>2018</v>
      </c>
      <c r="E2505" s="549" t="s">
        <v>775</v>
      </c>
      <c r="F2505" s="550">
        <v>310</v>
      </c>
      <c r="G2505" s="550">
        <v>5</v>
      </c>
      <c r="H2505" s="550">
        <v>5</v>
      </c>
      <c r="I2505" s="550">
        <v>0</v>
      </c>
      <c r="J2505" s="550">
        <v>208</v>
      </c>
      <c r="K2505" s="550">
        <v>2</v>
      </c>
      <c r="L2505" s="550">
        <v>2</v>
      </c>
      <c r="M2505" s="550">
        <v>0</v>
      </c>
      <c r="N2505" s="550">
        <v>229</v>
      </c>
      <c r="O2505" s="550">
        <v>27</v>
      </c>
      <c r="P2505" s="550">
        <v>509</v>
      </c>
      <c r="Q2505" s="550">
        <v>174</v>
      </c>
      <c r="R2505" s="574" t="s">
        <v>738</v>
      </c>
      <c r="S2505" s="552"/>
      <c r="T2505" s="552"/>
      <c r="U2505" s="552"/>
      <c r="V2505" s="552"/>
      <c r="W2505" s="552"/>
      <c r="X2505" s="552"/>
      <c r="Y2505" s="552"/>
      <c r="Z2505" s="552"/>
      <c r="AA2505" s="553"/>
      <c r="AB2505" s="553"/>
    </row>
    <row r="2506" spans="1:28" ht="12.75">
      <c r="A2506" s="547" t="s">
        <v>738</v>
      </c>
      <c r="B2506" s="547" t="s">
        <v>201</v>
      </c>
      <c r="C2506" s="548" t="s">
        <v>813</v>
      </c>
      <c r="D2506" s="549">
        <v>2019</v>
      </c>
      <c r="E2506" s="549" t="s">
        <v>775</v>
      </c>
      <c r="F2506" s="550">
        <v>310</v>
      </c>
      <c r="G2506" s="550">
        <v>0</v>
      </c>
      <c r="H2506" s="550">
        <v>0</v>
      </c>
      <c r="I2506" s="550">
        <v>0</v>
      </c>
      <c r="J2506" s="550">
        <v>208</v>
      </c>
      <c r="K2506" s="550">
        <v>0</v>
      </c>
      <c r="L2506" s="550">
        <v>0</v>
      </c>
      <c r="M2506" s="550">
        <v>0</v>
      </c>
      <c r="N2506" s="550">
        <v>229</v>
      </c>
      <c r="O2506" s="550">
        <v>0</v>
      </c>
      <c r="P2506" s="550">
        <v>509</v>
      </c>
      <c r="Q2506" s="550">
        <v>0</v>
      </c>
      <c r="R2506" s="574" t="s">
        <v>738</v>
      </c>
      <c r="S2506" s="552">
        <f>SUM(G2501:G2506) +SUM(K2501:K2506)</f>
        <v>38</v>
      </c>
      <c r="T2506" s="552">
        <f>F2506+J2506</f>
        <v>518</v>
      </c>
      <c r="U2506" s="552">
        <f>SUM(O2501:O2506)</f>
        <v>54</v>
      </c>
      <c r="V2506" s="552">
        <f>N2506</f>
        <v>229</v>
      </c>
      <c r="W2506" s="554">
        <f>SUM(Q2501:Q2506)</f>
        <v>438</v>
      </c>
      <c r="X2506" s="552">
        <f>P2506</f>
        <v>509</v>
      </c>
      <c r="Y2506" s="552">
        <f>S2506+U2506+SUM(Q2501:Q2506)</f>
        <v>530</v>
      </c>
      <c r="Z2506" s="552">
        <f>F2506+J2506+N2506+P2506</f>
        <v>1256</v>
      </c>
      <c r="AA2506" s="553"/>
      <c r="AB2506" s="553"/>
    </row>
    <row r="2507" spans="1:28" ht="12.75">
      <c r="A2507" s="547" t="s">
        <v>739</v>
      </c>
      <c r="B2507" s="547" t="s">
        <v>201</v>
      </c>
      <c r="C2507" s="548" t="s">
        <v>812</v>
      </c>
      <c r="D2507" s="549">
        <v>2014</v>
      </c>
      <c r="E2507" s="549" t="s">
        <v>775</v>
      </c>
      <c r="F2507" s="550">
        <v>47</v>
      </c>
      <c r="G2507" s="550">
        <v>17</v>
      </c>
      <c r="H2507" s="550">
        <v>17</v>
      </c>
      <c r="I2507" s="550">
        <v>0</v>
      </c>
      <c r="J2507" s="550">
        <v>32</v>
      </c>
      <c r="K2507" s="550">
        <v>2</v>
      </c>
      <c r="L2507" s="550">
        <v>2</v>
      </c>
      <c r="M2507" s="550">
        <v>0</v>
      </c>
      <c r="N2507" s="550">
        <v>36</v>
      </c>
      <c r="O2507" s="550">
        <v>1</v>
      </c>
      <c r="P2507" s="550">
        <v>77</v>
      </c>
      <c r="Q2507" s="550">
        <v>27</v>
      </c>
      <c r="R2507" s="574" t="s">
        <v>739</v>
      </c>
      <c r="S2507" s="552"/>
      <c r="T2507" s="552"/>
      <c r="U2507" s="552"/>
      <c r="V2507" s="552"/>
      <c r="W2507" s="552"/>
      <c r="X2507" s="552"/>
      <c r="Y2507" s="552"/>
      <c r="Z2507" s="552"/>
    </row>
    <row r="2508" spans="1:28" ht="12.75">
      <c r="A2508" s="547" t="s">
        <v>739</v>
      </c>
      <c r="B2508" s="547" t="s">
        <v>201</v>
      </c>
      <c r="C2508" s="548" t="s">
        <v>812</v>
      </c>
      <c r="D2508" s="549">
        <v>2015</v>
      </c>
      <c r="E2508" s="549" t="s">
        <v>775</v>
      </c>
      <c r="F2508" s="550">
        <v>47</v>
      </c>
      <c r="G2508" s="550">
        <v>0</v>
      </c>
      <c r="H2508" s="550">
        <v>0</v>
      </c>
      <c r="I2508" s="550">
        <v>0</v>
      </c>
      <c r="J2508" s="550">
        <v>32</v>
      </c>
      <c r="K2508" s="550">
        <v>0</v>
      </c>
      <c r="L2508" s="550">
        <v>0</v>
      </c>
      <c r="M2508" s="550">
        <v>0</v>
      </c>
      <c r="N2508" s="550">
        <v>36</v>
      </c>
      <c r="O2508" s="550">
        <v>0</v>
      </c>
      <c r="P2508" s="550">
        <v>77</v>
      </c>
      <c r="Q2508" s="550">
        <v>115</v>
      </c>
      <c r="R2508" s="574" t="s">
        <v>739</v>
      </c>
      <c r="S2508" s="552"/>
      <c r="T2508" s="552"/>
      <c r="U2508" s="552"/>
      <c r="V2508" s="552"/>
      <c r="W2508" s="552"/>
      <c r="X2508" s="552"/>
      <c r="Y2508" s="552"/>
      <c r="Z2508" s="552"/>
    </row>
    <row r="2509" spans="1:28" ht="12.75">
      <c r="A2509" s="547" t="s">
        <v>739</v>
      </c>
      <c r="B2509" s="547" t="s">
        <v>201</v>
      </c>
      <c r="C2509" s="548" t="s">
        <v>812</v>
      </c>
      <c r="D2509" s="549">
        <v>2016</v>
      </c>
      <c r="E2509" s="549" t="s">
        <v>775</v>
      </c>
      <c r="F2509" s="550">
        <v>47</v>
      </c>
      <c r="G2509" s="550">
        <v>0</v>
      </c>
      <c r="H2509" s="550">
        <v>0</v>
      </c>
      <c r="I2509" s="550">
        <v>0</v>
      </c>
      <c r="J2509" s="550">
        <v>32</v>
      </c>
      <c r="K2509" s="550">
        <v>0</v>
      </c>
      <c r="L2509" s="550">
        <v>0</v>
      </c>
      <c r="M2509" s="550">
        <v>0</v>
      </c>
      <c r="N2509" s="550">
        <v>36</v>
      </c>
      <c r="O2509" s="550">
        <v>38</v>
      </c>
      <c r="P2509" s="550">
        <v>77</v>
      </c>
      <c r="Q2509" s="550">
        <v>62</v>
      </c>
      <c r="R2509" s="574" t="s">
        <v>739</v>
      </c>
      <c r="S2509" s="552"/>
      <c r="T2509" s="552"/>
      <c r="U2509" s="552"/>
      <c r="V2509" s="552"/>
      <c r="W2509" s="552"/>
      <c r="X2509" s="552"/>
      <c r="Y2509" s="552"/>
      <c r="Z2509" s="552"/>
    </row>
    <row r="2510" spans="1:28" ht="12.75">
      <c r="A2510" s="547" t="s">
        <v>739</v>
      </c>
      <c r="B2510" s="547" t="s">
        <v>201</v>
      </c>
      <c r="C2510" s="548" t="s">
        <v>812</v>
      </c>
      <c r="D2510" s="549">
        <v>2017</v>
      </c>
      <c r="E2510" s="549" t="s">
        <v>775</v>
      </c>
      <c r="F2510" s="550">
        <v>47</v>
      </c>
      <c r="G2510" s="550">
        <v>0</v>
      </c>
      <c r="H2510" s="550">
        <v>0</v>
      </c>
      <c r="I2510" s="550">
        <v>0</v>
      </c>
      <c r="J2510" s="550">
        <v>32</v>
      </c>
      <c r="K2510" s="550">
        <v>0</v>
      </c>
      <c r="L2510" s="550">
        <v>0</v>
      </c>
      <c r="M2510" s="550">
        <v>0</v>
      </c>
      <c r="N2510" s="550">
        <v>36</v>
      </c>
      <c r="O2510" s="550">
        <v>50</v>
      </c>
      <c r="P2510" s="550">
        <v>77</v>
      </c>
      <c r="Q2510" s="550">
        <v>16</v>
      </c>
      <c r="R2510" s="574" t="s">
        <v>739</v>
      </c>
      <c r="S2510" s="552"/>
      <c r="T2510" s="552"/>
      <c r="U2510" s="552"/>
      <c r="V2510" s="552"/>
      <c r="W2510" s="552"/>
      <c r="X2510" s="552"/>
      <c r="Y2510" s="552"/>
      <c r="Z2510" s="552"/>
    </row>
    <row r="2511" spans="1:28" ht="12.75">
      <c r="A2511" s="547" t="s">
        <v>739</v>
      </c>
      <c r="B2511" s="547" t="s">
        <v>201</v>
      </c>
      <c r="C2511" s="548" t="s">
        <v>812</v>
      </c>
      <c r="D2511" s="549">
        <v>2018</v>
      </c>
      <c r="E2511" s="549" t="s">
        <v>775</v>
      </c>
      <c r="F2511" s="550">
        <v>47</v>
      </c>
      <c r="G2511" s="550">
        <v>3</v>
      </c>
      <c r="H2511" s="550">
        <v>3</v>
      </c>
      <c r="I2511" s="550">
        <v>0</v>
      </c>
      <c r="J2511" s="550">
        <v>32</v>
      </c>
      <c r="K2511" s="550">
        <v>0</v>
      </c>
      <c r="L2511" s="550">
        <v>0</v>
      </c>
      <c r="M2511" s="550">
        <v>0</v>
      </c>
      <c r="N2511" s="550">
        <v>36</v>
      </c>
      <c r="O2511" s="550">
        <v>47</v>
      </c>
      <c r="P2511" s="550">
        <v>77</v>
      </c>
      <c r="Q2511" s="550">
        <v>32</v>
      </c>
      <c r="R2511" s="574" t="s">
        <v>739</v>
      </c>
      <c r="S2511" s="552"/>
      <c r="T2511" s="552"/>
      <c r="U2511" s="552"/>
      <c r="V2511" s="552"/>
      <c r="W2511" s="552"/>
      <c r="X2511" s="552"/>
      <c r="Y2511" s="552"/>
      <c r="Z2511" s="552"/>
    </row>
    <row r="2512" spans="1:28" ht="12.75">
      <c r="A2512" s="547" t="s">
        <v>739</v>
      </c>
      <c r="B2512" s="547" t="s">
        <v>201</v>
      </c>
      <c r="C2512" s="548" t="s">
        <v>813</v>
      </c>
      <c r="D2512" s="549">
        <v>2019</v>
      </c>
      <c r="E2512" s="549" t="s">
        <v>775</v>
      </c>
      <c r="F2512" s="550">
        <v>47</v>
      </c>
      <c r="G2512" s="550">
        <v>0</v>
      </c>
      <c r="H2512" s="550">
        <v>0</v>
      </c>
      <c r="I2512" s="550">
        <v>0</v>
      </c>
      <c r="J2512" s="550">
        <v>32</v>
      </c>
      <c r="K2512" s="550">
        <v>0</v>
      </c>
      <c r="L2512" s="550">
        <v>0</v>
      </c>
      <c r="M2512" s="550">
        <v>0</v>
      </c>
      <c r="N2512" s="550">
        <v>36</v>
      </c>
      <c r="O2512" s="550">
        <v>0</v>
      </c>
      <c r="P2512" s="550">
        <v>77</v>
      </c>
      <c r="Q2512" s="550">
        <v>67</v>
      </c>
      <c r="R2512" s="574" t="s">
        <v>739</v>
      </c>
      <c r="S2512" s="552">
        <f>SUM(G2507:G2512) +SUM(K2507:K2512)</f>
        <v>22</v>
      </c>
      <c r="T2512" s="552">
        <f>F2512+J2512</f>
        <v>79</v>
      </c>
      <c r="U2512" s="552">
        <f>SUM(O2507:O2512)</f>
        <v>136</v>
      </c>
      <c r="V2512" s="552">
        <f>N2512</f>
        <v>36</v>
      </c>
      <c r="W2512" s="554">
        <f>SUM(Q2507:Q2512)</f>
        <v>319</v>
      </c>
      <c r="X2512" s="552">
        <f>P2512</f>
        <v>77</v>
      </c>
      <c r="Y2512" s="552">
        <f>S2512+U2512+SUM(Q2507:Q2512)</f>
        <v>477</v>
      </c>
      <c r="Z2512" s="552">
        <f>F2512+J2512+N2512+P2512</f>
        <v>192</v>
      </c>
    </row>
    <row r="2513" spans="1:28" ht="12.75">
      <c r="A2513" s="547" t="s">
        <v>740</v>
      </c>
      <c r="B2513" s="547" t="s">
        <v>201</v>
      </c>
      <c r="C2513" s="548" t="s">
        <v>812</v>
      </c>
      <c r="D2513" s="549">
        <v>2014</v>
      </c>
      <c r="E2513" s="549" t="s">
        <v>775</v>
      </c>
      <c r="F2513" s="550">
        <v>246</v>
      </c>
      <c r="G2513" s="550">
        <v>44</v>
      </c>
      <c r="H2513" s="550">
        <v>0</v>
      </c>
      <c r="I2513" s="550">
        <v>44</v>
      </c>
      <c r="J2513" s="550">
        <v>168</v>
      </c>
      <c r="K2513" s="550">
        <v>37</v>
      </c>
      <c r="L2513" s="550">
        <v>0</v>
      </c>
      <c r="M2513" s="550">
        <v>37</v>
      </c>
      <c r="N2513" s="550">
        <v>189</v>
      </c>
      <c r="O2513" s="550">
        <v>12</v>
      </c>
      <c r="P2513" s="550">
        <v>412</v>
      </c>
      <c r="Q2513" s="550">
        <v>58</v>
      </c>
      <c r="R2513" s="574" t="s">
        <v>740</v>
      </c>
      <c r="S2513" s="552"/>
      <c r="T2513" s="552"/>
      <c r="U2513" s="552"/>
      <c r="V2513" s="552"/>
      <c r="W2513" s="552"/>
      <c r="X2513" s="552"/>
      <c r="Y2513" s="552"/>
      <c r="Z2513" s="552"/>
    </row>
    <row r="2514" spans="1:28" ht="12.75">
      <c r="A2514" s="547" t="s">
        <v>740</v>
      </c>
      <c r="B2514" s="547" t="s">
        <v>201</v>
      </c>
      <c r="C2514" s="548" t="s">
        <v>812</v>
      </c>
      <c r="D2514" s="549">
        <v>2015</v>
      </c>
      <c r="E2514" s="549" t="s">
        <v>775</v>
      </c>
      <c r="F2514" s="550">
        <v>246</v>
      </c>
      <c r="G2514" s="550">
        <v>8</v>
      </c>
      <c r="H2514" s="550">
        <v>0</v>
      </c>
      <c r="I2514" s="550">
        <v>8</v>
      </c>
      <c r="J2514" s="550">
        <v>168</v>
      </c>
      <c r="K2514" s="550">
        <v>12</v>
      </c>
      <c r="L2514" s="550">
        <v>0</v>
      </c>
      <c r="M2514" s="550">
        <v>12</v>
      </c>
      <c r="N2514" s="550">
        <v>189</v>
      </c>
      <c r="O2514" s="550">
        <v>13</v>
      </c>
      <c r="P2514" s="550">
        <v>412</v>
      </c>
      <c r="Q2514" s="550">
        <v>46</v>
      </c>
      <c r="R2514" s="574" t="s">
        <v>740</v>
      </c>
      <c r="S2514" s="552"/>
      <c r="T2514" s="552"/>
      <c r="U2514" s="552"/>
      <c r="V2514" s="552"/>
      <c r="W2514" s="552"/>
      <c r="X2514" s="552"/>
      <c r="Y2514" s="552"/>
      <c r="Z2514" s="552"/>
    </row>
    <row r="2515" spans="1:28" ht="12.75">
      <c r="A2515" s="547" t="s">
        <v>740</v>
      </c>
      <c r="B2515" s="547" t="s">
        <v>201</v>
      </c>
      <c r="C2515" s="548" t="s">
        <v>812</v>
      </c>
      <c r="D2515" s="549">
        <v>2016</v>
      </c>
      <c r="E2515" s="549" t="s">
        <v>775</v>
      </c>
      <c r="F2515" s="550">
        <v>246</v>
      </c>
      <c r="G2515" s="550">
        <v>4</v>
      </c>
      <c r="H2515" s="550">
        <v>0</v>
      </c>
      <c r="I2515" s="550">
        <v>4</v>
      </c>
      <c r="J2515" s="550">
        <v>168</v>
      </c>
      <c r="K2515" s="550">
        <v>8</v>
      </c>
      <c r="L2515" s="550">
        <v>0</v>
      </c>
      <c r="M2515" s="550">
        <v>8</v>
      </c>
      <c r="N2515" s="550">
        <v>189</v>
      </c>
      <c r="O2515" s="550">
        <v>7</v>
      </c>
      <c r="P2515" s="550">
        <v>412</v>
      </c>
      <c r="Q2515" s="550">
        <v>44</v>
      </c>
      <c r="R2515" s="574" t="s">
        <v>740</v>
      </c>
      <c r="S2515" s="552"/>
      <c r="T2515" s="552"/>
      <c r="U2515" s="552"/>
      <c r="V2515" s="552"/>
      <c r="W2515" s="552"/>
      <c r="X2515" s="552"/>
      <c r="Y2515" s="552"/>
      <c r="Z2515" s="552"/>
    </row>
    <row r="2516" spans="1:28" ht="12.75">
      <c r="A2516" s="547" t="s">
        <v>740</v>
      </c>
      <c r="B2516" s="547" t="s">
        <v>201</v>
      </c>
      <c r="C2516" s="548" t="s">
        <v>812</v>
      </c>
      <c r="D2516" s="549">
        <v>2017</v>
      </c>
      <c r="E2516" s="549" t="s">
        <v>775</v>
      </c>
      <c r="F2516" s="550">
        <v>246</v>
      </c>
      <c r="G2516" s="550">
        <v>7</v>
      </c>
      <c r="H2516" s="550">
        <v>0</v>
      </c>
      <c r="I2516" s="550">
        <v>7</v>
      </c>
      <c r="J2516" s="550">
        <v>168</v>
      </c>
      <c r="K2516" s="550">
        <v>14</v>
      </c>
      <c r="L2516" s="550">
        <v>0</v>
      </c>
      <c r="M2516" s="550">
        <v>14</v>
      </c>
      <c r="N2516" s="550">
        <v>189</v>
      </c>
      <c r="O2516" s="550">
        <v>15</v>
      </c>
      <c r="P2516" s="550">
        <v>412</v>
      </c>
      <c r="Q2516" s="550">
        <v>45</v>
      </c>
      <c r="R2516" s="574" t="s">
        <v>740</v>
      </c>
      <c r="S2516" s="552"/>
      <c r="T2516" s="552"/>
      <c r="U2516" s="552"/>
      <c r="V2516" s="552"/>
      <c r="W2516" s="552"/>
      <c r="X2516" s="552"/>
      <c r="Y2516" s="552"/>
      <c r="Z2516" s="552"/>
    </row>
    <row r="2517" spans="1:28" ht="12.75">
      <c r="A2517" s="547" t="s">
        <v>740</v>
      </c>
      <c r="B2517" s="547" t="s">
        <v>201</v>
      </c>
      <c r="C2517" s="548" t="s">
        <v>812</v>
      </c>
      <c r="D2517" s="549">
        <v>2018</v>
      </c>
      <c r="E2517" s="549" t="s">
        <v>775</v>
      </c>
      <c r="F2517" s="550">
        <v>246</v>
      </c>
      <c r="G2517" s="550">
        <v>11</v>
      </c>
      <c r="H2517" s="550">
        <v>0</v>
      </c>
      <c r="I2517" s="550">
        <v>11</v>
      </c>
      <c r="J2517" s="550">
        <v>168</v>
      </c>
      <c r="K2517" s="550">
        <v>43</v>
      </c>
      <c r="L2517" s="550">
        <v>0</v>
      </c>
      <c r="M2517" s="550">
        <v>43</v>
      </c>
      <c r="N2517" s="550">
        <v>189</v>
      </c>
      <c r="O2517" s="550">
        <v>20</v>
      </c>
      <c r="P2517" s="550">
        <v>412</v>
      </c>
      <c r="Q2517" s="550">
        <v>38</v>
      </c>
      <c r="R2517" s="574" t="s">
        <v>740</v>
      </c>
      <c r="S2517" s="552"/>
      <c r="T2517" s="552"/>
      <c r="U2517" s="552"/>
      <c r="V2517" s="552"/>
      <c r="W2517" s="552"/>
      <c r="X2517" s="552"/>
      <c r="Y2517" s="552"/>
      <c r="Z2517" s="552"/>
    </row>
    <row r="2518" spans="1:28" ht="12.75">
      <c r="A2518" s="547" t="s">
        <v>740</v>
      </c>
      <c r="B2518" s="547" t="s">
        <v>201</v>
      </c>
      <c r="C2518" s="548" t="s">
        <v>813</v>
      </c>
      <c r="D2518" s="549">
        <v>2019</v>
      </c>
      <c r="E2518" s="549" t="s">
        <v>775</v>
      </c>
      <c r="F2518" s="550">
        <v>246</v>
      </c>
      <c r="G2518" s="550">
        <v>11</v>
      </c>
      <c r="H2518" s="550">
        <v>0</v>
      </c>
      <c r="I2518" s="550">
        <v>11</v>
      </c>
      <c r="J2518" s="550">
        <v>168</v>
      </c>
      <c r="K2518" s="550">
        <v>30</v>
      </c>
      <c r="L2518" s="550">
        <v>0</v>
      </c>
      <c r="M2518" s="550">
        <v>30</v>
      </c>
      <c r="N2518" s="550">
        <v>189</v>
      </c>
      <c r="O2518" s="550">
        <v>28</v>
      </c>
      <c r="P2518" s="550">
        <v>412</v>
      </c>
      <c r="Q2518" s="550">
        <v>39</v>
      </c>
      <c r="R2518" s="574" t="s">
        <v>740</v>
      </c>
      <c r="S2518" s="556">
        <f>SUM(G2513:G2518) +SUM(K2513:K2518)</f>
        <v>229</v>
      </c>
      <c r="T2518" s="556">
        <f>F2518+J2518</f>
        <v>414</v>
      </c>
      <c r="U2518" s="556">
        <f>SUM(O2513:O2518)</f>
        <v>95</v>
      </c>
      <c r="V2518" s="556">
        <f>N2518</f>
        <v>189</v>
      </c>
      <c r="W2518" s="557">
        <f>SUM(Q2513:Q2518)</f>
        <v>270</v>
      </c>
      <c r="X2518" s="556">
        <f>P2518</f>
        <v>412</v>
      </c>
      <c r="Y2518" s="556">
        <f>S2518+U2518+SUM(Q2513:Q2518)</f>
        <v>594</v>
      </c>
      <c r="Z2518" s="556">
        <f>F2518+J2518+N2518+P2518</f>
        <v>1015</v>
      </c>
      <c r="AA2518" s="553"/>
      <c r="AB2518" s="553"/>
    </row>
    <row r="2519" spans="1:28" ht="12.75">
      <c r="A2519" s="547"/>
      <c r="B2519" s="547"/>
      <c r="C2519" s="548"/>
      <c r="D2519" s="549"/>
      <c r="E2519" s="549"/>
      <c r="F2519" s="550"/>
      <c r="G2519" s="550"/>
      <c r="H2519" s="550"/>
      <c r="I2519" s="550"/>
      <c r="J2519" s="550"/>
      <c r="K2519" s="550"/>
      <c r="L2519" s="550"/>
      <c r="M2519" s="550"/>
      <c r="N2519" s="550"/>
      <c r="O2519" s="550"/>
      <c r="P2519" s="550"/>
      <c r="Q2519" s="550"/>
      <c r="R2519" s="574"/>
      <c r="S2519" s="563">
        <f t="shared" ref="S2519:Z2519" si="240">SUM(S2467:S2518)</f>
        <v>1674</v>
      </c>
      <c r="T2519" s="563">
        <f t="shared" si="240"/>
        <v>7339</v>
      </c>
      <c r="U2519" s="563">
        <f t="shared" si="240"/>
        <v>1640</v>
      </c>
      <c r="V2519" s="563">
        <f t="shared" si="240"/>
        <v>3416</v>
      </c>
      <c r="W2519" s="563">
        <f t="shared" si="240"/>
        <v>4494</v>
      </c>
      <c r="X2519" s="563">
        <f t="shared" si="240"/>
        <v>7709</v>
      </c>
      <c r="Y2519" s="563">
        <f t="shared" si="240"/>
        <v>7808</v>
      </c>
      <c r="Z2519" s="563">
        <f t="shared" si="240"/>
        <v>18464</v>
      </c>
      <c r="AA2519" s="553"/>
      <c r="AB2519" s="553"/>
    </row>
    <row r="2520" spans="1:28" ht="12.75">
      <c r="A2520" s="547" t="s">
        <v>741</v>
      </c>
      <c r="B2520" s="547" t="s">
        <v>202</v>
      </c>
      <c r="C2520" s="548" t="s">
        <v>799</v>
      </c>
      <c r="D2520" s="549">
        <v>2013</v>
      </c>
      <c r="E2520" s="549" t="s">
        <v>775</v>
      </c>
      <c r="F2520" s="550">
        <v>248</v>
      </c>
      <c r="G2520" s="550">
        <v>0</v>
      </c>
      <c r="H2520" s="550">
        <v>0</v>
      </c>
      <c r="I2520" s="550">
        <v>0</v>
      </c>
      <c r="J2520" s="550">
        <v>174</v>
      </c>
      <c r="K2520" s="550">
        <v>3</v>
      </c>
      <c r="L2520" s="550">
        <v>0</v>
      </c>
      <c r="M2520" s="550">
        <v>3</v>
      </c>
      <c r="N2520" s="550">
        <v>198</v>
      </c>
      <c r="O2520" s="550">
        <v>13</v>
      </c>
      <c r="P2520" s="550">
        <v>446</v>
      </c>
      <c r="Q2520" s="550">
        <v>38</v>
      </c>
      <c r="R2520" s="574" t="s">
        <v>741</v>
      </c>
      <c r="S2520" s="552"/>
      <c r="T2520" s="552"/>
      <c r="U2520" s="552"/>
      <c r="V2520" s="552"/>
      <c r="W2520" s="552"/>
      <c r="X2520" s="552"/>
      <c r="Y2520" s="552"/>
      <c r="Z2520" s="552"/>
      <c r="AA2520" s="553"/>
      <c r="AB2520" s="553"/>
    </row>
    <row r="2521" spans="1:28" ht="12.75">
      <c r="A2521" s="547" t="s">
        <v>741</v>
      </c>
      <c r="B2521" s="547" t="s">
        <v>202</v>
      </c>
      <c r="C2521" s="548" t="s">
        <v>799</v>
      </c>
      <c r="D2521" s="549">
        <v>2014</v>
      </c>
      <c r="E2521" s="549" t="s">
        <v>775</v>
      </c>
      <c r="F2521" s="550">
        <v>248</v>
      </c>
      <c r="G2521" s="550">
        <v>0</v>
      </c>
      <c r="H2521" s="550">
        <v>0</v>
      </c>
      <c r="I2521" s="550">
        <v>0</v>
      </c>
      <c r="J2521" s="550">
        <v>174</v>
      </c>
      <c r="K2521" s="550">
        <v>2</v>
      </c>
      <c r="L2521" s="550">
        <v>0</v>
      </c>
      <c r="M2521" s="550">
        <v>2</v>
      </c>
      <c r="N2521" s="550">
        <v>198</v>
      </c>
      <c r="O2521" s="550">
        <v>5</v>
      </c>
      <c r="P2521" s="550">
        <v>446</v>
      </c>
      <c r="Q2521" s="550">
        <v>6</v>
      </c>
      <c r="R2521" s="574" t="s">
        <v>741</v>
      </c>
      <c r="S2521" s="552"/>
      <c r="T2521" s="552"/>
      <c r="U2521" s="552"/>
      <c r="V2521" s="552"/>
      <c r="W2521" s="552"/>
      <c r="X2521" s="552"/>
      <c r="Y2521" s="552"/>
      <c r="Z2521" s="552"/>
      <c r="AA2521" s="553"/>
      <c r="AB2521" s="553"/>
    </row>
    <row r="2522" spans="1:28" ht="12.75">
      <c r="A2522" s="547" t="s">
        <v>741</v>
      </c>
      <c r="B2522" s="547" t="s">
        <v>202</v>
      </c>
      <c r="C2522" s="548" t="s">
        <v>799</v>
      </c>
      <c r="D2522" s="549">
        <v>2015</v>
      </c>
      <c r="E2522" s="549" t="s">
        <v>775</v>
      </c>
      <c r="F2522" s="550">
        <v>248</v>
      </c>
      <c r="G2522" s="550">
        <v>0</v>
      </c>
      <c r="H2522" s="550">
        <v>0</v>
      </c>
      <c r="I2522" s="550">
        <v>0</v>
      </c>
      <c r="J2522" s="550">
        <v>174</v>
      </c>
      <c r="K2522" s="550">
        <v>8</v>
      </c>
      <c r="L2522" s="550">
        <v>0</v>
      </c>
      <c r="M2522" s="550">
        <v>8</v>
      </c>
      <c r="N2522" s="550">
        <v>198</v>
      </c>
      <c r="O2522" s="550">
        <v>3</v>
      </c>
      <c r="P2522" s="550">
        <v>446</v>
      </c>
      <c r="Q2522" s="550">
        <v>94</v>
      </c>
      <c r="R2522" s="574" t="s">
        <v>741</v>
      </c>
      <c r="S2522" s="552"/>
      <c r="T2522" s="552"/>
      <c r="U2522" s="552"/>
      <c r="V2522" s="552"/>
      <c r="W2522" s="552"/>
      <c r="X2522" s="552"/>
      <c r="Y2522" s="552"/>
      <c r="Z2522" s="552"/>
      <c r="AA2522" s="553"/>
      <c r="AB2522" s="553"/>
    </row>
    <row r="2523" spans="1:28" ht="12.75">
      <c r="A2523" s="547" t="s">
        <v>741</v>
      </c>
      <c r="B2523" s="547" t="s">
        <v>202</v>
      </c>
      <c r="C2523" s="548" t="s">
        <v>799</v>
      </c>
      <c r="D2523" s="549">
        <v>2016</v>
      </c>
      <c r="E2523" s="549" t="s">
        <v>775</v>
      </c>
      <c r="F2523" s="550">
        <v>248</v>
      </c>
      <c r="G2523" s="550">
        <v>42</v>
      </c>
      <c r="H2523" s="550">
        <v>42</v>
      </c>
      <c r="I2523" s="550">
        <v>0</v>
      </c>
      <c r="J2523" s="550">
        <v>174</v>
      </c>
      <c r="K2523" s="550">
        <v>27</v>
      </c>
      <c r="L2523" s="550">
        <v>19</v>
      </c>
      <c r="M2523" s="550">
        <v>8</v>
      </c>
      <c r="N2523" s="550">
        <v>198</v>
      </c>
      <c r="O2523" s="550">
        <v>16</v>
      </c>
      <c r="P2523" s="550">
        <v>446</v>
      </c>
      <c r="Q2523" s="550">
        <v>183</v>
      </c>
      <c r="R2523" s="574" t="s">
        <v>741</v>
      </c>
      <c r="S2523" s="552"/>
      <c r="T2523" s="552"/>
      <c r="U2523" s="552"/>
      <c r="V2523" s="552"/>
      <c r="W2523" s="552"/>
      <c r="X2523" s="552"/>
      <c r="Y2523" s="552"/>
      <c r="Z2523" s="552"/>
      <c r="AA2523" s="553"/>
      <c r="AB2523" s="553"/>
    </row>
    <row r="2524" spans="1:28" ht="12.75">
      <c r="A2524" s="547" t="s">
        <v>741</v>
      </c>
      <c r="B2524" s="547" t="s">
        <v>202</v>
      </c>
      <c r="C2524" s="548" t="s">
        <v>799</v>
      </c>
      <c r="D2524" s="549">
        <v>2017</v>
      </c>
      <c r="E2524" s="549" t="s">
        <v>775</v>
      </c>
      <c r="F2524" s="550">
        <v>248</v>
      </c>
      <c r="G2524" s="550">
        <v>1</v>
      </c>
      <c r="H2524" s="550">
        <v>1</v>
      </c>
      <c r="I2524" s="550">
        <v>0</v>
      </c>
      <c r="J2524" s="550">
        <v>174</v>
      </c>
      <c r="K2524" s="550">
        <v>10</v>
      </c>
      <c r="L2524" s="550">
        <v>10</v>
      </c>
      <c r="M2524" s="550">
        <v>0</v>
      </c>
      <c r="N2524" s="550">
        <v>198</v>
      </c>
      <c r="O2524" s="550">
        <v>15</v>
      </c>
      <c r="P2524" s="550">
        <v>446</v>
      </c>
      <c r="Q2524" s="550">
        <v>188</v>
      </c>
      <c r="R2524" s="574" t="s">
        <v>741</v>
      </c>
      <c r="S2524" s="552"/>
      <c r="T2524" s="552"/>
      <c r="U2524" s="552"/>
      <c r="V2524" s="552"/>
      <c r="W2524" s="552"/>
      <c r="X2524" s="552"/>
      <c r="Y2524" s="552"/>
      <c r="Z2524" s="552"/>
      <c r="AA2524" s="553"/>
      <c r="AB2524" s="553"/>
    </row>
    <row r="2525" spans="1:28" ht="12.75">
      <c r="A2525" s="547" t="s">
        <v>741</v>
      </c>
      <c r="B2525" s="547" t="s">
        <v>202</v>
      </c>
      <c r="C2525" s="548" t="s">
        <v>799</v>
      </c>
      <c r="D2525" s="549">
        <v>2018</v>
      </c>
      <c r="E2525" s="549" t="s">
        <v>775</v>
      </c>
      <c r="F2525" s="550">
        <v>248</v>
      </c>
      <c r="G2525" s="550">
        <v>58</v>
      </c>
      <c r="H2525" s="550">
        <v>58</v>
      </c>
      <c r="I2525" s="550">
        <v>0</v>
      </c>
      <c r="J2525" s="550">
        <v>174</v>
      </c>
      <c r="K2525" s="550">
        <v>32</v>
      </c>
      <c r="L2525" s="550">
        <v>32</v>
      </c>
      <c r="M2525" s="550">
        <v>0</v>
      </c>
      <c r="N2525" s="550">
        <v>198</v>
      </c>
      <c r="O2525" s="550">
        <v>16</v>
      </c>
      <c r="P2525" s="550">
        <v>446</v>
      </c>
      <c r="Q2525" s="550">
        <v>263</v>
      </c>
      <c r="R2525" s="574" t="s">
        <v>741</v>
      </c>
      <c r="S2525" s="552"/>
      <c r="T2525" s="552"/>
      <c r="U2525" s="552"/>
      <c r="V2525" s="552"/>
      <c r="W2525" s="552"/>
      <c r="X2525" s="552"/>
      <c r="Y2525" s="552"/>
      <c r="Z2525" s="552"/>
      <c r="AA2525" s="553"/>
      <c r="AB2525" s="553"/>
    </row>
    <row r="2526" spans="1:28" ht="12.75">
      <c r="A2526" s="547" t="s">
        <v>741</v>
      </c>
      <c r="B2526" s="547" t="s">
        <v>202</v>
      </c>
      <c r="C2526" s="548" t="s">
        <v>801</v>
      </c>
      <c r="D2526" s="549">
        <v>2019</v>
      </c>
      <c r="E2526" s="549" t="s">
        <v>775</v>
      </c>
      <c r="F2526" s="550">
        <v>248</v>
      </c>
      <c r="G2526" s="550">
        <v>8</v>
      </c>
      <c r="H2526" s="550">
        <v>8</v>
      </c>
      <c r="I2526" s="550">
        <v>0</v>
      </c>
      <c r="J2526" s="550">
        <v>174</v>
      </c>
      <c r="K2526" s="550">
        <v>69</v>
      </c>
      <c r="L2526" s="550">
        <v>47</v>
      </c>
      <c r="M2526" s="550">
        <v>22</v>
      </c>
      <c r="N2526" s="550">
        <v>198</v>
      </c>
      <c r="O2526" s="550">
        <v>169</v>
      </c>
      <c r="P2526" s="550">
        <v>446</v>
      </c>
      <c r="Q2526" s="550">
        <v>36</v>
      </c>
      <c r="R2526" s="574" t="s">
        <v>741</v>
      </c>
      <c r="S2526" s="552">
        <f>SUM(G2520:G2526) +SUM(K2520:K2526)</f>
        <v>260</v>
      </c>
      <c r="T2526" s="552">
        <f>F2526+J2526</f>
        <v>422</v>
      </c>
      <c r="U2526" s="552">
        <f>SUM(O2520:O2526)</f>
        <v>237</v>
      </c>
      <c r="V2526" s="552">
        <f>N2526</f>
        <v>198</v>
      </c>
      <c r="W2526" s="554">
        <f>SUM(Q2520:Q2526)</f>
        <v>808</v>
      </c>
      <c r="X2526" s="552">
        <f>P2526</f>
        <v>446</v>
      </c>
      <c r="Y2526" s="552">
        <f>S2526+U2526+SUM(Q2520:Q2526)</f>
        <v>1305</v>
      </c>
      <c r="Z2526" s="552">
        <f>F2526+J2526+N2526+P2526</f>
        <v>1066</v>
      </c>
      <c r="AA2526" s="553"/>
      <c r="AB2526" s="553"/>
    </row>
    <row r="2527" spans="1:28" ht="12.75">
      <c r="A2527" s="547" t="s">
        <v>742</v>
      </c>
      <c r="B2527" s="547" t="s">
        <v>202</v>
      </c>
      <c r="C2527" s="548" t="s">
        <v>799</v>
      </c>
      <c r="D2527" s="549">
        <v>2013</v>
      </c>
      <c r="E2527" s="549" t="s">
        <v>775</v>
      </c>
      <c r="F2527" s="550">
        <v>1316</v>
      </c>
      <c r="G2527" s="550">
        <v>69</v>
      </c>
      <c r="H2527" s="550">
        <v>69</v>
      </c>
      <c r="I2527" s="550">
        <v>0</v>
      </c>
      <c r="J2527" s="550">
        <v>923</v>
      </c>
      <c r="K2527" s="550">
        <v>0</v>
      </c>
      <c r="L2527" s="550">
        <v>0</v>
      </c>
      <c r="M2527" s="550">
        <v>0</v>
      </c>
      <c r="N2527" s="550">
        <v>1111</v>
      </c>
      <c r="O2527" s="550">
        <v>437</v>
      </c>
      <c r="P2527" s="550">
        <v>2627</v>
      </c>
      <c r="Q2527" s="550">
        <v>76</v>
      </c>
      <c r="R2527" s="574" t="s">
        <v>742</v>
      </c>
      <c r="S2527" s="552"/>
      <c r="T2527" s="552"/>
      <c r="U2527" s="552"/>
      <c r="V2527" s="552"/>
      <c r="W2527" s="552"/>
      <c r="X2527" s="552"/>
      <c r="Y2527" s="552"/>
      <c r="Z2527" s="552"/>
      <c r="AA2527" s="553"/>
      <c r="AB2527" s="553"/>
    </row>
    <row r="2528" spans="1:28" ht="12.75">
      <c r="A2528" s="547" t="s">
        <v>742</v>
      </c>
      <c r="B2528" s="547" t="s">
        <v>202</v>
      </c>
      <c r="C2528" s="548" t="s">
        <v>799</v>
      </c>
      <c r="D2528" s="549">
        <v>2014</v>
      </c>
      <c r="E2528" s="549" t="s">
        <v>775</v>
      </c>
      <c r="F2528" s="550">
        <v>1316</v>
      </c>
      <c r="G2528" s="550">
        <v>0</v>
      </c>
      <c r="H2528" s="550">
        <v>0</v>
      </c>
      <c r="I2528" s="550">
        <v>0</v>
      </c>
      <c r="J2528" s="550">
        <v>923</v>
      </c>
      <c r="K2528" s="550">
        <v>0</v>
      </c>
      <c r="L2528" s="550">
        <v>0</v>
      </c>
      <c r="M2528" s="550">
        <v>0</v>
      </c>
      <c r="N2528" s="550">
        <v>1111</v>
      </c>
      <c r="O2528" s="550">
        <v>42</v>
      </c>
      <c r="P2528" s="550">
        <v>2627</v>
      </c>
      <c r="Q2528" s="550">
        <v>20</v>
      </c>
      <c r="R2528" s="574" t="s">
        <v>742</v>
      </c>
      <c r="S2528" s="552"/>
      <c r="T2528" s="552"/>
      <c r="U2528" s="552"/>
      <c r="V2528" s="552"/>
      <c r="W2528" s="552"/>
      <c r="X2528" s="552"/>
      <c r="Y2528" s="552"/>
      <c r="Z2528" s="552"/>
      <c r="AA2528" s="553"/>
      <c r="AB2528" s="553"/>
    </row>
    <row r="2529" spans="1:28" ht="12.75">
      <c r="A2529" s="547" t="s">
        <v>742</v>
      </c>
      <c r="B2529" s="547" t="s">
        <v>202</v>
      </c>
      <c r="C2529" s="548" t="s">
        <v>799</v>
      </c>
      <c r="D2529" s="549">
        <v>2015</v>
      </c>
      <c r="E2529" s="549" t="s">
        <v>775</v>
      </c>
      <c r="F2529" s="550">
        <v>1316</v>
      </c>
      <c r="G2529" s="550">
        <v>58</v>
      </c>
      <c r="H2529" s="550">
        <v>58</v>
      </c>
      <c r="I2529" s="550">
        <v>0</v>
      </c>
      <c r="J2529" s="550">
        <v>923</v>
      </c>
      <c r="K2529" s="550">
        <v>18</v>
      </c>
      <c r="L2529" s="550">
        <v>18</v>
      </c>
      <c r="M2529" s="550">
        <v>0</v>
      </c>
      <c r="N2529" s="550">
        <v>1111</v>
      </c>
      <c r="O2529" s="550">
        <v>42</v>
      </c>
      <c r="P2529" s="550">
        <v>2627</v>
      </c>
      <c r="Q2529" s="550">
        <v>19</v>
      </c>
      <c r="R2529" s="574" t="s">
        <v>742</v>
      </c>
      <c r="S2529" s="552"/>
      <c r="T2529" s="552"/>
      <c r="U2529" s="552"/>
      <c r="V2529" s="552"/>
      <c r="W2529" s="552"/>
      <c r="X2529" s="552"/>
      <c r="Y2529" s="552"/>
      <c r="Z2529" s="552"/>
      <c r="AA2529" s="553"/>
      <c r="AB2529" s="553"/>
    </row>
    <row r="2530" spans="1:28" ht="12.75">
      <c r="A2530" s="547" t="s">
        <v>742</v>
      </c>
      <c r="B2530" s="547" t="s">
        <v>202</v>
      </c>
      <c r="C2530" s="548" t="s">
        <v>799</v>
      </c>
      <c r="D2530" s="549">
        <v>2016</v>
      </c>
      <c r="E2530" s="549" t="s">
        <v>775</v>
      </c>
      <c r="F2530" s="550">
        <v>1316</v>
      </c>
      <c r="G2530" s="550">
        <v>0</v>
      </c>
      <c r="H2530" s="550">
        <v>0</v>
      </c>
      <c r="I2530" s="550">
        <v>0</v>
      </c>
      <c r="J2530" s="550">
        <v>923</v>
      </c>
      <c r="K2530" s="550">
        <v>0</v>
      </c>
      <c r="L2530" s="550">
        <v>0</v>
      </c>
      <c r="M2530" s="550">
        <v>0</v>
      </c>
      <c r="N2530" s="550">
        <v>1111</v>
      </c>
      <c r="O2530" s="550">
        <v>83</v>
      </c>
      <c r="P2530" s="550">
        <v>2627</v>
      </c>
      <c r="Q2530" s="550">
        <v>20</v>
      </c>
      <c r="R2530" s="574" t="s">
        <v>742</v>
      </c>
      <c r="S2530" s="552"/>
      <c r="T2530" s="552"/>
      <c r="U2530" s="552"/>
      <c r="V2530" s="552"/>
      <c r="W2530" s="552"/>
      <c r="X2530" s="552"/>
      <c r="Y2530" s="552"/>
      <c r="Z2530" s="552"/>
      <c r="AA2530" s="553"/>
      <c r="AB2530" s="553"/>
    </row>
    <row r="2531" spans="1:28" ht="12.75">
      <c r="A2531" s="547" t="s">
        <v>742</v>
      </c>
      <c r="B2531" s="547" t="s">
        <v>202</v>
      </c>
      <c r="C2531" s="548" t="s">
        <v>799</v>
      </c>
      <c r="D2531" s="549">
        <v>2017</v>
      </c>
      <c r="E2531" s="549" t="s">
        <v>775</v>
      </c>
      <c r="F2531" s="550">
        <v>1316</v>
      </c>
      <c r="G2531" s="550">
        <v>0</v>
      </c>
      <c r="H2531" s="550">
        <v>0</v>
      </c>
      <c r="I2531" s="550">
        <v>0</v>
      </c>
      <c r="J2531" s="550">
        <v>923</v>
      </c>
      <c r="K2531" s="550">
        <v>0</v>
      </c>
      <c r="L2531" s="550">
        <v>0</v>
      </c>
      <c r="M2531" s="550">
        <v>0</v>
      </c>
      <c r="N2531" s="550">
        <v>1111</v>
      </c>
      <c r="O2531" s="550">
        <v>125</v>
      </c>
      <c r="P2531" s="550">
        <v>2627</v>
      </c>
      <c r="Q2531" s="550">
        <v>12</v>
      </c>
      <c r="R2531" s="574" t="s">
        <v>742</v>
      </c>
      <c r="S2531" s="552"/>
      <c r="T2531" s="552"/>
      <c r="U2531" s="552"/>
      <c r="V2531" s="552"/>
      <c r="W2531" s="552"/>
      <c r="X2531" s="552"/>
      <c r="Y2531" s="552"/>
      <c r="Z2531" s="552"/>
      <c r="AA2531" s="553"/>
      <c r="AB2531" s="553"/>
    </row>
    <row r="2532" spans="1:28" ht="12.75">
      <c r="A2532" s="547" t="s">
        <v>742</v>
      </c>
      <c r="B2532" s="547" t="s">
        <v>202</v>
      </c>
      <c r="C2532" s="548" t="s">
        <v>799</v>
      </c>
      <c r="D2532" s="549">
        <v>2018</v>
      </c>
      <c r="E2532" s="549" t="s">
        <v>775</v>
      </c>
      <c r="F2532" s="550">
        <v>1316</v>
      </c>
      <c r="G2532" s="550">
        <v>0</v>
      </c>
      <c r="H2532" s="550">
        <v>0</v>
      </c>
      <c r="I2532" s="550">
        <v>0</v>
      </c>
      <c r="J2532" s="550">
        <v>923</v>
      </c>
      <c r="K2532" s="550">
        <v>4</v>
      </c>
      <c r="L2532" s="550">
        <v>0</v>
      </c>
      <c r="M2532" s="550">
        <v>4</v>
      </c>
      <c r="N2532" s="550">
        <v>1111</v>
      </c>
      <c r="O2532" s="550">
        <v>106</v>
      </c>
      <c r="P2532" s="550">
        <v>2627</v>
      </c>
      <c r="Q2532" s="550">
        <v>44</v>
      </c>
      <c r="R2532" s="574" t="s">
        <v>742</v>
      </c>
      <c r="S2532" s="552"/>
      <c r="T2532" s="552"/>
      <c r="U2532" s="552"/>
      <c r="V2532" s="552"/>
      <c r="W2532" s="552"/>
      <c r="X2532" s="552"/>
      <c r="Y2532" s="552"/>
      <c r="Z2532" s="552"/>
      <c r="AA2532" s="553"/>
      <c r="AB2532" s="553"/>
    </row>
    <row r="2533" spans="1:28" ht="12.75">
      <c r="A2533" s="547" t="s">
        <v>742</v>
      </c>
      <c r="B2533" s="547" t="s">
        <v>202</v>
      </c>
      <c r="C2533" s="548" t="s">
        <v>801</v>
      </c>
      <c r="D2533" s="549">
        <v>2019</v>
      </c>
      <c r="E2533" s="549" t="s">
        <v>775</v>
      </c>
      <c r="F2533" s="550">
        <v>1316</v>
      </c>
      <c r="G2533" s="550">
        <v>0</v>
      </c>
      <c r="H2533" s="550">
        <v>0</v>
      </c>
      <c r="I2533" s="550">
        <v>0</v>
      </c>
      <c r="J2533" s="550">
        <v>923</v>
      </c>
      <c r="K2533" s="550">
        <v>0</v>
      </c>
      <c r="L2533" s="550">
        <v>0</v>
      </c>
      <c r="M2533" s="550">
        <v>0</v>
      </c>
      <c r="N2533" s="550">
        <v>1111</v>
      </c>
      <c r="O2533" s="550">
        <v>59</v>
      </c>
      <c r="P2533" s="550">
        <v>2627</v>
      </c>
      <c r="Q2533" s="550">
        <v>260</v>
      </c>
      <c r="R2533" s="574" t="s">
        <v>742</v>
      </c>
      <c r="S2533" s="552">
        <f>SUM(G2527:G2533) +SUM(K2527:K2533)</f>
        <v>149</v>
      </c>
      <c r="T2533" s="552">
        <f>F2533+J2533</f>
        <v>2239</v>
      </c>
      <c r="U2533" s="552">
        <f>SUM(O2527:O2533)</f>
        <v>894</v>
      </c>
      <c r="V2533" s="552">
        <f>N2533</f>
        <v>1111</v>
      </c>
      <c r="W2533" s="554">
        <f>SUM(Q2527:Q2533)</f>
        <v>451</v>
      </c>
      <c r="X2533" s="552">
        <f>P2533</f>
        <v>2627</v>
      </c>
      <c r="Y2533" s="552">
        <f>S2533+U2533+SUM(Q2527:Q2533)</f>
        <v>1494</v>
      </c>
      <c r="Z2533" s="552">
        <f>F2533+J2533+N2533+P2533</f>
        <v>5977</v>
      </c>
      <c r="AA2533" s="553"/>
      <c r="AB2533" s="553"/>
    </row>
    <row r="2534" spans="1:28" ht="12.75">
      <c r="A2534" s="547" t="s">
        <v>743</v>
      </c>
      <c r="B2534" s="547" t="s">
        <v>202</v>
      </c>
      <c r="C2534" s="548" t="s">
        <v>799</v>
      </c>
      <c r="D2534" s="549">
        <v>2013</v>
      </c>
      <c r="E2534" s="549" t="s">
        <v>775</v>
      </c>
      <c r="F2534" s="550">
        <v>76</v>
      </c>
      <c r="G2534" s="550">
        <v>0</v>
      </c>
      <c r="H2534" s="550">
        <v>0</v>
      </c>
      <c r="I2534" s="550">
        <v>0</v>
      </c>
      <c r="J2534" s="550">
        <v>54</v>
      </c>
      <c r="K2534" s="550">
        <v>0</v>
      </c>
      <c r="L2534" s="550">
        <v>0</v>
      </c>
      <c r="M2534" s="550">
        <v>0</v>
      </c>
      <c r="N2534" s="550">
        <v>59</v>
      </c>
      <c r="O2534" s="550">
        <v>1</v>
      </c>
      <c r="P2534" s="550">
        <v>130</v>
      </c>
      <c r="Q2534" s="550">
        <v>0</v>
      </c>
      <c r="R2534" s="574" t="s">
        <v>743</v>
      </c>
      <c r="S2534" s="552"/>
      <c r="T2534" s="552"/>
      <c r="U2534" s="552"/>
      <c r="V2534" s="552"/>
      <c r="W2534" s="552"/>
      <c r="X2534" s="552"/>
      <c r="Y2534" s="552"/>
      <c r="Z2534" s="552"/>
      <c r="AA2534" s="553"/>
      <c r="AB2534" s="553"/>
    </row>
    <row r="2535" spans="1:28" ht="12.75">
      <c r="A2535" s="547" t="s">
        <v>743</v>
      </c>
      <c r="B2535" s="547" t="s">
        <v>202</v>
      </c>
      <c r="C2535" s="548" t="s">
        <v>799</v>
      </c>
      <c r="D2535" s="549">
        <v>2014</v>
      </c>
      <c r="E2535" s="549" t="s">
        <v>775</v>
      </c>
      <c r="F2535" s="550">
        <v>76</v>
      </c>
      <c r="G2535" s="550">
        <v>0</v>
      </c>
      <c r="H2535" s="550">
        <v>0</v>
      </c>
      <c r="I2535" s="550">
        <v>0</v>
      </c>
      <c r="J2535" s="550">
        <v>54</v>
      </c>
      <c r="K2535" s="550">
        <v>0</v>
      </c>
      <c r="L2535" s="550">
        <v>0</v>
      </c>
      <c r="M2535" s="550">
        <v>0</v>
      </c>
      <c r="N2535" s="550">
        <v>59</v>
      </c>
      <c r="O2535" s="550">
        <v>0</v>
      </c>
      <c r="P2535" s="550">
        <v>130</v>
      </c>
      <c r="Q2535" s="550">
        <v>0</v>
      </c>
      <c r="R2535" s="574" t="s">
        <v>743</v>
      </c>
      <c r="S2535" s="552"/>
      <c r="T2535" s="552"/>
      <c r="U2535" s="552"/>
      <c r="V2535" s="552"/>
      <c r="W2535" s="552"/>
      <c r="X2535" s="552"/>
      <c r="Y2535" s="552"/>
      <c r="Z2535" s="552"/>
      <c r="AA2535" s="553"/>
      <c r="AB2535" s="553"/>
    </row>
    <row r="2536" spans="1:28" ht="12.75">
      <c r="A2536" s="547" t="s">
        <v>743</v>
      </c>
      <c r="B2536" s="547" t="s">
        <v>202</v>
      </c>
      <c r="C2536" s="548" t="s">
        <v>799</v>
      </c>
      <c r="D2536" s="549">
        <v>2015</v>
      </c>
      <c r="E2536" s="549" t="s">
        <v>775</v>
      </c>
      <c r="F2536" s="550">
        <v>76</v>
      </c>
      <c r="G2536" s="550">
        <v>0</v>
      </c>
      <c r="H2536" s="550">
        <v>0</v>
      </c>
      <c r="I2536" s="550">
        <v>0</v>
      </c>
      <c r="J2536" s="550">
        <v>54</v>
      </c>
      <c r="K2536" s="550">
        <v>0</v>
      </c>
      <c r="L2536" s="550">
        <v>0</v>
      </c>
      <c r="M2536" s="550">
        <v>0</v>
      </c>
      <c r="N2536" s="550">
        <v>59</v>
      </c>
      <c r="O2536" s="550">
        <v>0</v>
      </c>
      <c r="P2536" s="550">
        <v>130</v>
      </c>
      <c r="Q2536" s="550">
        <v>32</v>
      </c>
      <c r="R2536" s="574" t="s">
        <v>743</v>
      </c>
      <c r="S2536" s="552"/>
      <c r="T2536" s="552"/>
      <c r="U2536" s="552"/>
      <c r="V2536" s="552"/>
      <c r="W2536" s="552"/>
      <c r="X2536" s="552"/>
      <c r="Y2536" s="552"/>
      <c r="Z2536" s="552"/>
      <c r="AA2536" s="553"/>
      <c r="AB2536" s="553"/>
    </row>
    <row r="2537" spans="1:28" ht="12.75">
      <c r="A2537" s="547" t="s">
        <v>743</v>
      </c>
      <c r="B2537" s="547" t="s">
        <v>202</v>
      </c>
      <c r="C2537" s="548" t="s">
        <v>799</v>
      </c>
      <c r="D2537" s="549">
        <v>2016</v>
      </c>
      <c r="E2537" s="549" t="s">
        <v>775</v>
      </c>
      <c r="F2537" s="550">
        <v>76</v>
      </c>
      <c r="G2537" s="550">
        <v>0</v>
      </c>
      <c r="H2537" s="550">
        <v>0</v>
      </c>
      <c r="I2537" s="550">
        <v>0</v>
      </c>
      <c r="J2537" s="550">
        <v>54</v>
      </c>
      <c r="K2537" s="550">
        <v>0</v>
      </c>
      <c r="L2537" s="550">
        <v>0</v>
      </c>
      <c r="M2537" s="550">
        <v>0</v>
      </c>
      <c r="N2537" s="550">
        <v>59</v>
      </c>
      <c r="O2537" s="550">
        <v>7</v>
      </c>
      <c r="P2537" s="550">
        <v>130</v>
      </c>
      <c r="Q2537" s="550">
        <v>26</v>
      </c>
      <c r="R2537" s="574" t="s">
        <v>743</v>
      </c>
      <c r="S2537" s="552"/>
      <c r="T2537" s="552"/>
      <c r="U2537" s="552"/>
      <c r="V2537" s="552"/>
      <c r="W2537" s="552"/>
      <c r="X2537" s="552"/>
      <c r="Y2537" s="552"/>
      <c r="Z2537" s="552"/>
      <c r="AA2537" s="553"/>
      <c r="AB2537" s="553"/>
    </row>
    <row r="2538" spans="1:28" ht="12.75">
      <c r="A2538" s="547" t="s">
        <v>743</v>
      </c>
      <c r="B2538" s="547" t="s">
        <v>202</v>
      </c>
      <c r="C2538" s="548" t="s">
        <v>799</v>
      </c>
      <c r="D2538" s="549">
        <v>2017</v>
      </c>
      <c r="E2538" s="549" t="s">
        <v>775</v>
      </c>
      <c r="F2538" s="550">
        <v>76</v>
      </c>
      <c r="G2538" s="550">
        <v>0</v>
      </c>
      <c r="H2538" s="550">
        <v>0</v>
      </c>
      <c r="I2538" s="550">
        <v>0</v>
      </c>
      <c r="J2538" s="550">
        <v>54</v>
      </c>
      <c r="K2538" s="550">
        <v>0</v>
      </c>
      <c r="L2538" s="550">
        <v>0</v>
      </c>
      <c r="M2538" s="550">
        <v>0</v>
      </c>
      <c r="N2538" s="550">
        <v>59</v>
      </c>
      <c r="O2538" s="550">
        <v>0</v>
      </c>
      <c r="P2538" s="550">
        <v>130</v>
      </c>
      <c r="Q2538" s="550">
        <v>11</v>
      </c>
      <c r="R2538" s="574" t="s">
        <v>743</v>
      </c>
      <c r="S2538" s="552"/>
      <c r="T2538" s="552"/>
      <c r="U2538" s="552"/>
      <c r="V2538" s="552"/>
      <c r="W2538" s="552"/>
      <c r="X2538" s="552"/>
      <c r="Y2538" s="552"/>
      <c r="Z2538" s="552"/>
      <c r="AA2538" s="553"/>
      <c r="AB2538" s="553"/>
    </row>
    <row r="2539" spans="1:28" ht="12.75">
      <c r="A2539" s="547" t="s">
        <v>743</v>
      </c>
      <c r="B2539" s="547" t="s">
        <v>202</v>
      </c>
      <c r="C2539" s="548" t="s">
        <v>799</v>
      </c>
      <c r="D2539" s="549">
        <v>2018</v>
      </c>
      <c r="E2539" s="549" t="s">
        <v>775</v>
      </c>
      <c r="F2539" s="550">
        <v>76</v>
      </c>
      <c r="G2539" s="550">
        <v>0</v>
      </c>
      <c r="H2539" s="550">
        <v>0</v>
      </c>
      <c r="I2539" s="550">
        <v>0</v>
      </c>
      <c r="J2539" s="550">
        <v>54</v>
      </c>
      <c r="K2539" s="550">
        <v>0</v>
      </c>
      <c r="L2539" s="550">
        <v>0</v>
      </c>
      <c r="M2539" s="550">
        <v>0</v>
      </c>
      <c r="N2539" s="550">
        <v>59</v>
      </c>
      <c r="O2539" s="550">
        <v>0</v>
      </c>
      <c r="P2539" s="550">
        <v>130</v>
      </c>
      <c r="Q2539" s="550">
        <v>36</v>
      </c>
      <c r="R2539" s="574" t="s">
        <v>743</v>
      </c>
      <c r="S2539" s="552"/>
      <c r="T2539" s="552"/>
      <c r="U2539" s="552"/>
      <c r="V2539" s="552"/>
      <c r="W2539" s="552"/>
      <c r="X2539" s="552"/>
      <c r="Y2539" s="552"/>
      <c r="Z2539" s="552"/>
      <c r="AA2539" s="553"/>
      <c r="AB2539" s="553"/>
    </row>
    <row r="2540" spans="1:28" ht="12.75">
      <c r="A2540" s="547" t="s">
        <v>743</v>
      </c>
      <c r="B2540" s="547" t="s">
        <v>202</v>
      </c>
      <c r="C2540" s="548" t="s">
        <v>801</v>
      </c>
      <c r="D2540" s="549">
        <v>2019</v>
      </c>
      <c r="E2540" s="549" t="s">
        <v>775</v>
      </c>
      <c r="F2540" s="550">
        <v>76</v>
      </c>
      <c r="G2540" s="550">
        <v>47</v>
      </c>
      <c r="H2540" s="550">
        <v>47</v>
      </c>
      <c r="I2540" s="550">
        <v>0</v>
      </c>
      <c r="J2540" s="550">
        <v>54</v>
      </c>
      <c r="K2540" s="550">
        <v>15</v>
      </c>
      <c r="L2540" s="550">
        <v>15</v>
      </c>
      <c r="M2540" s="550">
        <v>0</v>
      </c>
      <c r="N2540" s="550">
        <v>59</v>
      </c>
      <c r="O2540" s="550">
        <v>2</v>
      </c>
      <c r="P2540" s="550">
        <v>130</v>
      </c>
      <c r="Q2540" s="550">
        <v>69</v>
      </c>
      <c r="R2540" s="574" t="s">
        <v>743</v>
      </c>
      <c r="S2540" s="552">
        <f>SUM(G2534:G2540) +SUM(K2534:K2540)</f>
        <v>62</v>
      </c>
      <c r="T2540" s="552">
        <f>F2540+J2540</f>
        <v>130</v>
      </c>
      <c r="U2540" s="552">
        <f>SUM(O2534:O2540)</f>
        <v>10</v>
      </c>
      <c r="V2540" s="552">
        <f>N2540</f>
        <v>59</v>
      </c>
      <c r="W2540" s="554">
        <f>SUM(Q2534:Q2540)</f>
        <v>174</v>
      </c>
      <c r="X2540" s="552">
        <f>P2540</f>
        <v>130</v>
      </c>
      <c r="Y2540" s="552">
        <f>S2540+U2540+SUM(Q2534:Q2540)</f>
        <v>246</v>
      </c>
      <c r="Z2540" s="552">
        <f>F2540+J2540+N2540+P2540</f>
        <v>319</v>
      </c>
      <c r="AA2540" s="553"/>
      <c r="AB2540" s="553"/>
    </row>
    <row r="2541" spans="1:28" ht="12.75">
      <c r="A2541" s="547" t="s">
        <v>744</v>
      </c>
      <c r="B2541" s="547" t="s">
        <v>202</v>
      </c>
      <c r="C2541" s="548" t="s">
        <v>799</v>
      </c>
      <c r="D2541" s="549">
        <v>2013</v>
      </c>
      <c r="E2541" s="549" t="s">
        <v>775</v>
      </c>
      <c r="F2541" s="550">
        <v>390</v>
      </c>
      <c r="G2541" s="550">
        <v>46</v>
      </c>
      <c r="H2541" s="550">
        <v>46</v>
      </c>
      <c r="I2541" s="550">
        <v>0</v>
      </c>
      <c r="J2541" s="550">
        <v>274</v>
      </c>
      <c r="K2541" s="550">
        <v>16</v>
      </c>
      <c r="L2541" s="550">
        <v>16</v>
      </c>
      <c r="M2541" s="550">
        <v>0</v>
      </c>
      <c r="N2541" s="550">
        <v>349</v>
      </c>
      <c r="O2541" s="550">
        <v>1</v>
      </c>
      <c r="P2541" s="550">
        <v>864</v>
      </c>
      <c r="Q2541" s="550">
        <v>97</v>
      </c>
      <c r="R2541" s="574" t="s">
        <v>744</v>
      </c>
      <c r="S2541" s="552"/>
      <c r="T2541" s="552"/>
      <c r="U2541" s="552"/>
      <c r="V2541" s="552"/>
      <c r="W2541" s="552"/>
      <c r="X2541" s="552"/>
      <c r="Y2541" s="552"/>
      <c r="Z2541" s="552"/>
      <c r="AA2541" s="553"/>
      <c r="AB2541" s="553"/>
    </row>
    <row r="2542" spans="1:28" ht="12.75">
      <c r="A2542" s="547" t="s">
        <v>744</v>
      </c>
      <c r="B2542" s="547" t="s">
        <v>202</v>
      </c>
      <c r="C2542" s="548" t="s">
        <v>799</v>
      </c>
      <c r="D2542" s="549">
        <v>2014</v>
      </c>
      <c r="E2542" s="549" t="s">
        <v>775</v>
      </c>
      <c r="F2542" s="550">
        <v>390</v>
      </c>
      <c r="G2542" s="550">
        <v>0</v>
      </c>
      <c r="H2542" s="550">
        <v>0</v>
      </c>
      <c r="I2542" s="550">
        <v>0</v>
      </c>
      <c r="J2542" s="550">
        <v>274</v>
      </c>
      <c r="K2542" s="550">
        <v>0</v>
      </c>
      <c r="L2542" s="550">
        <v>0</v>
      </c>
      <c r="M2542" s="550">
        <v>0</v>
      </c>
      <c r="N2542" s="550">
        <v>349</v>
      </c>
      <c r="O2542" s="550">
        <v>32</v>
      </c>
      <c r="P2542" s="550">
        <v>864</v>
      </c>
      <c r="Q2542" s="550">
        <v>96</v>
      </c>
      <c r="R2542" s="574" t="s">
        <v>744</v>
      </c>
      <c r="S2542" s="552"/>
      <c r="T2542" s="552"/>
      <c r="U2542" s="552"/>
      <c r="V2542" s="552"/>
      <c r="W2542" s="552"/>
      <c r="X2542" s="552"/>
      <c r="Y2542" s="552"/>
      <c r="Z2542" s="552"/>
      <c r="AA2542" s="553"/>
      <c r="AB2542" s="553"/>
    </row>
    <row r="2543" spans="1:28" ht="12.75">
      <c r="A2543" s="547" t="s">
        <v>744</v>
      </c>
      <c r="B2543" s="547" t="s">
        <v>202</v>
      </c>
      <c r="C2543" s="548" t="s">
        <v>799</v>
      </c>
      <c r="D2543" s="549">
        <v>2015</v>
      </c>
      <c r="E2543" s="549" t="s">
        <v>775</v>
      </c>
      <c r="F2543" s="550">
        <v>390</v>
      </c>
      <c r="G2543" s="550">
        <v>0</v>
      </c>
      <c r="H2543" s="550">
        <v>0</v>
      </c>
      <c r="I2543" s="550">
        <v>0</v>
      </c>
      <c r="J2543" s="550">
        <v>274</v>
      </c>
      <c r="K2543" s="550">
        <v>1</v>
      </c>
      <c r="L2543" s="550">
        <v>1</v>
      </c>
      <c r="M2543" s="550">
        <v>0</v>
      </c>
      <c r="N2543" s="550">
        <v>349</v>
      </c>
      <c r="O2543" s="550">
        <v>37</v>
      </c>
      <c r="P2543" s="550">
        <v>864</v>
      </c>
      <c r="Q2543" s="550">
        <v>114</v>
      </c>
      <c r="R2543" s="574" t="s">
        <v>744</v>
      </c>
      <c r="S2543" s="552"/>
      <c r="T2543" s="552"/>
      <c r="U2543" s="552"/>
      <c r="V2543" s="552"/>
      <c r="W2543" s="552"/>
      <c r="X2543" s="552"/>
      <c r="Y2543" s="552"/>
      <c r="Z2543" s="552"/>
      <c r="AA2543" s="553"/>
      <c r="AB2543" s="553"/>
    </row>
    <row r="2544" spans="1:28" ht="12.75">
      <c r="A2544" s="547" t="s">
        <v>744</v>
      </c>
      <c r="B2544" s="547" t="s">
        <v>202</v>
      </c>
      <c r="C2544" s="548" t="s">
        <v>799</v>
      </c>
      <c r="D2544" s="549">
        <v>2016</v>
      </c>
      <c r="E2544" s="549" t="s">
        <v>775</v>
      </c>
      <c r="F2544" s="550">
        <v>390</v>
      </c>
      <c r="G2544" s="550">
        <v>0</v>
      </c>
      <c r="H2544" s="550">
        <v>0</v>
      </c>
      <c r="I2544" s="550">
        <v>0</v>
      </c>
      <c r="J2544" s="550">
        <v>274</v>
      </c>
      <c r="K2544" s="550">
        <v>1</v>
      </c>
      <c r="L2544" s="550">
        <v>1</v>
      </c>
      <c r="M2544" s="550">
        <v>0</v>
      </c>
      <c r="N2544" s="550">
        <v>349</v>
      </c>
      <c r="O2544" s="550">
        <v>67</v>
      </c>
      <c r="P2544" s="550">
        <v>864</v>
      </c>
      <c r="Q2544" s="550">
        <v>199</v>
      </c>
      <c r="R2544" s="574" t="s">
        <v>744</v>
      </c>
      <c r="S2544" s="552"/>
      <c r="T2544" s="552"/>
      <c r="U2544" s="552"/>
      <c r="V2544" s="552"/>
      <c r="W2544" s="552"/>
      <c r="X2544" s="552"/>
      <c r="Y2544" s="552"/>
      <c r="Z2544" s="552"/>
      <c r="AA2544" s="553"/>
      <c r="AB2544" s="553"/>
    </row>
    <row r="2545" spans="1:28" ht="12.75">
      <c r="A2545" s="547" t="s">
        <v>744</v>
      </c>
      <c r="B2545" s="547" t="s">
        <v>202</v>
      </c>
      <c r="C2545" s="548" t="s">
        <v>799</v>
      </c>
      <c r="D2545" s="549">
        <v>2017</v>
      </c>
      <c r="E2545" s="549" t="s">
        <v>775</v>
      </c>
      <c r="F2545" s="550">
        <v>390</v>
      </c>
      <c r="G2545" s="550">
        <v>79</v>
      </c>
      <c r="H2545" s="550">
        <v>79</v>
      </c>
      <c r="I2545" s="550">
        <v>0</v>
      </c>
      <c r="J2545" s="550">
        <v>274</v>
      </c>
      <c r="K2545" s="550">
        <v>0</v>
      </c>
      <c r="L2545" s="550">
        <v>0</v>
      </c>
      <c r="M2545" s="550">
        <v>0</v>
      </c>
      <c r="N2545" s="550">
        <v>349</v>
      </c>
      <c r="O2545" s="550">
        <v>32</v>
      </c>
      <c r="P2545" s="550">
        <v>864</v>
      </c>
      <c r="Q2545" s="550">
        <v>99</v>
      </c>
      <c r="R2545" s="574" t="s">
        <v>744</v>
      </c>
      <c r="S2545" s="552"/>
      <c r="T2545" s="552"/>
      <c r="U2545" s="552"/>
      <c r="V2545" s="552"/>
      <c r="W2545" s="552"/>
      <c r="X2545" s="552"/>
      <c r="Y2545" s="552"/>
      <c r="Z2545" s="552"/>
      <c r="AA2545" s="553"/>
      <c r="AB2545" s="553"/>
    </row>
    <row r="2546" spans="1:28" ht="12.75">
      <c r="A2546" s="547" t="s">
        <v>744</v>
      </c>
      <c r="B2546" s="547" t="s">
        <v>202</v>
      </c>
      <c r="C2546" s="548" t="s">
        <v>799</v>
      </c>
      <c r="D2546" s="549">
        <v>2018</v>
      </c>
      <c r="E2546" s="549" t="s">
        <v>775</v>
      </c>
      <c r="F2546" s="550">
        <v>390</v>
      </c>
      <c r="G2546" s="550">
        <v>0</v>
      </c>
      <c r="H2546" s="550">
        <v>0</v>
      </c>
      <c r="I2546" s="550">
        <v>0</v>
      </c>
      <c r="J2546" s="550">
        <v>274</v>
      </c>
      <c r="K2546" s="550">
        <v>39</v>
      </c>
      <c r="L2546" s="550">
        <v>39</v>
      </c>
      <c r="M2546" s="550">
        <v>0</v>
      </c>
      <c r="N2546" s="550">
        <v>349</v>
      </c>
      <c r="O2546" s="550">
        <v>38</v>
      </c>
      <c r="P2546" s="550">
        <v>864</v>
      </c>
      <c r="Q2546" s="550">
        <v>174</v>
      </c>
      <c r="R2546" s="574" t="s">
        <v>744</v>
      </c>
      <c r="S2546" s="552"/>
      <c r="T2546" s="552"/>
      <c r="U2546" s="552"/>
      <c r="V2546" s="552"/>
      <c r="W2546" s="552"/>
      <c r="X2546" s="552"/>
      <c r="Y2546" s="552"/>
      <c r="Z2546" s="552"/>
      <c r="AA2546" s="553"/>
      <c r="AB2546" s="553"/>
    </row>
    <row r="2547" spans="1:28" ht="12.75">
      <c r="A2547" s="547" t="s">
        <v>744</v>
      </c>
      <c r="B2547" s="547" t="s">
        <v>202</v>
      </c>
      <c r="C2547" s="548" t="s">
        <v>801</v>
      </c>
      <c r="D2547" s="549">
        <v>2019</v>
      </c>
      <c r="E2547" s="549" t="s">
        <v>775</v>
      </c>
      <c r="F2547" s="550">
        <v>390</v>
      </c>
      <c r="G2547" s="550">
        <v>0</v>
      </c>
      <c r="H2547" s="550">
        <v>0</v>
      </c>
      <c r="I2547" s="550">
        <v>0</v>
      </c>
      <c r="J2547" s="550">
        <v>274</v>
      </c>
      <c r="K2547" s="550">
        <v>0</v>
      </c>
      <c r="L2547" s="550">
        <v>0</v>
      </c>
      <c r="M2547" s="550">
        <v>0</v>
      </c>
      <c r="N2547" s="550">
        <v>349</v>
      </c>
      <c r="O2547" s="550">
        <v>3</v>
      </c>
      <c r="P2547" s="550">
        <v>864</v>
      </c>
      <c r="Q2547" s="550">
        <v>14</v>
      </c>
      <c r="R2547" s="574" t="s">
        <v>744</v>
      </c>
      <c r="S2547" s="552">
        <f>SUM(G2541:G2547) +SUM(K2541:K2547)</f>
        <v>182</v>
      </c>
      <c r="T2547" s="552">
        <f>F2547+J2547</f>
        <v>664</v>
      </c>
      <c r="U2547" s="552">
        <f>SUM(O2541:O2547)</f>
        <v>210</v>
      </c>
      <c r="V2547" s="552">
        <f>N2547</f>
        <v>349</v>
      </c>
      <c r="W2547" s="554">
        <f>SUM(Q2541:Q2547)</f>
        <v>793</v>
      </c>
      <c r="X2547" s="552">
        <f>P2547</f>
        <v>864</v>
      </c>
      <c r="Y2547" s="552">
        <f>S2547+U2547+SUM(Q2541:Q2547)</f>
        <v>1185</v>
      </c>
      <c r="Z2547" s="552">
        <f>F2547+J2547+N2547+P2547</f>
        <v>1877</v>
      </c>
      <c r="AA2547" s="553"/>
      <c r="AB2547" s="553"/>
    </row>
    <row r="2548" spans="1:28" ht="12.75">
      <c r="A2548" s="547" t="s">
        <v>745</v>
      </c>
      <c r="B2548" s="547" t="s">
        <v>202</v>
      </c>
      <c r="C2548" s="548" t="s">
        <v>799</v>
      </c>
      <c r="D2548" s="549">
        <v>2014</v>
      </c>
      <c r="E2548" s="549" t="s">
        <v>775</v>
      </c>
      <c r="F2548" s="550">
        <v>427</v>
      </c>
      <c r="G2548" s="550">
        <v>6</v>
      </c>
      <c r="H2548" s="550">
        <v>6</v>
      </c>
      <c r="I2548" s="550">
        <v>0</v>
      </c>
      <c r="J2548" s="550">
        <v>299</v>
      </c>
      <c r="K2548" s="550">
        <v>3</v>
      </c>
      <c r="L2548" s="550">
        <v>3</v>
      </c>
      <c r="M2548" s="550">
        <v>0</v>
      </c>
      <c r="N2548" s="550">
        <v>351</v>
      </c>
      <c r="O2548" s="550">
        <v>4</v>
      </c>
      <c r="P2548" s="550">
        <v>813</v>
      </c>
      <c r="Q2548" s="550">
        <v>10</v>
      </c>
      <c r="R2548" s="574" t="s">
        <v>745</v>
      </c>
      <c r="S2548" s="552"/>
      <c r="T2548" s="552"/>
      <c r="U2548" s="552"/>
      <c r="V2548" s="552"/>
      <c r="W2548" s="552"/>
      <c r="X2548" s="552"/>
      <c r="Y2548" s="552"/>
      <c r="Z2548" s="552"/>
      <c r="AA2548" s="553"/>
      <c r="AB2548" s="553"/>
    </row>
    <row r="2549" spans="1:28" ht="12.75">
      <c r="A2549" s="547" t="s">
        <v>745</v>
      </c>
      <c r="B2549" s="547" t="s">
        <v>202</v>
      </c>
      <c r="C2549" s="548" t="s">
        <v>799</v>
      </c>
      <c r="D2549" s="549">
        <v>2015</v>
      </c>
      <c r="E2549" s="549" t="s">
        <v>775</v>
      </c>
      <c r="F2549" s="550">
        <v>427</v>
      </c>
      <c r="G2549" s="550">
        <v>0</v>
      </c>
      <c r="H2549" s="550">
        <v>0</v>
      </c>
      <c r="I2549" s="550">
        <v>0</v>
      </c>
      <c r="J2549" s="550">
        <v>299</v>
      </c>
      <c r="K2549" s="550">
        <v>1</v>
      </c>
      <c r="L2549" s="550">
        <v>0</v>
      </c>
      <c r="M2549" s="550">
        <v>1</v>
      </c>
      <c r="N2549" s="550">
        <v>351</v>
      </c>
      <c r="O2549" s="550">
        <v>2</v>
      </c>
      <c r="P2549" s="550">
        <v>813</v>
      </c>
      <c r="Q2549" s="550">
        <v>8</v>
      </c>
      <c r="R2549" s="574" t="s">
        <v>745</v>
      </c>
      <c r="S2549" s="552"/>
      <c r="T2549" s="552"/>
      <c r="U2549" s="552"/>
      <c r="V2549" s="552"/>
      <c r="W2549" s="552"/>
      <c r="X2549" s="552"/>
      <c r="Y2549" s="552"/>
      <c r="Z2549" s="552"/>
      <c r="AA2549" s="553"/>
      <c r="AB2549" s="553"/>
    </row>
    <row r="2550" spans="1:28" ht="12.75">
      <c r="A2550" s="547" t="s">
        <v>745</v>
      </c>
      <c r="B2550" s="547" t="s">
        <v>202</v>
      </c>
      <c r="C2550" s="548" t="s">
        <v>799</v>
      </c>
      <c r="D2550" s="549">
        <v>2016</v>
      </c>
      <c r="E2550" s="549" t="s">
        <v>775</v>
      </c>
      <c r="F2550" s="550">
        <v>427</v>
      </c>
      <c r="G2550" s="550">
        <v>40</v>
      </c>
      <c r="H2550" s="550">
        <v>40</v>
      </c>
      <c r="I2550" s="550">
        <v>0</v>
      </c>
      <c r="J2550" s="550">
        <v>299</v>
      </c>
      <c r="K2550" s="550">
        <v>4</v>
      </c>
      <c r="L2550" s="550">
        <v>0</v>
      </c>
      <c r="M2550" s="550">
        <v>4</v>
      </c>
      <c r="N2550" s="550">
        <v>351</v>
      </c>
      <c r="O2550" s="550">
        <v>7</v>
      </c>
      <c r="P2550" s="550">
        <v>813</v>
      </c>
      <c r="Q2550" s="550">
        <v>3</v>
      </c>
      <c r="R2550" s="574" t="s">
        <v>745</v>
      </c>
      <c r="S2550" s="552"/>
      <c r="T2550" s="552"/>
      <c r="U2550" s="552"/>
      <c r="V2550" s="552"/>
      <c r="W2550" s="552"/>
      <c r="X2550" s="552"/>
      <c r="Y2550" s="552"/>
      <c r="Z2550" s="552"/>
      <c r="AA2550" s="553"/>
      <c r="AB2550" s="553"/>
    </row>
    <row r="2551" spans="1:28" ht="12.75">
      <c r="A2551" s="547" t="s">
        <v>745</v>
      </c>
      <c r="B2551" s="547" t="s">
        <v>202</v>
      </c>
      <c r="C2551" s="548" t="s">
        <v>799</v>
      </c>
      <c r="D2551" s="549">
        <v>2017</v>
      </c>
      <c r="E2551" s="549" t="s">
        <v>775</v>
      </c>
      <c r="F2551" s="550">
        <v>427</v>
      </c>
      <c r="G2551" s="550">
        <v>3</v>
      </c>
      <c r="H2551" s="550">
        <v>0</v>
      </c>
      <c r="I2551" s="550">
        <v>3</v>
      </c>
      <c r="J2551" s="550">
        <v>299</v>
      </c>
      <c r="K2551" s="550">
        <v>4</v>
      </c>
      <c r="L2551" s="550">
        <v>0</v>
      </c>
      <c r="M2551" s="550">
        <v>4</v>
      </c>
      <c r="N2551" s="550">
        <v>351</v>
      </c>
      <c r="O2551" s="550">
        <v>3</v>
      </c>
      <c r="P2551" s="550">
        <v>813</v>
      </c>
      <c r="Q2551" s="550">
        <v>0</v>
      </c>
      <c r="R2551" s="574" t="s">
        <v>745</v>
      </c>
      <c r="S2551" s="552"/>
      <c r="T2551" s="552"/>
      <c r="U2551" s="552"/>
      <c r="V2551" s="552"/>
      <c r="W2551" s="552"/>
      <c r="X2551" s="552"/>
      <c r="Y2551" s="552"/>
      <c r="Z2551" s="552"/>
      <c r="AA2551" s="553"/>
      <c r="AB2551" s="553"/>
    </row>
    <row r="2552" spans="1:28" ht="12.75">
      <c r="A2552" s="547" t="s">
        <v>745</v>
      </c>
      <c r="B2552" s="547" t="s">
        <v>202</v>
      </c>
      <c r="C2552" s="548" t="s">
        <v>799</v>
      </c>
      <c r="D2552" s="549">
        <v>2018</v>
      </c>
      <c r="E2552" s="549" t="s">
        <v>775</v>
      </c>
      <c r="F2552" s="550">
        <v>427</v>
      </c>
      <c r="G2552" s="550">
        <v>2</v>
      </c>
      <c r="H2552" s="550">
        <v>0</v>
      </c>
      <c r="I2552" s="550">
        <v>2</v>
      </c>
      <c r="J2552" s="550">
        <v>299</v>
      </c>
      <c r="K2552" s="550">
        <v>1</v>
      </c>
      <c r="L2552" s="550">
        <v>0</v>
      </c>
      <c r="M2552" s="550">
        <v>1</v>
      </c>
      <c r="N2552" s="550">
        <v>351</v>
      </c>
      <c r="O2552" s="550">
        <v>8</v>
      </c>
      <c r="P2552" s="550">
        <v>813</v>
      </c>
      <c r="Q2552" s="550">
        <v>4</v>
      </c>
      <c r="R2552" s="574" t="s">
        <v>745</v>
      </c>
      <c r="S2552" s="552"/>
      <c r="T2552" s="552"/>
      <c r="U2552" s="552"/>
      <c r="V2552" s="552"/>
      <c r="W2552" s="552"/>
      <c r="X2552" s="552"/>
      <c r="Y2552" s="552"/>
      <c r="Z2552" s="552"/>
      <c r="AA2552" s="553"/>
      <c r="AB2552" s="553"/>
    </row>
    <row r="2553" spans="1:28" ht="12.75">
      <c r="A2553" s="547" t="s">
        <v>745</v>
      </c>
      <c r="B2553" s="547" t="s">
        <v>202</v>
      </c>
      <c r="C2553" s="548" t="s">
        <v>801</v>
      </c>
      <c r="D2553" s="549">
        <v>2019</v>
      </c>
      <c r="E2553" s="549" t="s">
        <v>775</v>
      </c>
      <c r="F2553" s="550">
        <v>427</v>
      </c>
      <c r="G2553" s="550">
        <v>3</v>
      </c>
      <c r="H2553" s="550">
        <v>0</v>
      </c>
      <c r="I2553" s="550">
        <v>3</v>
      </c>
      <c r="J2553" s="550">
        <v>299</v>
      </c>
      <c r="K2553" s="550">
        <v>7</v>
      </c>
      <c r="L2553" s="550">
        <v>0</v>
      </c>
      <c r="M2553" s="550">
        <v>7</v>
      </c>
      <c r="N2553" s="550">
        <v>351</v>
      </c>
      <c r="O2553" s="550">
        <v>0</v>
      </c>
      <c r="P2553" s="550">
        <v>813</v>
      </c>
      <c r="Q2553" s="550">
        <v>0</v>
      </c>
      <c r="R2553" s="574" t="s">
        <v>745</v>
      </c>
      <c r="S2553" s="556">
        <f>SUM(G2548:G2553) +SUM(K2548:K2553)</f>
        <v>74</v>
      </c>
      <c r="T2553" s="556">
        <f>F2553+J2553</f>
        <v>726</v>
      </c>
      <c r="U2553" s="556">
        <f>SUM(O2548:O2553)</f>
        <v>24</v>
      </c>
      <c r="V2553" s="556">
        <f>N2553</f>
        <v>351</v>
      </c>
      <c r="W2553" s="557">
        <f>SUM(Q2548:Q2553)</f>
        <v>25</v>
      </c>
      <c r="X2553" s="556">
        <f>P2553</f>
        <v>813</v>
      </c>
      <c r="Y2553" s="556">
        <f>S2553+U2553+SUM(Q2548:Q2553)</f>
        <v>123</v>
      </c>
      <c r="Z2553" s="556">
        <f>F2553+J2553+N2553+P2553</f>
        <v>1890</v>
      </c>
      <c r="AA2553" s="553"/>
      <c r="AB2553" s="553"/>
    </row>
    <row r="2554" spans="1:28" ht="12.75">
      <c r="A2554" s="547"/>
      <c r="B2554" s="547"/>
      <c r="C2554" s="548"/>
      <c r="D2554" s="549"/>
      <c r="E2554" s="549"/>
      <c r="F2554" s="550"/>
      <c r="G2554" s="550"/>
      <c r="H2554" s="550"/>
      <c r="I2554" s="550"/>
      <c r="J2554" s="550"/>
      <c r="K2554" s="550"/>
      <c r="L2554" s="550"/>
      <c r="M2554" s="550"/>
      <c r="N2554" s="550"/>
      <c r="O2554" s="550"/>
      <c r="P2554" s="550"/>
      <c r="Q2554" s="550"/>
      <c r="R2554" s="574"/>
      <c r="S2554" s="563">
        <f t="shared" ref="S2554:Z2554" si="241">SUM(S2520:S2553)</f>
        <v>727</v>
      </c>
      <c r="T2554" s="563">
        <f t="shared" si="241"/>
        <v>4181</v>
      </c>
      <c r="U2554" s="563">
        <f t="shared" si="241"/>
        <v>1375</v>
      </c>
      <c r="V2554" s="563">
        <f t="shared" si="241"/>
        <v>2068</v>
      </c>
      <c r="W2554" s="563">
        <f t="shared" si="241"/>
        <v>2251</v>
      </c>
      <c r="X2554" s="563">
        <f t="shared" si="241"/>
        <v>4880</v>
      </c>
      <c r="Y2554" s="563">
        <f t="shared" si="241"/>
        <v>4353</v>
      </c>
      <c r="Z2554" s="563">
        <f t="shared" si="241"/>
        <v>11129</v>
      </c>
      <c r="AA2554" s="553"/>
      <c r="AB2554" s="553"/>
    </row>
    <row r="2555" spans="1:28" ht="12.75">
      <c r="A2555" s="547" t="s">
        <v>746</v>
      </c>
      <c r="B2555" s="547" t="s">
        <v>204</v>
      </c>
      <c r="C2555" s="548" t="s">
        <v>799</v>
      </c>
      <c r="D2555" s="549">
        <v>2017</v>
      </c>
      <c r="E2555" s="549" t="s">
        <v>775</v>
      </c>
      <c r="F2555" s="550">
        <v>12</v>
      </c>
      <c r="G2555" s="550">
        <v>0</v>
      </c>
      <c r="H2555" s="550">
        <v>0</v>
      </c>
      <c r="I2555" s="550">
        <v>0</v>
      </c>
      <c r="J2555" s="550">
        <v>8</v>
      </c>
      <c r="K2555" s="550">
        <v>0</v>
      </c>
      <c r="L2555" s="550">
        <v>0</v>
      </c>
      <c r="M2555" s="550">
        <v>0</v>
      </c>
      <c r="N2555" s="550">
        <v>13</v>
      </c>
      <c r="O2555" s="550">
        <v>0</v>
      </c>
      <c r="P2555" s="550">
        <v>39</v>
      </c>
      <c r="Q2555" s="550">
        <v>1</v>
      </c>
      <c r="R2555" s="574" t="s">
        <v>746</v>
      </c>
      <c r="S2555" s="552"/>
      <c r="T2555" s="552"/>
      <c r="U2555" s="552"/>
      <c r="V2555" s="552"/>
      <c r="W2555" s="552"/>
      <c r="X2555" s="552"/>
      <c r="Y2555" s="552"/>
      <c r="Z2555" s="552"/>
      <c r="AA2555" s="553"/>
      <c r="AB2555" s="553"/>
    </row>
    <row r="2556" spans="1:28" ht="12.75">
      <c r="A2556" s="547" t="s">
        <v>746</v>
      </c>
      <c r="B2556" s="547" t="s">
        <v>204</v>
      </c>
      <c r="C2556" s="548" t="s">
        <v>799</v>
      </c>
      <c r="D2556" s="549">
        <v>2018</v>
      </c>
      <c r="E2556" s="549" t="s">
        <v>775</v>
      </c>
      <c r="F2556" s="550">
        <v>12</v>
      </c>
      <c r="G2556" s="550">
        <v>0</v>
      </c>
      <c r="H2556" s="550">
        <v>0</v>
      </c>
      <c r="I2556" s="550">
        <v>0</v>
      </c>
      <c r="J2556" s="550">
        <v>8</v>
      </c>
      <c r="K2556" s="550">
        <v>0</v>
      </c>
      <c r="L2556" s="550">
        <v>0</v>
      </c>
      <c r="M2556" s="550">
        <v>0</v>
      </c>
      <c r="N2556" s="550">
        <v>13</v>
      </c>
      <c r="O2556" s="550">
        <v>0</v>
      </c>
      <c r="P2556" s="550">
        <v>39</v>
      </c>
      <c r="Q2556" s="550">
        <v>4</v>
      </c>
      <c r="R2556" s="574" t="s">
        <v>746</v>
      </c>
      <c r="S2556" s="552"/>
      <c r="T2556" s="552"/>
      <c r="U2556" s="552"/>
      <c r="V2556" s="552"/>
      <c r="W2556" s="552"/>
      <c r="X2556" s="552"/>
      <c r="Y2556" s="552"/>
      <c r="Z2556" s="552"/>
      <c r="AA2556" s="553"/>
      <c r="AB2556" s="553"/>
    </row>
    <row r="2557" spans="1:28" ht="12.75">
      <c r="A2557" s="547" t="s">
        <v>746</v>
      </c>
      <c r="B2557" s="547" t="s">
        <v>204</v>
      </c>
      <c r="C2557" s="548" t="s">
        <v>801</v>
      </c>
      <c r="D2557" s="549">
        <v>2019</v>
      </c>
      <c r="E2557" s="549" t="s">
        <v>775</v>
      </c>
      <c r="F2557" s="550">
        <v>12</v>
      </c>
      <c r="G2557" s="550">
        <v>0</v>
      </c>
      <c r="H2557" s="550">
        <v>0</v>
      </c>
      <c r="I2557" s="550">
        <v>0</v>
      </c>
      <c r="J2557" s="550">
        <v>8</v>
      </c>
      <c r="K2557" s="550">
        <v>0</v>
      </c>
      <c r="L2557" s="550">
        <v>0</v>
      </c>
      <c r="M2557" s="550">
        <v>0</v>
      </c>
      <c r="N2557" s="550">
        <v>13</v>
      </c>
      <c r="O2557" s="550">
        <v>0</v>
      </c>
      <c r="P2557" s="550">
        <v>39</v>
      </c>
      <c r="Q2557" s="550">
        <v>0</v>
      </c>
      <c r="R2557" s="574" t="s">
        <v>746</v>
      </c>
      <c r="S2557" s="255">
        <f>SUM(G2555:G2557) +SUM(K2555:K2557)</f>
        <v>0</v>
      </c>
      <c r="T2557" s="255">
        <f>F2557+J2557</f>
        <v>20</v>
      </c>
      <c r="U2557" s="255">
        <f>SUM(O2555:O2557)</f>
        <v>0</v>
      </c>
      <c r="V2557" s="255">
        <f>N2557</f>
        <v>13</v>
      </c>
      <c r="W2557" s="83">
        <f>SUM(Q2555:Q2557)</f>
        <v>5</v>
      </c>
      <c r="X2557" s="255">
        <f>P2557</f>
        <v>39</v>
      </c>
      <c r="Y2557" s="255">
        <f>S2557+U2557+SUM(Q2555:Q2557)</f>
        <v>5</v>
      </c>
      <c r="Z2557" s="255">
        <f>F2557+J2557+N2557+P2557</f>
        <v>72</v>
      </c>
      <c r="AA2557" s="553"/>
      <c r="AB2557" s="553"/>
    </row>
    <row r="2558" spans="1:28" ht="12.75">
      <c r="A2558" s="547" t="s">
        <v>747</v>
      </c>
      <c r="B2558" s="547" t="s">
        <v>204</v>
      </c>
      <c r="C2558" s="548" t="s">
        <v>799</v>
      </c>
      <c r="D2558" s="549">
        <v>2017</v>
      </c>
      <c r="E2558" s="549" t="s">
        <v>775</v>
      </c>
      <c r="F2558" s="550">
        <v>109</v>
      </c>
      <c r="G2558" s="550">
        <v>0</v>
      </c>
      <c r="H2558" s="550">
        <v>0</v>
      </c>
      <c r="I2558" s="550">
        <v>0</v>
      </c>
      <c r="J2558" s="550">
        <v>76</v>
      </c>
      <c r="K2558" s="550">
        <v>0</v>
      </c>
      <c r="L2558" s="550">
        <v>0</v>
      </c>
      <c r="M2558" s="550">
        <v>0</v>
      </c>
      <c r="N2558" s="550">
        <v>90</v>
      </c>
      <c r="O2558" s="550">
        <v>0</v>
      </c>
      <c r="P2558" s="550">
        <v>208</v>
      </c>
      <c r="Q2558" s="550">
        <v>0</v>
      </c>
      <c r="R2558" s="574" t="s">
        <v>747</v>
      </c>
      <c r="S2558" s="552"/>
      <c r="T2558" s="552"/>
      <c r="U2558" s="552"/>
      <c r="V2558" s="552"/>
      <c r="W2558" s="552"/>
      <c r="X2558" s="552"/>
      <c r="Y2558" s="552"/>
      <c r="Z2558" s="552"/>
      <c r="AA2558" s="553"/>
      <c r="AB2558" s="553"/>
    </row>
    <row r="2559" spans="1:28" ht="12.75">
      <c r="A2559" s="547" t="s">
        <v>747</v>
      </c>
      <c r="B2559" s="547" t="s">
        <v>204</v>
      </c>
      <c r="C2559" s="548" t="s">
        <v>801</v>
      </c>
      <c r="D2559" s="549">
        <v>2019</v>
      </c>
      <c r="E2559" s="549" t="s">
        <v>775</v>
      </c>
      <c r="F2559" s="550">
        <v>109</v>
      </c>
      <c r="G2559" s="550">
        <v>0</v>
      </c>
      <c r="H2559" s="550">
        <v>0</v>
      </c>
      <c r="I2559" s="550">
        <v>0</v>
      </c>
      <c r="J2559" s="550">
        <v>76</v>
      </c>
      <c r="K2559" s="550">
        <v>0</v>
      </c>
      <c r="L2559" s="550">
        <v>0</v>
      </c>
      <c r="M2559" s="550">
        <v>0</v>
      </c>
      <c r="N2559" s="550">
        <v>90</v>
      </c>
      <c r="O2559" s="550">
        <v>0</v>
      </c>
      <c r="P2559" s="550">
        <v>208</v>
      </c>
      <c r="Q2559" s="550">
        <v>0</v>
      </c>
      <c r="R2559" s="574" t="s">
        <v>747</v>
      </c>
      <c r="S2559" s="255">
        <f>SUM(G2558:G2559) +SUM(K2558:K2559)</f>
        <v>0</v>
      </c>
      <c r="T2559" s="255">
        <f>F2559+J2559</f>
        <v>185</v>
      </c>
      <c r="U2559" s="255">
        <f>SUM(O2558:O2559)</f>
        <v>0</v>
      </c>
      <c r="V2559" s="580" t="s">
        <v>926</v>
      </c>
      <c r="W2559" s="83">
        <f>SUM(Q2558:Q2559)</f>
        <v>0</v>
      </c>
      <c r="X2559" s="255">
        <f>P2559</f>
        <v>208</v>
      </c>
      <c r="Y2559" s="255">
        <f>S2559+U2559+SUM(Q2558:Q2559)</f>
        <v>0</v>
      </c>
      <c r="Z2559" s="255">
        <f>F2559+J2559+N2559+P2559</f>
        <v>483</v>
      </c>
      <c r="AA2559" s="553"/>
      <c r="AB2559" s="553"/>
    </row>
    <row r="2560" spans="1:28" ht="12.75">
      <c r="A2560" s="547" t="s">
        <v>748</v>
      </c>
      <c r="B2560" s="547" t="s">
        <v>204</v>
      </c>
      <c r="C2560" s="548" t="s">
        <v>799</v>
      </c>
      <c r="D2560" s="549">
        <v>2013</v>
      </c>
      <c r="E2560" s="549" t="s">
        <v>775</v>
      </c>
      <c r="F2560" s="550">
        <v>1036</v>
      </c>
      <c r="G2560" s="550">
        <v>0</v>
      </c>
      <c r="H2560" s="550">
        <v>0</v>
      </c>
      <c r="I2560" s="550">
        <v>0</v>
      </c>
      <c r="J2560" s="550">
        <v>727</v>
      </c>
      <c r="K2560" s="550">
        <v>0</v>
      </c>
      <c r="L2560" s="550">
        <v>0</v>
      </c>
      <c r="M2560" s="550">
        <v>0</v>
      </c>
      <c r="N2560" s="550">
        <v>870</v>
      </c>
      <c r="O2560" s="550">
        <v>1</v>
      </c>
      <c r="P2560" s="550">
        <v>2043</v>
      </c>
      <c r="Q2560" s="550">
        <v>85</v>
      </c>
      <c r="R2560" s="574" t="s">
        <v>748</v>
      </c>
      <c r="S2560" s="552"/>
      <c r="T2560" s="552"/>
      <c r="U2560" s="552"/>
      <c r="V2560" s="552"/>
      <c r="W2560" s="552"/>
      <c r="X2560" s="552"/>
      <c r="Y2560" s="552"/>
      <c r="Z2560" s="552"/>
      <c r="AA2560" s="553"/>
      <c r="AB2560" s="553"/>
    </row>
    <row r="2561" spans="1:28" ht="12.75">
      <c r="A2561" s="547" t="s">
        <v>748</v>
      </c>
      <c r="B2561" s="547" t="s">
        <v>204</v>
      </c>
      <c r="C2561" s="548" t="s">
        <v>801</v>
      </c>
      <c r="D2561" s="549">
        <v>2019</v>
      </c>
      <c r="E2561" s="549" t="s">
        <v>775</v>
      </c>
      <c r="F2561" s="550">
        <v>1036</v>
      </c>
      <c r="G2561" s="550">
        <v>14</v>
      </c>
      <c r="H2561" s="550">
        <v>14</v>
      </c>
      <c r="I2561" s="550">
        <v>0</v>
      </c>
      <c r="J2561" s="550">
        <v>727</v>
      </c>
      <c r="K2561" s="550">
        <v>0</v>
      </c>
      <c r="L2561" s="550">
        <v>0</v>
      </c>
      <c r="M2561" s="550">
        <v>0</v>
      </c>
      <c r="N2561" s="550">
        <v>870</v>
      </c>
      <c r="O2561" s="550">
        <v>0</v>
      </c>
      <c r="P2561" s="550">
        <v>2043</v>
      </c>
      <c r="Q2561" s="550">
        <v>689</v>
      </c>
      <c r="R2561" s="574" t="s">
        <v>748</v>
      </c>
      <c r="S2561" s="561">
        <f>SUM(G2560:G2561) +SUM(K2560:K2561)</f>
        <v>14</v>
      </c>
      <c r="T2561" s="561">
        <f>F2561+J2561</f>
        <v>1763</v>
      </c>
      <c r="U2561" s="561">
        <f>SUM(O2560:O2561)</f>
        <v>1</v>
      </c>
      <c r="V2561" s="561">
        <f>N2561</f>
        <v>870</v>
      </c>
      <c r="W2561" s="562">
        <f>SUM(Q2560:Q2561)</f>
        <v>774</v>
      </c>
      <c r="X2561" s="561">
        <f>P2561</f>
        <v>2043</v>
      </c>
      <c r="Y2561" s="561">
        <f>S2561+U2561+SUM(Q2560:Q2561)</f>
        <v>789</v>
      </c>
      <c r="Z2561" s="561">
        <f>F2561+J2561+N2561+P2561</f>
        <v>4676</v>
      </c>
      <c r="AA2561" s="553"/>
      <c r="AB2561" s="553"/>
    </row>
    <row r="2562" spans="1:28" ht="12.75">
      <c r="A2562" s="581"/>
      <c r="B2562" s="581"/>
      <c r="C2562" s="582"/>
      <c r="D2562" s="583"/>
      <c r="E2562" s="583"/>
      <c r="F2562" s="550"/>
      <c r="G2562" s="550"/>
      <c r="H2562" s="550"/>
      <c r="I2562" s="550"/>
      <c r="J2562" s="550"/>
      <c r="K2562" s="550"/>
      <c r="L2562" s="550"/>
      <c r="M2562" s="550"/>
      <c r="N2562" s="550"/>
      <c r="O2562" s="550"/>
      <c r="P2562" s="550"/>
      <c r="Q2562" s="550"/>
      <c r="R2562" s="551"/>
      <c r="S2562" s="563">
        <f t="shared" ref="S2562:Z2562" si="242">SUM(S2555:S2561)</f>
        <v>14</v>
      </c>
      <c r="T2562" s="563">
        <f t="shared" si="242"/>
        <v>1968</v>
      </c>
      <c r="U2562" s="563">
        <f t="shared" si="242"/>
        <v>1</v>
      </c>
      <c r="V2562" s="563">
        <f t="shared" si="242"/>
        <v>883</v>
      </c>
      <c r="W2562" s="563">
        <f t="shared" si="242"/>
        <v>779</v>
      </c>
      <c r="X2562" s="563">
        <f t="shared" si="242"/>
        <v>2290</v>
      </c>
      <c r="Y2562" s="563">
        <f t="shared" si="242"/>
        <v>794</v>
      </c>
      <c r="Z2562" s="563">
        <f t="shared" si="242"/>
        <v>5231</v>
      </c>
      <c r="AA2562" s="81"/>
      <c r="AB2562" s="81"/>
    </row>
  </sheetData>
  <mergeCells count="1">
    <mergeCell ref="A3:Q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S2672"/>
  <sheetViews>
    <sheetView workbookViewId="0"/>
  </sheetViews>
  <sheetFormatPr defaultColWidth="14.42578125" defaultRowHeight="15.75" customHeight="1"/>
  <cols>
    <col min="1" max="3" width="23.85546875" customWidth="1"/>
    <col min="4" max="4" width="17.85546875" customWidth="1"/>
    <col min="5" max="5" width="17.42578125" customWidth="1"/>
    <col min="6" max="6" width="14.85546875" customWidth="1"/>
    <col min="7" max="7" width="13.85546875" customWidth="1"/>
    <col min="8" max="8" width="16.140625" customWidth="1"/>
    <col min="9" max="9" width="13.85546875" customWidth="1"/>
    <col min="10" max="10" width="16.42578125" customWidth="1"/>
    <col min="11" max="11" width="14.42578125" customWidth="1"/>
    <col min="12" max="12" width="14.5703125" customWidth="1"/>
    <col min="13" max="13" width="14.85546875" customWidth="1"/>
    <col min="14" max="14" width="14.42578125" customWidth="1"/>
    <col min="15" max="15" width="12.5703125" customWidth="1"/>
    <col min="16" max="17" width="15.42578125" customWidth="1"/>
    <col min="18" max="18" width="14.28515625" customWidth="1"/>
    <col min="19" max="19" width="15.85546875" customWidth="1"/>
    <col min="20" max="20" width="14" customWidth="1"/>
    <col min="21" max="45" width="15.28515625" customWidth="1"/>
  </cols>
  <sheetData>
    <row r="1" spans="1:45" ht="15.75" customHeight="1">
      <c r="A1" s="584" t="s">
        <v>927</v>
      </c>
      <c r="B1" s="584" t="s">
        <v>928</v>
      </c>
      <c r="C1" s="584" t="s">
        <v>929</v>
      </c>
      <c r="D1" s="584" t="s">
        <v>930</v>
      </c>
      <c r="E1" s="584" t="s">
        <v>931</v>
      </c>
      <c r="F1" s="584" t="s">
        <v>932</v>
      </c>
      <c r="G1" s="584" t="s">
        <v>933</v>
      </c>
      <c r="H1" s="584" t="s">
        <v>934</v>
      </c>
      <c r="I1" s="584" t="s">
        <v>935</v>
      </c>
      <c r="J1" s="584" t="s">
        <v>936</v>
      </c>
      <c r="K1" s="584" t="s">
        <v>937</v>
      </c>
      <c r="L1" s="584" t="s">
        <v>938</v>
      </c>
      <c r="M1" s="584" t="s">
        <v>939</v>
      </c>
      <c r="N1" s="584" t="s">
        <v>940</v>
      </c>
      <c r="O1" s="584" t="s">
        <v>941</v>
      </c>
      <c r="P1" s="584" t="s">
        <v>942</v>
      </c>
      <c r="Q1" s="584" t="s">
        <v>943</v>
      </c>
      <c r="R1" s="584" t="s">
        <v>944</v>
      </c>
      <c r="S1" s="584" t="s">
        <v>945</v>
      </c>
      <c r="T1" s="584" t="s">
        <v>946</v>
      </c>
      <c r="U1" s="584" t="s">
        <v>947</v>
      </c>
      <c r="V1" s="585" t="s">
        <v>948</v>
      </c>
      <c r="W1" s="585" t="s">
        <v>949</v>
      </c>
      <c r="X1" s="585" t="s">
        <v>950</v>
      </c>
      <c r="Y1" s="585" t="s">
        <v>951</v>
      </c>
      <c r="Z1" s="585" t="s">
        <v>952</v>
      </c>
      <c r="AA1" s="585" t="s">
        <v>953</v>
      </c>
      <c r="AB1" s="585" t="s">
        <v>954</v>
      </c>
      <c r="AC1" s="585" t="s">
        <v>955</v>
      </c>
      <c r="AD1" s="585" t="s">
        <v>956</v>
      </c>
      <c r="AE1" s="585" t="s">
        <v>957</v>
      </c>
      <c r="AF1" s="585" t="s">
        <v>958</v>
      </c>
      <c r="AG1" s="585" t="s">
        <v>959</v>
      </c>
      <c r="AH1" s="585" t="s">
        <v>960</v>
      </c>
      <c r="AI1" s="585" t="s">
        <v>961</v>
      </c>
      <c r="AJ1" s="585" t="s">
        <v>944</v>
      </c>
      <c r="AK1" s="585" t="s">
        <v>767</v>
      </c>
      <c r="AL1" s="585" t="s">
        <v>962</v>
      </c>
      <c r="AM1" s="585" t="s">
        <v>963</v>
      </c>
      <c r="AN1" s="586">
        <v>0.1</v>
      </c>
      <c r="AO1" s="586">
        <v>0.5</v>
      </c>
      <c r="AP1" s="585" t="s">
        <v>964</v>
      </c>
      <c r="AQ1" s="585" t="s">
        <v>965</v>
      </c>
      <c r="AR1" s="585" t="s">
        <v>966</v>
      </c>
      <c r="AS1" s="585" t="s">
        <v>967</v>
      </c>
    </row>
    <row r="2" spans="1:45">
      <c r="A2" s="587" t="s">
        <v>170</v>
      </c>
      <c r="B2" s="587" t="s">
        <v>519</v>
      </c>
      <c r="C2" s="587" t="s">
        <v>799</v>
      </c>
      <c r="D2" s="588">
        <v>2013</v>
      </c>
      <c r="E2" s="587" t="s">
        <v>775</v>
      </c>
      <c r="F2" s="588">
        <v>74</v>
      </c>
      <c r="G2" s="588">
        <v>0</v>
      </c>
      <c r="H2" s="588">
        <v>0</v>
      </c>
      <c r="I2" s="588">
        <v>0</v>
      </c>
      <c r="J2" s="588">
        <v>52</v>
      </c>
      <c r="K2" s="588">
        <v>0</v>
      </c>
      <c r="L2" s="588">
        <v>0</v>
      </c>
      <c r="M2" s="588">
        <v>0</v>
      </c>
      <c r="N2" s="588">
        <v>57</v>
      </c>
      <c r="O2" s="588">
        <v>2</v>
      </c>
      <c r="P2" s="588">
        <v>125</v>
      </c>
      <c r="Q2" s="588">
        <v>10</v>
      </c>
      <c r="R2" s="588">
        <v>308</v>
      </c>
      <c r="S2" s="588">
        <v>12</v>
      </c>
      <c r="T2" s="588">
        <v>2014</v>
      </c>
      <c r="U2" s="588">
        <v>2014</v>
      </c>
      <c r="V2" s="589"/>
      <c r="W2" s="589"/>
      <c r="X2" s="589"/>
      <c r="Y2" s="589"/>
      <c r="Z2" s="589"/>
      <c r="AA2" s="589"/>
      <c r="AB2" s="589"/>
      <c r="AC2" s="589"/>
      <c r="AD2" s="589"/>
      <c r="AE2" s="589"/>
      <c r="AF2" s="589"/>
      <c r="AG2" s="589"/>
      <c r="AH2" s="589"/>
      <c r="AI2" s="589"/>
      <c r="AJ2" s="589"/>
      <c r="AK2" s="589"/>
      <c r="AL2" s="589"/>
      <c r="AM2" s="589"/>
      <c r="AN2" s="589"/>
      <c r="AO2" s="589"/>
      <c r="AP2" s="589"/>
      <c r="AQ2" s="589"/>
      <c r="AR2" s="589"/>
      <c r="AS2" s="589"/>
    </row>
    <row r="3" spans="1:45">
      <c r="A3" s="590" t="s">
        <v>179</v>
      </c>
      <c r="B3" s="591" t="s">
        <v>590</v>
      </c>
      <c r="C3" s="591" t="s">
        <v>855</v>
      </c>
      <c r="D3" s="592">
        <v>2013</v>
      </c>
      <c r="E3" s="591" t="s">
        <v>775</v>
      </c>
      <c r="F3" s="592">
        <v>912</v>
      </c>
      <c r="G3" s="592">
        <v>35</v>
      </c>
      <c r="H3" s="592">
        <v>35</v>
      </c>
      <c r="I3" s="592">
        <v>0</v>
      </c>
      <c r="J3" s="592">
        <v>693</v>
      </c>
      <c r="K3" s="592">
        <v>29</v>
      </c>
      <c r="L3" s="592">
        <v>28</v>
      </c>
      <c r="M3" s="592">
        <v>1</v>
      </c>
      <c r="N3" s="592">
        <v>1062</v>
      </c>
      <c r="O3" s="592">
        <v>104</v>
      </c>
      <c r="P3" s="592">
        <v>2332</v>
      </c>
      <c r="Q3" s="592">
        <v>1136</v>
      </c>
      <c r="R3" s="592">
        <v>4999</v>
      </c>
      <c r="S3" s="593">
        <v>1304</v>
      </c>
      <c r="T3" s="593">
        <v>2013</v>
      </c>
      <c r="U3" s="593">
        <v>2013</v>
      </c>
      <c r="V3" s="589"/>
      <c r="W3" s="589"/>
      <c r="X3" s="589"/>
      <c r="Y3" s="589"/>
      <c r="Z3" s="589"/>
      <c r="AA3" s="589"/>
      <c r="AB3" s="589"/>
      <c r="AC3" s="589"/>
      <c r="AD3" s="589"/>
      <c r="AE3" s="589"/>
      <c r="AF3" s="589"/>
      <c r="AG3" s="589"/>
      <c r="AH3" s="589"/>
      <c r="AI3" s="589"/>
      <c r="AJ3" s="589"/>
      <c r="AK3" s="589"/>
      <c r="AL3" s="589"/>
      <c r="AM3" s="589"/>
      <c r="AN3" s="589"/>
      <c r="AO3" s="589"/>
      <c r="AP3" s="589"/>
      <c r="AQ3" s="589"/>
      <c r="AR3" s="589"/>
      <c r="AS3" s="589"/>
    </row>
    <row r="4" spans="1:45">
      <c r="A4" s="587" t="s">
        <v>179</v>
      </c>
      <c r="B4" s="587" t="s">
        <v>591</v>
      </c>
      <c r="C4" s="587" t="s">
        <v>855</v>
      </c>
      <c r="D4" s="588">
        <v>2013</v>
      </c>
      <c r="E4" s="587" t="s">
        <v>775</v>
      </c>
      <c r="F4" s="588">
        <v>3209</v>
      </c>
      <c r="G4" s="588">
        <v>69</v>
      </c>
      <c r="H4" s="588">
        <v>69</v>
      </c>
      <c r="I4" s="588">
        <v>0</v>
      </c>
      <c r="J4" s="588">
        <v>2439</v>
      </c>
      <c r="K4" s="588">
        <v>371</v>
      </c>
      <c r="L4" s="588">
        <v>371</v>
      </c>
      <c r="M4" s="588">
        <v>0</v>
      </c>
      <c r="N4" s="588">
        <v>2257</v>
      </c>
      <c r="O4" s="588">
        <v>302</v>
      </c>
      <c r="P4" s="588">
        <v>4956</v>
      </c>
      <c r="Q4" s="588">
        <v>2300</v>
      </c>
      <c r="R4" s="588">
        <v>12861</v>
      </c>
      <c r="S4" s="588">
        <v>3042</v>
      </c>
      <c r="T4" s="588">
        <v>2013</v>
      </c>
      <c r="U4" s="588">
        <v>2013</v>
      </c>
      <c r="V4" s="589"/>
      <c r="W4" s="589"/>
      <c r="X4" s="589"/>
      <c r="Y4" s="589"/>
      <c r="Z4" s="589"/>
      <c r="AA4" s="589"/>
      <c r="AB4" s="589"/>
      <c r="AC4" s="589"/>
      <c r="AD4" s="589"/>
      <c r="AE4" s="589"/>
      <c r="AF4" s="589"/>
      <c r="AG4" s="589"/>
      <c r="AH4" s="589"/>
      <c r="AI4" s="589"/>
      <c r="AJ4" s="589"/>
      <c r="AK4" s="589"/>
      <c r="AL4" s="589"/>
      <c r="AM4" s="589"/>
      <c r="AN4" s="589"/>
      <c r="AO4" s="589"/>
      <c r="AP4" s="589"/>
      <c r="AQ4" s="589"/>
      <c r="AR4" s="589"/>
      <c r="AS4" s="589"/>
    </row>
    <row r="5" spans="1:45">
      <c r="A5" s="590" t="s">
        <v>174</v>
      </c>
      <c r="B5" s="591" t="s">
        <v>556</v>
      </c>
      <c r="C5" s="591" t="s">
        <v>799</v>
      </c>
      <c r="D5" s="592">
        <v>2013</v>
      </c>
      <c r="E5" s="591" t="s">
        <v>775</v>
      </c>
      <c r="F5" s="592">
        <v>146</v>
      </c>
      <c r="G5" s="592">
        <v>0</v>
      </c>
      <c r="H5" s="592">
        <v>0</v>
      </c>
      <c r="I5" s="592">
        <v>0</v>
      </c>
      <c r="J5" s="592">
        <v>102</v>
      </c>
      <c r="K5" s="592">
        <v>1</v>
      </c>
      <c r="L5" s="592">
        <v>0</v>
      </c>
      <c r="M5" s="592">
        <v>1</v>
      </c>
      <c r="N5" s="592">
        <v>130</v>
      </c>
      <c r="O5" s="592">
        <v>0</v>
      </c>
      <c r="P5" s="592">
        <v>318</v>
      </c>
      <c r="Q5" s="592">
        <v>1</v>
      </c>
      <c r="R5" s="592">
        <v>696</v>
      </c>
      <c r="S5" s="593">
        <v>2</v>
      </c>
      <c r="T5" s="593">
        <v>2014</v>
      </c>
      <c r="U5" s="593">
        <v>2014</v>
      </c>
      <c r="V5" s="589"/>
      <c r="W5" s="589"/>
      <c r="X5" s="589"/>
      <c r="Y5" s="589"/>
      <c r="Z5" s="589"/>
      <c r="AA5" s="589"/>
      <c r="AB5" s="589"/>
      <c r="AC5" s="589"/>
      <c r="AD5" s="589"/>
      <c r="AE5" s="589"/>
      <c r="AF5" s="589"/>
      <c r="AG5" s="589"/>
      <c r="AH5" s="589"/>
      <c r="AI5" s="589"/>
      <c r="AJ5" s="589"/>
      <c r="AK5" s="589"/>
      <c r="AL5" s="589"/>
      <c r="AM5" s="589"/>
      <c r="AN5" s="589"/>
      <c r="AO5" s="589"/>
      <c r="AP5" s="589"/>
      <c r="AQ5" s="589"/>
      <c r="AR5" s="589"/>
      <c r="AS5" s="589"/>
    </row>
    <row r="6" spans="1:45">
      <c r="A6" s="587" t="s">
        <v>170</v>
      </c>
      <c r="B6" s="587" t="s">
        <v>520</v>
      </c>
      <c r="C6" s="587" t="s">
        <v>799</v>
      </c>
      <c r="D6" s="588">
        <v>2013</v>
      </c>
      <c r="E6" s="587" t="s">
        <v>775</v>
      </c>
      <c r="F6" s="588">
        <v>10</v>
      </c>
      <c r="G6" s="588">
        <v>0</v>
      </c>
      <c r="H6" s="588">
        <v>0</v>
      </c>
      <c r="I6" s="588">
        <v>0</v>
      </c>
      <c r="J6" s="588">
        <v>7</v>
      </c>
      <c r="K6" s="588">
        <v>0</v>
      </c>
      <c r="L6" s="588">
        <v>0</v>
      </c>
      <c r="M6" s="588">
        <v>0</v>
      </c>
      <c r="N6" s="588">
        <v>10</v>
      </c>
      <c r="O6" s="588">
        <v>0</v>
      </c>
      <c r="P6" s="588">
        <v>24</v>
      </c>
      <c r="Q6" s="588">
        <v>0</v>
      </c>
      <c r="R6" s="588">
        <v>51</v>
      </c>
      <c r="S6" s="588">
        <v>0</v>
      </c>
      <c r="T6" s="588">
        <v>2014</v>
      </c>
      <c r="U6" s="588">
        <v>2014</v>
      </c>
      <c r="V6" s="589"/>
      <c r="W6" s="589"/>
      <c r="X6" s="589"/>
      <c r="Y6" s="589"/>
      <c r="Z6" s="589"/>
      <c r="AA6" s="589"/>
      <c r="AB6" s="589"/>
      <c r="AC6" s="589"/>
      <c r="AD6" s="589"/>
      <c r="AE6" s="589"/>
      <c r="AF6" s="589"/>
      <c r="AG6" s="589"/>
      <c r="AH6" s="589"/>
      <c r="AI6" s="589"/>
      <c r="AJ6" s="589"/>
      <c r="AK6" s="589"/>
      <c r="AL6" s="589"/>
      <c r="AM6" s="589"/>
      <c r="AN6" s="589"/>
      <c r="AO6" s="589"/>
      <c r="AP6" s="589"/>
      <c r="AQ6" s="589"/>
      <c r="AR6" s="589"/>
      <c r="AS6" s="589"/>
    </row>
    <row r="7" spans="1:45">
      <c r="A7" s="590" t="s">
        <v>179</v>
      </c>
      <c r="B7" s="591" t="s">
        <v>592</v>
      </c>
      <c r="C7" s="591" t="s">
        <v>855</v>
      </c>
      <c r="D7" s="592">
        <v>2013</v>
      </c>
      <c r="E7" s="591" t="s">
        <v>775</v>
      </c>
      <c r="F7" s="592">
        <v>13</v>
      </c>
      <c r="G7" s="592">
        <v>12</v>
      </c>
      <c r="H7" s="592">
        <v>12</v>
      </c>
      <c r="I7" s="592">
        <v>0</v>
      </c>
      <c r="J7" s="592">
        <v>9</v>
      </c>
      <c r="K7" s="592">
        <v>0</v>
      </c>
      <c r="L7" s="592">
        <v>0</v>
      </c>
      <c r="M7" s="592">
        <v>0</v>
      </c>
      <c r="N7" s="592">
        <v>9</v>
      </c>
      <c r="O7" s="592">
        <v>0</v>
      </c>
      <c r="P7" s="592">
        <v>19</v>
      </c>
      <c r="Q7" s="592">
        <v>113</v>
      </c>
      <c r="R7" s="592">
        <v>50</v>
      </c>
      <c r="S7" s="593">
        <v>125</v>
      </c>
      <c r="T7" s="593">
        <v>2013</v>
      </c>
      <c r="U7" s="593">
        <v>2013</v>
      </c>
      <c r="V7" s="589"/>
      <c r="W7" s="589"/>
      <c r="X7" s="589"/>
      <c r="Y7" s="589"/>
      <c r="Z7" s="589"/>
      <c r="AA7" s="589"/>
      <c r="AB7" s="589"/>
      <c r="AC7" s="589"/>
      <c r="AD7" s="589"/>
      <c r="AE7" s="589"/>
      <c r="AF7" s="589"/>
      <c r="AG7" s="589"/>
      <c r="AH7" s="589"/>
      <c r="AI7" s="589"/>
      <c r="AJ7" s="589"/>
      <c r="AK7" s="589"/>
      <c r="AL7" s="589"/>
      <c r="AM7" s="589"/>
      <c r="AN7" s="589"/>
      <c r="AO7" s="589"/>
      <c r="AP7" s="589"/>
      <c r="AQ7" s="589"/>
      <c r="AR7" s="589"/>
      <c r="AS7" s="589"/>
    </row>
    <row r="8" spans="1:45">
      <c r="A8" s="587" t="s">
        <v>202</v>
      </c>
      <c r="B8" s="587" t="s">
        <v>741</v>
      </c>
      <c r="C8" s="587" t="s">
        <v>799</v>
      </c>
      <c r="D8" s="588">
        <v>2013</v>
      </c>
      <c r="E8" s="587" t="s">
        <v>775</v>
      </c>
      <c r="F8" s="588">
        <v>248</v>
      </c>
      <c r="G8" s="588">
        <v>0</v>
      </c>
      <c r="H8" s="588">
        <v>0</v>
      </c>
      <c r="I8" s="588">
        <v>0</v>
      </c>
      <c r="J8" s="588">
        <v>174</v>
      </c>
      <c r="K8" s="588">
        <v>3</v>
      </c>
      <c r="L8" s="588">
        <v>0</v>
      </c>
      <c r="M8" s="588">
        <v>3</v>
      </c>
      <c r="N8" s="588">
        <v>198</v>
      </c>
      <c r="O8" s="588">
        <v>13</v>
      </c>
      <c r="P8" s="588">
        <v>446</v>
      </c>
      <c r="Q8" s="588">
        <v>38</v>
      </c>
      <c r="R8" s="588">
        <v>1066</v>
      </c>
      <c r="S8" s="588">
        <v>54</v>
      </c>
      <c r="T8" s="588">
        <v>2014</v>
      </c>
      <c r="U8" s="588">
        <v>2014</v>
      </c>
      <c r="V8" s="589"/>
      <c r="W8" s="589"/>
      <c r="X8" s="589"/>
      <c r="Y8" s="589"/>
      <c r="Z8" s="589"/>
      <c r="AA8" s="589"/>
      <c r="AB8" s="589"/>
      <c r="AC8" s="589"/>
      <c r="AD8" s="589"/>
      <c r="AE8" s="589"/>
      <c r="AF8" s="589"/>
      <c r="AG8" s="589"/>
      <c r="AH8" s="589"/>
      <c r="AI8" s="589"/>
      <c r="AJ8" s="589"/>
      <c r="AK8" s="589"/>
      <c r="AL8" s="589"/>
      <c r="AM8" s="589"/>
      <c r="AN8" s="589"/>
      <c r="AO8" s="589"/>
      <c r="AP8" s="589"/>
      <c r="AQ8" s="589"/>
      <c r="AR8" s="589"/>
      <c r="AS8" s="589"/>
    </row>
    <row r="9" spans="1:45">
      <c r="A9" s="590" t="s">
        <v>179</v>
      </c>
      <c r="B9" s="591" t="s">
        <v>593</v>
      </c>
      <c r="C9" s="591" t="s">
        <v>855</v>
      </c>
      <c r="D9" s="592">
        <v>2013</v>
      </c>
      <c r="E9" s="591" t="s">
        <v>775</v>
      </c>
      <c r="F9" s="592">
        <v>7</v>
      </c>
      <c r="G9" s="592">
        <v>0</v>
      </c>
      <c r="H9" s="592">
        <v>0</v>
      </c>
      <c r="I9" s="592">
        <v>0</v>
      </c>
      <c r="J9" s="592">
        <v>5</v>
      </c>
      <c r="K9" s="592">
        <v>0</v>
      </c>
      <c r="L9" s="592">
        <v>0</v>
      </c>
      <c r="M9" s="592">
        <v>0</v>
      </c>
      <c r="N9" s="592">
        <v>15</v>
      </c>
      <c r="O9" s="592">
        <v>0</v>
      </c>
      <c r="P9" s="592">
        <v>34</v>
      </c>
      <c r="Q9" s="592">
        <v>7</v>
      </c>
      <c r="R9" s="592">
        <v>61</v>
      </c>
      <c r="S9" s="593">
        <v>7</v>
      </c>
      <c r="T9" s="593">
        <v>2013</v>
      </c>
      <c r="U9" s="593">
        <v>2013</v>
      </c>
      <c r="V9" s="589"/>
      <c r="W9" s="589"/>
      <c r="X9" s="589"/>
      <c r="Y9" s="589"/>
      <c r="Z9" s="589"/>
      <c r="AA9" s="589"/>
      <c r="AB9" s="589"/>
      <c r="AC9" s="589"/>
      <c r="AD9" s="589"/>
      <c r="AE9" s="589"/>
      <c r="AF9" s="589"/>
      <c r="AG9" s="589"/>
      <c r="AH9" s="589"/>
      <c r="AI9" s="589"/>
      <c r="AJ9" s="589"/>
      <c r="AK9" s="589"/>
      <c r="AL9" s="589"/>
      <c r="AM9" s="589"/>
      <c r="AN9" s="589"/>
      <c r="AO9" s="589"/>
      <c r="AP9" s="589"/>
      <c r="AQ9" s="589"/>
      <c r="AR9" s="589"/>
      <c r="AS9" s="589"/>
    </row>
    <row r="10" spans="1:45">
      <c r="A10" s="587" t="s">
        <v>179</v>
      </c>
      <c r="B10" s="587" t="s">
        <v>594</v>
      </c>
      <c r="C10" s="587" t="s">
        <v>855</v>
      </c>
      <c r="D10" s="588">
        <v>2013</v>
      </c>
      <c r="E10" s="587" t="s">
        <v>775</v>
      </c>
      <c r="F10" s="588">
        <v>1448</v>
      </c>
      <c r="G10" s="588">
        <v>48</v>
      </c>
      <c r="H10" s="588">
        <v>48</v>
      </c>
      <c r="I10" s="588">
        <v>0</v>
      </c>
      <c r="J10" s="588">
        <v>1101</v>
      </c>
      <c r="K10" s="588">
        <v>2</v>
      </c>
      <c r="L10" s="588">
        <v>2</v>
      </c>
      <c r="M10" s="588">
        <v>0</v>
      </c>
      <c r="N10" s="588">
        <v>1019</v>
      </c>
      <c r="O10" s="588">
        <v>24</v>
      </c>
      <c r="P10" s="588">
        <v>2237</v>
      </c>
      <c r="Q10" s="588">
        <v>12</v>
      </c>
      <c r="R10" s="588">
        <v>5805</v>
      </c>
      <c r="S10" s="588">
        <v>86</v>
      </c>
      <c r="T10" s="588">
        <v>2013</v>
      </c>
      <c r="U10" s="588">
        <v>2013</v>
      </c>
      <c r="V10" s="589"/>
      <c r="W10" s="589"/>
      <c r="X10" s="589"/>
      <c r="Y10" s="589"/>
      <c r="Z10" s="589"/>
      <c r="AA10" s="589"/>
      <c r="AB10" s="589"/>
      <c r="AC10" s="589"/>
      <c r="AD10" s="589"/>
      <c r="AE10" s="589"/>
      <c r="AF10" s="589"/>
      <c r="AG10" s="589"/>
      <c r="AH10" s="589"/>
      <c r="AI10" s="589"/>
      <c r="AJ10" s="589"/>
      <c r="AK10" s="589"/>
      <c r="AL10" s="589"/>
      <c r="AM10" s="589"/>
      <c r="AN10" s="589"/>
      <c r="AO10" s="589"/>
      <c r="AP10" s="589"/>
      <c r="AQ10" s="589"/>
      <c r="AR10" s="589"/>
      <c r="AS10" s="589"/>
    </row>
    <row r="11" spans="1:45">
      <c r="A11" s="590" t="s">
        <v>139</v>
      </c>
      <c r="B11" s="591" t="s">
        <v>287</v>
      </c>
      <c r="C11" s="591" t="s">
        <v>799</v>
      </c>
      <c r="D11" s="592">
        <v>2013</v>
      </c>
      <c r="E11" s="591" t="s">
        <v>775</v>
      </c>
      <c r="F11" s="592">
        <v>1086</v>
      </c>
      <c r="G11" s="592">
        <v>42</v>
      </c>
      <c r="H11" s="592">
        <v>42</v>
      </c>
      <c r="I11" s="592">
        <v>0</v>
      </c>
      <c r="J11" s="592">
        <v>762</v>
      </c>
      <c r="K11" s="592">
        <v>29</v>
      </c>
      <c r="L11" s="592">
        <v>29</v>
      </c>
      <c r="M11" s="592">
        <v>0</v>
      </c>
      <c r="N11" s="592">
        <v>823</v>
      </c>
      <c r="O11" s="592">
        <v>7</v>
      </c>
      <c r="P11" s="592">
        <v>1757</v>
      </c>
      <c r="Q11" s="592">
        <v>685</v>
      </c>
      <c r="R11" s="592">
        <v>4428</v>
      </c>
      <c r="S11" s="593">
        <v>763</v>
      </c>
      <c r="T11" s="593">
        <v>2014</v>
      </c>
      <c r="U11" s="593">
        <v>2014</v>
      </c>
      <c r="V11" s="589"/>
      <c r="W11" s="589"/>
      <c r="X11" s="589"/>
      <c r="Y11" s="589"/>
      <c r="Z11" s="589"/>
      <c r="AA11" s="589"/>
      <c r="AB11" s="589"/>
      <c r="AC11" s="589"/>
      <c r="AD11" s="589"/>
      <c r="AE11" s="589"/>
      <c r="AF11" s="589"/>
      <c r="AG11" s="589"/>
      <c r="AH11" s="589"/>
      <c r="AI11" s="589"/>
      <c r="AJ11" s="589"/>
      <c r="AK11" s="589"/>
      <c r="AL11" s="589"/>
      <c r="AM11" s="589"/>
      <c r="AN11" s="589"/>
      <c r="AO11" s="589"/>
      <c r="AP11" s="589"/>
      <c r="AQ11" s="589"/>
      <c r="AR11" s="589"/>
      <c r="AS11" s="589"/>
    </row>
    <row r="12" spans="1:45">
      <c r="A12" s="587" t="s">
        <v>174</v>
      </c>
      <c r="B12" s="587" t="s">
        <v>557</v>
      </c>
      <c r="C12" s="587" t="s">
        <v>799</v>
      </c>
      <c r="D12" s="588">
        <v>2013</v>
      </c>
      <c r="E12" s="587" t="s">
        <v>775</v>
      </c>
      <c r="F12" s="588">
        <v>2035</v>
      </c>
      <c r="G12" s="588">
        <v>0</v>
      </c>
      <c r="H12" s="588">
        <v>0</v>
      </c>
      <c r="I12" s="588">
        <v>0</v>
      </c>
      <c r="J12" s="588">
        <v>1427</v>
      </c>
      <c r="K12" s="588">
        <v>0</v>
      </c>
      <c r="L12" s="588">
        <v>0</v>
      </c>
      <c r="M12" s="588">
        <v>0</v>
      </c>
      <c r="N12" s="588">
        <v>1377</v>
      </c>
      <c r="O12" s="588">
        <v>173</v>
      </c>
      <c r="P12" s="588">
        <v>2563</v>
      </c>
      <c r="Q12" s="588">
        <v>196</v>
      </c>
      <c r="R12" s="588">
        <v>7402</v>
      </c>
      <c r="S12" s="588">
        <v>369</v>
      </c>
      <c r="T12" s="588">
        <v>2014</v>
      </c>
      <c r="U12" s="588">
        <v>2014</v>
      </c>
      <c r="V12" s="589"/>
      <c r="W12" s="589"/>
      <c r="X12" s="589"/>
      <c r="Y12" s="589"/>
      <c r="Z12" s="589"/>
      <c r="AA12" s="589"/>
      <c r="AB12" s="589"/>
      <c r="AC12" s="589"/>
      <c r="AD12" s="589"/>
      <c r="AE12" s="589"/>
      <c r="AF12" s="589"/>
      <c r="AG12" s="589"/>
      <c r="AH12" s="589"/>
      <c r="AI12" s="589"/>
      <c r="AJ12" s="589"/>
      <c r="AK12" s="589"/>
      <c r="AL12" s="589"/>
      <c r="AM12" s="589"/>
      <c r="AN12" s="589"/>
      <c r="AO12" s="589"/>
      <c r="AP12" s="589"/>
      <c r="AQ12" s="589"/>
      <c r="AR12" s="589"/>
      <c r="AS12" s="589"/>
    </row>
    <row r="13" spans="1:45">
      <c r="A13" s="590" t="s">
        <v>179</v>
      </c>
      <c r="B13" s="591" t="s">
        <v>595</v>
      </c>
      <c r="C13" s="591" t="s">
        <v>855</v>
      </c>
      <c r="D13" s="592">
        <v>2013</v>
      </c>
      <c r="E13" s="591" t="s">
        <v>775</v>
      </c>
      <c r="F13" s="592">
        <v>587</v>
      </c>
      <c r="G13" s="592">
        <v>32</v>
      </c>
      <c r="H13" s="592">
        <v>31</v>
      </c>
      <c r="I13" s="592">
        <v>1</v>
      </c>
      <c r="J13" s="592">
        <v>446</v>
      </c>
      <c r="K13" s="592">
        <v>10</v>
      </c>
      <c r="L13" s="592">
        <v>9</v>
      </c>
      <c r="M13" s="592">
        <v>1</v>
      </c>
      <c r="N13" s="592">
        <v>413</v>
      </c>
      <c r="O13" s="592">
        <v>0</v>
      </c>
      <c r="P13" s="592">
        <v>907</v>
      </c>
      <c r="Q13" s="592">
        <v>283</v>
      </c>
      <c r="R13" s="592">
        <v>2353</v>
      </c>
      <c r="S13" s="593">
        <v>325</v>
      </c>
      <c r="T13" s="593">
        <v>2013</v>
      </c>
      <c r="U13" s="593">
        <v>2013</v>
      </c>
      <c r="V13" s="589"/>
      <c r="W13" s="589"/>
      <c r="X13" s="589"/>
      <c r="Y13" s="589"/>
      <c r="Z13" s="589"/>
      <c r="AA13" s="589"/>
      <c r="AB13" s="589"/>
      <c r="AC13" s="589"/>
      <c r="AD13" s="589"/>
      <c r="AE13" s="589"/>
      <c r="AF13" s="589"/>
      <c r="AG13" s="589"/>
      <c r="AH13" s="589"/>
      <c r="AI13" s="589"/>
      <c r="AJ13" s="589"/>
      <c r="AK13" s="589"/>
      <c r="AL13" s="589"/>
      <c r="AM13" s="589"/>
      <c r="AN13" s="589"/>
      <c r="AO13" s="589"/>
      <c r="AP13" s="589"/>
      <c r="AQ13" s="589"/>
      <c r="AR13" s="589"/>
      <c r="AS13" s="589"/>
    </row>
    <row r="14" spans="1:45">
      <c r="A14" s="587" t="s">
        <v>179</v>
      </c>
      <c r="B14" s="587" t="s">
        <v>596</v>
      </c>
      <c r="C14" s="587" t="s">
        <v>855</v>
      </c>
      <c r="D14" s="588">
        <v>2013</v>
      </c>
      <c r="E14" s="587" t="s">
        <v>775</v>
      </c>
      <c r="F14" s="588">
        <v>1042</v>
      </c>
      <c r="G14" s="588">
        <v>46</v>
      </c>
      <c r="H14" s="588">
        <v>46</v>
      </c>
      <c r="I14" s="588">
        <v>0</v>
      </c>
      <c r="J14" s="588">
        <v>791</v>
      </c>
      <c r="K14" s="588">
        <v>44</v>
      </c>
      <c r="L14" s="588">
        <v>44</v>
      </c>
      <c r="M14" s="588">
        <v>0</v>
      </c>
      <c r="N14" s="588">
        <v>733</v>
      </c>
      <c r="O14" s="588">
        <v>7</v>
      </c>
      <c r="P14" s="588">
        <v>1609</v>
      </c>
      <c r="Q14" s="588">
        <v>497</v>
      </c>
      <c r="R14" s="588">
        <v>4175</v>
      </c>
      <c r="S14" s="588">
        <v>594</v>
      </c>
      <c r="T14" s="588">
        <v>2013</v>
      </c>
      <c r="U14" s="588">
        <v>2013</v>
      </c>
      <c r="V14" s="589"/>
      <c r="W14" s="589"/>
      <c r="X14" s="589"/>
      <c r="Y14" s="589"/>
      <c r="Z14" s="589"/>
      <c r="AA14" s="589"/>
      <c r="AB14" s="589"/>
      <c r="AC14" s="589"/>
      <c r="AD14" s="589"/>
      <c r="AE14" s="589"/>
      <c r="AF14" s="589"/>
      <c r="AG14" s="589"/>
      <c r="AH14" s="589"/>
      <c r="AI14" s="589"/>
      <c r="AJ14" s="589"/>
      <c r="AK14" s="589"/>
      <c r="AL14" s="589"/>
      <c r="AM14" s="589"/>
      <c r="AN14" s="589"/>
      <c r="AO14" s="589"/>
      <c r="AP14" s="589"/>
      <c r="AQ14" s="589"/>
      <c r="AR14" s="589"/>
      <c r="AS14" s="589"/>
    </row>
    <row r="15" spans="1:45">
      <c r="A15" s="590" t="s">
        <v>174</v>
      </c>
      <c r="B15" s="591" t="s">
        <v>558</v>
      </c>
      <c r="C15" s="591" t="s">
        <v>799</v>
      </c>
      <c r="D15" s="592">
        <v>2013</v>
      </c>
      <c r="E15" s="591" t="s">
        <v>775</v>
      </c>
      <c r="F15" s="592">
        <v>1218</v>
      </c>
      <c r="G15" s="592">
        <v>0</v>
      </c>
      <c r="H15" s="592">
        <v>0</v>
      </c>
      <c r="I15" s="592">
        <v>0</v>
      </c>
      <c r="J15" s="592">
        <v>854</v>
      </c>
      <c r="K15" s="592">
        <v>0</v>
      </c>
      <c r="L15" s="592">
        <v>0</v>
      </c>
      <c r="M15" s="592">
        <v>0</v>
      </c>
      <c r="N15" s="592">
        <v>862</v>
      </c>
      <c r="O15" s="592">
        <v>28</v>
      </c>
      <c r="P15" s="592">
        <v>1699</v>
      </c>
      <c r="Q15" s="592">
        <v>302</v>
      </c>
      <c r="R15" s="592">
        <v>4633</v>
      </c>
      <c r="S15" s="593">
        <v>330</v>
      </c>
      <c r="T15" s="593">
        <v>2014</v>
      </c>
      <c r="U15" s="593">
        <v>2014</v>
      </c>
      <c r="V15" s="589"/>
      <c r="W15" s="589"/>
      <c r="X15" s="589"/>
      <c r="Y15" s="589"/>
      <c r="Z15" s="589"/>
      <c r="AA15" s="589"/>
      <c r="AB15" s="589"/>
      <c r="AC15" s="589"/>
      <c r="AD15" s="589"/>
      <c r="AE15" s="589"/>
      <c r="AF15" s="589"/>
      <c r="AG15" s="589"/>
      <c r="AH15" s="589"/>
      <c r="AI15" s="589"/>
      <c r="AJ15" s="589"/>
      <c r="AK15" s="589"/>
      <c r="AL15" s="589"/>
      <c r="AM15" s="589"/>
      <c r="AN15" s="589"/>
      <c r="AO15" s="589"/>
      <c r="AP15" s="589"/>
      <c r="AQ15" s="589"/>
      <c r="AR15" s="589"/>
      <c r="AS15" s="589"/>
    </row>
    <row r="16" spans="1:45">
      <c r="A16" s="587" t="s">
        <v>174</v>
      </c>
      <c r="B16" s="587" t="s">
        <v>559</v>
      </c>
      <c r="C16" s="587" t="s">
        <v>799</v>
      </c>
      <c r="D16" s="588">
        <v>2013</v>
      </c>
      <c r="E16" s="587" t="s">
        <v>775</v>
      </c>
      <c r="F16" s="588">
        <v>131</v>
      </c>
      <c r="G16" s="588">
        <v>0</v>
      </c>
      <c r="H16" s="588">
        <v>0</v>
      </c>
      <c r="I16" s="588">
        <v>0</v>
      </c>
      <c r="J16" s="588">
        <v>91</v>
      </c>
      <c r="K16" s="588">
        <v>0</v>
      </c>
      <c r="L16" s="588">
        <v>0</v>
      </c>
      <c r="M16" s="588">
        <v>0</v>
      </c>
      <c r="N16" s="588">
        <v>126</v>
      </c>
      <c r="O16" s="588">
        <v>0</v>
      </c>
      <c r="P16" s="588">
        <v>331</v>
      </c>
      <c r="Q16" s="588">
        <v>41</v>
      </c>
      <c r="R16" s="588">
        <v>679</v>
      </c>
      <c r="S16" s="588">
        <v>41</v>
      </c>
      <c r="T16" s="588">
        <v>2014</v>
      </c>
      <c r="U16" s="588">
        <v>2014</v>
      </c>
      <c r="V16" s="589"/>
      <c r="W16" s="589"/>
      <c r="X16" s="589"/>
      <c r="Y16" s="589"/>
      <c r="Z16" s="589"/>
      <c r="AA16" s="589"/>
      <c r="AB16" s="589"/>
      <c r="AC16" s="589"/>
      <c r="AD16" s="589"/>
      <c r="AE16" s="589"/>
      <c r="AF16" s="589"/>
      <c r="AG16" s="589"/>
      <c r="AH16" s="589"/>
      <c r="AI16" s="589"/>
      <c r="AJ16" s="589"/>
      <c r="AK16" s="589"/>
      <c r="AL16" s="589"/>
      <c r="AM16" s="589"/>
      <c r="AN16" s="589"/>
      <c r="AO16" s="589"/>
      <c r="AP16" s="589"/>
      <c r="AQ16" s="589"/>
      <c r="AR16" s="589"/>
      <c r="AS16" s="589"/>
    </row>
    <row r="17" spans="1:45">
      <c r="A17" s="590" t="s">
        <v>179</v>
      </c>
      <c r="B17" s="591" t="s">
        <v>597</v>
      </c>
      <c r="C17" s="591" t="s">
        <v>855</v>
      </c>
      <c r="D17" s="592">
        <v>2013</v>
      </c>
      <c r="E17" s="591" t="s">
        <v>775</v>
      </c>
      <c r="F17" s="592">
        <v>63</v>
      </c>
      <c r="G17" s="592">
        <v>3</v>
      </c>
      <c r="H17" s="592">
        <v>3</v>
      </c>
      <c r="I17" s="592">
        <v>0</v>
      </c>
      <c r="J17" s="592">
        <v>48</v>
      </c>
      <c r="K17" s="592">
        <v>26</v>
      </c>
      <c r="L17" s="592">
        <v>26</v>
      </c>
      <c r="M17" s="592">
        <v>0</v>
      </c>
      <c r="N17" s="592">
        <v>45</v>
      </c>
      <c r="O17" s="592">
        <v>5</v>
      </c>
      <c r="P17" s="592">
        <v>98</v>
      </c>
      <c r="Q17" s="592">
        <v>22</v>
      </c>
      <c r="R17" s="592">
        <v>254</v>
      </c>
      <c r="S17" s="593">
        <v>56</v>
      </c>
      <c r="T17" s="593">
        <v>2013</v>
      </c>
      <c r="U17" s="593">
        <v>2013</v>
      </c>
      <c r="V17" s="589"/>
      <c r="W17" s="589"/>
      <c r="X17" s="589"/>
      <c r="Y17" s="589"/>
      <c r="Z17" s="589"/>
      <c r="AA17" s="589"/>
      <c r="AB17" s="589"/>
      <c r="AC17" s="589"/>
      <c r="AD17" s="589"/>
      <c r="AE17" s="589"/>
      <c r="AF17" s="589"/>
      <c r="AG17" s="589"/>
      <c r="AH17" s="589"/>
      <c r="AI17" s="589"/>
      <c r="AJ17" s="589"/>
      <c r="AK17" s="589"/>
      <c r="AL17" s="589"/>
      <c r="AM17" s="589"/>
      <c r="AN17" s="589"/>
      <c r="AO17" s="589"/>
      <c r="AP17" s="589"/>
      <c r="AQ17" s="589"/>
      <c r="AR17" s="589"/>
      <c r="AS17" s="589"/>
    </row>
    <row r="18" spans="1:45">
      <c r="A18" s="587" t="s">
        <v>179</v>
      </c>
      <c r="B18" s="587" t="s">
        <v>598</v>
      </c>
      <c r="C18" s="587" t="s">
        <v>855</v>
      </c>
      <c r="D18" s="588">
        <v>2013</v>
      </c>
      <c r="E18" s="587" t="s">
        <v>775</v>
      </c>
      <c r="F18" s="588">
        <v>430</v>
      </c>
      <c r="G18" s="588">
        <v>18</v>
      </c>
      <c r="H18" s="588">
        <v>18</v>
      </c>
      <c r="I18" s="588">
        <v>0</v>
      </c>
      <c r="J18" s="588">
        <v>326</v>
      </c>
      <c r="K18" s="588">
        <v>0</v>
      </c>
      <c r="L18" s="588">
        <v>0</v>
      </c>
      <c r="M18" s="588">
        <v>0</v>
      </c>
      <c r="N18" s="588">
        <v>302</v>
      </c>
      <c r="O18" s="588">
        <v>279</v>
      </c>
      <c r="P18" s="588">
        <v>664</v>
      </c>
      <c r="Q18" s="588">
        <v>241</v>
      </c>
      <c r="R18" s="588">
        <v>1722</v>
      </c>
      <c r="S18" s="588">
        <v>538</v>
      </c>
      <c r="T18" s="588">
        <v>2013</v>
      </c>
      <c r="U18" s="588">
        <v>2013</v>
      </c>
      <c r="V18" s="589"/>
      <c r="W18" s="589"/>
      <c r="X18" s="589"/>
      <c r="Y18" s="589"/>
      <c r="Z18" s="589"/>
      <c r="AA18" s="589"/>
      <c r="AB18" s="589"/>
      <c r="AC18" s="589"/>
      <c r="AD18" s="589"/>
      <c r="AE18" s="589"/>
      <c r="AF18" s="589"/>
      <c r="AG18" s="589"/>
      <c r="AH18" s="589"/>
      <c r="AI18" s="589"/>
      <c r="AJ18" s="589"/>
      <c r="AK18" s="589"/>
      <c r="AL18" s="589"/>
      <c r="AM18" s="589"/>
      <c r="AN18" s="589"/>
      <c r="AO18" s="589"/>
      <c r="AP18" s="589"/>
      <c r="AQ18" s="589"/>
      <c r="AR18" s="589"/>
      <c r="AS18" s="589"/>
    </row>
    <row r="19" spans="1:45">
      <c r="A19" s="590" t="s">
        <v>179</v>
      </c>
      <c r="B19" s="591" t="s">
        <v>599</v>
      </c>
      <c r="C19" s="591" t="s">
        <v>855</v>
      </c>
      <c r="D19" s="592">
        <v>2013</v>
      </c>
      <c r="E19" s="591" t="s">
        <v>775</v>
      </c>
      <c r="F19" s="592">
        <v>77</v>
      </c>
      <c r="G19" s="592">
        <v>89</v>
      </c>
      <c r="H19" s="592">
        <v>89</v>
      </c>
      <c r="I19" s="592">
        <v>0</v>
      </c>
      <c r="J19" s="592">
        <v>59</v>
      </c>
      <c r="K19" s="592">
        <v>81</v>
      </c>
      <c r="L19" s="592">
        <v>81</v>
      </c>
      <c r="M19" s="592">
        <v>0</v>
      </c>
      <c r="N19" s="592">
        <v>54</v>
      </c>
      <c r="O19" s="592">
        <v>6</v>
      </c>
      <c r="P19" s="592">
        <v>119</v>
      </c>
      <c r="Q19" s="592">
        <v>1</v>
      </c>
      <c r="R19" s="592">
        <v>309</v>
      </c>
      <c r="S19" s="593">
        <v>177</v>
      </c>
      <c r="T19" s="593">
        <v>2013</v>
      </c>
      <c r="U19" s="593">
        <v>2013</v>
      </c>
      <c r="V19" s="589"/>
      <c r="W19" s="589"/>
      <c r="X19" s="589"/>
      <c r="Y19" s="589"/>
      <c r="Z19" s="589"/>
      <c r="AA19" s="589"/>
      <c r="AB19" s="589"/>
      <c r="AC19" s="589"/>
      <c r="AD19" s="589"/>
      <c r="AE19" s="589"/>
      <c r="AF19" s="589"/>
      <c r="AG19" s="589"/>
      <c r="AH19" s="589"/>
      <c r="AI19" s="589"/>
      <c r="AJ19" s="589"/>
      <c r="AK19" s="589"/>
      <c r="AL19" s="589"/>
      <c r="AM19" s="589"/>
      <c r="AN19" s="589"/>
      <c r="AO19" s="589"/>
      <c r="AP19" s="589"/>
      <c r="AQ19" s="589"/>
      <c r="AR19" s="589"/>
      <c r="AS19" s="589"/>
    </row>
    <row r="20" spans="1:45">
      <c r="A20" s="587" t="s">
        <v>170</v>
      </c>
      <c r="B20" s="587" t="s">
        <v>521</v>
      </c>
      <c r="C20" s="587" t="s">
        <v>799</v>
      </c>
      <c r="D20" s="588">
        <v>2013</v>
      </c>
      <c r="E20" s="587" t="s">
        <v>775</v>
      </c>
      <c r="F20" s="588">
        <v>953</v>
      </c>
      <c r="G20" s="588">
        <v>0</v>
      </c>
      <c r="H20" s="588">
        <v>0</v>
      </c>
      <c r="I20" s="588">
        <v>0</v>
      </c>
      <c r="J20" s="588">
        <v>668</v>
      </c>
      <c r="K20" s="588">
        <v>0</v>
      </c>
      <c r="L20" s="588">
        <v>0</v>
      </c>
      <c r="M20" s="588">
        <v>0</v>
      </c>
      <c r="N20" s="588">
        <v>705</v>
      </c>
      <c r="O20" s="588">
        <v>0</v>
      </c>
      <c r="P20" s="588">
        <v>1464</v>
      </c>
      <c r="Q20" s="588">
        <v>246</v>
      </c>
      <c r="R20" s="588">
        <v>3790</v>
      </c>
      <c r="S20" s="588">
        <v>246</v>
      </c>
      <c r="T20" s="588">
        <v>2014</v>
      </c>
      <c r="U20" s="588">
        <v>2014</v>
      </c>
      <c r="V20" s="589"/>
      <c r="W20" s="589"/>
      <c r="X20" s="589"/>
      <c r="Y20" s="589"/>
      <c r="Z20" s="589"/>
      <c r="AA20" s="589"/>
      <c r="AB20" s="589"/>
      <c r="AC20" s="589"/>
      <c r="AD20" s="589"/>
      <c r="AE20" s="589"/>
      <c r="AF20" s="589"/>
      <c r="AG20" s="589"/>
      <c r="AH20" s="589"/>
      <c r="AI20" s="589"/>
      <c r="AJ20" s="589"/>
      <c r="AK20" s="589"/>
      <c r="AL20" s="589"/>
      <c r="AM20" s="589"/>
      <c r="AN20" s="589"/>
      <c r="AO20" s="589"/>
      <c r="AP20" s="589"/>
      <c r="AQ20" s="589"/>
      <c r="AR20" s="589"/>
      <c r="AS20" s="589"/>
    </row>
    <row r="21" spans="1:45">
      <c r="A21" s="590" t="s">
        <v>196</v>
      </c>
      <c r="B21" s="591" t="s">
        <v>713</v>
      </c>
      <c r="C21" s="591" t="s">
        <v>799</v>
      </c>
      <c r="D21" s="592">
        <v>2013</v>
      </c>
      <c r="E21" s="591" t="s">
        <v>775</v>
      </c>
      <c r="F21" s="592">
        <v>104</v>
      </c>
      <c r="G21" s="592">
        <v>0</v>
      </c>
      <c r="H21" s="592">
        <v>0</v>
      </c>
      <c r="I21" s="592">
        <v>0</v>
      </c>
      <c r="J21" s="592">
        <v>72</v>
      </c>
      <c r="K21" s="592">
        <v>0</v>
      </c>
      <c r="L21" s="592">
        <v>0</v>
      </c>
      <c r="M21" s="592">
        <v>0</v>
      </c>
      <c r="N21" s="592">
        <v>83</v>
      </c>
      <c r="O21" s="592">
        <v>0</v>
      </c>
      <c r="P21" s="592">
        <v>190</v>
      </c>
      <c r="Q21" s="592">
        <v>0</v>
      </c>
      <c r="R21" s="592">
        <v>449</v>
      </c>
      <c r="S21" s="593">
        <v>0</v>
      </c>
      <c r="T21" s="593">
        <v>2014</v>
      </c>
      <c r="U21" s="593">
        <v>2014</v>
      </c>
      <c r="V21" s="589"/>
      <c r="W21" s="589"/>
      <c r="X21" s="589"/>
      <c r="Y21" s="589"/>
      <c r="Z21" s="589"/>
      <c r="AA21" s="589"/>
      <c r="AB21" s="589"/>
      <c r="AC21" s="589"/>
      <c r="AD21" s="589"/>
      <c r="AE21" s="589"/>
      <c r="AF21" s="589"/>
      <c r="AG21" s="589"/>
      <c r="AH21" s="589"/>
      <c r="AI21" s="589"/>
      <c r="AJ21" s="589"/>
      <c r="AK21" s="589"/>
      <c r="AL21" s="589"/>
      <c r="AM21" s="589"/>
      <c r="AN21" s="589"/>
      <c r="AO21" s="589"/>
      <c r="AP21" s="589"/>
      <c r="AQ21" s="589"/>
      <c r="AR21" s="589"/>
      <c r="AS21" s="589"/>
    </row>
    <row r="22" spans="1:45">
      <c r="A22" s="587" t="s">
        <v>179</v>
      </c>
      <c r="B22" s="587" t="s">
        <v>600</v>
      </c>
      <c r="C22" s="587" t="s">
        <v>855</v>
      </c>
      <c r="D22" s="588">
        <v>2013</v>
      </c>
      <c r="E22" s="587" t="s">
        <v>775</v>
      </c>
      <c r="F22" s="588">
        <v>465</v>
      </c>
      <c r="G22" s="588">
        <v>0</v>
      </c>
      <c r="H22" s="588">
        <v>0</v>
      </c>
      <c r="I22" s="588">
        <v>0</v>
      </c>
      <c r="J22" s="588">
        <v>353</v>
      </c>
      <c r="K22" s="588">
        <v>8</v>
      </c>
      <c r="L22" s="588">
        <v>8</v>
      </c>
      <c r="M22" s="588">
        <v>0</v>
      </c>
      <c r="N22" s="588">
        <v>327</v>
      </c>
      <c r="O22" s="588">
        <v>0</v>
      </c>
      <c r="P22" s="588">
        <v>718</v>
      </c>
      <c r="Q22" s="588">
        <v>67</v>
      </c>
      <c r="R22" s="588">
        <v>1863</v>
      </c>
      <c r="S22" s="588">
        <v>75</v>
      </c>
      <c r="T22" s="588">
        <v>2013</v>
      </c>
      <c r="U22" s="588">
        <v>2013</v>
      </c>
      <c r="V22" s="589"/>
      <c r="W22" s="589"/>
      <c r="X22" s="589"/>
      <c r="Y22" s="589"/>
      <c r="Z22" s="589"/>
      <c r="AA22" s="589"/>
      <c r="AB22" s="589"/>
      <c r="AC22" s="589"/>
      <c r="AD22" s="589"/>
      <c r="AE22" s="589"/>
      <c r="AF22" s="589"/>
      <c r="AG22" s="589"/>
      <c r="AH22" s="589"/>
      <c r="AI22" s="589"/>
      <c r="AJ22" s="589"/>
      <c r="AK22" s="589"/>
      <c r="AL22" s="589"/>
      <c r="AM22" s="589"/>
      <c r="AN22" s="589"/>
      <c r="AO22" s="589"/>
      <c r="AP22" s="589"/>
      <c r="AQ22" s="589"/>
      <c r="AR22" s="589"/>
      <c r="AS22" s="589"/>
    </row>
    <row r="23" spans="1:45">
      <c r="A23" s="590" t="s">
        <v>179</v>
      </c>
      <c r="B23" s="591" t="s">
        <v>601</v>
      </c>
      <c r="C23" s="591" t="s">
        <v>855</v>
      </c>
      <c r="D23" s="592">
        <v>2013</v>
      </c>
      <c r="E23" s="591" t="s">
        <v>775</v>
      </c>
      <c r="F23" s="592">
        <v>1549</v>
      </c>
      <c r="G23" s="592">
        <v>267</v>
      </c>
      <c r="H23" s="592">
        <v>244</v>
      </c>
      <c r="I23" s="592">
        <v>23</v>
      </c>
      <c r="J23" s="592">
        <v>1178</v>
      </c>
      <c r="K23" s="592">
        <v>57</v>
      </c>
      <c r="L23" s="592">
        <v>55</v>
      </c>
      <c r="M23" s="592">
        <v>2</v>
      </c>
      <c r="N23" s="592">
        <v>1090</v>
      </c>
      <c r="O23" s="592">
        <v>102</v>
      </c>
      <c r="P23" s="592">
        <v>2393</v>
      </c>
      <c r="Q23" s="592">
        <v>362</v>
      </c>
      <c r="R23" s="592">
        <v>6210</v>
      </c>
      <c r="S23" s="593">
        <v>788</v>
      </c>
      <c r="T23" s="593">
        <v>2013</v>
      </c>
      <c r="U23" s="593">
        <v>2013</v>
      </c>
      <c r="V23" s="589"/>
      <c r="W23" s="589"/>
      <c r="X23" s="589"/>
      <c r="Y23" s="589"/>
      <c r="Z23" s="589"/>
      <c r="AA23" s="589"/>
      <c r="AB23" s="589"/>
      <c r="AC23" s="589"/>
      <c r="AD23" s="589"/>
      <c r="AE23" s="589"/>
      <c r="AF23" s="589"/>
      <c r="AG23" s="589"/>
      <c r="AH23" s="589"/>
      <c r="AI23" s="589"/>
      <c r="AJ23" s="589"/>
      <c r="AK23" s="589"/>
      <c r="AL23" s="589"/>
      <c r="AM23" s="589"/>
      <c r="AN23" s="589"/>
      <c r="AO23" s="589"/>
      <c r="AP23" s="589"/>
      <c r="AQ23" s="589"/>
      <c r="AR23" s="589"/>
      <c r="AS23" s="589"/>
    </row>
    <row r="24" spans="1:45">
      <c r="A24" s="587" t="s">
        <v>170</v>
      </c>
      <c r="B24" s="587" t="s">
        <v>523</v>
      </c>
      <c r="C24" s="587" t="s">
        <v>799</v>
      </c>
      <c r="D24" s="588">
        <v>2013</v>
      </c>
      <c r="E24" s="587" t="s">
        <v>775</v>
      </c>
      <c r="F24" s="588">
        <v>1365</v>
      </c>
      <c r="G24" s="588">
        <v>0</v>
      </c>
      <c r="H24" s="588">
        <v>0</v>
      </c>
      <c r="I24" s="588">
        <v>0</v>
      </c>
      <c r="J24" s="588">
        <v>957</v>
      </c>
      <c r="K24" s="588">
        <v>18</v>
      </c>
      <c r="L24" s="588">
        <v>4</v>
      </c>
      <c r="M24" s="588">
        <v>14</v>
      </c>
      <c r="N24" s="588">
        <v>936</v>
      </c>
      <c r="O24" s="588">
        <v>2</v>
      </c>
      <c r="P24" s="588">
        <v>1773</v>
      </c>
      <c r="Q24" s="588">
        <v>241</v>
      </c>
      <c r="R24" s="588">
        <v>5031</v>
      </c>
      <c r="S24" s="588">
        <v>261</v>
      </c>
      <c r="T24" s="588">
        <v>2014</v>
      </c>
      <c r="U24" s="588">
        <v>2014</v>
      </c>
      <c r="V24" s="589"/>
      <c r="W24" s="589"/>
      <c r="X24" s="589"/>
      <c r="Y24" s="589"/>
      <c r="Z24" s="589"/>
      <c r="AA24" s="589"/>
      <c r="AB24" s="589"/>
      <c r="AC24" s="589"/>
      <c r="AD24" s="589"/>
      <c r="AE24" s="589"/>
      <c r="AF24" s="589"/>
      <c r="AG24" s="589"/>
      <c r="AH24" s="589"/>
      <c r="AI24" s="589"/>
      <c r="AJ24" s="589"/>
      <c r="AK24" s="589"/>
      <c r="AL24" s="589"/>
      <c r="AM24" s="589"/>
      <c r="AN24" s="589"/>
      <c r="AO24" s="589"/>
      <c r="AP24" s="589"/>
      <c r="AQ24" s="589"/>
      <c r="AR24" s="589"/>
      <c r="AS24" s="589"/>
    </row>
    <row r="25" spans="1:45">
      <c r="A25" s="590" t="s">
        <v>139</v>
      </c>
      <c r="B25" s="591" t="s">
        <v>288</v>
      </c>
      <c r="C25" s="591" t="s">
        <v>799</v>
      </c>
      <c r="D25" s="592">
        <v>2013</v>
      </c>
      <c r="E25" s="591" t="s">
        <v>775</v>
      </c>
      <c r="F25" s="592">
        <v>78</v>
      </c>
      <c r="G25" s="592">
        <v>0</v>
      </c>
      <c r="H25" s="592">
        <v>0</v>
      </c>
      <c r="I25" s="592">
        <v>0</v>
      </c>
      <c r="J25" s="592">
        <v>55</v>
      </c>
      <c r="K25" s="592">
        <v>0</v>
      </c>
      <c r="L25" s="592">
        <v>0</v>
      </c>
      <c r="M25" s="592">
        <v>0</v>
      </c>
      <c r="N25" s="592">
        <v>69</v>
      </c>
      <c r="O25" s="592">
        <v>5</v>
      </c>
      <c r="P25" s="592">
        <v>170</v>
      </c>
      <c r="Q25" s="592">
        <v>47</v>
      </c>
      <c r="R25" s="592">
        <v>372</v>
      </c>
      <c r="S25" s="593">
        <v>52</v>
      </c>
      <c r="T25" s="593">
        <v>2014</v>
      </c>
      <c r="U25" s="593">
        <v>2014</v>
      </c>
      <c r="V25" s="589"/>
      <c r="W25" s="589"/>
      <c r="X25" s="589"/>
      <c r="Y25" s="589"/>
      <c r="Z25" s="589"/>
      <c r="AA25" s="589"/>
      <c r="AB25" s="589"/>
      <c r="AC25" s="589"/>
      <c r="AD25" s="589"/>
      <c r="AE25" s="589"/>
      <c r="AF25" s="589"/>
      <c r="AG25" s="589"/>
      <c r="AH25" s="589"/>
      <c r="AI25" s="589"/>
      <c r="AJ25" s="589"/>
      <c r="AK25" s="589"/>
      <c r="AL25" s="589"/>
      <c r="AM25" s="589"/>
      <c r="AN25" s="589"/>
      <c r="AO25" s="589"/>
      <c r="AP25" s="589"/>
      <c r="AQ25" s="589"/>
      <c r="AR25" s="589"/>
      <c r="AS25" s="589"/>
    </row>
    <row r="26" spans="1:45">
      <c r="A26" s="587" t="s">
        <v>179</v>
      </c>
      <c r="B26" s="587" t="s">
        <v>602</v>
      </c>
      <c r="C26" s="587" t="s">
        <v>855</v>
      </c>
      <c r="D26" s="588">
        <v>2013</v>
      </c>
      <c r="E26" s="587" t="s">
        <v>775</v>
      </c>
      <c r="F26" s="588">
        <v>201</v>
      </c>
      <c r="G26" s="588">
        <v>26</v>
      </c>
      <c r="H26" s="588">
        <v>26</v>
      </c>
      <c r="I26" s="588">
        <v>0</v>
      </c>
      <c r="J26" s="588">
        <v>152</v>
      </c>
      <c r="K26" s="588">
        <v>26</v>
      </c>
      <c r="L26" s="588">
        <v>26</v>
      </c>
      <c r="M26" s="588">
        <v>0</v>
      </c>
      <c r="N26" s="588">
        <v>282</v>
      </c>
      <c r="O26" s="588">
        <v>0</v>
      </c>
      <c r="P26" s="588">
        <v>618</v>
      </c>
      <c r="Q26" s="588">
        <v>64</v>
      </c>
      <c r="R26" s="588">
        <v>1253</v>
      </c>
      <c r="S26" s="588">
        <v>116</v>
      </c>
      <c r="T26" s="588">
        <v>2013</v>
      </c>
      <c r="U26" s="588">
        <v>2013</v>
      </c>
      <c r="V26" s="589"/>
      <c r="W26" s="589"/>
      <c r="X26" s="589"/>
      <c r="Y26" s="589"/>
      <c r="Z26" s="589"/>
      <c r="AA26" s="589"/>
      <c r="AB26" s="589"/>
      <c r="AC26" s="589"/>
      <c r="AD26" s="589"/>
      <c r="AE26" s="589"/>
      <c r="AF26" s="589"/>
      <c r="AG26" s="589"/>
      <c r="AH26" s="589"/>
      <c r="AI26" s="589"/>
      <c r="AJ26" s="589"/>
      <c r="AK26" s="589"/>
      <c r="AL26" s="589"/>
      <c r="AM26" s="589"/>
      <c r="AN26" s="589"/>
      <c r="AO26" s="589"/>
      <c r="AP26" s="589"/>
      <c r="AQ26" s="589"/>
      <c r="AR26" s="589"/>
      <c r="AS26" s="589"/>
    </row>
    <row r="27" spans="1:45">
      <c r="A27" s="590" t="s">
        <v>174</v>
      </c>
      <c r="B27" s="591" t="s">
        <v>561</v>
      </c>
      <c r="C27" s="591" t="s">
        <v>799</v>
      </c>
      <c r="D27" s="592">
        <v>2013</v>
      </c>
      <c r="E27" s="591" t="s">
        <v>775</v>
      </c>
      <c r="F27" s="592">
        <v>1539</v>
      </c>
      <c r="G27" s="592">
        <v>0</v>
      </c>
      <c r="H27" s="592">
        <v>0</v>
      </c>
      <c r="I27" s="592">
        <v>0</v>
      </c>
      <c r="J27" s="592">
        <v>1079</v>
      </c>
      <c r="K27" s="592">
        <v>0</v>
      </c>
      <c r="L27" s="592">
        <v>0</v>
      </c>
      <c r="M27" s="592">
        <v>0</v>
      </c>
      <c r="N27" s="592">
        <v>1303</v>
      </c>
      <c r="O27" s="592">
        <v>0</v>
      </c>
      <c r="P27" s="592">
        <v>3087</v>
      </c>
      <c r="Q27" s="592">
        <v>331</v>
      </c>
      <c r="R27" s="592">
        <v>7008</v>
      </c>
      <c r="S27" s="593">
        <v>331</v>
      </c>
      <c r="T27" s="593">
        <v>2014</v>
      </c>
      <c r="U27" s="593">
        <v>2014</v>
      </c>
      <c r="V27" s="589"/>
      <c r="W27" s="589"/>
      <c r="X27" s="589"/>
      <c r="Y27" s="589"/>
      <c r="Z27" s="589"/>
      <c r="AA27" s="589"/>
      <c r="AB27" s="589"/>
      <c r="AC27" s="589"/>
      <c r="AD27" s="589"/>
      <c r="AE27" s="589"/>
      <c r="AF27" s="589"/>
      <c r="AG27" s="589"/>
      <c r="AH27" s="589"/>
      <c r="AI27" s="589"/>
      <c r="AJ27" s="589"/>
      <c r="AK27" s="589"/>
      <c r="AL27" s="589"/>
      <c r="AM27" s="589"/>
      <c r="AN27" s="589"/>
      <c r="AO27" s="589"/>
      <c r="AP27" s="589"/>
      <c r="AQ27" s="589"/>
      <c r="AR27" s="589"/>
      <c r="AS27" s="589"/>
    </row>
    <row r="28" spans="1:45">
      <c r="A28" s="587" t="s">
        <v>170</v>
      </c>
      <c r="B28" s="587" t="s">
        <v>524</v>
      </c>
      <c r="C28" s="587" t="s">
        <v>799</v>
      </c>
      <c r="D28" s="588">
        <v>2013</v>
      </c>
      <c r="E28" s="587" t="s">
        <v>775</v>
      </c>
      <c r="F28" s="588">
        <v>1040</v>
      </c>
      <c r="G28" s="588">
        <v>0</v>
      </c>
      <c r="H28" s="588">
        <v>0</v>
      </c>
      <c r="I28" s="588">
        <v>0</v>
      </c>
      <c r="J28" s="588">
        <v>729</v>
      </c>
      <c r="K28" s="588">
        <v>0</v>
      </c>
      <c r="L28" s="588">
        <v>0</v>
      </c>
      <c r="M28" s="588">
        <v>0</v>
      </c>
      <c r="N28" s="588">
        <v>709</v>
      </c>
      <c r="O28" s="588">
        <v>0</v>
      </c>
      <c r="P28" s="588">
        <v>1335</v>
      </c>
      <c r="Q28" s="588">
        <v>0</v>
      </c>
      <c r="R28" s="588">
        <v>3813</v>
      </c>
      <c r="S28" s="588">
        <v>0</v>
      </c>
      <c r="T28" s="588">
        <v>2014</v>
      </c>
      <c r="U28" s="588">
        <v>2014</v>
      </c>
      <c r="V28" s="589"/>
      <c r="W28" s="589"/>
      <c r="X28" s="589"/>
      <c r="Y28" s="589"/>
      <c r="Z28" s="589"/>
      <c r="AA28" s="589"/>
      <c r="AB28" s="589"/>
      <c r="AC28" s="589"/>
      <c r="AD28" s="589"/>
      <c r="AE28" s="589"/>
      <c r="AF28" s="589"/>
      <c r="AG28" s="589"/>
      <c r="AH28" s="589"/>
      <c r="AI28" s="589"/>
      <c r="AJ28" s="589"/>
      <c r="AK28" s="589"/>
      <c r="AL28" s="589"/>
      <c r="AM28" s="589"/>
      <c r="AN28" s="589"/>
      <c r="AO28" s="589"/>
      <c r="AP28" s="589"/>
      <c r="AQ28" s="589"/>
      <c r="AR28" s="589"/>
      <c r="AS28" s="589"/>
    </row>
    <row r="29" spans="1:45">
      <c r="A29" s="590" t="s">
        <v>170</v>
      </c>
      <c r="B29" s="591" t="s">
        <v>525</v>
      </c>
      <c r="C29" s="591" t="s">
        <v>799</v>
      </c>
      <c r="D29" s="592">
        <v>2013</v>
      </c>
      <c r="E29" s="591" t="s">
        <v>775</v>
      </c>
      <c r="F29" s="592">
        <v>2268</v>
      </c>
      <c r="G29" s="592">
        <v>0</v>
      </c>
      <c r="H29" s="592">
        <v>0</v>
      </c>
      <c r="I29" s="592">
        <v>0</v>
      </c>
      <c r="J29" s="592">
        <v>1590</v>
      </c>
      <c r="K29" s="592">
        <v>0</v>
      </c>
      <c r="L29" s="592">
        <v>0</v>
      </c>
      <c r="M29" s="592">
        <v>0</v>
      </c>
      <c r="N29" s="592">
        <v>1577</v>
      </c>
      <c r="O29" s="592">
        <v>142</v>
      </c>
      <c r="P29" s="592">
        <v>3043</v>
      </c>
      <c r="Q29" s="592">
        <v>384</v>
      </c>
      <c r="R29" s="592">
        <v>8478</v>
      </c>
      <c r="S29" s="593">
        <v>526</v>
      </c>
      <c r="T29" s="593">
        <v>2014</v>
      </c>
      <c r="U29" s="593">
        <v>2014</v>
      </c>
      <c r="V29" s="589"/>
      <c r="W29" s="589"/>
      <c r="X29" s="589"/>
      <c r="Y29" s="589"/>
      <c r="Z29" s="589"/>
      <c r="AA29" s="589"/>
      <c r="AB29" s="589"/>
      <c r="AC29" s="589"/>
      <c r="AD29" s="589"/>
      <c r="AE29" s="589"/>
      <c r="AF29" s="589"/>
      <c r="AG29" s="589"/>
      <c r="AH29" s="589"/>
      <c r="AI29" s="589"/>
      <c r="AJ29" s="589"/>
      <c r="AK29" s="589"/>
      <c r="AL29" s="589"/>
      <c r="AM29" s="589"/>
      <c r="AN29" s="589"/>
      <c r="AO29" s="589"/>
      <c r="AP29" s="589"/>
      <c r="AQ29" s="589"/>
      <c r="AR29" s="589"/>
      <c r="AS29" s="589"/>
    </row>
    <row r="30" spans="1:45">
      <c r="A30" s="587" t="s">
        <v>174</v>
      </c>
      <c r="B30" s="587" t="s">
        <v>174</v>
      </c>
      <c r="C30" s="587" t="s">
        <v>799</v>
      </c>
      <c r="D30" s="588">
        <v>2013</v>
      </c>
      <c r="E30" s="587" t="s">
        <v>775</v>
      </c>
      <c r="F30" s="588">
        <v>4944</v>
      </c>
      <c r="G30" s="588">
        <v>95</v>
      </c>
      <c r="H30" s="588">
        <v>62</v>
      </c>
      <c r="I30" s="588">
        <v>33</v>
      </c>
      <c r="J30" s="588">
        <v>3467</v>
      </c>
      <c r="K30" s="588">
        <v>137</v>
      </c>
      <c r="L30" s="588">
        <v>24</v>
      </c>
      <c r="M30" s="588">
        <v>113</v>
      </c>
      <c r="N30" s="588">
        <v>4482</v>
      </c>
      <c r="O30" s="588">
        <v>34</v>
      </c>
      <c r="P30" s="588">
        <v>11208</v>
      </c>
      <c r="Q30" s="588">
        <v>153</v>
      </c>
      <c r="R30" s="588">
        <v>24101</v>
      </c>
      <c r="S30" s="588">
        <v>419</v>
      </c>
      <c r="T30" s="588">
        <v>2014</v>
      </c>
      <c r="U30" s="588">
        <v>2014</v>
      </c>
      <c r="V30" s="589"/>
      <c r="W30" s="589"/>
      <c r="X30" s="589"/>
      <c r="Y30" s="589"/>
      <c r="Z30" s="589"/>
      <c r="AA30" s="589"/>
      <c r="AB30" s="589"/>
      <c r="AC30" s="589"/>
      <c r="AD30" s="589"/>
      <c r="AE30" s="589"/>
      <c r="AF30" s="589"/>
      <c r="AG30" s="589"/>
      <c r="AH30" s="589"/>
      <c r="AI30" s="589"/>
      <c r="AJ30" s="589"/>
      <c r="AK30" s="589"/>
      <c r="AL30" s="589"/>
      <c r="AM30" s="589"/>
      <c r="AN30" s="589"/>
      <c r="AO30" s="589"/>
      <c r="AP30" s="589"/>
      <c r="AQ30" s="589"/>
      <c r="AR30" s="589"/>
      <c r="AS30" s="589"/>
    </row>
    <row r="31" spans="1:45">
      <c r="A31" s="590" t="s">
        <v>174</v>
      </c>
      <c r="B31" s="591" t="s">
        <v>562</v>
      </c>
      <c r="C31" s="591" t="s">
        <v>799</v>
      </c>
      <c r="D31" s="592">
        <v>2013</v>
      </c>
      <c r="E31" s="591" t="s">
        <v>775</v>
      </c>
      <c r="F31" s="592">
        <v>3149</v>
      </c>
      <c r="G31" s="592">
        <v>0</v>
      </c>
      <c r="H31" s="592">
        <v>0</v>
      </c>
      <c r="I31" s="592">
        <v>0</v>
      </c>
      <c r="J31" s="592">
        <v>2208</v>
      </c>
      <c r="K31" s="592">
        <v>0</v>
      </c>
      <c r="L31" s="592">
        <v>0</v>
      </c>
      <c r="M31" s="592">
        <v>0</v>
      </c>
      <c r="N31" s="592">
        <v>2574</v>
      </c>
      <c r="O31" s="592">
        <v>137</v>
      </c>
      <c r="P31" s="592">
        <v>5913</v>
      </c>
      <c r="Q31" s="592">
        <v>268</v>
      </c>
      <c r="R31" s="592">
        <v>13844</v>
      </c>
      <c r="S31" s="593">
        <v>405</v>
      </c>
      <c r="T31" s="593">
        <v>2014</v>
      </c>
      <c r="U31" s="593">
        <v>2014</v>
      </c>
      <c r="V31" s="589"/>
      <c r="W31" s="589"/>
      <c r="X31" s="589"/>
      <c r="Y31" s="589"/>
      <c r="Z31" s="589"/>
      <c r="AA31" s="589"/>
      <c r="AB31" s="589"/>
      <c r="AC31" s="589"/>
      <c r="AD31" s="589"/>
      <c r="AE31" s="589"/>
      <c r="AF31" s="589"/>
      <c r="AG31" s="589"/>
      <c r="AH31" s="589"/>
      <c r="AI31" s="589"/>
      <c r="AJ31" s="589"/>
      <c r="AK31" s="589"/>
      <c r="AL31" s="589"/>
      <c r="AM31" s="589"/>
      <c r="AN31" s="589"/>
      <c r="AO31" s="589"/>
      <c r="AP31" s="589"/>
      <c r="AQ31" s="589"/>
      <c r="AR31" s="589"/>
      <c r="AS31" s="589"/>
    </row>
    <row r="32" spans="1:45">
      <c r="A32" s="587" t="s">
        <v>179</v>
      </c>
      <c r="B32" s="587" t="s">
        <v>179</v>
      </c>
      <c r="C32" s="587" t="s">
        <v>855</v>
      </c>
      <c r="D32" s="588">
        <v>2013</v>
      </c>
      <c r="E32" s="587" t="s">
        <v>775</v>
      </c>
      <c r="F32" s="588">
        <v>21977</v>
      </c>
      <c r="G32" s="588">
        <v>609</v>
      </c>
      <c r="H32" s="588">
        <v>609</v>
      </c>
      <c r="I32" s="588">
        <v>0</v>
      </c>
      <c r="J32" s="588">
        <v>16703</v>
      </c>
      <c r="K32" s="588">
        <v>915</v>
      </c>
      <c r="L32" s="588">
        <v>915</v>
      </c>
      <c r="M32" s="588">
        <v>0</v>
      </c>
      <c r="N32" s="588">
        <v>15462</v>
      </c>
      <c r="O32" s="588">
        <v>0</v>
      </c>
      <c r="P32" s="588">
        <v>33954</v>
      </c>
      <c r="Q32" s="588">
        <v>7665</v>
      </c>
      <c r="R32" s="588">
        <v>88096</v>
      </c>
      <c r="S32" s="588">
        <v>9189</v>
      </c>
      <c r="T32" s="588">
        <v>2013</v>
      </c>
      <c r="U32" s="588">
        <v>2013</v>
      </c>
      <c r="V32" s="589"/>
      <c r="W32" s="589"/>
      <c r="X32" s="589"/>
      <c r="Y32" s="589"/>
      <c r="Z32" s="589"/>
      <c r="AA32" s="589"/>
      <c r="AB32" s="589"/>
      <c r="AC32" s="589"/>
      <c r="AD32" s="589"/>
      <c r="AE32" s="589"/>
      <c r="AF32" s="589"/>
      <c r="AG32" s="589"/>
      <c r="AH32" s="589"/>
      <c r="AI32" s="589"/>
      <c r="AJ32" s="589"/>
      <c r="AK32" s="589"/>
      <c r="AL32" s="589"/>
      <c r="AM32" s="589"/>
      <c r="AN32" s="589"/>
      <c r="AO32" s="589"/>
      <c r="AP32" s="589"/>
      <c r="AQ32" s="589"/>
      <c r="AR32" s="589"/>
      <c r="AS32" s="589"/>
    </row>
    <row r="33" spans="1:45">
      <c r="A33" s="590" t="s">
        <v>179</v>
      </c>
      <c r="B33" s="591" t="s">
        <v>603</v>
      </c>
      <c r="C33" s="591" t="s">
        <v>855</v>
      </c>
      <c r="D33" s="592">
        <v>2013</v>
      </c>
      <c r="E33" s="591" t="s">
        <v>775</v>
      </c>
      <c r="F33" s="592">
        <v>2085</v>
      </c>
      <c r="G33" s="592">
        <v>23</v>
      </c>
      <c r="H33" s="592">
        <v>23</v>
      </c>
      <c r="I33" s="592">
        <v>0</v>
      </c>
      <c r="J33" s="592">
        <v>1585</v>
      </c>
      <c r="K33" s="592">
        <v>145</v>
      </c>
      <c r="L33" s="592">
        <v>145</v>
      </c>
      <c r="M33" s="592">
        <v>0</v>
      </c>
      <c r="N33" s="593">
        <v>5864</v>
      </c>
      <c r="O33" s="593">
        <v>200</v>
      </c>
      <c r="P33" s="593">
        <v>12878</v>
      </c>
      <c r="Q33" s="593">
        <v>1225</v>
      </c>
      <c r="R33" s="593">
        <v>22412</v>
      </c>
      <c r="S33" s="593">
        <v>1593</v>
      </c>
      <c r="T33" s="593">
        <v>2013</v>
      </c>
      <c r="U33" s="593">
        <v>2013</v>
      </c>
      <c r="V33" s="589"/>
      <c r="W33" s="589"/>
      <c r="X33" s="589"/>
      <c r="Y33" s="589"/>
      <c r="Z33" s="589"/>
      <c r="AA33" s="589"/>
      <c r="AB33" s="589"/>
      <c r="AC33" s="589"/>
      <c r="AD33" s="589"/>
      <c r="AE33" s="589"/>
      <c r="AF33" s="589"/>
      <c r="AG33" s="589"/>
      <c r="AH33" s="589"/>
      <c r="AI33" s="589"/>
      <c r="AJ33" s="589"/>
      <c r="AK33" s="589"/>
      <c r="AL33" s="589"/>
      <c r="AM33" s="589"/>
      <c r="AN33" s="589"/>
      <c r="AO33" s="589"/>
      <c r="AP33" s="589"/>
      <c r="AQ33" s="589"/>
      <c r="AR33" s="589"/>
      <c r="AS33" s="589"/>
    </row>
    <row r="34" spans="1:45">
      <c r="A34" s="587" t="s">
        <v>179</v>
      </c>
      <c r="B34" s="587" t="s">
        <v>604</v>
      </c>
      <c r="C34" s="587" t="s">
        <v>855</v>
      </c>
      <c r="D34" s="588">
        <v>2013</v>
      </c>
      <c r="E34" s="587" t="s">
        <v>775</v>
      </c>
      <c r="F34" s="588">
        <v>1043</v>
      </c>
      <c r="G34" s="588">
        <v>136</v>
      </c>
      <c r="H34" s="588">
        <v>136</v>
      </c>
      <c r="I34" s="588">
        <v>0</v>
      </c>
      <c r="J34" s="588">
        <v>793</v>
      </c>
      <c r="K34" s="588">
        <v>50</v>
      </c>
      <c r="L34" s="588">
        <v>50</v>
      </c>
      <c r="M34" s="588">
        <v>0</v>
      </c>
      <c r="N34" s="588">
        <v>734</v>
      </c>
      <c r="O34" s="588">
        <v>63</v>
      </c>
      <c r="P34" s="588">
        <v>1613</v>
      </c>
      <c r="Q34" s="588">
        <v>1684</v>
      </c>
      <c r="R34" s="588">
        <v>4183</v>
      </c>
      <c r="S34" s="588">
        <v>1933</v>
      </c>
      <c r="T34" s="588">
        <v>2013</v>
      </c>
      <c r="U34" s="588">
        <v>2013</v>
      </c>
      <c r="V34" s="589"/>
      <c r="W34" s="589"/>
      <c r="X34" s="589"/>
      <c r="Y34" s="589"/>
      <c r="Z34" s="589"/>
      <c r="AA34" s="589"/>
      <c r="AB34" s="589"/>
      <c r="AC34" s="589"/>
      <c r="AD34" s="589"/>
      <c r="AE34" s="589"/>
      <c r="AF34" s="589"/>
      <c r="AG34" s="589"/>
      <c r="AH34" s="589"/>
      <c r="AI34" s="589"/>
      <c r="AJ34" s="589"/>
      <c r="AK34" s="589"/>
      <c r="AL34" s="589"/>
      <c r="AM34" s="589"/>
      <c r="AN34" s="589"/>
      <c r="AO34" s="589"/>
      <c r="AP34" s="589"/>
      <c r="AQ34" s="589"/>
      <c r="AR34" s="589"/>
      <c r="AS34" s="589"/>
    </row>
    <row r="35" spans="1:45">
      <c r="A35" s="590" t="s">
        <v>179</v>
      </c>
      <c r="B35" s="591" t="s">
        <v>605</v>
      </c>
      <c r="C35" s="591" t="s">
        <v>855</v>
      </c>
      <c r="D35" s="592">
        <v>2013</v>
      </c>
      <c r="E35" s="591" t="s">
        <v>775</v>
      </c>
      <c r="F35" s="592">
        <v>914</v>
      </c>
      <c r="G35" s="592">
        <v>10</v>
      </c>
      <c r="H35" s="592">
        <v>10</v>
      </c>
      <c r="I35" s="592">
        <v>0</v>
      </c>
      <c r="J35" s="592">
        <v>694</v>
      </c>
      <c r="K35" s="592">
        <v>41</v>
      </c>
      <c r="L35" s="592">
        <v>37</v>
      </c>
      <c r="M35" s="592">
        <v>4</v>
      </c>
      <c r="N35" s="593">
        <v>642</v>
      </c>
      <c r="O35" s="593">
        <v>80</v>
      </c>
      <c r="P35" s="593">
        <v>1410</v>
      </c>
      <c r="Q35" s="593">
        <v>368</v>
      </c>
      <c r="R35" s="593">
        <v>3660</v>
      </c>
      <c r="S35" s="593">
        <v>499</v>
      </c>
      <c r="T35" s="593">
        <v>2013</v>
      </c>
      <c r="U35" s="593">
        <v>2013</v>
      </c>
      <c r="V35" s="589"/>
      <c r="W35" s="589"/>
      <c r="X35" s="589"/>
      <c r="Y35" s="589"/>
      <c r="Z35" s="589"/>
      <c r="AA35" s="589"/>
      <c r="AB35" s="589"/>
      <c r="AC35" s="589"/>
      <c r="AD35" s="589"/>
      <c r="AE35" s="589"/>
      <c r="AF35" s="589"/>
      <c r="AG35" s="589"/>
      <c r="AH35" s="589"/>
      <c r="AI35" s="589"/>
      <c r="AJ35" s="589"/>
      <c r="AK35" s="589"/>
      <c r="AL35" s="589"/>
      <c r="AM35" s="589"/>
      <c r="AN35" s="589"/>
      <c r="AO35" s="589"/>
      <c r="AP35" s="589"/>
      <c r="AQ35" s="589"/>
      <c r="AR35" s="589"/>
      <c r="AS35" s="589"/>
    </row>
    <row r="36" spans="1:45">
      <c r="A36" s="587" t="s">
        <v>179</v>
      </c>
      <c r="B36" s="587" t="s">
        <v>606</v>
      </c>
      <c r="C36" s="587" t="s">
        <v>855</v>
      </c>
      <c r="D36" s="588">
        <v>2013</v>
      </c>
      <c r="E36" s="587" t="s">
        <v>775</v>
      </c>
      <c r="F36" s="588">
        <v>85</v>
      </c>
      <c r="G36" s="588">
        <v>0</v>
      </c>
      <c r="H36" s="588">
        <v>0</v>
      </c>
      <c r="I36" s="588">
        <v>0</v>
      </c>
      <c r="J36" s="588">
        <v>65</v>
      </c>
      <c r="K36" s="588">
        <v>1</v>
      </c>
      <c r="L36" s="588">
        <v>0</v>
      </c>
      <c r="M36" s="588">
        <v>1</v>
      </c>
      <c r="N36" s="588">
        <v>59</v>
      </c>
      <c r="O36" s="588">
        <v>0</v>
      </c>
      <c r="P36" s="588">
        <v>131</v>
      </c>
      <c r="Q36" s="588">
        <v>11</v>
      </c>
      <c r="R36" s="588">
        <v>340</v>
      </c>
      <c r="S36" s="588">
        <v>12</v>
      </c>
      <c r="T36" s="588">
        <v>2013</v>
      </c>
      <c r="U36" s="588">
        <v>2013</v>
      </c>
      <c r="V36" s="589"/>
      <c r="W36" s="589"/>
      <c r="X36" s="589"/>
      <c r="Y36" s="589"/>
      <c r="Z36" s="589"/>
      <c r="AA36" s="589"/>
      <c r="AB36" s="589"/>
      <c r="AC36" s="589"/>
      <c r="AD36" s="589"/>
      <c r="AE36" s="589"/>
      <c r="AF36" s="589"/>
      <c r="AG36" s="589"/>
      <c r="AH36" s="589"/>
      <c r="AI36" s="589"/>
      <c r="AJ36" s="589"/>
      <c r="AK36" s="589"/>
      <c r="AL36" s="589"/>
      <c r="AM36" s="589"/>
      <c r="AN36" s="589"/>
      <c r="AO36" s="589"/>
      <c r="AP36" s="589"/>
      <c r="AQ36" s="589"/>
      <c r="AR36" s="589"/>
      <c r="AS36" s="589"/>
    </row>
    <row r="37" spans="1:45">
      <c r="A37" s="590" t="s">
        <v>196</v>
      </c>
      <c r="B37" s="591" t="s">
        <v>714</v>
      </c>
      <c r="C37" s="591" t="s">
        <v>799</v>
      </c>
      <c r="D37" s="592">
        <v>2013</v>
      </c>
      <c r="E37" s="591" t="s">
        <v>775</v>
      </c>
      <c r="F37" s="592">
        <v>85</v>
      </c>
      <c r="G37" s="592">
        <v>0</v>
      </c>
      <c r="H37" s="592">
        <v>0</v>
      </c>
      <c r="I37" s="592">
        <v>0</v>
      </c>
      <c r="J37" s="592">
        <v>60</v>
      </c>
      <c r="K37" s="592">
        <v>0</v>
      </c>
      <c r="L37" s="592">
        <v>0</v>
      </c>
      <c r="M37" s="592">
        <v>0</v>
      </c>
      <c r="N37" s="593">
        <v>62</v>
      </c>
      <c r="O37" s="593">
        <v>4</v>
      </c>
      <c r="P37" s="593">
        <v>128</v>
      </c>
      <c r="Q37" s="593">
        <v>8</v>
      </c>
      <c r="R37" s="593">
        <v>335</v>
      </c>
      <c r="S37" s="593">
        <v>12</v>
      </c>
      <c r="T37" s="593">
        <v>2014</v>
      </c>
      <c r="U37" s="593">
        <v>2014</v>
      </c>
      <c r="V37" s="589"/>
      <c r="W37" s="589"/>
      <c r="X37" s="589"/>
      <c r="Y37" s="589"/>
      <c r="Z37" s="589"/>
      <c r="AA37" s="589"/>
      <c r="AB37" s="589"/>
      <c r="AC37" s="589"/>
      <c r="AD37" s="589"/>
      <c r="AE37" s="589"/>
      <c r="AF37" s="589"/>
      <c r="AG37" s="589"/>
      <c r="AH37" s="589"/>
      <c r="AI37" s="589"/>
      <c r="AJ37" s="589"/>
      <c r="AK37" s="589"/>
      <c r="AL37" s="589"/>
      <c r="AM37" s="589"/>
      <c r="AN37" s="589"/>
      <c r="AO37" s="589"/>
      <c r="AP37" s="589"/>
      <c r="AQ37" s="589"/>
      <c r="AR37" s="589"/>
      <c r="AS37" s="589"/>
    </row>
    <row r="38" spans="1:45" ht="15">
      <c r="A38" s="587" t="s">
        <v>179</v>
      </c>
      <c r="B38" s="587" t="s">
        <v>607</v>
      </c>
      <c r="C38" s="587" t="s">
        <v>855</v>
      </c>
      <c r="D38" s="588">
        <v>2013</v>
      </c>
      <c r="E38" s="587" t="s">
        <v>775</v>
      </c>
      <c r="F38" s="588">
        <v>343</v>
      </c>
      <c r="G38" s="588">
        <v>48</v>
      </c>
      <c r="H38" s="588">
        <v>48</v>
      </c>
      <c r="I38" s="588">
        <v>0</v>
      </c>
      <c r="J38" s="588">
        <v>260</v>
      </c>
      <c r="K38" s="588">
        <v>36</v>
      </c>
      <c r="L38" s="588">
        <v>36</v>
      </c>
      <c r="M38" s="588">
        <v>0</v>
      </c>
      <c r="N38" s="588">
        <v>241</v>
      </c>
      <c r="O38" s="588">
        <v>1</v>
      </c>
      <c r="P38" s="588">
        <v>530</v>
      </c>
      <c r="Q38" s="588">
        <v>252</v>
      </c>
      <c r="R38" s="588">
        <v>1374</v>
      </c>
      <c r="S38" s="588">
        <v>337</v>
      </c>
      <c r="T38" s="588">
        <v>2013</v>
      </c>
      <c r="U38" s="588">
        <v>2013</v>
      </c>
      <c r="V38" s="589"/>
      <c r="W38" s="589"/>
      <c r="X38" s="589"/>
      <c r="Y38" s="589"/>
      <c r="Z38" s="589"/>
      <c r="AA38" s="589"/>
      <c r="AB38" s="589"/>
      <c r="AC38" s="589"/>
      <c r="AD38" s="589"/>
      <c r="AE38" s="589"/>
      <c r="AF38" s="589"/>
      <c r="AG38" s="589"/>
      <c r="AH38" s="589"/>
      <c r="AI38" s="589"/>
      <c r="AJ38" s="589"/>
      <c r="AK38" s="589"/>
      <c r="AL38" s="589"/>
      <c r="AM38" s="589"/>
      <c r="AN38" s="589"/>
      <c r="AO38" s="589"/>
      <c r="AP38" s="589"/>
      <c r="AQ38" s="589"/>
      <c r="AR38" s="589"/>
      <c r="AS38" s="589"/>
    </row>
    <row r="39" spans="1:45" ht="15">
      <c r="A39" s="590" t="s">
        <v>202</v>
      </c>
      <c r="B39" s="591" t="s">
        <v>742</v>
      </c>
      <c r="C39" s="591" t="s">
        <v>799</v>
      </c>
      <c r="D39" s="592">
        <v>2013</v>
      </c>
      <c r="E39" s="591" t="s">
        <v>775</v>
      </c>
      <c r="F39" s="592">
        <v>1316</v>
      </c>
      <c r="G39" s="592">
        <v>69</v>
      </c>
      <c r="H39" s="592">
        <v>69</v>
      </c>
      <c r="I39" s="592">
        <v>0</v>
      </c>
      <c r="J39" s="592">
        <v>923</v>
      </c>
      <c r="K39" s="592">
        <v>0</v>
      </c>
      <c r="L39" s="592">
        <v>0</v>
      </c>
      <c r="M39" s="592">
        <v>0</v>
      </c>
      <c r="N39" s="593">
        <v>1111</v>
      </c>
      <c r="O39" s="593">
        <v>437</v>
      </c>
      <c r="P39" s="593">
        <v>2627</v>
      </c>
      <c r="Q39" s="593">
        <v>76</v>
      </c>
      <c r="R39" s="593">
        <v>5977</v>
      </c>
      <c r="S39" s="593">
        <v>582</v>
      </c>
      <c r="T39" s="593">
        <v>2014</v>
      </c>
      <c r="U39" s="593">
        <v>2014</v>
      </c>
      <c r="V39" s="589"/>
      <c r="W39" s="589"/>
      <c r="X39" s="589"/>
      <c r="Y39" s="589"/>
      <c r="Z39" s="589"/>
      <c r="AA39" s="589"/>
      <c r="AB39" s="589"/>
      <c r="AC39" s="589"/>
      <c r="AD39" s="589"/>
      <c r="AE39" s="589"/>
      <c r="AF39" s="589"/>
      <c r="AG39" s="589"/>
      <c r="AH39" s="589"/>
      <c r="AI39" s="589"/>
      <c r="AJ39" s="589"/>
      <c r="AK39" s="589"/>
      <c r="AL39" s="589"/>
      <c r="AM39" s="589"/>
      <c r="AN39" s="589"/>
      <c r="AO39" s="589"/>
      <c r="AP39" s="589"/>
      <c r="AQ39" s="589"/>
      <c r="AR39" s="589"/>
      <c r="AS39" s="589"/>
    </row>
    <row r="40" spans="1:45" ht="15">
      <c r="A40" s="587" t="s">
        <v>202</v>
      </c>
      <c r="B40" s="587" t="s">
        <v>743</v>
      </c>
      <c r="C40" s="587" t="s">
        <v>799</v>
      </c>
      <c r="D40" s="588">
        <v>2013</v>
      </c>
      <c r="E40" s="587" t="s">
        <v>775</v>
      </c>
      <c r="F40" s="588">
        <v>76</v>
      </c>
      <c r="G40" s="588">
        <v>0</v>
      </c>
      <c r="H40" s="588">
        <v>0</v>
      </c>
      <c r="I40" s="588">
        <v>0</v>
      </c>
      <c r="J40" s="588">
        <v>54</v>
      </c>
      <c r="K40" s="588">
        <v>0</v>
      </c>
      <c r="L40" s="588">
        <v>0</v>
      </c>
      <c r="M40" s="588">
        <v>0</v>
      </c>
      <c r="N40" s="588">
        <v>59</v>
      </c>
      <c r="O40" s="588">
        <v>1</v>
      </c>
      <c r="P40" s="588">
        <v>130</v>
      </c>
      <c r="Q40" s="588">
        <v>0</v>
      </c>
      <c r="R40" s="588">
        <v>319</v>
      </c>
      <c r="S40" s="588">
        <v>1</v>
      </c>
      <c r="T40" s="588">
        <v>2014</v>
      </c>
      <c r="U40" s="588">
        <v>2014</v>
      </c>
      <c r="V40" s="589"/>
      <c r="W40" s="589"/>
      <c r="X40" s="589"/>
      <c r="Y40" s="589"/>
      <c r="Z40" s="589"/>
      <c r="AA40" s="589"/>
      <c r="AB40" s="589"/>
      <c r="AC40" s="589"/>
      <c r="AD40" s="589"/>
      <c r="AE40" s="589"/>
      <c r="AF40" s="589"/>
      <c r="AG40" s="589"/>
      <c r="AH40" s="589"/>
      <c r="AI40" s="589"/>
      <c r="AJ40" s="589"/>
      <c r="AK40" s="589"/>
      <c r="AL40" s="589"/>
      <c r="AM40" s="589"/>
      <c r="AN40" s="589"/>
      <c r="AO40" s="589"/>
      <c r="AP40" s="589"/>
      <c r="AQ40" s="589"/>
      <c r="AR40" s="589"/>
      <c r="AS40" s="589"/>
    </row>
    <row r="41" spans="1:45" ht="15">
      <c r="A41" s="590" t="s">
        <v>202</v>
      </c>
      <c r="B41" s="591" t="s">
        <v>744</v>
      </c>
      <c r="C41" s="591" t="s">
        <v>799</v>
      </c>
      <c r="D41" s="592">
        <v>2013</v>
      </c>
      <c r="E41" s="591" t="s">
        <v>775</v>
      </c>
      <c r="F41" s="592">
        <v>390</v>
      </c>
      <c r="G41" s="592">
        <v>46</v>
      </c>
      <c r="H41" s="592">
        <v>46</v>
      </c>
      <c r="I41" s="592">
        <v>0</v>
      </c>
      <c r="J41" s="592">
        <v>274</v>
      </c>
      <c r="K41" s="592">
        <v>16</v>
      </c>
      <c r="L41" s="592">
        <v>16</v>
      </c>
      <c r="M41" s="592">
        <v>0</v>
      </c>
      <c r="N41" s="593">
        <v>349</v>
      </c>
      <c r="O41" s="593">
        <v>1</v>
      </c>
      <c r="P41" s="593">
        <v>864</v>
      </c>
      <c r="Q41" s="593">
        <v>97</v>
      </c>
      <c r="R41" s="593">
        <v>1877</v>
      </c>
      <c r="S41" s="593">
        <v>160</v>
      </c>
      <c r="T41" s="593">
        <v>2014</v>
      </c>
      <c r="U41" s="593">
        <v>2014</v>
      </c>
      <c r="V41" s="589"/>
      <c r="W41" s="589"/>
      <c r="X41" s="589"/>
      <c r="Y41" s="589"/>
      <c r="Z41" s="589"/>
      <c r="AA41" s="589"/>
      <c r="AB41" s="589"/>
      <c r="AC41" s="589"/>
      <c r="AD41" s="589"/>
      <c r="AE41" s="589"/>
      <c r="AF41" s="589"/>
      <c r="AG41" s="589"/>
      <c r="AH41" s="589"/>
      <c r="AI41" s="589"/>
      <c r="AJ41" s="589"/>
      <c r="AK41" s="589"/>
      <c r="AL41" s="589"/>
      <c r="AM41" s="589"/>
      <c r="AN41" s="589"/>
      <c r="AO41" s="589"/>
      <c r="AP41" s="589"/>
      <c r="AQ41" s="589"/>
      <c r="AR41" s="589"/>
      <c r="AS41" s="589"/>
    </row>
    <row r="42" spans="1:45" ht="15">
      <c r="A42" s="587" t="s">
        <v>196</v>
      </c>
      <c r="B42" s="587" t="s">
        <v>715</v>
      </c>
      <c r="C42" s="587" t="s">
        <v>799</v>
      </c>
      <c r="D42" s="588">
        <v>2013</v>
      </c>
      <c r="E42" s="587" t="s">
        <v>775</v>
      </c>
      <c r="F42" s="588">
        <v>624</v>
      </c>
      <c r="G42" s="588">
        <v>0</v>
      </c>
      <c r="H42" s="588">
        <v>0</v>
      </c>
      <c r="I42" s="588">
        <v>0</v>
      </c>
      <c r="J42" s="588">
        <v>437</v>
      </c>
      <c r="K42" s="588">
        <v>0</v>
      </c>
      <c r="L42" s="588">
        <v>0</v>
      </c>
      <c r="M42" s="588">
        <v>0</v>
      </c>
      <c r="N42" s="588">
        <v>498</v>
      </c>
      <c r="O42" s="588">
        <v>0</v>
      </c>
      <c r="P42" s="588">
        <v>1120</v>
      </c>
      <c r="Q42" s="588">
        <v>50</v>
      </c>
      <c r="R42" s="588">
        <v>2679</v>
      </c>
      <c r="S42" s="588">
        <v>50</v>
      </c>
      <c r="T42" s="588">
        <v>2014</v>
      </c>
      <c r="U42" s="588">
        <v>2014</v>
      </c>
      <c r="V42" s="589"/>
      <c r="W42" s="589"/>
      <c r="X42" s="589"/>
      <c r="Y42" s="589"/>
      <c r="Z42" s="589"/>
      <c r="AA42" s="589"/>
      <c r="AB42" s="589"/>
      <c r="AC42" s="589"/>
      <c r="AD42" s="589"/>
      <c r="AE42" s="589"/>
      <c r="AF42" s="589"/>
      <c r="AG42" s="589"/>
      <c r="AH42" s="589"/>
      <c r="AI42" s="589"/>
      <c r="AJ42" s="589"/>
      <c r="AK42" s="589"/>
      <c r="AL42" s="589"/>
      <c r="AM42" s="589"/>
      <c r="AN42" s="589"/>
      <c r="AO42" s="589"/>
      <c r="AP42" s="589"/>
      <c r="AQ42" s="589"/>
      <c r="AR42" s="589"/>
      <c r="AS42" s="589"/>
    </row>
    <row r="43" spans="1:45" ht="15">
      <c r="A43" s="590" t="s">
        <v>204</v>
      </c>
      <c r="B43" s="591" t="s">
        <v>748</v>
      </c>
      <c r="C43" s="591" t="s">
        <v>799</v>
      </c>
      <c r="D43" s="592">
        <v>2013</v>
      </c>
      <c r="E43" s="591" t="s">
        <v>775</v>
      </c>
      <c r="F43" s="592">
        <v>1036</v>
      </c>
      <c r="G43" s="592">
        <v>0</v>
      </c>
      <c r="H43" s="592">
        <v>0</v>
      </c>
      <c r="I43" s="592">
        <v>0</v>
      </c>
      <c r="J43" s="592">
        <v>727</v>
      </c>
      <c r="K43" s="592">
        <v>0</v>
      </c>
      <c r="L43" s="592">
        <v>0</v>
      </c>
      <c r="M43" s="592">
        <v>0</v>
      </c>
      <c r="N43" s="593">
        <v>870</v>
      </c>
      <c r="O43" s="593">
        <v>1</v>
      </c>
      <c r="P43" s="593">
        <v>2043</v>
      </c>
      <c r="Q43" s="593">
        <v>85</v>
      </c>
      <c r="R43" s="593">
        <v>4676</v>
      </c>
      <c r="S43" s="593">
        <v>86</v>
      </c>
      <c r="T43" s="593">
        <v>2014</v>
      </c>
      <c r="U43" s="593">
        <v>2014</v>
      </c>
      <c r="V43" s="589"/>
      <c r="W43" s="589"/>
      <c r="X43" s="589"/>
      <c r="Y43" s="589"/>
      <c r="Z43" s="589"/>
      <c r="AA43" s="589"/>
      <c r="AB43" s="589"/>
      <c r="AC43" s="589"/>
      <c r="AD43" s="589"/>
      <c r="AE43" s="589"/>
      <c r="AF43" s="589"/>
      <c r="AG43" s="589"/>
      <c r="AH43" s="589"/>
      <c r="AI43" s="589"/>
      <c r="AJ43" s="589"/>
      <c r="AK43" s="589"/>
      <c r="AL43" s="589"/>
      <c r="AM43" s="589"/>
      <c r="AN43" s="589"/>
      <c r="AO43" s="589"/>
      <c r="AP43" s="589"/>
      <c r="AQ43" s="589"/>
      <c r="AR43" s="589"/>
      <c r="AS43" s="589"/>
    </row>
    <row r="44" spans="1:45" ht="15">
      <c r="A44" s="587" t="s">
        <v>153</v>
      </c>
      <c r="B44" s="587" t="s">
        <v>346</v>
      </c>
      <c r="C44" s="587" t="s">
        <v>812</v>
      </c>
      <c r="D44" s="588">
        <v>2014</v>
      </c>
      <c r="E44" s="587" t="s">
        <v>775</v>
      </c>
      <c r="F44" s="588">
        <v>31</v>
      </c>
      <c r="G44" s="588">
        <v>0</v>
      </c>
      <c r="H44" s="588">
        <v>0</v>
      </c>
      <c r="I44" s="588">
        <v>0</v>
      </c>
      <c r="J44" s="588">
        <v>19</v>
      </c>
      <c r="K44" s="588">
        <v>0</v>
      </c>
      <c r="L44" s="588">
        <v>0</v>
      </c>
      <c r="M44" s="588">
        <v>0</v>
      </c>
      <c r="N44" s="588">
        <v>20</v>
      </c>
      <c r="O44" s="588">
        <v>0</v>
      </c>
      <c r="P44" s="588">
        <v>45</v>
      </c>
      <c r="Q44" s="588">
        <v>17</v>
      </c>
      <c r="R44" s="588">
        <v>115</v>
      </c>
      <c r="S44" s="588">
        <v>17</v>
      </c>
      <c r="T44" s="588">
        <v>2014</v>
      </c>
      <c r="U44" s="588">
        <v>2014</v>
      </c>
      <c r="V44" s="589"/>
      <c r="W44" s="589"/>
      <c r="X44" s="589"/>
      <c r="Y44" s="589"/>
      <c r="Z44" s="589"/>
      <c r="AA44" s="589"/>
      <c r="AB44" s="589"/>
      <c r="AC44" s="589"/>
      <c r="AD44" s="589"/>
      <c r="AE44" s="589"/>
      <c r="AF44" s="589"/>
      <c r="AG44" s="589"/>
      <c r="AH44" s="589"/>
      <c r="AI44" s="589"/>
      <c r="AJ44" s="589"/>
      <c r="AK44" s="589"/>
      <c r="AL44" s="589"/>
      <c r="AM44" s="589"/>
      <c r="AN44" s="589"/>
      <c r="AO44" s="589"/>
      <c r="AP44" s="589"/>
      <c r="AQ44" s="589"/>
      <c r="AR44" s="589"/>
      <c r="AS44" s="589"/>
    </row>
    <row r="45" spans="1:45" ht="15">
      <c r="A45" s="590" t="s">
        <v>125</v>
      </c>
      <c r="B45" s="591" t="s">
        <v>233</v>
      </c>
      <c r="C45" s="591" t="s">
        <v>774</v>
      </c>
      <c r="D45" s="592">
        <v>2014</v>
      </c>
      <c r="E45" s="591" t="s">
        <v>775</v>
      </c>
      <c r="F45" s="592">
        <v>430</v>
      </c>
      <c r="G45" s="592">
        <v>0</v>
      </c>
      <c r="H45" s="592">
        <v>0</v>
      </c>
      <c r="I45" s="592">
        <v>0</v>
      </c>
      <c r="J45" s="592">
        <v>227</v>
      </c>
      <c r="K45" s="592">
        <v>3</v>
      </c>
      <c r="L45" s="592">
        <v>0</v>
      </c>
      <c r="M45" s="592">
        <v>3</v>
      </c>
      <c r="N45" s="593">
        <v>295</v>
      </c>
      <c r="O45" s="593">
        <v>14</v>
      </c>
      <c r="P45" s="593">
        <v>817</v>
      </c>
      <c r="Q45" s="593">
        <v>12</v>
      </c>
      <c r="R45" s="593">
        <v>1769</v>
      </c>
      <c r="S45" s="593">
        <v>29</v>
      </c>
      <c r="T45" s="593">
        <v>2015</v>
      </c>
      <c r="U45" s="593">
        <v>2015</v>
      </c>
      <c r="V45" s="589"/>
      <c r="W45" s="589"/>
      <c r="X45" s="589"/>
      <c r="Y45" s="589"/>
      <c r="Z45" s="589"/>
      <c r="AA45" s="589"/>
      <c r="AB45" s="589"/>
      <c r="AC45" s="589"/>
      <c r="AD45" s="589"/>
      <c r="AE45" s="589"/>
      <c r="AF45" s="589"/>
      <c r="AG45" s="589"/>
      <c r="AH45" s="589"/>
      <c r="AI45" s="589"/>
      <c r="AJ45" s="589"/>
      <c r="AK45" s="589"/>
      <c r="AL45" s="589"/>
      <c r="AM45" s="589"/>
      <c r="AN45" s="589"/>
      <c r="AO45" s="589"/>
      <c r="AP45" s="589"/>
      <c r="AQ45" s="589"/>
      <c r="AR45" s="589"/>
      <c r="AS45" s="589"/>
    </row>
    <row r="46" spans="1:45" ht="15">
      <c r="A46" s="587" t="s">
        <v>153</v>
      </c>
      <c r="B46" s="587" t="s">
        <v>347</v>
      </c>
      <c r="C46" s="587" t="s">
        <v>812</v>
      </c>
      <c r="D46" s="588">
        <v>2014</v>
      </c>
      <c r="E46" s="587" t="s">
        <v>775</v>
      </c>
      <c r="F46" s="588">
        <v>380</v>
      </c>
      <c r="G46" s="588">
        <v>0</v>
      </c>
      <c r="H46" s="588">
        <v>0</v>
      </c>
      <c r="I46" s="588">
        <v>0</v>
      </c>
      <c r="J46" s="588">
        <v>224</v>
      </c>
      <c r="K46" s="588">
        <v>0</v>
      </c>
      <c r="L46" s="588">
        <v>0</v>
      </c>
      <c r="M46" s="588">
        <v>0</v>
      </c>
      <c r="N46" s="588">
        <v>246</v>
      </c>
      <c r="O46" s="588">
        <v>3</v>
      </c>
      <c r="P46" s="588">
        <v>642</v>
      </c>
      <c r="Q46" s="588">
        <v>29</v>
      </c>
      <c r="R46" s="588">
        <v>1492</v>
      </c>
      <c r="S46" s="588">
        <v>32</v>
      </c>
      <c r="T46" s="588">
        <v>2014</v>
      </c>
      <c r="U46" s="588">
        <v>2014</v>
      </c>
      <c r="V46" s="589"/>
      <c r="W46" s="589"/>
      <c r="X46" s="589"/>
      <c r="Y46" s="589"/>
      <c r="Z46" s="589"/>
      <c r="AA46" s="589"/>
      <c r="AB46" s="589"/>
      <c r="AC46" s="589"/>
      <c r="AD46" s="589"/>
      <c r="AE46" s="589"/>
      <c r="AF46" s="589"/>
      <c r="AG46" s="589"/>
      <c r="AH46" s="589"/>
      <c r="AI46" s="589"/>
      <c r="AJ46" s="589"/>
      <c r="AK46" s="589"/>
      <c r="AL46" s="589"/>
      <c r="AM46" s="589"/>
      <c r="AN46" s="589"/>
      <c r="AO46" s="589"/>
      <c r="AP46" s="589"/>
      <c r="AQ46" s="589"/>
      <c r="AR46" s="589"/>
      <c r="AS46" s="589"/>
    </row>
    <row r="47" spans="1:45" ht="15">
      <c r="A47" s="590" t="s">
        <v>169</v>
      </c>
      <c r="B47" s="591" t="s">
        <v>485</v>
      </c>
      <c r="C47" s="591" t="s">
        <v>812</v>
      </c>
      <c r="D47" s="592">
        <v>2014</v>
      </c>
      <c r="E47" s="591" t="s">
        <v>775</v>
      </c>
      <c r="F47" s="592">
        <v>9</v>
      </c>
      <c r="G47" s="592">
        <v>0</v>
      </c>
      <c r="H47" s="592">
        <v>0</v>
      </c>
      <c r="I47" s="592">
        <v>0</v>
      </c>
      <c r="J47" s="592">
        <v>7</v>
      </c>
      <c r="K47" s="592">
        <v>0</v>
      </c>
      <c r="L47" s="592">
        <v>0</v>
      </c>
      <c r="M47" s="592">
        <v>0</v>
      </c>
      <c r="N47" s="593">
        <v>7</v>
      </c>
      <c r="O47" s="593">
        <v>1</v>
      </c>
      <c r="P47" s="593">
        <v>16</v>
      </c>
      <c r="Q47" s="593">
        <v>0</v>
      </c>
      <c r="R47" s="593">
        <v>39</v>
      </c>
      <c r="S47" s="593">
        <v>1</v>
      </c>
      <c r="T47" s="593">
        <v>2014</v>
      </c>
      <c r="U47" s="593">
        <v>2014</v>
      </c>
      <c r="V47" s="589"/>
      <c r="W47" s="589"/>
      <c r="X47" s="589"/>
      <c r="Y47" s="589"/>
      <c r="Z47" s="589"/>
      <c r="AA47" s="589"/>
      <c r="AB47" s="589"/>
      <c r="AC47" s="589"/>
      <c r="AD47" s="589"/>
      <c r="AE47" s="589"/>
      <c r="AF47" s="589"/>
      <c r="AG47" s="589"/>
      <c r="AH47" s="589"/>
      <c r="AI47" s="589"/>
      <c r="AJ47" s="589"/>
      <c r="AK47" s="589"/>
      <c r="AL47" s="589"/>
      <c r="AM47" s="589"/>
      <c r="AN47" s="589"/>
      <c r="AO47" s="589"/>
      <c r="AP47" s="589"/>
      <c r="AQ47" s="589"/>
      <c r="AR47" s="589"/>
      <c r="AS47" s="589"/>
    </row>
    <row r="48" spans="1:45" ht="15">
      <c r="A48" s="587" t="s">
        <v>127</v>
      </c>
      <c r="B48" s="587" t="s">
        <v>247</v>
      </c>
      <c r="C48" s="587" t="s">
        <v>784</v>
      </c>
      <c r="D48" s="588">
        <v>2014</v>
      </c>
      <c r="E48" s="587" t="s">
        <v>775</v>
      </c>
      <c r="F48" s="588">
        <v>7</v>
      </c>
      <c r="G48" s="588">
        <v>0</v>
      </c>
      <c r="H48" s="588">
        <v>0</v>
      </c>
      <c r="I48" s="588">
        <v>0</v>
      </c>
      <c r="J48" s="588">
        <v>6</v>
      </c>
      <c r="K48" s="588">
        <v>0</v>
      </c>
      <c r="L48" s="588">
        <v>0</v>
      </c>
      <c r="M48" s="588">
        <v>0</v>
      </c>
      <c r="N48" s="588">
        <v>6</v>
      </c>
      <c r="O48" s="588">
        <v>1</v>
      </c>
      <c r="P48" s="588">
        <v>11</v>
      </c>
      <c r="Q48" s="588">
        <v>1</v>
      </c>
      <c r="R48" s="588">
        <v>30</v>
      </c>
      <c r="S48" s="588">
        <v>2</v>
      </c>
      <c r="T48" s="588">
        <v>2014</v>
      </c>
      <c r="U48" s="588">
        <v>2014</v>
      </c>
      <c r="V48" s="589"/>
      <c r="W48" s="589"/>
      <c r="X48" s="589"/>
      <c r="Y48" s="589"/>
      <c r="Z48" s="589"/>
      <c r="AA48" s="589"/>
      <c r="AB48" s="589"/>
      <c r="AC48" s="589"/>
      <c r="AD48" s="589"/>
      <c r="AE48" s="589"/>
      <c r="AF48" s="589"/>
      <c r="AG48" s="589"/>
      <c r="AH48" s="589"/>
      <c r="AI48" s="589"/>
      <c r="AJ48" s="589"/>
      <c r="AK48" s="589"/>
      <c r="AL48" s="589"/>
      <c r="AM48" s="589"/>
      <c r="AN48" s="589"/>
      <c r="AO48" s="589"/>
      <c r="AP48" s="589"/>
      <c r="AQ48" s="589"/>
      <c r="AR48" s="589"/>
      <c r="AS48" s="589"/>
    </row>
    <row r="49" spans="1:45" ht="15">
      <c r="A49" s="590" t="s">
        <v>169</v>
      </c>
      <c r="B49" s="591" t="s">
        <v>486</v>
      </c>
      <c r="C49" s="591" t="s">
        <v>812</v>
      </c>
      <c r="D49" s="592">
        <v>2014</v>
      </c>
      <c r="E49" s="591" t="s">
        <v>775</v>
      </c>
      <c r="F49" s="592">
        <v>1256</v>
      </c>
      <c r="G49" s="592">
        <v>0</v>
      </c>
      <c r="H49" s="592">
        <v>0</v>
      </c>
      <c r="I49" s="592">
        <v>0</v>
      </c>
      <c r="J49" s="592">
        <v>907</v>
      </c>
      <c r="K49" s="592">
        <v>9</v>
      </c>
      <c r="L49" s="592">
        <v>9</v>
      </c>
      <c r="M49" s="592">
        <v>0</v>
      </c>
      <c r="N49" s="593">
        <v>1038</v>
      </c>
      <c r="O49" s="593">
        <v>21</v>
      </c>
      <c r="P49" s="593">
        <v>2501</v>
      </c>
      <c r="Q49" s="593">
        <v>1271</v>
      </c>
      <c r="R49" s="593">
        <v>5702</v>
      </c>
      <c r="S49" s="593">
        <v>1301</v>
      </c>
      <c r="T49" s="593">
        <v>2014</v>
      </c>
      <c r="U49" s="593">
        <v>2014</v>
      </c>
      <c r="V49" s="589"/>
      <c r="W49" s="589"/>
      <c r="X49" s="589"/>
      <c r="Y49" s="589"/>
      <c r="Z49" s="589"/>
      <c r="AA49" s="589"/>
      <c r="AB49" s="589"/>
      <c r="AC49" s="589"/>
      <c r="AD49" s="589"/>
      <c r="AE49" s="589"/>
      <c r="AF49" s="589"/>
      <c r="AG49" s="589"/>
      <c r="AH49" s="589"/>
      <c r="AI49" s="589"/>
      <c r="AJ49" s="589"/>
      <c r="AK49" s="589"/>
      <c r="AL49" s="589"/>
      <c r="AM49" s="589"/>
      <c r="AN49" s="589"/>
      <c r="AO49" s="589"/>
      <c r="AP49" s="589"/>
      <c r="AQ49" s="589"/>
      <c r="AR49" s="589"/>
      <c r="AS49" s="589"/>
    </row>
    <row r="50" spans="1:45" ht="15">
      <c r="A50" s="587" t="s">
        <v>136</v>
      </c>
      <c r="B50" s="587" t="s">
        <v>265</v>
      </c>
      <c r="C50" s="587" t="s">
        <v>774</v>
      </c>
      <c r="D50" s="588">
        <v>2014</v>
      </c>
      <c r="E50" s="587" t="s">
        <v>775</v>
      </c>
      <c r="F50" s="588">
        <v>349</v>
      </c>
      <c r="G50" s="588">
        <v>0</v>
      </c>
      <c r="H50" s="588">
        <v>0</v>
      </c>
      <c r="I50" s="588">
        <v>0</v>
      </c>
      <c r="J50" s="588">
        <v>205</v>
      </c>
      <c r="K50" s="588">
        <v>0</v>
      </c>
      <c r="L50" s="588">
        <v>0</v>
      </c>
      <c r="M50" s="588">
        <v>0</v>
      </c>
      <c r="N50" s="588">
        <v>214</v>
      </c>
      <c r="O50" s="588">
        <v>57</v>
      </c>
      <c r="P50" s="588">
        <v>680</v>
      </c>
      <c r="Q50" s="588">
        <v>174</v>
      </c>
      <c r="R50" s="588">
        <v>1448</v>
      </c>
      <c r="S50" s="588">
        <v>231</v>
      </c>
      <c r="T50" s="588">
        <v>2015</v>
      </c>
      <c r="U50" s="588">
        <v>2015</v>
      </c>
      <c r="V50" s="589"/>
      <c r="W50" s="589"/>
      <c r="X50" s="589"/>
      <c r="Y50" s="589"/>
      <c r="Z50" s="589"/>
      <c r="AA50" s="589"/>
      <c r="AB50" s="589"/>
      <c r="AC50" s="589"/>
      <c r="AD50" s="589"/>
      <c r="AE50" s="589"/>
      <c r="AF50" s="589"/>
      <c r="AG50" s="589"/>
      <c r="AH50" s="589"/>
      <c r="AI50" s="589"/>
      <c r="AJ50" s="589"/>
      <c r="AK50" s="589"/>
      <c r="AL50" s="589"/>
      <c r="AM50" s="589"/>
      <c r="AN50" s="589"/>
      <c r="AO50" s="589"/>
      <c r="AP50" s="589"/>
      <c r="AQ50" s="589"/>
      <c r="AR50" s="589"/>
      <c r="AS50" s="589"/>
    </row>
    <row r="51" spans="1:45" ht="15">
      <c r="A51" s="590" t="s">
        <v>145</v>
      </c>
      <c r="B51" s="591" t="s">
        <v>307</v>
      </c>
      <c r="C51" s="591" t="s">
        <v>784</v>
      </c>
      <c r="D51" s="592">
        <v>2014</v>
      </c>
      <c r="E51" s="591" t="s">
        <v>775</v>
      </c>
      <c r="F51" s="592">
        <v>85</v>
      </c>
      <c r="G51" s="592">
        <v>26</v>
      </c>
      <c r="H51" s="592">
        <v>26</v>
      </c>
      <c r="I51" s="592">
        <v>0</v>
      </c>
      <c r="J51" s="592">
        <v>56</v>
      </c>
      <c r="K51" s="592">
        <v>5</v>
      </c>
      <c r="L51" s="592">
        <v>5</v>
      </c>
      <c r="M51" s="592">
        <v>0</v>
      </c>
      <c r="N51" s="593">
        <v>62</v>
      </c>
      <c r="O51" s="593">
        <v>8</v>
      </c>
      <c r="P51" s="593">
        <v>160</v>
      </c>
      <c r="Q51" s="593">
        <v>7</v>
      </c>
      <c r="R51" s="593">
        <v>363</v>
      </c>
      <c r="S51" s="593">
        <v>46</v>
      </c>
      <c r="T51" s="593">
        <v>2014</v>
      </c>
      <c r="U51" s="593">
        <v>2014</v>
      </c>
      <c r="V51" s="589"/>
      <c r="W51" s="589"/>
      <c r="X51" s="589"/>
      <c r="Y51" s="589"/>
      <c r="Z51" s="589"/>
      <c r="AA51" s="589"/>
      <c r="AB51" s="589"/>
      <c r="AC51" s="589"/>
      <c r="AD51" s="589"/>
      <c r="AE51" s="589"/>
      <c r="AF51" s="589"/>
      <c r="AG51" s="589"/>
      <c r="AH51" s="589"/>
      <c r="AI51" s="589"/>
      <c r="AJ51" s="589"/>
      <c r="AK51" s="589"/>
      <c r="AL51" s="589"/>
      <c r="AM51" s="589"/>
      <c r="AN51" s="589"/>
      <c r="AO51" s="589"/>
      <c r="AP51" s="589"/>
      <c r="AQ51" s="589"/>
      <c r="AR51" s="589"/>
      <c r="AS51" s="589"/>
    </row>
    <row r="52" spans="1:45" ht="15">
      <c r="A52" s="587" t="s">
        <v>153</v>
      </c>
      <c r="B52" s="587" t="s">
        <v>349</v>
      </c>
      <c r="C52" s="587" t="s">
        <v>812</v>
      </c>
      <c r="D52" s="588">
        <v>2014</v>
      </c>
      <c r="E52" s="587" t="s">
        <v>775</v>
      </c>
      <c r="F52" s="588">
        <v>31</v>
      </c>
      <c r="G52" s="588">
        <v>0</v>
      </c>
      <c r="H52" s="588">
        <v>0</v>
      </c>
      <c r="I52" s="588">
        <v>0</v>
      </c>
      <c r="J52" s="588">
        <v>18</v>
      </c>
      <c r="K52" s="588">
        <v>0</v>
      </c>
      <c r="L52" s="588">
        <v>0</v>
      </c>
      <c r="M52" s="588">
        <v>0</v>
      </c>
      <c r="N52" s="588">
        <v>20</v>
      </c>
      <c r="O52" s="588">
        <v>0</v>
      </c>
      <c r="P52" s="588">
        <v>51</v>
      </c>
      <c r="Q52" s="588">
        <v>17</v>
      </c>
      <c r="R52" s="588">
        <v>120</v>
      </c>
      <c r="S52" s="588">
        <v>17</v>
      </c>
      <c r="T52" s="588">
        <v>2014</v>
      </c>
      <c r="U52" s="588">
        <v>2014</v>
      </c>
      <c r="V52" s="589"/>
      <c r="W52" s="589"/>
      <c r="X52" s="589"/>
      <c r="Y52" s="589"/>
      <c r="Z52" s="589"/>
      <c r="AA52" s="589"/>
      <c r="AB52" s="589"/>
      <c r="AC52" s="589"/>
      <c r="AD52" s="589"/>
      <c r="AE52" s="589"/>
      <c r="AF52" s="589"/>
      <c r="AG52" s="589"/>
      <c r="AH52" s="589"/>
      <c r="AI52" s="589"/>
      <c r="AJ52" s="589"/>
      <c r="AK52" s="589"/>
      <c r="AL52" s="589"/>
      <c r="AM52" s="589"/>
      <c r="AN52" s="589"/>
      <c r="AO52" s="589"/>
      <c r="AP52" s="589"/>
      <c r="AQ52" s="589"/>
      <c r="AR52" s="589"/>
      <c r="AS52" s="589"/>
    </row>
    <row r="53" spans="1:45" ht="15">
      <c r="A53" s="590" t="s">
        <v>183</v>
      </c>
      <c r="B53" s="591" t="s">
        <v>617</v>
      </c>
      <c r="C53" s="591" t="s">
        <v>784</v>
      </c>
      <c r="D53" s="592">
        <v>2014</v>
      </c>
      <c r="E53" s="591" t="s">
        <v>775</v>
      </c>
      <c r="F53" s="592">
        <v>98</v>
      </c>
      <c r="G53" s="592">
        <v>2</v>
      </c>
      <c r="H53" s="592">
        <v>2</v>
      </c>
      <c r="I53" s="592">
        <v>0</v>
      </c>
      <c r="J53" s="592">
        <v>62</v>
      </c>
      <c r="K53" s="592">
        <v>1</v>
      </c>
      <c r="L53" s="592">
        <v>1</v>
      </c>
      <c r="M53" s="592">
        <v>0</v>
      </c>
      <c r="N53" s="593">
        <v>69</v>
      </c>
      <c r="O53" s="593">
        <v>76</v>
      </c>
      <c r="P53" s="593">
        <v>164</v>
      </c>
      <c r="Q53" s="593">
        <v>106</v>
      </c>
      <c r="R53" s="593">
        <v>393</v>
      </c>
      <c r="S53" s="593">
        <v>185</v>
      </c>
      <c r="T53" s="593">
        <v>2014</v>
      </c>
      <c r="U53" s="593">
        <v>2014</v>
      </c>
      <c r="V53" s="589"/>
      <c r="W53" s="589"/>
      <c r="X53" s="589"/>
      <c r="Y53" s="589"/>
      <c r="Z53" s="589"/>
      <c r="AA53" s="589"/>
      <c r="AB53" s="589"/>
      <c r="AC53" s="589"/>
      <c r="AD53" s="589"/>
      <c r="AE53" s="589"/>
      <c r="AF53" s="589"/>
      <c r="AG53" s="589"/>
      <c r="AH53" s="589"/>
      <c r="AI53" s="589"/>
      <c r="AJ53" s="589"/>
      <c r="AK53" s="589"/>
      <c r="AL53" s="589"/>
      <c r="AM53" s="589"/>
      <c r="AN53" s="589"/>
      <c r="AO53" s="589"/>
      <c r="AP53" s="589"/>
      <c r="AQ53" s="589"/>
      <c r="AR53" s="589"/>
      <c r="AS53" s="589"/>
    </row>
    <row r="54" spans="1:45" ht="15">
      <c r="A54" s="587" t="s">
        <v>184</v>
      </c>
      <c r="B54" s="587" t="s">
        <v>623</v>
      </c>
      <c r="C54" s="587" t="s">
        <v>774</v>
      </c>
      <c r="D54" s="588">
        <v>2014</v>
      </c>
      <c r="E54" s="587" t="s">
        <v>775</v>
      </c>
      <c r="F54" s="588">
        <v>35</v>
      </c>
      <c r="G54" s="588">
        <v>1</v>
      </c>
      <c r="H54" s="588">
        <v>0</v>
      </c>
      <c r="I54" s="588">
        <v>1</v>
      </c>
      <c r="J54" s="588">
        <v>26</v>
      </c>
      <c r="K54" s="588">
        <v>3</v>
      </c>
      <c r="L54" s="588">
        <v>0</v>
      </c>
      <c r="M54" s="588">
        <v>3</v>
      </c>
      <c r="N54" s="588">
        <v>29</v>
      </c>
      <c r="O54" s="588">
        <v>0</v>
      </c>
      <c r="P54" s="588">
        <v>3</v>
      </c>
      <c r="Q54" s="588">
        <v>1</v>
      </c>
      <c r="R54" s="588">
        <v>93</v>
      </c>
      <c r="S54" s="588">
        <v>5</v>
      </c>
      <c r="T54" s="588">
        <v>2015</v>
      </c>
      <c r="U54" s="588">
        <v>2015</v>
      </c>
      <c r="V54" s="589"/>
      <c r="W54" s="589"/>
      <c r="X54" s="589"/>
      <c r="Y54" s="589"/>
      <c r="Z54" s="589"/>
      <c r="AA54" s="589"/>
      <c r="AB54" s="589"/>
      <c r="AC54" s="589"/>
      <c r="AD54" s="589"/>
      <c r="AE54" s="589"/>
      <c r="AF54" s="589"/>
      <c r="AG54" s="589"/>
      <c r="AH54" s="589"/>
      <c r="AI54" s="589"/>
      <c r="AJ54" s="589"/>
      <c r="AK54" s="589"/>
      <c r="AL54" s="589"/>
      <c r="AM54" s="589"/>
      <c r="AN54" s="589"/>
      <c r="AO54" s="589"/>
      <c r="AP54" s="589"/>
      <c r="AQ54" s="589"/>
      <c r="AR54" s="589"/>
      <c r="AS54" s="589"/>
    </row>
    <row r="55" spans="1:45" ht="15">
      <c r="A55" s="590" t="s">
        <v>170</v>
      </c>
      <c r="B55" s="591" t="s">
        <v>519</v>
      </c>
      <c r="C55" s="591" t="s">
        <v>799</v>
      </c>
      <c r="D55" s="592">
        <v>2014</v>
      </c>
      <c r="E55" s="591" t="s">
        <v>775</v>
      </c>
      <c r="F55" s="592">
        <v>74</v>
      </c>
      <c r="G55" s="592">
        <v>0</v>
      </c>
      <c r="H55" s="592">
        <v>0</v>
      </c>
      <c r="I55" s="592">
        <v>0</v>
      </c>
      <c r="J55" s="592">
        <v>52</v>
      </c>
      <c r="K55" s="592">
        <v>0</v>
      </c>
      <c r="L55" s="592">
        <v>0</v>
      </c>
      <c r="M55" s="592">
        <v>0</v>
      </c>
      <c r="N55" s="593">
        <v>57</v>
      </c>
      <c r="O55" s="593">
        <v>0</v>
      </c>
      <c r="P55" s="593">
        <v>125</v>
      </c>
      <c r="Q55" s="593">
        <v>13</v>
      </c>
      <c r="R55" s="593">
        <v>308</v>
      </c>
      <c r="S55" s="593">
        <v>13</v>
      </c>
      <c r="T55" s="593">
        <v>2014</v>
      </c>
      <c r="U55" s="593">
        <v>2014</v>
      </c>
      <c r="V55" s="589"/>
      <c r="W55" s="589"/>
      <c r="X55" s="589"/>
      <c r="Y55" s="589"/>
      <c r="Z55" s="589"/>
      <c r="AA55" s="589"/>
      <c r="AB55" s="589"/>
      <c r="AC55" s="589"/>
      <c r="AD55" s="589"/>
      <c r="AE55" s="589"/>
      <c r="AF55" s="589"/>
      <c r="AG55" s="589"/>
      <c r="AH55" s="589"/>
      <c r="AI55" s="589"/>
      <c r="AJ55" s="589"/>
      <c r="AK55" s="589"/>
      <c r="AL55" s="589"/>
      <c r="AM55" s="589"/>
      <c r="AN55" s="589"/>
      <c r="AO55" s="589"/>
      <c r="AP55" s="589"/>
      <c r="AQ55" s="589"/>
      <c r="AR55" s="589"/>
      <c r="AS55" s="589"/>
    </row>
    <row r="56" spans="1:45" ht="15">
      <c r="A56" s="587" t="s">
        <v>153</v>
      </c>
      <c r="B56" s="587" t="s">
        <v>350</v>
      </c>
      <c r="C56" s="587" t="s">
        <v>812</v>
      </c>
      <c r="D56" s="588">
        <v>2014</v>
      </c>
      <c r="E56" s="587" t="s">
        <v>775</v>
      </c>
      <c r="F56" s="588">
        <v>20</v>
      </c>
      <c r="G56" s="588">
        <v>0</v>
      </c>
      <c r="H56" s="588">
        <v>0</v>
      </c>
      <c r="I56" s="588">
        <v>0</v>
      </c>
      <c r="J56" s="588">
        <v>12</v>
      </c>
      <c r="K56" s="588">
        <v>0</v>
      </c>
      <c r="L56" s="588">
        <v>0</v>
      </c>
      <c r="M56" s="588">
        <v>0</v>
      </c>
      <c r="N56" s="588">
        <v>14</v>
      </c>
      <c r="O56" s="588">
        <v>0</v>
      </c>
      <c r="P56" s="588">
        <v>34</v>
      </c>
      <c r="Q56" s="588">
        <v>2</v>
      </c>
      <c r="R56" s="588">
        <v>80</v>
      </c>
      <c r="S56" s="588">
        <v>2</v>
      </c>
      <c r="T56" s="588">
        <v>2014</v>
      </c>
      <c r="U56" s="588">
        <v>2014</v>
      </c>
      <c r="V56" s="589"/>
      <c r="W56" s="589"/>
      <c r="X56" s="589"/>
      <c r="Y56" s="589"/>
      <c r="Z56" s="589"/>
      <c r="AA56" s="589"/>
      <c r="AB56" s="589"/>
      <c r="AC56" s="589"/>
      <c r="AD56" s="589"/>
      <c r="AE56" s="589"/>
      <c r="AF56" s="589"/>
      <c r="AG56" s="589"/>
      <c r="AH56" s="589"/>
      <c r="AI56" s="589"/>
      <c r="AJ56" s="589"/>
      <c r="AK56" s="589"/>
      <c r="AL56" s="589"/>
      <c r="AM56" s="589"/>
      <c r="AN56" s="589"/>
      <c r="AO56" s="589"/>
      <c r="AP56" s="589"/>
      <c r="AQ56" s="589"/>
      <c r="AR56" s="589"/>
      <c r="AS56" s="589"/>
    </row>
    <row r="57" spans="1:45" ht="15">
      <c r="A57" s="590" t="s">
        <v>153</v>
      </c>
      <c r="B57" s="591" t="s">
        <v>351</v>
      </c>
      <c r="C57" s="591" t="s">
        <v>812</v>
      </c>
      <c r="D57" s="592">
        <v>2014</v>
      </c>
      <c r="E57" s="591" t="s">
        <v>775</v>
      </c>
      <c r="F57" s="592">
        <v>198</v>
      </c>
      <c r="G57" s="592">
        <v>0</v>
      </c>
      <c r="H57" s="592">
        <v>0</v>
      </c>
      <c r="I57" s="592">
        <v>0</v>
      </c>
      <c r="J57" s="592">
        <v>118</v>
      </c>
      <c r="K57" s="592">
        <v>0</v>
      </c>
      <c r="L57" s="592">
        <v>0</v>
      </c>
      <c r="M57" s="592">
        <v>0</v>
      </c>
      <c r="N57" s="593">
        <v>127</v>
      </c>
      <c r="O57" s="593">
        <v>298</v>
      </c>
      <c r="P57" s="593">
        <v>336</v>
      </c>
      <c r="Q57" s="593">
        <v>0</v>
      </c>
      <c r="R57" s="593">
        <v>779</v>
      </c>
      <c r="S57" s="593">
        <v>298</v>
      </c>
      <c r="T57" s="593">
        <v>2014</v>
      </c>
      <c r="U57" s="593">
        <v>2014</v>
      </c>
      <c r="V57" s="589"/>
      <c r="W57" s="589"/>
      <c r="X57" s="589"/>
      <c r="Y57" s="589"/>
      <c r="Z57" s="589"/>
      <c r="AA57" s="589"/>
      <c r="AB57" s="589"/>
      <c r="AC57" s="589"/>
      <c r="AD57" s="589"/>
      <c r="AE57" s="589"/>
      <c r="AF57" s="589"/>
      <c r="AG57" s="589"/>
      <c r="AH57" s="589"/>
      <c r="AI57" s="589"/>
      <c r="AJ57" s="589"/>
      <c r="AK57" s="589"/>
      <c r="AL57" s="589"/>
      <c r="AM57" s="589"/>
      <c r="AN57" s="589"/>
      <c r="AO57" s="589"/>
      <c r="AP57" s="589"/>
      <c r="AQ57" s="589"/>
      <c r="AR57" s="589"/>
      <c r="AS57" s="589"/>
    </row>
    <row r="58" spans="1:45" ht="15">
      <c r="A58" s="587" t="s">
        <v>153</v>
      </c>
      <c r="B58" s="587" t="s">
        <v>352</v>
      </c>
      <c r="C58" s="587" t="s">
        <v>812</v>
      </c>
      <c r="D58" s="588">
        <v>2014</v>
      </c>
      <c r="E58" s="587" t="s">
        <v>775</v>
      </c>
      <c r="F58" s="588">
        <v>142</v>
      </c>
      <c r="G58" s="588">
        <v>47</v>
      </c>
      <c r="H58" s="588">
        <v>47</v>
      </c>
      <c r="I58" s="588">
        <v>0</v>
      </c>
      <c r="J58" s="588">
        <v>83</v>
      </c>
      <c r="K58" s="588">
        <v>16</v>
      </c>
      <c r="L58" s="588">
        <v>16</v>
      </c>
      <c r="M58" s="588">
        <v>0</v>
      </c>
      <c r="N58" s="588">
        <v>90</v>
      </c>
      <c r="O58" s="588">
        <v>0</v>
      </c>
      <c r="P58" s="588">
        <v>242</v>
      </c>
      <c r="Q58" s="588">
        <v>19</v>
      </c>
      <c r="R58" s="588">
        <v>557</v>
      </c>
      <c r="S58" s="588">
        <v>82</v>
      </c>
      <c r="T58" s="588">
        <v>2014</v>
      </c>
      <c r="U58" s="588">
        <v>2014</v>
      </c>
      <c r="V58" s="589"/>
      <c r="W58" s="589"/>
      <c r="X58" s="589"/>
      <c r="Y58" s="589"/>
      <c r="Z58" s="589"/>
      <c r="AA58" s="589"/>
      <c r="AB58" s="589"/>
      <c r="AC58" s="589"/>
      <c r="AD58" s="589"/>
      <c r="AE58" s="589"/>
      <c r="AF58" s="589"/>
      <c r="AG58" s="589"/>
      <c r="AH58" s="589"/>
      <c r="AI58" s="589"/>
      <c r="AJ58" s="589"/>
      <c r="AK58" s="589"/>
      <c r="AL58" s="589"/>
      <c r="AM58" s="589"/>
      <c r="AN58" s="589"/>
      <c r="AO58" s="589"/>
      <c r="AP58" s="589"/>
      <c r="AQ58" s="589"/>
      <c r="AR58" s="589"/>
      <c r="AS58" s="589"/>
    </row>
    <row r="59" spans="1:45" ht="15">
      <c r="A59" s="590" t="s">
        <v>173</v>
      </c>
      <c r="B59" s="591" t="s">
        <v>528</v>
      </c>
      <c r="C59" s="591" t="s">
        <v>812</v>
      </c>
      <c r="D59" s="592">
        <v>2014</v>
      </c>
      <c r="E59" s="591" t="s">
        <v>775</v>
      </c>
      <c r="F59" s="592">
        <v>872</v>
      </c>
      <c r="G59" s="592">
        <v>0</v>
      </c>
      <c r="H59" s="592">
        <v>0</v>
      </c>
      <c r="I59" s="592">
        <v>0</v>
      </c>
      <c r="J59" s="592">
        <v>593</v>
      </c>
      <c r="K59" s="592">
        <v>0</v>
      </c>
      <c r="L59" s="592">
        <v>0</v>
      </c>
      <c r="M59" s="592">
        <v>0</v>
      </c>
      <c r="N59" s="593">
        <v>685</v>
      </c>
      <c r="O59" s="593">
        <v>0</v>
      </c>
      <c r="P59" s="593">
        <v>1642</v>
      </c>
      <c r="Q59" s="593">
        <v>0</v>
      </c>
      <c r="R59" s="593">
        <v>3792</v>
      </c>
      <c r="S59" s="593">
        <v>0</v>
      </c>
      <c r="T59" s="593">
        <v>2014</v>
      </c>
      <c r="U59" s="593">
        <v>2014</v>
      </c>
      <c r="V59" s="589"/>
      <c r="W59" s="589"/>
      <c r="X59" s="589"/>
      <c r="Y59" s="589"/>
      <c r="Z59" s="589"/>
      <c r="AA59" s="589"/>
      <c r="AB59" s="589"/>
      <c r="AC59" s="589"/>
      <c r="AD59" s="589"/>
      <c r="AE59" s="589"/>
      <c r="AF59" s="589"/>
      <c r="AG59" s="589"/>
      <c r="AH59" s="589"/>
      <c r="AI59" s="589"/>
      <c r="AJ59" s="589"/>
      <c r="AK59" s="589"/>
      <c r="AL59" s="589"/>
      <c r="AM59" s="589"/>
      <c r="AN59" s="589"/>
      <c r="AO59" s="589"/>
      <c r="AP59" s="589"/>
      <c r="AQ59" s="589"/>
      <c r="AR59" s="589"/>
      <c r="AS59" s="589"/>
    </row>
    <row r="60" spans="1:45" ht="15">
      <c r="A60" s="587" t="s">
        <v>153</v>
      </c>
      <c r="B60" s="587" t="s">
        <v>353</v>
      </c>
      <c r="C60" s="587" t="s">
        <v>812</v>
      </c>
      <c r="D60" s="588">
        <v>2014</v>
      </c>
      <c r="E60" s="587" t="s">
        <v>775</v>
      </c>
      <c r="F60" s="588">
        <v>11</v>
      </c>
      <c r="G60" s="588">
        <v>0</v>
      </c>
      <c r="H60" s="588">
        <v>0</v>
      </c>
      <c r="I60" s="588">
        <v>0</v>
      </c>
      <c r="J60" s="588">
        <v>7</v>
      </c>
      <c r="K60" s="588">
        <v>0</v>
      </c>
      <c r="L60" s="588">
        <v>0</v>
      </c>
      <c r="M60" s="588">
        <v>0</v>
      </c>
      <c r="N60" s="588">
        <v>8</v>
      </c>
      <c r="O60" s="588">
        <v>0</v>
      </c>
      <c r="P60" s="588">
        <v>21</v>
      </c>
      <c r="Q60" s="588">
        <v>0</v>
      </c>
      <c r="R60" s="588">
        <v>47</v>
      </c>
      <c r="S60" s="588">
        <v>0</v>
      </c>
      <c r="T60" s="588">
        <v>2014</v>
      </c>
      <c r="U60" s="588">
        <v>2014</v>
      </c>
      <c r="V60" s="589"/>
      <c r="W60" s="589"/>
      <c r="X60" s="589"/>
      <c r="Y60" s="589"/>
      <c r="Z60" s="589"/>
      <c r="AA60" s="589"/>
      <c r="AB60" s="589"/>
      <c r="AC60" s="589"/>
      <c r="AD60" s="589"/>
      <c r="AE60" s="589"/>
      <c r="AF60" s="589"/>
      <c r="AG60" s="589"/>
      <c r="AH60" s="589"/>
      <c r="AI60" s="589"/>
      <c r="AJ60" s="589"/>
      <c r="AK60" s="589"/>
      <c r="AL60" s="589"/>
      <c r="AM60" s="589"/>
      <c r="AN60" s="589"/>
      <c r="AO60" s="589"/>
      <c r="AP60" s="589"/>
      <c r="AQ60" s="589"/>
      <c r="AR60" s="589"/>
      <c r="AS60" s="589"/>
    </row>
    <row r="61" spans="1:45" ht="15">
      <c r="A61" s="590" t="s">
        <v>153</v>
      </c>
      <c r="B61" s="591" t="s">
        <v>354</v>
      </c>
      <c r="C61" s="591" t="s">
        <v>812</v>
      </c>
      <c r="D61" s="592">
        <v>2014</v>
      </c>
      <c r="E61" s="591" t="s">
        <v>775</v>
      </c>
      <c r="F61" s="592">
        <v>11</v>
      </c>
      <c r="G61" s="592">
        <v>0</v>
      </c>
      <c r="H61" s="592">
        <v>0</v>
      </c>
      <c r="I61" s="592">
        <v>0</v>
      </c>
      <c r="J61" s="592">
        <v>7</v>
      </c>
      <c r="K61" s="592">
        <v>0</v>
      </c>
      <c r="L61" s="592">
        <v>0</v>
      </c>
      <c r="M61" s="592">
        <v>0</v>
      </c>
      <c r="N61" s="593">
        <v>8</v>
      </c>
      <c r="O61" s="593">
        <v>4</v>
      </c>
      <c r="P61" s="593">
        <v>20</v>
      </c>
      <c r="Q61" s="593">
        <v>2</v>
      </c>
      <c r="R61" s="593">
        <v>46</v>
      </c>
      <c r="S61" s="593">
        <v>6</v>
      </c>
      <c r="T61" s="593">
        <v>2014</v>
      </c>
      <c r="U61" s="593">
        <v>2014</v>
      </c>
      <c r="V61" s="589"/>
      <c r="W61" s="589"/>
      <c r="X61" s="589"/>
      <c r="Y61" s="589"/>
      <c r="Z61" s="589"/>
      <c r="AA61" s="589"/>
      <c r="AB61" s="589"/>
      <c r="AC61" s="589"/>
      <c r="AD61" s="589"/>
      <c r="AE61" s="589"/>
      <c r="AF61" s="589"/>
      <c r="AG61" s="589"/>
      <c r="AH61" s="589"/>
      <c r="AI61" s="589"/>
      <c r="AJ61" s="589"/>
      <c r="AK61" s="589"/>
      <c r="AL61" s="589"/>
      <c r="AM61" s="589"/>
      <c r="AN61" s="589"/>
      <c r="AO61" s="589"/>
      <c r="AP61" s="589"/>
      <c r="AQ61" s="589"/>
      <c r="AR61" s="589"/>
      <c r="AS61" s="589"/>
    </row>
    <row r="62" spans="1:45" ht="15">
      <c r="A62" s="587" t="s">
        <v>153</v>
      </c>
      <c r="B62" s="587" t="s">
        <v>355</v>
      </c>
      <c r="C62" s="587" t="s">
        <v>812</v>
      </c>
      <c r="D62" s="588">
        <v>2014</v>
      </c>
      <c r="E62" s="587" t="s">
        <v>775</v>
      </c>
      <c r="F62" s="588">
        <v>1</v>
      </c>
      <c r="G62" s="588">
        <v>0</v>
      </c>
      <c r="H62" s="588">
        <v>0</v>
      </c>
      <c r="I62" s="588">
        <v>0</v>
      </c>
      <c r="J62" s="588">
        <v>1</v>
      </c>
      <c r="K62" s="588">
        <v>0</v>
      </c>
      <c r="L62" s="588">
        <v>0</v>
      </c>
      <c r="M62" s="588">
        <v>0</v>
      </c>
      <c r="N62" s="588">
        <v>0</v>
      </c>
      <c r="O62" s="588">
        <v>0</v>
      </c>
      <c r="P62" s="588">
        <v>0</v>
      </c>
      <c r="Q62" s="588">
        <v>67</v>
      </c>
      <c r="R62" s="588">
        <v>2</v>
      </c>
      <c r="S62" s="588">
        <v>67</v>
      </c>
      <c r="T62" s="588">
        <v>2014</v>
      </c>
      <c r="U62" s="588">
        <v>2014</v>
      </c>
      <c r="V62" s="589"/>
      <c r="W62" s="589"/>
      <c r="X62" s="589"/>
      <c r="Y62" s="589"/>
      <c r="Z62" s="589"/>
      <c r="AA62" s="589"/>
      <c r="AB62" s="589"/>
      <c r="AC62" s="589"/>
      <c r="AD62" s="589"/>
      <c r="AE62" s="589"/>
      <c r="AF62" s="589"/>
      <c r="AG62" s="589"/>
      <c r="AH62" s="589"/>
      <c r="AI62" s="589"/>
      <c r="AJ62" s="589"/>
      <c r="AK62" s="589"/>
      <c r="AL62" s="589"/>
      <c r="AM62" s="589"/>
      <c r="AN62" s="589"/>
      <c r="AO62" s="589"/>
      <c r="AP62" s="589"/>
      <c r="AQ62" s="589"/>
      <c r="AR62" s="589"/>
      <c r="AS62" s="589"/>
    </row>
    <row r="63" spans="1:45" ht="15">
      <c r="A63" s="590" t="s">
        <v>184</v>
      </c>
      <c r="B63" s="591" t="s">
        <v>624</v>
      </c>
      <c r="C63" s="591" t="s">
        <v>774</v>
      </c>
      <c r="D63" s="592">
        <v>2014</v>
      </c>
      <c r="E63" s="591" t="s">
        <v>775</v>
      </c>
      <c r="F63" s="592">
        <v>116</v>
      </c>
      <c r="G63" s="592">
        <v>0</v>
      </c>
      <c r="H63" s="592">
        <v>0</v>
      </c>
      <c r="I63" s="592">
        <v>0</v>
      </c>
      <c r="J63" s="592">
        <v>63</v>
      </c>
      <c r="K63" s="592">
        <v>0</v>
      </c>
      <c r="L63" s="592">
        <v>0</v>
      </c>
      <c r="M63" s="592">
        <v>0</v>
      </c>
      <c r="N63" s="593">
        <v>67</v>
      </c>
      <c r="O63" s="593">
        <v>0</v>
      </c>
      <c r="P63" s="593">
        <v>222</v>
      </c>
      <c r="Q63" s="593">
        <v>18</v>
      </c>
      <c r="R63" s="593">
        <v>468</v>
      </c>
      <c r="S63" s="593">
        <v>18</v>
      </c>
      <c r="T63" s="593">
        <v>2015</v>
      </c>
      <c r="U63" s="593">
        <v>2015</v>
      </c>
      <c r="V63" s="589"/>
      <c r="W63" s="589"/>
      <c r="X63" s="589"/>
      <c r="Y63" s="589"/>
      <c r="Z63" s="589"/>
      <c r="AA63" s="589"/>
      <c r="AB63" s="589"/>
      <c r="AC63" s="589"/>
      <c r="AD63" s="589"/>
      <c r="AE63" s="589"/>
      <c r="AF63" s="589"/>
      <c r="AG63" s="589"/>
      <c r="AH63" s="589"/>
      <c r="AI63" s="589"/>
      <c r="AJ63" s="589"/>
      <c r="AK63" s="589"/>
      <c r="AL63" s="589"/>
      <c r="AM63" s="589"/>
      <c r="AN63" s="589"/>
      <c r="AO63" s="589"/>
      <c r="AP63" s="589"/>
      <c r="AQ63" s="589"/>
      <c r="AR63" s="589"/>
      <c r="AS63" s="589"/>
    </row>
    <row r="64" spans="1:45" ht="15">
      <c r="A64" s="587" t="s">
        <v>192</v>
      </c>
      <c r="B64" s="587" t="s">
        <v>686</v>
      </c>
      <c r="C64" s="587" t="s">
        <v>774</v>
      </c>
      <c r="D64" s="588">
        <v>2014</v>
      </c>
      <c r="E64" s="587" t="s">
        <v>775</v>
      </c>
      <c r="F64" s="588">
        <v>94</v>
      </c>
      <c r="G64" s="588">
        <v>0</v>
      </c>
      <c r="H64" s="588">
        <v>0</v>
      </c>
      <c r="I64" s="588">
        <v>0</v>
      </c>
      <c r="J64" s="588">
        <v>54</v>
      </c>
      <c r="K64" s="588">
        <v>0</v>
      </c>
      <c r="L64" s="588">
        <v>0</v>
      </c>
      <c r="M64" s="588">
        <v>0</v>
      </c>
      <c r="N64" s="588">
        <v>56</v>
      </c>
      <c r="O64" s="588">
        <v>0</v>
      </c>
      <c r="P64" s="588">
        <v>123</v>
      </c>
      <c r="Q64" s="588">
        <v>4</v>
      </c>
      <c r="R64" s="588">
        <v>327</v>
      </c>
      <c r="S64" s="588">
        <v>4</v>
      </c>
      <c r="T64" s="588">
        <v>2015</v>
      </c>
      <c r="U64" s="588">
        <v>2015</v>
      </c>
      <c r="V64" s="589"/>
      <c r="W64" s="589"/>
      <c r="X64" s="589"/>
      <c r="Y64" s="589"/>
      <c r="Z64" s="589"/>
      <c r="AA64" s="589"/>
      <c r="AB64" s="589"/>
      <c r="AC64" s="589"/>
      <c r="AD64" s="589"/>
      <c r="AE64" s="589"/>
      <c r="AF64" s="589"/>
      <c r="AG64" s="589"/>
      <c r="AH64" s="589"/>
      <c r="AI64" s="589"/>
      <c r="AJ64" s="589"/>
      <c r="AK64" s="589"/>
      <c r="AL64" s="589"/>
      <c r="AM64" s="589"/>
      <c r="AN64" s="589"/>
      <c r="AO64" s="589"/>
      <c r="AP64" s="589"/>
      <c r="AQ64" s="589"/>
      <c r="AR64" s="589"/>
      <c r="AS64" s="589"/>
    </row>
    <row r="65" spans="1:45" ht="15">
      <c r="A65" s="590" t="s">
        <v>153</v>
      </c>
      <c r="B65" s="591" t="s">
        <v>356</v>
      </c>
      <c r="C65" s="591" t="s">
        <v>812</v>
      </c>
      <c r="D65" s="592">
        <v>2014</v>
      </c>
      <c r="E65" s="591" t="s">
        <v>775</v>
      </c>
      <c r="F65" s="592">
        <v>1</v>
      </c>
      <c r="G65" s="592">
        <v>2</v>
      </c>
      <c r="H65" s="592">
        <v>0</v>
      </c>
      <c r="I65" s="592">
        <v>2</v>
      </c>
      <c r="J65" s="592">
        <v>1</v>
      </c>
      <c r="K65" s="592">
        <v>3</v>
      </c>
      <c r="L65" s="592">
        <v>3</v>
      </c>
      <c r="M65" s="592">
        <v>0</v>
      </c>
      <c r="N65" s="593">
        <v>1</v>
      </c>
      <c r="O65" s="593">
        <v>0</v>
      </c>
      <c r="P65" s="593">
        <v>0</v>
      </c>
      <c r="Q65" s="593">
        <v>38</v>
      </c>
      <c r="R65" s="593">
        <v>3</v>
      </c>
      <c r="S65" s="593">
        <v>43</v>
      </c>
      <c r="T65" s="593">
        <v>2014</v>
      </c>
      <c r="U65" s="593">
        <v>2014</v>
      </c>
      <c r="V65" s="589"/>
      <c r="W65" s="589"/>
      <c r="X65" s="589"/>
      <c r="Y65" s="589"/>
      <c r="Z65" s="589"/>
      <c r="AA65" s="589"/>
      <c r="AB65" s="589"/>
      <c r="AC65" s="589"/>
      <c r="AD65" s="589"/>
      <c r="AE65" s="589"/>
      <c r="AF65" s="589"/>
      <c r="AG65" s="589"/>
      <c r="AH65" s="589"/>
      <c r="AI65" s="589"/>
      <c r="AJ65" s="589"/>
      <c r="AK65" s="589"/>
      <c r="AL65" s="589"/>
      <c r="AM65" s="589"/>
      <c r="AN65" s="589"/>
      <c r="AO65" s="589"/>
      <c r="AP65" s="589"/>
      <c r="AQ65" s="589"/>
      <c r="AR65" s="589"/>
      <c r="AS65" s="589"/>
    </row>
    <row r="66" spans="1:45" ht="15">
      <c r="A66" s="587" t="s">
        <v>131</v>
      </c>
      <c r="B66" s="587" t="s">
        <v>255</v>
      </c>
      <c r="C66" s="587" t="s">
        <v>786</v>
      </c>
      <c r="D66" s="588">
        <v>2014</v>
      </c>
      <c r="E66" s="587" t="s">
        <v>775</v>
      </c>
      <c r="F66" s="588">
        <v>48</v>
      </c>
      <c r="G66" s="588">
        <v>0</v>
      </c>
      <c r="H66" s="588">
        <v>0</v>
      </c>
      <c r="I66" s="588">
        <v>0</v>
      </c>
      <c r="J66" s="588">
        <v>30</v>
      </c>
      <c r="K66" s="588">
        <v>0</v>
      </c>
      <c r="L66" s="588">
        <v>0</v>
      </c>
      <c r="M66" s="588">
        <v>0</v>
      </c>
      <c r="N66" s="588">
        <v>24</v>
      </c>
      <c r="O66" s="588">
        <v>0</v>
      </c>
      <c r="P66" s="588">
        <v>82</v>
      </c>
      <c r="Q66" s="588">
        <v>0</v>
      </c>
      <c r="R66" s="588">
        <v>184</v>
      </c>
      <c r="S66" s="588">
        <v>0</v>
      </c>
      <c r="T66" s="588">
        <v>2014</v>
      </c>
      <c r="U66" s="588">
        <v>2014</v>
      </c>
      <c r="V66" s="589"/>
      <c r="W66" s="589"/>
      <c r="X66" s="589"/>
      <c r="Y66" s="589"/>
      <c r="Z66" s="589"/>
      <c r="AA66" s="589"/>
      <c r="AB66" s="589"/>
      <c r="AC66" s="589"/>
      <c r="AD66" s="589"/>
      <c r="AE66" s="589"/>
      <c r="AF66" s="589"/>
      <c r="AG66" s="589"/>
      <c r="AH66" s="589"/>
      <c r="AI66" s="589"/>
      <c r="AJ66" s="589"/>
      <c r="AK66" s="589"/>
      <c r="AL66" s="589"/>
      <c r="AM66" s="589"/>
      <c r="AN66" s="589"/>
      <c r="AO66" s="589"/>
      <c r="AP66" s="589"/>
      <c r="AQ66" s="589"/>
      <c r="AR66" s="589"/>
      <c r="AS66" s="589"/>
    </row>
    <row r="67" spans="1:45" ht="15">
      <c r="A67" s="590" t="s">
        <v>147</v>
      </c>
      <c r="B67" s="591" t="s">
        <v>322</v>
      </c>
      <c r="C67" s="591" t="s">
        <v>784</v>
      </c>
      <c r="D67" s="592">
        <v>2014</v>
      </c>
      <c r="E67" s="591" t="s">
        <v>775</v>
      </c>
      <c r="F67" s="592">
        <v>15</v>
      </c>
      <c r="G67" s="592">
        <v>0</v>
      </c>
      <c r="H67" s="592">
        <v>0</v>
      </c>
      <c r="I67" s="592">
        <v>0</v>
      </c>
      <c r="J67" s="592">
        <v>10</v>
      </c>
      <c r="K67" s="592">
        <v>0</v>
      </c>
      <c r="L67" s="592">
        <v>0</v>
      </c>
      <c r="M67" s="592">
        <v>0</v>
      </c>
      <c r="N67" s="593">
        <v>12</v>
      </c>
      <c r="O67" s="593">
        <v>0</v>
      </c>
      <c r="P67" s="593">
        <v>28</v>
      </c>
      <c r="Q67" s="593">
        <v>0</v>
      </c>
      <c r="R67" s="593">
        <v>65</v>
      </c>
      <c r="S67" s="593">
        <v>0</v>
      </c>
      <c r="T67" s="593">
        <v>2014</v>
      </c>
      <c r="U67" s="593">
        <v>2014</v>
      </c>
      <c r="V67" s="589"/>
      <c r="W67" s="589"/>
      <c r="X67" s="589"/>
      <c r="Y67" s="589"/>
      <c r="Z67" s="589"/>
      <c r="AA67" s="589"/>
      <c r="AB67" s="589"/>
      <c r="AC67" s="589"/>
      <c r="AD67" s="589"/>
      <c r="AE67" s="589"/>
      <c r="AF67" s="589"/>
      <c r="AG67" s="589"/>
      <c r="AH67" s="589"/>
      <c r="AI67" s="589"/>
      <c r="AJ67" s="589"/>
      <c r="AK67" s="589"/>
      <c r="AL67" s="589"/>
      <c r="AM67" s="589"/>
      <c r="AN67" s="589"/>
      <c r="AO67" s="589"/>
      <c r="AP67" s="589"/>
      <c r="AQ67" s="589"/>
      <c r="AR67" s="589"/>
      <c r="AS67" s="589"/>
    </row>
    <row r="68" spans="1:45" ht="15">
      <c r="A68" s="587" t="s">
        <v>146</v>
      </c>
      <c r="B68" s="587" t="s">
        <v>315</v>
      </c>
      <c r="C68" s="587" t="s">
        <v>812</v>
      </c>
      <c r="D68" s="588">
        <v>2014</v>
      </c>
      <c r="E68" s="587" t="s">
        <v>775</v>
      </c>
      <c r="F68" s="588">
        <v>760</v>
      </c>
      <c r="G68" s="588">
        <v>8</v>
      </c>
      <c r="H68" s="588">
        <v>8</v>
      </c>
      <c r="I68" s="588">
        <v>0</v>
      </c>
      <c r="J68" s="588">
        <v>470</v>
      </c>
      <c r="K68" s="588">
        <v>5</v>
      </c>
      <c r="L68" s="588">
        <v>5</v>
      </c>
      <c r="M68" s="588">
        <v>0</v>
      </c>
      <c r="N68" s="588">
        <v>466</v>
      </c>
      <c r="O68" s="588">
        <v>0</v>
      </c>
      <c r="P68" s="588">
        <v>1338</v>
      </c>
      <c r="Q68" s="588">
        <v>6</v>
      </c>
      <c r="R68" s="588">
        <v>3034</v>
      </c>
      <c r="S68" s="588">
        <v>19</v>
      </c>
      <c r="T68" s="588">
        <v>2014</v>
      </c>
      <c r="U68" s="588">
        <v>2014</v>
      </c>
      <c r="V68" s="589"/>
      <c r="W68" s="589"/>
      <c r="X68" s="589"/>
      <c r="Y68" s="589"/>
      <c r="Z68" s="589"/>
      <c r="AA68" s="589"/>
      <c r="AB68" s="589"/>
      <c r="AC68" s="589"/>
      <c r="AD68" s="589"/>
      <c r="AE68" s="589"/>
      <c r="AF68" s="589"/>
      <c r="AG68" s="589"/>
      <c r="AH68" s="589"/>
      <c r="AI68" s="589"/>
      <c r="AJ68" s="589"/>
      <c r="AK68" s="589"/>
      <c r="AL68" s="589"/>
      <c r="AM68" s="589"/>
      <c r="AN68" s="589"/>
      <c r="AO68" s="589"/>
      <c r="AP68" s="589"/>
      <c r="AQ68" s="589"/>
      <c r="AR68" s="589"/>
      <c r="AS68" s="589"/>
    </row>
    <row r="69" spans="1:45" ht="15">
      <c r="A69" s="590" t="s">
        <v>169</v>
      </c>
      <c r="B69" s="591" t="s">
        <v>487</v>
      </c>
      <c r="C69" s="591" t="s">
        <v>812</v>
      </c>
      <c r="D69" s="592">
        <v>2014</v>
      </c>
      <c r="E69" s="591" t="s">
        <v>775</v>
      </c>
      <c r="F69" s="592">
        <v>426</v>
      </c>
      <c r="G69" s="592">
        <v>0</v>
      </c>
      <c r="H69" s="592">
        <v>0</v>
      </c>
      <c r="I69" s="592">
        <v>0</v>
      </c>
      <c r="J69" s="592">
        <v>305</v>
      </c>
      <c r="K69" s="592">
        <v>0</v>
      </c>
      <c r="L69" s="592">
        <v>0</v>
      </c>
      <c r="M69" s="592">
        <v>0</v>
      </c>
      <c r="N69" s="593">
        <v>335</v>
      </c>
      <c r="O69" s="593">
        <v>0</v>
      </c>
      <c r="P69" s="593">
        <v>785</v>
      </c>
      <c r="Q69" s="593">
        <v>321</v>
      </c>
      <c r="R69" s="593">
        <v>1851</v>
      </c>
      <c r="S69" s="593">
        <v>321</v>
      </c>
      <c r="T69" s="593">
        <v>2014</v>
      </c>
      <c r="U69" s="593">
        <v>2014</v>
      </c>
      <c r="V69" s="589"/>
      <c r="W69" s="589"/>
      <c r="X69" s="589"/>
      <c r="Y69" s="589"/>
      <c r="Z69" s="589"/>
      <c r="AA69" s="589"/>
      <c r="AB69" s="589"/>
      <c r="AC69" s="589"/>
      <c r="AD69" s="589"/>
      <c r="AE69" s="589"/>
      <c r="AF69" s="589"/>
      <c r="AG69" s="589"/>
      <c r="AH69" s="589"/>
      <c r="AI69" s="589"/>
      <c r="AJ69" s="589"/>
      <c r="AK69" s="589"/>
      <c r="AL69" s="589"/>
      <c r="AM69" s="589"/>
      <c r="AN69" s="589"/>
      <c r="AO69" s="589"/>
      <c r="AP69" s="589"/>
      <c r="AQ69" s="589"/>
      <c r="AR69" s="589"/>
      <c r="AS69" s="589"/>
    </row>
    <row r="70" spans="1:45" ht="15">
      <c r="A70" s="587" t="s">
        <v>136</v>
      </c>
      <c r="B70" s="587" t="s">
        <v>266</v>
      </c>
      <c r="C70" s="587" t="s">
        <v>774</v>
      </c>
      <c r="D70" s="588">
        <v>2014</v>
      </c>
      <c r="E70" s="587" t="s">
        <v>775</v>
      </c>
      <c r="F70" s="588">
        <v>234</v>
      </c>
      <c r="G70" s="588">
        <v>1</v>
      </c>
      <c r="H70" s="588">
        <v>1</v>
      </c>
      <c r="I70" s="588">
        <v>0</v>
      </c>
      <c r="J70" s="588">
        <v>124</v>
      </c>
      <c r="K70" s="588">
        <v>2</v>
      </c>
      <c r="L70" s="588">
        <v>2</v>
      </c>
      <c r="M70" s="588">
        <v>0</v>
      </c>
      <c r="N70" s="588">
        <v>123</v>
      </c>
      <c r="O70" s="588">
        <v>5</v>
      </c>
      <c r="P70" s="588">
        <v>279</v>
      </c>
      <c r="Q70" s="588">
        <v>415</v>
      </c>
      <c r="R70" s="588">
        <v>760</v>
      </c>
      <c r="S70" s="588">
        <v>423</v>
      </c>
      <c r="T70" s="588">
        <v>2015</v>
      </c>
      <c r="U70" s="588">
        <v>2015</v>
      </c>
      <c r="V70" s="589"/>
      <c r="W70" s="589"/>
      <c r="X70" s="589"/>
      <c r="Y70" s="589"/>
      <c r="Z70" s="589"/>
      <c r="AA70" s="589"/>
      <c r="AB70" s="589"/>
      <c r="AC70" s="589"/>
      <c r="AD70" s="589"/>
      <c r="AE70" s="589"/>
      <c r="AF70" s="589"/>
      <c r="AG70" s="589"/>
      <c r="AH70" s="589"/>
      <c r="AI70" s="589"/>
      <c r="AJ70" s="589"/>
      <c r="AK70" s="589"/>
      <c r="AL70" s="589"/>
      <c r="AM70" s="589"/>
      <c r="AN70" s="589"/>
      <c r="AO70" s="589"/>
      <c r="AP70" s="589"/>
      <c r="AQ70" s="589"/>
      <c r="AR70" s="589"/>
      <c r="AS70" s="589"/>
    </row>
    <row r="71" spans="1:45" ht="15">
      <c r="A71" s="590" t="s">
        <v>184</v>
      </c>
      <c r="B71" s="591" t="s">
        <v>625</v>
      </c>
      <c r="C71" s="591" t="s">
        <v>774</v>
      </c>
      <c r="D71" s="592">
        <v>2014</v>
      </c>
      <c r="E71" s="591" t="s">
        <v>775</v>
      </c>
      <c r="F71" s="592">
        <v>25</v>
      </c>
      <c r="G71" s="592">
        <v>0</v>
      </c>
      <c r="H71" s="592">
        <v>0</v>
      </c>
      <c r="I71" s="592">
        <v>0</v>
      </c>
      <c r="J71" s="592">
        <v>13</v>
      </c>
      <c r="K71" s="592">
        <v>0</v>
      </c>
      <c r="L71" s="592">
        <v>0</v>
      </c>
      <c r="M71" s="592">
        <v>0</v>
      </c>
      <c r="N71" s="593">
        <v>15</v>
      </c>
      <c r="O71" s="593">
        <v>1</v>
      </c>
      <c r="P71" s="593">
        <v>30</v>
      </c>
      <c r="Q71" s="593">
        <v>38</v>
      </c>
      <c r="R71" s="593">
        <v>83</v>
      </c>
      <c r="S71" s="593">
        <v>39</v>
      </c>
      <c r="T71" s="593">
        <v>2015</v>
      </c>
      <c r="U71" s="593">
        <v>2015</v>
      </c>
      <c r="V71" s="589"/>
      <c r="W71" s="589"/>
      <c r="X71" s="589"/>
      <c r="Y71" s="589"/>
      <c r="Z71" s="589"/>
      <c r="AA71" s="589"/>
      <c r="AB71" s="589"/>
      <c r="AC71" s="589"/>
      <c r="AD71" s="589"/>
      <c r="AE71" s="589"/>
      <c r="AF71" s="589"/>
      <c r="AG71" s="589"/>
      <c r="AH71" s="589"/>
      <c r="AI71" s="589"/>
      <c r="AJ71" s="589"/>
      <c r="AK71" s="589"/>
      <c r="AL71" s="589"/>
      <c r="AM71" s="589"/>
      <c r="AN71" s="589"/>
      <c r="AO71" s="589"/>
      <c r="AP71" s="589"/>
      <c r="AQ71" s="589"/>
      <c r="AR71" s="589"/>
      <c r="AS71" s="589"/>
    </row>
    <row r="72" spans="1:45" ht="15">
      <c r="A72" s="587" t="s">
        <v>185</v>
      </c>
      <c r="B72" s="587" t="s">
        <v>643</v>
      </c>
      <c r="C72" s="587" t="s">
        <v>868</v>
      </c>
      <c r="D72" s="588">
        <v>2014</v>
      </c>
      <c r="E72" s="587" t="s">
        <v>775</v>
      </c>
      <c r="F72" s="588">
        <v>66</v>
      </c>
      <c r="G72" s="588">
        <v>0</v>
      </c>
      <c r="H72" s="588">
        <v>0</v>
      </c>
      <c r="I72" s="588">
        <v>0</v>
      </c>
      <c r="J72" s="588">
        <v>44</v>
      </c>
      <c r="K72" s="588">
        <v>0</v>
      </c>
      <c r="L72" s="588">
        <v>0</v>
      </c>
      <c r="M72" s="588">
        <v>0</v>
      </c>
      <c r="N72" s="588">
        <v>41</v>
      </c>
      <c r="O72" s="588">
        <v>0</v>
      </c>
      <c r="P72" s="588">
        <v>124</v>
      </c>
      <c r="Q72" s="588">
        <v>0</v>
      </c>
      <c r="R72" s="588">
        <v>275</v>
      </c>
      <c r="S72" s="588">
        <v>0</v>
      </c>
      <c r="T72" s="588">
        <v>2015</v>
      </c>
      <c r="U72" s="588">
        <v>2015</v>
      </c>
      <c r="V72" s="589"/>
      <c r="W72" s="589"/>
      <c r="X72" s="589"/>
      <c r="Y72" s="589"/>
      <c r="Z72" s="589"/>
      <c r="AA72" s="589"/>
      <c r="AB72" s="589"/>
      <c r="AC72" s="589"/>
      <c r="AD72" s="589"/>
      <c r="AE72" s="589"/>
      <c r="AF72" s="589"/>
      <c r="AG72" s="589"/>
      <c r="AH72" s="589"/>
      <c r="AI72" s="589"/>
      <c r="AJ72" s="589"/>
      <c r="AK72" s="589"/>
      <c r="AL72" s="589"/>
      <c r="AM72" s="589"/>
      <c r="AN72" s="589"/>
      <c r="AO72" s="589"/>
      <c r="AP72" s="589"/>
      <c r="AQ72" s="589"/>
      <c r="AR72" s="589"/>
      <c r="AS72" s="589"/>
    </row>
    <row r="73" spans="1:45" ht="15">
      <c r="A73" s="590" t="s">
        <v>169</v>
      </c>
      <c r="B73" s="591" t="s">
        <v>488</v>
      </c>
      <c r="C73" s="591" t="s">
        <v>812</v>
      </c>
      <c r="D73" s="592">
        <v>2014</v>
      </c>
      <c r="E73" s="591" t="s">
        <v>775</v>
      </c>
      <c r="F73" s="592">
        <v>76</v>
      </c>
      <c r="G73" s="592">
        <v>21</v>
      </c>
      <c r="H73" s="592">
        <v>21</v>
      </c>
      <c r="I73" s="592">
        <v>0</v>
      </c>
      <c r="J73" s="592">
        <v>53</v>
      </c>
      <c r="K73" s="592">
        <v>49</v>
      </c>
      <c r="L73" s="592">
        <v>49</v>
      </c>
      <c r="M73" s="592">
        <v>0</v>
      </c>
      <c r="N73" s="593">
        <v>62</v>
      </c>
      <c r="O73" s="593">
        <v>0</v>
      </c>
      <c r="P73" s="593">
        <v>148</v>
      </c>
      <c r="Q73" s="593">
        <v>0</v>
      </c>
      <c r="R73" s="593">
        <v>339</v>
      </c>
      <c r="S73" s="593">
        <v>70</v>
      </c>
      <c r="T73" s="593">
        <v>2014</v>
      </c>
      <c r="U73" s="593">
        <v>2014</v>
      </c>
      <c r="V73" s="589"/>
      <c r="W73" s="589"/>
      <c r="X73" s="589"/>
      <c r="Y73" s="589"/>
      <c r="Z73" s="589"/>
      <c r="AA73" s="589"/>
      <c r="AB73" s="589"/>
      <c r="AC73" s="589"/>
      <c r="AD73" s="589"/>
      <c r="AE73" s="589"/>
      <c r="AF73" s="589"/>
      <c r="AG73" s="589"/>
      <c r="AH73" s="589"/>
      <c r="AI73" s="589"/>
      <c r="AJ73" s="589"/>
      <c r="AK73" s="589"/>
      <c r="AL73" s="589"/>
      <c r="AM73" s="589"/>
      <c r="AN73" s="589"/>
      <c r="AO73" s="589"/>
      <c r="AP73" s="589"/>
      <c r="AQ73" s="589"/>
      <c r="AR73" s="589"/>
      <c r="AS73" s="589"/>
    </row>
    <row r="74" spans="1:45" ht="15">
      <c r="A74" s="587" t="s">
        <v>153</v>
      </c>
      <c r="B74" s="587" t="s">
        <v>358</v>
      </c>
      <c r="C74" s="587" t="s">
        <v>812</v>
      </c>
      <c r="D74" s="588">
        <v>2014</v>
      </c>
      <c r="E74" s="587" t="s">
        <v>775</v>
      </c>
      <c r="F74" s="588">
        <v>694</v>
      </c>
      <c r="G74" s="588">
        <v>0</v>
      </c>
      <c r="H74" s="588">
        <v>0</v>
      </c>
      <c r="I74" s="588">
        <v>0</v>
      </c>
      <c r="J74" s="588">
        <v>413</v>
      </c>
      <c r="K74" s="588">
        <v>0</v>
      </c>
      <c r="L74" s="588">
        <v>0</v>
      </c>
      <c r="M74" s="588">
        <v>0</v>
      </c>
      <c r="N74" s="588">
        <v>443</v>
      </c>
      <c r="O74" s="588">
        <v>0</v>
      </c>
      <c r="P74" s="588">
        <v>1134</v>
      </c>
      <c r="Q74" s="588">
        <v>19</v>
      </c>
      <c r="R74" s="588">
        <v>2684</v>
      </c>
      <c r="S74" s="588">
        <v>19</v>
      </c>
      <c r="T74" s="588">
        <v>2014</v>
      </c>
      <c r="U74" s="588">
        <v>2014</v>
      </c>
      <c r="V74" s="589"/>
      <c r="W74" s="589"/>
      <c r="X74" s="589"/>
      <c r="Y74" s="589"/>
      <c r="Z74" s="589"/>
      <c r="AA74" s="589"/>
      <c r="AB74" s="589"/>
      <c r="AC74" s="589"/>
      <c r="AD74" s="589"/>
      <c r="AE74" s="589"/>
      <c r="AF74" s="589"/>
      <c r="AG74" s="589"/>
      <c r="AH74" s="589"/>
      <c r="AI74" s="589"/>
      <c r="AJ74" s="589"/>
      <c r="AK74" s="589"/>
      <c r="AL74" s="589"/>
      <c r="AM74" s="589"/>
      <c r="AN74" s="589"/>
      <c r="AO74" s="589"/>
      <c r="AP74" s="589"/>
      <c r="AQ74" s="589"/>
      <c r="AR74" s="589"/>
      <c r="AS74" s="589"/>
    </row>
    <row r="75" spans="1:45" ht="15">
      <c r="A75" s="590" t="s">
        <v>184</v>
      </c>
      <c r="B75" s="591" t="s">
        <v>626</v>
      </c>
      <c r="C75" s="591" t="s">
        <v>774</v>
      </c>
      <c r="D75" s="592">
        <v>2014</v>
      </c>
      <c r="E75" s="591" t="s">
        <v>775</v>
      </c>
      <c r="F75" s="592">
        <v>276</v>
      </c>
      <c r="G75" s="592">
        <v>0</v>
      </c>
      <c r="H75" s="592">
        <v>0</v>
      </c>
      <c r="I75" s="592">
        <v>0</v>
      </c>
      <c r="J75" s="592">
        <v>144</v>
      </c>
      <c r="K75" s="592">
        <v>0</v>
      </c>
      <c r="L75" s="592">
        <v>0</v>
      </c>
      <c r="M75" s="592">
        <v>0</v>
      </c>
      <c r="N75" s="593">
        <v>155</v>
      </c>
      <c r="O75" s="593">
        <v>3</v>
      </c>
      <c r="P75" s="593">
        <v>288</v>
      </c>
      <c r="Q75" s="593">
        <v>0</v>
      </c>
      <c r="R75" s="593">
        <v>863</v>
      </c>
      <c r="S75" s="593">
        <v>3</v>
      </c>
      <c r="T75" s="593">
        <v>2015</v>
      </c>
      <c r="U75" s="593">
        <v>2015</v>
      </c>
      <c r="V75" s="589"/>
      <c r="W75" s="589"/>
      <c r="X75" s="589"/>
      <c r="Y75" s="589"/>
      <c r="Z75" s="589"/>
      <c r="AA75" s="589"/>
      <c r="AB75" s="589"/>
      <c r="AC75" s="589"/>
      <c r="AD75" s="589"/>
      <c r="AE75" s="589"/>
      <c r="AF75" s="589"/>
      <c r="AG75" s="589"/>
      <c r="AH75" s="589"/>
      <c r="AI75" s="589"/>
      <c r="AJ75" s="589"/>
      <c r="AK75" s="589"/>
      <c r="AL75" s="589"/>
      <c r="AM75" s="589"/>
      <c r="AN75" s="589"/>
      <c r="AO75" s="589"/>
      <c r="AP75" s="589"/>
      <c r="AQ75" s="589"/>
      <c r="AR75" s="589"/>
      <c r="AS75" s="589"/>
    </row>
    <row r="76" spans="1:45" ht="15">
      <c r="A76" s="587" t="s">
        <v>153</v>
      </c>
      <c r="B76" s="587" t="s">
        <v>359</v>
      </c>
      <c r="C76" s="587" t="s">
        <v>812</v>
      </c>
      <c r="D76" s="588">
        <v>2014</v>
      </c>
      <c r="E76" s="587" t="s">
        <v>775</v>
      </c>
      <c r="F76" s="588">
        <v>88</v>
      </c>
      <c r="G76" s="588">
        <v>0</v>
      </c>
      <c r="H76" s="588">
        <v>0</v>
      </c>
      <c r="I76" s="588">
        <v>0</v>
      </c>
      <c r="J76" s="588">
        <v>54</v>
      </c>
      <c r="K76" s="588">
        <v>0</v>
      </c>
      <c r="L76" s="588">
        <v>0</v>
      </c>
      <c r="M76" s="588">
        <v>0</v>
      </c>
      <c r="N76" s="588">
        <v>57</v>
      </c>
      <c r="O76" s="588">
        <v>0</v>
      </c>
      <c r="P76" s="588">
        <v>131</v>
      </c>
      <c r="Q76" s="588">
        <v>15</v>
      </c>
      <c r="R76" s="588">
        <v>330</v>
      </c>
      <c r="S76" s="588">
        <v>15</v>
      </c>
      <c r="T76" s="588">
        <v>2014</v>
      </c>
      <c r="U76" s="588">
        <v>2014</v>
      </c>
      <c r="V76" s="589"/>
      <c r="W76" s="589"/>
      <c r="X76" s="589"/>
      <c r="Y76" s="589"/>
      <c r="Z76" s="589"/>
      <c r="AA76" s="589"/>
      <c r="AB76" s="589"/>
      <c r="AC76" s="589"/>
      <c r="AD76" s="589"/>
      <c r="AE76" s="589"/>
      <c r="AF76" s="589"/>
      <c r="AG76" s="589"/>
      <c r="AH76" s="589"/>
      <c r="AI76" s="589"/>
      <c r="AJ76" s="589"/>
      <c r="AK76" s="589"/>
      <c r="AL76" s="589"/>
      <c r="AM76" s="589"/>
      <c r="AN76" s="589"/>
      <c r="AO76" s="589"/>
      <c r="AP76" s="589"/>
      <c r="AQ76" s="589"/>
      <c r="AR76" s="589"/>
      <c r="AS76" s="589"/>
    </row>
    <row r="77" spans="1:45" ht="15">
      <c r="A77" s="590" t="s">
        <v>134</v>
      </c>
      <c r="B77" s="591" t="s">
        <v>262</v>
      </c>
      <c r="C77" s="591" t="s">
        <v>784</v>
      </c>
      <c r="D77" s="592">
        <v>2014</v>
      </c>
      <c r="E77" s="591" t="s">
        <v>775</v>
      </c>
      <c r="F77" s="592">
        <v>241</v>
      </c>
      <c r="G77" s="592">
        <v>6</v>
      </c>
      <c r="H77" s="592">
        <v>0</v>
      </c>
      <c r="I77" s="592">
        <v>6</v>
      </c>
      <c r="J77" s="592">
        <v>175</v>
      </c>
      <c r="K77" s="592">
        <v>13</v>
      </c>
      <c r="L77" s="592">
        <v>0</v>
      </c>
      <c r="M77" s="592">
        <v>13</v>
      </c>
      <c r="N77" s="593">
        <v>192</v>
      </c>
      <c r="O77" s="593">
        <v>17</v>
      </c>
      <c r="P77" s="593">
        <v>471</v>
      </c>
      <c r="Q77" s="593">
        <v>38</v>
      </c>
      <c r="R77" s="593">
        <v>1079</v>
      </c>
      <c r="S77" s="593">
        <v>74</v>
      </c>
      <c r="T77" s="593">
        <v>2014</v>
      </c>
      <c r="U77" s="593">
        <v>2014</v>
      </c>
      <c r="V77" s="589"/>
      <c r="W77" s="589"/>
      <c r="X77" s="589"/>
      <c r="Y77" s="589"/>
      <c r="Z77" s="589"/>
      <c r="AA77" s="589"/>
      <c r="AB77" s="589"/>
      <c r="AC77" s="589"/>
      <c r="AD77" s="589"/>
      <c r="AE77" s="589"/>
      <c r="AF77" s="589"/>
      <c r="AG77" s="589"/>
      <c r="AH77" s="589"/>
      <c r="AI77" s="589"/>
      <c r="AJ77" s="589"/>
      <c r="AK77" s="589"/>
      <c r="AL77" s="589"/>
      <c r="AM77" s="589"/>
      <c r="AN77" s="589"/>
      <c r="AO77" s="589"/>
      <c r="AP77" s="589"/>
      <c r="AQ77" s="589"/>
      <c r="AR77" s="589"/>
      <c r="AS77" s="589"/>
    </row>
    <row r="78" spans="1:45" ht="15">
      <c r="A78" s="587" t="s">
        <v>146</v>
      </c>
      <c r="B78" s="587" t="s">
        <v>316</v>
      </c>
      <c r="C78" s="587" t="s">
        <v>812</v>
      </c>
      <c r="D78" s="588">
        <v>2014</v>
      </c>
      <c r="E78" s="587" t="s">
        <v>775</v>
      </c>
      <c r="F78" s="588">
        <v>817</v>
      </c>
      <c r="G78" s="588">
        <v>66</v>
      </c>
      <c r="H78" s="588">
        <v>23</v>
      </c>
      <c r="I78" s="588">
        <v>43</v>
      </c>
      <c r="J78" s="588">
        <v>489</v>
      </c>
      <c r="K78" s="588">
        <v>10</v>
      </c>
      <c r="L78" s="588">
        <v>0</v>
      </c>
      <c r="M78" s="588">
        <v>10</v>
      </c>
      <c r="N78" s="588">
        <v>490</v>
      </c>
      <c r="O78" s="588">
        <v>42</v>
      </c>
      <c r="P78" s="588">
        <v>1428</v>
      </c>
      <c r="Q78" s="588">
        <v>0</v>
      </c>
      <c r="R78" s="588">
        <v>3224</v>
      </c>
      <c r="S78" s="588">
        <v>118</v>
      </c>
      <c r="T78" s="588">
        <v>2014</v>
      </c>
      <c r="U78" s="588">
        <v>2014</v>
      </c>
      <c r="V78" s="589"/>
      <c r="W78" s="589"/>
      <c r="X78" s="589"/>
      <c r="Y78" s="589"/>
      <c r="Z78" s="589"/>
      <c r="AA78" s="589"/>
      <c r="AB78" s="589"/>
      <c r="AC78" s="589"/>
      <c r="AD78" s="589"/>
      <c r="AE78" s="589"/>
      <c r="AF78" s="589"/>
      <c r="AG78" s="589"/>
      <c r="AH78" s="589"/>
      <c r="AI78" s="589"/>
      <c r="AJ78" s="589"/>
      <c r="AK78" s="589"/>
      <c r="AL78" s="589"/>
      <c r="AM78" s="589"/>
      <c r="AN78" s="589"/>
      <c r="AO78" s="589"/>
      <c r="AP78" s="589"/>
      <c r="AQ78" s="589"/>
      <c r="AR78" s="589"/>
      <c r="AS78" s="589"/>
    </row>
    <row r="79" spans="1:45" ht="15">
      <c r="A79" s="590" t="s">
        <v>173</v>
      </c>
      <c r="B79" s="591" t="s">
        <v>531</v>
      </c>
      <c r="C79" s="591" t="s">
        <v>812</v>
      </c>
      <c r="D79" s="592">
        <v>2014</v>
      </c>
      <c r="E79" s="591" t="s">
        <v>775</v>
      </c>
      <c r="F79" s="592">
        <v>543</v>
      </c>
      <c r="G79" s="592">
        <v>0</v>
      </c>
      <c r="H79" s="592">
        <v>0</v>
      </c>
      <c r="I79" s="592">
        <v>0</v>
      </c>
      <c r="J79" s="592">
        <v>383</v>
      </c>
      <c r="K79" s="592">
        <v>0</v>
      </c>
      <c r="L79" s="592">
        <v>0</v>
      </c>
      <c r="M79" s="592">
        <v>0</v>
      </c>
      <c r="N79" s="593">
        <v>433</v>
      </c>
      <c r="O79" s="593">
        <v>0</v>
      </c>
      <c r="P79" s="593">
        <v>982</v>
      </c>
      <c r="Q79" s="593">
        <v>37</v>
      </c>
      <c r="R79" s="593">
        <v>2341</v>
      </c>
      <c r="S79" s="593">
        <v>37</v>
      </c>
      <c r="T79" s="593">
        <v>2014</v>
      </c>
      <c r="U79" s="593">
        <v>2014</v>
      </c>
      <c r="V79" s="589"/>
      <c r="W79" s="589"/>
      <c r="X79" s="589"/>
      <c r="Y79" s="589"/>
      <c r="Z79" s="589"/>
      <c r="AA79" s="589"/>
      <c r="AB79" s="589"/>
      <c r="AC79" s="589"/>
      <c r="AD79" s="589"/>
      <c r="AE79" s="589"/>
      <c r="AF79" s="589"/>
      <c r="AG79" s="589"/>
      <c r="AH79" s="589"/>
      <c r="AI79" s="589"/>
      <c r="AJ79" s="589"/>
      <c r="AK79" s="589"/>
      <c r="AL79" s="589"/>
      <c r="AM79" s="589"/>
      <c r="AN79" s="589"/>
      <c r="AO79" s="589"/>
      <c r="AP79" s="589"/>
      <c r="AQ79" s="589"/>
      <c r="AR79" s="589"/>
      <c r="AS79" s="589"/>
    </row>
    <row r="80" spans="1:45" ht="15">
      <c r="A80" s="587" t="s">
        <v>201</v>
      </c>
      <c r="B80" s="587" t="s">
        <v>730</v>
      </c>
      <c r="C80" s="587" t="s">
        <v>812</v>
      </c>
      <c r="D80" s="588">
        <v>2014</v>
      </c>
      <c r="E80" s="587" t="s">
        <v>775</v>
      </c>
      <c r="F80" s="588">
        <v>539</v>
      </c>
      <c r="G80" s="588">
        <v>20</v>
      </c>
      <c r="H80" s="588">
        <v>20</v>
      </c>
      <c r="I80" s="588">
        <v>0</v>
      </c>
      <c r="J80" s="588">
        <v>366</v>
      </c>
      <c r="K80" s="588">
        <v>21</v>
      </c>
      <c r="L80" s="588">
        <v>21</v>
      </c>
      <c r="M80" s="588">
        <v>0</v>
      </c>
      <c r="N80" s="588">
        <v>411</v>
      </c>
      <c r="O80" s="588">
        <v>155</v>
      </c>
      <c r="P80" s="588">
        <v>908</v>
      </c>
      <c r="Q80" s="588">
        <v>102</v>
      </c>
      <c r="R80" s="588">
        <v>2224</v>
      </c>
      <c r="S80" s="588">
        <v>298</v>
      </c>
      <c r="T80" s="588">
        <v>2014</v>
      </c>
      <c r="U80" s="588">
        <v>2014</v>
      </c>
      <c r="V80" s="589"/>
      <c r="W80" s="589"/>
      <c r="X80" s="589"/>
      <c r="Y80" s="589"/>
      <c r="Z80" s="589"/>
      <c r="AA80" s="589"/>
      <c r="AB80" s="589"/>
      <c r="AC80" s="589"/>
      <c r="AD80" s="589"/>
      <c r="AE80" s="589"/>
      <c r="AF80" s="589"/>
      <c r="AG80" s="589"/>
      <c r="AH80" s="589"/>
      <c r="AI80" s="589"/>
      <c r="AJ80" s="589"/>
      <c r="AK80" s="589"/>
      <c r="AL80" s="589"/>
      <c r="AM80" s="589"/>
      <c r="AN80" s="589"/>
      <c r="AO80" s="589"/>
      <c r="AP80" s="589"/>
      <c r="AQ80" s="589"/>
      <c r="AR80" s="589"/>
      <c r="AS80" s="589"/>
    </row>
    <row r="81" spans="1:45" ht="15">
      <c r="A81" s="590" t="s">
        <v>173</v>
      </c>
      <c r="B81" s="591" t="s">
        <v>532</v>
      </c>
      <c r="C81" s="591" t="s">
        <v>812</v>
      </c>
      <c r="D81" s="592">
        <v>2014</v>
      </c>
      <c r="E81" s="591" t="s">
        <v>775</v>
      </c>
      <c r="F81" s="592">
        <v>21</v>
      </c>
      <c r="G81" s="592">
        <v>0</v>
      </c>
      <c r="H81" s="592">
        <v>0</v>
      </c>
      <c r="I81" s="592">
        <v>0</v>
      </c>
      <c r="J81" s="592">
        <v>14</v>
      </c>
      <c r="K81" s="592">
        <v>0</v>
      </c>
      <c r="L81" s="592">
        <v>0</v>
      </c>
      <c r="M81" s="592">
        <v>0</v>
      </c>
      <c r="N81" s="593">
        <v>16</v>
      </c>
      <c r="O81" s="593">
        <v>1</v>
      </c>
      <c r="P81" s="593">
        <v>32</v>
      </c>
      <c r="Q81" s="593">
        <v>4</v>
      </c>
      <c r="R81" s="593">
        <v>83</v>
      </c>
      <c r="S81" s="593">
        <v>5</v>
      </c>
      <c r="T81" s="593">
        <v>2014</v>
      </c>
      <c r="U81" s="593">
        <v>2014</v>
      </c>
      <c r="V81" s="589"/>
      <c r="W81" s="589"/>
      <c r="X81" s="589"/>
      <c r="Y81" s="589"/>
      <c r="Z81" s="589"/>
      <c r="AA81" s="589"/>
      <c r="AB81" s="589"/>
      <c r="AC81" s="589"/>
      <c r="AD81" s="589"/>
      <c r="AE81" s="589"/>
      <c r="AF81" s="589"/>
      <c r="AG81" s="589"/>
      <c r="AH81" s="589"/>
      <c r="AI81" s="589"/>
      <c r="AJ81" s="589"/>
      <c r="AK81" s="589"/>
      <c r="AL81" s="589"/>
      <c r="AM81" s="589"/>
      <c r="AN81" s="589"/>
      <c r="AO81" s="589"/>
      <c r="AP81" s="589"/>
      <c r="AQ81" s="589"/>
      <c r="AR81" s="589"/>
      <c r="AS81" s="589"/>
    </row>
    <row r="82" spans="1:45" ht="15">
      <c r="A82" s="587" t="s">
        <v>179</v>
      </c>
      <c r="B82" s="587" t="s">
        <v>590</v>
      </c>
      <c r="C82" s="587" t="s">
        <v>855</v>
      </c>
      <c r="D82" s="588">
        <v>2014</v>
      </c>
      <c r="E82" s="587" t="s">
        <v>775</v>
      </c>
      <c r="F82" s="588">
        <v>912</v>
      </c>
      <c r="G82" s="588">
        <v>0</v>
      </c>
      <c r="H82" s="588">
        <v>0</v>
      </c>
      <c r="I82" s="588">
        <v>0</v>
      </c>
      <c r="J82" s="588">
        <v>693</v>
      </c>
      <c r="K82" s="588">
        <v>7</v>
      </c>
      <c r="L82" s="588">
        <v>7</v>
      </c>
      <c r="M82" s="588">
        <v>0</v>
      </c>
      <c r="N82" s="588">
        <v>1062</v>
      </c>
      <c r="O82" s="588">
        <v>13</v>
      </c>
      <c r="P82" s="588">
        <v>2332</v>
      </c>
      <c r="Q82" s="588">
        <v>235</v>
      </c>
      <c r="R82" s="588">
        <v>4999</v>
      </c>
      <c r="S82" s="588">
        <v>255</v>
      </c>
      <c r="T82" s="588">
        <v>2014</v>
      </c>
      <c r="U82" s="588">
        <v>2013</v>
      </c>
      <c r="V82" s="589"/>
      <c r="W82" s="589"/>
      <c r="X82" s="589"/>
      <c r="Y82" s="589"/>
      <c r="Z82" s="589"/>
      <c r="AA82" s="589"/>
      <c r="AB82" s="589"/>
      <c r="AC82" s="589"/>
      <c r="AD82" s="589"/>
      <c r="AE82" s="589"/>
      <c r="AF82" s="589"/>
      <c r="AG82" s="589"/>
      <c r="AH82" s="589"/>
      <c r="AI82" s="589"/>
      <c r="AJ82" s="589"/>
      <c r="AK82" s="589"/>
      <c r="AL82" s="589"/>
      <c r="AM82" s="589"/>
      <c r="AN82" s="589"/>
      <c r="AO82" s="589"/>
      <c r="AP82" s="589"/>
      <c r="AQ82" s="589"/>
      <c r="AR82" s="589"/>
      <c r="AS82" s="589"/>
    </row>
    <row r="83" spans="1:45" ht="15">
      <c r="A83" s="590" t="s">
        <v>185</v>
      </c>
      <c r="B83" s="591" t="s">
        <v>644</v>
      </c>
      <c r="C83" s="591" t="s">
        <v>868</v>
      </c>
      <c r="D83" s="592">
        <v>2014</v>
      </c>
      <c r="E83" s="591" t="s">
        <v>775</v>
      </c>
      <c r="F83" s="592">
        <v>39</v>
      </c>
      <c r="G83" s="592">
        <v>33</v>
      </c>
      <c r="H83" s="592">
        <v>33</v>
      </c>
      <c r="I83" s="592">
        <v>0</v>
      </c>
      <c r="J83" s="592">
        <v>26</v>
      </c>
      <c r="K83" s="592">
        <v>9</v>
      </c>
      <c r="L83" s="592">
        <v>9</v>
      </c>
      <c r="M83" s="592">
        <v>0</v>
      </c>
      <c r="N83" s="593">
        <v>34</v>
      </c>
      <c r="O83" s="593">
        <v>0</v>
      </c>
      <c r="P83" s="593">
        <v>64</v>
      </c>
      <c r="Q83" s="593">
        <v>4</v>
      </c>
      <c r="R83" s="593">
        <v>163</v>
      </c>
      <c r="S83" s="593">
        <v>46</v>
      </c>
      <c r="T83" s="593">
        <v>2015</v>
      </c>
      <c r="U83" s="593">
        <v>2015</v>
      </c>
      <c r="V83" s="589"/>
      <c r="W83" s="589"/>
      <c r="X83" s="589"/>
      <c r="Y83" s="589"/>
      <c r="Z83" s="589"/>
      <c r="AA83" s="589"/>
      <c r="AB83" s="589"/>
      <c r="AC83" s="589"/>
      <c r="AD83" s="589"/>
      <c r="AE83" s="589"/>
      <c r="AF83" s="589"/>
      <c r="AG83" s="589"/>
      <c r="AH83" s="589"/>
      <c r="AI83" s="589"/>
      <c r="AJ83" s="589"/>
      <c r="AK83" s="589"/>
      <c r="AL83" s="589"/>
      <c r="AM83" s="589"/>
      <c r="AN83" s="589"/>
      <c r="AO83" s="589"/>
      <c r="AP83" s="589"/>
      <c r="AQ83" s="589"/>
      <c r="AR83" s="589"/>
      <c r="AS83" s="589"/>
    </row>
    <row r="84" spans="1:45" ht="15">
      <c r="A84" s="587" t="s">
        <v>173</v>
      </c>
      <c r="B84" s="587" t="s">
        <v>533</v>
      </c>
      <c r="C84" s="587" t="s">
        <v>812</v>
      </c>
      <c r="D84" s="588">
        <v>2014</v>
      </c>
      <c r="E84" s="587" t="s">
        <v>775</v>
      </c>
      <c r="F84" s="588">
        <v>141</v>
      </c>
      <c r="G84" s="588">
        <v>0</v>
      </c>
      <c r="H84" s="588">
        <v>0</v>
      </c>
      <c r="I84" s="588">
        <v>0</v>
      </c>
      <c r="J84" s="588">
        <v>95</v>
      </c>
      <c r="K84" s="588">
        <v>0</v>
      </c>
      <c r="L84" s="588">
        <v>0</v>
      </c>
      <c r="M84" s="588">
        <v>0</v>
      </c>
      <c r="N84" s="588">
        <v>110</v>
      </c>
      <c r="O84" s="588">
        <v>32</v>
      </c>
      <c r="P84" s="588">
        <v>254</v>
      </c>
      <c r="Q84" s="588">
        <v>0</v>
      </c>
      <c r="R84" s="588">
        <v>600</v>
      </c>
      <c r="S84" s="588">
        <v>32</v>
      </c>
      <c r="T84" s="588">
        <v>2014</v>
      </c>
      <c r="U84" s="588">
        <v>2014</v>
      </c>
      <c r="V84" s="589"/>
      <c r="W84" s="589"/>
      <c r="X84" s="589"/>
      <c r="Y84" s="589"/>
      <c r="Z84" s="589"/>
      <c r="AA84" s="589"/>
      <c r="AB84" s="589"/>
      <c r="AC84" s="589"/>
      <c r="AD84" s="589"/>
      <c r="AE84" s="589"/>
      <c r="AF84" s="589"/>
      <c r="AG84" s="589"/>
      <c r="AH84" s="589"/>
      <c r="AI84" s="589"/>
      <c r="AJ84" s="589"/>
      <c r="AK84" s="589"/>
      <c r="AL84" s="589"/>
      <c r="AM84" s="589"/>
      <c r="AN84" s="589"/>
      <c r="AO84" s="589"/>
      <c r="AP84" s="589"/>
      <c r="AQ84" s="589"/>
      <c r="AR84" s="589"/>
      <c r="AS84" s="589"/>
    </row>
    <row r="85" spans="1:45" ht="15">
      <c r="A85" s="590" t="s">
        <v>153</v>
      </c>
      <c r="B85" s="591" t="s">
        <v>361</v>
      </c>
      <c r="C85" s="591" t="s">
        <v>812</v>
      </c>
      <c r="D85" s="592">
        <v>2014</v>
      </c>
      <c r="E85" s="591" t="s">
        <v>775</v>
      </c>
      <c r="F85" s="592">
        <v>23</v>
      </c>
      <c r="G85" s="592">
        <v>0</v>
      </c>
      <c r="H85" s="592">
        <v>0</v>
      </c>
      <c r="I85" s="592">
        <v>0</v>
      </c>
      <c r="J85" s="592">
        <v>14</v>
      </c>
      <c r="K85" s="592">
        <v>0</v>
      </c>
      <c r="L85" s="592">
        <v>0</v>
      </c>
      <c r="M85" s="592">
        <v>0</v>
      </c>
      <c r="N85" s="593">
        <v>14</v>
      </c>
      <c r="O85" s="593">
        <v>0</v>
      </c>
      <c r="P85" s="593">
        <v>35</v>
      </c>
      <c r="Q85" s="593">
        <v>223</v>
      </c>
      <c r="R85" s="593">
        <v>86</v>
      </c>
      <c r="S85" s="593">
        <v>223</v>
      </c>
      <c r="T85" s="593">
        <v>2014</v>
      </c>
      <c r="U85" s="593">
        <v>2014</v>
      </c>
      <c r="V85" s="589"/>
      <c r="W85" s="589"/>
      <c r="X85" s="589"/>
      <c r="Y85" s="589"/>
      <c r="Z85" s="589"/>
      <c r="AA85" s="589"/>
      <c r="AB85" s="589"/>
      <c r="AC85" s="589"/>
      <c r="AD85" s="589"/>
      <c r="AE85" s="589"/>
      <c r="AF85" s="589"/>
      <c r="AG85" s="589"/>
      <c r="AH85" s="589"/>
      <c r="AI85" s="589"/>
      <c r="AJ85" s="589"/>
      <c r="AK85" s="589"/>
      <c r="AL85" s="589"/>
      <c r="AM85" s="589"/>
      <c r="AN85" s="589"/>
      <c r="AO85" s="589"/>
      <c r="AP85" s="589"/>
      <c r="AQ85" s="589"/>
      <c r="AR85" s="589"/>
      <c r="AS85" s="589"/>
    </row>
    <row r="86" spans="1:45" ht="15">
      <c r="A86" s="587" t="s">
        <v>178</v>
      </c>
      <c r="B86" s="587" t="s">
        <v>570</v>
      </c>
      <c r="C86" s="587" t="s">
        <v>812</v>
      </c>
      <c r="D86" s="588">
        <v>2014</v>
      </c>
      <c r="E86" s="587" t="s">
        <v>775</v>
      </c>
      <c r="F86" s="588">
        <v>707</v>
      </c>
      <c r="G86" s="588">
        <v>0</v>
      </c>
      <c r="H86" s="588">
        <v>0</v>
      </c>
      <c r="I86" s="588">
        <v>0</v>
      </c>
      <c r="J86" s="588">
        <v>478</v>
      </c>
      <c r="K86" s="588">
        <v>0</v>
      </c>
      <c r="L86" s="588">
        <v>0</v>
      </c>
      <c r="M86" s="588">
        <v>0</v>
      </c>
      <c r="N86" s="588">
        <v>533</v>
      </c>
      <c r="O86" s="588">
        <v>0</v>
      </c>
      <c r="P86" s="588">
        <v>1176</v>
      </c>
      <c r="Q86" s="588">
        <v>342</v>
      </c>
      <c r="R86" s="588">
        <v>2894</v>
      </c>
      <c r="S86" s="588">
        <v>342</v>
      </c>
      <c r="T86" s="588">
        <v>2014</v>
      </c>
      <c r="U86" s="588">
        <v>2014</v>
      </c>
      <c r="V86" s="589"/>
      <c r="W86" s="589"/>
      <c r="X86" s="589"/>
      <c r="Y86" s="589"/>
      <c r="Z86" s="589"/>
      <c r="AA86" s="589"/>
      <c r="AB86" s="589"/>
      <c r="AC86" s="589"/>
      <c r="AD86" s="589"/>
      <c r="AE86" s="589"/>
      <c r="AF86" s="589"/>
      <c r="AG86" s="589"/>
      <c r="AH86" s="589"/>
      <c r="AI86" s="589"/>
      <c r="AJ86" s="589"/>
      <c r="AK86" s="589"/>
      <c r="AL86" s="589"/>
      <c r="AM86" s="589"/>
      <c r="AN86" s="589"/>
      <c r="AO86" s="589"/>
      <c r="AP86" s="589"/>
      <c r="AQ86" s="589"/>
      <c r="AR86" s="589"/>
      <c r="AS86" s="589"/>
    </row>
    <row r="87" spans="1:45" ht="15">
      <c r="A87" s="590" t="s">
        <v>178</v>
      </c>
      <c r="B87" s="591" t="s">
        <v>571</v>
      </c>
      <c r="C87" s="591" t="s">
        <v>812</v>
      </c>
      <c r="D87" s="592">
        <v>2014</v>
      </c>
      <c r="E87" s="591" t="s">
        <v>775</v>
      </c>
      <c r="F87" s="592">
        <v>217</v>
      </c>
      <c r="G87" s="592">
        <v>0</v>
      </c>
      <c r="H87" s="592">
        <v>0</v>
      </c>
      <c r="I87" s="592">
        <v>0</v>
      </c>
      <c r="J87" s="592">
        <v>148</v>
      </c>
      <c r="K87" s="592">
        <v>0</v>
      </c>
      <c r="L87" s="592">
        <v>0</v>
      </c>
      <c r="M87" s="592">
        <v>0</v>
      </c>
      <c r="N87" s="593">
        <v>164</v>
      </c>
      <c r="O87" s="593">
        <v>286</v>
      </c>
      <c r="P87" s="593">
        <v>333</v>
      </c>
      <c r="Q87" s="593">
        <v>41</v>
      </c>
      <c r="R87" s="593">
        <v>862</v>
      </c>
      <c r="S87" s="593">
        <v>327</v>
      </c>
      <c r="T87" s="593">
        <v>2014</v>
      </c>
      <c r="U87" s="593">
        <v>2014</v>
      </c>
      <c r="V87" s="589"/>
      <c r="W87" s="589"/>
      <c r="X87" s="589"/>
      <c r="Y87" s="589"/>
      <c r="Z87" s="589"/>
      <c r="AA87" s="589"/>
      <c r="AB87" s="589"/>
      <c r="AC87" s="589"/>
      <c r="AD87" s="589"/>
      <c r="AE87" s="589"/>
      <c r="AF87" s="589"/>
      <c r="AG87" s="589"/>
      <c r="AH87" s="589"/>
      <c r="AI87" s="589"/>
      <c r="AJ87" s="589"/>
      <c r="AK87" s="589"/>
      <c r="AL87" s="589"/>
      <c r="AM87" s="589"/>
      <c r="AN87" s="589"/>
      <c r="AO87" s="589"/>
      <c r="AP87" s="589"/>
      <c r="AQ87" s="589"/>
      <c r="AR87" s="589"/>
      <c r="AS87" s="589"/>
    </row>
    <row r="88" spans="1:45" ht="15">
      <c r="A88" s="587" t="s">
        <v>179</v>
      </c>
      <c r="B88" s="587" t="s">
        <v>591</v>
      </c>
      <c r="C88" s="587" t="s">
        <v>855</v>
      </c>
      <c r="D88" s="588">
        <v>2014</v>
      </c>
      <c r="E88" s="587" t="s">
        <v>775</v>
      </c>
      <c r="F88" s="588">
        <v>3209</v>
      </c>
      <c r="G88" s="588">
        <v>24</v>
      </c>
      <c r="H88" s="588">
        <v>24</v>
      </c>
      <c r="I88" s="588">
        <v>0</v>
      </c>
      <c r="J88" s="588">
        <v>2439</v>
      </c>
      <c r="K88" s="588">
        <v>8</v>
      </c>
      <c r="L88" s="588">
        <v>8</v>
      </c>
      <c r="M88" s="588">
        <v>0</v>
      </c>
      <c r="N88" s="588">
        <v>2257</v>
      </c>
      <c r="O88" s="588">
        <v>11</v>
      </c>
      <c r="P88" s="588">
        <v>4956</v>
      </c>
      <c r="Q88" s="588">
        <v>956</v>
      </c>
      <c r="R88" s="588">
        <v>12861</v>
      </c>
      <c r="S88" s="588">
        <v>999</v>
      </c>
      <c r="T88" s="588">
        <v>2014</v>
      </c>
      <c r="U88" s="588">
        <v>2013</v>
      </c>
      <c r="V88" s="589"/>
      <c r="W88" s="589"/>
      <c r="X88" s="589"/>
      <c r="Y88" s="589"/>
      <c r="Z88" s="589"/>
      <c r="AA88" s="589"/>
      <c r="AB88" s="589"/>
      <c r="AC88" s="589"/>
      <c r="AD88" s="589"/>
      <c r="AE88" s="589"/>
      <c r="AF88" s="589"/>
      <c r="AG88" s="589"/>
      <c r="AH88" s="589"/>
      <c r="AI88" s="589"/>
      <c r="AJ88" s="589"/>
      <c r="AK88" s="589"/>
      <c r="AL88" s="589"/>
      <c r="AM88" s="589"/>
      <c r="AN88" s="589"/>
      <c r="AO88" s="589"/>
      <c r="AP88" s="589"/>
      <c r="AQ88" s="589"/>
      <c r="AR88" s="589"/>
      <c r="AS88" s="589"/>
    </row>
    <row r="89" spans="1:45" ht="15">
      <c r="A89" s="590" t="s">
        <v>174</v>
      </c>
      <c r="B89" s="591" t="s">
        <v>556</v>
      </c>
      <c r="C89" s="591" t="s">
        <v>799</v>
      </c>
      <c r="D89" s="592">
        <v>2014</v>
      </c>
      <c r="E89" s="591" t="s">
        <v>775</v>
      </c>
      <c r="F89" s="592">
        <v>146</v>
      </c>
      <c r="G89" s="592">
        <v>0</v>
      </c>
      <c r="H89" s="592">
        <v>0</v>
      </c>
      <c r="I89" s="592">
        <v>0</v>
      </c>
      <c r="J89" s="592">
        <v>102</v>
      </c>
      <c r="K89" s="592">
        <v>2</v>
      </c>
      <c r="L89" s="592">
        <v>2</v>
      </c>
      <c r="M89" s="592">
        <v>0</v>
      </c>
      <c r="N89" s="593">
        <v>130</v>
      </c>
      <c r="O89" s="593">
        <v>0</v>
      </c>
      <c r="P89" s="593">
        <v>318</v>
      </c>
      <c r="Q89" s="593">
        <v>5</v>
      </c>
      <c r="R89" s="593">
        <v>696</v>
      </c>
      <c r="S89" s="593">
        <v>7</v>
      </c>
      <c r="T89" s="593">
        <v>2014</v>
      </c>
      <c r="U89" s="593">
        <v>2014</v>
      </c>
      <c r="V89" s="589"/>
      <c r="W89" s="589"/>
      <c r="X89" s="589"/>
      <c r="Y89" s="589"/>
      <c r="Z89" s="589"/>
      <c r="AA89" s="589"/>
      <c r="AB89" s="589"/>
      <c r="AC89" s="589"/>
      <c r="AD89" s="589"/>
      <c r="AE89" s="589"/>
      <c r="AF89" s="589"/>
      <c r="AG89" s="589"/>
      <c r="AH89" s="589"/>
      <c r="AI89" s="589"/>
      <c r="AJ89" s="589"/>
      <c r="AK89" s="589"/>
      <c r="AL89" s="589"/>
      <c r="AM89" s="589"/>
      <c r="AN89" s="589"/>
      <c r="AO89" s="589"/>
      <c r="AP89" s="589"/>
      <c r="AQ89" s="589"/>
      <c r="AR89" s="589"/>
      <c r="AS89" s="589"/>
    </row>
    <row r="90" spans="1:45" ht="15">
      <c r="A90" s="587" t="s">
        <v>193</v>
      </c>
      <c r="B90" s="587" t="s">
        <v>694</v>
      </c>
      <c r="C90" s="587" t="s">
        <v>774</v>
      </c>
      <c r="D90" s="588">
        <v>2014</v>
      </c>
      <c r="E90" s="587" t="s">
        <v>775</v>
      </c>
      <c r="F90" s="588">
        <v>39</v>
      </c>
      <c r="G90" s="588">
        <v>0</v>
      </c>
      <c r="H90" s="588">
        <v>0</v>
      </c>
      <c r="I90" s="588">
        <v>0</v>
      </c>
      <c r="J90" s="588">
        <v>29</v>
      </c>
      <c r="K90" s="588">
        <v>0</v>
      </c>
      <c r="L90" s="588">
        <v>0</v>
      </c>
      <c r="M90" s="588">
        <v>0</v>
      </c>
      <c r="N90" s="588">
        <v>31</v>
      </c>
      <c r="O90" s="588">
        <v>0</v>
      </c>
      <c r="P90" s="588">
        <v>112</v>
      </c>
      <c r="Q90" s="588">
        <v>0</v>
      </c>
      <c r="R90" s="588">
        <v>211</v>
      </c>
      <c r="S90" s="588">
        <v>0</v>
      </c>
      <c r="T90" s="588">
        <v>2015</v>
      </c>
      <c r="U90" s="588">
        <v>2015</v>
      </c>
      <c r="V90" s="589"/>
      <c r="W90" s="589"/>
      <c r="X90" s="589"/>
      <c r="Y90" s="589"/>
      <c r="Z90" s="589"/>
      <c r="AA90" s="589"/>
      <c r="AB90" s="589"/>
      <c r="AC90" s="589"/>
      <c r="AD90" s="589"/>
      <c r="AE90" s="589"/>
      <c r="AF90" s="589"/>
      <c r="AG90" s="589"/>
      <c r="AH90" s="589"/>
      <c r="AI90" s="589"/>
      <c r="AJ90" s="589"/>
      <c r="AK90" s="589"/>
      <c r="AL90" s="589"/>
      <c r="AM90" s="589"/>
      <c r="AN90" s="589"/>
      <c r="AO90" s="589"/>
      <c r="AP90" s="589"/>
      <c r="AQ90" s="589"/>
      <c r="AR90" s="589"/>
      <c r="AS90" s="589"/>
    </row>
    <row r="91" spans="1:45" ht="15">
      <c r="A91" s="590" t="s">
        <v>173</v>
      </c>
      <c r="B91" s="591" t="s">
        <v>534</v>
      </c>
      <c r="C91" s="591" t="s">
        <v>812</v>
      </c>
      <c r="D91" s="592">
        <v>2014</v>
      </c>
      <c r="E91" s="591" t="s">
        <v>775</v>
      </c>
      <c r="F91" s="592">
        <v>1555</v>
      </c>
      <c r="G91" s="592">
        <v>52</v>
      </c>
      <c r="H91" s="592">
        <v>52</v>
      </c>
      <c r="I91" s="592">
        <v>0</v>
      </c>
      <c r="J91" s="592">
        <v>1059</v>
      </c>
      <c r="K91" s="592">
        <v>32</v>
      </c>
      <c r="L91" s="592">
        <v>32</v>
      </c>
      <c r="M91" s="592">
        <v>0</v>
      </c>
      <c r="N91" s="593">
        <v>1212</v>
      </c>
      <c r="O91" s="593">
        <v>0</v>
      </c>
      <c r="P91" s="593">
        <v>2945</v>
      </c>
      <c r="Q91" s="593">
        <v>64</v>
      </c>
      <c r="R91" s="593">
        <v>6771</v>
      </c>
      <c r="S91" s="593">
        <v>148</v>
      </c>
      <c r="T91" s="593">
        <v>2014</v>
      </c>
      <c r="U91" s="593">
        <v>2014</v>
      </c>
      <c r="V91" s="589"/>
      <c r="W91" s="589"/>
      <c r="X91" s="589"/>
      <c r="Y91" s="589"/>
      <c r="Z91" s="589"/>
      <c r="AA91" s="589"/>
      <c r="AB91" s="589"/>
      <c r="AC91" s="589"/>
      <c r="AD91" s="589"/>
      <c r="AE91" s="589"/>
      <c r="AF91" s="589"/>
      <c r="AG91" s="589"/>
      <c r="AH91" s="589"/>
      <c r="AI91" s="589"/>
      <c r="AJ91" s="589"/>
      <c r="AK91" s="589"/>
      <c r="AL91" s="589"/>
      <c r="AM91" s="589"/>
      <c r="AN91" s="589"/>
      <c r="AO91" s="589"/>
      <c r="AP91" s="589"/>
      <c r="AQ91" s="589"/>
      <c r="AR91" s="589"/>
      <c r="AS91" s="589"/>
    </row>
    <row r="92" spans="1:45" ht="15">
      <c r="A92" s="587" t="s">
        <v>184</v>
      </c>
      <c r="B92" s="587" t="s">
        <v>627</v>
      </c>
      <c r="C92" s="587" t="s">
        <v>774</v>
      </c>
      <c r="D92" s="588">
        <v>2014</v>
      </c>
      <c r="E92" s="587" t="s">
        <v>775</v>
      </c>
      <c r="F92" s="588">
        <v>20</v>
      </c>
      <c r="G92" s="588">
        <v>0</v>
      </c>
      <c r="H92" s="588">
        <v>0</v>
      </c>
      <c r="I92" s="588">
        <v>0</v>
      </c>
      <c r="J92" s="588">
        <v>8</v>
      </c>
      <c r="K92" s="588">
        <v>0</v>
      </c>
      <c r="L92" s="588">
        <v>0</v>
      </c>
      <c r="M92" s="588">
        <v>0</v>
      </c>
      <c r="N92" s="588">
        <v>9</v>
      </c>
      <c r="O92" s="588">
        <v>0</v>
      </c>
      <c r="P92" s="588">
        <v>22</v>
      </c>
      <c r="Q92" s="588">
        <v>0</v>
      </c>
      <c r="R92" s="588">
        <v>59</v>
      </c>
      <c r="S92" s="588">
        <v>0</v>
      </c>
      <c r="T92" s="588">
        <v>2015</v>
      </c>
      <c r="U92" s="588">
        <v>2015</v>
      </c>
      <c r="V92" s="589"/>
      <c r="W92" s="589"/>
      <c r="X92" s="589"/>
      <c r="Y92" s="589"/>
      <c r="Z92" s="589"/>
      <c r="AA92" s="589"/>
      <c r="AB92" s="589"/>
      <c r="AC92" s="589"/>
      <c r="AD92" s="589"/>
      <c r="AE92" s="589"/>
      <c r="AF92" s="589"/>
      <c r="AG92" s="589"/>
      <c r="AH92" s="589"/>
      <c r="AI92" s="589"/>
      <c r="AJ92" s="589"/>
      <c r="AK92" s="589"/>
      <c r="AL92" s="589"/>
      <c r="AM92" s="589"/>
      <c r="AN92" s="589"/>
      <c r="AO92" s="589"/>
      <c r="AP92" s="589"/>
      <c r="AQ92" s="589"/>
      <c r="AR92" s="589"/>
      <c r="AS92" s="589"/>
    </row>
    <row r="93" spans="1:45" ht="15">
      <c r="A93" s="590" t="s">
        <v>178</v>
      </c>
      <c r="B93" s="591" t="s">
        <v>572</v>
      </c>
      <c r="C93" s="591" t="s">
        <v>812</v>
      </c>
      <c r="D93" s="592">
        <v>2014</v>
      </c>
      <c r="E93" s="591" t="s">
        <v>775</v>
      </c>
      <c r="F93" s="592">
        <v>443</v>
      </c>
      <c r="G93" s="592">
        <v>0</v>
      </c>
      <c r="H93" s="592">
        <v>0</v>
      </c>
      <c r="I93" s="592">
        <v>0</v>
      </c>
      <c r="J93" s="592">
        <v>302</v>
      </c>
      <c r="K93" s="592">
        <v>0</v>
      </c>
      <c r="L93" s="592">
        <v>0</v>
      </c>
      <c r="M93" s="592">
        <v>0</v>
      </c>
      <c r="N93" s="593">
        <v>347</v>
      </c>
      <c r="O93" s="593">
        <v>5</v>
      </c>
      <c r="P93" s="593">
        <v>831</v>
      </c>
      <c r="Q93" s="593">
        <v>23</v>
      </c>
      <c r="R93" s="593">
        <v>1923</v>
      </c>
      <c r="S93" s="593">
        <v>28</v>
      </c>
      <c r="T93" s="593">
        <v>2014</v>
      </c>
      <c r="U93" s="593">
        <v>2014</v>
      </c>
      <c r="V93" s="589"/>
      <c r="W93" s="589"/>
      <c r="X93" s="589"/>
      <c r="Y93" s="589"/>
      <c r="Z93" s="589"/>
      <c r="AA93" s="589"/>
      <c r="AB93" s="589"/>
      <c r="AC93" s="589"/>
      <c r="AD93" s="589"/>
      <c r="AE93" s="589"/>
      <c r="AF93" s="589"/>
      <c r="AG93" s="589"/>
      <c r="AH93" s="589"/>
      <c r="AI93" s="589"/>
      <c r="AJ93" s="589"/>
      <c r="AK93" s="589"/>
      <c r="AL93" s="589"/>
      <c r="AM93" s="589"/>
      <c r="AN93" s="589"/>
      <c r="AO93" s="589"/>
      <c r="AP93" s="589"/>
      <c r="AQ93" s="589"/>
      <c r="AR93" s="589"/>
      <c r="AS93" s="589"/>
    </row>
    <row r="94" spans="1:45" ht="15">
      <c r="A94" s="587" t="s">
        <v>135</v>
      </c>
      <c r="B94" s="587" t="s">
        <v>263</v>
      </c>
      <c r="C94" s="587" t="s">
        <v>784</v>
      </c>
      <c r="D94" s="588">
        <v>2014</v>
      </c>
      <c r="E94" s="587" t="s">
        <v>775</v>
      </c>
      <c r="F94" s="588">
        <v>107</v>
      </c>
      <c r="G94" s="588">
        <v>2</v>
      </c>
      <c r="H94" s="588">
        <v>0</v>
      </c>
      <c r="I94" s="588">
        <v>2</v>
      </c>
      <c r="J94" s="588">
        <v>91</v>
      </c>
      <c r="K94" s="588">
        <v>1</v>
      </c>
      <c r="L94" s="588">
        <v>0</v>
      </c>
      <c r="M94" s="588">
        <v>1</v>
      </c>
      <c r="N94" s="588">
        <v>91</v>
      </c>
      <c r="O94" s="588">
        <v>32</v>
      </c>
      <c r="P94" s="588">
        <v>210</v>
      </c>
      <c r="Q94" s="588">
        <v>25</v>
      </c>
      <c r="R94" s="588">
        <v>499</v>
      </c>
      <c r="S94" s="588">
        <v>60</v>
      </c>
      <c r="T94" s="588">
        <v>2014</v>
      </c>
      <c r="U94" s="588">
        <v>2014</v>
      </c>
      <c r="V94" s="589"/>
      <c r="W94" s="589"/>
      <c r="X94" s="589"/>
      <c r="Y94" s="589"/>
      <c r="Z94" s="589"/>
      <c r="AA94" s="589"/>
      <c r="AB94" s="589"/>
      <c r="AC94" s="589"/>
      <c r="AD94" s="589"/>
      <c r="AE94" s="589"/>
      <c r="AF94" s="589"/>
      <c r="AG94" s="589"/>
      <c r="AH94" s="589"/>
      <c r="AI94" s="589"/>
      <c r="AJ94" s="589"/>
      <c r="AK94" s="589"/>
      <c r="AL94" s="589"/>
      <c r="AM94" s="589"/>
      <c r="AN94" s="589"/>
      <c r="AO94" s="589"/>
      <c r="AP94" s="589"/>
      <c r="AQ94" s="589"/>
      <c r="AR94" s="589"/>
      <c r="AS94" s="589"/>
    </row>
    <row r="95" spans="1:45" ht="15">
      <c r="A95" s="590" t="s">
        <v>136</v>
      </c>
      <c r="B95" s="591" t="s">
        <v>268</v>
      </c>
      <c r="C95" s="591" t="s">
        <v>774</v>
      </c>
      <c r="D95" s="592">
        <v>2014</v>
      </c>
      <c r="E95" s="591" t="s">
        <v>775</v>
      </c>
      <c r="F95" s="592">
        <v>798</v>
      </c>
      <c r="G95" s="592">
        <v>0</v>
      </c>
      <c r="H95" s="592">
        <v>0</v>
      </c>
      <c r="I95" s="592">
        <v>0</v>
      </c>
      <c r="J95" s="592">
        <v>444</v>
      </c>
      <c r="K95" s="592">
        <v>0</v>
      </c>
      <c r="L95" s="592">
        <v>0</v>
      </c>
      <c r="M95" s="592">
        <v>0</v>
      </c>
      <c r="N95" s="593">
        <v>559</v>
      </c>
      <c r="O95" s="593">
        <v>0</v>
      </c>
      <c r="P95" s="593">
        <v>1677</v>
      </c>
      <c r="Q95" s="593">
        <v>15</v>
      </c>
      <c r="R95" s="593">
        <v>3478</v>
      </c>
      <c r="S95" s="593">
        <v>15</v>
      </c>
      <c r="T95" s="593">
        <v>2015</v>
      </c>
      <c r="U95" s="593">
        <v>2015</v>
      </c>
      <c r="V95" s="589"/>
      <c r="W95" s="589"/>
      <c r="X95" s="589"/>
      <c r="Y95" s="589"/>
      <c r="Z95" s="589"/>
      <c r="AA95" s="589"/>
      <c r="AB95" s="589"/>
      <c r="AC95" s="589"/>
      <c r="AD95" s="589"/>
      <c r="AE95" s="589"/>
      <c r="AF95" s="589"/>
      <c r="AG95" s="589"/>
      <c r="AH95" s="589"/>
      <c r="AI95" s="589"/>
      <c r="AJ95" s="589"/>
      <c r="AK95" s="589"/>
      <c r="AL95" s="589"/>
      <c r="AM95" s="589"/>
      <c r="AN95" s="589"/>
      <c r="AO95" s="589"/>
      <c r="AP95" s="589"/>
      <c r="AQ95" s="589"/>
      <c r="AR95" s="589"/>
      <c r="AS95" s="589"/>
    </row>
    <row r="96" spans="1:45" ht="15">
      <c r="A96" s="587" t="s">
        <v>173</v>
      </c>
      <c r="B96" s="587" t="s">
        <v>535</v>
      </c>
      <c r="C96" s="587" t="s">
        <v>812</v>
      </c>
      <c r="D96" s="588">
        <v>2014</v>
      </c>
      <c r="E96" s="587" t="s">
        <v>775</v>
      </c>
      <c r="F96" s="588">
        <v>192</v>
      </c>
      <c r="G96" s="588">
        <v>53</v>
      </c>
      <c r="H96" s="588">
        <v>53</v>
      </c>
      <c r="I96" s="588">
        <v>0</v>
      </c>
      <c r="J96" s="588">
        <v>128</v>
      </c>
      <c r="K96" s="588">
        <v>18</v>
      </c>
      <c r="L96" s="588">
        <v>18</v>
      </c>
      <c r="M96" s="588">
        <v>0</v>
      </c>
      <c r="N96" s="588">
        <v>142</v>
      </c>
      <c r="O96" s="588">
        <v>3</v>
      </c>
      <c r="P96" s="588">
        <v>308</v>
      </c>
      <c r="Q96" s="588">
        <v>622</v>
      </c>
      <c r="R96" s="588">
        <v>770</v>
      </c>
      <c r="S96" s="588">
        <v>696</v>
      </c>
      <c r="T96" s="588">
        <v>2014</v>
      </c>
      <c r="U96" s="588">
        <v>2014</v>
      </c>
      <c r="V96" s="589"/>
      <c r="W96" s="589"/>
      <c r="X96" s="589"/>
      <c r="Y96" s="589"/>
      <c r="Z96" s="589"/>
      <c r="AA96" s="589"/>
      <c r="AB96" s="589"/>
      <c r="AC96" s="589"/>
      <c r="AD96" s="589"/>
      <c r="AE96" s="589"/>
      <c r="AF96" s="589"/>
      <c r="AG96" s="589"/>
      <c r="AH96" s="589"/>
      <c r="AI96" s="589"/>
      <c r="AJ96" s="589"/>
      <c r="AK96" s="589"/>
      <c r="AL96" s="589"/>
      <c r="AM96" s="589"/>
      <c r="AN96" s="589"/>
      <c r="AO96" s="589"/>
      <c r="AP96" s="589"/>
      <c r="AQ96" s="589"/>
      <c r="AR96" s="589"/>
      <c r="AS96" s="589"/>
    </row>
    <row r="97" spans="1:45" ht="15">
      <c r="A97" s="590" t="s">
        <v>179</v>
      </c>
      <c r="B97" s="591" t="s">
        <v>592</v>
      </c>
      <c r="C97" s="591" t="s">
        <v>855</v>
      </c>
      <c r="D97" s="592">
        <v>2014</v>
      </c>
      <c r="E97" s="591" t="s">
        <v>775</v>
      </c>
      <c r="F97" s="592">
        <v>13</v>
      </c>
      <c r="G97" s="592">
        <v>0</v>
      </c>
      <c r="H97" s="592">
        <v>0</v>
      </c>
      <c r="I97" s="592">
        <v>0</v>
      </c>
      <c r="J97" s="592">
        <v>9</v>
      </c>
      <c r="K97" s="592">
        <v>0</v>
      </c>
      <c r="L97" s="592">
        <v>0</v>
      </c>
      <c r="M97" s="592">
        <v>0</v>
      </c>
      <c r="N97" s="593">
        <v>9</v>
      </c>
      <c r="O97" s="593">
        <v>0</v>
      </c>
      <c r="P97" s="593">
        <v>19</v>
      </c>
      <c r="Q97" s="593">
        <v>37</v>
      </c>
      <c r="R97" s="593">
        <v>50</v>
      </c>
      <c r="S97" s="593">
        <v>37</v>
      </c>
      <c r="T97" s="593">
        <v>2014</v>
      </c>
      <c r="U97" s="593">
        <v>2013</v>
      </c>
      <c r="V97" s="589"/>
      <c r="W97" s="589"/>
      <c r="X97" s="589"/>
      <c r="Y97" s="589"/>
      <c r="Z97" s="589"/>
      <c r="AA97" s="589"/>
      <c r="AB97" s="589"/>
      <c r="AC97" s="589"/>
      <c r="AD97" s="589"/>
      <c r="AE97" s="589"/>
      <c r="AF97" s="589"/>
      <c r="AG97" s="589"/>
      <c r="AH97" s="589"/>
      <c r="AI97" s="589"/>
      <c r="AJ97" s="589"/>
      <c r="AK97" s="589"/>
      <c r="AL97" s="589"/>
      <c r="AM97" s="589"/>
      <c r="AN97" s="589"/>
      <c r="AO97" s="589"/>
      <c r="AP97" s="589"/>
      <c r="AQ97" s="589"/>
      <c r="AR97" s="589"/>
      <c r="AS97" s="589"/>
    </row>
    <row r="98" spans="1:45" ht="15">
      <c r="A98" s="587" t="s">
        <v>169</v>
      </c>
      <c r="B98" s="587" t="s">
        <v>489</v>
      </c>
      <c r="C98" s="587" t="s">
        <v>812</v>
      </c>
      <c r="D98" s="588">
        <v>2014</v>
      </c>
      <c r="E98" s="587" t="s">
        <v>775</v>
      </c>
      <c r="F98" s="588">
        <v>1</v>
      </c>
      <c r="G98" s="588">
        <v>0</v>
      </c>
      <c r="H98" s="588">
        <v>0</v>
      </c>
      <c r="I98" s="588">
        <v>0</v>
      </c>
      <c r="J98" s="588">
        <v>1</v>
      </c>
      <c r="K98" s="588">
        <v>0</v>
      </c>
      <c r="L98" s="588">
        <v>0</v>
      </c>
      <c r="M98" s="588">
        <v>0</v>
      </c>
      <c r="N98" s="588">
        <v>0</v>
      </c>
      <c r="O98" s="588">
        <v>50</v>
      </c>
      <c r="P98" s="588">
        <v>0</v>
      </c>
      <c r="Q98" s="588">
        <v>50</v>
      </c>
      <c r="R98" s="588">
        <v>2</v>
      </c>
      <c r="S98" s="588">
        <v>100</v>
      </c>
      <c r="T98" s="588">
        <v>2014</v>
      </c>
      <c r="U98" s="588">
        <v>2014</v>
      </c>
      <c r="V98" s="589"/>
      <c r="W98" s="589"/>
      <c r="X98" s="589"/>
      <c r="Y98" s="589"/>
      <c r="Z98" s="589"/>
      <c r="AA98" s="589"/>
      <c r="AB98" s="589"/>
      <c r="AC98" s="589"/>
      <c r="AD98" s="589"/>
      <c r="AE98" s="589"/>
      <c r="AF98" s="589"/>
      <c r="AG98" s="589"/>
      <c r="AH98" s="589"/>
      <c r="AI98" s="589"/>
      <c r="AJ98" s="589"/>
      <c r="AK98" s="589"/>
      <c r="AL98" s="589"/>
      <c r="AM98" s="589"/>
      <c r="AN98" s="589"/>
      <c r="AO98" s="589"/>
      <c r="AP98" s="589"/>
      <c r="AQ98" s="589"/>
      <c r="AR98" s="589"/>
      <c r="AS98" s="589"/>
    </row>
    <row r="99" spans="1:45" ht="15">
      <c r="A99" s="590" t="s">
        <v>153</v>
      </c>
      <c r="B99" s="591" t="s">
        <v>366</v>
      </c>
      <c r="C99" s="591" t="s">
        <v>812</v>
      </c>
      <c r="D99" s="592">
        <v>2014</v>
      </c>
      <c r="E99" s="591" t="s">
        <v>775</v>
      </c>
      <c r="F99" s="592">
        <v>80</v>
      </c>
      <c r="G99" s="592">
        <v>0</v>
      </c>
      <c r="H99" s="592">
        <v>0</v>
      </c>
      <c r="I99" s="592">
        <v>0</v>
      </c>
      <c r="J99" s="592">
        <v>46</v>
      </c>
      <c r="K99" s="592">
        <v>0</v>
      </c>
      <c r="L99" s="592">
        <v>0</v>
      </c>
      <c r="M99" s="592">
        <v>0</v>
      </c>
      <c r="N99" s="593">
        <v>51</v>
      </c>
      <c r="O99" s="593">
        <v>0</v>
      </c>
      <c r="P99" s="593">
        <v>141</v>
      </c>
      <c r="Q99" s="593">
        <v>0</v>
      </c>
      <c r="R99" s="593">
        <v>318</v>
      </c>
      <c r="S99" s="593">
        <v>0</v>
      </c>
      <c r="T99" s="593">
        <v>2014</v>
      </c>
      <c r="U99" s="593">
        <v>2014</v>
      </c>
      <c r="V99" s="589"/>
      <c r="W99" s="589"/>
      <c r="X99" s="589"/>
      <c r="Y99" s="589"/>
      <c r="Z99" s="589"/>
      <c r="AA99" s="589"/>
      <c r="AB99" s="589"/>
      <c r="AC99" s="589"/>
      <c r="AD99" s="589"/>
      <c r="AE99" s="589"/>
      <c r="AF99" s="589"/>
      <c r="AG99" s="589"/>
      <c r="AH99" s="589"/>
      <c r="AI99" s="589"/>
      <c r="AJ99" s="589"/>
      <c r="AK99" s="589"/>
      <c r="AL99" s="589"/>
      <c r="AM99" s="589"/>
      <c r="AN99" s="589"/>
      <c r="AO99" s="589"/>
      <c r="AP99" s="589"/>
      <c r="AQ99" s="589"/>
      <c r="AR99" s="589"/>
      <c r="AS99" s="589"/>
    </row>
    <row r="100" spans="1:45" ht="15">
      <c r="A100" s="587" t="s">
        <v>169</v>
      </c>
      <c r="B100" s="587" t="s">
        <v>490</v>
      </c>
      <c r="C100" s="587" t="s">
        <v>812</v>
      </c>
      <c r="D100" s="588">
        <v>2014</v>
      </c>
      <c r="E100" s="587" t="s">
        <v>775</v>
      </c>
      <c r="F100" s="588">
        <v>71</v>
      </c>
      <c r="G100" s="588">
        <v>0</v>
      </c>
      <c r="H100" s="588">
        <v>0</v>
      </c>
      <c r="I100" s="588">
        <v>0</v>
      </c>
      <c r="J100" s="588">
        <v>50</v>
      </c>
      <c r="K100" s="588">
        <v>0</v>
      </c>
      <c r="L100" s="588">
        <v>0</v>
      </c>
      <c r="M100" s="588">
        <v>0</v>
      </c>
      <c r="N100" s="588">
        <v>56</v>
      </c>
      <c r="O100" s="588">
        <v>0</v>
      </c>
      <c r="P100" s="588">
        <v>131</v>
      </c>
      <c r="Q100" s="588">
        <v>39</v>
      </c>
      <c r="R100" s="588">
        <v>308</v>
      </c>
      <c r="S100" s="588">
        <v>39</v>
      </c>
      <c r="T100" s="588">
        <v>2014</v>
      </c>
      <c r="U100" s="588">
        <v>2014</v>
      </c>
      <c r="V100" s="589"/>
      <c r="W100" s="589"/>
      <c r="X100" s="589"/>
      <c r="Y100" s="589"/>
      <c r="Z100" s="589"/>
      <c r="AA100" s="589"/>
      <c r="AB100" s="589"/>
      <c r="AC100" s="589"/>
      <c r="AD100" s="589"/>
      <c r="AE100" s="589"/>
      <c r="AF100" s="589"/>
      <c r="AG100" s="589"/>
      <c r="AH100" s="589"/>
      <c r="AI100" s="589"/>
      <c r="AJ100" s="589"/>
      <c r="AK100" s="589"/>
      <c r="AL100" s="589"/>
      <c r="AM100" s="589"/>
      <c r="AN100" s="589"/>
      <c r="AO100" s="589"/>
      <c r="AP100" s="589"/>
      <c r="AQ100" s="589"/>
      <c r="AR100" s="589"/>
      <c r="AS100" s="589"/>
    </row>
    <row r="101" spans="1:45" ht="15">
      <c r="A101" s="590" t="s">
        <v>184</v>
      </c>
      <c r="B101" s="591" t="s">
        <v>628</v>
      </c>
      <c r="C101" s="591" t="s">
        <v>774</v>
      </c>
      <c r="D101" s="592">
        <v>2014</v>
      </c>
      <c r="E101" s="591" t="s">
        <v>775</v>
      </c>
      <c r="F101" s="592">
        <v>400</v>
      </c>
      <c r="G101" s="592">
        <v>0</v>
      </c>
      <c r="H101" s="592">
        <v>0</v>
      </c>
      <c r="I101" s="592">
        <v>0</v>
      </c>
      <c r="J101" s="592">
        <v>188</v>
      </c>
      <c r="K101" s="592">
        <v>0</v>
      </c>
      <c r="L101" s="592">
        <v>0</v>
      </c>
      <c r="M101" s="592">
        <v>0</v>
      </c>
      <c r="N101" s="593">
        <v>221</v>
      </c>
      <c r="O101" s="593">
        <v>10</v>
      </c>
      <c r="P101" s="593">
        <v>541</v>
      </c>
      <c r="Q101" s="593">
        <v>10</v>
      </c>
      <c r="R101" s="593">
        <v>1350</v>
      </c>
      <c r="S101" s="593">
        <v>20</v>
      </c>
      <c r="T101" s="593">
        <v>2015</v>
      </c>
      <c r="U101" s="593">
        <v>2015</v>
      </c>
      <c r="V101" s="589"/>
      <c r="W101" s="589"/>
      <c r="X101" s="589"/>
      <c r="Y101" s="589"/>
      <c r="Z101" s="589"/>
      <c r="AA101" s="589"/>
      <c r="AB101" s="589"/>
      <c r="AC101" s="589"/>
      <c r="AD101" s="589"/>
      <c r="AE101" s="589"/>
      <c r="AF101" s="589"/>
      <c r="AG101" s="589"/>
      <c r="AH101" s="589"/>
      <c r="AI101" s="589"/>
      <c r="AJ101" s="589"/>
      <c r="AK101" s="589"/>
      <c r="AL101" s="589"/>
      <c r="AM101" s="589"/>
      <c r="AN101" s="589"/>
      <c r="AO101" s="589"/>
      <c r="AP101" s="589"/>
      <c r="AQ101" s="589"/>
      <c r="AR101" s="589"/>
      <c r="AS101" s="589"/>
    </row>
    <row r="102" spans="1:45" ht="15">
      <c r="A102" s="587" t="s">
        <v>169</v>
      </c>
      <c r="B102" s="587" t="s">
        <v>491</v>
      </c>
      <c r="C102" s="587" t="s">
        <v>812</v>
      </c>
      <c r="D102" s="588">
        <v>2014</v>
      </c>
      <c r="E102" s="587" t="s">
        <v>775</v>
      </c>
      <c r="F102" s="588">
        <v>76</v>
      </c>
      <c r="G102" s="588">
        <v>0</v>
      </c>
      <c r="H102" s="588">
        <v>0</v>
      </c>
      <c r="I102" s="588">
        <v>0</v>
      </c>
      <c r="J102" s="588">
        <v>53</v>
      </c>
      <c r="K102" s="588">
        <v>0</v>
      </c>
      <c r="L102" s="588">
        <v>0</v>
      </c>
      <c r="M102" s="588">
        <v>0</v>
      </c>
      <c r="N102" s="588">
        <v>61</v>
      </c>
      <c r="O102" s="588">
        <v>3</v>
      </c>
      <c r="P102" s="588">
        <v>137</v>
      </c>
      <c r="Q102" s="588">
        <v>12</v>
      </c>
      <c r="R102" s="588">
        <v>327</v>
      </c>
      <c r="S102" s="588">
        <v>15</v>
      </c>
      <c r="T102" s="588">
        <v>2014</v>
      </c>
      <c r="U102" s="588">
        <v>2014</v>
      </c>
      <c r="V102" s="589"/>
      <c r="W102" s="589"/>
      <c r="X102" s="589"/>
      <c r="Y102" s="589"/>
      <c r="Z102" s="589"/>
      <c r="AA102" s="589"/>
      <c r="AB102" s="589"/>
      <c r="AC102" s="589"/>
      <c r="AD102" s="589"/>
      <c r="AE102" s="589"/>
      <c r="AF102" s="589"/>
      <c r="AG102" s="589"/>
      <c r="AH102" s="589"/>
      <c r="AI102" s="589"/>
      <c r="AJ102" s="589"/>
      <c r="AK102" s="589"/>
      <c r="AL102" s="589"/>
      <c r="AM102" s="589"/>
      <c r="AN102" s="589"/>
      <c r="AO102" s="589"/>
      <c r="AP102" s="589"/>
      <c r="AQ102" s="589"/>
      <c r="AR102" s="589"/>
      <c r="AS102" s="589"/>
    </row>
    <row r="103" spans="1:45" ht="15">
      <c r="A103" s="590" t="s">
        <v>202</v>
      </c>
      <c r="B103" s="591" t="s">
        <v>741</v>
      </c>
      <c r="C103" s="591" t="s">
        <v>799</v>
      </c>
      <c r="D103" s="592">
        <v>2014</v>
      </c>
      <c r="E103" s="591" t="s">
        <v>775</v>
      </c>
      <c r="F103" s="592">
        <v>248</v>
      </c>
      <c r="G103" s="592">
        <v>0</v>
      </c>
      <c r="H103" s="592">
        <v>0</v>
      </c>
      <c r="I103" s="592">
        <v>0</v>
      </c>
      <c r="J103" s="592">
        <v>174</v>
      </c>
      <c r="K103" s="592">
        <v>2</v>
      </c>
      <c r="L103" s="592">
        <v>0</v>
      </c>
      <c r="M103" s="592">
        <v>2</v>
      </c>
      <c r="N103" s="593">
        <v>198</v>
      </c>
      <c r="O103" s="593">
        <v>5</v>
      </c>
      <c r="P103" s="593">
        <v>446</v>
      </c>
      <c r="Q103" s="593">
        <v>6</v>
      </c>
      <c r="R103" s="593">
        <v>1066</v>
      </c>
      <c r="S103" s="593">
        <v>13</v>
      </c>
      <c r="T103" s="593">
        <v>2014</v>
      </c>
      <c r="U103" s="593">
        <v>2014</v>
      </c>
      <c r="V103" s="589"/>
      <c r="W103" s="589"/>
      <c r="X103" s="589"/>
      <c r="Y103" s="589"/>
      <c r="Z103" s="589"/>
      <c r="AA103" s="589"/>
      <c r="AB103" s="589"/>
      <c r="AC103" s="589"/>
      <c r="AD103" s="589"/>
      <c r="AE103" s="589"/>
      <c r="AF103" s="589"/>
      <c r="AG103" s="589"/>
      <c r="AH103" s="589"/>
      <c r="AI103" s="589"/>
      <c r="AJ103" s="589"/>
      <c r="AK103" s="589"/>
      <c r="AL103" s="589"/>
      <c r="AM103" s="589"/>
      <c r="AN103" s="589"/>
      <c r="AO103" s="589"/>
      <c r="AP103" s="589"/>
      <c r="AQ103" s="589"/>
      <c r="AR103" s="589"/>
      <c r="AS103" s="589"/>
    </row>
    <row r="104" spans="1:45" ht="15">
      <c r="A104" s="587" t="s">
        <v>179</v>
      </c>
      <c r="B104" s="587" t="s">
        <v>593</v>
      </c>
      <c r="C104" s="587" t="s">
        <v>855</v>
      </c>
      <c r="D104" s="588">
        <v>2014</v>
      </c>
      <c r="E104" s="587" t="s">
        <v>775</v>
      </c>
      <c r="F104" s="588">
        <v>7</v>
      </c>
      <c r="G104" s="588">
        <v>0</v>
      </c>
      <c r="H104" s="588">
        <v>0</v>
      </c>
      <c r="I104" s="588">
        <v>0</v>
      </c>
      <c r="J104" s="588">
        <v>5</v>
      </c>
      <c r="K104" s="588">
        <v>0</v>
      </c>
      <c r="L104" s="588">
        <v>0</v>
      </c>
      <c r="M104" s="588">
        <v>0</v>
      </c>
      <c r="N104" s="588">
        <v>15</v>
      </c>
      <c r="O104" s="588">
        <v>0</v>
      </c>
      <c r="P104" s="588">
        <v>34</v>
      </c>
      <c r="Q104" s="588">
        <v>3</v>
      </c>
      <c r="R104" s="588">
        <v>61</v>
      </c>
      <c r="S104" s="588">
        <v>3</v>
      </c>
      <c r="T104" s="588">
        <v>2014</v>
      </c>
      <c r="U104" s="588">
        <v>2013</v>
      </c>
      <c r="V104" s="589"/>
      <c r="W104" s="589"/>
      <c r="X104" s="589"/>
      <c r="Y104" s="589"/>
      <c r="Z104" s="589"/>
      <c r="AA104" s="589"/>
      <c r="AB104" s="589"/>
      <c r="AC104" s="589"/>
      <c r="AD104" s="589"/>
      <c r="AE104" s="589"/>
      <c r="AF104" s="589"/>
      <c r="AG104" s="589"/>
      <c r="AH104" s="589"/>
      <c r="AI104" s="589"/>
      <c r="AJ104" s="589"/>
      <c r="AK104" s="589"/>
      <c r="AL104" s="589"/>
      <c r="AM104" s="589"/>
      <c r="AN104" s="589"/>
      <c r="AO104" s="589"/>
      <c r="AP104" s="589"/>
      <c r="AQ104" s="589"/>
      <c r="AR104" s="589"/>
      <c r="AS104" s="589"/>
    </row>
    <row r="105" spans="1:45" ht="15">
      <c r="A105" s="590" t="s">
        <v>138</v>
      </c>
      <c r="B105" s="591" t="s">
        <v>286</v>
      </c>
      <c r="C105" s="591" t="s">
        <v>784</v>
      </c>
      <c r="D105" s="592">
        <v>2014</v>
      </c>
      <c r="E105" s="591" t="s">
        <v>775</v>
      </c>
      <c r="F105" s="592">
        <v>60</v>
      </c>
      <c r="G105" s="592">
        <v>3</v>
      </c>
      <c r="H105" s="592">
        <v>0</v>
      </c>
      <c r="I105" s="592">
        <v>3</v>
      </c>
      <c r="J105" s="592">
        <v>37</v>
      </c>
      <c r="K105" s="592">
        <v>1</v>
      </c>
      <c r="L105" s="592">
        <v>1</v>
      </c>
      <c r="M105" s="592">
        <v>0</v>
      </c>
      <c r="N105" s="593">
        <v>30</v>
      </c>
      <c r="O105" s="593">
        <v>3</v>
      </c>
      <c r="P105" s="593">
        <v>106</v>
      </c>
      <c r="Q105" s="593">
        <v>4</v>
      </c>
      <c r="R105" s="593">
        <v>233</v>
      </c>
      <c r="S105" s="593">
        <v>11</v>
      </c>
      <c r="T105" s="593">
        <v>2014</v>
      </c>
      <c r="U105" s="593">
        <v>2014</v>
      </c>
      <c r="V105" s="589"/>
      <c r="W105" s="589"/>
      <c r="X105" s="589"/>
      <c r="Y105" s="589"/>
      <c r="Z105" s="589"/>
      <c r="AA105" s="589"/>
      <c r="AB105" s="589"/>
      <c r="AC105" s="589"/>
      <c r="AD105" s="589"/>
      <c r="AE105" s="589"/>
      <c r="AF105" s="589"/>
      <c r="AG105" s="589"/>
      <c r="AH105" s="589"/>
      <c r="AI105" s="589"/>
      <c r="AJ105" s="589"/>
      <c r="AK105" s="589"/>
      <c r="AL105" s="589"/>
      <c r="AM105" s="589"/>
      <c r="AN105" s="589"/>
      <c r="AO105" s="589"/>
      <c r="AP105" s="589"/>
      <c r="AQ105" s="589"/>
      <c r="AR105" s="589"/>
      <c r="AS105" s="589"/>
    </row>
    <row r="106" spans="1:45" ht="15">
      <c r="A106" s="587" t="s">
        <v>153</v>
      </c>
      <c r="B106" s="587" t="s">
        <v>368</v>
      </c>
      <c r="C106" s="587" t="s">
        <v>812</v>
      </c>
      <c r="D106" s="588">
        <v>2014</v>
      </c>
      <c r="E106" s="587" t="s">
        <v>775</v>
      </c>
      <c r="F106" s="588">
        <v>308</v>
      </c>
      <c r="G106" s="588">
        <v>0</v>
      </c>
      <c r="H106" s="588">
        <v>0</v>
      </c>
      <c r="I106" s="588">
        <v>0</v>
      </c>
      <c r="J106" s="588">
        <v>182</v>
      </c>
      <c r="K106" s="588">
        <v>0</v>
      </c>
      <c r="L106" s="588">
        <v>0</v>
      </c>
      <c r="M106" s="588">
        <v>0</v>
      </c>
      <c r="N106" s="588">
        <v>190</v>
      </c>
      <c r="O106" s="588">
        <v>0</v>
      </c>
      <c r="P106" s="588">
        <v>466</v>
      </c>
      <c r="Q106" s="588">
        <v>52</v>
      </c>
      <c r="R106" s="588">
        <v>1146</v>
      </c>
      <c r="S106" s="588">
        <v>52</v>
      </c>
      <c r="T106" s="588">
        <v>2014</v>
      </c>
      <c r="U106" s="588">
        <v>2014</v>
      </c>
      <c r="V106" s="589"/>
      <c r="W106" s="589"/>
      <c r="X106" s="589"/>
      <c r="Y106" s="589"/>
      <c r="Z106" s="589"/>
      <c r="AA106" s="589"/>
      <c r="AB106" s="589"/>
      <c r="AC106" s="589"/>
      <c r="AD106" s="589"/>
      <c r="AE106" s="589"/>
      <c r="AF106" s="589"/>
      <c r="AG106" s="589"/>
      <c r="AH106" s="589"/>
      <c r="AI106" s="589"/>
      <c r="AJ106" s="589"/>
      <c r="AK106" s="589"/>
      <c r="AL106" s="589"/>
      <c r="AM106" s="589"/>
      <c r="AN106" s="589"/>
      <c r="AO106" s="589"/>
      <c r="AP106" s="589"/>
      <c r="AQ106" s="589"/>
      <c r="AR106" s="589"/>
      <c r="AS106" s="589"/>
    </row>
    <row r="107" spans="1:45" ht="15">
      <c r="A107" s="590" t="s">
        <v>191</v>
      </c>
      <c r="B107" s="591" t="s">
        <v>676</v>
      </c>
      <c r="C107" s="591" t="s">
        <v>784</v>
      </c>
      <c r="D107" s="592">
        <v>2014</v>
      </c>
      <c r="E107" s="591" t="s">
        <v>775</v>
      </c>
      <c r="F107" s="592">
        <v>3</v>
      </c>
      <c r="G107" s="592">
        <v>0</v>
      </c>
      <c r="H107" s="592">
        <v>0</v>
      </c>
      <c r="I107" s="592">
        <v>0</v>
      </c>
      <c r="J107" s="592">
        <v>2</v>
      </c>
      <c r="K107" s="592">
        <v>0</v>
      </c>
      <c r="L107" s="592">
        <v>0</v>
      </c>
      <c r="M107" s="592">
        <v>0</v>
      </c>
      <c r="N107" s="593">
        <v>2</v>
      </c>
      <c r="O107" s="593">
        <v>0</v>
      </c>
      <c r="P107" s="593">
        <v>5</v>
      </c>
      <c r="Q107" s="593">
        <v>0</v>
      </c>
      <c r="R107" s="593">
        <v>12</v>
      </c>
      <c r="S107" s="593">
        <v>0</v>
      </c>
      <c r="T107" s="593">
        <v>2014</v>
      </c>
      <c r="U107" s="593">
        <v>2014</v>
      </c>
      <c r="V107" s="589"/>
      <c r="W107" s="589"/>
      <c r="X107" s="589"/>
      <c r="Y107" s="589"/>
      <c r="Z107" s="589"/>
      <c r="AA107" s="589"/>
      <c r="AB107" s="589"/>
      <c r="AC107" s="589"/>
      <c r="AD107" s="589"/>
      <c r="AE107" s="589"/>
      <c r="AF107" s="589"/>
      <c r="AG107" s="589"/>
      <c r="AH107" s="589"/>
      <c r="AI107" s="589"/>
      <c r="AJ107" s="589"/>
      <c r="AK107" s="589"/>
      <c r="AL107" s="589"/>
      <c r="AM107" s="589"/>
      <c r="AN107" s="589"/>
      <c r="AO107" s="589"/>
      <c r="AP107" s="589"/>
      <c r="AQ107" s="589"/>
      <c r="AR107" s="589"/>
      <c r="AS107" s="589"/>
    </row>
    <row r="108" spans="1:45" ht="15">
      <c r="A108" s="587" t="s">
        <v>153</v>
      </c>
      <c r="B108" s="587" t="s">
        <v>369</v>
      </c>
      <c r="C108" s="587" t="s">
        <v>812</v>
      </c>
      <c r="D108" s="588">
        <v>2014</v>
      </c>
      <c r="E108" s="587" t="s">
        <v>775</v>
      </c>
      <c r="F108" s="588">
        <v>210</v>
      </c>
      <c r="G108" s="588">
        <v>0</v>
      </c>
      <c r="H108" s="588">
        <v>0</v>
      </c>
      <c r="I108" s="588">
        <v>0</v>
      </c>
      <c r="J108" s="588">
        <v>123</v>
      </c>
      <c r="K108" s="588">
        <v>0</v>
      </c>
      <c r="L108" s="588">
        <v>0</v>
      </c>
      <c r="M108" s="588">
        <v>0</v>
      </c>
      <c r="N108" s="588">
        <v>135</v>
      </c>
      <c r="O108" s="588">
        <v>20</v>
      </c>
      <c r="P108" s="588">
        <v>346</v>
      </c>
      <c r="Q108" s="588">
        <v>12</v>
      </c>
      <c r="R108" s="588">
        <v>814</v>
      </c>
      <c r="S108" s="588">
        <v>32</v>
      </c>
      <c r="T108" s="588">
        <v>2014</v>
      </c>
      <c r="U108" s="588">
        <v>2014</v>
      </c>
      <c r="V108" s="589"/>
      <c r="W108" s="589"/>
      <c r="X108" s="589"/>
      <c r="Y108" s="589"/>
      <c r="Z108" s="589"/>
      <c r="AA108" s="589"/>
      <c r="AB108" s="589"/>
      <c r="AC108" s="589"/>
      <c r="AD108" s="589"/>
      <c r="AE108" s="589"/>
      <c r="AF108" s="589"/>
      <c r="AG108" s="589"/>
      <c r="AH108" s="589"/>
      <c r="AI108" s="589"/>
      <c r="AJ108" s="589"/>
      <c r="AK108" s="589"/>
      <c r="AL108" s="589"/>
      <c r="AM108" s="589"/>
      <c r="AN108" s="589"/>
      <c r="AO108" s="589"/>
      <c r="AP108" s="589"/>
      <c r="AQ108" s="589"/>
      <c r="AR108" s="589"/>
      <c r="AS108" s="589"/>
    </row>
    <row r="109" spans="1:45" ht="15">
      <c r="A109" s="590" t="s">
        <v>153</v>
      </c>
      <c r="B109" s="591" t="s">
        <v>370</v>
      </c>
      <c r="C109" s="591" t="s">
        <v>812</v>
      </c>
      <c r="D109" s="592">
        <v>2014</v>
      </c>
      <c r="E109" s="591" t="s">
        <v>775</v>
      </c>
      <c r="F109" s="592">
        <v>87</v>
      </c>
      <c r="G109" s="592">
        <v>0</v>
      </c>
      <c r="H109" s="592">
        <v>0</v>
      </c>
      <c r="I109" s="592">
        <v>0</v>
      </c>
      <c r="J109" s="592">
        <v>53</v>
      </c>
      <c r="K109" s="592">
        <v>0</v>
      </c>
      <c r="L109" s="592">
        <v>0</v>
      </c>
      <c r="M109" s="592">
        <v>0</v>
      </c>
      <c r="N109" s="593">
        <v>55</v>
      </c>
      <c r="O109" s="593">
        <v>0</v>
      </c>
      <c r="P109" s="593">
        <v>142</v>
      </c>
      <c r="Q109" s="593">
        <v>0</v>
      </c>
      <c r="R109" s="593">
        <v>337</v>
      </c>
      <c r="S109" s="593">
        <v>0</v>
      </c>
      <c r="T109" s="593">
        <v>2014</v>
      </c>
      <c r="U109" s="593">
        <v>2014</v>
      </c>
      <c r="V109" s="589"/>
      <c r="W109" s="589"/>
      <c r="X109" s="589"/>
      <c r="Y109" s="589"/>
      <c r="Z109" s="589"/>
      <c r="AA109" s="589"/>
      <c r="AB109" s="589"/>
      <c r="AC109" s="589"/>
      <c r="AD109" s="589"/>
      <c r="AE109" s="589"/>
      <c r="AF109" s="589"/>
      <c r="AG109" s="589"/>
      <c r="AH109" s="589"/>
      <c r="AI109" s="589"/>
      <c r="AJ109" s="589"/>
      <c r="AK109" s="589"/>
      <c r="AL109" s="589"/>
      <c r="AM109" s="589"/>
      <c r="AN109" s="589"/>
      <c r="AO109" s="589"/>
      <c r="AP109" s="589"/>
      <c r="AQ109" s="589"/>
      <c r="AR109" s="589"/>
      <c r="AS109" s="589"/>
    </row>
    <row r="110" spans="1:45" ht="15">
      <c r="A110" s="587" t="s">
        <v>191</v>
      </c>
      <c r="B110" s="587" t="s">
        <v>677</v>
      </c>
      <c r="C110" s="587" t="s">
        <v>784</v>
      </c>
      <c r="D110" s="588">
        <v>2014</v>
      </c>
      <c r="E110" s="587" t="s">
        <v>775</v>
      </c>
      <c r="F110" s="588">
        <v>6</v>
      </c>
      <c r="G110" s="588">
        <v>0</v>
      </c>
      <c r="H110" s="588">
        <v>0</v>
      </c>
      <c r="I110" s="588">
        <v>0</v>
      </c>
      <c r="J110" s="588">
        <v>4</v>
      </c>
      <c r="K110" s="588">
        <v>0</v>
      </c>
      <c r="L110" s="588">
        <v>0</v>
      </c>
      <c r="M110" s="588">
        <v>0</v>
      </c>
      <c r="N110" s="588">
        <v>4</v>
      </c>
      <c r="O110" s="588">
        <v>0</v>
      </c>
      <c r="P110" s="588">
        <v>9</v>
      </c>
      <c r="Q110" s="588">
        <v>0</v>
      </c>
      <c r="R110" s="588">
        <v>23</v>
      </c>
      <c r="S110" s="588">
        <v>0</v>
      </c>
      <c r="T110" s="588">
        <v>2014</v>
      </c>
      <c r="U110" s="588">
        <v>2014</v>
      </c>
      <c r="V110" s="589"/>
      <c r="W110" s="589"/>
      <c r="X110" s="589"/>
      <c r="Y110" s="589"/>
      <c r="Z110" s="589"/>
      <c r="AA110" s="589"/>
      <c r="AB110" s="589"/>
      <c r="AC110" s="589"/>
      <c r="AD110" s="589"/>
      <c r="AE110" s="589"/>
      <c r="AF110" s="589"/>
      <c r="AG110" s="589"/>
      <c r="AH110" s="589"/>
      <c r="AI110" s="589"/>
      <c r="AJ110" s="589"/>
      <c r="AK110" s="589"/>
      <c r="AL110" s="589"/>
      <c r="AM110" s="589"/>
      <c r="AN110" s="589"/>
      <c r="AO110" s="589"/>
      <c r="AP110" s="589"/>
      <c r="AQ110" s="589"/>
      <c r="AR110" s="589"/>
      <c r="AS110" s="589"/>
    </row>
    <row r="111" spans="1:45" ht="15">
      <c r="A111" s="590" t="s">
        <v>173</v>
      </c>
      <c r="B111" s="591" t="s">
        <v>537</v>
      </c>
      <c r="C111" s="591" t="s">
        <v>812</v>
      </c>
      <c r="D111" s="592">
        <v>2014</v>
      </c>
      <c r="E111" s="591" t="s">
        <v>775</v>
      </c>
      <c r="F111" s="592">
        <v>374</v>
      </c>
      <c r="G111" s="592">
        <v>0</v>
      </c>
      <c r="H111" s="592">
        <v>0</v>
      </c>
      <c r="I111" s="592">
        <v>0</v>
      </c>
      <c r="J111" s="592">
        <v>250</v>
      </c>
      <c r="K111" s="592">
        <v>0</v>
      </c>
      <c r="L111" s="592">
        <v>0</v>
      </c>
      <c r="M111" s="592">
        <v>0</v>
      </c>
      <c r="N111" s="593">
        <v>274</v>
      </c>
      <c r="O111" s="593">
        <v>0</v>
      </c>
      <c r="P111" s="593">
        <v>565</v>
      </c>
      <c r="Q111" s="593">
        <v>429</v>
      </c>
      <c r="R111" s="593">
        <v>1463</v>
      </c>
      <c r="S111" s="593">
        <v>429</v>
      </c>
      <c r="T111" s="593">
        <v>2014</v>
      </c>
      <c r="U111" s="593">
        <v>2014</v>
      </c>
      <c r="V111" s="589"/>
      <c r="W111" s="589"/>
      <c r="X111" s="589"/>
      <c r="Y111" s="589"/>
      <c r="Z111" s="589"/>
      <c r="AA111" s="589"/>
      <c r="AB111" s="589"/>
      <c r="AC111" s="589"/>
      <c r="AD111" s="589"/>
      <c r="AE111" s="589"/>
      <c r="AF111" s="589"/>
      <c r="AG111" s="589"/>
      <c r="AH111" s="589"/>
      <c r="AI111" s="589"/>
      <c r="AJ111" s="589"/>
      <c r="AK111" s="589"/>
      <c r="AL111" s="589"/>
      <c r="AM111" s="589"/>
      <c r="AN111" s="589"/>
      <c r="AO111" s="589"/>
      <c r="AP111" s="589"/>
      <c r="AQ111" s="589"/>
      <c r="AR111" s="589"/>
      <c r="AS111" s="589"/>
    </row>
    <row r="112" spans="1:45" ht="15">
      <c r="A112" s="587" t="s">
        <v>179</v>
      </c>
      <c r="B112" s="587" t="s">
        <v>594</v>
      </c>
      <c r="C112" s="587" t="s">
        <v>855</v>
      </c>
      <c r="D112" s="588">
        <v>2014</v>
      </c>
      <c r="E112" s="587" t="s">
        <v>775</v>
      </c>
      <c r="F112" s="588">
        <v>1448</v>
      </c>
      <c r="G112" s="588">
        <v>0</v>
      </c>
      <c r="H112" s="588">
        <v>0</v>
      </c>
      <c r="I112" s="588">
        <v>0</v>
      </c>
      <c r="J112" s="588">
        <v>1101</v>
      </c>
      <c r="K112" s="588">
        <v>0</v>
      </c>
      <c r="L112" s="588">
        <v>0</v>
      </c>
      <c r="M112" s="588">
        <v>0</v>
      </c>
      <c r="N112" s="588">
        <v>1019</v>
      </c>
      <c r="O112" s="588">
        <v>8</v>
      </c>
      <c r="P112" s="588">
        <v>2237</v>
      </c>
      <c r="Q112" s="588">
        <v>24</v>
      </c>
      <c r="R112" s="588">
        <v>5805</v>
      </c>
      <c r="S112" s="588">
        <v>32</v>
      </c>
      <c r="T112" s="588">
        <v>2014</v>
      </c>
      <c r="U112" s="588">
        <v>2013</v>
      </c>
      <c r="V112" s="589"/>
      <c r="W112" s="589"/>
      <c r="X112" s="589"/>
      <c r="Y112" s="589"/>
      <c r="Z112" s="589"/>
      <c r="AA112" s="589"/>
      <c r="AB112" s="589"/>
      <c r="AC112" s="589"/>
      <c r="AD112" s="589"/>
      <c r="AE112" s="589"/>
      <c r="AF112" s="589"/>
      <c r="AG112" s="589"/>
      <c r="AH112" s="589"/>
      <c r="AI112" s="589"/>
      <c r="AJ112" s="589"/>
      <c r="AK112" s="589"/>
      <c r="AL112" s="589"/>
      <c r="AM112" s="589"/>
      <c r="AN112" s="589"/>
      <c r="AO112" s="589"/>
      <c r="AP112" s="589"/>
      <c r="AQ112" s="589"/>
      <c r="AR112" s="589"/>
      <c r="AS112" s="589"/>
    </row>
    <row r="113" spans="1:45" ht="15">
      <c r="A113" s="590" t="s">
        <v>146</v>
      </c>
      <c r="B113" s="591" t="s">
        <v>318</v>
      </c>
      <c r="C113" s="591" t="s">
        <v>812</v>
      </c>
      <c r="D113" s="592">
        <v>2014</v>
      </c>
      <c r="E113" s="591" t="s">
        <v>775</v>
      </c>
      <c r="F113" s="592">
        <v>487</v>
      </c>
      <c r="G113" s="592">
        <v>0</v>
      </c>
      <c r="H113" s="592">
        <v>0</v>
      </c>
      <c r="I113" s="592">
        <v>0</v>
      </c>
      <c r="J113" s="592">
        <v>300</v>
      </c>
      <c r="K113" s="592">
        <v>3</v>
      </c>
      <c r="L113" s="592">
        <v>3</v>
      </c>
      <c r="M113" s="592">
        <v>0</v>
      </c>
      <c r="N113" s="593">
        <v>297</v>
      </c>
      <c r="O113" s="593">
        <v>0</v>
      </c>
      <c r="P113" s="593">
        <v>840</v>
      </c>
      <c r="Q113" s="593">
        <v>43</v>
      </c>
      <c r="R113" s="593">
        <v>1924</v>
      </c>
      <c r="S113" s="593">
        <v>46</v>
      </c>
      <c r="T113" s="593">
        <v>2014</v>
      </c>
      <c r="U113" s="593">
        <v>2014</v>
      </c>
      <c r="V113" s="589"/>
      <c r="W113" s="589"/>
      <c r="X113" s="589"/>
      <c r="Y113" s="589"/>
      <c r="Z113" s="589"/>
      <c r="AA113" s="589"/>
      <c r="AB113" s="589"/>
      <c r="AC113" s="589"/>
      <c r="AD113" s="589"/>
      <c r="AE113" s="589"/>
      <c r="AF113" s="589"/>
      <c r="AG113" s="589"/>
      <c r="AH113" s="589"/>
      <c r="AI113" s="589"/>
      <c r="AJ113" s="589"/>
      <c r="AK113" s="589"/>
      <c r="AL113" s="589"/>
      <c r="AM113" s="589"/>
      <c r="AN113" s="589"/>
      <c r="AO113" s="589"/>
      <c r="AP113" s="589"/>
      <c r="AQ113" s="589"/>
      <c r="AR113" s="589"/>
      <c r="AS113" s="589"/>
    </row>
    <row r="114" spans="1:45" ht="15">
      <c r="A114" s="587" t="s">
        <v>136</v>
      </c>
      <c r="B114" s="587" t="s">
        <v>271</v>
      </c>
      <c r="C114" s="587" t="s">
        <v>774</v>
      </c>
      <c r="D114" s="588">
        <v>2014</v>
      </c>
      <c r="E114" s="587" t="s">
        <v>775</v>
      </c>
      <c r="F114" s="588">
        <v>100</v>
      </c>
      <c r="G114" s="588">
        <v>56</v>
      </c>
      <c r="H114" s="588">
        <v>56</v>
      </c>
      <c r="I114" s="588">
        <v>0</v>
      </c>
      <c r="J114" s="588">
        <v>63</v>
      </c>
      <c r="K114" s="588">
        <v>0</v>
      </c>
      <c r="L114" s="588">
        <v>0</v>
      </c>
      <c r="M114" s="588">
        <v>0</v>
      </c>
      <c r="N114" s="588">
        <v>69</v>
      </c>
      <c r="O114" s="588">
        <v>0</v>
      </c>
      <c r="P114" s="588">
        <v>166</v>
      </c>
      <c r="Q114" s="588">
        <v>6</v>
      </c>
      <c r="R114" s="588">
        <v>398</v>
      </c>
      <c r="S114" s="588">
        <v>62</v>
      </c>
      <c r="T114" s="588">
        <v>2015</v>
      </c>
      <c r="U114" s="588">
        <v>2015</v>
      </c>
      <c r="V114" s="589"/>
      <c r="W114" s="589"/>
      <c r="X114" s="589"/>
      <c r="Y114" s="589"/>
      <c r="Z114" s="589"/>
      <c r="AA114" s="589"/>
      <c r="AB114" s="589"/>
      <c r="AC114" s="589"/>
      <c r="AD114" s="589"/>
      <c r="AE114" s="589"/>
      <c r="AF114" s="589"/>
      <c r="AG114" s="589"/>
      <c r="AH114" s="589"/>
      <c r="AI114" s="589"/>
      <c r="AJ114" s="589"/>
      <c r="AK114" s="589"/>
      <c r="AL114" s="589"/>
      <c r="AM114" s="589"/>
      <c r="AN114" s="589"/>
      <c r="AO114" s="589"/>
      <c r="AP114" s="589"/>
      <c r="AQ114" s="589"/>
      <c r="AR114" s="589"/>
      <c r="AS114" s="589"/>
    </row>
    <row r="115" spans="1:45" ht="15">
      <c r="A115" s="590" t="s">
        <v>139</v>
      </c>
      <c r="B115" s="591" t="s">
        <v>287</v>
      </c>
      <c r="C115" s="591" t="s">
        <v>799</v>
      </c>
      <c r="D115" s="592">
        <v>2014</v>
      </c>
      <c r="E115" s="591" t="s">
        <v>775</v>
      </c>
      <c r="F115" s="592">
        <v>1086</v>
      </c>
      <c r="G115" s="592">
        <v>1</v>
      </c>
      <c r="H115" s="592">
        <v>1</v>
      </c>
      <c r="I115" s="592">
        <v>0</v>
      </c>
      <c r="J115" s="592">
        <v>762</v>
      </c>
      <c r="K115" s="592">
        <v>55</v>
      </c>
      <c r="L115" s="592">
        <v>55</v>
      </c>
      <c r="M115" s="592">
        <v>0</v>
      </c>
      <c r="N115" s="593">
        <v>823</v>
      </c>
      <c r="O115" s="593">
        <v>13</v>
      </c>
      <c r="P115" s="593">
        <v>1757</v>
      </c>
      <c r="Q115" s="593">
        <v>343</v>
      </c>
      <c r="R115" s="593">
        <v>4428</v>
      </c>
      <c r="S115" s="593">
        <v>412</v>
      </c>
      <c r="T115" s="593">
        <v>2014</v>
      </c>
      <c r="U115" s="593">
        <v>2014</v>
      </c>
      <c r="V115" s="589"/>
      <c r="W115" s="589"/>
      <c r="X115" s="589"/>
      <c r="Y115" s="589"/>
      <c r="Z115" s="589"/>
      <c r="AA115" s="589"/>
      <c r="AB115" s="589"/>
      <c r="AC115" s="589"/>
      <c r="AD115" s="589"/>
      <c r="AE115" s="589"/>
      <c r="AF115" s="589"/>
      <c r="AG115" s="589"/>
      <c r="AH115" s="589"/>
      <c r="AI115" s="589"/>
      <c r="AJ115" s="589"/>
      <c r="AK115" s="589"/>
      <c r="AL115" s="589"/>
      <c r="AM115" s="589"/>
      <c r="AN115" s="589"/>
      <c r="AO115" s="589"/>
      <c r="AP115" s="589"/>
      <c r="AQ115" s="589"/>
      <c r="AR115" s="589"/>
      <c r="AS115" s="589"/>
    </row>
    <row r="116" spans="1:45" ht="15">
      <c r="A116" s="587" t="s">
        <v>153</v>
      </c>
      <c r="B116" s="587" t="s">
        <v>371</v>
      </c>
      <c r="C116" s="587" t="s">
        <v>812</v>
      </c>
      <c r="D116" s="588">
        <v>2014</v>
      </c>
      <c r="E116" s="587" t="s">
        <v>775</v>
      </c>
      <c r="F116" s="588">
        <v>529</v>
      </c>
      <c r="G116" s="588">
        <v>41</v>
      </c>
      <c r="H116" s="588">
        <v>41</v>
      </c>
      <c r="I116" s="588">
        <v>0</v>
      </c>
      <c r="J116" s="588">
        <v>315</v>
      </c>
      <c r="K116" s="588">
        <v>0</v>
      </c>
      <c r="L116" s="588">
        <v>0</v>
      </c>
      <c r="M116" s="588">
        <v>0</v>
      </c>
      <c r="N116" s="588">
        <v>352</v>
      </c>
      <c r="O116" s="588">
        <v>2</v>
      </c>
      <c r="P116" s="588">
        <v>946</v>
      </c>
      <c r="Q116" s="588">
        <v>20</v>
      </c>
      <c r="R116" s="588">
        <v>2142</v>
      </c>
      <c r="S116" s="588">
        <v>63</v>
      </c>
      <c r="T116" s="588">
        <v>2014</v>
      </c>
      <c r="U116" s="588">
        <v>2014</v>
      </c>
      <c r="V116" s="589"/>
      <c r="W116" s="589"/>
      <c r="X116" s="589"/>
      <c r="Y116" s="589"/>
      <c r="Z116" s="589"/>
      <c r="AA116" s="589"/>
      <c r="AB116" s="589"/>
      <c r="AC116" s="589"/>
      <c r="AD116" s="589"/>
      <c r="AE116" s="589"/>
      <c r="AF116" s="589"/>
      <c r="AG116" s="589"/>
      <c r="AH116" s="589"/>
      <c r="AI116" s="589"/>
      <c r="AJ116" s="589"/>
      <c r="AK116" s="589"/>
      <c r="AL116" s="589"/>
      <c r="AM116" s="589"/>
      <c r="AN116" s="589"/>
      <c r="AO116" s="589"/>
      <c r="AP116" s="589"/>
      <c r="AQ116" s="589"/>
      <c r="AR116" s="589"/>
      <c r="AS116" s="589"/>
    </row>
    <row r="117" spans="1:45" ht="15">
      <c r="A117" s="590" t="s">
        <v>174</v>
      </c>
      <c r="B117" s="591" t="s">
        <v>557</v>
      </c>
      <c r="C117" s="591" t="s">
        <v>799</v>
      </c>
      <c r="D117" s="592">
        <v>2014</v>
      </c>
      <c r="E117" s="591" t="s">
        <v>775</v>
      </c>
      <c r="F117" s="592">
        <v>2035</v>
      </c>
      <c r="G117" s="592">
        <v>49</v>
      </c>
      <c r="H117" s="592">
        <v>49</v>
      </c>
      <c r="I117" s="592">
        <v>0</v>
      </c>
      <c r="J117" s="592">
        <v>1427</v>
      </c>
      <c r="K117" s="592">
        <v>14</v>
      </c>
      <c r="L117" s="592">
        <v>14</v>
      </c>
      <c r="M117" s="592">
        <v>0</v>
      </c>
      <c r="N117" s="593">
        <v>1377</v>
      </c>
      <c r="O117" s="593">
        <v>74</v>
      </c>
      <c r="P117" s="593">
        <v>2563</v>
      </c>
      <c r="Q117" s="593">
        <v>505</v>
      </c>
      <c r="R117" s="593">
        <v>7402</v>
      </c>
      <c r="S117" s="593">
        <v>642</v>
      </c>
      <c r="T117" s="593">
        <v>2014</v>
      </c>
      <c r="U117" s="593">
        <v>2014</v>
      </c>
      <c r="V117" s="589"/>
      <c r="W117" s="589"/>
      <c r="X117" s="589"/>
      <c r="Y117" s="589"/>
      <c r="Z117" s="589"/>
      <c r="AA117" s="589"/>
      <c r="AB117" s="589"/>
      <c r="AC117" s="589"/>
      <c r="AD117" s="589"/>
      <c r="AE117" s="589"/>
      <c r="AF117" s="589"/>
      <c r="AG117" s="589"/>
      <c r="AH117" s="589"/>
      <c r="AI117" s="589"/>
      <c r="AJ117" s="589"/>
      <c r="AK117" s="589"/>
      <c r="AL117" s="589"/>
      <c r="AM117" s="589"/>
      <c r="AN117" s="589"/>
      <c r="AO117" s="589"/>
      <c r="AP117" s="589"/>
      <c r="AQ117" s="589"/>
      <c r="AR117" s="589"/>
      <c r="AS117" s="589"/>
    </row>
    <row r="118" spans="1:45" ht="15">
      <c r="A118" s="587" t="s">
        <v>179</v>
      </c>
      <c r="B118" s="587" t="s">
        <v>595</v>
      </c>
      <c r="C118" s="587" t="s">
        <v>855</v>
      </c>
      <c r="D118" s="588">
        <v>2014</v>
      </c>
      <c r="E118" s="587" t="s">
        <v>775</v>
      </c>
      <c r="F118" s="588">
        <v>587</v>
      </c>
      <c r="G118" s="588">
        <v>1</v>
      </c>
      <c r="H118" s="588">
        <v>1</v>
      </c>
      <c r="I118" s="588">
        <v>0</v>
      </c>
      <c r="J118" s="588">
        <v>446</v>
      </c>
      <c r="K118" s="588">
        <v>8</v>
      </c>
      <c r="L118" s="588">
        <v>8</v>
      </c>
      <c r="M118" s="588">
        <v>0</v>
      </c>
      <c r="N118" s="588">
        <v>413</v>
      </c>
      <c r="O118" s="588">
        <v>3</v>
      </c>
      <c r="P118" s="588">
        <v>907</v>
      </c>
      <c r="Q118" s="588">
        <v>150</v>
      </c>
      <c r="R118" s="588">
        <v>2353</v>
      </c>
      <c r="S118" s="588">
        <v>162</v>
      </c>
      <c r="T118" s="588">
        <v>2014</v>
      </c>
      <c r="U118" s="588">
        <v>2013</v>
      </c>
      <c r="V118" s="589"/>
      <c r="W118" s="589"/>
      <c r="X118" s="589"/>
      <c r="Y118" s="589"/>
      <c r="Z118" s="589"/>
      <c r="AA118" s="589"/>
      <c r="AB118" s="589"/>
      <c r="AC118" s="589"/>
      <c r="AD118" s="589"/>
      <c r="AE118" s="589"/>
      <c r="AF118" s="589"/>
      <c r="AG118" s="589"/>
      <c r="AH118" s="589"/>
      <c r="AI118" s="589"/>
      <c r="AJ118" s="589"/>
      <c r="AK118" s="589"/>
      <c r="AL118" s="589"/>
      <c r="AM118" s="589"/>
      <c r="AN118" s="589"/>
      <c r="AO118" s="589"/>
      <c r="AP118" s="589"/>
      <c r="AQ118" s="589"/>
      <c r="AR118" s="589"/>
      <c r="AS118" s="589"/>
    </row>
    <row r="119" spans="1:45" ht="15">
      <c r="A119" s="590" t="s">
        <v>179</v>
      </c>
      <c r="B119" s="591" t="s">
        <v>596</v>
      </c>
      <c r="C119" s="591" t="s">
        <v>855</v>
      </c>
      <c r="D119" s="592">
        <v>2014</v>
      </c>
      <c r="E119" s="591" t="s">
        <v>775</v>
      </c>
      <c r="F119" s="592">
        <v>1042</v>
      </c>
      <c r="G119" s="592">
        <v>0</v>
      </c>
      <c r="H119" s="592">
        <v>0</v>
      </c>
      <c r="I119" s="592">
        <v>0</v>
      </c>
      <c r="J119" s="592">
        <v>791</v>
      </c>
      <c r="K119" s="592">
        <v>0</v>
      </c>
      <c r="L119" s="592">
        <v>0</v>
      </c>
      <c r="M119" s="592">
        <v>0</v>
      </c>
      <c r="N119" s="593">
        <v>733</v>
      </c>
      <c r="O119" s="593">
        <v>0</v>
      </c>
      <c r="P119" s="593">
        <v>1609</v>
      </c>
      <c r="Q119" s="593">
        <v>56</v>
      </c>
      <c r="R119" s="593">
        <v>4175</v>
      </c>
      <c r="S119" s="593">
        <v>56</v>
      </c>
      <c r="T119" s="593">
        <v>2014</v>
      </c>
      <c r="U119" s="593">
        <v>2013</v>
      </c>
      <c r="V119" s="589"/>
      <c r="W119" s="589"/>
      <c r="X119" s="589"/>
      <c r="Y119" s="589"/>
      <c r="Z119" s="589"/>
      <c r="AA119" s="589"/>
      <c r="AB119" s="589"/>
      <c r="AC119" s="589"/>
      <c r="AD119" s="589"/>
      <c r="AE119" s="589"/>
      <c r="AF119" s="589"/>
      <c r="AG119" s="589"/>
      <c r="AH119" s="589"/>
      <c r="AI119" s="589"/>
      <c r="AJ119" s="589"/>
      <c r="AK119" s="589"/>
      <c r="AL119" s="589"/>
      <c r="AM119" s="589"/>
      <c r="AN119" s="589"/>
      <c r="AO119" s="589"/>
      <c r="AP119" s="589"/>
      <c r="AQ119" s="589"/>
      <c r="AR119" s="589"/>
      <c r="AS119" s="589"/>
    </row>
    <row r="120" spans="1:45" ht="15">
      <c r="A120" s="587" t="s">
        <v>145</v>
      </c>
      <c r="B120" s="587" t="s">
        <v>309</v>
      </c>
      <c r="C120" s="587" t="s">
        <v>784</v>
      </c>
      <c r="D120" s="588">
        <v>2014</v>
      </c>
      <c r="E120" s="587" t="s">
        <v>775</v>
      </c>
      <c r="F120" s="588">
        <v>145</v>
      </c>
      <c r="G120" s="588">
        <v>0</v>
      </c>
      <c r="H120" s="588">
        <v>0</v>
      </c>
      <c r="I120" s="588">
        <v>0</v>
      </c>
      <c r="J120" s="588">
        <v>96</v>
      </c>
      <c r="K120" s="588">
        <v>0</v>
      </c>
      <c r="L120" s="588">
        <v>0</v>
      </c>
      <c r="M120" s="588">
        <v>0</v>
      </c>
      <c r="N120" s="588">
        <v>104</v>
      </c>
      <c r="O120" s="588">
        <v>0</v>
      </c>
      <c r="P120" s="588">
        <v>264</v>
      </c>
      <c r="Q120" s="588">
        <v>7</v>
      </c>
      <c r="R120" s="588">
        <v>609</v>
      </c>
      <c r="S120" s="588">
        <v>7</v>
      </c>
      <c r="T120" s="588">
        <v>2014</v>
      </c>
      <c r="U120" s="588">
        <v>2014</v>
      </c>
      <c r="V120" s="589"/>
      <c r="W120" s="589"/>
      <c r="X120" s="589"/>
      <c r="Y120" s="589"/>
      <c r="Z120" s="589"/>
      <c r="AA120" s="589"/>
      <c r="AB120" s="589"/>
      <c r="AC120" s="589"/>
      <c r="AD120" s="589"/>
      <c r="AE120" s="589"/>
      <c r="AF120" s="589"/>
      <c r="AG120" s="589"/>
      <c r="AH120" s="589"/>
      <c r="AI120" s="589"/>
      <c r="AJ120" s="589"/>
      <c r="AK120" s="589"/>
      <c r="AL120" s="589"/>
      <c r="AM120" s="589"/>
      <c r="AN120" s="589"/>
      <c r="AO120" s="589"/>
      <c r="AP120" s="589"/>
      <c r="AQ120" s="589"/>
      <c r="AR120" s="589"/>
      <c r="AS120" s="589"/>
    </row>
    <row r="121" spans="1:45" ht="15">
      <c r="A121" s="590" t="s">
        <v>192</v>
      </c>
      <c r="B121" s="591" t="s">
        <v>688</v>
      </c>
      <c r="C121" s="591" t="s">
        <v>774</v>
      </c>
      <c r="D121" s="592">
        <v>2014</v>
      </c>
      <c r="E121" s="591" t="s">
        <v>775</v>
      </c>
      <c r="F121" s="592">
        <v>779</v>
      </c>
      <c r="G121" s="592">
        <v>0</v>
      </c>
      <c r="H121" s="592">
        <v>0</v>
      </c>
      <c r="I121" s="592">
        <v>0</v>
      </c>
      <c r="J121" s="592">
        <v>404</v>
      </c>
      <c r="K121" s="592">
        <v>0</v>
      </c>
      <c r="L121" s="592">
        <v>0</v>
      </c>
      <c r="M121" s="592">
        <v>0</v>
      </c>
      <c r="N121" s="593">
        <v>456</v>
      </c>
      <c r="O121" s="593">
        <v>6</v>
      </c>
      <c r="P121" s="593">
        <v>1461</v>
      </c>
      <c r="Q121" s="593">
        <v>319</v>
      </c>
      <c r="R121" s="593">
        <v>3100</v>
      </c>
      <c r="S121" s="593">
        <v>325</v>
      </c>
      <c r="T121" s="593">
        <v>2015</v>
      </c>
      <c r="U121" s="593">
        <v>2015</v>
      </c>
      <c r="V121" s="589"/>
      <c r="W121" s="589"/>
      <c r="X121" s="589"/>
      <c r="Y121" s="589"/>
      <c r="Z121" s="589"/>
      <c r="AA121" s="589"/>
      <c r="AB121" s="589"/>
      <c r="AC121" s="589"/>
      <c r="AD121" s="589"/>
      <c r="AE121" s="589"/>
      <c r="AF121" s="589"/>
      <c r="AG121" s="589"/>
      <c r="AH121" s="589"/>
      <c r="AI121" s="589"/>
      <c r="AJ121" s="589"/>
      <c r="AK121" s="589"/>
      <c r="AL121" s="589"/>
      <c r="AM121" s="589"/>
      <c r="AN121" s="589"/>
      <c r="AO121" s="589"/>
      <c r="AP121" s="589"/>
      <c r="AQ121" s="589"/>
      <c r="AR121" s="589"/>
      <c r="AS121" s="589"/>
    </row>
    <row r="122" spans="1:45" ht="15">
      <c r="A122" s="587" t="s">
        <v>145</v>
      </c>
      <c r="B122" s="587" t="s">
        <v>310</v>
      </c>
      <c r="C122" s="587" t="s">
        <v>784</v>
      </c>
      <c r="D122" s="588">
        <v>2014</v>
      </c>
      <c r="E122" s="587" t="s">
        <v>775</v>
      </c>
      <c r="F122" s="588">
        <v>6</v>
      </c>
      <c r="G122" s="588">
        <v>0</v>
      </c>
      <c r="H122" s="588">
        <v>0</v>
      </c>
      <c r="I122" s="588">
        <v>0</v>
      </c>
      <c r="J122" s="588">
        <v>3</v>
      </c>
      <c r="K122" s="588">
        <v>0</v>
      </c>
      <c r="L122" s="588">
        <v>0</v>
      </c>
      <c r="M122" s="588">
        <v>0</v>
      </c>
      <c r="N122" s="588">
        <v>4</v>
      </c>
      <c r="O122" s="588">
        <v>0</v>
      </c>
      <c r="P122" s="588">
        <v>8</v>
      </c>
      <c r="Q122" s="588">
        <v>0</v>
      </c>
      <c r="R122" s="588">
        <v>21</v>
      </c>
      <c r="S122" s="588">
        <v>0</v>
      </c>
      <c r="T122" s="588">
        <v>2014</v>
      </c>
      <c r="U122" s="588">
        <v>2014</v>
      </c>
      <c r="V122" s="589"/>
      <c r="W122" s="589"/>
      <c r="X122" s="589"/>
      <c r="Y122" s="589"/>
      <c r="Z122" s="589"/>
      <c r="AA122" s="589"/>
      <c r="AB122" s="589"/>
      <c r="AC122" s="589"/>
      <c r="AD122" s="589"/>
      <c r="AE122" s="589"/>
      <c r="AF122" s="589"/>
      <c r="AG122" s="589"/>
      <c r="AH122" s="589"/>
      <c r="AI122" s="589"/>
      <c r="AJ122" s="589"/>
      <c r="AK122" s="589"/>
      <c r="AL122" s="589"/>
      <c r="AM122" s="589"/>
      <c r="AN122" s="589"/>
      <c r="AO122" s="589"/>
      <c r="AP122" s="589"/>
      <c r="AQ122" s="589"/>
      <c r="AR122" s="589"/>
      <c r="AS122" s="589"/>
    </row>
    <row r="123" spans="1:45" ht="15">
      <c r="A123" s="590" t="s">
        <v>174</v>
      </c>
      <c r="B123" s="591" t="s">
        <v>558</v>
      </c>
      <c r="C123" s="591" t="s">
        <v>799</v>
      </c>
      <c r="D123" s="592">
        <v>2014</v>
      </c>
      <c r="E123" s="591" t="s">
        <v>775</v>
      </c>
      <c r="F123" s="592">
        <v>1218</v>
      </c>
      <c r="G123" s="592">
        <v>0</v>
      </c>
      <c r="H123" s="592">
        <v>0</v>
      </c>
      <c r="I123" s="592">
        <v>0</v>
      </c>
      <c r="J123" s="592">
        <v>854</v>
      </c>
      <c r="K123" s="592">
        <v>0</v>
      </c>
      <c r="L123" s="592">
        <v>0</v>
      </c>
      <c r="M123" s="592">
        <v>0</v>
      </c>
      <c r="N123" s="593">
        <v>862</v>
      </c>
      <c r="O123" s="593">
        <v>68</v>
      </c>
      <c r="P123" s="593">
        <v>1699</v>
      </c>
      <c r="Q123" s="593">
        <v>205</v>
      </c>
      <c r="R123" s="593">
        <v>4633</v>
      </c>
      <c r="S123" s="593">
        <v>273</v>
      </c>
      <c r="T123" s="593">
        <v>2014</v>
      </c>
      <c r="U123" s="593">
        <v>2014</v>
      </c>
      <c r="V123" s="589"/>
      <c r="W123" s="589"/>
      <c r="X123" s="589"/>
      <c r="Y123" s="589"/>
      <c r="Z123" s="589"/>
      <c r="AA123" s="589"/>
      <c r="AB123" s="589"/>
      <c r="AC123" s="589"/>
      <c r="AD123" s="589"/>
      <c r="AE123" s="589"/>
      <c r="AF123" s="589"/>
      <c r="AG123" s="589"/>
      <c r="AH123" s="589"/>
      <c r="AI123" s="589"/>
      <c r="AJ123" s="589"/>
      <c r="AK123" s="589"/>
      <c r="AL123" s="589"/>
      <c r="AM123" s="589"/>
      <c r="AN123" s="589"/>
      <c r="AO123" s="589"/>
      <c r="AP123" s="589"/>
      <c r="AQ123" s="589"/>
      <c r="AR123" s="589"/>
      <c r="AS123" s="589"/>
    </row>
    <row r="124" spans="1:45" ht="15">
      <c r="A124" s="587" t="s">
        <v>178</v>
      </c>
      <c r="B124" s="587" t="s">
        <v>573</v>
      </c>
      <c r="C124" s="587" t="s">
        <v>812</v>
      </c>
      <c r="D124" s="588">
        <v>2014</v>
      </c>
      <c r="E124" s="587" t="s">
        <v>775</v>
      </c>
      <c r="F124" s="588">
        <v>1442</v>
      </c>
      <c r="G124" s="588">
        <v>63</v>
      </c>
      <c r="H124" s="588">
        <v>63</v>
      </c>
      <c r="I124" s="588">
        <v>0</v>
      </c>
      <c r="J124" s="588">
        <v>974</v>
      </c>
      <c r="K124" s="588">
        <v>0</v>
      </c>
      <c r="L124" s="588">
        <v>0</v>
      </c>
      <c r="M124" s="588">
        <v>0</v>
      </c>
      <c r="N124" s="588">
        <v>1090</v>
      </c>
      <c r="O124" s="588">
        <v>0</v>
      </c>
      <c r="P124" s="588">
        <v>2471</v>
      </c>
      <c r="Q124" s="588">
        <v>258</v>
      </c>
      <c r="R124" s="588">
        <v>5977</v>
      </c>
      <c r="S124" s="588">
        <v>321</v>
      </c>
      <c r="T124" s="588">
        <v>2014</v>
      </c>
      <c r="U124" s="588">
        <v>2014</v>
      </c>
      <c r="V124" s="589"/>
      <c r="W124" s="589"/>
      <c r="X124" s="589"/>
      <c r="Y124" s="589"/>
      <c r="Z124" s="589"/>
      <c r="AA124" s="589"/>
      <c r="AB124" s="589"/>
      <c r="AC124" s="589"/>
      <c r="AD124" s="589"/>
      <c r="AE124" s="589"/>
      <c r="AF124" s="589"/>
      <c r="AG124" s="589"/>
      <c r="AH124" s="589"/>
      <c r="AI124" s="589"/>
      <c r="AJ124" s="589"/>
      <c r="AK124" s="589"/>
      <c r="AL124" s="589"/>
      <c r="AM124" s="589"/>
      <c r="AN124" s="589"/>
      <c r="AO124" s="589"/>
      <c r="AP124" s="589"/>
      <c r="AQ124" s="589"/>
      <c r="AR124" s="589"/>
      <c r="AS124" s="589"/>
    </row>
    <row r="125" spans="1:45" ht="15">
      <c r="A125" s="590" t="s">
        <v>169</v>
      </c>
      <c r="B125" s="591" t="s">
        <v>492</v>
      </c>
      <c r="C125" s="591" t="s">
        <v>812</v>
      </c>
      <c r="D125" s="592">
        <v>2014</v>
      </c>
      <c r="E125" s="591" t="s">
        <v>775</v>
      </c>
      <c r="F125" s="592">
        <v>83</v>
      </c>
      <c r="G125" s="592">
        <v>0</v>
      </c>
      <c r="H125" s="592">
        <v>0</v>
      </c>
      <c r="I125" s="592">
        <v>0</v>
      </c>
      <c r="J125" s="592">
        <v>59</v>
      </c>
      <c r="K125" s="592">
        <v>0</v>
      </c>
      <c r="L125" s="592">
        <v>0</v>
      </c>
      <c r="M125" s="592">
        <v>0</v>
      </c>
      <c r="N125" s="593">
        <v>65</v>
      </c>
      <c r="O125" s="593">
        <v>0</v>
      </c>
      <c r="P125" s="593">
        <v>151</v>
      </c>
      <c r="Q125" s="593">
        <v>6</v>
      </c>
      <c r="R125" s="593">
        <v>358</v>
      </c>
      <c r="S125" s="593">
        <v>6</v>
      </c>
      <c r="T125" s="593">
        <v>2014</v>
      </c>
      <c r="U125" s="593">
        <v>2014</v>
      </c>
      <c r="V125" s="589"/>
      <c r="W125" s="589"/>
      <c r="X125" s="589"/>
      <c r="Y125" s="589"/>
      <c r="Z125" s="589"/>
      <c r="AA125" s="589"/>
      <c r="AB125" s="589"/>
      <c r="AC125" s="589"/>
      <c r="AD125" s="589"/>
      <c r="AE125" s="589"/>
      <c r="AF125" s="589"/>
      <c r="AG125" s="589"/>
      <c r="AH125" s="589"/>
      <c r="AI125" s="589"/>
      <c r="AJ125" s="589"/>
      <c r="AK125" s="589"/>
      <c r="AL125" s="589"/>
      <c r="AM125" s="589"/>
      <c r="AN125" s="589"/>
      <c r="AO125" s="589"/>
      <c r="AP125" s="589"/>
      <c r="AQ125" s="589"/>
      <c r="AR125" s="589"/>
      <c r="AS125" s="589"/>
    </row>
    <row r="126" spans="1:45" ht="15">
      <c r="A126" s="587" t="s">
        <v>125</v>
      </c>
      <c r="B126" s="587" t="s">
        <v>238</v>
      </c>
      <c r="C126" s="587" t="s">
        <v>774</v>
      </c>
      <c r="D126" s="588">
        <v>2014</v>
      </c>
      <c r="E126" s="587" t="s">
        <v>775</v>
      </c>
      <c r="F126" s="588">
        <v>1714</v>
      </c>
      <c r="G126" s="588">
        <v>0</v>
      </c>
      <c r="H126" s="588">
        <v>0</v>
      </c>
      <c r="I126" s="588">
        <v>0</v>
      </c>
      <c r="J126" s="588">
        <v>926</v>
      </c>
      <c r="K126" s="588">
        <v>0</v>
      </c>
      <c r="L126" s="588">
        <v>0</v>
      </c>
      <c r="M126" s="588">
        <v>0</v>
      </c>
      <c r="N126" s="588">
        <v>978</v>
      </c>
      <c r="O126" s="588">
        <v>0</v>
      </c>
      <c r="P126" s="588">
        <v>1837</v>
      </c>
      <c r="Q126" s="588">
        <v>137</v>
      </c>
      <c r="R126" s="588">
        <v>5455</v>
      </c>
      <c r="S126" s="588">
        <v>137</v>
      </c>
      <c r="T126" s="588">
        <v>2015</v>
      </c>
      <c r="U126" s="588">
        <v>2015</v>
      </c>
      <c r="V126" s="589"/>
      <c r="W126" s="589"/>
      <c r="X126" s="589"/>
      <c r="Y126" s="589"/>
      <c r="Z126" s="589"/>
      <c r="AA126" s="589"/>
      <c r="AB126" s="589"/>
      <c r="AC126" s="589"/>
      <c r="AD126" s="589"/>
      <c r="AE126" s="589"/>
      <c r="AF126" s="589"/>
      <c r="AG126" s="589"/>
      <c r="AH126" s="589"/>
      <c r="AI126" s="589"/>
      <c r="AJ126" s="589"/>
      <c r="AK126" s="589"/>
      <c r="AL126" s="589"/>
      <c r="AM126" s="589"/>
      <c r="AN126" s="589"/>
      <c r="AO126" s="589"/>
      <c r="AP126" s="589"/>
      <c r="AQ126" s="589"/>
      <c r="AR126" s="589"/>
      <c r="AS126" s="589"/>
    </row>
    <row r="127" spans="1:45" ht="15">
      <c r="A127" s="590" t="s">
        <v>169</v>
      </c>
      <c r="B127" s="591" t="s">
        <v>493</v>
      </c>
      <c r="C127" s="591" t="s">
        <v>812</v>
      </c>
      <c r="D127" s="592">
        <v>2014</v>
      </c>
      <c r="E127" s="591" t="s">
        <v>775</v>
      </c>
      <c r="F127" s="592">
        <v>411</v>
      </c>
      <c r="G127" s="592">
        <v>8</v>
      </c>
      <c r="H127" s="592">
        <v>8</v>
      </c>
      <c r="I127" s="592">
        <v>0</v>
      </c>
      <c r="J127" s="592">
        <v>299</v>
      </c>
      <c r="K127" s="592">
        <v>0</v>
      </c>
      <c r="L127" s="592">
        <v>0</v>
      </c>
      <c r="M127" s="592">
        <v>0</v>
      </c>
      <c r="N127" s="593">
        <v>337</v>
      </c>
      <c r="O127" s="593">
        <v>0</v>
      </c>
      <c r="P127" s="593">
        <v>794</v>
      </c>
      <c r="Q127" s="593">
        <v>72</v>
      </c>
      <c r="R127" s="593">
        <v>1841</v>
      </c>
      <c r="S127" s="593">
        <v>80</v>
      </c>
      <c r="T127" s="593">
        <v>2014</v>
      </c>
      <c r="U127" s="593">
        <v>2014</v>
      </c>
      <c r="V127" s="589"/>
      <c r="W127" s="589"/>
      <c r="X127" s="589"/>
      <c r="Y127" s="589"/>
      <c r="Z127" s="589"/>
      <c r="AA127" s="589"/>
      <c r="AB127" s="589"/>
      <c r="AC127" s="589"/>
      <c r="AD127" s="589"/>
      <c r="AE127" s="589"/>
      <c r="AF127" s="589"/>
      <c r="AG127" s="589"/>
      <c r="AH127" s="589"/>
      <c r="AI127" s="589"/>
      <c r="AJ127" s="589"/>
      <c r="AK127" s="589"/>
      <c r="AL127" s="589"/>
      <c r="AM127" s="589"/>
      <c r="AN127" s="589"/>
      <c r="AO127" s="589"/>
      <c r="AP127" s="589"/>
      <c r="AQ127" s="589"/>
      <c r="AR127" s="589"/>
      <c r="AS127" s="589"/>
    </row>
    <row r="128" spans="1:45" ht="15">
      <c r="A128" s="587" t="s">
        <v>174</v>
      </c>
      <c r="B128" s="587" t="s">
        <v>559</v>
      </c>
      <c r="C128" s="587" t="s">
        <v>799</v>
      </c>
      <c r="D128" s="588">
        <v>2014</v>
      </c>
      <c r="E128" s="587" t="s">
        <v>775</v>
      </c>
      <c r="F128" s="588">
        <v>131</v>
      </c>
      <c r="G128" s="588">
        <v>0</v>
      </c>
      <c r="H128" s="588">
        <v>0</v>
      </c>
      <c r="I128" s="588">
        <v>0</v>
      </c>
      <c r="J128" s="588">
        <v>91</v>
      </c>
      <c r="K128" s="588">
        <v>0</v>
      </c>
      <c r="L128" s="588">
        <v>0</v>
      </c>
      <c r="M128" s="588">
        <v>0</v>
      </c>
      <c r="N128" s="588">
        <v>126</v>
      </c>
      <c r="O128" s="588">
        <v>0</v>
      </c>
      <c r="P128" s="588">
        <v>331</v>
      </c>
      <c r="Q128" s="588">
        <v>29</v>
      </c>
      <c r="R128" s="588">
        <v>679</v>
      </c>
      <c r="S128" s="588">
        <v>29</v>
      </c>
      <c r="T128" s="588">
        <v>2014</v>
      </c>
      <c r="U128" s="588">
        <v>2014</v>
      </c>
      <c r="V128" s="589"/>
      <c r="W128" s="589"/>
      <c r="X128" s="589"/>
      <c r="Y128" s="589"/>
      <c r="Z128" s="589"/>
      <c r="AA128" s="589"/>
      <c r="AB128" s="589"/>
      <c r="AC128" s="589"/>
      <c r="AD128" s="589"/>
      <c r="AE128" s="589"/>
      <c r="AF128" s="589"/>
      <c r="AG128" s="589"/>
      <c r="AH128" s="589"/>
      <c r="AI128" s="589"/>
      <c r="AJ128" s="589"/>
      <c r="AK128" s="589"/>
      <c r="AL128" s="589"/>
      <c r="AM128" s="589"/>
      <c r="AN128" s="589"/>
      <c r="AO128" s="589"/>
      <c r="AP128" s="589"/>
      <c r="AQ128" s="589"/>
      <c r="AR128" s="589"/>
      <c r="AS128" s="589"/>
    </row>
    <row r="129" spans="1:45" ht="15">
      <c r="A129" s="590" t="s">
        <v>169</v>
      </c>
      <c r="B129" s="591" t="s">
        <v>494</v>
      </c>
      <c r="C129" s="591" t="s">
        <v>812</v>
      </c>
      <c r="D129" s="592">
        <v>2014</v>
      </c>
      <c r="E129" s="591" t="s">
        <v>775</v>
      </c>
      <c r="F129" s="592">
        <v>164</v>
      </c>
      <c r="G129" s="592">
        <v>0</v>
      </c>
      <c r="H129" s="592">
        <v>0</v>
      </c>
      <c r="I129" s="592">
        <v>0</v>
      </c>
      <c r="J129" s="592">
        <v>120</v>
      </c>
      <c r="K129" s="592">
        <v>14</v>
      </c>
      <c r="L129" s="592">
        <v>14</v>
      </c>
      <c r="M129" s="592">
        <v>0</v>
      </c>
      <c r="N129" s="593">
        <v>135</v>
      </c>
      <c r="O129" s="593">
        <v>50</v>
      </c>
      <c r="P129" s="593">
        <v>328</v>
      </c>
      <c r="Q129" s="593">
        <v>37</v>
      </c>
      <c r="R129" s="593">
        <v>747</v>
      </c>
      <c r="S129" s="593">
        <v>101</v>
      </c>
      <c r="T129" s="593">
        <v>2014</v>
      </c>
      <c r="U129" s="593">
        <v>2014</v>
      </c>
      <c r="V129" s="589"/>
      <c r="W129" s="589"/>
      <c r="X129" s="589"/>
      <c r="Y129" s="589"/>
      <c r="Z129" s="589"/>
      <c r="AA129" s="589"/>
      <c r="AB129" s="589"/>
      <c r="AC129" s="589"/>
      <c r="AD129" s="589"/>
      <c r="AE129" s="589"/>
      <c r="AF129" s="589"/>
      <c r="AG129" s="589"/>
      <c r="AH129" s="589"/>
      <c r="AI129" s="589"/>
      <c r="AJ129" s="589"/>
      <c r="AK129" s="589"/>
      <c r="AL129" s="589"/>
      <c r="AM129" s="589"/>
      <c r="AN129" s="589"/>
      <c r="AO129" s="589"/>
      <c r="AP129" s="589"/>
      <c r="AQ129" s="589"/>
      <c r="AR129" s="589"/>
      <c r="AS129" s="589"/>
    </row>
    <row r="130" spans="1:45" ht="15">
      <c r="A130" s="587" t="s">
        <v>153</v>
      </c>
      <c r="B130" s="587" t="s">
        <v>373</v>
      </c>
      <c r="C130" s="587" t="s">
        <v>812</v>
      </c>
      <c r="D130" s="588">
        <v>2014</v>
      </c>
      <c r="E130" s="587" t="s">
        <v>775</v>
      </c>
      <c r="F130" s="588">
        <v>98</v>
      </c>
      <c r="G130" s="588">
        <v>0</v>
      </c>
      <c r="H130" s="588">
        <v>0</v>
      </c>
      <c r="I130" s="588">
        <v>0</v>
      </c>
      <c r="J130" s="588">
        <v>60</v>
      </c>
      <c r="K130" s="588">
        <v>0</v>
      </c>
      <c r="L130" s="588">
        <v>0</v>
      </c>
      <c r="M130" s="588">
        <v>0</v>
      </c>
      <c r="N130" s="588">
        <v>66</v>
      </c>
      <c r="O130" s="588">
        <v>6</v>
      </c>
      <c r="P130" s="588">
        <v>173</v>
      </c>
      <c r="Q130" s="588">
        <v>21</v>
      </c>
      <c r="R130" s="588">
        <v>397</v>
      </c>
      <c r="S130" s="588">
        <v>27</v>
      </c>
      <c r="T130" s="588">
        <v>2014</v>
      </c>
      <c r="U130" s="588">
        <v>2014</v>
      </c>
      <c r="V130" s="589"/>
      <c r="W130" s="589"/>
      <c r="X130" s="589"/>
      <c r="Y130" s="589"/>
      <c r="Z130" s="589"/>
      <c r="AA130" s="589"/>
      <c r="AB130" s="589"/>
      <c r="AC130" s="589"/>
      <c r="AD130" s="589"/>
      <c r="AE130" s="589"/>
      <c r="AF130" s="589"/>
      <c r="AG130" s="589"/>
      <c r="AH130" s="589"/>
      <c r="AI130" s="589"/>
      <c r="AJ130" s="589"/>
      <c r="AK130" s="589"/>
      <c r="AL130" s="589"/>
      <c r="AM130" s="589"/>
      <c r="AN130" s="589"/>
      <c r="AO130" s="589"/>
      <c r="AP130" s="589"/>
      <c r="AQ130" s="589"/>
      <c r="AR130" s="589"/>
      <c r="AS130" s="589"/>
    </row>
    <row r="131" spans="1:45" ht="15">
      <c r="A131" s="590" t="s">
        <v>153</v>
      </c>
      <c r="B131" s="591" t="s">
        <v>374</v>
      </c>
      <c r="C131" s="591" t="s">
        <v>812</v>
      </c>
      <c r="D131" s="592">
        <v>2014</v>
      </c>
      <c r="E131" s="591" t="s">
        <v>775</v>
      </c>
      <c r="F131" s="592">
        <v>508</v>
      </c>
      <c r="G131" s="592">
        <v>71</v>
      </c>
      <c r="H131" s="592">
        <v>71</v>
      </c>
      <c r="I131" s="592">
        <v>0</v>
      </c>
      <c r="J131" s="592">
        <v>310</v>
      </c>
      <c r="K131" s="592">
        <v>48</v>
      </c>
      <c r="L131" s="592">
        <v>48</v>
      </c>
      <c r="M131" s="592">
        <v>0</v>
      </c>
      <c r="N131" s="593">
        <v>337</v>
      </c>
      <c r="O131" s="593">
        <v>0</v>
      </c>
      <c r="P131" s="593">
        <v>862</v>
      </c>
      <c r="Q131" s="593">
        <v>532</v>
      </c>
      <c r="R131" s="593">
        <v>2017</v>
      </c>
      <c r="S131" s="593">
        <v>651</v>
      </c>
      <c r="T131" s="593">
        <v>2014</v>
      </c>
      <c r="U131" s="593">
        <v>2014</v>
      </c>
      <c r="V131" s="589"/>
      <c r="W131" s="589"/>
      <c r="X131" s="589"/>
      <c r="Y131" s="589"/>
      <c r="Z131" s="589"/>
      <c r="AA131" s="589"/>
      <c r="AB131" s="589"/>
      <c r="AC131" s="589"/>
      <c r="AD131" s="589"/>
      <c r="AE131" s="589"/>
      <c r="AF131" s="589"/>
      <c r="AG131" s="589"/>
      <c r="AH131" s="589"/>
      <c r="AI131" s="589"/>
      <c r="AJ131" s="589"/>
      <c r="AK131" s="589"/>
      <c r="AL131" s="589"/>
      <c r="AM131" s="589"/>
      <c r="AN131" s="589"/>
      <c r="AO131" s="589"/>
      <c r="AP131" s="589"/>
      <c r="AQ131" s="589"/>
      <c r="AR131" s="589"/>
      <c r="AS131" s="589"/>
    </row>
    <row r="132" spans="1:45" ht="15">
      <c r="A132" s="587" t="s">
        <v>153</v>
      </c>
      <c r="B132" s="587" t="s">
        <v>375</v>
      </c>
      <c r="C132" s="587" t="s">
        <v>812</v>
      </c>
      <c r="D132" s="588">
        <v>2014</v>
      </c>
      <c r="E132" s="587" t="s">
        <v>775</v>
      </c>
      <c r="F132" s="588">
        <v>181</v>
      </c>
      <c r="G132" s="588">
        <v>0</v>
      </c>
      <c r="H132" s="588">
        <v>0</v>
      </c>
      <c r="I132" s="588">
        <v>0</v>
      </c>
      <c r="J132" s="588">
        <v>106</v>
      </c>
      <c r="K132" s="588">
        <v>0</v>
      </c>
      <c r="L132" s="588">
        <v>0</v>
      </c>
      <c r="M132" s="588">
        <v>0</v>
      </c>
      <c r="N132" s="588">
        <v>115</v>
      </c>
      <c r="O132" s="588">
        <v>0</v>
      </c>
      <c r="P132" s="588">
        <v>284</v>
      </c>
      <c r="Q132" s="588">
        <v>48</v>
      </c>
      <c r="R132" s="588">
        <v>686</v>
      </c>
      <c r="S132" s="588">
        <v>48</v>
      </c>
      <c r="T132" s="588">
        <v>2014</v>
      </c>
      <c r="U132" s="588">
        <v>2014</v>
      </c>
      <c r="V132" s="589"/>
      <c r="W132" s="589"/>
      <c r="X132" s="589"/>
      <c r="Y132" s="589"/>
      <c r="Z132" s="589"/>
      <c r="AA132" s="589"/>
      <c r="AB132" s="589"/>
      <c r="AC132" s="589"/>
      <c r="AD132" s="589"/>
      <c r="AE132" s="589"/>
      <c r="AF132" s="589"/>
      <c r="AG132" s="589"/>
      <c r="AH132" s="589"/>
      <c r="AI132" s="589"/>
      <c r="AJ132" s="589"/>
      <c r="AK132" s="589"/>
      <c r="AL132" s="589"/>
      <c r="AM132" s="589"/>
      <c r="AN132" s="589"/>
      <c r="AO132" s="589"/>
      <c r="AP132" s="589"/>
      <c r="AQ132" s="589"/>
      <c r="AR132" s="589"/>
      <c r="AS132" s="589"/>
    </row>
    <row r="133" spans="1:45" ht="15">
      <c r="A133" s="590" t="s">
        <v>144</v>
      </c>
      <c r="B133" s="591" t="s">
        <v>304</v>
      </c>
      <c r="C133" s="591" t="s">
        <v>784</v>
      </c>
      <c r="D133" s="592">
        <v>2014</v>
      </c>
      <c r="E133" s="591" t="s">
        <v>775</v>
      </c>
      <c r="F133" s="592">
        <v>25</v>
      </c>
      <c r="G133" s="592">
        <v>1</v>
      </c>
      <c r="H133" s="592">
        <v>1</v>
      </c>
      <c r="I133" s="592">
        <v>0</v>
      </c>
      <c r="J133" s="592">
        <v>19</v>
      </c>
      <c r="K133" s="592">
        <v>3</v>
      </c>
      <c r="L133" s="592">
        <v>2</v>
      </c>
      <c r="M133" s="592">
        <v>1</v>
      </c>
      <c r="N133" s="593">
        <v>25</v>
      </c>
      <c r="O133" s="593">
        <v>1</v>
      </c>
      <c r="P133" s="593">
        <v>48</v>
      </c>
      <c r="Q133" s="593">
        <v>4</v>
      </c>
      <c r="R133" s="593">
        <v>117</v>
      </c>
      <c r="S133" s="593">
        <v>9</v>
      </c>
      <c r="T133" s="593">
        <v>2014</v>
      </c>
      <c r="U133" s="593">
        <v>2014</v>
      </c>
      <c r="V133" s="589"/>
      <c r="W133" s="589"/>
      <c r="X133" s="589"/>
      <c r="Y133" s="589"/>
      <c r="Z133" s="589"/>
      <c r="AA133" s="589"/>
      <c r="AB133" s="589"/>
      <c r="AC133" s="589"/>
      <c r="AD133" s="589"/>
      <c r="AE133" s="589"/>
      <c r="AF133" s="589"/>
      <c r="AG133" s="589"/>
      <c r="AH133" s="589"/>
      <c r="AI133" s="589"/>
      <c r="AJ133" s="589"/>
      <c r="AK133" s="589"/>
      <c r="AL133" s="589"/>
      <c r="AM133" s="589"/>
      <c r="AN133" s="589"/>
      <c r="AO133" s="589"/>
      <c r="AP133" s="589"/>
      <c r="AQ133" s="589"/>
      <c r="AR133" s="589"/>
      <c r="AS133" s="589"/>
    </row>
    <row r="134" spans="1:45" ht="15">
      <c r="A134" s="587" t="s">
        <v>185</v>
      </c>
      <c r="B134" s="587" t="s">
        <v>645</v>
      </c>
      <c r="C134" s="587" t="s">
        <v>868</v>
      </c>
      <c r="D134" s="588">
        <v>2014</v>
      </c>
      <c r="E134" s="587" t="s">
        <v>775</v>
      </c>
      <c r="F134" s="588">
        <v>235</v>
      </c>
      <c r="G134" s="588">
        <v>0</v>
      </c>
      <c r="H134" s="588">
        <v>0</v>
      </c>
      <c r="I134" s="588">
        <v>0</v>
      </c>
      <c r="J134" s="588">
        <v>157</v>
      </c>
      <c r="K134" s="588">
        <v>0</v>
      </c>
      <c r="L134" s="588">
        <v>0</v>
      </c>
      <c r="M134" s="588">
        <v>0</v>
      </c>
      <c r="N134" s="588">
        <v>174</v>
      </c>
      <c r="O134" s="588">
        <v>0</v>
      </c>
      <c r="P134" s="588">
        <v>413</v>
      </c>
      <c r="Q134" s="588">
        <v>0</v>
      </c>
      <c r="R134" s="588">
        <v>979</v>
      </c>
      <c r="S134" s="588">
        <v>0</v>
      </c>
      <c r="T134" s="588">
        <v>2015</v>
      </c>
      <c r="U134" s="588">
        <v>2015</v>
      </c>
      <c r="V134" s="589"/>
      <c r="W134" s="589"/>
      <c r="X134" s="589"/>
      <c r="Y134" s="589"/>
      <c r="Z134" s="589"/>
      <c r="AA134" s="589"/>
      <c r="AB134" s="589"/>
      <c r="AC134" s="589"/>
      <c r="AD134" s="589"/>
      <c r="AE134" s="589"/>
      <c r="AF134" s="589"/>
      <c r="AG134" s="589"/>
      <c r="AH134" s="589"/>
      <c r="AI134" s="589"/>
      <c r="AJ134" s="589"/>
      <c r="AK134" s="589"/>
      <c r="AL134" s="589"/>
      <c r="AM134" s="589"/>
      <c r="AN134" s="589"/>
      <c r="AO134" s="589"/>
      <c r="AP134" s="589"/>
      <c r="AQ134" s="589"/>
      <c r="AR134" s="589"/>
      <c r="AS134" s="589"/>
    </row>
    <row r="135" spans="1:45" ht="15">
      <c r="A135" s="590" t="s">
        <v>168</v>
      </c>
      <c r="B135" s="591" t="s">
        <v>481</v>
      </c>
      <c r="C135" s="591" t="s">
        <v>784</v>
      </c>
      <c r="D135" s="592">
        <v>2014</v>
      </c>
      <c r="E135" s="591" t="s">
        <v>775</v>
      </c>
      <c r="F135" s="592">
        <v>122</v>
      </c>
      <c r="G135" s="592">
        <v>10</v>
      </c>
      <c r="H135" s="592">
        <v>10</v>
      </c>
      <c r="I135" s="592">
        <v>0</v>
      </c>
      <c r="J135" s="592">
        <v>88</v>
      </c>
      <c r="K135" s="592">
        <v>74</v>
      </c>
      <c r="L135" s="592">
        <v>72</v>
      </c>
      <c r="M135" s="592">
        <v>2</v>
      </c>
      <c r="N135" s="593">
        <v>100</v>
      </c>
      <c r="O135" s="593">
        <v>0</v>
      </c>
      <c r="P135" s="593">
        <v>220</v>
      </c>
      <c r="Q135" s="593">
        <v>0</v>
      </c>
      <c r="R135" s="593">
        <v>530</v>
      </c>
      <c r="S135" s="593">
        <v>84</v>
      </c>
      <c r="T135" s="593">
        <v>2014</v>
      </c>
      <c r="U135" s="593">
        <v>2014</v>
      </c>
      <c r="V135" s="589"/>
      <c r="W135" s="589"/>
      <c r="X135" s="589"/>
      <c r="Y135" s="589"/>
      <c r="Z135" s="589"/>
      <c r="AA135" s="589"/>
      <c r="AB135" s="589"/>
      <c r="AC135" s="589"/>
      <c r="AD135" s="589"/>
      <c r="AE135" s="589"/>
      <c r="AF135" s="589"/>
      <c r="AG135" s="589"/>
      <c r="AH135" s="589"/>
      <c r="AI135" s="589"/>
      <c r="AJ135" s="589"/>
      <c r="AK135" s="589"/>
      <c r="AL135" s="589"/>
      <c r="AM135" s="589"/>
      <c r="AN135" s="589"/>
      <c r="AO135" s="589"/>
      <c r="AP135" s="589"/>
      <c r="AQ135" s="589"/>
      <c r="AR135" s="589"/>
      <c r="AS135" s="589"/>
    </row>
    <row r="136" spans="1:45" ht="15">
      <c r="A136" s="587" t="s">
        <v>131</v>
      </c>
      <c r="B136" s="587" t="s">
        <v>258</v>
      </c>
      <c r="C136" s="587" t="s">
        <v>786</v>
      </c>
      <c r="D136" s="588">
        <v>2014</v>
      </c>
      <c r="E136" s="587" t="s">
        <v>775</v>
      </c>
      <c r="F136" s="588">
        <v>231</v>
      </c>
      <c r="G136" s="588">
        <v>0</v>
      </c>
      <c r="H136" s="588">
        <v>0</v>
      </c>
      <c r="I136" s="588">
        <v>0</v>
      </c>
      <c r="J136" s="588">
        <v>118</v>
      </c>
      <c r="K136" s="588">
        <v>0</v>
      </c>
      <c r="L136" s="588">
        <v>0</v>
      </c>
      <c r="M136" s="588">
        <v>0</v>
      </c>
      <c r="N136" s="588">
        <v>99</v>
      </c>
      <c r="O136" s="588">
        <v>0</v>
      </c>
      <c r="P136" s="588">
        <v>321</v>
      </c>
      <c r="Q136" s="588">
        <v>8</v>
      </c>
      <c r="R136" s="588">
        <v>769</v>
      </c>
      <c r="S136" s="588">
        <v>8</v>
      </c>
      <c r="T136" s="588">
        <v>2014</v>
      </c>
      <c r="U136" s="588">
        <v>2014</v>
      </c>
      <c r="V136" s="589"/>
      <c r="W136" s="589"/>
      <c r="X136" s="589"/>
      <c r="Y136" s="589"/>
      <c r="Z136" s="589"/>
      <c r="AA136" s="589"/>
      <c r="AB136" s="589"/>
      <c r="AC136" s="589"/>
      <c r="AD136" s="589"/>
      <c r="AE136" s="589"/>
      <c r="AF136" s="589"/>
      <c r="AG136" s="589"/>
      <c r="AH136" s="589"/>
      <c r="AI136" s="589"/>
      <c r="AJ136" s="589"/>
      <c r="AK136" s="589"/>
      <c r="AL136" s="589"/>
      <c r="AM136" s="589"/>
      <c r="AN136" s="589"/>
      <c r="AO136" s="589"/>
      <c r="AP136" s="589"/>
      <c r="AQ136" s="589"/>
      <c r="AR136" s="589"/>
      <c r="AS136" s="589"/>
    </row>
    <row r="137" spans="1:45" ht="15">
      <c r="A137" s="590" t="s">
        <v>183</v>
      </c>
      <c r="B137" s="591" t="s">
        <v>618</v>
      </c>
      <c r="C137" s="591" t="s">
        <v>784</v>
      </c>
      <c r="D137" s="592">
        <v>2014</v>
      </c>
      <c r="E137" s="591" t="s">
        <v>775</v>
      </c>
      <c r="F137" s="592">
        <v>41</v>
      </c>
      <c r="G137" s="592">
        <v>0</v>
      </c>
      <c r="H137" s="592">
        <v>0</v>
      </c>
      <c r="I137" s="592">
        <v>0</v>
      </c>
      <c r="J137" s="592">
        <v>26</v>
      </c>
      <c r="K137" s="592">
        <v>1</v>
      </c>
      <c r="L137" s="592">
        <v>1</v>
      </c>
      <c r="M137" s="592">
        <v>0</v>
      </c>
      <c r="N137" s="593">
        <v>29</v>
      </c>
      <c r="O137" s="593">
        <v>0</v>
      </c>
      <c r="P137" s="593">
        <v>69</v>
      </c>
      <c r="Q137" s="593">
        <v>12</v>
      </c>
      <c r="R137" s="593">
        <v>165</v>
      </c>
      <c r="S137" s="593">
        <v>13</v>
      </c>
      <c r="T137" s="593">
        <v>2014</v>
      </c>
      <c r="U137" s="593">
        <v>2014</v>
      </c>
      <c r="V137" s="589"/>
      <c r="W137" s="589"/>
      <c r="X137" s="589"/>
      <c r="Y137" s="589"/>
      <c r="Z137" s="589"/>
      <c r="AA137" s="589"/>
      <c r="AB137" s="589"/>
      <c r="AC137" s="589"/>
      <c r="AD137" s="589"/>
      <c r="AE137" s="589"/>
      <c r="AF137" s="589"/>
      <c r="AG137" s="589"/>
      <c r="AH137" s="589"/>
      <c r="AI137" s="589"/>
      <c r="AJ137" s="589"/>
      <c r="AK137" s="589"/>
      <c r="AL137" s="589"/>
      <c r="AM137" s="589"/>
      <c r="AN137" s="589"/>
      <c r="AO137" s="589"/>
      <c r="AP137" s="589"/>
      <c r="AQ137" s="589"/>
      <c r="AR137" s="589"/>
      <c r="AS137" s="589"/>
    </row>
    <row r="138" spans="1:45" ht="15">
      <c r="A138" s="587" t="s">
        <v>184</v>
      </c>
      <c r="B138" s="587" t="s">
        <v>631</v>
      </c>
      <c r="C138" s="587" t="s">
        <v>774</v>
      </c>
      <c r="D138" s="588">
        <v>2014</v>
      </c>
      <c r="E138" s="587" t="s">
        <v>775</v>
      </c>
      <c r="F138" s="588">
        <v>52</v>
      </c>
      <c r="G138" s="588">
        <v>52</v>
      </c>
      <c r="H138" s="588">
        <v>52</v>
      </c>
      <c r="I138" s="588">
        <v>0</v>
      </c>
      <c r="J138" s="588">
        <v>31</v>
      </c>
      <c r="K138" s="588">
        <v>3</v>
      </c>
      <c r="L138" s="588">
        <v>3</v>
      </c>
      <c r="M138" s="588">
        <v>0</v>
      </c>
      <c r="N138" s="588">
        <v>36</v>
      </c>
      <c r="O138" s="588">
        <v>0</v>
      </c>
      <c r="P138" s="588">
        <v>121</v>
      </c>
      <c r="Q138" s="588">
        <v>0</v>
      </c>
      <c r="R138" s="588">
        <v>240</v>
      </c>
      <c r="S138" s="588">
        <v>55</v>
      </c>
      <c r="T138" s="588">
        <v>2015</v>
      </c>
      <c r="U138" s="588">
        <v>2015</v>
      </c>
      <c r="V138" s="589"/>
      <c r="W138" s="589"/>
      <c r="X138" s="589"/>
      <c r="Y138" s="589"/>
      <c r="Z138" s="589"/>
      <c r="AA138" s="589"/>
      <c r="AB138" s="589"/>
      <c r="AC138" s="589"/>
      <c r="AD138" s="589"/>
      <c r="AE138" s="589"/>
      <c r="AF138" s="589"/>
      <c r="AG138" s="589"/>
      <c r="AH138" s="589"/>
      <c r="AI138" s="589"/>
      <c r="AJ138" s="589"/>
      <c r="AK138" s="589"/>
      <c r="AL138" s="589"/>
      <c r="AM138" s="589"/>
      <c r="AN138" s="589"/>
      <c r="AO138" s="589"/>
      <c r="AP138" s="589"/>
      <c r="AQ138" s="589"/>
      <c r="AR138" s="589"/>
      <c r="AS138" s="589"/>
    </row>
    <row r="139" spans="1:45" ht="15">
      <c r="A139" s="590" t="s">
        <v>153</v>
      </c>
      <c r="B139" s="591" t="s">
        <v>377</v>
      </c>
      <c r="C139" s="591" t="s">
        <v>812</v>
      </c>
      <c r="D139" s="592">
        <v>2014</v>
      </c>
      <c r="E139" s="591" t="s">
        <v>775</v>
      </c>
      <c r="F139" s="592">
        <v>170</v>
      </c>
      <c r="G139" s="592">
        <v>0</v>
      </c>
      <c r="H139" s="592">
        <v>0</v>
      </c>
      <c r="I139" s="592">
        <v>0</v>
      </c>
      <c r="J139" s="592">
        <v>101</v>
      </c>
      <c r="K139" s="592">
        <v>0</v>
      </c>
      <c r="L139" s="592">
        <v>0</v>
      </c>
      <c r="M139" s="592">
        <v>0</v>
      </c>
      <c r="N139" s="593">
        <v>112</v>
      </c>
      <c r="O139" s="593">
        <v>34</v>
      </c>
      <c r="P139" s="593">
        <v>300</v>
      </c>
      <c r="Q139" s="593">
        <v>320</v>
      </c>
      <c r="R139" s="593">
        <v>683</v>
      </c>
      <c r="S139" s="593">
        <v>354</v>
      </c>
      <c r="T139" s="593">
        <v>2014</v>
      </c>
      <c r="U139" s="593">
        <v>2014</v>
      </c>
      <c r="V139" s="589"/>
      <c r="W139" s="589"/>
      <c r="X139" s="589"/>
      <c r="Y139" s="589"/>
      <c r="Z139" s="589"/>
      <c r="AA139" s="589"/>
      <c r="AB139" s="589"/>
      <c r="AC139" s="589"/>
      <c r="AD139" s="589"/>
      <c r="AE139" s="589"/>
      <c r="AF139" s="589"/>
      <c r="AG139" s="589"/>
      <c r="AH139" s="589"/>
      <c r="AI139" s="589"/>
      <c r="AJ139" s="589"/>
      <c r="AK139" s="589"/>
      <c r="AL139" s="589"/>
      <c r="AM139" s="589"/>
      <c r="AN139" s="589"/>
      <c r="AO139" s="589"/>
      <c r="AP139" s="589"/>
      <c r="AQ139" s="589"/>
      <c r="AR139" s="589"/>
      <c r="AS139" s="589"/>
    </row>
    <row r="140" spans="1:45" ht="15">
      <c r="A140" s="587" t="s">
        <v>193</v>
      </c>
      <c r="B140" s="587" t="s">
        <v>696</v>
      </c>
      <c r="C140" s="587" t="s">
        <v>774</v>
      </c>
      <c r="D140" s="588">
        <v>2014</v>
      </c>
      <c r="E140" s="587" t="s">
        <v>775</v>
      </c>
      <c r="F140" s="588">
        <v>31</v>
      </c>
      <c r="G140" s="588">
        <v>0</v>
      </c>
      <c r="H140" s="588">
        <v>0</v>
      </c>
      <c r="I140" s="588">
        <v>0</v>
      </c>
      <c r="J140" s="588">
        <v>24</v>
      </c>
      <c r="K140" s="588">
        <v>0</v>
      </c>
      <c r="L140" s="588">
        <v>0</v>
      </c>
      <c r="M140" s="588">
        <v>0</v>
      </c>
      <c r="N140" s="588">
        <v>26</v>
      </c>
      <c r="O140" s="588">
        <v>0</v>
      </c>
      <c r="P140" s="588">
        <v>76</v>
      </c>
      <c r="Q140" s="588">
        <v>27</v>
      </c>
      <c r="R140" s="588">
        <v>157</v>
      </c>
      <c r="S140" s="588">
        <v>27</v>
      </c>
      <c r="T140" s="588">
        <v>2015</v>
      </c>
      <c r="U140" s="588">
        <v>2015</v>
      </c>
      <c r="V140" s="589"/>
      <c r="W140" s="589"/>
      <c r="X140" s="589"/>
      <c r="Y140" s="589"/>
      <c r="Z140" s="589"/>
      <c r="AA140" s="589"/>
      <c r="AB140" s="589"/>
      <c r="AC140" s="589"/>
      <c r="AD140" s="589"/>
      <c r="AE140" s="589"/>
      <c r="AF140" s="589"/>
      <c r="AG140" s="589"/>
      <c r="AH140" s="589"/>
      <c r="AI140" s="589"/>
      <c r="AJ140" s="589"/>
      <c r="AK140" s="589"/>
      <c r="AL140" s="589"/>
      <c r="AM140" s="589"/>
      <c r="AN140" s="589"/>
      <c r="AO140" s="589"/>
      <c r="AP140" s="589"/>
      <c r="AQ140" s="589"/>
      <c r="AR140" s="589"/>
      <c r="AS140" s="589"/>
    </row>
    <row r="141" spans="1:45" ht="15">
      <c r="A141" s="590" t="s">
        <v>173</v>
      </c>
      <c r="B141" s="591" t="s">
        <v>538</v>
      </c>
      <c r="C141" s="591" t="s">
        <v>812</v>
      </c>
      <c r="D141" s="592">
        <v>2014</v>
      </c>
      <c r="E141" s="591" t="s">
        <v>775</v>
      </c>
      <c r="F141" s="592">
        <v>134</v>
      </c>
      <c r="G141" s="592">
        <v>0</v>
      </c>
      <c r="H141" s="592">
        <v>0</v>
      </c>
      <c r="I141" s="592">
        <v>0</v>
      </c>
      <c r="J141" s="592">
        <v>96</v>
      </c>
      <c r="K141" s="592">
        <v>3</v>
      </c>
      <c r="L141" s="592">
        <v>0</v>
      </c>
      <c r="M141" s="592">
        <v>3</v>
      </c>
      <c r="N141" s="593">
        <v>112</v>
      </c>
      <c r="O141" s="593">
        <v>114</v>
      </c>
      <c r="P141" s="593">
        <v>262</v>
      </c>
      <c r="Q141" s="593">
        <v>32</v>
      </c>
      <c r="R141" s="593">
        <v>604</v>
      </c>
      <c r="S141" s="593">
        <v>149</v>
      </c>
      <c r="T141" s="593">
        <v>2014</v>
      </c>
      <c r="U141" s="593">
        <v>2014</v>
      </c>
      <c r="V141" s="589"/>
      <c r="W141" s="589"/>
      <c r="X141" s="589"/>
      <c r="Y141" s="589"/>
      <c r="Z141" s="589"/>
      <c r="AA141" s="589"/>
      <c r="AB141" s="589"/>
      <c r="AC141" s="589"/>
      <c r="AD141" s="589"/>
      <c r="AE141" s="589"/>
      <c r="AF141" s="589"/>
      <c r="AG141" s="589"/>
      <c r="AH141" s="589"/>
      <c r="AI141" s="589"/>
      <c r="AJ141" s="589"/>
      <c r="AK141" s="589"/>
      <c r="AL141" s="589"/>
      <c r="AM141" s="589"/>
      <c r="AN141" s="589"/>
      <c r="AO141" s="589"/>
      <c r="AP141" s="589"/>
      <c r="AQ141" s="589"/>
      <c r="AR141" s="589"/>
      <c r="AS141" s="589"/>
    </row>
    <row r="142" spans="1:45" ht="15">
      <c r="A142" s="587" t="s">
        <v>178</v>
      </c>
      <c r="B142" s="587" t="s">
        <v>575</v>
      </c>
      <c r="C142" s="587" t="s">
        <v>812</v>
      </c>
      <c r="D142" s="588">
        <v>2014</v>
      </c>
      <c r="E142" s="587" t="s">
        <v>775</v>
      </c>
      <c r="F142" s="588">
        <v>398</v>
      </c>
      <c r="G142" s="588">
        <v>0</v>
      </c>
      <c r="H142" s="588">
        <v>0</v>
      </c>
      <c r="I142" s="588">
        <v>0</v>
      </c>
      <c r="J142" s="588">
        <v>274</v>
      </c>
      <c r="K142" s="588">
        <v>0</v>
      </c>
      <c r="L142" s="588">
        <v>0</v>
      </c>
      <c r="M142" s="588">
        <v>0</v>
      </c>
      <c r="N142" s="588">
        <v>314</v>
      </c>
      <c r="O142" s="588">
        <v>82</v>
      </c>
      <c r="P142" s="588">
        <v>729</v>
      </c>
      <c r="Q142" s="588">
        <v>0</v>
      </c>
      <c r="R142" s="588">
        <v>1715</v>
      </c>
      <c r="S142" s="588">
        <v>82</v>
      </c>
      <c r="T142" s="588">
        <v>2014</v>
      </c>
      <c r="U142" s="588">
        <v>2014</v>
      </c>
      <c r="V142" s="589"/>
      <c r="W142" s="589"/>
      <c r="X142" s="589"/>
      <c r="Y142" s="589"/>
      <c r="Z142" s="589"/>
      <c r="AA142" s="589"/>
      <c r="AB142" s="589"/>
      <c r="AC142" s="589"/>
      <c r="AD142" s="589"/>
      <c r="AE142" s="589"/>
      <c r="AF142" s="589"/>
      <c r="AG142" s="589"/>
      <c r="AH142" s="589"/>
      <c r="AI142" s="589"/>
      <c r="AJ142" s="589"/>
      <c r="AK142" s="589"/>
      <c r="AL142" s="589"/>
      <c r="AM142" s="589"/>
      <c r="AN142" s="589"/>
      <c r="AO142" s="589"/>
      <c r="AP142" s="589"/>
      <c r="AQ142" s="589"/>
      <c r="AR142" s="589"/>
      <c r="AS142" s="589"/>
    </row>
    <row r="143" spans="1:45" ht="15">
      <c r="A143" s="590" t="s">
        <v>178</v>
      </c>
      <c r="B143" s="591" t="s">
        <v>576</v>
      </c>
      <c r="C143" s="591" t="s">
        <v>812</v>
      </c>
      <c r="D143" s="592">
        <v>2014</v>
      </c>
      <c r="E143" s="591" t="s">
        <v>775</v>
      </c>
      <c r="F143" s="592">
        <v>349</v>
      </c>
      <c r="G143" s="592">
        <v>0</v>
      </c>
      <c r="H143" s="592">
        <v>0</v>
      </c>
      <c r="I143" s="592">
        <v>0</v>
      </c>
      <c r="J143" s="592">
        <v>246</v>
      </c>
      <c r="K143" s="592">
        <v>0</v>
      </c>
      <c r="L143" s="592">
        <v>0</v>
      </c>
      <c r="M143" s="592">
        <v>0</v>
      </c>
      <c r="N143" s="593">
        <v>280</v>
      </c>
      <c r="O143" s="593">
        <v>1</v>
      </c>
      <c r="P143" s="593">
        <v>625</v>
      </c>
      <c r="Q143" s="593">
        <v>3</v>
      </c>
      <c r="R143" s="593">
        <v>1500</v>
      </c>
      <c r="S143" s="593">
        <v>4</v>
      </c>
      <c r="T143" s="593">
        <v>2014</v>
      </c>
      <c r="U143" s="593">
        <v>2014</v>
      </c>
      <c r="V143" s="589"/>
      <c r="W143" s="589"/>
      <c r="X143" s="589"/>
      <c r="Y143" s="589"/>
      <c r="Z143" s="589"/>
      <c r="AA143" s="589"/>
      <c r="AB143" s="589"/>
      <c r="AC143" s="589"/>
      <c r="AD143" s="589"/>
      <c r="AE143" s="589"/>
      <c r="AF143" s="589"/>
      <c r="AG143" s="589"/>
      <c r="AH143" s="589"/>
      <c r="AI143" s="589"/>
      <c r="AJ143" s="589"/>
      <c r="AK143" s="589"/>
      <c r="AL143" s="589"/>
      <c r="AM143" s="589"/>
      <c r="AN143" s="589"/>
      <c r="AO143" s="589"/>
      <c r="AP143" s="589"/>
      <c r="AQ143" s="589"/>
      <c r="AR143" s="589"/>
      <c r="AS143" s="589"/>
    </row>
    <row r="144" spans="1:45" ht="15">
      <c r="A144" s="587" t="s">
        <v>145</v>
      </c>
      <c r="B144" s="587" t="s">
        <v>312</v>
      </c>
      <c r="C144" s="587" t="s">
        <v>784</v>
      </c>
      <c r="D144" s="588">
        <v>2014</v>
      </c>
      <c r="E144" s="587" t="s">
        <v>775</v>
      </c>
      <c r="F144" s="588">
        <v>212</v>
      </c>
      <c r="G144" s="588">
        <v>16</v>
      </c>
      <c r="H144" s="588">
        <v>0</v>
      </c>
      <c r="I144" s="588">
        <v>16</v>
      </c>
      <c r="J144" s="588">
        <v>135</v>
      </c>
      <c r="K144" s="588">
        <v>13</v>
      </c>
      <c r="L144" s="588">
        <v>0</v>
      </c>
      <c r="M144" s="588">
        <v>13</v>
      </c>
      <c r="N144" s="588">
        <v>146</v>
      </c>
      <c r="O144" s="588">
        <v>26</v>
      </c>
      <c r="P144" s="588">
        <v>366</v>
      </c>
      <c r="Q144" s="588">
        <v>83</v>
      </c>
      <c r="R144" s="588">
        <v>859</v>
      </c>
      <c r="S144" s="588">
        <v>138</v>
      </c>
      <c r="T144" s="588">
        <v>2014</v>
      </c>
      <c r="U144" s="588">
        <v>2014</v>
      </c>
      <c r="V144" s="589"/>
      <c r="W144" s="589"/>
      <c r="X144" s="589"/>
      <c r="Y144" s="589"/>
      <c r="Z144" s="589"/>
      <c r="AA144" s="589"/>
      <c r="AB144" s="589"/>
      <c r="AC144" s="589"/>
      <c r="AD144" s="589"/>
      <c r="AE144" s="589"/>
      <c r="AF144" s="589"/>
      <c r="AG144" s="589"/>
      <c r="AH144" s="589"/>
      <c r="AI144" s="589"/>
      <c r="AJ144" s="589"/>
      <c r="AK144" s="589"/>
      <c r="AL144" s="589"/>
      <c r="AM144" s="589"/>
      <c r="AN144" s="589"/>
      <c r="AO144" s="589"/>
      <c r="AP144" s="589"/>
      <c r="AQ144" s="589"/>
      <c r="AR144" s="589"/>
      <c r="AS144" s="589"/>
    </row>
    <row r="145" spans="1:45" ht="15">
      <c r="A145" s="590" t="s">
        <v>146</v>
      </c>
      <c r="B145" s="591" t="s">
        <v>146</v>
      </c>
      <c r="C145" s="591" t="s">
        <v>812</v>
      </c>
      <c r="D145" s="592">
        <v>2014</v>
      </c>
      <c r="E145" s="591" t="s">
        <v>775</v>
      </c>
      <c r="F145" s="592">
        <v>349</v>
      </c>
      <c r="G145" s="592">
        <v>56</v>
      </c>
      <c r="H145" s="592">
        <v>56</v>
      </c>
      <c r="I145" s="592">
        <v>0</v>
      </c>
      <c r="J145" s="592">
        <v>205</v>
      </c>
      <c r="K145" s="592">
        <v>0</v>
      </c>
      <c r="L145" s="592">
        <v>0</v>
      </c>
      <c r="M145" s="592">
        <v>0</v>
      </c>
      <c r="N145" s="593">
        <v>202</v>
      </c>
      <c r="O145" s="593">
        <v>43</v>
      </c>
      <c r="P145" s="593">
        <v>553</v>
      </c>
      <c r="Q145" s="593">
        <v>16</v>
      </c>
      <c r="R145" s="593">
        <v>1309</v>
      </c>
      <c r="S145" s="593">
        <v>115</v>
      </c>
      <c r="T145" s="593">
        <v>2014</v>
      </c>
      <c r="U145" s="593">
        <v>2014</v>
      </c>
      <c r="V145" s="589"/>
      <c r="W145" s="589"/>
      <c r="X145" s="589"/>
      <c r="Y145" s="589"/>
      <c r="Z145" s="589"/>
      <c r="AA145" s="589"/>
      <c r="AB145" s="589"/>
      <c r="AC145" s="589"/>
      <c r="AD145" s="589"/>
      <c r="AE145" s="589"/>
      <c r="AF145" s="589"/>
      <c r="AG145" s="589"/>
      <c r="AH145" s="589"/>
      <c r="AI145" s="589"/>
      <c r="AJ145" s="589"/>
      <c r="AK145" s="589"/>
      <c r="AL145" s="589"/>
      <c r="AM145" s="589"/>
      <c r="AN145" s="589"/>
      <c r="AO145" s="589"/>
      <c r="AP145" s="589"/>
      <c r="AQ145" s="589"/>
      <c r="AR145" s="589"/>
      <c r="AS145" s="589"/>
    </row>
    <row r="146" spans="1:45" ht="15">
      <c r="A146" s="587" t="s">
        <v>179</v>
      </c>
      <c r="B146" s="587" t="s">
        <v>597</v>
      </c>
      <c r="C146" s="587" t="s">
        <v>855</v>
      </c>
      <c r="D146" s="588">
        <v>2014</v>
      </c>
      <c r="E146" s="587" t="s">
        <v>775</v>
      </c>
      <c r="F146" s="588">
        <v>63</v>
      </c>
      <c r="G146" s="588">
        <v>0</v>
      </c>
      <c r="H146" s="588">
        <v>0</v>
      </c>
      <c r="I146" s="588">
        <v>0</v>
      </c>
      <c r="J146" s="588">
        <v>48</v>
      </c>
      <c r="K146" s="588">
        <v>6</v>
      </c>
      <c r="L146" s="588">
        <v>6</v>
      </c>
      <c r="M146" s="588">
        <v>0</v>
      </c>
      <c r="N146" s="588">
        <v>45</v>
      </c>
      <c r="O146" s="588">
        <v>0</v>
      </c>
      <c r="P146" s="588">
        <v>98</v>
      </c>
      <c r="Q146" s="588">
        <v>40</v>
      </c>
      <c r="R146" s="588">
        <v>254</v>
      </c>
      <c r="S146" s="588">
        <v>46</v>
      </c>
      <c r="T146" s="588">
        <v>2014</v>
      </c>
      <c r="U146" s="588">
        <v>2013</v>
      </c>
      <c r="V146" s="589"/>
      <c r="W146" s="589"/>
      <c r="X146" s="589"/>
      <c r="Y146" s="589"/>
      <c r="Z146" s="589"/>
      <c r="AA146" s="589"/>
      <c r="AB146" s="589"/>
      <c r="AC146" s="589"/>
      <c r="AD146" s="589"/>
      <c r="AE146" s="589"/>
      <c r="AF146" s="589"/>
      <c r="AG146" s="589"/>
      <c r="AH146" s="589"/>
      <c r="AI146" s="589"/>
      <c r="AJ146" s="589"/>
      <c r="AK146" s="589"/>
      <c r="AL146" s="589"/>
      <c r="AM146" s="589"/>
      <c r="AN146" s="589"/>
      <c r="AO146" s="589"/>
      <c r="AP146" s="589"/>
      <c r="AQ146" s="589"/>
      <c r="AR146" s="589"/>
      <c r="AS146" s="589"/>
    </row>
    <row r="147" spans="1:45" ht="15">
      <c r="A147" s="590" t="s">
        <v>173</v>
      </c>
      <c r="B147" s="591" t="s">
        <v>539</v>
      </c>
      <c r="C147" s="591" t="s">
        <v>812</v>
      </c>
      <c r="D147" s="592">
        <v>2014</v>
      </c>
      <c r="E147" s="591" t="s">
        <v>775</v>
      </c>
      <c r="F147" s="592">
        <v>40</v>
      </c>
      <c r="G147" s="592">
        <v>0</v>
      </c>
      <c r="H147" s="592">
        <v>0</v>
      </c>
      <c r="I147" s="592">
        <v>0</v>
      </c>
      <c r="J147" s="592">
        <v>27</v>
      </c>
      <c r="K147" s="592">
        <v>0</v>
      </c>
      <c r="L147" s="592">
        <v>0</v>
      </c>
      <c r="M147" s="592">
        <v>0</v>
      </c>
      <c r="N147" s="593">
        <v>31</v>
      </c>
      <c r="O147" s="593">
        <v>0</v>
      </c>
      <c r="P147" s="593">
        <v>62</v>
      </c>
      <c r="Q147" s="593">
        <v>40</v>
      </c>
      <c r="R147" s="593">
        <v>160</v>
      </c>
      <c r="S147" s="593">
        <v>40</v>
      </c>
      <c r="T147" s="593">
        <v>2014</v>
      </c>
      <c r="U147" s="593">
        <v>2014</v>
      </c>
      <c r="V147" s="589"/>
      <c r="W147" s="589"/>
      <c r="X147" s="589"/>
      <c r="Y147" s="589"/>
      <c r="Z147" s="589"/>
      <c r="AA147" s="589"/>
      <c r="AB147" s="589"/>
      <c r="AC147" s="589"/>
      <c r="AD147" s="589"/>
      <c r="AE147" s="589"/>
      <c r="AF147" s="589"/>
      <c r="AG147" s="589"/>
      <c r="AH147" s="589"/>
      <c r="AI147" s="589"/>
      <c r="AJ147" s="589"/>
      <c r="AK147" s="589"/>
      <c r="AL147" s="589"/>
      <c r="AM147" s="589"/>
      <c r="AN147" s="589"/>
      <c r="AO147" s="589"/>
      <c r="AP147" s="589"/>
      <c r="AQ147" s="589"/>
      <c r="AR147" s="589"/>
      <c r="AS147" s="589"/>
    </row>
    <row r="148" spans="1:45" ht="15">
      <c r="A148" s="587" t="s">
        <v>173</v>
      </c>
      <c r="B148" s="587" t="s">
        <v>540</v>
      </c>
      <c r="C148" s="587" t="s">
        <v>812</v>
      </c>
      <c r="D148" s="588">
        <v>2014</v>
      </c>
      <c r="E148" s="587" t="s">
        <v>775</v>
      </c>
      <c r="F148" s="588">
        <v>714</v>
      </c>
      <c r="G148" s="588">
        <v>84</v>
      </c>
      <c r="H148" s="588">
        <v>84</v>
      </c>
      <c r="I148" s="588">
        <v>0</v>
      </c>
      <c r="J148" s="588">
        <v>487</v>
      </c>
      <c r="K148" s="588">
        <v>0</v>
      </c>
      <c r="L148" s="588">
        <v>0</v>
      </c>
      <c r="M148" s="588">
        <v>0</v>
      </c>
      <c r="N148" s="588">
        <v>553</v>
      </c>
      <c r="O148" s="588">
        <v>1</v>
      </c>
      <c r="P148" s="588">
        <v>1271</v>
      </c>
      <c r="Q148" s="588">
        <v>367</v>
      </c>
      <c r="R148" s="588">
        <v>3025</v>
      </c>
      <c r="S148" s="588">
        <v>452</v>
      </c>
      <c r="T148" s="588">
        <v>2014</v>
      </c>
      <c r="U148" s="588">
        <v>2014</v>
      </c>
      <c r="V148" s="589"/>
      <c r="W148" s="589"/>
      <c r="X148" s="589"/>
      <c r="Y148" s="589"/>
      <c r="Z148" s="589"/>
      <c r="AA148" s="589"/>
      <c r="AB148" s="589"/>
      <c r="AC148" s="589"/>
      <c r="AD148" s="589"/>
      <c r="AE148" s="589"/>
      <c r="AF148" s="589"/>
      <c r="AG148" s="589"/>
      <c r="AH148" s="589"/>
      <c r="AI148" s="589"/>
      <c r="AJ148" s="589"/>
      <c r="AK148" s="589"/>
      <c r="AL148" s="589"/>
      <c r="AM148" s="589"/>
      <c r="AN148" s="589"/>
      <c r="AO148" s="589"/>
      <c r="AP148" s="589"/>
      <c r="AQ148" s="589"/>
      <c r="AR148" s="589"/>
      <c r="AS148" s="589"/>
    </row>
    <row r="149" spans="1:45" ht="15">
      <c r="A149" s="590" t="s">
        <v>153</v>
      </c>
      <c r="B149" s="591" t="s">
        <v>382</v>
      </c>
      <c r="C149" s="591" t="s">
        <v>812</v>
      </c>
      <c r="D149" s="592">
        <v>2014</v>
      </c>
      <c r="E149" s="591" t="s">
        <v>775</v>
      </c>
      <c r="F149" s="592">
        <v>250</v>
      </c>
      <c r="G149" s="592">
        <v>0</v>
      </c>
      <c r="H149" s="592">
        <v>0</v>
      </c>
      <c r="I149" s="592">
        <v>0</v>
      </c>
      <c r="J149" s="592">
        <v>150</v>
      </c>
      <c r="K149" s="592">
        <v>0</v>
      </c>
      <c r="L149" s="592">
        <v>0</v>
      </c>
      <c r="M149" s="592">
        <v>0</v>
      </c>
      <c r="N149" s="593">
        <v>167</v>
      </c>
      <c r="O149" s="593">
        <v>0</v>
      </c>
      <c r="P149" s="593">
        <v>446</v>
      </c>
      <c r="Q149" s="593">
        <v>3</v>
      </c>
      <c r="R149" s="593">
        <v>1013</v>
      </c>
      <c r="S149" s="593">
        <v>3</v>
      </c>
      <c r="T149" s="593">
        <v>2014</v>
      </c>
      <c r="U149" s="593">
        <v>2014</v>
      </c>
      <c r="V149" s="589"/>
      <c r="W149" s="589"/>
      <c r="X149" s="589"/>
      <c r="Y149" s="589"/>
      <c r="Z149" s="589"/>
      <c r="AA149" s="589"/>
      <c r="AB149" s="589"/>
      <c r="AC149" s="589"/>
      <c r="AD149" s="589"/>
      <c r="AE149" s="589"/>
      <c r="AF149" s="589"/>
      <c r="AG149" s="589"/>
      <c r="AH149" s="589"/>
      <c r="AI149" s="589"/>
      <c r="AJ149" s="589"/>
      <c r="AK149" s="589"/>
      <c r="AL149" s="589"/>
      <c r="AM149" s="589"/>
      <c r="AN149" s="589"/>
      <c r="AO149" s="589"/>
      <c r="AP149" s="589"/>
      <c r="AQ149" s="589"/>
      <c r="AR149" s="589"/>
      <c r="AS149" s="589"/>
    </row>
    <row r="150" spans="1:45" ht="15">
      <c r="A150" s="587" t="s">
        <v>147</v>
      </c>
      <c r="B150" s="587" t="s">
        <v>323</v>
      </c>
      <c r="C150" s="587" t="s">
        <v>784</v>
      </c>
      <c r="D150" s="588">
        <v>2014</v>
      </c>
      <c r="E150" s="587" t="s">
        <v>775</v>
      </c>
      <c r="F150" s="588">
        <v>35</v>
      </c>
      <c r="G150" s="588">
        <v>0</v>
      </c>
      <c r="H150" s="588">
        <v>0</v>
      </c>
      <c r="I150" s="588">
        <v>0</v>
      </c>
      <c r="J150" s="588">
        <v>25</v>
      </c>
      <c r="K150" s="588">
        <v>0</v>
      </c>
      <c r="L150" s="588">
        <v>0</v>
      </c>
      <c r="M150" s="588">
        <v>0</v>
      </c>
      <c r="N150" s="588">
        <v>28</v>
      </c>
      <c r="O150" s="588">
        <v>0</v>
      </c>
      <c r="P150" s="588">
        <v>72</v>
      </c>
      <c r="Q150" s="588">
        <v>3</v>
      </c>
      <c r="R150" s="588">
        <v>160</v>
      </c>
      <c r="S150" s="588">
        <v>3</v>
      </c>
      <c r="T150" s="588">
        <v>2014</v>
      </c>
      <c r="U150" s="588">
        <v>2014</v>
      </c>
      <c r="V150" s="589"/>
      <c r="W150" s="589"/>
      <c r="X150" s="589"/>
      <c r="Y150" s="589"/>
      <c r="Z150" s="589"/>
      <c r="AA150" s="589"/>
      <c r="AB150" s="589"/>
      <c r="AC150" s="589"/>
      <c r="AD150" s="589"/>
      <c r="AE150" s="589"/>
      <c r="AF150" s="589"/>
      <c r="AG150" s="589"/>
      <c r="AH150" s="589"/>
      <c r="AI150" s="589"/>
      <c r="AJ150" s="589"/>
      <c r="AK150" s="589"/>
      <c r="AL150" s="589"/>
      <c r="AM150" s="589"/>
      <c r="AN150" s="589"/>
      <c r="AO150" s="589"/>
      <c r="AP150" s="589"/>
      <c r="AQ150" s="589"/>
      <c r="AR150" s="589"/>
      <c r="AS150" s="589"/>
    </row>
    <row r="151" spans="1:45" ht="15">
      <c r="A151" s="590" t="s">
        <v>169</v>
      </c>
      <c r="B151" s="591" t="s">
        <v>496</v>
      </c>
      <c r="C151" s="591" t="s">
        <v>812</v>
      </c>
      <c r="D151" s="592">
        <v>2014</v>
      </c>
      <c r="E151" s="591" t="s">
        <v>775</v>
      </c>
      <c r="F151" s="592">
        <v>2817</v>
      </c>
      <c r="G151" s="592">
        <v>137</v>
      </c>
      <c r="H151" s="592">
        <v>137</v>
      </c>
      <c r="I151" s="592">
        <v>0</v>
      </c>
      <c r="J151" s="592">
        <v>2034</v>
      </c>
      <c r="K151" s="592">
        <v>0</v>
      </c>
      <c r="L151" s="592">
        <v>0</v>
      </c>
      <c r="M151" s="592">
        <v>0</v>
      </c>
      <c r="N151" s="593">
        <v>2239</v>
      </c>
      <c r="O151" s="593">
        <v>1702</v>
      </c>
      <c r="P151" s="593">
        <v>5059</v>
      </c>
      <c r="Q151" s="593">
        <v>1654</v>
      </c>
      <c r="R151" s="593">
        <v>12149</v>
      </c>
      <c r="S151" s="593">
        <v>3493</v>
      </c>
      <c r="T151" s="593">
        <v>2014</v>
      </c>
      <c r="U151" s="593">
        <v>2014</v>
      </c>
      <c r="V151" s="589"/>
      <c r="W151" s="589"/>
      <c r="X151" s="589"/>
      <c r="Y151" s="589"/>
      <c r="Z151" s="589"/>
      <c r="AA151" s="589"/>
      <c r="AB151" s="589"/>
      <c r="AC151" s="589"/>
      <c r="AD151" s="589"/>
      <c r="AE151" s="589"/>
      <c r="AF151" s="589"/>
      <c r="AG151" s="589"/>
      <c r="AH151" s="589"/>
      <c r="AI151" s="589"/>
      <c r="AJ151" s="589"/>
      <c r="AK151" s="589"/>
      <c r="AL151" s="589"/>
      <c r="AM151" s="589"/>
      <c r="AN151" s="589"/>
      <c r="AO151" s="589"/>
      <c r="AP151" s="589"/>
      <c r="AQ151" s="589"/>
      <c r="AR151" s="589"/>
      <c r="AS151" s="589"/>
    </row>
    <row r="152" spans="1:45" ht="15">
      <c r="A152" s="587" t="s">
        <v>130</v>
      </c>
      <c r="B152" s="587" t="s">
        <v>252</v>
      </c>
      <c r="C152" s="587" t="s">
        <v>784</v>
      </c>
      <c r="D152" s="588">
        <v>2014</v>
      </c>
      <c r="E152" s="587" t="s">
        <v>775</v>
      </c>
      <c r="F152" s="588">
        <v>4</v>
      </c>
      <c r="G152" s="588">
        <v>0</v>
      </c>
      <c r="H152" s="588">
        <v>0</v>
      </c>
      <c r="I152" s="588">
        <v>0</v>
      </c>
      <c r="J152" s="588">
        <v>3</v>
      </c>
      <c r="K152" s="588">
        <v>0</v>
      </c>
      <c r="L152" s="588">
        <v>0</v>
      </c>
      <c r="M152" s="588">
        <v>0</v>
      </c>
      <c r="N152" s="588">
        <v>4</v>
      </c>
      <c r="O152" s="588">
        <v>1</v>
      </c>
      <c r="P152" s="588">
        <v>8</v>
      </c>
      <c r="Q152" s="588">
        <v>0</v>
      </c>
      <c r="R152" s="588">
        <v>19</v>
      </c>
      <c r="S152" s="588">
        <v>1</v>
      </c>
      <c r="T152" s="588">
        <v>2014</v>
      </c>
      <c r="U152" s="588">
        <v>2014</v>
      </c>
      <c r="V152" s="589"/>
      <c r="W152" s="589"/>
      <c r="X152" s="589"/>
      <c r="Y152" s="589"/>
      <c r="Z152" s="589"/>
      <c r="AA152" s="589"/>
      <c r="AB152" s="589"/>
      <c r="AC152" s="589"/>
      <c r="AD152" s="589"/>
      <c r="AE152" s="589"/>
      <c r="AF152" s="589"/>
      <c r="AG152" s="589"/>
      <c r="AH152" s="589"/>
      <c r="AI152" s="589"/>
      <c r="AJ152" s="589"/>
      <c r="AK152" s="589"/>
      <c r="AL152" s="589"/>
      <c r="AM152" s="589"/>
      <c r="AN152" s="589"/>
      <c r="AO152" s="589"/>
      <c r="AP152" s="589"/>
      <c r="AQ152" s="589"/>
      <c r="AR152" s="589"/>
      <c r="AS152" s="589"/>
    </row>
    <row r="153" spans="1:45" ht="15">
      <c r="A153" s="590" t="s">
        <v>153</v>
      </c>
      <c r="B153" s="591" t="s">
        <v>384</v>
      </c>
      <c r="C153" s="591" t="s">
        <v>812</v>
      </c>
      <c r="D153" s="592">
        <v>2014</v>
      </c>
      <c r="E153" s="591" t="s">
        <v>775</v>
      </c>
      <c r="F153" s="592">
        <v>30</v>
      </c>
      <c r="G153" s="592">
        <v>0</v>
      </c>
      <c r="H153" s="592">
        <v>0</v>
      </c>
      <c r="I153" s="592">
        <v>0</v>
      </c>
      <c r="J153" s="592">
        <v>18</v>
      </c>
      <c r="K153" s="592">
        <v>0</v>
      </c>
      <c r="L153" s="592">
        <v>0</v>
      </c>
      <c r="M153" s="592">
        <v>0</v>
      </c>
      <c r="N153" s="593">
        <v>20</v>
      </c>
      <c r="O153" s="593">
        <v>0</v>
      </c>
      <c r="P153" s="593">
        <v>44</v>
      </c>
      <c r="Q153" s="593">
        <v>5</v>
      </c>
      <c r="R153" s="593">
        <v>112</v>
      </c>
      <c r="S153" s="593">
        <v>5</v>
      </c>
      <c r="T153" s="593">
        <v>2014</v>
      </c>
      <c r="U153" s="593">
        <v>2014</v>
      </c>
      <c r="V153" s="589"/>
      <c r="W153" s="589"/>
      <c r="X153" s="589"/>
      <c r="Y153" s="589"/>
      <c r="Z153" s="589"/>
      <c r="AA153" s="589"/>
      <c r="AB153" s="589"/>
      <c r="AC153" s="589"/>
      <c r="AD153" s="589"/>
      <c r="AE153" s="589"/>
      <c r="AF153" s="589"/>
      <c r="AG153" s="589"/>
      <c r="AH153" s="589"/>
      <c r="AI153" s="589"/>
      <c r="AJ153" s="589"/>
      <c r="AK153" s="589"/>
      <c r="AL153" s="589"/>
      <c r="AM153" s="589"/>
      <c r="AN153" s="589"/>
      <c r="AO153" s="589"/>
      <c r="AP153" s="589"/>
      <c r="AQ153" s="589"/>
      <c r="AR153" s="589"/>
      <c r="AS153" s="589"/>
    </row>
    <row r="154" spans="1:45" ht="15">
      <c r="A154" s="587" t="s">
        <v>169</v>
      </c>
      <c r="B154" s="587" t="s">
        <v>497</v>
      </c>
      <c r="C154" s="587" t="s">
        <v>812</v>
      </c>
      <c r="D154" s="588">
        <v>2014</v>
      </c>
      <c r="E154" s="587" t="s">
        <v>775</v>
      </c>
      <c r="F154" s="588">
        <v>1</v>
      </c>
      <c r="G154" s="588">
        <v>0</v>
      </c>
      <c r="H154" s="588">
        <v>0</v>
      </c>
      <c r="I154" s="588">
        <v>0</v>
      </c>
      <c r="J154" s="588">
        <v>1</v>
      </c>
      <c r="K154" s="588">
        <v>0</v>
      </c>
      <c r="L154" s="588">
        <v>0</v>
      </c>
      <c r="M154" s="588">
        <v>0</v>
      </c>
      <c r="N154" s="588">
        <v>1</v>
      </c>
      <c r="O154" s="588">
        <v>7</v>
      </c>
      <c r="P154" s="588">
        <v>1</v>
      </c>
      <c r="Q154" s="588">
        <v>0</v>
      </c>
      <c r="R154" s="588">
        <v>4</v>
      </c>
      <c r="S154" s="588">
        <v>7</v>
      </c>
      <c r="T154" s="588">
        <v>2014</v>
      </c>
      <c r="U154" s="588">
        <v>2014</v>
      </c>
      <c r="V154" s="589"/>
      <c r="W154" s="589"/>
      <c r="X154" s="589"/>
      <c r="Y154" s="589"/>
      <c r="Z154" s="589"/>
      <c r="AA154" s="589"/>
      <c r="AB154" s="589"/>
      <c r="AC154" s="589"/>
      <c r="AD154" s="589"/>
      <c r="AE154" s="589"/>
      <c r="AF154" s="589"/>
      <c r="AG154" s="589"/>
      <c r="AH154" s="589"/>
      <c r="AI154" s="589"/>
      <c r="AJ154" s="589"/>
      <c r="AK154" s="589"/>
      <c r="AL154" s="589"/>
      <c r="AM154" s="589"/>
      <c r="AN154" s="589"/>
      <c r="AO154" s="589"/>
      <c r="AP154" s="589"/>
      <c r="AQ154" s="589"/>
      <c r="AR154" s="589"/>
      <c r="AS154" s="589"/>
    </row>
    <row r="155" spans="1:45" ht="15">
      <c r="A155" s="590" t="s">
        <v>179</v>
      </c>
      <c r="B155" s="591" t="s">
        <v>598</v>
      </c>
      <c r="C155" s="591" t="s">
        <v>855</v>
      </c>
      <c r="D155" s="592">
        <v>2014</v>
      </c>
      <c r="E155" s="591" t="s">
        <v>775</v>
      </c>
      <c r="F155" s="592">
        <v>430</v>
      </c>
      <c r="G155" s="592">
        <v>0</v>
      </c>
      <c r="H155" s="592">
        <v>0</v>
      </c>
      <c r="I155" s="592">
        <v>0</v>
      </c>
      <c r="J155" s="592">
        <v>326</v>
      </c>
      <c r="K155" s="592">
        <v>1</v>
      </c>
      <c r="L155" s="592">
        <v>0</v>
      </c>
      <c r="M155" s="592">
        <v>1</v>
      </c>
      <c r="N155" s="593">
        <v>302</v>
      </c>
      <c r="O155" s="593">
        <v>0</v>
      </c>
      <c r="P155" s="593">
        <v>664</v>
      </c>
      <c r="Q155" s="593">
        <v>310</v>
      </c>
      <c r="R155" s="593">
        <v>1722</v>
      </c>
      <c r="S155" s="593">
        <v>311</v>
      </c>
      <c r="T155" s="593">
        <v>2014</v>
      </c>
      <c r="U155" s="593">
        <v>2013</v>
      </c>
      <c r="V155" s="589"/>
      <c r="W155" s="589"/>
      <c r="X155" s="589"/>
      <c r="Y155" s="589"/>
      <c r="Z155" s="589"/>
      <c r="AA155" s="589"/>
      <c r="AB155" s="589"/>
      <c r="AC155" s="589"/>
      <c r="AD155" s="589"/>
      <c r="AE155" s="589"/>
      <c r="AF155" s="589"/>
      <c r="AG155" s="589"/>
      <c r="AH155" s="589"/>
      <c r="AI155" s="589"/>
      <c r="AJ155" s="589"/>
      <c r="AK155" s="589"/>
      <c r="AL155" s="589"/>
      <c r="AM155" s="589"/>
      <c r="AN155" s="589"/>
      <c r="AO155" s="589"/>
      <c r="AP155" s="589"/>
      <c r="AQ155" s="589"/>
      <c r="AR155" s="589"/>
      <c r="AS155" s="589"/>
    </row>
    <row r="156" spans="1:45" ht="15">
      <c r="A156" s="587" t="s">
        <v>169</v>
      </c>
      <c r="B156" s="587" t="s">
        <v>498</v>
      </c>
      <c r="C156" s="587" t="s">
        <v>812</v>
      </c>
      <c r="D156" s="588">
        <v>2014</v>
      </c>
      <c r="E156" s="587" t="s">
        <v>775</v>
      </c>
      <c r="F156" s="588">
        <v>2</v>
      </c>
      <c r="G156" s="588">
        <v>0</v>
      </c>
      <c r="H156" s="588">
        <v>0</v>
      </c>
      <c r="I156" s="588">
        <v>0</v>
      </c>
      <c r="J156" s="588">
        <v>2</v>
      </c>
      <c r="K156" s="588">
        <v>0</v>
      </c>
      <c r="L156" s="588">
        <v>0</v>
      </c>
      <c r="M156" s="588">
        <v>0</v>
      </c>
      <c r="N156" s="588">
        <v>2</v>
      </c>
      <c r="O156" s="588">
        <v>0</v>
      </c>
      <c r="P156" s="588">
        <v>3</v>
      </c>
      <c r="Q156" s="588">
        <v>0</v>
      </c>
      <c r="R156" s="588">
        <v>9</v>
      </c>
      <c r="S156" s="588">
        <v>0</v>
      </c>
      <c r="T156" s="588">
        <v>2014</v>
      </c>
      <c r="U156" s="588">
        <v>2014</v>
      </c>
      <c r="V156" s="589"/>
      <c r="W156" s="589"/>
      <c r="X156" s="589"/>
      <c r="Y156" s="589"/>
      <c r="Z156" s="589"/>
      <c r="AA156" s="589"/>
      <c r="AB156" s="589"/>
      <c r="AC156" s="589"/>
      <c r="AD156" s="589"/>
      <c r="AE156" s="589"/>
      <c r="AF156" s="589"/>
      <c r="AG156" s="589"/>
      <c r="AH156" s="589"/>
      <c r="AI156" s="589"/>
      <c r="AJ156" s="589"/>
      <c r="AK156" s="589"/>
      <c r="AL156" s="589"/>
      <c r="AM156" s="589"/>
      <c r="AN156" s="589"/>
      <c r="AO156" s="589"/>
      <c r="AP156" s="589"/>
      <c r="AQ156" s="589"/>
      <c r="AR156" s="589"/>
      <c r="AS156" s="589"/>
    </row>
    <row r="157" spans="1:45" ht="15">
      <c r="A157" s="590" t="s">
        <v>153</v>
      </c>
      <c r="B157" s="591" t="s">
        <v>388</v>
      </c>
      <c r="C157" s="591" t="s">
        <v>812</v>
      </c>
      <c r="D157" s="592">
        <v>2014</v>
      </c>
      <c r="E157" s="591" t="s">
        <v>775</v>
      </c>
      <c r="F157" s="592">
        <v>147</v>
      </c>
      <c r="G157" s="592">
        <v>35</v>
      </c>
      <c r="H157" s="592">
        <v>35</v>
      </c>
      <c r="I157" s="592">
        <v>0</v>
      </c>
      <c r="J157" s="592">
        <v>88</v>
      </c>
      <c r="K157" s="592">
        <v>2</v>
      </c>
      <c r="L157" s="592">
        <v>2</v>
      </c>
      <c r="M157" s="592">
        <v>0</v>
      </c>
      <c r="N157" s="593">
        <v>94</v>
      </c>
      <c r="O157" s="593">
        <v>0</v>
      </c>
      <c r="P157" s="593">
        <v>233</v>
      </c>
      <c r="Q157" s="593">
        <v>78</v>
      </c>
      <c r="R157" s="593">
        <v>562</v>
      </c>
      <c r="S157" s="593">
        <v>115</v>
      </c>
      <c r="T157" s="593">
        <v>2014</v>
      </c>
      <c r="U157" s="593">
        <v>2014</v>
      </c>
      <c r="V157" s="589"/>
      <c r="W157" s="589"/>
      <c r="X157" s="589"/>
      <c r="Y157" s="589"/>
      <c r="Z157" s="589"/>
      <c r="AA157" s="589"/>
      <c r="AB157" s="589"/>
      <c r="AC157" s="589"/>
      <c r="AD157" s="589"/>
      <c r="AE157" s="589"/>
      <c r="AF157" s="589"/>
      <c r="AG157" s="589"/>
      <c r="AH157" s="589"/>
      <c r="AI157" s="589"/>
      <c r="AJ157" s="589"/>
      <c r="AK157" s="589"/>
      <c r="AL157" s="589"/>
      <c r="AM157" s="589"/>
      <c r="AN157" s="589"/>
      <c r="AO157" s="589"/>
      <c r="AP157" s="589"/>
      <c r="AQ157" s="589"/>
      <c r="AR157" s="589"/>
      <c r="AS157" s="589"/>
    </row>
    <row r="158" spans="1:45" ht="15">
      <c r="A158" s="587" t="s">
        <v>136</v>
      </c>
      <c r="B158" s="587" t="s">
        <v>273</v>
      </c>
      <c r="C158" s="587" t="s">
        <v>774</v>
      </c>
      <c r="D158" s="588">
        <v>2014</v>
      </c>
      <c r="E158" s="587" t="s">
        <v>775</v>
      </c>
      <c r="F158" s="588">
        <v>138</v>
      </c>
      <c r="G158" s="588">
        <v>0</v>
      </c>
      <c r="H158" s="588">
        <v>0</v>
      </c>
      <c r="I158" s="588">
        <v>0</v>
      </c>
      <c r="J158" s="588">
        <v>78</v>
      </c>
      <c r="K158" s="588">
        <v>0</v>
      </c>
      <c r="L158" s="588">
        <v>0</v>
      </c>
      <c r="M158" s="588">
        <v>0</v>
      </c>
      <c r="N158" s="588">
        <v>85</v>
      </c>
      <c r="O158" s="588">
        <v>21</v>
      </c>
      <c r="P158" s="588">
        <v>99</v>
      </c>
      <c r="Q158" s="588">
        <v>247</v>
      </c>
      <c r="R158" s="588">
        <v>400</v>
      </c>
      <c r="S158" s="588">
        <v>268</v>
      </c>
      <c r="T158" s="588">
        <v>2015</v>
      </c>
      <c r="U158" s="588">
        <v>2015</v>
      </c>
      <c r="V158" s="589"/>
      <c r="W158" s="589"/>
      <c r="X158" s="589"/>
      <c r="Y158" s="589"/>
      <c r="Z158" s="589"/>
      <c r="AA158" s="589"/>
      <c r="AB158" s="589"/>
      <c r="AC158" s="589"/>
      <c r="AD158" s="589"/>
      <c r="AE158" s="589"/>
      <c r="AF158" s="589"/>
      <c r="AG158" s="589"/>
      <c r="AH158" s="589"/>
      <c r="AI158" s="589"/>
      <c r="AJ158" s="589"/>
      <c r="AK158" s="589"/>
      <c r="AL158" s="589"/>
      <c r="AM158" s="589"/>
      <c r="AN158" s="589"/>
      <c r="AO158" s="589"/>
      <c r="AP158" s="589"/>
      <c r="AQ158" s="589"/>
      <c r="AR158" s="589"/>
      <c r="AS158" s="589"/>
    </row>
    <row r="159" spans="1:45" ht="15">
      <c r="A159" s="590" t="s">
        <v>169</v>
      </c>
      <c r="B159" s="591" t="s">
        <v>499</v>
      </c>
      <c r="C159" s="591" t="s">
        <v>812</v>
      </c>
      <c r="D159" s="592">
        <v>2014</v>
      </c>
      <c r="E159" s="591" t="s">
        <v>775</v>
      </c>
      <c r="F159" s="592">
        <v>1</v>
      </c>
      <c r="G159" s="592">
        <v>0</v>
      </c>
      <c r="H159" s="592">
        <v>0</v>
      </c>
      <c r="I159" s="592">
        <v>0</v>
      </c>
      <c r="J159" s="592">
        <v>1</v>
      </c>
      <c r="K159" s="592">
        <v>0</v>
      </c>
      <c r="L159" s="592">
        <v>0</v>
      </c>
      <c r="M159" s="592">
        <v>0</v>
      </c>
      <c r="N159" s="593">
        <v>0</v>
      </c>
      <c r="O159" s="593">
        <v>0</v>
      </c>
      <c r="P159" s="593">
        <v>0</v>
      </c>
      <c r="Q159" s="593">
        <v>15</v>
      </c>
      <c r="R159" s="593">
        <v>2</v>
      </c>
      <c r="S159" s="593">
        <v>15</v>
      </c>
      <c r="T159" s="593">
        <v>2014</v>
      </c>
      <c r="U159" s="593">
        <v>2014</v>
      </c>
      <c r="V159" s="589"/>
      <c r="W159" s="589"/>
      <c r="X159" s="589"/>
      <c r="Y159" s="589"/>
      <c r="Z159" s="589"/>
      <c r="AA159" s="589"/>
      <c r="AB159" s="589"/>
      <c r="AC159" s="589"/>
      <c r="AD159" s="589"/>
      <c r="AE159" s="589"/>
      <c r="AF159" s="589"/>
      <c r="AG159" s="589"/>
      <c r="AH159" s="589"/>
      <c r="AI159" s="589"/>
      <c r="AJ159" s="589"/>
      <c r="AK159" s="589"/>
      <c r="AL159" s="589"/>
      <c r="AM159" s="589"/>
      <c r="AN159" s="589"/>
      <c r="AO159" s="589"/>
      <c r="AP159" s="589"/>
      <c r="AQ159" s="589"/>
      <c r="AR159" s="589"/>
      <c r="AS159" s="589"/>
    </row>
    <row r="160" spans="1:45" ht="15">
      <c r="A160" s="587" t="s">
        <v>169</v>
      </c>
      <c r="B160" s="587" t="s">
        <v>500</v>
      </c>
      <c r="C160" s="587" t="s">
        <v>812</v>
      </c>
      <c r="D160" s="588">
        <v>2014</v>
      </c>
      <c r="E160" s="587" t="s">
        <v>775</v>
      </c>
      <c r="F160" s="588">
        <v>1</v>
      </c>
      <c r="G160" s="588">
        <v>0</v>
      </c>
      <c r="H160" s="588">
        <v>0</v>
      </c>
      <c r="I160" s="588">
        <v>0</v>
      </c>
      <c r="J160" s="588">
        <v>1</v>
      </c>
      <c r="K160" s="588">
        <v>0</v>
      </c>
      <c r="L160" s="588">
        <v>0</v>
      </c>
      <c r="M160" s="588">
        <v>0</v>
      </c>
      <c r="N160" s="588">
        <v>0</v>
      </c>
      <c r="O160" s="588">
        <v>0</v>
      </c>
      <c r="P160" s="588">
        <v>0</v>
      </c>
      <c r="Q160" s="588">
        <v>0</v>
      </c>
      <c r="R160" s="588">
        <v>2</v>
      </c>
      <c r="S160" s="588">
        <v>0</v>
      </c>
      <c r="T160" s="588">
        <v>2014</v>
      </c>
      <c r="U160" s="588">
        <v>2014</v>
      </c>
      <c r="V160" s="589"/>
      <c r="W160" s="589"/>
      <c r="X160" s="589"/>
      <c r="Y160" s="589"/>
      <c r="Z160" s="589"/>
      <c r="AA160" s="589"/>
      <c r="AB160" s="589"/>
      <c r="AC160" s="589"/>
      <c r="AD160" s="589"/>
      <c r="AE160" s="589"/>
      <c r="AF160" s="589"/>
      <c r="AG160" s="589"/>
      <c r="AH160" s="589"/>
      <c r="AI160" s="589"/>
      <c r="AJ160" s="589"/>
      <c r="AK160" s="589"/>
      <c r="AL160" s="589"/>
      <c r="AM160" s="589"/>
      <c r="AN160" s="589"/>
      <c r="AO160" s="589"/>
      <c r="AP160" s="589"/>
      <c r="AQ160" s="589"/>
      <c r="AR160" s="589"/>
      <c r="AS160" s="589"/>
    </row>
    <row r="161" spans="1:45" ht="15">
      <c r="A161" s="590" t="s">
        <v>169</v>
      </c>
      <c r="B161" s="591" t="s">
        <v>501</v>
      </c>
      <c r="C161" s="591" t="s">
        <v>812</v>
      </c>
      <c r="D161" s="592">
        <v>2014</v>
      </c>
      <c r="E161" s="591" t="s">
        <v>775</v>
      </c>
      <c r="F161" s="592">
        <v>43</v>
      </c>
      <c r="G161" s="592">
        <v>14</v>
      </c>
      <c r="H161" s="592">
        <v>14</v>
      </c>
      <c r="I161" s="592">
        <v>0</v>
      </c>
      <c r="J161" s="592">
        <v>30</v>
      </c>
      <c r="K161" s="592">
        <v>14</v>
      </c>
      <c r="L161" s="592">
        <v>14</v>
      </c>
      <c r="M161" s="592">
        <v>0</v>
      </c>
      <c r="N161" s="593">
        <v>34</v>
      </c>
      <c r="O161" s="593">
        <v>0</v>
      </c>
      <c r="P161" s="593">
        <v>75</v>
      </c>
      <c r="Q161" s="593">
        <v>427</v>
      </c>
      <c r="R161" s="593">
        <v>182</v>
      </c>
      <c r="S161" s="593">
        <v>455</v>
      </c>
      <c r="T161" s="593">
        <v>2014</v>
      </c>
      <c r="U161" s="593">
        <v>2014</v>
      </c>
      <c r="V161" s="589"/>
      <c r="W161" s="589"/>
      <c r="X161" s="589"/>
      <c r="Y161" s="589"/>
      <c r="Z161" s="589"/>
      <c r="AA161" s="589"/>
      <c r="AB161" s="589"/>
      <c r="AC161" s="589"/>
      <c r="AD161" s="589"/>
      <c r="AE161" s="589"/>
      <c r="AF161" s="589"/>
      <c r="AG161" s="589"/>
      <c r="AH161" s="589"/>
      <c r="AI161" s="589"/>
      <c r="AJ161" s="589"/>
      <c r="AK161" s="589"/>
      <c r="AL161" s="589"/>
      <c r="AM161" s="589"/>
      <c r="AN161" s="589"/>
      <c r="AO161" s="589"/>
      <c r="AP161" s="589"/>
      <c r="AQ161" s="589"/>
      <c r="AR161" s="589"/>
      <c r="AS161" s="589"/>
    </row>
    <row r="162" spans="1:45" ht="15">
      <c r="A162" s="587" t="s">
        <v>169</v>
      </c>
      <c r="B162" s="587" t="s">
        <v>502</v>
      </c>
      <c r="C162" s="587" t="s">
        <v>812</v>
      </c>
      <c r="D162" s="588">
        <v>2014</v>
      </c>
      <c r="E162" s="587" t="s">
        <v>775</v>
      </c>
      <c r="F162" s="588">
        <v>1</v>
      </c>
      <c r="G162" s="588">
        <v>0</v>
      </c>
      <c r="H162" s="588">
        <v>0</v>
      </c>
      <c r="I162" s="588">
        <v>0</v>
      </c>
      <c r="J162" s="588">
        <v>1</v>
      </c>
      <c r="K162" s="588">
        <v>0</v>
      </c>
      <c r="L162" s="588">
        <v>0</v>
      </c>
      <c r="M162" s="588">
        <v>0</v>
      </c>
      <c r="N162" s="588">
        <v>0</v>
      </c>
      <c r="O162" s="588">
        <v>0</v>
      </c>
      <c r="P162" s="588">
        <v>0</v>
      </c>
      <c r="Q162" s="588">
        <v>0</v>
      </c>
      <c r="R162" s="588">
        <v>2</v>
      </c>
      <c r="S162" s="588">
        <v>0</v>
      </c>
      <c r="T162" s="588">
        <v>2014</v>
      </c>
      <c r="U162" s="588">
        <v>2014</v>
      </c>
      <c r="V162" s="589"/>
      <c r="W162" s="589"/>
      <c r="X162" s="589"/>
      <c r="Y162" s="589"/>
      <c r="Z162" s="589"/>
      <c r="AA162" s="589"/>
      <c r="AB162" s="589"/>
      <c r="AC162" s="589"/>
      <c r="AD162" s="589"/>
      <c r="AE162" s="589"/>
      <c r="AF162" s="589"/>
      <c r="AG162" s="589"/>
      <c r="AH162" s="589"/>
      <c r="AI162" s="589"/>
      <c r="AJ162" s="589"/>
      <c r="AK162" s="589"/>
      <c r="AL162" s="589"/>
      <c r="AM162" s="589"/>
      <c r="AN162" s="589"/>
      <c r="AO162" s="589"/>
      <c r="AP162" s="589"/>
      <c r="AQ162" s="589"/>
      <c r="AR162" s="589"/>
      <c r="AS162" s="589"/>
    </row>
    <row r="163" spans="1:45" ht="15">
      <c r="A163" s="590" t="s">
        <v>173</v>
      </c>
      <c r="B163" s="591" t="s">
        <v>543</v>
      </c>
      <c r="C163" s="591" t="s">
        <v>812</v>
      </c>
      <c r="D163" s="592">
        <v>2014</v>
      </c>
      <c r="E163" s="591" t="s">
        <v>775</v>
      </c>
      <c r="F163" s="592">
        <v>1196</v>
      </c>
      <c r="G163" s="592">
        <v>0</v>
      </c>
      <c r="H163" s="592">
        <v>0</v>
      </c>
      <c r="I163" s="592">
        <v>0</v>
      </c>
      <c r="J163" s="592">
        <v>801</v>
      </c>
      <c r="K163" s="592">
        <v>0</v>
      </c>
      <c r="L163" s="592">
        <v>0</v>
      </c>
      <c r="M163" s="592">
        <v>0</v>
      </c>
      <c r="N163" s="593">
        <v>897</v>
      </c>
      <c r="O163" s="593">
        <v>0</v>
      </c>
      <c r="P163" s="593">
        <v>2035</v>
      </c>
      <c r="Q163" s="593">
        <v>0</v>
      </c>
      <c r="R163" s="593">
        <v>4929</v>
      </c>
      <c r="S163" s="593">
        <v>0</v>
      </c>
      <c r="T163" s="593">
        <v>2014</v>
      </c>
      <c r="U163" s="593">
        <v>2014</v>
      </c>
      <c r="V163" s="589"/>
      <c r="W163" s="589"/>
      <c r="X163" s="589"/>
      <c r="Y163" s="589"/>
      <c r="Z163" s="589"/>
      <c r="AA163" s="589"/>
      <c r="AB163" s="589"/>
      <c r="AC163" s="589"/>
      <c r="AD163" s="589"/>
      <c r="AE163" s="589"/>
      <c r="AF163" s="589"/>
      <c r="AG163" s="589"/>
      <c r="AH163" s="589"/>
      <c r="AI163" s="589"/>
      <c r="AJ163" s="589"/>
      <c r="AK163" s="589"/>
      <c r="AL163" s="589"/>
      <c r="AM163" s="589"/>
      <c r="AN163" s="589"/>
      <c r="AO163" s="589"/>
      <c r="AP163" s="589"/>
      <c r="AQ163" s="589"/>
      <c r="AR163" s="589"/>
      <c r="AS163" s="589"/>
    </row>
    <row r="164" spans="1:45" ht="15">
      <c r="A164" s="587" t="s">
        <v>169</v>
      </c>
      <c r="B164" s="587" t="s">
        <v>503</v>
      </c>
      <c r="C164" s="587" t="s">
        <v>812</v>
      </c>
      <c r="D164" s="588">
        <v>2014</v>
      </c>
      <c r="E164" s="587" t="s">
        <v>775</v>
      </c>
      <c r="F164" s="588">
        <v>647</v>
      </c>
      <c r="G164" s="588">
        <v>0</v>
      </c>
      <c r="H164" s="588">
        <v>0</v>
      </c>
      <c r="I164" s="588">
        <v>0</v>
      </c>
      <c r="J164" s="588">
        <v>450</v>
      </c>
      <c r="K164" s="588">
        <v>0</v>
      </c>
      <c r="L164" s="588">
        <v>0</v>
      </c>
      <c r="M164" s="588">
        <v>0</v>
      </c>
      <c r="N164" s="588">
        <v>497</v>
      </c>
      <c r="O164" s="588">
        <v>145</v>
      </c>
      <c r="P164" s="588">
        <v>1133</v>
      </c>
      <c r="Q164" s="588">
        <v>688</v>
      </c>
      <c r="R164" s="588">
        <v>2727</v>
      </c>
      <c r="S164" s="588">
        <v>833</v>
      </c>
      <c r="T164" s="588">
        <v>2014</v>
      </c>
      <c r="U164" s="588">
        <v>2014</v>
      </c>
      <c r="V164" s="589"/>
      <c r="W164" s="589"/>
      <c r="X164" s="589"/>
      <c r="Y164" s="589"/>
      <c r="Z164" s="589"/>
      <c r="AA164" s="589"/>
      <c r="AB164" s="589"/>
      <c r="AC164" s="589"/>
      <c r="AD164" s="589"/>
      <c r="AE164" s="589"/>
      <c r="AF164" s="589"/>
      <c r="AG164" s="589"/>
      <c r="AH164" s="589"/>
      <c r="AI164" s="589"/>
      <c r="AJ164" s="589"/>
      <c r="AK164" s="589"/>
      <c r="AL164" s="589"/>
      <c r="AM164" s="589"/>
      <c r="AN164" s="589"/>
      <c r="AO164" s="589"/>
      <c r="AP164" s="589"/>
      <c r="AQ164" s="589"/>
      <c r="AR164" s="589"/>
      <c r="AS164" s="589"/>
    </row>
    <row r="165" spans="1:45" ht="15">
      <c r="A165" s="590" t="s">
        <v>153</v>
      </c>
      <c r="B165" s="591" t="s">
        <v>389</v>
      </c>
      <c r="C165" s="591" t="s">
        <v>812</v>
      </c>
      <c r="D165" s="592">
        <v>2014</v>
      </c>
      <c r="E165" s="591" t="s">
        <v>775</v>
      </c>
      <c r="F165" s="592">
        <v>107</v>
      </c>
      <c r="G165" s="592">
        <v>0</v>
      </c>
      <c r="H165" s="592">
        <v>0</v>
      </c>
      <c r="I165" s="592">
        <v>0</v>
      </c>
      <c r="J165" s="592">
        <v>63</v>
      </c>
      <c r="K165" s="592">
        <v>0</v>
      </c>
      <c r="L165" s="592">
        <v>0</v>
      </c>
      <c r="M165" s="592">
        <v>0</v>
      </c>
      <c r="N165" s="593">
        <v>67</v>
      </c>
      <c r="O165" s="593">
        <v>0</v>
      </c>
      <c r="P165" s="593">
        <v>166</v>
      </c>
      <c r="Q165" s="593">
        <v>0</v>
      </c>
      <c r="R165" s="593">
        <v>403</v>
      </c>
      <c r="S165" s="593">
        <v>0</v>
      </c>
      <c r="T165" s="593">
        <v>2014</v>
      </c>
      <c r="U165" s="593">
        <v>2014</v>
      </c>
      <c r="V165" s="589"/>
      <c r="W165" s="589"/>
      <c r="X165" s="589"/>
      <c r="Y165" s="589"/>
      <c r="Z165" s="589"/>
      <c r="AA165" s="589"/>
      <c r="AB165" s="589"/>
      <c r="AC165" s="589"/>
      <c r="AD165" s="589"/>
      <c r="AE165" s="589"/>
      <c r="AF165" s="589"/>
      <c r="AG165" s="589"/>
      <c r="AH165" s="589"/>
      <c r="AI165" s="589"/>
      <c r="AJ165" s="589"/>
      <c r="AK165" s="589"/>
      <c r="AL165" s="589"/>
      <c r="AM165" s="589"/>
      <c r="AN165" s="589"/>
      <c r="AO165" s="589"/>
      <c r="AP165" s="589"/>
      <c r="AQ165" s="589"/>
      <c r="AR165" s="589"/>
      <c r="AS165" s="589"/>
    </row>
    <row r="166" spans="1:45" ht="15">
      <c r="A166" s="587" t="s">
        <v>157</v>
      </c>
      <c r="B166" s="587" t="s">
        <v>439</v>
      </c>
      <c r="C166" s="587" t="s">
        <v>774</v>
      </c>
      <c r="D166" s="588">
        <v>2014</v>
      </c>
      <c r="E166" s="587" t="s">
        <v>775</v>
      </c>
      <c r="F166" s="588">
        <v>40</v>
      </c>
      <c r="G166" s="588">
        <v>3</v>
      </c>
      <c r="H166" s="588">
        <v>3</v>
      </c>
      <c r="I166" s="588">
        <v>0</v>
      </c>
      <c r="J166" s="588">
        <v>20</v>
      </c>
      <c r="K166" s="588">
        <v>9</v>
      </c>
      <c r="L166" s="588">
        <v>9</v>
      </c>
      <c r="M166" s="588">
        <v>0</v>
      </c>
      <c r="N166" s="588">
        <v>21</v>
      </c>
      <c r="O166" s="588">
        <v>8</v>
      </c>
      <c r="P166" s="588">
        <v>51</v>
      </c>
      <c r="Q166" s="588">
        <v>76</v>
      </c>
      <c r="R166" s="588">
        <v>132</v>
      </c>
      <c r="S166" s="588">
        <v>96</v>
      </c>
      <c r="T166" s="588">
        <v>2015</v>
      </c>
      <c r="U166" s="588">
        <v>2015</v>
      </c>
      <c r="V166" s="589"/>
      <c r="W166" s="589"/>
      <c r="X166" s="589"/>
      <c r="Y166" s="589"/>
      <c r="Z166" s="589"/>
      <c r="AA166" s="589"/>
      <c r="AB166" s="589"/>
      <c r="AC166" s="589"/>
      <c r="AD166" s="589"/>
      <c r="AE166" s="589"/>
      <c r="AF166" s="589"/>
      <c r="AG166" s="589"/>
      <c r="AH166" s="589"/>
      <c r="AI166" s="589"/>
      <c r="AJ166" s="589"/>
      <c r="AK166" s="589"/>
      <c r="AL166" s="589"/>
      <c r="AM166" s="589"/>
      <c r="AN166" s="589"/>
      <c r="AO166" s="589"/>
      <c r="AP166" s="589"/>
      <c r="AQ166" s="589"/>
      <c r="AR166" s="589"/>
      <c r="AS166" s="589"/>
    </row>
    <row r="167" spans="1:45" ht="15">
      <c r="A167" s="590" t="s">
        <v>153</v>
      </c>
      <c r="B167" s="591" t="s">
        <v>391</v>
      </c>
      <c r="C167" s="591" t="s">
        <v>812</v>
      </c>
      <c r="D167" s="592">
        <v>2014</v>
      </c>
      <c r="E167" s="591" t="s">
        <v>775</v>
      </c>
      <c r="F167" s="592">
        <v>96</v>
      </c>
      <c r="G167" s="592">
        <v>0</v>
      </c>
      <c r="H167" s="592">
        <v>0</v>
      </c>
      <c r="I167" s="592">
        <v>0</v>
      </c>
      <c r="J167" s="592">
        <v>57</v>
      </c>
      <c r="K167" s="592">
        <v>0</v>
      </c>
      <c r="L167" s="592">
        <v>0</v>
      </c>
      <c r="M167" s="592">
        <v>0</v>
      </c>
      <c r="N167" s="593">
        <v>62</v>
      </c>
      <c r="O167" s="593">
        <v>0</v>
      </c>
      <c r="P167" s="593">
        <v>166</v>
      </c>
      <c r="Q167" s="593">
        <v>5</v>
      </c>
      <c r="R167" s="593">
        <v>381</v>
      </c>
      <c r="S167" s="593">
        <v>5</v>
      </c>
      <c r="T167" s="593">
        <v>2014</v>
      </c>
      <c r="U167" s="593">
        <v>2014</v>
      </c>
      <c r="V167" s="589"/>
      <c r="W167" s="589"/>
      <c r="X167" s="589"/>
      <c r="Y167" s="589"/>
      <c r="Z167" s="589"/>
      <c r="AA167" s="589"/>
      <c r="AB167" s="589"/>
      <c r="AC167" s="589"/>
      <c r="AD167" s="589"/>
      <c r="AE167" s="589"/>
      <c r="AF167" s="589"/>
      <c r="AG167" s="589"/>
      <c r="AH167" s="589"/>
      <c r="AI167" s="589"/>
      <c r="AJ167" s="589"/>
      <c r="AK167" s="589"/>
      <c r="AL167" s="589"/>
      <c r="AM167" s="589"/>
      <c r="AN167" s="589"/>
      <c r="AO167" s="589"/>
      <c r="AP167" s="589"/>
      <c r="AQ167" s="589"/>
      <c r="AR167" s="589"/>
      <c r="AS167" s="589"/>
    </row>
    <row r="168" spans="1:45" ht="15">
      <c r="A168" s="587" t="s">
        <v>179</v>
      </c>
      <c r="B168" s="587" t="s">
        <v>599</v>
      </c>
      <c r="C168" s="587" t="s">
        <v>855</v>
      </c>
      <c r="D168" s="588">
        <v>2014</v>
      </c>
      <c r="E168" s="587" t="s">
        <v>775</v>
      </c>
      <c r="F168" s="588">
        <v>77</v>
      </c>
      <c r="G168" s="588">
        <v>0</v>
      </c>
      <c r="H168" s="588">
        <v>0</v>
      </c>
      <c r="I168" s="588">
        <v>0</v>
      </c>
      <c r="J168" s="588">
        <v>59</v>
      </c>
      <c r="K168" s="588">
        <v>0</v>
      </c>
      <c r="L168" s="588">
        <v>0</v>
      </c>
      <c r="M168" s="588">
        <v>0</v>
      </c>
      <c r="N168" s="588">
        <v>54</v>
      </c>
      <c r="O168" s="588">
        <v>0</v>
      </c>
      <c r="P168" s="588">
        <v>119</v>
      </c>
      <c r="Q168" s="588">
        <v>23</v>
      </c>
      <c r="R168" s="588">
        <v>309</v>
      </c>
      <c r="S168" s="588">
        <v>23</v>
      </c>
      <c r="T168" s="588">
        <v>2014</v>
      </c>
      <c r="U168" s="588">
        <v>2013</v>
      </c>
      <c r="V168" s="589"/>
      <c r="W168" s="589"/>
      <c r="X168" s="589"/>
      <c r="Y168" s="589"/>
      <c r="Z168" s="589"/>
      <c r="AA168" s="589"/>
      <c r="AB168" s="589"/>
      <c r="AC168" s="589"/>
      <c r="AD168" s="589"/>
      <c r="AE168" s="589"/>
      <c r="AF168" s="589"/>
      <c r="AG168" s="589"/>
      <c r="AH168" s="589"/>
      <c r="AI168" s="589"/>
      <c r="AJ168" s="589"/>
      <c r="AK168" s="589"/>
      <c r="AL168" s="589"/>
      <c r="AM168" s="589"/>
      <c r="AN168" s="589"/>
      <c r="AO168" s="589"/>
      <c r="AP168" s="589"/>
      <c r="AQ168" s="589"/>
      <c r="AR168" s="589"/>
      <c r="AS168" s="589"/>
    </row>
    <row r="169" spans="1:45" ht="15">
      <c r="A169" s="590" t="s">
        <v>170</v>
      </c>
      <c r="B169" s="591" t="s">
        <v>521</v>
      </c>
      <c r="C169" s="591" t="s">
        <v>799</v>
      </c>
      <c r="D169" s="592">
        <v>2014</v>
      </c>
      <c r="E169" s="591" t="s">
        <v>775</v>
      </c>
      <c r="F169" s="592">
        <v>953</v>
      </c>
      <c r="G169" s="592">
        <v>0</v>
      </c>
      <c r="H169" s="592">
        <v>0</v>
      </c>
      <c r="I169" s="592">
        <v>0</v>
      </c>
      <c r="J169" s="592">
        <v>668</v>
      </c>
      <c r="K169" s="592">
        <v>0</v>
      </c>
      <c r="L169" s="592">
        <v>0</v>
      </c>
      <c r="M169" s="592">
        <v>0</v>
      </c>
      <c r="N169" s="593">
        <v>705</v>
      </c>
      <c r="O169" s="593">
        <v>0</v>
      </c>
      <c r="P169" s="593">
        <v>1464</v>
      </c>
      <c r="Q169" s="593">
        <v>286</v>
      </c>
      <c r="R169" s="593">
        <v>3790</v>
      </c>
      <c r="S169" s="593">
        <v>286</v>
      </c>
      <c r="T169" s="593">
        <v>2014</v>
      </c>
      <c r="U169" s="593">
        <v>2014</v>
      </c>
      <c r="V169" s="589"/>
      <c r="W169" s="589"/>
      <c r="X169" s="589"/>
      <c r="Y169" s="589"/>
      <c r="Z169" s="589"/>
      <c r="AA169" s="589"/>
      <c r="AB169" s="589"/>
      <c r="AC169" s="589"/>
      <c r="AD169" s="589"/>
      <c r="AE169" s="589"/>
      <c r="AF169" s="589"/>
      <c r="AG169" s="589"/>
      <c r="AH169" s="589"/>
      <c r="AI169" s="589"/>
      <c r="AJ169" s="589"/>
      <c r="AK169" s="589"/>
      <c r="AL169" s="589"/>
      <c r="AM169" s="589"/>
      <c r="AN169" s="589"/>
      <c r="AO169" s="589"/>
      <c r="AP169" s="589"/>
      <c r="AQ169" s="589"/>
      <c r="AR169" s="589"/>
      <c r="AS169" s="589"/>
    </row>
    <row r="170" spans="1:45" ht="15">
      <c r="A170" s="587" t="s">
        <v>196</v>
      </c>
      <c r="B170" s="587" t="s">
        <v>713</v>
      </c>
      <c r="C170" s="587" t="s">
        <v>799</v>
      </c>
      <c r="D170" s="588">
        <v>2014</v>
      </c>
      <c r="E170" s="587" t="s">
        <v>775</v>
      </c>
      <c r="F170" s="588">
        <v>104</v>
      </c>
      <c r="G170" s="588">
        <v>0</v>
      </c>
      <c r="H170" s="588">
        <v>0</v>
      </c>
      <c r="I170" s="588">
        <v>0</v>
      </c>
      <c r="J170" s="588">
        <v>72</v>
      </c>
      <c r="K170" s="588">
        <v>0</v>
      </c>
      <c r="L170" s="588">
        <v>0</v>
      </c>
      <c r="M170" s="588">
        <v>0</v>
      </c>
      <c r="N170" s="588">
        <v>83</v>
      </c>
      <c r="O170" s="588">
        <v>1</v>
      </c>
      <c r="P170" s="588">
        <v>190</v>
      </c>
      <c r="Q170" s="588">
        <v>0</v>
      </c>
      <c r="R170" s="588">
        <v>449</v>
      </c>
      <c r="S170" s="588">
        <v>1</v>
      </c>
      <c r="T170" s="588">
        <v>2014</v>
      </c>
      <c r="U170" s="588">
        <v>2014</v>
      </c>
      <c r="V170" s="589"/>
      <c r="W170" s="589"/>
      <c r="X170" s="589"/>
      <c r="Y170" s="589"/>
      <c r="Z170" s="589"/>
      <c r="AA170" s="589"/>
      <c r="AB170" s="589"/>
      <c r="AC170" s="589"/>
      <c r="AD170" s="589"/>
      <c r="AE170" s="589"/>
      <c r="AF170" s="589"/>
      <c r="AG170" s="589"/>
      <c r="AH170" s="589"/>
      <c r="AI170" s="589"/>
      <c r="AJ170" s="589"/>
      <c r="AK170" s="589"/>
      <c r="AL170" s="589"/>
      <c r="AM170" s="589"/>
      <c r="AN170" s="589"/>
      <c r="AO170" s="589"/>
      <c r="AP170" s="589"/>
      <c r="AQ170" s="589"/>
      <c r="AR170" s="589"/>
      <c r="AS170" s="589"/>
    </row>
    <row r="171" spans="1:45" ht="15">
      <c r="A171" s="590" t="s">
        <v>125</v>
      </c>
      <c r="B171" s="591" t="s">
        <v>240</v>
      </c>
      <c r="C171" s="591" t="s">
        <v>774</v>
      </c>
      <c r="D171" s="592">
        <v>2014</v>
      </c>
      <c r="E171" s="591" t="s">
        <v>775</v>
      </c>
      <c r="F171" s="592">
        <v>839</v>
      </c>
      <c r="G171" s="592">
        <v>0</v>
      </c>
      <c r="H171" s="592">
        <v>0</v>
      </c>
      <c r="I171" s="592">
        <v>0</v>
      </c>
      <c r="J171" s="592">
        <v>474</v>
      </c>
      <c r="K171" s="592">
        <v>1</v>
      </c>
      <c r="L171" s="592">
        <v>1</v>
      </c>
      <c r="M171" s="592">
        <v>0</v>
      </c>
      <c r="N171" s="593">
        <v>496</v>
      </c>
      <c r="O171" s="593">
        <v>15</v>
      </c>
      <c r="P171" s="593">
        <v>920</v>
      </c>
      <c r="Q171" s="593">
        <v>80</v>
      </c>
      <c r="R171" s="593">
        <v>2729</v>
      </c>
      <c r="S171" s="593">
        <v>96</v>
      </c>
      <c r="T171" s="593">
        <v>2015</v>
      </c>
      <c r="U171" s="593">
        <v>2015</v>
      </c>
      <c r="V171" s="589"/>
      <c r="W171" s="589"/>
      <c r="X171" s="589"/>
      <c r="Y171" s="589"/>
      <c r="Z171" s="589"/>
      <c r="AA171" s="589"/>
      <c r="AB171" s="589"/>
      <c r="AC171" s="589"/>
      <c r="AD171" s="589"/>
      <c r="AE171" s="589"/>
      <c r="AF171" s="589"/>
      <c r="AG171" s="589"/>
      <c r="AH171" s="589"/>
      <c r="AI171" s="589"/>
      <c r="AJ171" s="589"/>
      <c r="AK171" s="589"/>
      <c r="AL171" s="589"/>
      <c r="AM171" s="589"/>
      <c r="AN171" s="589"/>
      <c r="AO171" s="589"/>
      <c r="AP171" s="589"/>
      <c r="AQ171" s="589"/>
      <c r="AR171" s="589"/>
      <c r="AS171" s="589"/>
    </row>
    <row r="172" spans="1:45" ht="15">
      <c r="A172" s="587" t="s">
        <v>153</v>
      </c>
      <c r="B172" s="587" t="s">
        <v>392</v>
      </c>
      <c r="C172" s="587" t="s">
        <v>812</v>
      </c>
      <c r="D172" s="588">
        <v>2014</v>
      </c>
      <c r="E172" s="587" t="s">
        <v>775</v>
      </c>
      <c r="F172" s="588">
        <v>12</v>
      </c>
      <c r="G172" s="588">
        <v>0</v>
      </c>
      <c r="H172" s="588">
        <v>0</v>
      </c>
      <c r="I172" s="588">
        <v>0</v>
      </c>
      <c r="J172" s="588">
        <v>7</v>
      </c>
      <c r="K172" s="588">
        <v>0</v>
      </c>
      <c r="L172" s="588">
        <v>0</v>
      </c>
      <c r="M172" s="588">
        <v>0</v>
      </c>
      <c r="N172" s="588">
        <v>8</v>
      </c>
      <c r="O172" s="588">
        <v>16</v>
      </c>
      <c r="P172" s="588">
        <v>20</v>
      </c>
      <c r="Q172" s="588">
        <v>0</v>
      </c>
      <c r="R172" s="588">
        <v>47</v>
      </c>
      <c r="S172" s="588">
        <v>16</v>
      </c>
      <c r="T172" s="588">
        <v>2014</v>
      </c>
      <c r="U172" s="588">
        <v>2014</v>
      </c>
      <c r="V172" s="589"/>
      <c r="W172" s="589"/>
      <c r="X172" s="589"/>
      <c r="Y172" s="589"/>
      <c r="Z172" s="589"/>
      <c r="AA172" s="589"/>
      <c r="AB172" s="589"/>
      <c r="AC172" s="589"/>
      <c r="AD172" s="589"/>
      <c r="AE172" s="589"/>
      <c r="AF172" s="589"/>
      <c r="AG172" s="589"/>
      <c r="AH172" s="589"/>
      <c r="AI172" s="589"/>
      <c r="AJ172" s="589"/>
      <c r="AK172" s="589"/>
      <c r="AL172" s="589"/>
      <c r="AM172" s="589"/>
      <c r="AN172" s="589"/>
      <c r="AO172" s="589"/>
      <c r="AP172" s="589"/>
      <c r="AQ172" s="589"/>
      <c r="AR172" s="589"/>
      <c r="AS172" s="589"/>
    </row>
    <row r="173" spans="1:45" ht="15">
      <c r="A173" s="590" t="s">
        <v>153</v>
      </c>
      <c r="B173" s="591" t="s">
        <v>393</v>
      </c>
      <c r="C173" s="591" t="s">
        <v>812</v>
      </c>
      <c r="D173" s="592">
        <v>2014</v>
      </c>
      <c r="E173" s="591" t="s">
        <v>775</v>
      </c>
      <c r="F173" s="592">
        <v>1773</v>
      </c>
      <c r="G173" s="592">
        <v>26</v>
      </c>
      <c r="H173" s="592">
        <v>26</v>
      </c>
      <c r="I173" s="592">
        <v>0</v>
      </c>
      <c r="J173" s="592">
        <v>1066</v>
      </c>
      <c r="K173" s="592">
        <v>14</v>
      </c>
      <c r="L173" s="592">
        <v>14</v>
      </c>
      <c r="M173" s="592">
        <v>0</v>
      </c>
      <c r="N173" s="593">
        <v>1170</v>
      </c>
      <c r="O173" s="593">
        <v>0</v>
      </c>
      <c r="P173" s="593">
        <v>3039</v>
      </c>
      <c r="Q173" s="593">
        <v>260</v>
      </c>
      <c r="R173" s="593">
        <v>7048</v>
      </c>
      <c r="S173" s="593">
        <v>300</v>
      </c>
      <c r="T173" s="593">
        <v>2014</v>
      </c>
      <c r="U173" s="593">
        <v>2014</v>
      </c>
      <c r="V173" s="589"/>
      <c r="W173" s="589"/>
      <c r="X173" s="589"/>
      <c r="Y173" s="589"/>
      <c r="Z173" s="589"/>
      <c r="AA173" s="589"/>
      <c r="AB173" s="589"/>
      <c r="AC173" s="589"/>
      <c r="AD173" s="589"/>
      <c r="AE173" s="589"/>
      <c r="AF173" s="589"/>
      <c r="AG173" s="589"/>
      <c r="AH173" s="589"/>
      <c r="AI173" s="589"/>
      <c r="AJ173" s="589"/>
      <c r="AK173" s="589"/>
      <c r="AL173" s="589"/>
      <c r="AM173" s="589"/>
      <c r="AN173" s="589"/>
      <c r="AO173" s="589"/>
      <c r="AP173" s="589"/>
      <c r="AQ173" s="589"/>
      <c r="AR173" s="589"/>
      <c r="AS173" s="589"/>
    </row>
    <row r="174" spans="1:45" ht="15">
      <c r="A174" s="587" t="s">
        <v>153</v>
      </c>
      <c r="B174" s="587" t="s">
        <v>153</v>
      </c>
      <c r="C174" s="587" t="s">
        <v>812</v>
      </c>
      <c r="D174" s="588">
        <v>2014</v>
      </c>
      <c r="E174" s="587" t="s">
        <v>775</v>
      </c>
      <c r="F174" s="588">
        <v>20427</v>
      </c>
      <c r="G174" s="588">
        <v>856</v>
      </c>
      <c r="H174" s="588">
        <v>856</v>
      </c>
      <c r="I174" s="588">
        <v>0</v>
      </c>
      <c r="J174" s="588">
        <v>12435</v>
      </c>
      <c r="K174" s="588">
        <v>867</v>
      </c>
      <c r="L174" s="588">
        <v>867</v>
      </c>
      <c r="M174" s="588">
        <v>0</v>
      </c>
      <c r="N174" s="588">
        <v>13728</v>
      </c>
      <c r="O174" s="588">
        <v>47</v>
      </c>
      <c r="P174" s="588">
        <v>35412</v>
      </c>
      <c r="Q174" s="588">
        <v>13047</v>
      </c>
      <c r="R174" s="588">
        <v>82002</v>
      </c>
      <c r="S174" s="588">
        <v>14817</v>
      </c>
      <c r="T174" s="588">
        <v>2014</v>
      </c>
      <c r="U174" s="588">
        <v>2014</v>
      </c>
      <c r="V174" s="589"/>
      <c r="W174" s="589"/>
      <c r="X174" s="589"/>
      <c r="Y174" s="589"/>
      <c r="Z174" s="589"/>
      <c r="AA174" s="589"/>
      <c r="AB174" s="589"/>
      <c r="AC174" s="589"/>
      <c r="AD174" s="589"/>
      <c r="AE174" s="589"/>
      <c r="AF174" s="589"/>
      <c r="AG174" s="589"/>
      <c r="AH174" s="589"/>
      <c r="AI174" s="589"/>
      <c r="AJ174" s="589"/>
      <c r="AK174" s="589"/>
      <c r="AL174" s="589"/>
      <c r="AM174" s="589"/>
      <c r="AN174" s="589"/>
      <c r="AO174" s="589"/>
      <c r="AP174" s="589"/>
      <c r="AQ174" s="589"/>
      <c r="AR174" s="589"/>
      <c r="AS174" s="589"/>
    </row>
    <row r="175" spans="1:45" ht="15">
      <c r="A175" s="590" t="s">
        <v>153</v>
      </c>
      <c r="B175" s="591" t="s">
        <v>394</v>
      </c>
      <c r="C175" s="591" t="s">
        <v>812</v>
      </c>
      <c r="D175" s="592">
        <v>2014</v>
      </c>
      <c r="E175" s="591" t="s">
        <v>775</v>
      </c>
      <c r="F175" s="592">
        <v>7359</v>
      </c>
      <c r="G175" s="592">
        <v>159</v>
      </c>
      <c r="H175" s="592">
        <v>159</v>
      </c>
      <c r="I175" s="592">
        <v>0</v>
      </c>
      <c r="J175" s="592">
        <v>4251</v>
      </c>
      <c r="K175" s="592">
        <v>0</v>
      </c>
      <c r="L175" s="592">
        <v>0</v>
      </c>
      <c r="M175" s="592">
        <v>0</v>
      </c>
      <c r="N175" s="593">
        <v>4898</v>
      </c>
      <c r="O175" s="593">
        <v>0</v>
      </c>
      <c r="P175" s="593">
        <v>10749</v>
      </c>
      <c r="Q175" s="593">
        <v>513</v>
      </c>
      <c r="R175" s="593">
        <v>27257</v>
      </c>
      <c r="S175" s="593">
        <v>672</v>
      </c>
      <c r="T175" s="593">
        <v>2014</v>
      </c>
      <c r="U175" s="593">
        <v>2014</v>
      </c>
      <c r="V175" s="589"/>
      <c r="W175" s="589"/>
      <c r="X175" s="589"/>
      <c r="Y175" s="589"/>
      <c r="Z175" s="589"/>
      <c r="AA175" s="589"/>
      <c r="AB175" s="589"/>
      <c r="AC175" s="589"/>
      <c r="AD175" s="589"/>
      <c r="AE175" s="589"/>
      <c r="AF175" s="589"/>
      <c r="AG175" s="589"/>
      <c r="AH175" s="589"/>
      <c r="AI175" s="589"/>
      <c r="AJ175" s="589"/>
      <c r="AK175" s="589"/>
      <c r="AL175" s="589"/>
      <c r="AM175" s="589"/>
      <c r="AN175" s="589"/>
      <c r="AO175" s="589"/>
      <c r="AP175" s="589"/>
      <c r="AQ175" s="589"/>
      <c r="AR175" s="589"/>
      <c r="AS175" s="589"/>
    </row>
    <row r="176" spans="1:45" ht="15">
      <c r="A176" s="587" t="s">
        <v>187</v>
      </c>
      <c r="B176" s="587" t="s">
        <v>656</v>
      </c>
      <c r="C176" s="587" t="s">
        <v>774</v>
      </c>
      <c r="D176" s="588">
        <v>2014</v>
      </c>
      <c r="E176" s="587" t="s">
        <v>775</v>
      </c>
      <c r="F176" s="588">
        <v>201</v>
      </c>
      <c r="G176" s="588">
        <v>0</v>
      </c>
      <c r="H176" s="588">
        <v>0</v>
      </c>
      <c r="I176" s="588">
        <v>0</v>
      </c>
      <c r="J176" s="588">
        <v>112</v>
      </c>
      <c r="K176" s="588">
        <v>0</v>
      </c>
      <c r="L176" s="588">
        <v>0</v>
      </c>
      <c r="M176" s="588">
        <v>0</v>
      </c>
      <c r="N176" s="588">
        <v>132</v>
      </c>
      <c r="O176" s="588">
        <v>0</v>
      </c>
      <c r="P176" s="588">
        <v>174</v>
      </c>
      <c r="Q176" s="588">
        <v>9</v>
      </c>
      <c r="R176" s="588">
        <v>619</v>
      </c>
      <c r="S176" s="588">
        <v>9</v>
      </c>
      <c r="T176" s="588">
        <v>2015</v>
      </c>
      <c r="U176" s="588">
        <v>2015</v>
      </c>
      <c r="V176" s="589"/>
      <c r="W176" s="589"/>
      <c r="X176" s="589"/>
      <c r="Y176" s="589"/>
      <c r="Z176" s="589"/>
      <c r="AA176" s="589"/>
      <c r="AB176" s="589"/>
      <c r="AC176" s="589"/>
      <c r="AD176" s="589"/>
      <c r="AE176" s="589"/>
      <c r="AF176" s="589"/>
      <c r="AG176" s="589"/>
      <c r="AH176" s="589"/>
      <c r="AI176" s="589"/>
      <c r="AJ176" s="589"/>
      <c r="AK176" s="589"/>
      <c r="AL176" s="589"/>
      <c r="AM176" s="589"/>
      <c r="AN176" s="589"/>
      <c r="AO176" s="589"/>
      <c r="AP176" s="589"/>
      <c r="AQ176" s="589"/>
      <c r="AR176" s="589"/>
      <c r="AS176" s="589"/>
    </row>
    <row r="177" spans="1:45" ht="15">
      <c r="A177" s="590" t="s">
        <v>156</v>
      </c>
      <c r="B177" s="591" t="s">
        <v>156</v>
      </c>
      <c r="C177" s="591" t="s">
        <v>784</v>
      </c>
      <c r="D177" s="592">
        <v>2014</v>
      </c>
      <c r="E177" s="591" t="s">
        <v>775</v>
      </c>
      <c r="F177" s="592">
        <v>1352</v>
      </c>
      <c r="G177" s="592">
        <v>15</v>
      </c>
      <c r="H177" s="592">
        <v>15</v>
      </c>
      <c r="I177" s="592">
        <v>0</v>
      </c>
      <c r="J177" s="592">
        <v>1056</v>
      </c>
      <c r="K177" s="592">
        <v>113</v>
      </c>
      <c r="L177" s="592">
        <v>113</v>
      </c>
      <c r="M177" s="592">
        <v>0</v>
      </c>
      <c r="N177" s="593">
        <v>1091</v>
      </c>
      <c r="O177" s="593">
        <v>21</v>
      </c>
      <c r="P177" s="593">
        <v>2600</v>
      </c>
      <c r="Q177" s="593">
        <v>1</v>
      </c>
      <c r="R177" s="593">
        <v>6099</v>
      </c>
      <c r="S177" s="593">
        <v>150</v>
      </c>
      <c r="T177" s="593">
        <v>2016</v>
      </c>
      <c r="U177" s="593">
        <v>2016</v>
      </c>
      <c r="V177" s="589"/>
      <c r="W177" s="589"/>
      <c r="X177" s="589"/>
      <c r="Y177" s="589"/>
      <c r="Z177" s="589"/>
      <c r="AA177" s="589"/>
      <c r="AB177" s="589"/>
      <c r="AC177" s="589"/>
      <c r="AD177" s="589"/>
      <c r="AE177" s="589"/>
      <c r="AF177" s="589"/>
      <c r="AG177" s="589"/>
      <c r="AH177" s="589"/>
      <c r="AI177" s="589"/>
      <c r="AJ177" s="589"/>
      <c r="AK177" s="589"/>
      <c r="AL177" s="589"/>
      <c r="AM177" s="589"/>
      <c r="AN177" s="589"/>
      <c r="AO177" s="589"/>
      <c r="AP177" s="589"/>
      <c r="AQ177" s="589"/>
      <c r="AR177" s="589"/>
      <c r="AS177" s="589"/>
    </row>
    <row r="178" spans="1:45" ht="15">
      <c r="A178" s="587" t="s">
        <v>153</v>
      </c>
      <c r="B178" s="587" t="s">
        <v>396</v>
      </c>
      <c r="C178" s="587" t="s">
        <v>812</v>
      </c>
      <c r="D178" s="588">
        <v>2014</v>
      </c>
      <c r="E178" s="587" t="s">
        <v>775</v>
      </c>
      <c r="F178" s="588">
        <v>1</v>
      </c>
      <c r="G178" s="588">
        <v>0</v>
      </c>
      <c r="H178" s="588">
        <v>0</v>
      </c>
      <c r="I178" s="588">
        <v>0</v>
      </c>
      <c r="J178" s="588">
        <v>1</v>
      </c>
      <c r="K178" s="588">
        <v>0</v>
      </c>
      <c r="L178" s="588">
        <v>0</v>
      </c>
      <c r="M178" s="588">
        <v>0</v>
      </c>
      <c r="N178" s="588">
        <v>0</v>
      </c>
      <c r="O178" s="588">
        <v>0</v>
      </c>
      <c r="P178" s="588">
        <v>0</v>
      </c>
      <c r="Q178" s="588">
        <v>13</v>
      </c>
      <c r="R178" s="588">
        <v>2</v>
      </c>
      <c r="S178" s="588">
        <v>13</v>
      </c>
      <c r="T178" s="588">
        <v>2014</v>
      </c>
      <c r="U178" s="588">
        <v>2014</v>
      </c>
      <c r="V178" s="589"/>
      <c r="W178" s="589"/>
      <c r="X178" s="589"/>
      <c r="Y178" s="589"/>
      <c r="Z178" s="589"/>
      <c r="AA178" s="589"/>
      <c r="AB178" s="589"/>
      <c r="AC178" s="589"/>
      <c r="AD178" s="589"/>
      <c r="AE178" s="589"/>
      <c r="AF178" s="589"/>
      <c r="AG178" s="589"/>
      <c r="AH178" s="589"/>
      <c r="AI178" s="589"/>
      <c r="AJ178" s="589"/>
      <c r="AK178" s="589"/>
      <c r="AL178" s="589"/>
      <c r="AM178" s="589"/>
      <c r="AN178" s="589"/>
      <c r="AO178" s="589"/>
      <c r="AP178" s="589"/>
      <c r="AQ178" s="589"/>
      <c r="AR178" s="589"/>
      <c r="AS178" s="589"/>
    </row>
    <row r="179" spans="1:45" ht="15">
      <c r="A179" s="590" t="s">
        <v>163</v>
      </c>
      <c r="B179" s="591" t="s">
        <v>462</v>
      </c>
      <c r="C179" s="591" t="s">
        <v>784</v>
      </c>
      <c r="D179" s="592">
        <v>2014</v>
      </c>
      <c r="E179" s="591" t="s">
        <v>775</v>
      </c>
      <c r="F179" s="592">
        <v>17</v>
      </c>
      <c r="G179" s="592">
        <v>0</v>
      </c>
      <c r="H179" s="592">
        <v>0</v>
      </c>
      <c r="I179" s="592">
        <v>0</v>
      </c>
      <c r="J179" s="592">
        <v>12</v>
      </c>
      <c r="K179" s="592">
        <v>0</v>
      </c>
      <c r="L179" s="592">
        <v>0</v>
      </c>
      <c r="M179" s="592">
        <v>0</v>
      </c>
      <c r="N179" s="593">
        <v>14</v>
      </c>
      <c r="O179" s="593">
        <v>0</v>
      </c>
      <c r="P179" s="593">
        <v>31</v>
      </c>
      <c r="Q179" s="593">
        <v>12</v>
      </c>
      <c r="R179" s="593">
        <v>74</v>
      </c>
      <c r="S179" s="593">
        <v>12</v>
      </c>
      <c r="T179" s="593">
        <v>2014</v>
      </c>
      <c r="U179" s="593">
        <v>2014</v>
      </c>
      <c r="V179" s="589"/>
      <c r="W179" s="589"/>
      <c r="X179" s="589"/>
      <c r="Y179" s="589"/>
      <c r="Z179" s="589"/>
      <c r="AA179" s="589"/>
      <c r="AB179" s="589"/>
      <c r="AC179" s="589"/>
      <c r="AD179" s="589"/>
      <c r="AE179" s="589"/>
      <c r="AF179" s="589"/>
      <c r="AG179" s="589"/>
      <c r="AH179" s="589"/>
      <c r="AI179" s="589"/>
      <c r="AJ179" s="589"/>
      <c r="AK179" s="589"/>
      <c r="AL179" s="589"/>
      <c r="AM179" s="589"/>
      <c r="AN179" s="589"/>
      <c r="AO179" s="589"/>
      <c r="AP179" s="589"/>
      <c r="AQ179" s="589"/>
      <c r="AR179" s="589"/>
      <c r="AS179" s="589"/>
    </row>
    <row r="180" spans="1:45" ht="15">
      <c r="A180" s="587" t="s">
        <v>153</v>
      </c>
      <c r="B180" s="587" t="s">
        <v>397</v>
      </c>
      <c r="C180" s="587" t="s">
        <v>812</v>
      </c>
      <c r="D180" s="588">
        <v>2014</v>
      </c>
      <c r="E180" s="587" t="s">
        <v>775</v>
      </c>
      <c r="F180" s="588">
        <v>10</v>
      </c>
      <c r="G180" s="588">
        <v>0</v>
      </c>
      <c r="H180" s="588">
        <v>0</v>
      </c>
      <c r="I180" s="588">
        <v>0</v>
      </c>
      <c r="J180" s="588">
        <v>6</v>
      </c>
      <c r="K180" s="588">
        <v>0</v>
      </c>
      <c r="L180" s="588">
        <v>0</v>
      </c>
      <c r="M180" s="588">
        <v>0</v>
      </c>
      <c r="N180" s="588">
        <v>7</v>
      </c>
      <c r="O180" s="588">
        <v>0</v>
      </c>
      <c r="P180" s="588">
        <v>15</v>
      </c>
      <c r="Q180" s="588">
        <v>73</v>
      </c>
      <c r="R180" s="588">
        <v>38</v>
      </c>
      <c r="S180" s="588">
        <v>73</v>
      </c>
      <c r="T180" s="588">
        <v>2014</v>
      </c>
      <c r="U180" s="588">
        <v>2014</v>
      </c>
      <c r="V180" s="589"/>
      <c r="W180" s="589"/>
      <c r="X180" s="589"/>
      <c r="Y180" s="589"/>
      <c r="Z180" s="589"/>
      <c r="AA180" s="589"/>
      <c r="AB180" s="589"/>
      <c r="AC180" s="589"/>
      <c r="AD180" s="589"/>
      <c r="AE180" s="589"/>
      <c r="AF180" s="589"/>
      <c r="AG180" s="589"/>
      <c r="AH180" s="589"/>
      <c r="AI180" s="589"/>
      <c r="AJ180" s="589"/>
      <c r="AK180" s="589"/>
      <c r="AL180" s="589"/>
      <c r="AM180" s="589"/>
      <c r="AN180" s="589"/>
      <c r="AO180" s="589"/>
      <c r="AP180" s="589"/>
      <c r="AQ180" s="589"/>
      <c r="AR180" s="589"/>
      <c r="AS180" s="589"/>
    </row>
    <row r="181" spans="1:45" ht="15">
      <c r="A181" s="590" t="s">
        <v>157</v>
      </c>
      <c r="B181" s="591" t="s">
        <v>440</v>
      </c>
      <c r="C181" s="591" t="s">
        <v>774</v>
      </c>
      <c r="D181" s="592">
        <v>2014</v>
      </c>
      <c r="E181" s="591" t="s">
        <v>775</v>
      </c>
      <c r="F181" s="592">
        <v>55</v>
      </c>
      <c r="G181" s="592">
        <v>1</v>
      </c>
      <c r="H181" s="592">
        <v>0</v>
      </c>
      <c r="I181" s="592">
        <v>1</v>
      </c>
      <c r="J181" s="592">
        <v>32</v>
      </c>
      <c r="K181" s="592">
        <v>3</v>
      </c>
      <c r="L181" s="592">
        <v>0</v>
      </c>
      <c r="M181" s="592">
        <v>3</v>
      </c>
      <c r="N181" s="593">
        <v>37</v>
      </c>
      <c r="O181" s="593">
        <v>10</v>
      </c>
      <c r="P181" s="593">
        <v>61</v>
      </c>
      <c r="Q181" s="593">
        <v>29</v>
      </c>
      <c r="R181" s="593">
        <v>185</v>
      </c>
      <c r="S181" s="593">
        <v>43</v>
      </c>
      <c r="T181" s="593">
        <v>2015</v>
      </c>
      <c r="U181" s="593">
        <v>2015</v>
      </c>
      <c r="V181" s="589"/>
      <c r="W181" s="589"/>
      <c r="X181" s="589"/>
      <c r="Y181" s="589"/>
      <c r="Z181" s="589"/>
      <c r="AA181" s="589"/>
      <c r="AB181" s="589"/>
      <c r="AC181" s="589"/>
      <c r="AD181" s="589"/>
      <c r="AE181" s="589"/>
      <c r="AF181" s="589"/>
      <c r="AG181" s="589"/>
      <c r="AH181" s="589"/>
      <c r="AI181" s="589"/>
      <c r="AJ181" s="589"/>
      <c r="AK181" s="589"/>
      <c r="AL181" s="589"/>
      <c r="AM181" s="589"/>
      <c r="AN181" s="589"/>
      <c r="AO181" s="589"/>
      <c r="AP181" s="589"/>
      <c r="AQ181" s="589"/>
      <c r="AR181" s="589"/>
      <c r="AS181" s="589"/>
    </row>
    <row r="182" spans="1:45" ht="15">
      <c r="A182" s="587" t="s">
        <v>158</v>
      </c>
      <c r="B182" s="587" t="s">
        <v>448</v>
      </c>
      <c r="C182" s="587" t="s">
        <v>784</v>
      </c>
      <c r="D182" s="588">
        <v>2014</v>
      </c>
      <c r="E182" s="587" t="s">
        <v>775</v>
      </c>
      <c r="F182" s="588">
        <v>265</v>
      </c>
      <c r="G182" s="588">
        <v>0</v>
      </c>
      <c r="H182" s="588">
        <v>0</v>
      </c>
      <c r="I182" s="588">
        <v>0</v>
      </c>
      <c r="J182" s="588">
        <v>130</v>
      </c>
      <c r="K182" s="588">
        <v>0</v>
      </c>
      <c r="L182" s="588">
        <v>0</v>
      </c>
      <c r="M182" s="588">
        <v>0</v>
      </c>
      <c r="N182" s="588">
        <v>180</v>
      </c>
      <c r="O182" s="588">
        <v>35</v>
      </c>
      <c r="P182" s="588">
        <v>420</v>
      </c>
      <c r="Q182" s="588">
        <v>14</v>
      </c>
      <c r="R182" s="588">
        <v>995</v>
      </c>
      <c r="S182" s="588">
        <v>49</v>
      </c>
      <c r="T182" s="588">
        <v>2014</v>
      </c>
      <c r="U182" s="588">
        <v>2014</v>
      </c>
      <c r="V182" s="589"/>
      <c r="W182" s="589"/>
      <c r="X182" s="589"/>
      <c r="Y182" s="589"/>
      <c r="Z182" s="589"/>
      <c r="AA182" s="589"/>
      <c r="AB182" s="589"/>
      <c r="AC182" s="589"/>
      <c r="AD182" s="589"/>
      <c r="AE182" s="589"/>
      <c r="AF182" s="589"/>
      <c r="AG182" s="589"/>
      <c r="AH182" s="589"/>
      <c r="AI182" s="589"/>
      <c r="AJ182" s="589"/>
      <c r="AK182" s="589"/>
      <c r="AL182" s="589"/>
      <c r="AM182" s="589"/>
      <c r="AN182" s="589"/>
      <c r="AO182" s="589"/>
      <c r="AP182" s="589"/>
      <c r="AQ182" s="589"/>
      <c r="AR182" s="589"/>
      <c r="AS182" s="589"/>
    </row>
    <row r="183" spans="1:45" ht="15">
      <c r="A183" s="590" t="s">
        <v>173</v>
      </c>
      <c r="B183" s="591" t="s">
        <v>544</v>
      </c>
      <c r="C183" s="591" t="s">
        <v>812</v>
      </c>
      <c r="D183" s="592">
        <v>2014</v>
      </c>
      <c r="E183" s="591" t="s">
        <v>775</v>
      </c>
      <c r="F183" s="592">
        <v>1488</v>
      </c>
      <c r="G183" s="592">
        <v>1</v>
      </c>
      <c r="H183" s="592">
        <v>0</v>
      </c>
      <c r="I183" s="592">
        <v>1</v>
      </c>
      <c r="J183" s="592">
        <v>1007</v>
      </c>
      <c r="K183" s="592">
        <v>1</v>
      </c>
      <c r="L183" s="592">
        <v>0</v>
      </c>
      <c r="M183" s="592">
        <v>1</v>
      </c>
      <c r="N183" s="593">
        <v>1140</v>
      </c>
      <c r="O183" s="593">
        <v>158</v>
      </c>
      <c r="P183" s="593">
        <v>2610</v>
      </c>
      <c r="Q183" s="593">
        <v>181</v>
      </c>
      <c r="R183" s="593">
        <v>6245</v>
      </c>
      <c r="S183" s="593">
        <v>341</v>
      </c>
      <c r="T183" s="593">
        <v>2014</v>
      </c>
      <c r="U183" s="593">
        <v>2014</v>
      </c>
      <c r="V183" s="589"/>
      <c r="W183" s="589"/>
      <c r="X183" s="589"/>
      <c r="Y183" s="589"/>
      <c r="Z183" s="589"/>
      <c r="AA183" s="589"/>
      <c r="AB183" s="589"/>
      <c r="AC183" s="589"/>
      <c r="AD183" s="589"/>
      <c r="AE183" s="589"/>
      <c r="AF183" s="589"/>
      <c r="AG183" s="589"/>
      <c r="AH183" s="589"/>
      <c r="AI183" s="589"/>
      <c r="AJ183" s="589"/>
      <c r="AK183" s="589"/>
      <c r="AL183" s="589"/>
      <c r="AM183" s="589"/>
      <c r="AN183" s="589"/>
      <c r="AO183" s="589"/>
      <c r="AP183" s="589"/>
      <c r="AQ183" s="589"/>
      <c r="AR183" s="589"/>
      <c r="AS183" s="589"/>
    </row>
    <row r="184" spans="1:45" ht="15">
      <c r="A184" s="587" t="s">
        <v>187</v>
      </c>
      <c r="B184" s="587" t="s">
        <v>657</v>
      </c>
      <c r="C184" s="587" t="s">
        <v>774</v>
      </c>
      <c r="D184" s="588">
        <v>2014</v>
      </c>
      <c r="E184" s="587" t="s">
        <v>775</v>
      </c>
      <c r="F184" s="588">
        <v>1004</v>
      </c>
      <c r="G184" s="588">
        <v>0</v>
      </c>
      <c r="H184" s="588">
        <v>0</v>
      </c>
      <c r="I184" s="588">
        <v>0</v>
      </c>
      <c r="J184" s="588">
        <v>570</v>
      </c>
      <c r="K184" s="588">
        <v>0</v>
      </c>
      <c r="L184" s="588">
        <v>0</v>
      </c>
      <c r="M184" s="588">
        <v>0</v>
      </c>
      <c r="N184" s="588">
        <v>565</v>
      </c>
      <c r="O184" s="588">
        <v>0</v>
      </c>
      <c r="P184" s="588">
        <v>1151</v>
      </c>
      <c r="Q184" s="588">
        <v>841</v>
      </c>
      <c r="R184" s="588">
        <v>3290</v>
      </c>
      <c r="S184" s="588">
        <v>841</v>
      </c>
      <c r="T184" s="588">
        <v>2015</v>
      </c>
      <c r="U184" s="588">
        <v>2015</v>
      </c>
      <c r="V184" s="589"/>
      <c r="W184" s="589"/>
      <c r="X184" s="589"/>
      <c r="Y184" s="589"/>
      <c r="Z184" s="589"/>
      <c r="AA184" s="589"/>
      <c r="AB184" s="589"/>
      <c r="AC184" s="589"/>
      <c r="AD184" s="589"/>
      <c r="AE184" s="589"/>
      <c r="AF184" s="589"/>
      <c r="AG184" s="589"/>
      <c r="AH184" s="589"/>
      <c r="AI184" s="589"/>
      <c r="AJ184" s="589"/>
      <c r="AK184" s="589"/>
      <c r="AL184" s="589"/>
      <c r="AM184" s="589"/>
      <c r="AN184" s="589"/>
      <c r="AO184" s="589"/>
      <c r="AP184" s="589"/>
      <c r="AQ184" s="589"/>
      <c r="AR184" s="589"/>
      <c r="AS184" s="589"/>
    </row>
    <row r="185" spans="1:45" ht="15">
      <c r="A185" s="590" t="s">
        <v>169</v>
      </c>
      <c r="B185" s="591" t="s">
        <v>505</v>
      </c>
      <c r="C185" s="591" t="s">
        <v>812</v>
      </c>
      <c r="D185" s="592">
        <v>2014</v>
      </c>
      <c r="E185" s="591" t="s">
        <v>775</v>
      </c>
      <c r="F185" s="592">
        <v>42</v>
      </c>
      <c r="G185" s="592">
        <v>9</v>
      </c>
      <c r="H185" s="592">
        <v>9</v>
      </c>
      <c r="I185" s="592">
        <v>0</v>
      </c>
      <c r="J185" s="592">
        <v>29</v>
      </c>
      <c r="K185" s="592">
        <v>6</v>
      </c>
      <c r="L185" s="592">
        <v>6</v>
      </c>
      <c r="M185" s="592">
        <v>0</v>
      </c>
      <c r="N185" s="593">
        <v>33</v>
      </c>
      <c r="O185" s="593">
        <v>16</v>
      </c>
      <c r="P185" s="593">
        <v>73</v>
      </c>
      <c r="Q185" s="593">
        <v>296</v>
      </c>
      <c r="R185" s="593">
        <v>177</v>
      </c>
      <c r="S185" s="593">
        <v>327</v>
      </c>
      <c r="T185" s="593">
        <v>2014</v>
      </c>
      <c r="U185" s="593">
        <v>2014</v>
      </c>
      <c r="V185" s="589"/>
      <c r="W185" s="589"/>
      <c r="X185" s="589"/>
      <c r="Y185" s="589"/>
      <c r="Z185" s="589"/>
      <c r="AA185" s="589"/>
      <c r="AB185" s="589"/>
      <c r="AC185" s="589"/>
      <c r="AD185" s="589"/>
      <c r="AE185" s="589"/>
      <c r="AF185" s="589"/>
      <c r="AG185" s="589"/>
      <c r="AH185" s="589"/>
      <c r="AI185" s="589"/>
      <c r="AJ185" s="589"/>
      <c r="AK185" s="589"/>
      <c r="AL185" s="589"/>
      <c r="AM185" s="589"/>
      <c r="AN185" s="589"/>
      <c r="AO185" s="589"/>
      <c r="AP185" s="589"/>
      <c r="AQ185" s="589"/>
      <c r="AR185" s="589"/>
      <c r="AS185" s="589"/>
    </row>
    <row r="186" spans="1:45" ht="15">
      <c r="A186" s="587" t="s">
        <v>162</v>
      </c>
      <c r="B186" s="587" t="s">
        <v>461</v>
      </c>
      <c r="C186" s="587" t="s">
        <v>784</v>
      </c>
      <c r="D186" s="588">
        <v>2014</v>
      </c>
      <c r="E186" s="587" t="s">
        <v>775</v>
      </c>
      <c r="F186" s="588">
        <v>2</v>
      </c>
      <c r="G186" s="588">
        <v>0</v>
      </c>
      <c r="H186" s="588">
        <v>0</v>
      </c>
      <c r="I186" s="588">
        <v>0</v>
      </c>
      <c r="J186" s="588">
        <v>2</v>
      </c>
      <c r="K186" s="588">
        <v>0</v>
      </c>
      <c r="L186" s="588">
        <v>0</v>
      </c>
      <c r="M186" s="588">
        <v>0</v>
      </c>
      <c r="N186" s="588">
        <v>1</v>
      </c>
      <c r="O186" s="588">
        <v>6</v>
      </c>
      <c r="P186" s="588">
        <v>5</v>
      </c>
      <c r="Q186" s="588">
        <v>2</v>
      </c>
      <c r="R186" s="588">
        <v>10</v>
      </c>
      <c r="S186" s="588">
        <v>8</v>
      </c>
      <c r="T186" s="588">
        <v>2014</v>
      </c>
      <c r="U186" s="588">
        <v>2014</v>
      </c>
      <c r="V186" s="589"/>
      <c r="W186" s="589"/>
      <c r="X186" s="589"/>
      <c r="Y186" s="589"/>
      <c r="Z186" s="589"/>
      <c r="AA186" s="589"/>
      <c r="AB186" s="589"/>
      <c r="AC186" s="589"/>
      <c r="AD186" s="589"/>
      <c r="AE186" s="589"/>
      <c r="AF186" s="589"/>
      <c r="AG186" s="589"/>
      <c r="AH186" s="589"/>
      <c r="AI186" s="589"/>
      <c r="AJ186" s="589"/>
      <c r="AK186" s="589"/>
      <c r="AL186" s="589"/>
      <c r="AM186" s="589"/>
      <c r="AN186" s="589"/>
      <c r="AO186" s="589"/>
      <c r="AP186" s="589"/>
      <c r="AQ186" s="589"/>
      <c r="AR186" s="589"/>
      <c r="AS186" s="589"/>
    </row>
    <row r="187" spans="1:45" ht="15">
      <c r="A187" s="590" t="s">
        <v>163</v>
      </c>
      <c r="B187" s="591" t="s">
        <v>463</v>
      </c>
      <c r="C187" s="591" t="s">
        <v>784</v>
      </c>
      <c r="D187" s="592">
        <v>2014</v>
      </c>
      <c r="E187" s="591" t="s">
        <v>775</v>
      </c>
      <c r="F187" s="592">
        <v>11</v>
      </c>
      <c r="G187" s="592">
        <v>0</v>
      </c>
      <c r="H187" s="592">
        <v>0</v>
      </c>
      <c r="I187" s="592">
        <v>0</v>
      </c>
      <c r="J187" s="592">
        <v>7</v>
      </c>
      <c r="K187" s="592">
        <v>0</v>
      </c>
      <c r="L187" s="592">
        <v>0</v>
      </c>
      <c r="M187" s="592">
        <v>0</v>
      </c>
      <c r="N187" s="593">
        <v>9</v>
      </c>
      <c r="O187" s="593">
        <v>9</v>
      </c>
      <c r="P187" s="593">
        <v>19</v>
      </c>
      <c r="Q187" s="593">
        <v>4</v>
      </c>
      <c r="R187" s="593">
        <v>46</v>
      </c>
      <c r="S187" s="593">
        <v>13</v>
      </c>
      <c r="T187" s="593">
        <v>2014</v>
      </c>
      <c r="U187" s="593">
        <v>2014</v>
      </c>
      <c r="V187" s="589"/>
      <c r="W187" s="589"/>
      <c r="X187" s="589"/>
      <c r="Y187" s="589"/>
      <c r="Z187" s="589"/>
      <c r="AA187" s="589"/>
      <c r="AB187" s="589"/>
      <c r="AC187" s="589"/>
      <c r="AD187" s="589"/>
      <c r="AE187" s="589"/>
      <c r="AF187" s="589"/>
      <c r="AG187" s="589"/>
      <c r="AH187" s="589"/>
      <c r="AI187" s="589"/>
      <c r="AJ187" s="589"/>
      <c r="AK187" s="589"/>
      <c r="AL187" s="589"/>
      <c r="AM187" s="589"/>
      <c r="AN187" s="589"/>
      <c r="AO187" s="589"/>
      <c r="AP187" s="589"/>
      <c r="AQ187" s="589"/>
      <c r="AR187" s="589"/>
      <c r="AS187" s="589"/>
    </row>
    <row r="188" spans="1:45" ht="15">
      <c r="A188" s="587" t="s">
        <v>153</v>
      </c>
      <c r="B188" s="587" t="s">
        <v>399</v>
      </c>
      <c r="C188" s="587" t="s">
        <v>812</v>
      </c>
      <c r="D188" s="588">
        <v>2014</v>
      </c>
      <c r="E188" s="587" t="s">
        <v>775</v>
      </c>
      <c r="F188" s="588">
        <v>101</v>
      </c>
      <c r="G188" s="588">
        <v>0</v>
      </c>
      <c r="H188" s="588">
        <v>0</v>
      </c>
      <c r="I188" s="588">
        <v>0</v>
      </c>
      <c r="J188" s="588">
        <v>61</v>
      </c>
      <c r="K188" s="588">
        <v>0</v>
      </c>
      <c r="L188" s="588">
        <v>0</v>
      </c>
      <c r="M188" s="588">
        <v>0</v>
      </c>
      <c r="N188" s="588">
        <v>65</v>
      </c>
      <c r="O188" s="588">
        <v>2</v>
      </c>
      <c r="P188" s="588">
        <v>162</v>
      </c>
      <c r="Q188" s="588">
        <v>34</v>
      </c>
      <c r="R188" s="588">
        <v>389</v>
      </c>
      <c r="S188" s="588">
        <v>36</v>
      </c>
      <c r="T188" s="588">
        <v>2014</v>
      </c>
      <c r="U188" s="588">
        <v>2014</v>
      </c>
      <c r="V188" s="589"/>
      <c r="W188" s="589"/>
      <c r="X188" s="589"/>
      <c r="Y188" s="589"/>
      <c r="Z188" s="589"/>
      <c r="AA188" s="589"/>
      <c r="AB188" s="589"/>
      <c r="AC188" s="589"/>
      <c r="AD188" s="589"/>
      <c r="AE188" s="589"/>
      <c r="AF188" s="589"/>
      <c r="AG188" s="589"/>
      <c r="AH188" s="589"/>
      <c r="AI188" s="589"/>
      <c r="AJ188" s="589"/>
      <c r="AK188" s="589"/>
      <c r="AL188" s="589"/>
      <c r="AM188" s="589"/>
      <c r="AN188" s="589"/>
      <c r="AO188" s="589"/>
      <c r="AP188" s="589"/>
      <c r="AQ188" s="589"/>
      <c r="AR188" s="589"/>
      <c r="AS188" s="589"/>
    </row>
    <row r="189" spans="1:45" ht="15">
      <c r="A189" s="590" t="s">
        <v>178</v>
      </c>
      <c r="B189" s="591" t="s">
        <v>578</v>
      </c>
      <c r="C189" s="591" t="s">
        <v>812</v>
      </c>
      <c r="D189" s="592">
        <v>2014</v>
      </c>
      <c r="E189" s="591" t="s">
        <v>775</v>
      </c>
      <c r="F189" s="592">
        <v>164</v>
      </c>
      <c r="G189" s="592">
        <v>0</v>
      </c>
      <c r="H189" s="592">
        <v>0</v>
      </c>
      <c r="I189" s="592">
        <v>0</v>
      </c>
      <c r="J189" s="592">
        <v>114</v>
      </c>
      <c r="K189" s="592">
        <v>0</v>
      </c>
      <c r="L189" s="592">
        <v>0</v>
      </c>
      <c r="M189" s="592">
        <v>0</v>
      </c>
      <c r="N189" s="593">
        <v>125</v>
      </c>
      <c r="O189" s="593">
        <v>0</v>
      </c>
      <c r="P189" s="593">
        <v>294</v>
      </c>
      <c r="Q189" s="593">
        <v>10</v>
      </c>
      <c r="R189" s="593">
        <v>697</v>
      </c>
      <c r="S189" s="593">
        <v>10</v>
      </c>
      <c r="T189" s="593">
        <v>2014</v>
      </c>
      <c r="U189" s="593">
        <v>2014</v>
      </c>
      <c r="V189" s="589"/>
      <c r="W189" s="589"/>
      <c r="X189" s="589"/>
      <c r="Y189" s="589"/>
      <c r="Z189" s="589"/>
      <c r="AA189" s="589"/>
      <c r="AB189" s="589"/>
      <c r="AC189" s="589"/>
      <c r="AD189" s="589"/>
      <c r="AE189" s="589"/>
      <c r="AF189" s="589"/>
      <c r="AG189" s="589"/>
      <c r="AH189" s="589"/>
      <c r="AI189" s="589"/>
      <c r="AJ189" s="589"/>
      <c r="AK189" s="589"/>
      <c r="AL189" s="589"/>
      <c r="AM189" s="589"/>
      <c r="AN189" s="589"/>
      <c r="AO189" s="589"/>
      <c r="AP189" s="589"/>
      <c r="AQ189" s="589"/>
      <c r="AR189" s="589"/>
      <c r="AS189" s="589"/>
    </row>
    <row r="190" spans="1:45" ht="15">
      <c r="A190" s="587" t="s">
        <v>187</v>
      </c>
      <c r="B190" s="587" t="s">
        <v>658</v>
      </c>
      <c r="C190" s="587" t="s">
        <v>774</v>
      </c>
      <c r="D190" s="588">
        <v>2014</v>
      </c>
      <c r="E190" s="587" t="s">
        <v>775</v>
      </c>
      <c r="F190" s="588">
        <v>23</v>
      </c>
      <c r="G190" s="588">
        <v>0</v>
      </c>
      <c r="H190" s="588">
        <v>0</v>
      </c>
      <c r="I190" s="588">
        <v>0</v>
      </c>
      <c r="J190" s="588">
        <v>13</v>
      </c>
      <c r="K190" s="588">
        <v>1</v>
      </c>
      <c r="L190" s="588">
        <v>1</v>
      </c>
      <c r="M190" s="588">
        <v>0</v>
      </c>
      <c r="N190" s="588">
        <v>13</v>
      </c>
      <c r="O190" s="588">
        <v>0</v>
      </c>
      <c r="P190" s="588">
        <v>12</v>
      </c>
      <c r="Q190" s="588">
        <v>4</v>
      </c>
      <c r="R190" s="588">
        <v>61</v>
      </c>
      <c r="S190" s="588">
        <v>5</v>
      </c>
      <c r="T190" s="588">
        <v>2015</v>
      </c>
      <c r="U190" s="588">
        <v>2015</v>
      </c>
      <c r="V190" s="589"/>
      <c r="W190" s="589"/>
      <c r="X190" s="589"/>
      <c r="Y190" s="589"/>
      <c r="Z190" s="589"/>
      <c r="AA190" s="589"/>
      <c r="AB190" s="589"/>
      <c r="AC190" s="589"/>
      <c r="AD190" s="589"/>
      <c r="AE190" s="589"/>
      <c r="AF190" s="589"/>
      <c r="AG190" s="589"/>
      <c r="AH190" s="589"/>
      <c r="AI190" s="589"/>
      <c r="AJ190" s="589"/>
      <c r="AK190" s="589"/>
      <c r="AL190" s="589"/>
      <c r="AM190" s="589"/>
      <c r="AN190" s="589"/>
      <c r="AO190" s="589"/>
      <c r="AP190" s="589"/>
      <c r="AQ190" s="589"/>
      <c r="AR190" s="589"/>
      <c r="AS190" s="589"/>
    </row>
    <row r="191" spans="1:45" ht="15">
      <c r="A191" s="590" t="s">
        <v>201</v>
      </c>
      <c r="B191" s="591" t="s">
        <v>732</v>
      </c>
      <c r="C191" s="591" t="s">
        <v>812</v>
      </c>
      <c r="D191" s="592">
        <v>2014</v>
      </c>
      <c r="E191" s="591" t="s">
        <v>775</v>
      </c>
      <c r="F191" s="592">
        <v>289</v>
      </c>
      <c r="G191" s="592">
        <v>0</v>
      </c>
      <c r="H191" s="592">
        <v>0</v>
      </c>
      <c r="I191" s="592">
        <v>0</v>
      </c>
      <c r="J191" s="592">
        <v>197</v>
      </c>
      <c r="K191" s="592">
        <v>3</v>
      </c>
      <c r="L191" s="592">
        <v>3</v>
      </c>
      <c r="M191" s="592">
        <v>0</v>
      </c>
      <c r="N191" s="593">
        <v>216</v>
      </c>
      <c r="O191" s="593">
        <v>0</v>
      </c>
      <c r="P191" s="593">
        <v>462</v>
      </c>
      <c r="Q191" s="593">
        <v>159</v>
      </c>
      <c r="R191" s="593">
        <v>1164</v>
      </c>
      <c r="S191" s="593">
        <v>162</v>
      </c>
      <c r="T191" s="593">
        <v>2014</v>
      </c>
      <c r="U191" s="593">
        <v>2014</v>
      </c>
      <c r="V191" s="589"/>
      <c r="W191" s="589"/>
      <c r="X191" s="589"/>
      <c r="Y191" s="589"/>
      <c r="Z191" s="589"/>
      <c r="AA191" s="589"/>
      <c r="AB191" s="589"/>
      <c r="AC191" s="589"/>
      <c r="AD191" s="589"/>
      <c r="AE191" s="589"/>
      <c r="AF191" s="589"/>
      <c r="AG191" s="589"/>
      <c r="AH191" s="589"/>
      <c r="AI191" s="589"/>
      <c r="AJ191" s="589"/>
      <c r="AK191" s="589"/>
      <c r="AL191" s="589"/>
      <c r="AM191" s="589"/>
      <c r="AN191" s="589"/>
      <c r="AO191" s="589"/>
      <c r="AP191" s="589"/>
      <c r="AQ191" s="589"/>
      <c r="AR191" s="589"/>
      <c r="AS191" s="589"/>
    </row>
    <row r="192" spans="1:45" ht="15">
      <c r="A192" s="587" t="s">
        <v>136</v>
      </c>
      <c r="B192" s="587" t="s">
        <v>275</v>
      </c>
      <c r="C192" s="587" t="s">
        <v>774</v>
      </c>
      <c r="D192" s="588">
        <v>2014</v>
      </c>
      <c r="E192" s="587" t="s">
        <v>775</v>
      </c>
      <c r="F192" s="588">
        <v>75</v>
      </c>
      <c r="G192" s="588">
        <v>0</v>
      </c>
      <c r="H192" s="588">
        <v>0</v>
      </c>
      <c r="I192" s="588">
        <v>0</v>
      </c>
      <c r="J192" s="588">
        <v>44</v>
      </c>
      <c r="K192" s="588">
        <v>0</v>
      </c>
      <c r="L192" s="588">
        <v>0</v>
      </c>
      <c r="M192" s="588">
        <v>0</v>
      </c>
      <c r="N192" s="588">
        <v>50</v>
      </c>
      <c r="O192" s="588">
        <v>0</v>
      </c>
      <c r="P192" s="588">
        <v>60</v>
      </c>
      <c r="Q192" s="588">
        <v>0</v>
      </c>
      <c r="R192" s="588">
        <v>229</v>
      </c>
      <c r="S192" s="588">
        <v>0</v>
      </c>
      <c r="T192" s="588">
        <v>2015</v>
      </c>
      <c r="U192" s="588">
        <v>2015</v>
      </c>
      <c r="V192" s="589"/>
      <c r="W192" s="589"/>
      <c r="X192" s="589"/>
      <c r="Y192" s="589"/>
      <c r="Z192" s="589"/>
      <c r="AA192" s="589"/>
      <c r="AB192" s="589"/>
      <c r="AC192" s="589"/>
      <c r="AD192" s="589"/>
      <c r="AE192" s="589"/>
      <c r="AF192" s="589"/>
      <c r="AG192" s="589"/>
      <c r="AH192" s="589"/>
      <c r="AI192" s="589"/>
      <c r="AJ192" s="589"/>
      <c r="AK192" s="589"/>
      <c r="AL192" s="589"/>
      <c r="AM192" s="589"/>
      <c r="AN192" s="589"/>
      <c r="AO192" s="589"/>
      <c r="AP192" s="589"/>
      <c r="AQ192" s="589"/>
      <c r="AR192" s="589"/>
      <c r="AS192" s="589"/>
    </row>
    <row r="193" spans="1:45" ht="15">
      <c r="A193" s="590" t="s">
        <v>173</v>
      </c>
      <c r="B193" s="591" t="s">
        <v>545</v>
      </c>
      <c r="C193" s="591" t="s">
        <v>812</v>
      </c>
      <c r="D193" s="592">
        <v>2014</v>
      </c>
      <c r="E193" s="591" t="s">
        <v>775</v>
      </c>
      <c r="F193" s="592">
        <v>1500</v>
      </c>
      <c r="G193" s="592">
        <v>0</v>
      </c>
      <c r="H193" s="592">
        <v>0</v>
      </c>
      <c r="I193" s="592">
        <v>0</v>
      </c>
      <c r="J193" s="592">
        <v>993</v>
      </c>
      <c r="K193" s="592">
        <v>0</v>
      </c>
      <c r="L193" s="592">
        <v>0</v>
      </c>
      <c r="M193" s="592">
        <v>0</v>
      </c>
      <c r="N193" s="593">
        <v>1112</v>
      </c>
      <c r="O193" s="593">
        <v>0</v>
      </c>
      <c r="P193" s="593">
        <v>2564</v>
      </c>
      <c r="Q193" s="593">
        <v>93</v>
      </c>
      <c r="R193" s="593">
        <v>6169</v>
      </c>
      <c r="S193" s="593">
        <v>93</v>
      </c>
      <c r="T193" s="593">
        <v>2014</v>
      </c>
      <c r="U193" s="593">
        <v>2014</v>
      </c>
      <c r="V193" s="589"/>
      <c r="W193" s="589"/>
      <c r="X193" s="589"/>
      <c r="Y193" s="589"/>
      <c r="Z193" s="589"/>
      <c r="AA193" s="589"/>
      <c r="AB193" s="589"/>
      <c r="AC193" s="589"/>
      <c r="AD193" s="589"/>
      <c r="AE193" s="589"/>
      <c r="AF193" s="589"/>
      <c r="AG193" s="589"/>
      <c r="AH193" s="589"/>
      <c r="AI193" s="589"/>
      <c r="AJ193" s="589"/>
      <c r="AK193" s="589"/>
      <c r="AL193" s="589"/>
      <c r="AM193" s="589"/>
      <c r="AN193" s="589"/>
      <c r="AO193" s="589"/>
      <c r="AP193" s="589"/>
      <c r="AQ193" s="589"/>
      <c r="AR193" s="589"/>
      <c r="AS193" s="589"/>
    </row>
    <row r="194" spans="1:45" ht="15">
      <c r="A194" s="587" t="s">
        <v>191</v>
      </c>
      <c r="B194" s="587" t="s">
        <v>681</v>
      </c>
      <c r="C194" s="587" t="s">
        <v>784</v>
      </c>
      <c r="D194" s="588">
        <v>2014</v>
      </c>
      <c r="E194" s="587" t="s">
        <v>775</v>
      </c>
      <c r="F194" s="588">
        <v>11</v>
      </c>
      <c r="G194" s="588">
        <v>0</v>
      </c>
      <c r="H194" s="588">
        <v>0</v>
      </c>
      <c r="I194" s="588">
        <v>0</v>
      </c>
      <c r="J194" s="588">
        <v>7</v>
      </c>
      <c r="K194" s="588">
        <v>0</v>
      </c>
      <c r="L194" s="588">
        <v>0</v>
      </c>
      <c r="M194" s="588">
        <v>0</v>
      </c>
      <c r="N194" s="588">
        <v>8</v>
      </c>
      <c r="O194" s="588">
        <v>0</v>
      </c>
      <c r="P194" s="588">
        <v>19</v>
      </c>
      <c r="Q194" s="588">
        <v>1</v>
      </c>
      <c r="R194" s="588">
        <v>45</v>
      </c>
      <c r="S194" s="588">
        <v>1</v>
      </c>
      <c r="T194" s="588">
        <v>2014</v>
      </c>
      <c r="U194" s="588">
        <v>2014</v>
      </c>
      <c r="V194" s="589"/>
      <c r="W194" s="589"/>
      <c r="X194" s="589"/>
      <c r="Y194" s="589"/>
      <c r="Z194" s="589"/>
      <c r="AA194" s="589"/>
      <c r="AB194" s="589"/>
      <c r="AC194" s="589"/>
      <c r="AD194" s="589"/>
      <c r="AE194" s="589"/>
      <c r="AF194" s="589"/>
      <c r="AG194" s="589"/>
      <c r="AH194" s="589"/>
      <c r="AI194" s="589"/>
      <c r="AJ194" s="589"/>
      <c r="AK194" s="589"/>
      <c r="AL194" s="589"/>
      <c r="AM194" s="589"/>
      <c r="AN194" s="589"/>
      <c r="AO194" s="589"/>
      <c r="AP194" s="589"/>
      <c r="AQ194" s="589"/>
      <c r="AR194" s="589"/>
      <c r="AS194" s="589"/>
    </row>
    <row r="195" spans="1:45" ht="15">
      <c r="A195" s="590" t="s">
        <v>187</v>
      </c>
      <c r="B195" s="591" t="s">
        <v>660</v>
      </c>
      <c r="C195" s="591" t="s">
        <v>774</v>
      </c>
      <c r="D195" s="592">
        <v>2014</v>
      </c>
      <c r="E195" s="591" t="s">
        <v>775</v>
      </c>
      <c r="F195" s="592">
        <v>814</v>
      </c>
      <c r="G195" s="592">
        <v>26</v>
      </c>
      <c r="H195" s="592">
        <v>26</v>
      </c>
      <c r="I195" s="592">
        <v>0</v>
      </c>
      <c r="J195" s="592">
        <v>492</v>
      </c>
      <c r="K195" s="592">
        <v>19</v>
      </c>
      <c r="L195" s="592">
        <v>18</v>
      </c>
      <c r="M195" s="592">
        <v>1</v>
      </c>
      <c r="N195" s="593">
        <v>527</v>
      </c>
      <c r="O195" s="593">
        <v>0</v>
      </c>
      <c r="P195" s="593">
        <v>1093</v>
      </c>
      <c r="Q195" s="593">
        <v>598</v>
      </c>
      <c r="R195" s="593">
        <v>2926</v>
      </c>
      <c r="S195" s="593">
        <v>643</v>
      </c>
      <c r="T195" s="593">
        <v>2015</v>
      </c>
      <c r="U195" s="593">
        <v>2015</v>
      </c>
      <c r="V195" s="589"/>
      <c r="W195" s="589"/>
      <c r="X195" s="589"/>
      <c r="Y195" s="589"/>
      <c r="Z195" s="589"/>
      <c r="AA195" s="589"/>
      <c r="AB195" s="589"/>
      <c r="AC195" s="589"/>
      <c r="AD195" s="589"/>
      <c r="AE195" s="589"/>
      <c r="AF195" s="589"/>
      <c r="AG195" s="589"/>
      <c r="AH195" s="589"/>
      <c r="AI195" s="589"/>
      <c r="AJ195" s="589"/>
      <c r="AK195" s="589"/>
      <c r="AL195" s="589"/>
      <c r="AM195" s="589"/>
      <c r="AN195" s="589"/>
      <c r="AO195" s="589"/>
      <c r="AP195" s="589"/>
      <c r="AQ195" s="589"/>
      <c r="AR195" s="589"/>
      <c r="AS195" s="589"/>
    </row>
    <row r="196" spans="1:45" ht="15">
      <c r="A196" s="587" t="s">
        <v>173</v>
      </c>
      <c r="B196" s="587" t="s">
        <v>546</v>
      </c>
      <c r="C196" s="587" t="s">
        <v>812</v>
      </c>
      <c r="D196" s="588">
        <v>2014</v>
      </c>
      <c r="E196" s="587" t="s">
        <v>775</v>
      </c>
      <c r="F196" s="588">
        <v>395</v>
      </c>
      <c r="G196" s="588">
        <v>0</v>
      </c>
      <c r="H196" s="588">
        <v>0</v>
      </c>
      <c r="I196" s="588">
        <v>0</v>
      </c>
      <c r="J196" s="588">
        <v>262</v>
      </c>
      <c r="K196" s="588">
        <v>0</v>
      </c>
      <c r="L196" s="588">
        <v>0</v>
      </c>
      <c r="M196" s="588">
        <v>0</v>
      </c>
      <c r="N196" s="588">
        <v>289</v>
      </c>
      <c r="O196" s="588">
        <v>0</v>
      </c>
      <c r="P196" s="588">
        <v>627</v>
      </c>
      <c r="Q196" s="588">
        <v>9</v>
      </c>
      <c r="R196" s="588">
        <v>1573</v>
      </c>
      <c r="S196" s="588">
        <v>9</v>
      </c>
      <c r="T196" s="588">
        <v>2014</v>
      </c>
      <c r="U196" s="588">
        <v>2014</v>
      </c>
      <c r="V196" s="589"/>
      <c r="W196" s="589"/>
      <c r="X196" s="589"/>
      <c r="Y196" s="589"/>
      <c r="Z196" s="589"/>
      <c r="AA196" s="589"/>
      <c r="AB196" s="589"/>
      <c r="AC196" s="589"/>
      <c r="AD196" s="589"/>
      <c r="AE196" s="589"/>
      <c r="AF196" s="589"/>
      <c r="AG196" s="589"/>
      <c r="AH196" s="589"/>
      <c r="AI196" s="589"/>
      <c r="AJ196" s="589"/>
      <c r="AK196" s="589"/>
      <c r="AL196" s="589"/>
      <c r="AM196" s="589"/>
      <c r="AN196" s="589"/>
      <c r="AO196" s="589"/>
      <c r="AP196" s="589"/>
      <c r="AQ196" s="589"/>
      <c r="AR196" s="589"/>
      <c r="AS196" s="589"/>
    </row>
    <row r="197" spans="1:45" ht="15">
      <c r="A197" s="590" t="s">
        <v>166</v>
      </c>
      <c r="B197" s="591" t="s">
        <v>478</v>
      </c>
      <c r="C197" s="591" t="s">
        <v>774</v>
      </c>
      <c r="D197" s="592">
        <v>2014</v>
      </c>
      <c r="E197" s="591" t="s">
        <v>775</v>
      </c>
      <c r="F197" s="592">
        <v>51</v>
      </c>
      <c r="G197" s="592">
        <v>0</v>
      </c>
      <c r="H197" s="592">
        <v>0</v>
      </c>
      <c r="I197" s="592">
        <v>0</v>
      </c>
      <c r="J197" s="592">
        <v>30</v>
      </c>
      <c r="K197" s="592">
        <v>0</v>
      </c>
      <c r="L197" s="592">
        <v>0</v>
      </c>
      <c r="M197" s="592">
        <v>0</v>
      </c>
      <c r="N197" s="593">
        <v>32</v>
      </c>
      <c r="O197" s="593">
        <v>9</v>
      </c>
      <c r="P197" s="593">
        <v>67</v>
      </c>
      <c r="Q197" s="593">
        <v>17</v>
      </c>
      <c r="R197" s="593">
        <v>180</v>
      </c>
      <c r="S197" s="593">
        <v>26</v>
      </c>
      <c r="T197" s="593">
        <v>2015</v>
      </c>
      <c r="U197" s="593">
        <v>2015</v>
      </c>
      <c r="V197" s="589"/>
      <c r="W197" s="589"/>
      <c r="X197" s="589"/>
      <c r="Y197" s="589"/>
      <c r="Z197" s="589"/>
      <c r="AA197" s="589"/>
      <c r="AB197" s="589"/>
      <c r="AC197" s="589"/>
      <c r="AD197" s="589"/>
      <c r="AE197" s="589"/>
      <c r="AF197" s="589"/>
      <c r="AG197" s="589"/>
      <c r="AH197" s="589"/>
      <c r="AI197" s="589"/>
      <c r="AJ197" s="589"/>
      <c r="AK197" s="589"/>
      <c r="AL197" s="589"/>
      <c r="AM197" s="589"/>
      <c r="AN197" s="589"/>
      <c r="AO197" s="589"/>
      <c r="AP197" s="589"/>
      <c r="AQ197" s="589"/>
      <c r="AR197" s="589"/>
      <c r="AS197" s="589"/>
    </row>
    <row r="198" spans="1:45" ht="15">
      <c r="A198" s="587" t="s">
        <v>179</v>
      </c>
      <c r="B198" s="587" t="s">
        <v>600</v>
      </c>
      <c r="C198" s="587" t="s">
        <v>855</v>
      </c>
      <c r="D198" s="588">
        <v>2014</v>
      </c>
      <c r="E198" s="587" t="s">
        <v>775</v>
      </c>
      <c r="F198" s="588">
        <v>465</v>
      </c>
      <c r="G198" s="588">
        <v>0</v>
      </c>
      <c r="H198" s="588">
        <v>0</v>
      </c>
      <c r="I198" s="588">
        <v>0</v>
      </c>
      <c r="J198" s="588">
        <v>353</v>
      </c>
      <c r="K198" s="588">
        <v>108</v>
      </c>
      <c r="L198" s="588">
        <v>108</v>
      </c>
      <c r="M198" s="588">
        <v>0</v>
      </c>
      <c r="N198" s="588">
        <v>327</v>
      </c>
      <c r="O198" s="588">
        <v>1</v>
      </c>
      <c r="P198" s="588">
        <v>718</v>
      </c>
      <c r="Q198" s="588">
        <v>16</v>
      </c>
      <c r="R198" s="588">
        <v>1863</v>
      </c>
      <c r="S198" s="588">
        <v>125</v>
      </c>
      <c r="T198" s="588">
        <v>2014</v>
      </c>
      <c r="U198" s="588">
        <v>2013</v>
      </c>
      <c r="V198" s="589"/>
      <c r="W198" s="589"/>
      <c r="X198" s="589"/>
      <c r="Y198" s="589"/>
      <c r="Z198" s="589"/>
      <c r="AA198" s="589"/>
      <c r="AB198" s="589"/>
      <c r="AC198" s="589"/>
      <c r="AD198" s="589"/>
      <c r="AE198" s="589"/>
      <c r="AF198" s="589"/>
      <c r="AG198" s="589"/>
      <c r="AH198" s="589"/>
      <c r="AI198" s="589"/>
      <c r="AJ198" s="589"/>
      <c r="AK198" s="589"/>
      <c r="AL198" s="589"/>
      <c r="AM198" s="589"/>
      <c r="AN198" s="589"/>
      <c r="AO198" s="589"/>
      <c r="AP198" s="589"/>
      <c r="AQ198" s="589"/>
      <c r="AR198" s="589"/>
      <c r="AS198" s="589"/>
    </row>
    <row r="199" spans="1:45" ht="15">
      <c r="A199" s="590" t="s">
        <v>178</v>
      </c>
      <c r="B199" s="591" t="s">
        <v>579</v>
      </c>
      <c r="C199" s="591" t="s">
        <v>812</v>
      </c>
      <c r="D199" s="592">
        <v>2014</v>
      </c>
      <c r="E199" s="591" t="s">
        <v>775</v>
      </c>
      <c r="F199" s="592">
        <v>38</v>
      </c>
      <c r="G199" s="592">
        <v>0</v>
      </c>
      <c r="H199" s="592">
        <v>0</v>
      </c>
      <c r="I199" s="592">
        <v>0</v>
      </c>
      <c r="J199" s="592">
        <v>29</v>
      </c>
      <c r="K199" s="592">
        <v>0</v>
      </c>
      <c r="L199" s="592">
        <v>0</v>
      </c>
      <c r="M199" s="592">
        <v>0</v>
      </c>
      <c r="N199" s="593">
        <v>34</v>
      </c>
      <c r="O199" s="593">
        <v>4</v>
      </c>
      <c r="P199" s="593">
        <v>80</v>
      </c>
      <c r="Q199" s="593">
        <v>2</v>
      </c>
      <c r="R199" s="593">
        <v>181</v>
      </c>
      <c r="S199" s="593">
        <v>6</v>
      </c>
      <c r="T199" s="593">
        <v>2014</v>
      </c>
      <c r="U199" s="593">
        <v>2014</v>
      </c>
      <c r="V199" s="589"/>
      <c r="W199" s="589"/>
      <c r="X199" s="589"/>
      <c r="Y199" s="589"/>
      <c r="Z199" s="589"/>
      <c r="AA199" s="589"/>
      <c r="AB199" s="589"/>
      <c r="AC199" s="589"/>
      <c r="AD199" s="589"/>
      <c r="AE199" s="589"/>
      <c r="AF199" s="589"/>
      <c r="AG199" s="589"/>
      <c r="AH199" s="589"/>
      <c r="AI199" s="589"/>
      <c r="AJ199" s="589"/>
      <c r="AK199" s="589"/>
      <c r="AL199" s="589"/>
      <c r="AM199" s="589"/>
      <c r="AN199" s="589"/>
      <c r="AO199" s="589"/>
      <c r="AP199" s="589"/>
      <c r="AQ199" s="589"/>
      <c r="AR199" s="589"/>
      <c r="AS199" s="589"/>
    </row>
    <row r="200" spans="1:45" ht="15">
      <c r="A200" s="587" t="s">
        <v>168</v>
      </c>
      <c r="B200" s="587" t="s">
        <v>482</v>
      </c>
      <c r="C200" s="587" t="s">
        <v>784</v>
      </c>
      <c r="D200" s="588">
        <v>2014</v>
      </c>
      <c r="E200" s="587" t="s">
        <v>775</v>
      </c>
      <c r="F200" s="588">
        <v>19</v>
      </c>
      <c r="G200" s="588">
        <v>0</v>
      </c>
      <c r="H200" s="588">
        <v>0</v>
      </c>
      <c r="I200" s="588">
        <v>0</v>
      </c>
      <c r="J200" s="588">
        <v>14</v>
      </c>
      <c r="K200" s="588">
        <v>0</v>
      </c>
      <c r="L200" s="588">
        <v>0</v>
      </c>
      <c r="M200" s="588">
        <v>0</v>
      </c>
      <c r="N200" s="588">
        <v>16</v>
      </c>
      <c r="O200" s="588">
        <v>0</v>
      </c>
      <c r="P200" s="588">
        <v>36</v>
      </c>
      <c r="Q200" s="588">
        <v>0</v>
      </c>
      <c r="R200" s="588">
        <v>85</v>
      </c>
      <c r="S200" s="588">
        <v>0</v>
      </c>
      <c r="T200" s="588">
        <v>2014</v>
      </c>
      <c r="U200" s="588">
        <v>2014</v>
      </c>
      <c r="V200" s="589"/>
      <c r="W200" s="589"/>
      <c r="X200" s="589"/>
      <c r="Y200" s="589"/>
      <c r="Z200" s="589"/>
      <c r="AA200" s="589"/>
      <c r="AB200" s="589"/>
      <c r="AC200" s="589"/>
      <c r="AD200" s="589"/>
      <c r="AE200" s="589"/>
      <c r="AF200" s="589"/>
      <c r="AG200" s="589"/>
      <c r="AH200" s="589"/>
      <c r="AI200" s="589"/>
      <c r="AJ200" s="589"/>
      <c r="AK200" s="589"/>
      <c r="AL200" s="589"/>
      <c r="AM200" s="589"/>
      <c r="AN200" s="589"/>
      <c r="AO200" s="589"/>
      <c r="AP200" s="589"/>
      <c r="AQ200" s="589"/>
      <c r="AR200" s="589"/>
      <c r="AS200" s="589"/>
    </row>
    <row r="201" spans="1:45" ht="15">
      <c r="A201" s="590" t="s">
        <v>168</v>
      </c>
      <c r="B201" s="591" t="s">
        <v>483</v>
      </c>
      <c r="C201" s="591" t="s">
        <v>784</v>
      </c>
      <c r="D201" s="592">
        <v>2014</v>
      </c>
      <c r="E201" s="591" t="s">
        <v>775</v>
      </c>
      <c r="F201" s="592">
        <v>174</v>
      </c>
      <c r="G201" s="592">
        <v>7</v>
      </c>
      <c r="H201" s="592">
        <v>0</v>
      </c>
      <c r="I201" s="592">
        <v>7</v>
      </c>
      <c r="J201" s="592">
        <v>126</v>
      </c>
      <c r="K201" s="592">
        <v>17</v>
      </c>
      <c r="L201" s="592">
        <v>0</v>
      </c>
      <c r="M201" s="592">
        <v>17</v>
      </c>
      <c r="N201" s="593">
        <v>150</v>
      </c>
      <c r="O201" s="593">
        <v>32</v>
      </c>
      <c r="P201" s="593">
        <v>314</v>
      </c>
      <c r="Q201" s="593">
        <v>75</v>
      </c>
      <c r="R201" s="593">
        <v>764</v>
      </c>
      <c r="S201" s="593">
        <v>131</v>
      </c>
      <c r="T201" s="593">
        <v>2014</v>
      </c>
      <c r="U201" s="593">
        <v>2014</v>
      </c>
      <c r="V201" s="589"/>
      <c r="W201" s="589"/>
      <c r="X201" s="589"/>
      <c r="Y201" s="589"/>
      <c r="Z201" s="589"/>
      <c r="AA201" s="589"/>
      <c r="AB201" s="589"/>
      <c r="AC201" s="589"/>
      <c r="AD201" s="589"/>
      <c r="AE201" s="589"/>
      <c r="AF201" s="589"/>
      <c r="AG201" s="589"/>
      <c r="AH201" s="589"/>
      <c r="AI201" s="589"/>
      <c r="AJ201" s="589"/>
      <c r="AK201" s="589"/>
      <c r="AL201" s="589"/>
      <c r="AM201" s="589"/>
      <c r="AN201" s="589"/>
      <c r="AO201" s="589"/>
      <c r="AP201" s="589"/>
      <c r="AQ201" s="589"/>
      <c r="AR201" s="589"/>
      <c r="AS201" s="589"/>
    </row>
    <row r="202" spans="1:45" ht="15">
      <c r="A202" s="587" t="s">
        <v>125</v>
      </c>
      <c r="B202" s="587" t="s">
        <v>241</v>
      </c>
      <c r="C202" s="587" t="s">
        <v>774</v>
      </c>
      <c r="D202" s="588">
        <v>2014</v>
      </c>
      <c r="E202" s="587" t="s">
        <v>775</v>
      </c>
      <c r="F202" s="588">
        <v>330</v>
      </c>
      <c r="G202" s="588">
        <v>0</v>
      </c>
      <c r="H202" s="588">
        <v>0</v>
      </c>
      <c r="I202" s="588">
        <v>0</v>
      </c>
      <c r="J202" s="588">
        <v>167</v>
      </c>
      <c r="K202" s="588">
        <v>0</v>
      </c>
      <c r="L202" s="588">
        <v>0</v>
      </c>
      <c r="M202" s="588">
        <v>0</v>
      </c>
      <c r="N202" s="588">
        <v>158</v>
      </c>
      <c r="O202" s="588">
        <v>0</v>
      </c>
      <c r="P202" s="588">
        <v>423</v>
      </c>
      <c r="Q202" s="588">
        <v>14</v>
      </c>
      <c r="R202" s="588">
        <v>1078</v>
      </c>
      <c r="S202" s="588">
        <v>14</v>
      </c>
      <c r="T202" s="588">
        <v>2015</v>
      </c>
      <c r="U202" s="588">
        <v>2015</v>
      </c>
      <c r="V202" s="589"/>
      <c r="W202" s="589"/>
      <c r="X202" s="589"/>
      <c r="Y202" s="589"/>
      <c r="Z202" s="589"/>
      <c r="AA202" s="589"/>
      <c r="AB202" s="589"/>
      <c r="AC202" s="589"/>
      <c r="AD202" s="589"/>
      <c r="AE202" s="589"/>
      <c r="AF202" s="589"/>
      <c r="AG202" s="589"/>
      <c r="AH202" s="589"/>
      <c r="AI202" s="589"/>
      <c r="AJ202" s="589"/>
      <c r="AK202" s="589"/>
      <c r="AL202" s="589"/>
      <c r="AM202" s="589"/>
      <c r="AN202" s="589"/>
      <c r="AO202" s="589"/>
      <c r="AP202" s="589"/>
      <c r="AQ202" s="589"/>
      <c r="AR202" s="589"/>
      <c r="AS202" s="589"/>
    </row>
    <row r="203" spans="1:45" ht="15">
      <c r="A203" s="590" t="s">
        <v>169</v>
      </c>
      <c r="B203" s="591" t="s">
        <v>506</v>
      </c>
      <c r="C203" s="591" t="s">
        <v>812</v>
      </c>
      <c r="D203" s="592">
        <v>2014</v>
      </c>
      <c r="E203" s="591" t="s">
        <v>775</v>
      </c>
      <c r="F203" s="592">
        <v>1</v>
      </c>
      <c r="G203" s="592">
        <v>0</v>
      </c>
      <c r="H203" s="592">
        <v>0</v>
      </c>
      <c r="I203" s="592">
        <v>0</v>
      </c>
      <c r="J203" s="592">
        <v>1</v>
      </c>
      <c r="K203" s="592">
        <v>0</v>
      </c>
      <c r="L203" s="592">
        <v>0</v>
      </c>
      <c r="M203" s="592">
        <v>0</v>
      </c>
      <c r="N203" s="593">
        <v>1</v>
      </c>
      <c r="O203" s="593">
        <v>0</v>
      </c>
      <c r="P203" s="593">
        <v>2</v>
      </c>
      <c r="Q203" s="593">
        <v>115</v>
      </c>
      <c r="R203" s="593">
        <v>5</v>
      </c>
      <c r="S203" s="593">
        <v>115</v>
      </c>
      <c r="T203" s="593">
        <v>2014</v>
      </c>
      <c r="U203" s="593">
        <v>2014</v>
      </c>
      <c r="V203" s="589"/>
      <c r="W203" s="589"/>
      <c r="X203" s="589"/>
      <c r="Y203" s="589"/>
      <c r="Z203" s="589"/>
      <c r="AA203" s="589"/>
      <c r="AB203" s="589"/>
      <c r="AC203" s="589"/>
      <c r="AD203" s="589"/>
      <c r="AE203" s="589"/>
      <c r="AF203" s="589"/>
      <c r="AG203" s="589"/>
      <c r="AH203" s="589"/>
      <c r="AI203" s="589"/>
      <c r="AJ203" s="589"/>
      <c r="AK203" s="589"/>
      <c r="AL203" s="589"/>
      <c r="AM203" s="589"/>
      <c r="AN203" s="589"/>
      <c r="AO203" s="589"/>
      <c r="AP203" s="589"/>
      <c r="AQ203" s="589"/>
      <c r="AR203" s="589"/>
      <c r="AS203" s="589"/>
    </row>
    <row r="204" spans="1:45" ht="15">
      <c r="A204" s="587" t="s">
        <v>153</v>
      </c>
      <c r="B204" s="587" t="s">
        <v>402</v>
      </c>
      <c r="C204" s="587" t="s">
        <v>812</v>
      </c>
      <c r="D204" s="588">
        <v>2014</v>
      </c>
      <c r="E204" s="587" t="s">
        <v>775</v>
      </c>
      <c r="F204" s="588">
        <v>52</v>
      </c>
      <c r="G204" s="588">
        <v>0</v>
      </c>
      <c r="H204" s="588">
        <v>0</v>
      </c>
      <c r="I204" s="588">
        <v>0</v>
      </c>
      <c r="J204" s="588">
        <v>31</v>
      </c>
      <c r="K204" s="588">
        <v>0</v>
      </c>
      <c r="L204" s="588">
        <v>0</v>
      </c>
      <c r="M204" s="588">
        <v>0</v>
      </c>
      <c r="N204" s="588">
        <v>33</v>
      </c>
      <c r="O204" s="588">
        <v>0</v>
      </c>
      <c r="P204" s="588">
        <v>85</v>
      </c>
      <c r="Q204" s="588">
        <v>2</v>
      </c>
      <c r="R204" s="588">
        <v>201</v>
      </c>
      <c r="S204" s="588">
        <v>2</v>
      </c>
      <c r="T204" s="588">
        <v>2014</v>
      </c>
      <c r="U204" s="588">
        <v>2014</v>
      </c>
      <c r="V204" s="589"/>
      <c r="W204" s="589"/>
      <c r="X204" s="589"/>
      <c r="Y204" s="589"/>
      <c r="Z204" s="589"/>
      <c r="AA204" s="589"/>
      <c r="AB204" s="589"/>
      <c r="AC204" s="589"/>
      <c r="AD204" s="589"/>
      <c r="AE204" s="589"/>
      <c r="AF204" s="589"/>
      <c r="AG204" s="589"/>
      <c r="AH204" s="589"/>
      <c r="AI204" s="589"/>
      <c r="AJ204" s="589"/>
      <c r="AK204" s="589"/>
      <c r="AL204" s="589"/>
      <c r="AM204" s="589"/>
      <c r="AN204" s="589"/>
      <c r="AO204" s="589"/>
      <c r="AP204" s="589"/>
      <c r="AQ204" s="589"/>
      <c r="AR204" s="589"/>
      <c r="AS204" s="589"/>
    </row>
    <row r="205" spans="1:45" ht="15">
      <c r="A205" s="590" t="s">
        <v>157</v>
      </c>
      <c r="B205" s="591" t="s">
        <v>442</v>
      </c>
      <c r="C205" s="591" t="s">
        <v>774</v>
      </c>
      <c r="D205" s="592">
        <v>2014</v>
      </c>
      <c r="E205" s="591" t="s">
        <v>775</v>
      </c>
      <c r="F205" s="592">
        <v>111</v>
      </c>
      <c r="G205" s="592">
        <v>1</v>
      </c>
      <c r="H205" s="592">
        <v>1</v>
      </c>
      <c r="I205" s="592">
        <v>0</v>
      </c>
      <c r="J205" s="592">
        <v>65</v>
      </c>
      <c r="K205" s="592">
        <v>10</v>
      </c>
      <c r="L205" s="592">
        <v>10</v>
      </c>
      <c r="M205" s="592">
        <v>0</v>
      </c>
      <c r="N205" s="593">
        <v>72</v>
      </c>
      <c r="O205" s="593">
        <v>1</v>
      </c>
      <c r="P205" s="593">
        <v>167</v>
      </c>
      <c r="Q205" s="593">
        <v>19</v>
      </c>
      <c r="R205" s="593">
        <v>415</v>
      </c>
      <c r="S205" s="593">
        <v>31</v>
      </c>
      <c r="T205" s="593">
        <v>2015</v>
      </c>
      <c r="U205" s="593">
        <v>2015</v>
      </c>
      <c r="V205" s="589"/>
      <c r="W205" s="589"/>
      <c r="X205" s="589"/>
      <c r="Y205" s="589"/>
      <c r="Z205" s="589"/>
      <c r="AA205" s="589"/>
      <c r="AB205" s="589"/>
      <c r="AC205" s="589"/>
      <c r="AD205" s="589"/>
      <c r="AE205" s="589"/>
      <c r="AF205" s="589"/>
      <c r="AG205" s="589"/>
      <c r="AH205" s="589"/>
      <c r="AI205" s="589"/>
      <c r="AJ205" s="589"/>
      <c r="AK205" s="589"/>
      <c r="AL205" s="589"/>
      <c r="AM205" s="589"/>
      <c r="AN205" s="589"/>
      <c r="AO205" s="589"/>
      <c r="AP205" s="589"/>
      <c r="AQ205" s="589"/>
      <c r="AR205" s="589"/>
      <c r="AS205" s="589"/>
    </row>
    <row r="206" spans="1:45" ht="15">
      <c r="A206" s="587" t="s">
        <v>179</v>
      </c>
      <c r="B206" s="587" t="s">
        <v>601</v>
      </c>
      <c r="C206" s="587" t="s">
        <v>855</v>
      </c>
      <c r="D206" s="588">
        <v>2014</v>
      </c>
      <c r="E206" s="587" t="s">
        <v>775</v>
      </c>
      <c r="F206" s="588">
        <v>1549</v>
      </c>
      <c r="G206" s="588">
        <v>0</v>
      </c>
      <c r="H206" s="588">
        <v>0</v>
      </c>
      <c r="I206" s="588">
        <v>0</v>
      </c>
      <c r="J206" s="588">
        <v>1178</v>
      </c>
      <c r="K206" s="588">
        <v>0</v>
      </c>
      <c r="L206" s="588">
        <v>0</v>
      </c>
      <c r="M206" s="588">
        <v>0</v>
      </c>
      <c r="N206" s="588">
        <v>1090</v>
      </c>
      <c r="O206" s="588">
        <v>20</v>
      </c>
      <c r="P206" s="588">
        <v>2393</v>
      </c>
      <c r="Q206" s="588">
        <v>92</v>
      </c>
      <c r="R206" s="588">
        <v>6210</v>
      </c>
      <c r="S206" s="588">
        <v>112</v>
      </c>
      <c r="T206" s="588">
        <v>2014</v>
      </c>
      <c r="U206" s="588">
        <v>2013</v>
      </c>
      <c r="V206" s="589"/>
      <c r="W206" s="589"/>
      <c r="X206" s="589"/>
      <c r="Y206" s="589"/>
      <c r="Z206" s="589"/>
      <c r="AA206" s="589"/>
      <c r="AB206" s="589"/>
      <c r="AC206" s="589"/>
      <c r="AD206" s="589"/>
      <c r="AE206" s="589"/>
      <c r="AF206" s="589"/>
      <c r="AG206" s="589"/>
      <c r="AH206" s="589"/>
      <c r="AI206" s="589"/>
      <c r="AJ206" s="589"/>
      <c r="AK206" s="589"/>
      <c r="AL206" s="589"/>
      <c r="AM206" s="589"/>
      <c r="AN206" s="589"/>
      <c r="AO206" s="589"/>
      <c r="AP206" s="589"/>
      <c r="AQ206" s="589"/>
      <c r="AR206" s="589"/>
      <c r="AS206" s="589"/>
    </row>
    <row r="207" spans="1:45" ht="15">
      <c r="A207" s="590" t="s">
        <v>178</v>
      </c>
      <c r="B207" s="591" t="s">
        <v>580</v>
      </c>
      <c r="C207" s="591" t="s">
        <v>812</v>
      </c>
      <c r="D207" s="592">
        <v>2014</v>
      </c>
      <c r="E207" s="591" t="s">
        <v>775</v>
      </c>
      <c r="F207" s="592">
        <v>2592</v>
      </c>
      <c r="G207" s="592">
        <v>0</v>
      </c>
      <c r="H207" s="592">
        <v>0</v>
      </c>
      <c r="I207" s="592">
        <v>0</v>
      </c>
      <c r="J207" s="592">
        <v>1745</v>
      </c>
      <c r="K207" s="592">
        <v>0</v>
      </c>
      <c r="L207" s="592">
        <v>0</v>
      </c>
      <c r="M207" s="592">
        <v>0</v>
      </c>
      <c r="N207" s="593">
        <v>1977</v>
      </c>
      <c r="O207" s="593">
        <v>364</v>
      </c>
      <c r="P207" s="593">
        <v>4547</v>
      </c>
      <c r="Q207" s="593">
        <v>163</v>
      </c>
      <c r="R207" s="593">
        <v>10861</v>
      </c>
      <c r="S207" s="593">
        <v>527</v>
      </c>
      <c r="T207" s="593">
        <v>2014</v>
      </c>
      <c r="U207" s="593">
        <v>2014</v>
      </c>
      <c r="V207" s="589"/>
      <c r="W207" s="589"/>
      <c r="X207" s="589"/>
      <c r="Y207" s="589"/>
      <c r="Z207" s="589"/>
      <c r="AA207" s="589"/>
      <c r="AB207" s="589"/>
      <c r="AC207" s="589"/>
      <c r="AD207" s="589"/>
      <c r="AE207" s="589"/>
      <c r="AF207" s="589"/>
      <c r="AG207" s="589"/>
      <c r="AH207" s="589"/>
      <c r="AI207" s="589"/>
      <c r="AJ207" s="589"/>
      <c r="AK207" s="589"/>
      <c r="AL207" s="589"/>
      <c r="AM207" s="589"/>
      <c r="AN207" s="589"/>
      <c r="AO207" s="589"/>
      <c r="AP207" s="589"/>
      <c r="AQ207" s="589"/>
      <c r="AR207" s="589"/>
      <c r="AS207" s="589"/>
    </row>
    <row r="208" spans="1:45" ht="15">
      <c r="A208" s="587" t="s">
        <v>169</v>
      </c>
      <c r="B208" s="587" t="s">
        <v>169</v>
      </c>
      <c r="C208" s="587" t="s">
        <v>812</v>
      </c>
      <c r="D208" s="588">
        <v>2014</v>
      </c>
      <c r="E208" s="587" t="s">
        <v>775</v>
      </c>
      <c r="F208" s="588">
        <v>83</v>
      </c>
      <c r="G208" s="588">
        <v>0</v>
      </c>
      <c r="H208" s="588">
        <v>0</v>
      </c>
      <c r="I208" s="588">
        <v>0</v>
      </c>
      <c r="J208" s="588">
        <v>59</v>
      </c>
      <c r="K208" s="588">
        <v>0</v>
      </c>
      <c r="L208" s="588">
        <v>0</v>
      </c>
      <c r="M208" s="588">
        <v>0</v>
      </c>
      <c r="N208" s="588">
        <v>66</v>
      </c>
      <c r="O208" s="588">
        <v>336</v>
      </c>
      <c r="P208" s="588">
        <v>155</v>
      </c>
      <c r="Q208" s="588">
        <v>12</v>
      </c>
      <c r="R208" s="588">
        <v>363</v>
      </c>
      <c r="S208" s="588">
        <v>348</v>
      </c>
      <c r="T208" s="588">
        <v>2014</v>
      </c>
      <c r="U208" s="588">
        <v>2014</v>
      </c>
      <c r="V208" s="589"/>
      <c r="W208" s="589"/>
      <c r="X208" s="589"/>
      <c r="Y208" s="589"/>
      <c r="Z208" s="589"/>
      <c r="AA208" s="589"/>
      <c r="AB208" s="589"/>
      <c r="AC208" s="589"/>
      <c r="AD208" s="589"/>
      <c r="AE208" s="589"/>
      <c r="AF208" s="589"/>
      <c r="AG208" s="589"/>
      <c r="AH208" s="589"/>
      <c r="AI208" s="589"/>
      <c r="AJ208" s="589"/>
      <c r="AK208" s="589"/>
      <c r="AL208" s="589"/>
      <c r="AM208" s="589"/>
      <c r="AN208" s="589"/>
      <c r="AO208" s="589"/>
      <c r="AP208" s="589"/>
      <c r="AQ208" s="589"/>
      <c r="AR208" s="589"/>
      <c r="AS208" s="589"/>
    </row>
    <row r="209" spans="1:45" ht="15">
      <c r="A209" s="590" t="s">
        <v>169</v>
      </c>
      <c r="B209" s="591" t="s">
        <v>507</v>
      </c>
      <c r="C209" s="591" t="s">
        <v>812</v>
      </c>
      <c r="D209" s="592">
        <v>2014</v>
      </c>
      <c r="E209" s="591" t="s">
        <v>775</v>
      </c>
      <c r="F209" s="592">
        <v>1240</v>
      </c>
      <c r="G209" s="592">
        <v>0</v>
      </c>
      <c r="H209" s="592">
        <v>0</v>
      </c>
      <c r="I209" s="592">
        <v>0</v>
      </c>
      <c r="J209" s="592">
        <v>879</v>
      </c>
      <c r="K209" s="592">
        <v>0</v>
      </c>
      <c r="L209" s="592">
        <v>0</v>
      </c>
      <c r="M209" s="592">
        <v>0</v>
      </c>
      <c r="N209" s="593">
        <v>979</v>
      </c>
      <c r="O209" s="593">
        <v>180</v>
      </c>
      <c r="P209" s="593">
        <v>2174</v>
      </c>
      <c r="Q209" s="593">
        <v>593</v>
      </c>
      <c r="R209" s="593">
        <v>5272</v>
      </c>
      <c r="S209" s="593">
        <v>773</v>
      </c>
      <c r="T209" s="593">
        <v>2014</v>
      </c>
      <c r="U209" s="593">
        <v>2014</v>
      </c>
      <c r="V209" s="589"/>
      <c r="W209" s="589"/>
      <c r="X209" s="589"/>
      <c r="Y209" s="589"/>
      <c r="Z209" s="589"/>
      <c r="AA209" s="589"/>
      <c r="AB209" s="589"/>
      <c r="AC209" s="589"/>
      <c r="AD209" s="589"/>
      <c r="AE209" s="589"/>
      <c r="AF209" s="589"/>
      <c r="AG209" s="589"/>
      <c r="AH209" s="589"/>
      <c r="AI209" s="589"/>
      <c r="AJ209" s="589"/>
      <c r="AK209" s="589"/>
      <c r="AL209" s="589"/>
      <c r="AM209" s="589"/>
      <c r="AN209" s="589"/>
      <c r="AO209" s="589"/>
      <c r="AP209" s="589"/>
      <c r="AQ209" s="589"/>
      <c r="AR209" s="589"/>
      <c r="AS209" s="589"/>
    </row>
    <row r="210" spans="1:45" ht="15">
      <c r="A210" s="587" t="s">
        <v>136</v>
      </c>
      <c r="B210" s="587" t="s">
        <v>277</v>
      </c>
      <c r="C210" s="587" t="s">
        <v>774</v>
      </c>
      <c r="D210" s="588">
        <v>2014</v>
      </c>
      <c r="E210" s="587" t="s">
        <v>775</v>
      </c>
      <c r="F210" s="588">
        <v>84</v>
      </c>
      <c r="G210" s="588">
        <v>0</v>
      </c>
      <c r="H210" s="588">
        <v>0</v>
      </c>
      <c r="I210" s="588">
        <v>0</v>
      </c>
      <c r="J210" s="588">
        <v>47</v>
      </c>
      <c r="K210" s="588">
        <v>0</v>
      </c>
      <c r="L210" s="588">
        <v>0</v>
      </c>
      <c r="M210" s="588">
        <v>0</v>
      </c>
      <c r="N210" s="588">
        <v>54</v>
      </c>
      <c r="O210" s="588">
        <v>14</v>
      </c>
      <c r="P210" s="588">
        <v>42</v>
      </c>
      <c r="Q210" s="588">
        <v>41</v>
      </c>
      <c r="R210" s="588">
        <v>227</v>
      </c>
      <c r="S210" s="588">
        <v>55</v>
      </c>
      <c r="T210" s="588">
        <v>2015</v>
      </c>
      <c r="U210" s="588">
        <v>2015</v>
      </c>
      <c r="V210" s="589"/>
      <c r="W210" s="589"/>
      <c r="X210" s="589"/>
      <c r="Y210" s="589"/>
      <c r="Z210" s="589"/>
      <c r="AA210" s="589"/>
      <c r="AB210" s="589"/>
      <c r="AC210" s="589"/>
      <c r="AD210" s="589"/>
      <c r="AE210" s="589"/>
      <c r="AF210" s="589"/>
      <c r="AG210" s="589"/>
      <c r="AH210" s="589"/>
      <c r="AI210" s="589"/>
      <c r="AJ210" s="589"/>
      <c r="AK210" s="589"/>
      <c r="AL210" s="589"/>
      <c r="AM210" s="589"/>
      <c r="AN210" s="589"/>
      <c r="AO210" s="589"/>
      <c r="AP210" s="589"/>
      <c r="AQ210" s="589"/>
      <c r="AR210" s="589"/>
      <c r="AS210" s="589"/>
    </row>
    <row r="211" spans="1:45" ht="15">
      <c r="A211" s="590" t="s">
        <v>144</v>
      </c>
      <c r="B211" s="591" t="s">
        <v>305</v>
      </c>
      <c r="C211" s="591" t="s">
        <v>784</v>
      </c>
      <c r="D211" s="592">
        <v>2014</v>
      </c>
      <c r="E211" s="591" t="s">
        <v>775</v>
      </c>
      <c r="F211" s="592">
        <v>20</v>
      </c>
      <c r="G211" s="592">
        <v>0</v>
      </c>
      <c r="H211" s="592">
        <v>0</v>
      </c>
      <c r="I211" s="592">
        <v>0</v>
      </c>
      <c r="J211" s="592">
        <v>10</v>
      </c>
      <c r="K211" s="592">
        <v>0</v>
      </c>
      <c r="L211" s="592">
        <v>0</v>
      </c>
      <c r="M211" s="592">
        <v>0</v>
      </c>
      <c r="N211" s="593">
        <v>14</v>
      </c>
      <c r="O211" s="593">
        <v>0</v>
      </c>
      <c r="P211" s="593">
        <v>36</v>
      </c>
      <c r="Q211" s="593">
        <v>0</v>
      </c>
      <c r="R211" s="593">
        <v>80</v>
      </c>
      <c r="S211" s="593">
        <v>0</v>
      </c>
      <c r="T211" s="593">
        <v>2014</v>
      </c>
      <c r="U211" s="593">
        <v>2014</v>
      </c>
      <c r="V211" s="589"/>
      <c r="W211" s="589"/>
      <c r="X211" s="589"/>
      <c r="Y211" s="589"/>
      <c r="Z211" s="589"/>
      <c r="AA211" s="589"/>
      <c r="AB211" s="589"/>
      <c r="AC211" s="589"/>
      <c r="AD211" s="589"/>
      <c r="AE211" s="589"/>
      <c r="AF211" s="589"/>
      <c r="AG211" s="589"/>
      <c r="AH211" s="589"/>
      <c r="AI211" s="589"/>
      <c r="AJ211" s="589"/>
      <c r="AK211" s="589"/>
      <c r="AL211" s="589"/>
      <c r="AM211" s="589"/>
      <c r="AN211" s="589"/>
      <c r="AO211" s="589"/>
      <c r="AP211" s="589"/>
      <c r="AQ211" s="589"/>
      <c r="AR211" s="589"/>
      <c r="AS211" s="589"/>
    </row>
    <row r="212" spans="1:45" ht="15">
      <c r="A212" s="587" t="s">
        <v>131</v>
      </c>
      <c r="B212" s="587" t="s">
        <v>259</v>
      </c>
      <c r="C212" s="587" t="s">
        <v>786</v>
      </c>
      <c r="D212" s="588">
        <v>2014</v>
      </c>
      <c r="E212" s="587" t="s">
        <v>775</v>
      </c>
      <c r="F212" s="588">
        <v>419</v>
      </c>
      <c r="G212" s="588">
        <v>0</v>
      </c>
      <c r="H212" s="588">
        <v>0</v>
      </c>
      <c r="I212" s="588">
        <v>0</v>
      </c>
      <c r="J212" s="588">
        <v>284</v>
      </c>
      <c r="K212" s="588">
        <v>57</v>
      </c>
      <c r="L212" s="588">
        <v>50</v>
      </c>
      <c r="M212" s="588">
        <v>7</v>
      </c>
      <c r="N212" s="588">
        <v>306</v>
      </c>
      <c r="O212" s="588">
        <v>0</v>
      </c>
      <c r="P212" s="588">
        <v>784</v>
      </c>
      <c r="Q212" s="588">
        <v>14</v>
      </c>
      <c r="R212" s="588">
        <v>1793</v>
      </c>
      <c r="S212" s="588">
        <v>71</v>
      </c>
      <c r="T212" s="588">
        <v>2014</v>
      </c>
      <c r="U212" s="588">
        <v>2014</v>
      </c>
      <c r="V212" s="589"/>
      <c r="W212" s="589"/>
      <c r="X212" s="589"/>
      <c r="Y212" s="589"/>
      <c r="Z212" s="589"/>
      <c r="AA212" s="589"/>
      <c r="AB212" s="589"/>
      <c r="AC212" s="589"/>
      <c r="AD212" s="589"/>
      <c r="AE212" s="589"/>
      <c r="AF212" s="589"/>
      <c r="AG212" s="589"/>
      <c r="AH212" s="589"/>
      <c r="AI212" s="589"/>
      <c r="AJ212" s="589"/>
      <c r="AK212" s="589"/>
      <c r="AL212" s="589"/>
      <c r="AM212" s="589"/>
      <c r="AN212" s="589"/>
      <c r="AO212" s="589"/>
      <c r="AP212" s="589"/>
      <c r="AQ212" s="589"/>
      <c r="AR212" s="589"/>
      <c r="AS212" s="589"/>
    </row>
    <row r="213" spans="1:45" ht="15">
      <c r="A213" s="590" t="s">
        <v>201</v>
      </c>
      <c r="B213" s="591" t="s">
        <v>734</v>
      </c>
      <c r="C213" s="591" t="s">
        <v>812</v>
      </c>
      <c r="D213" s="592">
        <v>2014</v>
      </c>
      <c r="E213" s="591" t="s">
        <v>775</v>
      </c>
      <c r="F213" s="592">
        <v>1688</v>
      </c>
      <c r="G213" s="592">
        <v>48</v>
      </c>
      <c r="H213" s="592">
        <v>48</v>
      </c>
      <c r="I213" s="592">
        <v>0</v>
      </c>
      <c r="J213" s="592">
        <v>1160</v>
      </c>
      <c r="K213" s="592">
        <v>67</v>
      </c>
      <c r="L213" s="592">
        <v>67</v>
      </c>
      <c r="M213" s="592">
        <v>0</v>
      </c>
      <c r="N213" s="593">
        <v>1351</v>
      </c>
      <c r="O213" s="593">
        <v>2</v>
      </c>
      <c r="P213" s="593">
        <v>3102</v>
      </c>
      <c r="Q213" s="593">
        <v>39</v>
      </c>
      <c r="R213" s="593">
        <v>7301</v>
      </c>
      <c r="S213" s="593">
        <v>156</v>
      </c>
      <c r="T213" s="593">
        <v>2014</v>
      </c>
      <c r="U213" s="593">
        <v>2014</v>
      </c>
      <c r="V213" s="589"/>
      <c r="W213" s="589"/>
      <c r="X213" s="589"/>
      <c r="Y213" s="589"/>
      <c r="Z213" s="589"/>
      <c r="AA213" s="589"/>
      <c r="AB213" s="589"/>
      <c r="AC213" s="589"/>
      <c r="AD213" s="589"/>
      <c r="AE213" s="589"/>
      <c r="AF213" s="589"/>
      <c r="AG213" s="589"/>
      <c r="AH213" s="589"/>
      <c r="AI213" s="589"/>
      <c r="AJ213" s="589"/>
      <c r="AK213" s="589"/>
      <c r="AL213" s="589"/>
      <c r="AM213" s="589"/>
      <c r="AN213" s="589"/>
      <c r="AO213" s="589"/>
      <c r="AP213" s="589"/>
      <c r="AQ213" s="589"/>
      <c r="AR213" s="589"/>
      <c r="AS213" s="589"/>
    </row>
    <row r="214" spans="1:45" ht="15">
      <c r="A214" s="587" t="s">
        <v>173</v>
      </c>
      <c r="B214" s="587" t="s">
        <v>548</v>
      </c>
      <c r="C214" s="587" t="s">
        <v>812</v>
      </c>
      <c r="D214" s="588">
        <v>2014</v>
      </c>
      <c r="E214" s="587" t="s">
        <v>775</v>
      </c>
      <c r="F214" s="588">
        <v>98</v>
      </c>
      <c r="G214" s="588">
        <v>0</v>
      </c>
      <c r="H214" s="588">
        <v>0</v>
      </c>
      <c r="I214" s="588">
        <v>0</v>
      </c>
      <c r="J214" s="588">
        <v>67</v>
      </c>
      <c r="K214" s="588">
        <v>0</v>
      </c>
      <c r="L214" s="588">
        <v>0</v>
      </c>
      <c r="M214" s="588">
        <v>0</v>
      </c>
      <c r="N214" s="588">
        <v>76</v>
      </c>
      <c r="O214" s="588">
        <v>0</v>
      </c>
      <c r="P214" s="588">
        <v>172</v>
      </c>
      <c r="Q214" s="588">
        <v>220</v>
      </c>
      <c r="R214" s="588">
        <v>413</v>
      </c>
      <c r="S214" s="588">
        <v>220</v>
      </c>
      <c r="T214" s="588">
        <v>2014</v>
      </c>
      <c r="U214" s="588">
        <v>2014</v>
      </c>
      <c r="V214" s="589"/>
      <c r="W214" s="589"/>
      <c r="X214" s="589"/>
      <c r="Y214" s="589"/>
      <c r="Z214" s="589"/>
      <c r="AA214" s="589"/>
      <c r="AB214" s="589"/>
      <c r="AC214" s="589"/>
      <c r="AD214" s="589"/>
      <c r="AE214" s="589"/>
      <c r="AF214" s="589"/>
      <c r="AG214" s="589"/>
      <c r="AH214" s="589"/>
      <c r="AI214" s="589"/>
      <c r="AJ214" s="589"/>
      <c r="AK214" s="589"/>
      <c r="AL214" s="589"/>
      <c r="AM214" s="589"/>
      <c r="AN214" s="589"/>
      <c r="AO214" s="589"/>
      <c r="AP214" s="589"/>
      <c r="AQ214" s="589"/>
      <c r="AR214" s="589"/>
      <c r="AS214" s="589"/>
    </row>
    <row r="215" spans="1:45" ht="15">
      <c r="A215" s="590" t="s">
        <v>173</v>
      </c>
      <c r="B215" s="591" t="s">
        <v>549</v>
      </c>
      <c r="C215" s="591" t="s">
        <v>812</v>
      </c>
      <c r="D215" s="592">
        <v>2014</v>
      </c>
      <c r="E215" s="591" t="s">
        <v>775</v>
      </c>
      <c r="F215" s="592">
        <v>63</v>
      </c>
      <c r="G215" s="592">
        <v>0</v>
      </c>
      <c r="H215" s="592">
        <v>0</v>
      </c>
      <c r="I215" s="592">
        <v>0</v>
      </c>
      <c r="J215" s="592">
        <v>43</v>
      </c>
      <c r="K215" s="592">
        <v>0</v>
      </c>
      <c r="L215" s="592">
        <v>0</v>
      </c>
      <c r="M215" s="592">
        <v>0</v>
      </c>
      <c r="N215" s="593">
        <v>50</v>
      </c>
      <c r="O215" s="593">
        <v>0</v>
      </c>
      <c r="P215" s="593">
        <v>116</v>
      </c>
      <c r="Q215" s="593">
        <v>188</v>
      </c>
      <c r="R215" s="593">
        <v>272</v>
      </c>
      <c r="S215" s="593">
        <v>188</v>
      </c>
      <c r="T215" s="593">
        <v>2014</v>
      </c>
      <c r="U215" s="593">
        <v>2014</v>
      </c>
      <c r="V215" s="589"/>
      <c r="W215" s="589"/>
      <c r="X215" s="589"/>
      <c r="Y215" s="589"/>
      <c r="Z215" s="589"/>
      <c r="AA215" s="589"/>
      <c r="AB215" s="589"/>
      <c r="AC215" s="589"/>
      <c r="AD215" s="589"/>
      <c r="AE215" s="589"/>
      <c r="AF215" s="589"/>
      <c r="AG215" s="589"/>
      <c r="AH215" s="589"/>
      <c r="AI215" s="589"/>
      <c r="AJ215" s="589"/>
      <c r="AK215" s="589"/>
      <c r="AL215" s="589"/>
      <c r="AM215" s="589"/>
      <c r="AN215" s="589"/>
      <c r="AO215" s="589"/>
      <c r="AP215" s="589"/>
      <c r="AQ215" s="589"/>
      <c r="AR215" s="589"/>
      <c r="AS215" s="589"/>
    </row>
    <row r="216" spans="1:45" ht="15">
      <c r="A216" s="587" t="s">
        <v>153</v>
      </c>
      <c r="B216" s="587" t="s">
        <v>403</v>
      </c>
      <c r="C216" s="587" t="s">
        <v>812</v>
      </c>
      <c r="D216" s="588">
        <v>2014</v>
      </c>
      <c r="E216" s="587" t="s">
        <v>775</v>
      </c>
      <c r="F216" s="588">
        <v>1397</v>
      </c>
      <c r="G216" s="588">
        <v>0</v>
      </c>
      <c r="H216" s="588">
        <v>0</v>
      </c>
      <c r="I216" s="588">
        <v>0</v>
      </c>
      <c r="J216" s="588">
        <v>828</v>
      </c>
      <c r="K216" s="588">
        <v>0</v>
      </c>
      <c r="L216" s="588">
        <v>0</v>
      </c>
      <c r="M216" s="588">
        <v>0</v>
      </c>
      <c r="N216" s="588">
        <v>899</v>
      </c>
      <c r="O216" s="588">
        <v>0</v>
      </c>
      <c r="P216" s="588">
        <v>2334</v>
      </c>
      <c r="Q216" s="588">
        <v>42</v>
      </c>
      <c r="R216" s="588">
        <v>5458</v>
      </c>
      <c r="S216" s="588">
        <v>42</v>
      </c>
      <c r="T216" s="588">
        <v>2014</v>
      </c>
      <c r="U216" s="588">
        <v>2014</v>
      </c>
      <c r="V216" s="589"/>
      <c r="W216" s="589"/>
      <c r="X216" s="589"/>
      <c r="Y216" s="589"/>
      <c r="Z216" s="589"/>
      <c r="AA216" s="589"/>
      <c r="AB216" s="589"/>
      <c r="AC216" s="589"/>
      <c r="AD216" s="589"/>
      <c r="AE216" s="589"/>
      <c r="AF216" s="589"/>
      <c r="AG216" s="589"/>
      <c r="AH216" s="589"/>
      <c r="AI216" s="589"/>
      <c r="AJ216" s="589"/>
      <c r="AK216" s="589"/>
      <c r="AL216" s="589"/>
      <c r="AM216" s="589"/>
      <c r="AN216" s="589"/>
      <c r="AO216" s="589"/>
      <c r="AP216" s="589"/>
      <c r="AQ216" s="589"/>
      <c r="AR216" s="589"/>
      <c r="AS216" s="589"/>
    </row>
    <row r="217" spans="1:45" ht="15">
      <c r="A217" s="590" t="s">
        <v>131</v>
      </c>
      <c r="B217" s="591" t="s">
        <v>260</v>
      </c>
      <c r="C217" s="591" t="s">
        <v>786</v>
      </c>
      <c r="D217" s="592">
        <v>2014</v>
      </c>
      <c r="E217" s="591" t="s">
        <v>775</v>
      </c>
      <c r="F217" s="592">
        <v>141</v>
      </c>
      <c r="G217" s="592">
        <v>0</v>
      </c>
      <c r="H217" s="592">
        <v>0</v>
      </c>
      <c r="I217" s="592">
        <v>0</v>
      </c>
      <c r="J217" s="592">
        <v>100</v>
      </c>
      <c r="K217" s="592">
        <v>1</v>
      </c>
      <c r="L217" s="592">
        <v>1</v>
      </c>
      <c r="M217" s="592">
        <v>0</v>
      </c>
      <c r="N217" s="593">
        <v>93</v>
      </c>
      <c r="O217" s="593">
        <v>4</v>
      </c>
      <c r="P217" s="593">
        <v>303</v>
      </c>
      <c r="Q217" s="593">
        <v>9</v>
      </c>
      <c r="R217" s="593">
        <v>637</v>
      </c>
      <c r="S217" s="593">
        <v>14</v>
      </c>
      <c r="T217" s="593">
        <v>2014</v>
      </c>
      <c r="U217" s="593">
        <v>2014</v>
      </c>
      <c r="V217" s="589"/>
      <c r="W217" s="589"/>
      <c r="X217" s="589"/>
      <c r="Y217" s="589"/>
      <c r="Z217" s="589"/>
      <c r="AA217" s="589"/>
      <c r="AB217" s="589"/>
      <c r="AC217" s="589"/>
      <c r="AD217" s="589"/>
      <c r="AE217" s="589"/>
      <c r="AF217" s="589"/>
      <c r="AG217" s="589"/>
      <c r="AH217" s="589"/>
      <c r="AI217" s="589"/>
      <c r="AJ217" s="589"/>
      <c r="AK217" s="589"/>
      <c r="AL217" s="589"/>
      <c r="AM217" s="589"/>
      <c r="AN217" s="589"/>
      <c r="AO217" s="589"/>
      <c r="AP217" s="589"/>
      <c r="AQ217" s="589"/>
      <c r="AR217" s="589"/>
      <c r="AS217" s="589"/>
    </row>
    <row r="218" spans="1:45" ht="15">
      <c r="A218" s="587" t="s">
        <v>153</v>
      </c>
      <c r="B218" s="587" t="s">
        <v>405</v>
      </c>
      <c r="C218" s="587" t="s">
        <v>812</v>
      </c>
      <c r="D218" s="588">
        <v>2014</v>
      </c>
      <c r="E218" s="587" t="s">
        <v>775</v>
      </c>
      <c r="F218" s="588">
        <v>26</v>
      </c>
      <c r="G218" s="588">
        <v>0</v>
      </c>
      <c r="H218" s="588">
        <v>0</v>
      </c>
      <c r="I218" s="588">
        <v>0</v>
      </c>
      <c r="J218" s="588">
        <v>16</v>
      </c>
      <c r="K218" s="588">
        <v>0</v>
      </c>
      <c r="L218" s="588">
        <v>0</v>
      </c>
      <c r="M218" s="588">
        <v>0</v>
      </c>
      <c r="N218" s="588">
        <v>17</v>
      </c>
      <c r="O218" s="588">
        <v>0</v>
      </c>
      <c r="P218" s="588">
        <v>46</v>
      </c>
      <c r="Q218" s="588">
        <v>5</v>
      </c>
      <c r="R218" s="588">
        <v>105</v>
      </c>
      <c r="S218" s="588">
        <v>5</v>
      </c>
      <c r="T218" s="588">
        <v>2014</v>
      </c>
      <c r="U218" s="588">
        <v>2014</v>
      </c>
      <c r="V218" s="589"/>
      <c r="W218" s="589"/>
      <c r="X218" s="589"/>
      <c r="Y218" s="589"/>
      <c r="Z218" s="589"/>
      <c r="AA218" s="589"/>
      <c r="AB218" s="589"/>
      <c r="AC218" s="589"/>
      <c r="AD218" s="589"/>
      <c r="AE218" s="589"/>
      <c r="AF218" s="589"/>
      <c r="AG218" s="589"/>
      <c r="AH218" s="589"/>
      <c r="AI218" s="589"/>
      <c r="AJ218" s="589"/>
      <c r="AK218" s="589"/>
      <c r="AL218" s="589"/>
      <c r="AM218" s="589"/>
      <c r="AN218" s="589"/>
      <c r="AO218" s="589"/>
      <c r="AP218" s="589"/>
      <c r="AQ218" s="589"/>
      <c r="AR218" s="589"/>
      <c r="AS218" s="589"/>
    </row>
    <row r="219" spans="1:45" ht="15">
      <c r="A219" s="590" t="s">
        <v>153</v>
      </c>
      <c r="B219" s="591" t="s">
        <v>406</v>
      </c>
      <c r="C219" s="591" t="s">
        <v>812</v>
      </c>
      <c r="D219" s="592">
        <v>2014</v>
      </c>
      <c r="E219" s="591" t="s">
        <v>775</v>
      </c>
      <c r="F219" s="592">
        <v>340</v>
      </c>
      <c r="G219" s="592">
        <v>30</v>
      </c>
      <c r="H219" s="592">
        <v>30</v>
      </c>
      <c r="I219" s="592">
        <v>0</v>
      </c>
      <c r="J219" s="592">
        <v>207</v>
      </c>
      <c r="K219" s="592">
        <v>4</v>
      </c>
      <c r="L219" s="592">
        <v>4</v>
      </c>
      <c r="M219" s="592">
        <v>0</v>
      </c>
      <c r="N219" s="593">
        <v>224</v>
      </c>
      <c r="O219" s="593">
        <v>17</v>
      </c>
      <c r="P219" s="593">
        <v>561</v>
      </c>
      <c r="Q219" s="593">
        <v>487</v>
      </c>
      <c r="R219" s="593">
        <v>1332</v>
      </c>
      <c r="S219" s="593">
        <v>538</v>
      </c>
      <c r="T219" s="593">
        <v>2014</v>
      </c>
      <c r="U219" s="593">
        <v>2014</v>
      </c>
      <c r="V219" s="589"/>
      <c r="W219" s="589"/>
      <c r="X219" s="589"/>
      <c r="Y219" s="589"/>
      <c r="Z219" s="589"/>
      <c r="AA219" s="589"/>
      <c r="AB219" s="589"/>
      <c r="AC219" s="589"/>
      <c r="AD219" s="589"/>
      <c r="AE219" s="589"/>
      <c r="AF219" s="589"/>
      <c r="AG219" s="589"/>
      <c r="AH219" s="589"/>
      <c r="AI219" s="589"/>
      <c r="AJ219" s="589"/>
      <c r="AK219" s="589"/>
      <c r="AL219" s="589"/>
      <c r="AM219" s="589"/>
      <c r="AN219" s="589"/>
      <c r="AO219" s="589"/>
      <c r="AP219" s="589"/>
      <c r="AQ219" s="589"/>
      <c r="AR219" s="589"/>
      <c r="AS219" s="589"/>
    </row>
    <row r="220" spans="1:45" ht="15">
      <c r="A220" s="587" t="s">
        <v>183</v>
      </c>
      <c r="B220" s="587" t="s">
        <v>620</v>
      </c>
      <c r="C220" s="587" t="s">
        <v>784</v>
      </c>
      <c r="D220" s="588">
        <v>2014</v>
      </c>
      <c r="E220" s="587" t="s">
        <v>775</v>
      </c>
      <c r="F220" s="588">
        <v>123</v>
      </c>
      <c r="G220" s="588">
        <v>56</v>
      </c>
      <c r="H220" s="588">
        <v>56</v>
      </c>
      <c r="I220" s="588">
        <v>0</v>
      </c>
      <c r="J220" s="588">
        <v>77</v>
      </c>
      <c r="K220" s="588">
        <v>24</v>
      </c>
      <c r="L220" s="588">
        <v>24</v>
      </c>
      <c r="M220" s="588">
        <v>0</v>
      </c>
      <c r="N220" s="588">
        <v>87</v>
      </c>
      <c r="O220" s="588">
        <v>2</v>
      </c>
      <c r="P220" s="588">
        <v>206</v>
      </c>
      <c r="Q220" s="588">
        <v>54</v>
      </c>
      <c r="R220" s="588">
        <v>493</v>
      </c>
      <c r="S220" s="588">
        <v>136</v>
      </c>
      <c r="T220" s="588">
        <v>2014</v>
      </c>
      <c r="U220" s="588">
        <v>2014</v>
      </c>
      <c r="V220" s="589"/>
      <c r="W220" s="589"/>
      <c r="X220" s="589"/>
      <c r="Y220" s="589"/>
      <c r="Z220" s="589"/>
      <c r="AA220" s="589"/>
      <c r="AB220" s="589"/>
      <c r="AC220" s="589"/>
      <c r="AD220" s="589"/>
      <c r="AE220" s="589"/>
      <c r="AF220" s="589"/>
      <c r="AG220" s="589"/>
      <c r="AH220" s="589"/>
      <c r="AI220" s="589"/>
      <c r="AJ220" s="589"/>
      <c r="AK220" s="589"/>
      <c r="AL220" s="589"/>
      <c r="AM220" s="589"/>
      <c r="AN220" s="589"/>
      <c r="AO220" s="589"/>
      <c r="AP220" s="589"/>
      <c r="AQ220" s="589"/>
      <c r="AR220" s="589"/>
      <c r="AS220" s="589"/>
    </row>
    <row r="221" spans="1:45" ht="15">
      <c r="A221" s="590" t="s">
        <v>173</v>
      </c>
      <c r="B221" s="591" t="s">
        <v>550</v>
      </c>
      <c r="C221" s="591" t="s">
        <v>812</v>
      </c>
      <c r="D221" s="592">
        <v>2014</v>
      </c>
      <c r="E221" s="591" t="s">
        <v>775</v>
      </c>
      <c r="F221" s="592">
        <v>1026</v>
      </c>
      <c r="G221" s="592">
        <v>359</v>
      </c>
      <c r="H221" s="592">
        <v>359</v>
      </c>
      <c r="I221" s="592">
        <v>0</v>
      </c>
      <c r="J221" s="592">
        <v>681</v>
      </c>
      <c r="K221" s="592">
        <v>0</v>
      </c>
      <c r="L221" s="592">
        <v>0</v>
      </c>
      <c r="M221" s="592">
        <v>0</v>
      </c>
      <c r="N221" s="593">
        <v>759</v>
      </c>
      <c r="O221" s="593">
        <v>222</v>
      </c>
      <c r="P221" s="593">
        <v>1814</v>
      </c>
      <c r="Q221" s="593">
        <v>0</v>
      </c>
      <c r="R221" s="593">
        <v>4280</v>
      </c>
      <c r="S221" s="593">
        <v>581</v>
      </c>
      <c r="T221" s="593">
        <v>2014</v>
      </c>
      <c r="U221" s="593">
        <v>2014</v>
      </c>
      <c r="V221" s="589"/>
      <c r="W221" s="589"/>
      <c r="X221" s="589"/>
      <c r="Y221" s="589"/>
      <c r="Z221" s="589"/>
      <c r="AA221" s="589"/>
      <c r="AB221" s="589"/>
      <c r="AC221" s="589"/>
      <c r="AD221" s="589"/>
      <c r="AE221" s="589"/>
      <c r="AF221" s="589"/>
      <c r="AG221" s="589"/>
      <c r="AH221" s="589"/>
      <c r="AI221" s="589"/>
      <c r="AJ221" s="589"/>
      <c r="AK221" s="589"/>
      <c r="AL221" s="589"/>
      <c r="AM221" s="589"/>
      <c r="AN221" s="589"/>
      <c r="AO221" s="589"/>
      <c r="AP221" s="589"/>
      <c r="AQ221" s="589"/>
      <c r="AR221" s="589"/>
      <c r="AS221" s="589"/>
    </row>
    <row r="222" spans="1:45" ht="15">
      <c r="A222" s="587" t="s">
        <v>183</v>
      </c>
      <c r="B222" s="587" t="s">
        <v>621</v>
      </c>
      <c r="C222" s="587" t="s">
        <v>784</v>
      </c>
      <c r="D222" s="588">
        <v>2014</v>
      </c>
      <c r="E222" s="587" t="s">
        <v>775</v>
      </c>
      <c r="F222" s="588">
        <v>38</v>
      </c>
      <c r="G222" s="588">
        <v>0</v>
      </c>
      <c r="H222" s="588">
        <v>0</v>
      </c>
      <c r="I222" s="588">
        <v>0</v>
      </c>
      <c r="J222" s="588">
        <v>24</v>
      </c>
      <c r="K222" s="588">
        <v>12</v>
      </c>
      <c r="L222" s="588">
        <v>12</v>
      </c>
      <c r="M222" s="588">
        <v>0</v>
      </c>
      <c r="N222" s="588">
        <v>27</v>
      </c>
      <c r="O222" s="588">
        <v>0</v>
      </c>
      <c r="P222" s="588">
        <v>64</v>
      </c>
      <c r="Q222" s="588">
        <v>91</v>
      </c>
      <c r="R222" s="588">
        <v>153</v>
      </c>
      <c r="S222" s="588">
        <v>103</v>
      </c>
      <c r="T222" s="588">
        <v>2014</v>
      </c>
      <c r="U222" s="588">
        <v>2014</v>
      </c>
      <c r="V222" s="589"/>
      <c r="W222" s="589"/>
      <c r="X222" s="589"/>
      <c r="Y222" s="589"/>
      <c r="Z222" s="589"/>
      <c r="AA222" s="589"/>
      <c r="AB222" s="589"/>
      <c r="AC222" s="589"/>
      <c r="AD222" s="589"/>
      <c r="AE222" s="589"/>
      <c r="AF222" s="589"/>
      <c r="AG222" s="589"/>
      <c r="AH222" s="589"/>
      <c r="AI222" s="589"/>
      <c r="AJ222" s="589"/>
      <c r="AK222" s="589"/>
      <c r="AL222" s="589"/>
      <c r="AM222" s="589"/>
      <c r="AN222" s="589"/>
      <c r="AO222" s="589"/>
      <c r="AP222" s="589"/>
      <c r="AQ222" s="589"/>
      <c r="AR222" s="589"/>
      <c r="AS222" s="589"/>
    </row>
    <row r="223" spans="1:45" ht="15">
      <c r="A223" s="590" t="s">
        <v>136</v>
      </c>
      <c r="B223" s="591" t="s">
        <v>279</v>
      </c>
      <c r="C223" s="591" t="s">
        <v>774</v>
      </c>
      <c r="D223" s="592">
        <v>2014</v>
      </c>
      <c r="E223" s="591" t="s">
        <v>775</v>
      </c>
      <c r="F223" s="592">
        <v>392</v>
      </c>
      <c r="G223" s="592">
        <v>0</v>
      </c>
      <c r="H223" s="592">
        <v>0</v>
      </c>
      <c r="I223" s="592">
        <v>0</v>
      </c>
      <c r="J223" s="592">
        <v>254</v>
      </c>
      <c r="K223" s="592">
        <v>0</v>
      </c>
      <c r="L223" s="592">
        <v>0</v>
      </c>
      <c r="M223" s="592">
        <v>0</v>
      </c>
      <c r="N223" s="593">
        <v>316</v>
      </c>
      <c r="O223" s="593">
        <v>216</v>
      </c>
      <c r="P223" s="593">
        <v>1063</v>
      </c>
      <c r="Q223" s="593">
        <v>0</v>
      </c>
      <c r="R223" s="593">
        <v>2025</v>
      </c>
      <c r="S223" s="593">
        <v>216</v>
      </c>
      <c r="T223" s="593">
        <v>2015</v>
      </c>
      <c r="U223" s="593">
        <v>2015</v>
      </c>
      <c r="V223" s="589"/>
      <c r="W223" s="589"/>
      <c r="X223" s="589"/>
      <c r="Y223" s="589"/>
      <c r="Z223" s="589"/>
      <c r="AA223" s="589"/>
      <c r="AB223" s="589"/>
      <c r="AC223" s="589"/>
      <c r="AD223" s="589"/>
      <c r="AE223" s="589"/>
      <c r="AF223" s="589"/>
      <c r="AG223" s="589"/>
      <c r="AH223" s="589"/>
      <c r="AI223" s="589"/>
      <c r="AJ223" s="589"/>
      <c r="AK223" s="589"/>
      <c r="AL223" s="589"/>
      <c r="AM223" s="589"/>
      <c r="AN223" s="589"/>
      <c r="AO223" s="589"/>
      <c r="AP223" s="589"/>
      <c r="AQ223" s="589"/>
      <c r="AR223" s="589"/>
      <c r="AS223" s="589"/>
    </row>
    <row r="224" spans="1:45" ht="15">
      <c r="A224" s="587" t="s">
        <v>169</v>
      </c>
      <c r="B224" s="587" t="s">
        <v>508</v>
      </c>
      <c r="C224" s="587" t="s">
        <v>812</v>
      </c>
      <c r="D224" s="588">
        <v>2014</v>
      </c>
      <c r="E224" s="587" t="s">
        <v>775</v>
      </c>
      <c r="F224" s="588">
        <v>112</v>
      </c>
      <c r="G224" s="588">
        <v>0</v>
      </c>
      <c r="H224" s="588">
        <v>0</v>
      </c>
      <c r="I224" s="588">
        <v>0</v>
      </c>
      <c r="J224" s="588">
        <v>81</v>
      </c>
      <c r="K224" s="588">
        <v>0</v>
      </c>
      <c r="L224" s="588">
        <v>0</v>
      </c>
      <c r="M224" s="588">
        <v>0</v>
      </c>
      <c r="N224" s="588">
        <v>90</v>
      </c>
      <c r="O224" s="588">
        <v>11</v>
      </c>
      <c r="P224" s="588">
        <v>209</v>
      </c>
      <c r="Q224" s="588">
        <v>35</v>
      </c>
      <c r="R224" s="588">
        <v>492</v>
      </c>
      <c r="S224" s="588">
        <v>46</v>
      </c>
      <c r="T224" s="588">
        <v>2014</v>
      </c>
      <c r="U224" s="588">
        <v>2014</v>
      </c>
      <c r="V224" s="589"/>
      <c r="W224" s="589"/>
      <c r="X224" s="589"/>
      <c r="Y224" s="589"/>
      <c r="Z224" s="589"/>
      <c r="AA224" s="589"/>
      <c r="AB224" s="589"/>
      <c r="AC224" s="589"/>
      <c r="AD224" s="589"/>
      <c r="AE224" s="589"/>
      <c r="AF224" s="589"/>
      <c r="AG224" s="589"/>
      <c r="AH224" s="589"/>
      <c r="AI224" s="589"/>
      <c r="AJ224" s="589"/>
      <c r="AK224" s="589"/>
      <c r="AL224" s="589"/>
      <c r="AM224" s="589"/>
      <c r="AN224" s="589"/>
      <c r="AO224" s="589"/>
      <c r="AP224" s="589"/>
      <c r="AQ224" s="589"/>
      <c r="AR224" s="589"/>
      <c r="AS224" s="589"/>
    </row>
    <row r="225" spans="1:45" ht="15">
      <c r="A225" s="590" t="s">
        <v>170</v>
      </c>
      <c r="B225" s="591" t="s">
        <v>523</v>
      </c>
      <c r="C225" s="591" t="s">
        <v>799</v>
      </c>
      <c r="D225" s="592">
        <v>2014</v>
      </c>
      <c r="E225" s="591" t="s">
        <v>775</v>
      </c>
      <c r="F225" s="592">
        <v>1365</v>
      </c>
      <c r="G225" s="592">
        <v>0</v>
      </c>
      <c r="H225" s="592">
        <v>0</v>
      </c>
      <c r="I225" s="592">
        <v>0</v>
      </c>
      <c r="J225" s="592">
        <v>957</v>
      </c>
      <c r="K225" s="592">
        <v>17</v>
      </c>
      <c r="L225" s="592">
        <v>2</v>
      </c>
      <c r="M225" s="592">
        <v>15</v>
      </c>
      <c r="N225" s="593">
        <v>936</v>
      </c>
      <c r="O225" s="593">
        <v>0</v>
      </c>
      <c r="P225" s="593">
        <v>1773</v>
      </c>
      <c r="Q225" s="593">
        <v>326</v>
      </c>
      <c r="R225" s="593">
        <v>5031</v>
      </c>
      <c r="S225" s="593">
        <v>343</v>
      </c>
      <c r="T225" s="593">
        <v>2014</v>
      </c>
      <c r="U225" s="593">
        <v>2014</v>
      </c>
      <c r="V225" s="589"/>
      <c r="W225" s="589"/>
      <c r="X225" s="589"/>
      <c r="Y225" s="589"/>
      <c r="Z225" s="589"/>
      <c r="AA225" s="589"/>
      <c r="AB225" s="589"/>
      <c r="AC225" s="589"/>
      <c r="AD225" s="589"/>
      <c r="AE225" s="589"/>
      <c r="AF225" s="589"/>
      <c r="AG225" s="589"/>
      <c r="AH225" s="589"/>
      <c r="AI225" s="589"/>
      <c r="AJ225" s="589"/>
      <c r="AK225" s="589"/>
      <c r="AL225" s="589"/>
      <c r="AM225" s="589"/>
      <c r="AN225" s="589"/>
      <c r="AO225" s="589"/>
      <c r="AP225" s="589"/>
      <c r="AQ225" s="589"/>
      <c r="AR225" s="589"/>
      <c r="AS225" s="589"/>
    </row>
    <row r="226" spans="1:45" ht="15">
      <c r="A226" s="587" t="s">
        <v>139</v>
      </c>
      <c r="B226" s="587" t="s">
        <v>288</v>
      </c>
      <c r="C226" s="587" t="s">
        <v>799</v>
      </c>
      <c r="D226" s="588">
        <v>2014</v>
      </c>
      <c r="E226" s="587" t="s">
        <v>775</v>
      </c>
      <c r="F226" s="588">
        <v>78</v>
      </c>
      <c r="G226" s="588">
        <v>0</v>
      </c>
      <c r="H226" s="588">
        <v>0</v>
      </c>
      <c r="I226" s="588">
        <v>0</v>
      </c>
      <c r="J226" s="588">
        <v>55</v>
      </c>
      <c r="K226" s="588">
        <v>0</v>
      </c>
      <c r="L226" s="588">
        <v>0</v>
      </c>
      <c r="M226" s="588">
        <v>0</v>
      </c>
      <c r="N226" s="588">
        <v>69</v>
      </c>
      <c r="O226" s="588">
        <v>9</v>
      </c>
      <c r="P226" s="588">
        <v>170</v>
      </c>
      <c r="Q226" s="588">
        <v>1</v>
      </c>
      <c r="R226" s="588">
        <v>372</v>
      </c>
      <c r="S226" s="588">
        <v>10</v>
      </c>
      <c r="T226" s="588">
        <v>2014</v>
      </c>
      <c r="U226" s="588">
        <v>2014</v>
      </c>
      <c r="V226" s="589"/>
      <c r="W226" s="589"/>
      <c r="X226" s="589"/>
      <c r="Y226" s="589"/>
      <c r="Z226" s="589"/>
      <c r="AA226" s="589"/>
      <c r="AB226" s="589"/>
      <c r="AC226" s="589"/>
      <c r="AD226" s="589"/>
      <c r="AE226" s="589"/>
      <c r="AF226" s="589"/>
      <c r="AG226" s="589"/>
      <c r="AH226" s="589"/>
      <c r="AI226" s="589"/>
      <c r="AJ226" s="589"/>
      <c r="AK226" s="589"/>
      <c r="AL226" s="589"/>
      <c r="AM226" s="589"/>
      <c r="AN226" s="589"/>
      <c r="AO226" s="589"/>
      <c r="AP226" s="589"/>
      <c r="AQ226" s="589"/>
      <c r="AR226" s="589"/>
      <c r="AS226" s="589"/>
    </row>
    <row r="227" spans="1:45" ht="15">
      <c r="A227" s="590" t="s">
        <v>136</v>
      </c>
      <c r="B227" s="591" t="s">
        <v>280</v>
      </c>
      <c r="C227" s="591" t="s">
        <v>774</v>
      </c>
      <c r="D227" s="592">
        <v>2014</v>
      </c>
      <c r="E227" s="591" t="s">
        <v>775</v>
      </c>
      <c r="F227" s="592">
        <v>118</v>
      </c>
      <c r="G227" s="592">
        <v>0</v>
      </c>
      <c r="H227" s="592">
        <v>0</v>
      </c>
      <c r="I227" s="592">
        <v>0</v>
      </c>
      <c r="J227" s="592">
        <v>69</v>
      </c>
      <c r="K227" s="592">
        <v>0</v>
      </c>
      <c r="L227" s="592">
        <v>0</v>
      </c>
      <c r="M227" s="592">
        <v>0</v>
      </c>
      <c r="N227" s="593">
        <v>84</v>
      </c>
      <c r="O227" s="593">
        <v>0</v>
      </c>
      <c r="P227" s="593">
        <v>177</v>
      </c>
      <c r="Q227" s="593">
        <v>4</v>
      </c>
      <c r="R227" s="593">
        <v>448</v>
      </c>
      <c r="S227" s="593">
        <v>4</v>
      </c>
      <c r="T227" s="593">
        <v>2015</v>
      </c>
      <c r="U227" s="593">
        <v>2015</v>
      </c>
      <c r="V227" s="589"/>
      <c r="W227" s="589"/>
      <c r="X227" s="589"/>
      <c r="Y227" s="589"/>
      <c r="Z227" s="589"/>
      <c r="AA227" s="589"/>
      <c r="AB227" s="589"/>
      <c r="AC227" s="589"/>
      <c r="AD227" s="589"/>
      <c r="AE227" s="589"/>
      <c r="AF227" s="589"/>
      <c r="AG227" s="589"/>
      <c r="AH227" s="589"/>
      <c r="AI227" s="589"/>
      <c r="AJ227" s="589"/>
      <c r="AK227" s="589"/>
      <c r="AL227" s="589"/>
      <c r="AM227" s="589"/>
      <c r="AN227" s="589"/>
      <c r="AO227" s="589"/>
      <c r="AP227" s="589"/>
      <c r="AQ227" s="589"/>
      <c r="AR227" s="589"/>
      <c r="AS227" s="589"/>
    </row>
    <row r="228" spans="1:45" ht="15">
      <c r="A228" s="587" t="s">
        <v>125</v>
      </c>
      <c r="B228" s="587" t="s">
        <v>244</v>
      </c>
      <c r="C228" s="587" t="s">
        <v>774</v>
      </c>
      <c r="D228" s="588">
        <v>2014</v>
      </c>
      <c r="E228" s="587" t="s">
        <v>775</v>
      </c>
      <c r="F228" s="588">
        <v>716</v>
      </c>
      <c r="G228" s="588">
        <v>38</v>
      </c>
      <c r="H228" s="588">
        <v>38</v>
      </c>
      <c r="I228" s="588">
        <v>0</v>
      </c>
      <c r="J228" s="588">
        <v>391</v>
      </c>
      <c r="K228" s="588">
        <v>0</v>
      </c>
      <c r="L228" s="588">
        <v>0</v>
      </c>
      <c r="M228" s="588">
        <v>0</v>
      </c>
      <c r="N228" s="588">
        <v>407</v>
      </c>
      <c r="O228" s="588">
        <v>2</v>
      </c>
      <c r="P228" s="588">
        <v>553</v>
      </c>
      <c r="Q228" s="588">
        <v>283</v>
      </c>
      <c r="R228" s="588">
        <v>2067</v>
      </c>
      <c r="S228" s="588">
        <v>323</v>
      </c>
      <c r="T228" s="588">
        <v>2015</v>
      </c>
      <c r="U228" s="588">
        <v>2015</v>
      </c>
      <c r="V228" s="589"/>
      <c r="W228" s="589"/>
      <c r="X228" s="589"/>
      <c r="Y228" s="589"/>
      <c r="Z228" s="589"/>
      <c r="AA228" s="589"/>
      <c r="AB228" s="589"/>
      <c r="AC228" s="589"/>
      <c r="AD228" s="589"/>
      <c r="AE228" s="589"/>
      <c r="AF228" s="589"/>
      <c r="AG228" s="589"/>
      <c r="AH228" s="589"/>
      <c r="AI228" s="589"/>
      <c r="AJ228" s="589"/>
      <c r="AK228" s="589"/>
      <c r="AL228" s="589"/>
      <c r="AM228" s="589"/>
      <c r="AN228" s="589"/>
      <c r="AO228" s="589"/>
      <c r="AP228" s="589"/>
      <c r="AQ228" s="589"/>
      <c r="AR228" s="589"/>
      <c r="AS228" s="589"/>
    </row>
    <row r="229" spans="1:45" ht="15">
      <c r="A229" s="590" t="s">
        <v>159</v>
      </c>
      <c r="B229" s="591" t="s">
        <v>451</v>
      </c>
      <c r="C229" s="591" t="s">
        <v>784</v>
      </c>
      <c r="D229" s="592">
        <v>2014</v>
      </c>
      <c r="E229" s="591" t="s">
        <v>775</v>
      </c>
      <c r="F229" s="592">
        <v>1</v>
      </c>
      <c r="G229" s="592">
        <v>0</v>
      </c>
      <c r="H229" s="592">
        <v>0</v>
      </c>
      <c r="I229" s="592">
        <v>0</v>
      </c>
      <c r="J229" s="592">
        <v>1</v>
      </c>
      <c r="K229" s="592">
        <v>0</v>
      </c>
      <c r="L229" s="592">
        <v>0</v>
      </c>
      <c r="M229" s="592">
        <v>0</v>
      </c>
      <c r="N229" s="593">
        <v>1</v>
      </c>
      <c r="O229" s="593">
        <v>1</v>
      </c>
      <c r="P229" s="593">
        <v>1</v>
      </c>
      <c r="Q229" s="593">
        <v>0</v>
      </c>
      <c r="R229" s="593">
        <v>4</v>
      </c>
      <c r="S229" s="593">
        <v>1</v>
      </c>
      <c r="T229" s="593">
        <v>2014</v>
      </c>
      <c r="U229" s="593">
        <v>2014</v>
      </c>
      <c r="V229" s="589"/>
      <c r="W229" s="589"/>
      <c r="X229" s="589"/>
      <c r="Y229" s="589"/>
      <c r="Z229" s="589"/>
      <c r="AA229" s="589"/>
      <c r="AB229" s="589"/>
      <c r="AC229" s="589"/>
      <c r="AD229" s="589"/>
      <c r="AE229" s="589"/>
      <c r="AF229" s="589"/>
      <c r="AG229" s="589"/>
      <c r="AH229" s="589"/>
      <c r="AI229" s="589"/>
      <c r="AJ229" s="589"/>
      <c r="AK229" s="589"/>
      <c r="AL229" s="589"/>
      <c r="AM229" s="589"/>
      <c r="AN229" s="589"/>
      <c r="AO229" s="589"/>
      <c r="AP229" s="589"/>
      <c r="AQ229" s="589"/>
      <c r="AR229" s="589"/>
      <c r="AS229" s="589"/>
    </row>
    <row r="230" spans="1:45" ht="15">
      <c r="A230" s="587" t="s">
        <v>179</v>
      </c>
      <c r="B230" s="587" t="s">
        <v>602</v>
      </c>
      <c r="C230" s="587" t="s">
        <v>855</v>
      </c>
      <c r="D230" s="588">
        <v>2014</v>
      </c>
      <c r="E230" s="587" t="s">
        <v>775</v>
      </c>
      <c r="F230" s="588">
        <v>201</v>
      </c>
      <c r="G230" s="588">
        <v>0</v>
      </c>
      <c r="H230" s="588">
        <v>0</v>
      </c>
      <c r="I230" s="588">
        <v>0</v>
      </c>
      <c r="J230" s="588">
        <v>152</v>
      </c>
      <c r="K230" s="588">
        <v>0</v>
      </c>
      <c r="L230" s="588">
        <v>0</v>
      </c>
      <c r="M230" s="588">
        <v>0</v>
      </c>
      <c r="N230" s="588">
        <v>282</v>
      </c>
      <c r="O230" s="588">
        <v>0</v>
      </c>
      <c r="P230" s="588">
        <v>618</v>
      </c>
      <c r="Q230" s="588">
        <v>11</v>
      </c>
      <c r="R230" s="588">
        <v>1253</v>
      </c>
      <c r="S230" s="588">
        <v>11</v>
      </c>
      <c r="T230" s="588">
        <v>2014</v>
      </c>
      <c r="U230" s="588">
        <v>2013</v>
      </c>
      <c r="V230" s="589"/>
      <c r="W230" s="589"/>
      <c r="X230" s="589"/>
      <c r="Y230" s="589"/>
      <c r="Z230" s="589"/>
      <c r="AA230" s="589"/>
      <c r="AB230" s="589"/>
      <c r="AC230" s="589"/>
      <c r="AD230" s="589"/>
      <c r="AE230" s="589"/>
      <c r="AF230" s="589"/>
      <c r="AG230" s="589"/>
      <c r="AH230" s="589"/>
      <c r="AI230" s="589"/>
      <c r="AJ230" s="589"/>
      <c r="AK230" s="589"/>
      <c r="AL230" s="589"/>
      <c r="AM230" s="589"/>
      <c r="AN230" s="589"/>
      <c r="AO230" s="589"/>
      <c r="AP230" s="589"/>
      <c r="AQ230" s="589"/>
      <c r="AR230" s="589"/>
      <c r="AS230" s="589"/>
    </row>
    <row r="231" spans="1:45" ht="15">
      <c r="A231" s="590" t="s">
        <v>174</v>
      </c>
      <c r="B231" s="591" t="s">
        <v>561</v>
      </c>
      <c r="C231" s="591" t="s">
        <v>799</v>
      </c>
      <c r="D231" s="592">
        <v>2014</v>
      </c>
      <c r="E231" s="591" t="s">
        <v>775</v>
      </c>
      <c r="F231" s="592">
        <v>1539</v>
      </c>
      <c r="G231" s="592">
        <v>0</v>
      </c>
      <c r="H231" s="592">
        <v>0</v>
      </c>
      <c r="I231" s="592">
        <v>0</v>
      </c>
      <c r="J231" s="592">
        <v>1079</v>
      </c>
      <c r="K231" s="592">
        <v>0</v>
      </c>
      <c r="L231" s="592">
        <v>0</v>
      </c>
      <c r="M231" s="592">
        <v>0</v>
      </c>
      <c r="N231" s="593">
        <v>1303</v>
      </c>
      <c r="O231" s="593">
        <v>0</v>
      </c>
      <c r="P231" s="593">
        <v>3087</v>
      </c>
      <c r="Q231" s="593">
        <v>254</v>
      </c>
      <c r="R231" s="593">
        <v>7008</v>
      </c>
      <c r="S231" s="593">
        <v>254</v>
      </c>
      <c r="T231" s="593">
        <v>2014</v>
      </c>
      <c r="U231" s="593">
        <v>2014</v>
      </c>
      <c r="V231" s="589"/>
      <c r="W231" s="589"/>
      <c r="X231" s="589"/>
      <c r="Y231" s="589"/>
      <c r="Z231" s="589"/>
      <c r="AA231" s="589"/>
      <c r="AB231" s="589"/>
      <c r="AC231" s="589"/>
      <c r="AD231" s="589"/>
      <c r="AE231" s="589"/>
      <c r="AF231" s="589"/>
      <c r="AG231" s="589"/>
      <c r="AH231" s="589"/>
      <c r="AI231" s="589"/>
      <c r="AJ231" s="589"/>
      <c r="AK231" s="589"/>
      <c r="AL231" s="589"/>
      <c r="AM231" s="589"/>
      <c r="AN231" s="589"/>
      <c r="AO231" s="589"/>
      <c r="AP231" s="589"/>
      <c r="AQ231" s="589"/>
      <c r="AR231" s="589"/>
      <c r="AS231" s="589"/>
    </row>
    <row r="232" spans="1:45" ht="15">
      <c r="A232" s="587" t="s">
        <v>178</v>
      </c>
      <c r="B232" s="587" t="s">
        <v>581</v>
      </c>
      <c r="C232" s="587" t="s">
        <v>812</v>
      </c>
      <c r="D232" s="588">
        <v>2014</v>
      </c>
      <c r="E232" s="587" t="s">
        <v>775</v>
      </c>
      <c r="F232" s="588">
        <v>209</v>
      </c>
      <c r="G232" s="588">
        <v>0</v>
      </c>
      <c r="H232" s="588">
        <v>0</v>
      </c>
      <c r="I232" s="588">
        <v>0</v>
      </c>
      <c r="J232" s="588">
        <v>141</v>
      </c>
      <c r="K232" s="588">
        <v>0</v>
      </c>
      <c r="L232" s="588">
        <v>0</v>
      </c>
      <c r="M232" s="588">
        <v>0</v>
      </c>
      <c r="N232" s="588">
        <v>158</v>
      </c>
      <c r="O232" s="588">
        <v>0</v>
      </c>
      <c r="P232" s="588">
        <v>340</v>
      </c>
      <c r="Q232" s="588">
        <v>388</v>
      </c>
      <c r="R232" s="588">
        <v>848</v>
      </c>
      <c r="S232" s="588">
        <v>388</v>
      </c>
      <c r="T232" s="588">
        <v>2014</v>
      </c>
      <c r="U232" s="588">
        <v>2014</v>
      </c>
      <c r="V232" s="589"/>
      <c r="W232" s="589"/>
      <c r="X232" s="589"/>
      <c r="Y232" s="589"/>
      <c r="Z232" s="589"/>
      <c r="AA232" s="589"/>
      <c r="AB232" s="589"/>
      <c r="AC232" s="589"/>
      <c r="AD232" s="589"/>
      <c r="AE232" s="589"/>
      <c r="AF232" s="589"/>
      <c r="AG232" s="589"/>
      <c r="AH232" s="589"/>
      <c r="AI232" s="589"/>
      <c r="AJ232" s="589"/>
      <c r="AK232" s="589"/>
      <c r="AL232" s="589"/>
      <c r="AM232" s="589"/>
      <c r="AN232" s="589"/>
      <c r="AO232" s="589"/>
      <c r="AP232" s="589"/>
      <c r="AQ232" s="589"/>
      <c r="AR232" s="589"/>
      <c r="AS232" s="589"/>
    </row>
    <row r="233" spans="1:45" ht="15">
      <c r="A233" s="590" t="s">
        <v>153</v>
      </c>
      <c r="B233" s="591" t="s">
        <v>409</v>
      </c>
      <c r="C233" s="591" t="s">
        <v>812</v>
      </c>
      <c r="D233" s="592">
        <v>2014</v>
      </c>
      <c r="E233" s="591" t="s">
        <v>775</v>
      </c>
      <c r="F233" s="592">
        <v>8</v>
      </c>
      <c r="G233" s="592">
        <v>0</v>
      </c>
      <c r="H233" s="592">
        <v>0</v>
      </c>
      <c r="I233" s="592">
        <v>0</v>
      </c>
      <c r="J233" s="592">
        <v>5</v>
      </c>
      <c r="K233" s="592">
        <v>0</v>
      </c>
      <c r="L233" s="592">
        <v>0</v>
      </c>
      <c r="M233" s="592">
        <v>0</v>
      </c>
      <c r="N233" s="593">
        <v>5</v>
      </c>
      <c r="O233" s="593">
        <v>0</v>
      </c>
      <c r="P233" s="593">
        <v>13</v>
      </c>
      <c r="Q233" s="593">
        <v>4</v>
      </c>
      <c r="R233" s="593">
        <v>31</v>
      </c>
      <c r="S233" s="593">
        <v>4</v>
      </c>
      <c r="T233" s="593">
        <v>2014</v>
      </c>
      <c r="U233" s="593">
        <v>2014</v>
      </c>
      <c r="V233" s="589"/>
      <c r="W233" s="589"/>
      <c r="X233" s="589"/>
      <c r="Y233" s="589"/>
      <c r="Z233" s="589"/>
      <c r="AA233" s="589"/>
      <c r="AB233" s="589"/>
      <c r="AC233" s="589"/>
      <c r="AD233" s="589"/>
      <c r="AE233" s="589"/>
      <c r="AF233" s="589"/>
      <c r="AG233" s="589"/>
      <c r="AH233" s="589"/>
      <c r="AI233" s="589"/>
      <c r="AJ233" s="589"/>
      <c r="AK233" s="589"/>
      <c r="AL233" s="589"/>
      <c r="AM233" s="589"/>
      <c r="AN233" s="589"/>
      <c r="AO233" s="589"/>
      <c r="AP233" s="589"/>
      <c r="AQ233" s="589"/>
      <c r="AR233" s="589"/>
      <c r="AS233" s="589"/>
    </row>
    <row r="234" spans="1:45" ht="15">
      <c r="A234" s="587" t="s">
        <v>169</v>
      </c>
      <c r="B234" s="587" t="s">
        <v>509</v>
      </c>
      <c r="C234" s="587" t="s">
        <v>812</v>
      </c>
      <c r="D234" s="588">
        <v>2014</v>
      </c>
      <c r="E234" s="587" t="s">
        <v>775</v>
      </c>
      <c r="F234" s="588">
        <v>1</v>
      </c>
      <c r="G234" s="588">
        <v>0</v>
      </c>
      <c r="H234" s="588">
        <v>0</v>
      </c>
      <c r="I234" s="588">
        <v>0</v>
      </c>
      <c r="J234" s="588">
        <v>1</v>
      </c>
      <c r="K234" s="588">
        <v>0</v>
      </c>
      <c r="L234" s="588">
        <v>0</v>
      </c>
      <c r="M234" s="588">
        <v>0</v>
      </c>
      <c r="N234" s="588">
        <v>0</v>
      </c>
      <c r="O234" s="588">
        <v>0</v>
      </c>
      <c r="P234" s="588">
        <v>0</v>
      </c>
      <c r="Q234" s="588">
        <v>0</v>
      </c>
      <c r="R234" s="588">
        <v>2</v>
      </c>
      <c r="S234" s="588">
        <v>0</v>
      </c>
      <c r="T234" s="588">
        <v>2014</v>
      </c>
      <c r="U234" s="588">
        <v>2014</v>
      </c>
      <c r="V234" s="589"/>
      <c r="W234" s="589"/>
      <c r="X234" s="589"/>
      <c r="Y234" s="589"/>
      <c r="Z234" s="589"/>
      <c r="AA234" s="589"/>
      <c r="AB234" s="589"/>
      <c r="AC234" s="589"/>
      <c r="AD234" s="589"/>
      <c r="AE234" s="589"/>
      <c r="AF234" s="589"/>
      <c r="AG234" s="589"/>
      <c r="AH234" s="589"/>
      <c r="AI234" s="589"/>
      <c r="AJ234" s="589"/>
      <c r="AK234" s="589"/>
      <c r="AL234" s="589"/>
      <c r="AM234" s="589"/>
      <c r="AN234" s="589"/>
      <c r="AO234" s="589"/>
      <c r="AP234" s="589"/>
      <c r="AQ234" s="589"/>
      <c r="AR234" s="589"/>
      <c r="AS234" s="589"/>
    </row>
    <row r="235" spans="1:45" ht="15">
      <c r="A235" s="590" t="s">
        <v>197</v>
      </c>
      <c r="B235" s="591" t="s">
        <v>717</v>
      </c>
      <c r="C235" s="591" t="s">
        <v>784</v>
      </c>
      <c r="D235" s="592">
        <v>2014</v>
      </c>
      <c r="E235" s="591" t="s">
        <v>775</v>
      </c>
      <c r="F235" s="592">
        <v>73</v>
      </c>
      <c r="G235" s="592">
        <v>0</v>
      </c>
      <c r="H235" s="592">
        <v>0</v>
      </c>
      <c r="I235" s="592">
        <v>0</v>
      </c>
      <c r="J235" s="592">
        <v>52</v>
      </c>
      <c r="K235" s="592">
        <v>26</v>
      </c>
      <c r="L235" s="592">
        <v>26</v>
      </c>
      <c r="M235" s="592">
        <v>0</v>
      </c>
      <c r="N235" s="593">
        <v>61</v>
      </c>
      <c r="O235" s="593">
        <v>1</v>
      </c>
      <c r="P235" s="593">
        <v>137</v>
      </c>
      <c r="Q235" s="593">
        <v>0</v>
      </c>
      <c r="R235" s="593">
        <v>323</v>
      </c>
      <c r="S235" s="593">
        <v>27</v>
      </c>
      <c r="T235" s="593">
        <v>2014</v>
      </c>
      <c r="U235" s="593">
        <v>2014</v>
      </c>
      <c r="V235" s="589"/>
      <c r="W235" s="589"/>
      <c r="X235" s="589"/>
      <c r="Y235" s="589"/>
      <c r="Z235" s="589"/>
      <c r="AA235" s="589"/>
      <c r="AB235" s="589"/>
      <c r="AC235" s="589"/>
      <c r="AD235" s="589"/>
      <c r="AE235" s="589"/>
      <c r="AF235" s="589"/>
      <c r="AG235" s="589"/>
      <c r="AH235" s="589"/>
      <c r="AI235" s="589"/>
      <c r="AJ235" s="589"/>
      <c r="AK235" s="589"/>
      <c r="AL235" s="589"/>
      <c r="AM235" s="589"/>
      <c r="AN235" s="589"/>
      <c r="AO235" s="589"/>
      <c r="AP235" s="589"/>
      <c r="AQ235" s="589"/>
      <c r="AR235" s="589"/>
      <c r="AS235" s="589"/>
    </row>
    <row r="236" spans="1:45" ht="15">
      <c r="A236" s="587" t="s">
        <v>189</v>
      </c>
      <c r="B236" s="587" t="s">
        <v>671</v>
      </c>
      <c r="C236" s="587" t="s">
        <v>784</v>
      </c>
      <c r="D236" s="588">
        <v>2014</v>
      </c>
      <c r="E236" s="587" t="s">
        <v>775</v>
      </c>
      <c r="F236" s="588">
        <v>287</v>
      </c>
      <c r="G236" s="588">
        <v>0</v>
      </c>
      <c r="H236" s="588">
        <v>0</v>
      </c>
      <c r="I236" s="588">
        <v>0</v>
      </c>
      <c r="J236" s="588">
        <v>181</v>
      </c>
      <c r="K236" s="588">
        <v>2</v>
      </c>
      <c r="L236" s="588">
        <v>2</v>
      </c>
      <c r="M236" s="588">
        <v>0</v>
      </c>
      <c r="N236" s="588">
        <v>205</v>
      </c>
      <c r="O236" s="588">
        <v>17</v>
      </c>
      <c r="P236" s="588">
        <v>502</v>
      </c>
      <c r="Q236" s="588">
        <v>83</v>
      </c>
      <c r="R236" s="588">
        <v>1175</v>
      </c>
      <c r="S236" s="588">
        <v>102</v>
      </c>
      <c r="T236" s="588">
        <v>2014</v>
      </c>
      <c r="U236" s="588">
        <v>2014</v>
      </c>
      <c r="V236" s="589"/>
      <c r="W236" s="589"/>
      <c r="X236" s="589"/>
      <c r="Y236" s="589"/>
      <c r="Z236" s="589"/>
      <c r="AA236" s="589"/>
      <c r="AB236" s="589"/>
      <c r="AC236" s="589"/>
      <c r="AD236" s="589"/>
      <c r="AE236" s="589"/>
      <c r="AF236" s="589"/>
      <c r="AG236" s="589"/>
      <c r="AH236" s="589"/>
      <c r="AI236" s="589"/>
      <c r="AJ236" s="589"/>
      <c r="AK236" s="589"/>
      <c r="AL236" s="589"/>
      <c r="AM236" s="589"/>
      <c r="AN236" s="589"/>
      <c r="AO236" s="589"/>
      <c r="AP236" s="589"/>
      <c r="AQ236" s="589"/>
      <c r="AR236" s="589"/>
      <c r="AS236" s="589"/>
    </row>
    <row r="237" spans="1:45" ht="15">
      <c r="A237" s="590" t="s">
        <v>178</v>
      </c>
      <c r="B237" s="591" t="s">
        <v>582</v>
      </c>
      <c r="C237" s="591" t="s">
        <v>812</v>
      </c>
      <c r="D237" s="592">
        <v>2014</v>
      </c>
      <c r="E237" s="591" t="s">
        <v>775</v>
      </c>
      <c r="F237" s="592">
        <v>579</v>
      </c>
      <c r="G237" s="592">
        <v>0</v>
      </c>
      <c r="H237" s="592">
        <v>0</v>
      </c>
      <c r="I237" s="592">
        <v>0</v>
      </c>
      <c r="J237" s="592">
        <v>396</v>
      </c>
      <c r="K237" s="592">
        <v>0</v>
      </c>
      <c r="L237" s="592">
        <v>0</v>
      </c>
      <c r="M237" s="592">
        <v>0</v>
      </c>
      <c r="N237" s="593">
        <v>453</v>
      </c>
      <c r="O237" s="593">
        <v>0</v>
      </c>
      <c r="P237" s="593">
        <v>1001</v>
      </c>
      <c r="Q237" s="593">
        <v>57</v>
      </c>
      <c r="R237" s="593">
        <v>2429</v>
      </c>
      <c r="S237" s="593">
        <v>57</v>
      </c>
      <c r="T237" s="593">
        <v>2014</v>
      </c>
      <c r="U237" s="593">
        <v>2014</v>
      </c>
      <c r="V237" s="589"/>
      <c r="W237" s="589"/>
      <c r="X237" s="589"/>
      <c r="Y237" s="589"/>
      <c r="Z237" s="589"/>
      <c r="AA237" s="589"/>
      <c r="AB237" s="589"/>
      <c r="AC237" s="589"/>
      <c r="AD237" s="589"/>
      <c r="AE237" s="589"/>
      <c r="AF237" s="589"/>
      <c r="AG237" s="589"/>
      <c r="AH237" s="589"/>
      <c r="AI237" s="589"/>
      <c r="AJ237" s="589"/>
      <c r="AK237" s="589"/>
      <c r="AL237" s="589"/>
      <c r="AM237" s="589"/>
      <c r="AN237" s="589"/>
      <c r="AO237" s="589"/>
      <c r="AP237" s="589"/>
      <c r="AQ237" s="589"/>
      <c r="AR237" s="589"/>
      <c r="AS237" s="589"/>
    </row>
    <row r="238" spans="1:45" ht="15">
      <c r="A238" s="587" t="s">
        <v>153</v>
      </c>
      <c r="B238" s="587" t="s">
        <v>410</v>
      </c>
      <c r="C238" s="587" t="s">
        <v>812</v>
      </c>
      <c r="D238" s="588">
        <v>2014</v>
      </c>
      <c r="E238" s="587" t="s">
        <v>775</v>
      </c>
      <c r="F238" s="588">
        <v>372</v>
      </c>
      <c r="G238" s="588">
        <v>0</v>
      </c>
      <c r="H238" s="588">
        <v>0</v>
      </c>
      <c r="I238" s="588">
        <v>0</v>
      </c>
      <c r="J238" s="588">
        <v>223</v>
      </c>
      <c r="K238" s="588">
        <v>0</v>
      </c>
      <c r="L238" s="588">
        <v>0</v>
      </c>
      <c r="M238" s="588">
        <v>0</v>
      </c>
      <c r="N238" s="588">
        <v>238</v>
      </c>
      <c r="O238" s="588">
        <v>0</v>
      </c>
      <c r="P238" s="588">
        <v>564</v>
      </c>
      <c r="Q238" s="588">
        <v>35</v>
      </c>
      <c r="R238" s="588">
        <v>1397</v>
      </c>
      <c r="S238" s="588">
        <v>35</v>
      </c>
      <c r="T238" s="588">
        <v>2014</v>
      </c>
      <c r="U238" s="588">
        <v>2014</v>
      </c>
      <c r="V238" s="589"/>
      <c r="W238" s="589"/>
      <c r="X238" s="589"/>
      <c r="Y238" s="589"/>
      <c r="Z238" s="589"/>
      <c r="AA238" s="589"/>
      <c r="AB238" s="589"/>
      <c r="AC238" s="589"/>
      <c r="AD238" s="589"/>
      <c r="AE238" s="589"/>
      <c r="AF238" s="589"/>
      <c r="AG238" s="589"/>
      <c r="AH238" s="589"/>
      <c r="AI238" s="589"/>
      <c r="AJ238" s="589"/>
      <c r="AK238" s="589"/>
      <c r="AL238" s="589"/>
      <c r="AM238" s="589"/>
      <c r="AN238" s="589"/>
      <c r="AO238" s="589"/>
      <c r="AP238" s="589"/>
      <c r="AQ238" s="589"/>
      <c r="AR238" s="589"/>
      <c r="AS238" s="589"/>
    </row>
    <row r="239" spans="1:45" ht="15">
      <c r="A239" s="590" t="s">
        <v>178</v>
      </c>
      <c r="B239" s="591" t="s">
        <v>583</v>
      </c>
      <c r="C239" s="591" t="s">
        <v>812</v>
      </c>
      <c r="D239" s="592">
        <v>2014</v>
      </c>
      <c r="E239" s="591" t="s">
        <v>775</v>
      </c>
      <c r="F239" s="592">
        <v>636</v>
      </c>
      <c r="G239" s="592">
        <v>0</v>
      </c>
      <c r="H239" s="592">
        <v>0</v>
      </c>
      <c r="I239" s="592">
        <v>0</v>
      </c>
      <c r="J239" s="592">
        <v>432</v>
      </c>
      <c r="K239" s="592">
        <v>0</v>
      </c>
      <c r="L239" s="592">
        <v>0</v>
      </c>
      <c r="M239" s="592">
        <v>0</v>
      </c>
      <c r="N239" s="593">
        <v>496</v>
      </c>
      <c r="O239" s="593">
        <v>0</v>
      </c>
      <c r="P239" s="593">
        <v>1151</v>
      </c>
      <c r="Q239" s="593">
        <v>76</v>
      </c>
      <c r="R239" s="593">
        <v>2715</v>
      </c>
      <c r="S239" s="593">
        <v>76</v>
      </c>
      <c r="T239" s="593">
        <v>2014</v>
      </c>
      <c r="U239" s="593">
        <v>2014</v>
      </c>
      <c r="V239" s="589"/>
      <c r="W239" s="589"/>
      <c r="X239" s="589"/>
      <c r="Y239" s="589"/>
      <c r="Z239" s="589"/>
      <c r="AA239" s="589"/>
      <c r="AB239" s="589"/>
      <c r="AC239" s="589"/>
      <c r="AD239" s="589"/>
      <c r="AE239" s="589"/>
      <c r="AF239" s="589"/>
      <c r="AG239" s="589"/>
      <c r="AH239" s="589"/>
      <c r="AI239" s="589"/>
      <c r="AJ239" s="589"/>
      <c r="AK239" s="589"/>
      <c r="AL239" s="589"/>
      <c r="AM239" s="589"/>
      <c r="AN239" s="589"/>
      <c r="AO239" s="589"/>
      <c r="AP239" s="589"/>
      <c r="AQ239" s="589"/>
      <c r="AR239" s="589"/>
      <c r="AS239" s="589"/>
    </row>
    <row r="240" spans="1:45" ht="15">
      <c r="A240" s="587" t="s">
        <v>173</v>
      </c>
      <c r="B240" s="587" t="s">
        <v>552</v>
      </c>
      <c r="C240" s="587" t="s">
        <v>812</v>
      </c>
      <c r="D240" s="588">
        <v>2014</v>
      </c>
      <c r="E240" s="587" t="s">
        <v>775</v>
      </c>
      <c r="F240" s="588">
        <v>7173</v>
      </c>
      <c r="G240" s="588">
        <v>43</v>
      </c>
      <c r="H240" s="588">
        <v>43</v>
      </c>
      <c r="I240" s="588">
        <v>0</v>
      </c>
      <c r="J240" s="588">
        <v>4871</v>
      </c>
      <c r="K240" s="588">
        <v>45</v>
      </c>
      <c r="L240" s="588">
        <v>45</v>
      </c>
      <c r="M240" s="588">
        <v>0</v>
      </c>
      <c r="N240" s="588">
        <v>5534</v>
      </c>
      <c r="O240" s="588">
        <v>430</v>
      </c>
      <c r="P240" s="588">
        <v>12725</v>
      </c>
      <c r="Q240" s="588">
        <v>630</v>
      </c>
      <c r="R240" s="588">
        <v>30303</v>
      </c>
      <c r="S240" s="588">
        <v>1148</v>
      </c>
      <c r="T240" s="588">
        <v>2014</v>
      </c>
      <c r="U240" s="588">
        <v>2014</v>
      </c>
      <c r="V240" s="589"/>
      <c r="W240" s="589"/>
      <c r="X240" s="589"/>
      <c r="Y240" s="589"/>
      <c r="Z240" s="589"/>
      <c r="AA240" s="589"/>
      <c r="AB240" s="589"/>
      <c r="AC240" s="589"/>
      <c r="AD240" s="589"/>
      <c r="AE240" s="589"/>
      <c r="AF240" s="589"/>
      <c r="AG240" s="589"/>
      <c r="AH240" s="589"/>
      <c r="AI240" s="589"/>
      <c r="AJ240" s="589"/>
      <c r="AK240" s="589"/>
      <c r="AL240" s="589"/>
      <c r="AM240" s="589"/>
      <c r="AN240" s="589"/>
      <c r="AO240" s="589"/>
      <c r="AP240" s="589"/>
      <c r="AQ240" s="589"/>
      <c r="AR240" s="589"/>
      <c r="AS240" s="589"/>
    </row>
    <row r="241" spans="1:45" ht="15">
      <c r="A241" s="590" t="s">
        <v>170</v>
      </c>
      <c r="B241" s="591" t="s">
        <v>524</v>
      </c>
      <c r="C241" s="591" t="s">
        <v>799</v>
      </c>
      <c r="D241" s="592">
        <v>2014</v>
      </c>
      <c r="E241" s="591" t="s">
        <v>775</v>
      </c>
      <c r="F241" s="592">
        <v>1040</v>
      </c>
      <c r="G241" s="592">
        <v>0</v>
      </c>
      <c r="H241" s="592">
        <v>0</v>
      </c>
      <c r="I241" s="592">
        <v>0</v>
      </c>
      <c r="J241" s="592">
        <v>729</v>
      </c>
      <c r="K241" s="592">
        <v>0</v>
      </c>
      <c r="L241" s="592">
        <v>0</v>
      </c>
      <c r="M241" s="592">
        <v>0</v>
      </c>
      <c r="N241" s="593">
        <v>709</v>
      </c>
      <c r="O241" s="593">
        <v>37</v>
      </c>
      <c r="P241" s="593">
        <v>1335</v>
      </c>
      <c r="Q241" s="593">
        <v>360</v>
      </c>
      <c r="R241" s="593">
        <v>3813</v>
      </c>
      <c r="S241" s="593">
        <v>397</v>
      </c>
      <c r="T241" s="593">
        <v>2014</v>
      </c>
      <c r="U241" s="593">
        <v>2014</v>
      </c>
      <c r="V241" s="589"/>
      <c r="W241" s="589"/>
      <c r="X241" s="589"/>
      <c r="Y241" s="589"/>
      <c r="Z241" s="589"/>
      <c r="AA241" s="589"/>
      <c r="AB241" s="589"/>
      <c r="AC241" s="589"/>
      <c r="AD241" s="589"/>
      <c r="AE241" s="589"/>
      <c r="AF241" s="589"/>
      <c r="AG241" s="589"/>
      <c r="AH241" s="589"/>
      <c r="AI241" s="589"/>
      <c r="AJ241" s="589"/>
      <c r="AK241" s="589"/>
      <c r="AL241" s="589"/>
      <c r="AM241" s="589"/>
      <c r="AN241" s="589"/>
      <c r="AO241" s="589"/>
      <c r="AP241" s="589"/>
      <c r="AQ241" s="589"/>
      <c r="AR241" s="589"/>
      <c r="AS241" s="589"/>
    </row>
    <row r="242" spans="1:45" ht="15">
      <c r="A242" s="587" t="s">
        <v>193</v>
      </c>
      <c r="B242" s="587" t="s">
        <v>698</v>
      </c>
      <c r="C242" s="587" t="s">
        <v>774</v>
      </c>
      <c r="D242" s="588">
        <v>2014</v>
      </c>
      <c r="E242" s="587" t="s">
        <v>775</v>
      </c>
      <c r="F242" s="588">
        <v>181</v>
      </c>
      <c r="G242" s="588">
        <v>0</v>
      </c>
      <c r="H242" s="588">
        <v>0</v>
      </c>
      <c r="I242" s="588">
        <v>0</v>
      </c>
      <c r="J242" s="588">
        <v>107</v>
      </c>
      <c r="K242" s="588">
        <v>0</v>
      </c>
      <c r="L242" s="588">
        <v>0</v>
      </c>
      <c r="M242" s="588">
        <v>0</v>
      </c>
      <c r="N242" s="588">
        <v>127</v>
      </c>
      <c r="O242" s="588">
        <v>0</v>
      </c>
      <c r="P242" s="588">
        <v>484</v>
      </c>
      <c r="Q242" s="588">
        <v>0</v>
      </c>
      <c r="R242" s="588">
        <v>899</v>
      </c>
      <c r="S242" s="588">
        <v>0</v>
      </c>
      <c r="T242" s="588">
        <v>2015</v>
      </c>
      <c r="U242" s="588">
        <v>2015</v>
      </c>
      <c r="V242" s="589"/>
      <c r="W242" s="589"/>
      <c r="X242" s="589"/>
      <c r="Y242" s="589"/>
      <c r="Z242" s="589"/>
      <c r="AA242" s="589"/>
      <c r="AB242" s="589"/>
      <c r="AC242" s="589"/>
      <c r="AD242" s="589"/>
      <c r="AE242" s="589"/>
      <c r="AF242" s="589"/>
      <c r="AG242" s="589"/>
      <c r="AH242" s="589"/>
      <c r="AI242" s="589"/>
      <c r="AJ242" s="589"/>
      <c r="AK242" s="589"/>
      <c r="AL242" s="589"/>
      <c r="AM242" s="589"/>
      <c r="AN242" s="589"/>
      <c r="AO242" s="589"/>
      <c r="AP242" s="589"/>
      <c r="AQ242" s="589"/>
      <c r="AR242" s="589"/>
      <c r="AS242" s="589"/>
    </row>
    <row r="243" spans="1:45" ht="15">
      <c r="A243" s="590" t="s">
        <v>153</v>
      </c>
      <c r="B243" s="591" t="s">
        <v>413</v>
      </c>
      <c r="C243" s="591" t="s">
        <v>812</v>
      </c>
      <c r="D243" s="592">
        <v>2014</v>
      </c>
      <c r="E243" s="591" t="s">
        <v>775</v>
      </c>
      <c r="F243" s="592">
        <v>153</v>
      </c>
      <c r="G243" s="592">
        <v>0</v>
      </c>
      <c r="H243" s="592">
        <v>0</v>
      </c>
      <c r="I243" s="592">
        <v>0</v>
      </c>
      <c r="J243" s="592">
        <v>88</v>
      </c>
      <c r="K243" s="592">
        <v>0</v>
      </c>
      <c r="L243" s="592">
        <v>0</v>
      </c>
      <c r="M243" s="592">
        <v>0</v>
      </c>
      <c r="N243" s="593">
        <v>99</v>
      </c>
      <c r="O243" s="593">
        <v>0</v>
      </c>
      <c r="P243" s="593">
        <v>262</v>
      </c>
      <c r="Q243" s="593">
        <v>0</v>
      </c>
      <c r="R243" s="593">
        <v>602</v>
      </c>
      <c r="S243" s="593">
        <v>0</v>
      </c>
      <c r="T243" s="593">
        <v>2014</v>
      </c>
      <c r="U243" s="593">
        <v>2014</v>
      </c>
      <c r="V243" s="589"/>
      <c r="W243" s="589"/>
      <c r="X243" s="589"/>
      <c r="Y243" s="589"/>
      <c r="Z243" s="589"/>
      <c r="AA243" s="589"/>
      <c r="AB243" s="589"/>
      <c r="AC243" s="589"/>
      <c r="AD243" s="589"/>
      <c r="AE243" s="589"/>
      <c r="AF243" s="589"/>
      <c r="AG243" s="589"/>
      <c r="AH243" s="589"/>
      <c r="AI243" s="589"/>
      <c r="AJ243" s="589"/>
      <c r="AK243" s="589"/>
      <c r="AL243" s="589"/>
      <c r="AM243" s="589"/>
      <c r="AN243" s="589"/>
      <c r="AO243" s="589"/>
      <c r="AP243" s="589"/>
      <c r="AQ243" s="589"/>
      <c r="AR243" s="589"/>
      <c r="AS243" s="589"/>
    </row>
    <row r="244" spans="1:45" ht="15">
      <c r="A244" s="587" t="s">
        <v>170</v>
      </c>
      <c r="B244" s="587" t="s">
        <v>525</v>
      </c>
      <c r="C244" s="587" t="s">
        <v>799</v>
      </c>
      <c r="D244" s="588">
        <v>2014</v>
      </c>
      <c r="E244" s="587" t="s">
        <v>775</v>
      </c>
      <c r="F244" s="588">
        <v>2268</v>
      </c>
      <c r="G244" s="588">
        <v>9</v>
      </c>
      <c r="H244" s="588">
        <v>9</v>
      </c>
      <c r="I244" s="588">
        <v>0</v>
      </c>
      <c r="J244" s="588">
        <v>1590</v>
      </c>
      <c r="K244" s="588">
        <v>14</v>
      </c>
      <c r="L244" s="588">
        <v>14</v>
      </c>
      <c r="M244" s="588">
        <v>0</v>
      </c>
      <c r="N244" s="588">
        <v>1577</v>
      </c>
      <c r="O244" s="588">
        <v>438</v>
      </c>
      <c r="P244" s="588">
        <v>3043</v>
      </c>
      <c r="Q244" s="588">
        <v>333</v>
      </c>
      <c r="R244" s="588">
        <v>8478</v>
      </c>
      <c r="S244" s="588">
        <v>794</v>
      </c>
      <c r="T244" s="588">
        <v>2014</v>
      </c>
      <c r="U244" s="588">
        <v>2014</v>
      </c>
      <c r="V244" s="589"/>
      <c r="W244" s="589"/>
      <c r="X244" s="589"/>
      <c r="Y244" s="589"/>
      <c r="Z244" s="589"/>
      <c r="AA244" s="589"/>
      <c r="AB244" s="589"/>
      <c r="AC244" s="589"/>
      <c r="AD244" s="589"/>
      <c r="AE244" s="589"/>
      <c r="AF244" s="589"/>
      <c r="AG244" s="589"/>
      <c r="AH244" s="589"/>
      <c r="AI244" s="589"/>
      <c r="AJ244" s="589"/>
      <c r="AK244" s="589"/>
      <c r="AL244" s="589"/>
      <c r="AM244" s="589"/>
      <c r="AN244" s="589"/>
      <c r="AO244" s="589"/>
      <c r="AP244" s="589"/>
      <c r="AQ244" s="589"/>
      <c r="AR244" s="589"/>
      <c r="AS244" s="589"/>
    </row>
    <row r="245" spans="1:45" ht="15">
      <c r="A245" s="590" t="s">
        <v>174</v>
      </c>
      <c r="B245" s="591" t="s">
        <v>174</v>
      </c>
      <c r="C245" s="591" t="s">
        <v>799</v>
      </c>
      <c r="D245" s="592">
        <v>2014</v>
      </c>
      <c r="E245" s="591" t="s">
        <v>775</v>
      </c>
      <c r="F245" s="592">
        <v>4944</v>
      </c>
      <c r="G245" s="592">
        <v>102</v>
      </c>
      <c r="H245" s="592">
        <v>78</v>
      </c>
      <c r="I245" s="592">
        <v>24</v>
      </c>
      <c r="J245" s="592">
        <v>3467</v>
      </c>
      <c r="K245" s="592">
        <v>123</v>
      </c>
      <c r="L245" s="592">
        <v>95</v>
      </c>
      <c r="M245" s="592">
        <v>28</v>
      </c>
      <c r="N245" s="593">
        <v>4482</v>
      </c>
      <c r="O245" s="593">
        <v>21</v>
      </c>
      <c r="P245" s="593">
        <v>11208</v>
      </c>
      <c r="Q245" s="593">
        <v>95</v>
      </c>
      <c r="R245" s="593">
        <v>24101</v>
      </c>
      <c r="S245" s="593">
        <v>341</v>
      </c>
      <c r="T245" s="593">
        <v>2014</v>
      </c>
      <c r="U245" s="593">
        <v>2014</v>
      </c>
      <c r="V245" s="589"/>
      <c r="W245" s="589"/>
      <c r="X245" s="589"/>
      <c r="Y245" s="589"/>
      <c r="Z245" s="589"/>
      <c r="AA245" s="589"/>
      <c r="AB245" s="589"/>
      <c r="AC245" s="589"/>
      <c r="AD245" s="589"/>
      <c r="AE245" s="589"/>
      <c r="AF245" s="589"/>
      <c r="AG245" s="589"/>
      <c r="AH245" s="589"/>
      <c r="AI245" s="589"/>
      <c r="AJ245" s="589"/>
      <c r="AK245" s="589"/>
      <c r="AL245" s="589"/>
      <c r="AM245" s="589"/>
      <c r="AN245" s="589"/>
      <c r="AO245" s="589"/>
      <c r="AP245" s="589"/>
      <c r="AQ245" s="589"/>
      <c r="AR245" s="589"/>
      <c r="AS245" s="589"/>
    </row>
    <row r="246" spans="1:45" ht="15">
      <c r="A246" s="587" t="s">
        <v>174</v>
      </c>
      <c r="B246" s="587" t="s">
        <v>562</v>
      </c>
      <c r="C246" s="587" t="s">
        <v>799</v>
      </c>
      <c r="D246" s="588">
        <v>2014</v>
      </c>
      <c r="E246" s="587" t="s">
        <v>775</v>
      </c>
      <c r="F246" s="588">
        <v>3149</v>
      </c>
      <c r="G246" s="588">
        <v>0</v>
      </c>
      <c r="H246" s="588">
        <v>0</v>
      </c>
      <c r="I246" s="588">
        <v>0</v>
      </c>
      <c r="J246" s="588">
        <v>2208</v>
      </c>
      <c r="K246" s="588">
        <v>0</v>
      </c>
      <c r="L246" s="588">
        <v>0</v>
      </c>
      <c r="M246" s="588">
        <v>0</v>
      </c>
      <c r="N246" s="588">
        <v>2574</v>
      </c>
      <c r="O246" s="588">
        <v>97</v>
      </c>
      <c r="P246" s="588">
        <v>5913</v>
      </c>
      <c r="Q246" s="588">
        <v>228</v>
      </c>
      <c r="R246" s="588">
        <v>13844</v>
      </c>
      <c r="S246" s="588">
        <v>325</v>
      </c>
      <c r="T246" s="588">
        <v>2014</v>
      </c>
      <c r="U246" s="588">
        <v>2014</v>
      </c>
      <c r="V246" s="589"/>
      <c r="W246" s="589"/>
      <c r="X246" s="589"/>
      <c r="Y246" s="589"/>
      <c r="Z246" s="589"/>
      <c r="AA246" s="589"/>
      <c r="AB246" s="589"/>
      <c r="AC246" s="589"/>
      <c r="AD246" s="589"/>
      <c r="AE246" s="589"/>
      <c r="AF246" s="589"/>
      <c r="AG246" s="589"/>
      <c r="AH246" s="589"/>
      <c r="AI246" s="589"/>
      <c r="AJ246" s="589"/>
      <c r="AK246" s="589"/>
      <c r="AL246" s="589"/>
      <c r="AM246" s="589"/>
      <c r="AN246" s="589"/>
      <c r="AO246" s="589"/>
      <c r="AP246" s="589"/>
      <c r="AQ246" s="589"/>
      <c r="AR246" s="589"/>
      <c r="AS246" s="589"/>
    </row>
    <row r="247" spans="1:45" ht="15">
      <c r="A247" s="590" t="s">
        <v>157</v>
      </c>
      <c r="B247" s="591" t="s">
        <v>444</v>
      </c>
      <c r="C247" s="591" t="s">
        <v>774</v>
      </c>
      <c r="D247" s="592">
        <v>2014</v>
      </c>
      <c r="E247" s="591" t="s">
        <v>775</v>
      </c>
      <c r="F247" s="592">
        <v>33</v>
      </c>
      <c r="G247" s="592">
        <v>9</v>
      </c>
      <c r="H247" s="592">
        <v>9</v>
      </c>
      <c r="I247" s="592">
        <v>0</v>
      </c>
      <c r="J247" s="592">
        <v>17</v>
      </c>
      <c r="K247" s="592">
        <v>16</v>
      </c>
      <c r="L247" s="592">
        <v>16</v>
      </c>
      <c r="M247" s="592">
        <v>0</v>
      </c>
      <c r="N247" s="593">
        <v>19</v>
      </c>
      <c r="O247" s="593">
        <v>2</v>
      </c>
      <c r="P247" s="593">
        <v>37</v>
      </c>
      <c r="Q247" s="593">
        <v>1</v>
      </c>
      <c r="R247" s="593">
        <v>106</v>
      </c>
      <c r="S247" s="593">
        <v>28</v>
      </c>
      <c r="T247" s="593">
        <v>2015</v>
      </c>
      <c r="U247" s="593">
        <v>2015</v>
      </c>
      <c r="V247" s="589"/>
      <c r="W247" s="589"/>
      <c r="X247" s="589"/>
      <c r="Y247" s="589"/>
      <c r="Z247" s="589"/>
      <c r="AA247" s="589"/>
      <c r="AB247" s="589"/>
      <c r="AC247" s="589"/>
      <c r="AD247" s="589"/>
      <c r="AE247" s="589"/>
      <c r="AF247" s="589"/>
      <c r="AG247" s="589"/>
      <c r="AH247" s="589"/>
      <c r="AI247" s="589"/>
      <c r="AJ247" s="589"/>
      <c r="AK247" s="589"/>
      <c r="AL247" s="589"/>
      <c r="AM247" s="589"/>
      <c r="AN247" s="589"/>
      <c r="AO247" s="589"/>
      <c r="AP247" s="589"/>
      <c r="AQ247" s="589"/>
      <c r="AR247" s="589"/>
      <c r="AS247" s="589"/>
    </row>
    <row r="248" spans="1:45" ht="15">
      <c r="A248" s="587" t="s">
        <v>178</v>
      </c>
      <c r="B248" s="587" t="s">
        <v>178</v>
      </c>
      <c r="C248" s="587" t="s">
        <v>812</v>
      </c>
      <c r="D248" s="588">
        <v>2014</v>
      </c>
      <c r="E248" s="587" t="s">
        <v>775</v>
      </c>
      <c r="F248" s="588">
        <v>980</v>
      </c>
      <c r="G248" s="588">
        <v>57</v>
      </c>
      <c r="H248" s="588">
        <v>57</v>
      </c>
      <c r="I248" s="588">
        <v>0</v>
      </c>
      <c r="J248" s="588">
        <v>696</v>
      </c>
      <c r="K248" s="588">
        <v>18</v>
      </c>
      <c r="L248" s="588">
        <v>18</v>
      </c>
      <c r="M248" s="588">
        <v>0</v>
      </c>
      <c r="N248" s="588">
        <v>808</v>
      </c>
      <c r="O248" s="588">
        <v>0</v>
      </c>
      <c r="P248" s="588">
        <v>1900</v>
      </c>
      <c r="Q248" s="588">
        <v>90</v>
      </c>
      <c r="R248" s="588">
        <v>4384</v>
      </c>
      <c r="S248" s="588">
        <v>165</v>
      </c>
      <c r="T248" s="588">
        <v>2014</v>
      </c>
      <c r="U248" s="588">
        <v>2014</v>
      </c>
      <c r="V248" s="589"/>
      <c r="W248" s="589"/>
      <c r="X248" s="589"/>
      <c r="Y248" s="589"/>
      <c r="Z248" s="589"/>
      <c r="AA248" s="589"/>
      <c r="AB248" s="589"/>
      <c r="AC248" s="589"/>
      <c r="AD248" s="589"/>
      <c r="AE248" s="589"/>
      <c r="AF248" s="589"/>
      <c r="AG248" s="589"/>
      <c r="AH248" s="589"/>
      <c r="AI248" s="589"/>
      <c r="AJ248" s="589"/>
      <c r="AK248" s="589"/>
      <c r="AL248" s="589"/>
      <c r="AM248" s="589"/>
      <c r="AN248" s="589"/>
      <c r="AO248" s="589"/>
      <c r="AP248" s="589"/>
      <c r="AQ248" s="589"/>
      <c r="AR248" s="589"/>
      <c r="AS248" s="589"/>
    </row>
    <row r="249" spans="1:45" ht="15">
      <c r="A249" s="590" t="s">
        <v>178</v>
      </c>
      <c r="B249" s="591" t="s">
        <v>584</v>
      </c>
      <c r="C249" s="591" t="s">
        <v>812</v>
      </c>
      <c r="D249" s="592">
        <v>2014</v>
      </c>
      <c r="E249" s="591" t="s">
        <v>775</v>
      </c>
      <c r="F249" s="592">
        <v>9</v>
      </c>
      <c r="G249" s="592">
        <v>16</v>
      </c>
      <c r="H249" s="592">
        <v>0</v>
      </c>
      <c r="I249" s="592">
        <v>16</v>
      </c>
      <c r="J249" s="592">
        <v>6</v>
      </c>
      <c r="K249" s="592">
        <v>31</v>
      </c>
      <c r="L249" s="592">
        <v>0</v>
      </c>
      <c r="M249" s="592">
        <v>31</v>
      </c>
      <c r="N249" s="593">
        <v>7</v>
      </c>
      <c r="O249" s="593">
        <v>185</v>
      </c>
      <c r="P249" s="593">
        <v>17</v>
      </c>
      <c r="Q249" s="593">
        <v>160</v>
      </c>
      <c r="R249" s="593">
        <v>39</v>
      </c>
      <c r="S249" s="593">
        <v>392</v>
      </c>
      <c r="T249" s="593">
        <v>2014</v>
      </c>
      <c r="U249" s="593">
        <v>2014</v>
      </c>
      <c r="V249" s="589"/>
      <c r="W249" s="589"/>
      <c r="X249" s="589"/>
      <c r="Y249" s="589"/>
      <c r="Z249" s="589"/>
      <c r="AA249" s="589"/>
      <c r="AB249" s="589"/>
      <c r="AC249" s="589"/>
      <c r="AD249" s="589"/>
      <c r="AE249" s="589"/>
      <c r="AF249" s="589"/>
      <c r="AG249" s="589"/>
      <c r="AH249" s="589"/>
      <c r="AI249" s="589"/>
      <c r="AJ249" s="589"/>
      <c r="AK249" s="589"/>
      <c r="AL249" s="589"/>
      <c r="AM249" s="589"/>
      <c r="AN249" s="589"/>
      <c r="AO249" s="589"/>
      <c r="AP249" s="589"/>
      <c r="AQ249" s="589"/>
      <c r="AR249" s="589"/>
      <c r="AS249" s="589"/>
    </row>
    <row r="250" spans="1:45" ht="15">
      <c r="A250" s="587" t="s">
        <v>184</v>
      </c>
      <c r="B250" s="587" t="s">
        <v>638</v>
      </c>
      <c r="C250" s="587" t="s">
        <v>774</v>
      </c>
      <c r="D250" s="588">
        <v>2014</v>
      </c>
      <c r="E250" s="587" t="s">
        <v>775</v>
      </c>
      <c r="F250" s="588">
        <v>358</v>
      </c>
      <c r="G250" s="588">
        <v>0</v>
      </c>
      <c r="H250" s="588">
        <v>0</v>
      </c>
      <c r="I250" s="588">
        <v>0</v>
      </c>
      <c r="J250" s="588">
        <v>161</v>
      </c>
      <c r="K250" s="588">
        <v>0</v>
      </c>
      <c r="L250" s="588">
        <v>0</v>
      </c>
      <c r="M250" s="588">
        <v>0</v>
      </c>
      <c r="N250" s="588">
        <v>205</v>
      </c>
      <c r="O250" s="588">
        <v>0</v>
      </c>
      <c r="P250" s="588">
        <v>431</v>
      </c>
      <c r="Q250" s="588">
        <v>1</v>
      </c>
      <c r="R250" s="588">
        <v>1155</v>
      </c>
      <c r="S250" s="588">
        <v>1</v>
      </c>
      <c r="T250" s="588">
        <v>2015</v>
      </c>
      <c r="U250" s="588">
        <v>2015</v>
      </c>
      <c r="V250" s="589"/>
      <c r="W250" s="589"/>
      <c r="X250" s="589"/>
      <c r="Y250" s="589"/>
      <c r="Z250" s="589"/>
      <c r="AA250" s="589"/>
      <c r="AB250" s="589"/>
      <c r="AC250" s="589"/>
      <c r="AD250" s="589"/>
      <c r="AE250" s="589"/>
      <c r="AF250" s="589"/>
      <c r="AG250" s="589"/>
      <c r="AH250" s="589"/>
      <c r="AI250" s="589"/>
      <c r="AJ250" s="589"/>
      <c r="AK250" s="589"/>
      <c r="AL250" s="589"/>
      <c r="AM250" s="589"/>
      <c r="AN250" s="589"/>
      <c r="AO250" s="589"/>
      <c r="AP250" s="589"/>
      <c r="AQ250" s="589"/>
      <c r="AR250" s="589"/>
      <c r="AS250" s="589"/>
    </row>
    <row r="251" spans="1:45" ht="15">
      <c r="A251" s="590" t="s">
        <v>201</v>
      </c>
      <c r="B251" s="591" t="s">
        <v>736</v>
      </c>
      <c r="C251" s="591" t="s">
        <v>812</v>
      </c>
      <c r="D251" s="592">
        <v>2014</v>
      </c>
      <c r="E251" s="591" t="s">
        <v>775</v>
      </c>
      <c r="F251" s="592">
        <v>861</v>
      </c>
      <c r="G251" s="592">
        <v>28</v>
      </c>
      <c r="H251" s="592">
        <v>28</v>
      </c>
      <c r="I251" s="592">
        <v>0</v>
      </c>
      <c r="J251" s="592">
        <v>591</v>
      </c>
      <c r="K251" s="592">
        <v>0</v>
      </c>
      <c r="L251" s="592">
        <v>0</v>
      </c>
      <c r="M251" s="592">
        <v>0</v>
      </c>
      <c r="N251" s="593">
        <v>673</v>
      </c>
      <c r="O251" s="593">
        <v>2</v>
      </c>
      <c r="P251" s="593">
        <v>1529</v>
      </c>
      <c r="Q251" s="593">
        <v>89</v>
      </c>
      <c r="R251" s="593">
        <v>3654</v>
      </c>
      <c r="S251" s="593">
        <v>119</v>
      </c>
      <c r="T251" s="593">
        <v>2014</v>
      </c>
      <c r="U251" s="593">
        <v>2014</v>
      </c>
      <c r="V251" s="589"/>
      <c r="W251" s="589"/>
      <c r="X251" s="589"/>
      <c r="Y251" s="589"/>
      <c r="Z251" s="589"/>
      <c r="AA251" s="589"/>
      <c r="AB251" s="589"/>
      <c r="AC251" s="589"/>
      <c r="AD251" s="589"/>
      <c r="AE251" s="589"/>
      <c r="AF251" s="589"/>
      <c r="AG251" s="589"/>
      <c r="AH251" s="589"/>
      <c r="AI251" s="589"/>
      <c r="AJ251" s="589"/>
      <c r="AK251" s="589"/>
      <c r="AL251" s="589"/>
      <c r="AM251" s="589"/>
      <c r="AN251" s="589"/>
      <c r="AO251" s="589"/>
      <c r="AP251" s="589"/>
      <c r="AQ251" s="589"/>
      <c r="AR251" s="589"/>
      <c r="AS251" s="589"/>
    </row>
    <row r="252" spans="1:45" ht="15">
      <c r="A252" s="587" t="s">
        <v>169</v>
      </c>
      <c r="B252" s="587" t="s">
        <v>510</v>
      </c>
      <c r="C252" s="587" t="s">
        <v>812</v>
      </c>
      <c r="D252" s="588">
        <v>2014</v>
      </c>
      <c r="E252" s="587" t="s">
        <v>775</v>
      </c>
      <c r="F252" s="588">
        <v>134</v>
      </c>
      <c r="G252" s="588">
        <v>65</v>
      </c>
      <c r="H252" s="588">
        <v>65</v>
      </c>
      <c r="I252" s="588">
        <v>0</v>
      </c>
      <c r="J252" s="588">
        <v>95</v>
      </c>
      <c r="K252" s="588">
        <v>28</v>
      </c>
      <c r="L252" s="588">
        <v>28</v>
      </c>
      <c r="M252" s="588">
        <v>0</v>
      </c>
      <c r="N252" s="588">
        <v>108</v>
      </c>
      <c r="O252" s="588">
        <v>2</v>
      </c>
      <c r="P252" s="588">
        <v>244</v>
      </c>
      <c r="Q252" s="588">
        <v>84</v>
      </c>
      <c r="R252" s="588">
        <v>581</v>
      </c>
      <c r="S252" s="588">
        <v>179</v>
      </c>
      <c r="T252" s="588">
        <v>2014</v>
      </c>
      <c r="U252" s="588">
        <v>2014</v>
      </c>
      <c r="V252" s="589"/>
      <c r="W252" s="589"/>
      <c r="X252" s="589"/>
      <c r="Y252" s="589"/>
      <c r="Z252" s="589"/>
      <c r="AA252" s="589"/>
      <c r="AB252" s="589"/>
      <c r="AC252" s="589"/>
      <c r="AD252" s="589"/>
      <c r="AE252" s="589"/>
      <c r="AF252" s="589"/>
      <c r="AG252" s="589"/>
      <c r="AH252" s="589"/>
      <c r="AI252" s="589"/>
      <c r="AJ252" s="589"/>
      <c r="AK252" s="589"/>
      <c r="AL252" s="589"/>
      <c r="AM252" s="589"/>
      <c r="AN252" s="589"/>
      <c r="AO252" s="589"/>
      <c r="AP252" s="589"/>
      <c r="AQ252" s="589"/>
      <c r="AR252" s="589"/>
      <c r="AS252" s="589"/>
    </row>
    <row r="253" spans="1:45" ht="15">
      <c r="A253" s="590" t="s">
        <v>179</v>
      </c>
      <c r="B253" s="591" t="s">
        <v>179</v>
      </c>
      <c r="C253" s="591" t="s">
        <v>855</v>
      </c>
      <c r="D253" s="592">
        <v>2014</v>
      </c>
      <c r="E253" s="591" t="s">
        <v>775</v>
      </c>
      <c r="F253" s="592">
        <v>21977</v>
      </c>
      <c r="G253" s="592">
        <v>229</v>
      </c>
      <c r="H253" s="592">
        <v>229</v>
      </c>
      <c r="I253" s="592">
        <v>0</v>
      </c>
      <c r="J253" s="592">
        <v>16703</v>
      </c>
      <c r="K253" s="592">
        <v>184</v>
      </c>
      <c r="L253" s="592">
        <v>184</v>
      </c>
      <c r="M253" s="592">
        <v>0</v>
      </c>
      <c r="N253" s="593">
        <v>15462</v>
      </c>
      <c r="O253" s="593">
        <v>4</v>
      </c>
      <c r="P253" s="593">
        <v>33954</v>
      </c>
      <c r="Q253" s="593">
        <v>1991</v>
      </c>
      <c r="R253" s="593">
        <v>88096</v>
      </c>
      <c r="S253" s="593">
        <v>2408</v>
      </c>
      <c r="T253" s="593">
        <v>2014</v>
      </c>
      <c r="U253" s="593">
        <v>2013</v>
      </c>
      <c r="V253" s="589"/>
      <c r="W253" s="589"/>
      <c r="X253" s="589"/>
      <c r="Y253" s="589"/>
      <c r="Z253" s="589"/>
      <c r="AA253" s="589"/>
      <c r="AB253" s="589"/>
      <c r="AC253" s="589"/>
      <c r="AD253" s="589"/>
      <c r="AE253" s="589"/>
      <c r="AF253" s="589"/>
      <c r="AG253" s="589"/>
      <c r="AH253" s="589"/>
      <c r="AI253" s="589"/>
      <c r="AJ253" s="589"/>
      <c r="AK253" s="589"/>
      <c r="AL253" s="589"/>
      <c r="AM253" s="589"/>
      <c r="AN253" s="589"/>
      <c r="AO253" s="589"/>
      <c r="AP253" s="589"/>
      <c r="AQ253" s="589"/>
      <c r="AR253" s="589"/>
      <c r="AS253" s="589"/>
    </row>
    <row r="254" spans="1:45" ht="15">
      <c r="A254" s="587" t="s">
        <v>179</v>
      </c>
      <c r="B254" s="587" t="s">
        <v>603</v>
      </c>
      <c r="C254" s="587" t="s">
        <v>855</v>
      </c>
      <c r="D254" s="588">
        <v>2014</v>
      </c>
      <c r="E254" s="587" t="s">
        <v>775</v>
      </c>
      <c r="F254" s="588">
        <v>2085</v>
      </c>
      <c r="G254" s="588">
        <v>0</v>
      </c>
      <c r="H254" s="588">
        <v>0</v>
      </c>
      <c r="I254" s="588">
        <v>0</v>
      </c>
      <c r="J254" s="588">
        <v>1585</v>
      </c>
      <c r="K254" s="588">
        <v>27</v>
      </c>
      <c r="L254" s="588">
        <v>27</v>
      </c>
      <c r="M254" s="588">
        <v>0</v>
      </c>
      <c r="N254" s="588">
        <v>5864</v>
      </c>
      <c r="O254" s="588">
        <v>114</v>
      </c>
      <c r="P254" s="588">
        <v>12878</v>
      </c>
      <c r="Q254" s="588">
        <v>576</v>
      </c>
      <c r="R254" s="588">
        <v>22412</v>
      </c>
      <c r="S254" s="588">
        <v>717</v>
      </c>
      <c r="T254" s="588">
        <v>2014</v>
      </c>
      <c r="U254" s="588">
        <v>2013</v>
      </c>
      <c r="V254" s="589"/>
      <c r="W254" s="589"/>
      <c r="X254" s="589"/>
      <c r="Y254" s="589"/>
      <c r="Z254" s="589"/>
      <c r="AA254" s="589"/>
      <c r="AB254" s="589"/>
      <c r="AC254" s="589"/>
      <c r="AD254" s="589"/>
      <c r="AE254" s="589"/>
      <c r="AF254" s="589"/>
      <c r="AG254" s="589"/>
      <c r="AH254" s="589"/>
      <c r="AI254" s="589"/>
      <c r="AJ254" s="589"/>
      <c r="AK254" s="589"/>
      <c r="AL254" s="589"/>
      <c r="AM254" s="589"/>
      <c r="AN254" s="589"/>
      <c r="AO254" s="589"/>
      <c r="AP254" s="589"/>
      <c r="AQ254" s="589"/>
      <c r="AR254" s="589"/>
      <c r="AS254" s="589"/>
    </row>
    <row r="255" spans="1:45" ht="15">
      <c r="A255" s="590" t="s">
        <v>153</v>
      </c>
      <c r="B255" s="591" t="s">
        <v>414</v>
      </c>
      <c r="C255" s="591" t="s">
        <v>812</v>
      </c>
      <c r="D255" s="592">
        <v>2014</v>
      </c>
      <c r="E255" s="591" t="s">
        <v>775</v>
      </c>
      <c r="F255" s="592">
        <v>121</v>
      </c>
      <c r="G255" s="592">
        <v>0</v>
      </c>
      <c r="H255" s="592">
        <v>0</v>
      </c>
      <c r="I255" s="592">
        <v>0</v>
      </c>
      <c r="J255" s="592">
        <v>72</v>
      </c>
      <c r="K255" s="592">
        <v>0</v>
      </c>
      <c r="L255" s="592">
        <v>0</v>
      </c>
      <c r="M255" s="592">
        <v>0</v>
      </c>
      <c r="N255" s="593">
        <v>77</v>
      </c>
      <c r="O255" s="593">
        <v>0</v>
      </c>
      <c r="P255" s="593">
        <v>193</v>
      </c>
      <c r="Q255" s="593">
        <v>3</v>
      </c>
      <c r="R255" s="593">
        <v>463</v>
      </c>
      <c r="S255" s="593">
        <v>3</v>
      </c>
      <c r="T255" s="593">
        <v>2014</v>
      </c>
      <c r="U255" s="593">
        <v>2014</v>
      </c>
      <c r="V255" s="589"/>
      <c r="W255" s="589"/>
      <c r="X255" s="589"/>
      <c r="Y255" s="589"/>
      <c r="Z255" s="589"/>
      <c r="AA255" s="589"/>
      <c r="AB255" s="589"/>
      <c r="AC255" s="589"/>
      <c r="AD255" s="589"/>
      <c r="AE255" s="589"/>
      <c r="AF255" s="589"/>
      <c r="AG255" s="589"/>
      <c r="AH255" s="589"/>
      <c r="AI255" s="589"/>
      <c r="AJ255" s="589"/>
      <c r="AK255" s="589"/>
      <c r="AL255" s="589"/>
      <c r="AM255" s="589"/>
      <c r="AN255" s="589"/>
      <c r="AO255" s="589"/>
      <c r="AP255" s="589"/>
      <c r="AQ255" s="589"/>
      <c r="AR255" s="589"/>
      <c r="AS255" s="589"/>
    </row>
    <row r="256" spans="1:45" ht="15">
      <c r="A256" s="587" t="s">
        <v>153</v>
      </c>
      <c r="B256" s="587" t="s">
        <v>415</v>
      </c>
      <c r="C256" s="587" t="s">
        <v>812</v>
      </c>
      <c r="D256" s="588">
        <v>2014</v>
      </c>
      <c r="E256" s="587" t="s">
        <v>775</v>
      </c>
      <c r="F256" s="588">
        <v>55</v>
      </c>
      <c r="G256" s="588">
        <v>28</v>
      </c>
      <c r="H256" s="588">
        <v>28</v>
      </c>
      <c r="I256" s="588">
        <v>0</v>
      </c>
      <c r="J256" s="588">
        <v>32</v>
      </c>
      <c r="K256" s="588">
        <v>4</v>
      </c>
      <c r="L256" s="588">
        <v>4</v>
      </c>
      <c r="M256" s="588">
        <v>0</v>
      </c>
      <c r="N256" s="588">
        <v>35</v>
      </c>
      <c r="O256" s="588">
        <v>0</v>
      </c>
      <c r="P256" s="588">
        <v>95</v>
      </c>
      <c r="Q256" s="588">
        <v>27</v>
      </c>
      <c r="R256" s="588">
        <v>217</v>
      </c>
      <c r="S256" s="588">
        <v>59</v>
      </c>
      <c r="T256" s="588">
        <v>2014</v>
      </c>
      <c r="U256" s="588">
        <v>2014</v>
      </c>
      <c r="V256" s="589"/>
      <c r="W256" s="589"/>
      <c r="X256" s="589"/>
      <c r="Y256" s="589"/>
      <c r="Z256" s="589"/>
      <c r="AA256" s="589"/>
      <c r="AB256" s="589"/>
      <c r="AC256" s="589"/>
      <c r="AD256" s="589"/>
      <c r="AE256" s="589"/>
      <c r="AF256" s="589"/>
      <c r="AG256" s="589"/>
      <c r="AH256" s="589"/>
      <c r="AI256" s="589"/>
      <c r="AJ256" s="589"/>
      <c r="AK256" s="589"/>
      <c r="AL256" s="589"/>
      <c r="AM256" s="589"/>
      <c r="AN256" s="589"/>
      <c r="AO256" s="589"/>
      <c r="AP256" s="589"/>
      <c r="AQ256" s="589"/>
      <c r="AR256" s="589"/>
      <c r="AS256" s="589"/>
    </row>
    <row r="257" spans="1:45" ht="15">
      <c r="A257" s="590" t="s">
        <v>181</v>
      </c>
      <c r="B257" s="591" t="s">
        <v>181</v>
      </c>
      <c r="C257" s="591" t="s">
        <v>774</v>
      </c>
      <c r="D257" s="592">
        <v>2014</v>
      </c>
      <c r="E257" s="591" t="s">
        <v>775</v>
      </c>
      <c r="F257" s="592">
        <v>6234</v>
      </c>
      <c r="G257" s="592">
        <v>552</v>
      </c>
      <c r="H257" s="592">
        <v>552</v>
      </c>
      <c r="I257" s="592">
        <v>0</v>
      </c>
      <c r="J257" s="592">
        <v>4639</v>
      </c>
      <c r="K257" s="592">
        <v>377</v>
      </c>
      <c r="L257" s="592">
        <v>377</v>
      </c>
      <c r="M257" s="592">
        <v>0</v>
      </c>
      <c r="N257" s="593">
        <v>5460</v>
      </c>
      <c r="O257" s="593">
        <v>77</v>
      </c>
      <c r="P257" s="593">
        <v>12536</v>
      </c>
      <c r="Q257" s="593">
        <v>2430</v>
      </c>
      <c r="R257" s="593">
        <v>28869</v>
      </c>
      <c r="S257" s="593">
        <v>3436</v>
      </c>
      <c r="T257" s="593">
        <v>2015</v>
      </c>
      <c r="U257" s="593">
        <v>2015</v>
      </c>
      <c r="V257" s="589"/>
      <c r="W257" s="589"/>
      <c r="X257" s="589"/>
      <c r="Y257" s="589"/>
      <c r="Z257" s="589"/>
      <c r="AA257" s="589"/>
      <c r="AB257" s="589"/>
      <c r="AC257" s="589"/>
      <c r="AD257" s="589"/>
      <c r="AE257" s="589"/>
      <c r="AF257" s="589"/>
      <c r="AG257" s="589"/>
      <c r="AH257" s="589"/>
      <c r="AI257" s="589"/>
      <c r="AJ257" s="589"/>
      <c r="AK257" s="589"/>
      <c r="AL257" s="589"/>
      <c r="AM257" s="589"/>
      <c r="AN257" s="589"/>
      <c r="AO257" s="589"/>
      <c r="AP257" s="589"/>
      <c r="AQ257" s="589"/>
      <c r="AR257" s="589"/>
      <c r="AS257" s="589"/>
    </row>
    <row r="258" spans="1:45" ht="15">
      <c r="A258" s="587" t="s">
        <v>153</v>
      </c>
      <c r="B258" s="587" t="s">
        <v>416</v>
      </c>
      <c r="C258" s="587" t="s">
        <v>812</v>
      </c>
      <c r="D258" s="588">
        <v>2014</v>
      </c>
      <c r="E258" s="587" t="s">
        <v>775</v>
      </c>
      <c r="F258" s="588">
        <v>236</v>
      </c>
      <c r="G258" s="588">
        <v>0</v>
      </c>
      <c r="H258" s="588">
        <v>0</v>
      </c>
      <c r="I258" s="588">
        <v>0</v>
      </c>
      <c r="J258" s="588">
        <v>142</v>
      </c>
      <c r="K258" s="588">
        <v>0</v>
      </c>
      <c r="L258" s="588">
        <v>0</v>
      </c>
      <c r="M258" s="588">
        <v>0</v>
      </c>
      <c r="N258" s="588">
        <v>154</v>
      </c>
      <c r="O258" s="588">
        <v>6</v>
      </c>
      <c r="P258" s="588">
        <v>398</v>
      </c>
      <c r="Q258" s="588">
        <v>18</v>
      </c>
      <c r="R258" s="588">
        <v>930</v>
      </c>
      <c r="S258" s="588">
        <v>24</v>
      </c>
      <c r="T258" s="588">
        <v>2014</v>
      </c>
      <c r="U258" s="588">
        <v>2014</v>
      </c>
      <c r="V258" s="589"/>
      <c r="W258" s="589"/>
      <c r="X258" s="589"/>
      <c r="Y258" s="589"/>
      <c r="Z258" s="589"/>
      <c r="AA258" s="589"/>
      <c r="AB258" s="589"/>
      <c r="AC258" s="589"/>
      <c r="AD258" s="589"/>
      <c r="AE258" s="589"/>
      <c r="AF258" s="589"/>
      <c r="AG258" s="589"/>
      <c r="AH258" s="589"/>
      <c r="AI258" s="589"/>
      <c r="AJ258" s="589"/>
      <c r="AK258" s="589"/>
      <c r="AL258" s="589"/>
      <c r="AM258" s="589"/>
      <c r="AN258" s="589"/>
      <c r="AO258" s="589"/>
      <c r="AP258" s="589"/>
      <c r="AQ258" s="589"/>
      <c r="AR258" s="589"/>
      <c r="AS258" s="589"/>
    </row>
    <row r="259" spans="1:45" ht="15">
      <c r="A259" s="590" t="s">
        <v>173</v>
      </c>
      <c r="B259" s="591" t="s">
        <v>553</v>
      </c>
      <c r="C259" s="591" t="s">
        <v>812</v>
      </c>
      <c r="D259" s="592">
        <v>2014</v>
      </c>
      <c r="E259" s="591" t="s">
        <v>775</v>
      </c>
      <c r="F259" s="592">
        <v>562</v>
      </c>
      <c r="G259" s="592">
        <v>0</v>
      </c>
      <c r="H259" s="592">
        <v>0</v>
      </c>
      <c r="I259" s="592">
        <v>0</v>
      </c>
      <c r="J259" s="592">
        <v>394</v>
      </c>
      <c r="K259" s="592">
        <v>0</v>
      </c>
      <c r="L259" s="592">
        <v>0</v>
      </c>
      <c r="M259" s="592">
        <v>0</v>
      </c>
      <c r="N259" s="593">
        <v>441</v>
      </c>
      <c r="O259" s="593">
        <v>8</v>
      </c>
      <c r="P259" s="593">
        <v>1036</v>
      </c>
      <c r="Q259" s="593">
        <v>102</v>
      </c>
      <c r="R259" s="593">
        <v>2433</v>
      </c>
      <c r="S259" s="593">
        <v>110</v>
      </c>
      <c r="T259" s="593">
        <v>2014</v>
      </c>
      <c r="U259" s="593">
        <v>2014</v>
      </c>
      <c r="V259" s="589"/>
      <c r="W259" s="589"/>
      <c r="X259" s="589"/>
      <c r="Y259" s="589"/>
      <c r="Z259" s="589"/>
      <c r="AA259" s="589"/>
      <c r="AB259" s="589"/>
      <c r="AC259" s="589"/>
      <c r="AD259" s="589"/>
      <c r="AE259" s="589"/>
      <c r="AF259" s="589"/>
      <c r="AG259" s="589"/>
      <c r="AH259" s="589"/>
      <c r="AI259" s="589"/>
      <c r="AJ259" s="589"/>
      <c r="AK259" s="589"/>
      <c r="AL259" s="589"/>
      <c r="AM259" s="589"/>
      <c r="AN259" s="589"/>
      <c r="AO259" s="589"/>
      <c r="AP259" s="589"/>
      <c r="AQ259" s="589"/>
      <c r="AR259" s="589"/>
      <c r="AS259" s="589"/>
    </row>
    <row r="260" spans="1:45" ht="15">
      <c r="A260" s="587" t="s">
        <v>187</v>
      </c>
      <c r="B260" s="587" t="s">
        <v>662</v>
      </c>
      <c r="C260" s="587" t="s">
        <v>774</v>
      </c>
      <c r="D260" s="588">
        <v>2014</v>
      </c>
      <c r="E260" s="587" t="s">
        <v>775</v>
      </c>
      <c r="F260" s="588">
        <v>9233</v>
      </c>
      <c r="G260" s="588">
        <v>275</v>
      </c>
      <c r="H260" s="588">
        <v>275</v>
      </c>
      <c r="I260" s="588">
        <v>0</v>
      </c>
      <c r="J260" s="588">
        <v>5428</v>
      </c>
      <c r="K260" s="588">
        <v>231</v>
      </c>
      <c r="L260" s="588">
        <v>231</v>
      </c>
      <c r="M260" s="588">
        <v>0</v>
      </c>
      <c r="N260" s="588">
        <v>6188</v>
      </c>
      <c r="O260" s="588">
        <v>0</v>
      </c>
      <c r="P260" s="588">
        <v>14231</v>
      </c>
      <c r="Q260" s="588">
        <v>3946</v>
      </c>
      <c r="R260" s="588">
        <v>35080</v>
      </c>
      <c r="S260" s="588">
        <v>4452</v>
      </c>
      <c r="T260" s="588">
        <v>2015</v>
      </c>
      <c r="U260" s="588">
        <v>2015</v>
      </c>
      <c r="V260" s="589"/>
      <c r="W260" s="589"/>
      <c r="X260" s="589"/>
      <c r="Y260" s="589"/>
      <c r="Z260" s="589"/>
      <c r="AA260" s="589"/>
      <c r="AB260" s="589"/>
      <c r="AC260" s="589"/>
      <c r="AD260" s="589"/>
      <c r="AE260" s="589"/>
      <c r="AF260" s="589"/>
      <c r="AG260" s="589"/>
      <c r="AH260" s="589"/>
      <c r="AI260" s="589"/>
      <c r="AJ260" s="589"/>
      <c r="AK260" s="589"/>
      <c r="AL260" s="589"/>
      <c r="AM260" s="589"/>
      <c r="AN260" s="589"/>
      <c r="AO260" s="589"/>
      <c r="AP260" s="589"/>
      <c r="AQ260" s="589"/>
      <c r="AR260" s="589"/>
      <c r="AS260" s="589"/>
    </row>
    <row r="261" spans="1:45" ht="15">
      <c r="A261" s="590" t="s">
        <v>169</v>
      </c>
      <c r="B261" s="591" t="s">
        <v>511</v>
      </c>
      <c r="C261" s="591" t="s">
        <v>812</v>
      </c>
      <c r="D261" s="592">
        <v>2014</v>
      </c>
      <c r="E261" s="591" t="s">
        <v>775</v>
      </c>
      <c r="F261" s="592">
        <v>147</v>
      </c>
      <c r="G261" s="592">
        <v>0</v>
      </c>
      <c r="H261" s="592">
        <v>0</v>
      </c>
      <c r="I261" s="592">
        <v>0</v>
      </c>
      <c r="J261" s="592">
        <v>104</v>
      </c>
      <c r="K261" s="592">
        <v>2</v>
      </c>
      <c r="L261" s="592">
        <v>2</v>
      </c>
      <c r="M261" s="592">
        <v>0</v>
      </c>
      <c r="N261" s="593">
        <v>120</v>
      </c>
      <c r="O261" s="593">
        <v>2</v>
      </c>
      <c r="P261" s="593">
        <v>267</v>
      </c>
      <c r="Q261" s="593">
        <v>90</v>
      </c>
      <c r="R261" s="593">
        <v>638</v>
      </c>
      <c r="S261" s="593">
        <v>94</v>
      </c>
      <c r="T261" s="593">
        <v>2014</v>
      </c>
      <c r="U261" s="593">
        <v>2014</v>
      </c>
      <c r="V261" s="589"/>
      <c r="W261" s="589"/>
      <c r="X261" s="589"/>
      <c r="Y261" s="589"/>
      <c r="Z261" s="589"/>
      <c r="AA261" s="589"/>
      <c r="AB261" s="589"/>
      <c r="AC261" s="589"/>
      <c r="AD261" s="589"/>
      <c r="AE261" s="589"/>
      <c r="AF261" s="589"/>
      <c r="AG261" s="589"/>
      <c r="AH261" s="589"/>
      <c r="AI261" s="589"/>
      <c r="AJ261" s="589"/>
      <c r="AK261" s="589"/>
      <c r="AL261" s="589"/>
      <c r="AM261" s="589"/>
      <c r="AN261" s="589"/>
      <c r="AO261" s="589"/>
      <c r="AP261" s="589"/>
      <c r="AQ261" s="589"/>
      <c r="AR261" s="589"/>
      <c r="AS261" s="589"/>
    </row>
    <row r="262" spans="1:45" ht="15">
      <c r="A262" s="587" t="s">
        <v>125</v>
      </c>
      <c r="B262" s="587" t="s">
        <v>245</v>
      </c>
      <c r="C262" s="587" t="s">
        <v>774</v>
      </c>
      <c r="D262" s="588">
        <v>2014</v>
      </c>
      <c r="E262" s="587" t="s">
        <v>775</v>
      </c>
      <c r="F262" s="588">
        <v>504</v>
      </c>
      <c r="G262" s="588">
        <v>0</v>
      </c>
      <c r="H262" s="588">
        <v>0</v>
      </c>
      <c r="I262" s="588">
        <v>0</v>
      </c>
      <c r="J262" s="588">
        <v>270</v>
      </c>
      <c r="K262" s="588">
        <v>0</v>
      </c>
      <c r="L262" s="588">
        <v>0</v>
      </c>
      <c r="M262" s="588">
        <v>0</v>
      </c>
      <c r="N262" s="588">
        <v>352</v>
      </c>
      <c r="O262" s="588">
        <v>0</v>
      </c>
      <c r="P262" s="588">
        <v>1161</v>
      </c>
      <c r="Q262" s="588">
        <v>0</v>
      </c>
      <c r="R262" s="588">
        <v>2287</v>
      </c>
      <c r="S262" s="588">
        <v>0</v>
      </c>
      <c r="T262" s="588">
        <v>2015</v>
      </c>
      <c r="U262" s="588">
        <v>2015</v>
      </c>
      <c r="V262" s="589"/>
      <c r="W262" s="589"/>
      <c r="X262" s="589"/>
      <c r="Y262" s="589"/>
      <c r="Z262" s="589"/>
      <c r="AA262" s="589"/>
      <c r="AB262" s="589"/>
      <c r="AC262" s="589"/>
      <c r="AD262" s="589"/>
      <c r="AE262" s="589"/>
      <c r="AF262" s="589"/>
      <c r="AG262" s="589"/>
      <c r="AH262" s="589"/>
      <c r="AI262" s="589"/>
      <c r="AJ262" s="589"/>
      <c r="AK262" s="589"/>
      <c r="AL262" s="589"/>
      <c r="AM262" s="589"/>
      <c r="AN262" s="589"/>
      <c r="AO262" s="589"/>
      <c r="AP262" s="589"/>
      <c r="AQ262" s="589"/>
      <c r="AR262" s="589"/>
      <c r="AS262" s="589"/>
    </row>
    <row r="263" spans="1:45" ht="15">
      <c r="A263" s="590" t="s">
        <v>183</v>
      </c>
      <c r="B263" s="591" t="s">
        <v>183</v>
      </c>
      <c r="C263" s="591" t="s">
        <v>784</v>
      </c>
      <c r="D263" s="592">
        <v>2014</v>
      </c>
      <c r="E263" s="591" t="s">
        <v>775</v>
      </c>
      <c r="F263" s="592">
        <v>285</v>
      </c>
      <c r="G263" s="592">
        <v>35</v>
      </c>
      <c r="H263" s="592">
        <v>35</v>
      </c>
      <c r="I263" s="592">
        <v>0</v>
      </c>
      <c r="J263" s="592">
        <v>179</v>
      </c>
      <c r="K263" s="592">
        <v>16</v>
      </c>
      <c r="L263" s="592">
        <v>16</v>
      </c>
      <c r="M263" s="592">
        <v>0</v>
      </c>
      <c r="N263" s="593">
        <v>201</v>
      </c>
      <c r="O263" s="593">
        <v>8</v>
      </c>
      <c r="P263" s="593">
        <v>478</v>
      </c>
      <c r="Q263" s="593">
        <v>146</v>
      </c>
      <c r="R263" s="593">
        <v>1143</v>
      </c>
      <c r="S263" s="593">
        <v>205</v>
      </c>
      <c r="T263" s="593">
        <v>2014</v>
      </c>
      <c r="U263" s="593">
        <v>2014</v>
      </c>
      <c r="V263" s="589"/>
      <c r="W263" s="589"/>
      <c r="X263" s="589"/>
      <c r="Y263" s="589"/>
      <c r="Z263" s="589"/>
      <c r="AA263" s="589"/>
      <c r="AB263" s="589"/>
      <c r="AC263" s="589"/>
      <c r="AD263" s="589"/>
      <c r="AE263" s="589"/>
      <c r="AF263" s="589"/>
      <c r="AG263" s="589"/>
      <c r="AH263" s="589"/>
      <c r="AI263" s="589"/>
      <c r="AJ263" s="589"/>
      <c r="AK263" s="589"/>
      <c r="AL263" s="589"/>
      <c r="AM263" s="589"/>
      <c r="AN263" s="589"/>
      <c r="AO263" s="589"/>
      <c r="AP263" s="589"/>
      <c r="AQ263" s="589"/>
      <c r="AR263" s="589"/>
      <c r="AS263" s="589"/>
    </row>
    <row r="264" spans="1:45" ht="15">
      <c r="A264" s="587" t="s">
        <v>183</v>
      </c>
      <c r="B264" s="587" t="s">
        <v>622</v>
      </c>
      <c r="C264" s="587" t="s">
        <v>784</v>
      </c>
      <c r="D264" s="588">
        <v>2014</v>
      </c>
      <c r="E264" s="587" t="s">
        <v>775</v>
      </c>
      <c r="F264" s="588">
        <v>336</v>
      </c>
      <c r="G264" s="588">
        <v>1</v>
      </c>
      <c r="H264" s="588">
        <v>1</v>
      </c>
      <c r="I264" s="588">
        <v>0</v>
      </c>
      <c r="J264" s="588">
        <v>211</v>
      </c>
      <c r="K264" s="588">
        <v>5</v>
      </c>
      <c r="L264" s="588">
        <v>5</v>
      </c>
      <c r="M264" s="588">
        <v>0</v>
      </c>
      <c r="N264" s="588">
        <v>237</v>
      </c>
      <c r="O264" s="588">
        <v>22</v>
      </c>
      <c r="P264" s="588">
        <v>563</v>
      </c>
      <c r="Q264" s="588">
        <v>293</v>
      </c>
      <c r="R264" s="588">
        <v>1347</v>
      </c>
      <c r="S264" s="588">
        <v>321</v>
      </c>
      <c r="T264" s="588">
        <v>2014</v>
      </c>
      <c r="U264" s="588">
        <v>2014</v>
      </c>
      <c r="V264" s="589"/>
      <c r="W264" s="589"/>
      <c r="X264" s="589"/>
      <c r="Y264" s="589"/>
      <c r="Z264" s="589"/>
      <c r="AA264" s="589"/>
      <c r="AB264" s="589"/>
      <c r="AC264" s="589"/>
      <c r="AD264" s="589"/>
      <c r="AE264" s="589"/>
      <c r="AF264" s="589"/>
      <c r="AG264" s="589"/>
      <c r="AH264" s="589"/>
      <c r="AI264" s="589"/>
      <c r="AJ264" s="589"/>
      <c r="AK264" s="589"/>
      <c r="AL264" s="589"/>
      <c r="AM264" s="589"/>
      <c r="AN264" s="589"/>
      <c r="AO264" s="589"/>
      <c r="AP264" s="589"/>
      <c r="AQ264" s="589"/>
      <c r="AR264" s="589"/>
      <c r="AS264" s="589"/>
    </row>
    <row r="265" spans="1:45" ht="15">
      <c r="A265" s="590" t="s">
        <v>179</v>
      </c>
      <c r="B265" s="591" t="s">
        <v>604</v>
      </c>
      <c r="C265" s="591" t="s">
        <v>855</v>
      </c>
      <c r="D265" s="592">
        <v>2014</v>
      </c>
      <c r="E265" s="591" t="s">
        <v>775</v>
      </c>
      <c r="F265" s="592">
        <v>1043</v>
      </c>
      <c r="G265" s="592">
        <v>0</v>
      </c>
      <c r="H265" s="592">
        <v>0</v>
      </c>
      <c r="I265" s="592">
        <v>0</v>
      </c>
      <c r="J265" s="592">
        <v>793</v>
      </c>
      <c r="K265" s="592">
        <v>0</v>
      </c>
      <c r="L265" s="592">
        <v>0</v>
      </c>
      <c r="M265" s="592">
        <v>0</v>
      </c>
      <c r="N265" s="593">
        <v>734</v>
      </c>
      <c r="O265" s="593">
        <v>0</v>
      </c>
      <c r="P265" s="593">
        <v>1613</v>
      </c>
      <c r="Q265" s="593">
        <v>97</v>
      </c>
      <c r="R265" s="593">
        <v>4183</v>
      </c>
      <c r="S265" s="593">
        <v>97</v>
      </c>
      <c r="T265" s="593">
        <v>2014</v>
      </c>
      <c r="U265" s="593">
        <v>2013</v>
      </c>
      <c r="V265" s="589"/>
      <c r="W265" s="589"/>
      <c r="X265" s="589"/>
      <c r="Y265" s="589"/>
      <c r="Z265" s="589"/>
      <c r="AA265" s="589"/>
      <c r="AB265" s="589"/>
      <c r="AC265" s="589"/>
      <c r="AD265" s="589"/>
      <c r="AE265" s="589"/>
      <c r="AF265" s="589"/>
      <c r="AG265" s="589"/>
      <c r="AH265" s="589"/>
      <c r="AI265" s="589"/>
      <c r="AJ265" s="589"/>
      <c r="AK265" s="589"/>
      <c r="AL265" s="589"/>
      <c r="AM265" s="589"/>
      <c r="AN265" s="589"/>
      <c r="AO265" s="589"/>
      <c r="AP265" s="589"/>
      <c r="AQ265" s="589"/>
      <c r="AR265" s="589"/>
      <c r="AS265" s="589"/>
    </row>
    <row r="266" spans="1:45" ht="15">
      <c r="A266" s="587" t="s">
        <v>157</v>
      </c>
      <c r="B266" s="587" t="s">
        <v>445</v>
      </c>
      <c r="C266" s="587" t="s">
        <v>774</v>
      </c>
      <c r="D266" s="588">
        <v>2014</v>
      </c>
      <c r="E266" s="587" t="s">
        <v>775</v>
      </c>
      <c r="F266" s="588">
        <v>240</v>
      </c>
      <c r="G266" s="588">
        <v>1</v>
      </c>
      <c r="H266" s="588">
        <v>1</v>
      </c>
      <c r="I266" s="588">
        <v>0</v>
      </c>
      <c r="J266" s="588">
        <v>148</v>
      </c>
      <c r="K266" s="588">
        <v>1</v>
      </c>
      <c r="L266" s="588">
        <v>1</v>
      </c>
      <c r="M266" s="588">
        <v>0</v>
      </c>
      <c r="N266" s="588">
        <v>181</v>
      </c>
      <c r="O266" s="588">
        <v>0</v>
      </c>
      <c r="P266" s="588">
        <v>438</v>
      </c>
      <c r="Q266" s="588">
        <v>16</v>
      </c>
      <c r="R266" s="588">
        <v>1007</v>
      </c>
      <c r="S266" s="588">
        <v>18</v>
      </c>
      <c r="T266" s="588">
        <v>2015</v>
      </c>
      <c r="U266" s="588">
        <v>2015</v>
      </c>
      <c r="V266" s="589"/>
      <c r="W266" s="589"/>
      <c r="X266" s="589"/>
      <c r="Y266" s="589"/>
      <c r="Z266" s="589"/>
      <c r="AA266" s="589"/>
      <c r="AB266" s="589"/>
      <c r="AC266" s="589"/>
      <c r="AD266" s="589"/>
      <c r="AE266" s="589"/>
      <c r="AF266" s="589"/>
      <c r="AG266" s="589"/>
      <c r="AH266" s="589"/>
      <c r="AI266" s="589"/>
      <c r="AJ266" s="589"/>
      <c r="AK266" s="589"/>
      <c r="AL266" s="589"/>
      <c r="AM266" s="589"/>
      <c r="AN266" s="589"/>
      <c r="AO266" s="589"/>
      <c r="AP266" s="589"/>
      <c r="AQ266" s="589"/>
      <c r="AR266" s="589"/>
      <c r="AS266" s="589"/>
    </row>
    <row r="267" spans="1:45" ht="15">
      <c r="A267" s="590" t="s">
        <v>136</v>
      </c>
      <c r="B267" s="591" t="s">
        <v>283</v>
      </c>
      <c r="C267" s="591" t="s">
        <v>774</v>
      </c>
      <c r="D267" s="592">
        <v>2014</v>
      </c>
      <c r="E267" s="591" t="s">
        <v>775</v>
      </c>
      <c r="F267" s="592">
        <v>516</v>
      </c>
      <c r="G267" s="592">
        <v>0</v>
      </c>
      <c r="H267" s="592">
        <v>0</v>
      </c>
      <c r="I267" s="592">
        <v>0</v>
      </c>
      <c r="J267" s="592">
        <v>279</v>
      </c>
      <c r="K267" s="592">
        <v>0</v>
      </c>
      <c r="L267" s="592">
        <v>0</v>
      </c>
      <c r="M267" s="592">
        <v>0</v>
      </c>
      <c r="N267" s="593">
        <v>282</v>
      </c>
      <c r="O267" s="593">
        <v>5</v>
      </c>
      <c r="P267" s="593">
        <v>340</v>
      </c>
      <c r="Q267" s="593">
        <v>216</v>
      </c>
      <c r="R267" s="593">
        <v>1417</v>
      </c>
      <c r="S267" s="593">
        <v>221</v>
      </c>
      <c r="T267" s="593">
        <v>2015</v>
      </c>
      <c r="U267" s="593">
        <v>2015</v>
      </c>
      <c r="V267" s="589"/>
      <c r="W267" s="589"/>
      <c r="X267" s="589"/>
      <c r="Y267" s="589"/>
      <c r="Z267" s="589"/>
      <c r="AA267" s="589"/>
      <c r="AB267" s="589"/>
      <c r="AC267" s="589"/>
      <c r="AD267" s="589"/>
      <c r="AE267" s="589"/>
      <c r="AF267" s="589"/>
      <c r="AG267" s="589"/>
      <c r="AH267" s="589"/>
      <c r="AI267" s="589"/>
      <c r="AJ267" s="589"/>
      <c r="AK267" s="589"/>
      <c r="AL267" s="589"/>
      <c r="AM267" s="589"/>
      <c r="AN267" s="589"/>
      <c r="AO267" s="589"/>
      <c r="AP267" s="589"/>
      <c r="AQ267" s="589"/>
      <c r="AR267" s="589"/>
      <c r="AS267" s="589"/>
    </row>
    <row r="268" spans="1:45" ht="15">
      <c r="A268" s="587" t="s">
        <v>169</v>
      </c>
      <c r="B268" s="587" t="s">
        <v>512</v>
      </c>
      <c r="C268" s="587" t="s">
        <v>812</v>
      </c>
      <c r="D268" s="588">
        <v>2014</v>
      </c>
      <c r="E268" s="587" t="s">
        <v>775</v>
      </c>
      <c r="F268" s="588">
        <v>45</v>
      </c>
      <c r="G268" s="588">
        <v>20</v>
      </c>
      <c r="H268" s="588">
        <v>20</v>
      </c>
      <c r="I268" s="588">
        <v>0</v>
      </c>
      <c r="J268" s="588">
        <v>32</v>
      </c>
      <c r="K268" s="588">
        <v>20</v>
      </c>
      <c r="L268" s="588">
        <v>20</v>
      </c>
      <c r="M268" s="588">
        <v>0</v>
      </c>
      <c r="N268" s="588">
        <v>37</v>
      </c>
      <c r="O268" s="588">
        <v>0</v>
      </c>
      <c r="P268" s="588">
        <v>90</v>
      </c>
      <c r="Q268" s="588">
        <v>242</v>
      </c>
      <c r="R268" s="588">
        <v>204</v>
      </c>
      <c r="S268" s="588">
        <v>282</v>
      </c>
      <c r="T268" s="588">
        <v>2014</v>
      </c>
      <c r="U268" s="588">
        <v>2014</v>
      </c>
      <c r="V268" s="589"/>
      <c r="W268" s="589"/>
      <c r="X268" s="589"/>
      <c r="Y268" s="589"/>
      <c r="Z268" s="589"/>
      <c r="AA268" s="589"/>
      <c r="AB268" s="589"/>
      <c r="AC268" s="589"/>
      <c r="AD268" s="589"/>
      <c r="AE268" s="589"/>
      <c r="AF268" s="589"/>
      <c r="AG268" s="589"/>
      <c r="AH268" s="589"/>
      <c r="AI268" s="589"/>
      <c r="AJ268" s="589"/>
      <c r="AK268" s="589"/>
      <c r="AL268" s="589"/>
      <c r="AM268" s="589"/>
      <c r="AN268" s="589"/>
      <c r="AO268" s="589"/>
      <c r="AP268" s="589"/>
      <c r="AQ268" s="589"/>
      <c r="AR268" s="589"/>
      <c r="AS268" s="589"/>
    </row>
    <row r="269" spans="1:45" ht="15">
      <c r="A269" s="590" t="s">
        <v>185</v>
      </c>
      <c r="B269" s="591" t="s">
        <v>648</v>
      </c>
      <c r="C269" s="591" t="s">
        <v>868</v>
      </c>
      <c r="D269" s="592">
        <v>2014</v>
      </c>
      <c r="E269" s="591" t="s">
        <v>775</v>
      </c>
      <c r="F269" s="592">
        <v>159</v>
      </c>
      <c r="G269" s="592">
        <v>0</v>
      </c>
      <c r="H269" s="592">
        <v>0</v>
      </c>
      <c r="I269" s="592">
        <v>0</v>
      </c>
      <c r="J269" s="592">
        <v>106</v>
      </c>
      <c r="K269" s="592">
        <v>0</v>
      </c>
      <c r="L269" s="592">
        <v>0</v>
      </c>
      <c r="M269" s="592">
        <v>0</v>
      </c>
      <c r="N269" s="593">
        <v>112</v>
      </c>
      <c r="O269" s="593">
        <v>59</v>
      </c>
      <c r="P269" s="593">
        <v>284</v>
      </c>
      <c r="Q269" s="593">
        <v>80</v>
      </c>
      <c r="R269" s="593">
        <v>661</v>
      </c>
      <c r="S269" s="593">
        <v>139</v>
      </c>
      <c r="T269" s="593">
        <v>2015</v>
      </c>
      <c r="U269" s="593">
        <v>2015</v>
      </c>
      <c r="V269" s="589"/>
      <c r="W269" s="589"/>
      <c r="X269" s="589"/>
      <c r="Y269" s="589"/>
      <c r="Z269" s="589"/>
      <c r="AA269" s="589"/>
      <c r="AB269" s="589"/>
      <c r="AC269" s="589"/>
      <c r="AD269" s="589"/>
      <c r="AE269" s="589"/>
      <c r="AF269" s="589"/>
      <c r="AG269" s="589"/>
      <c r="AH269" s="589"/>
      <c r="AI269" s="589"/>
      <c r="AJ269" s="589"/>
      <c r="AK269" s="589"/>
      <c r="AL269" s="589"/>
      <c r="AM269" s="589"/>
      <c r="AN269" s="589"/>
      <c r="AO269" s="589"/>
      <c r="AP269" s="589"/>
      <c r="AQ269" s="589"/>
      <c r="AR269" s="589"/>
      <c r="AS269" s="589"/>
    </row>
    <row r="270" spans="1:45" ht="15">
      <c r="A270" s="587" t="s">
        <v>187</v>
      </c>
      <c r="B270" s="587" t="s">
        <v>663</v>
      </c>
      <c r="C270" s="587" t="s">
        <v>774</v>
      </c>
      <c r="D270" s="588">
        <v>2014</v>
      </c>
      <c r="E270" s="587" t="s">
        <v>775</v>
      </c>
      <c r="F270" s="588">
        <v>22</v>
      </c>
      <c r="G270" s="588">
        <v>13</v>
      </c>
      <c r="H270" s="588">
        <v>13</v>
      </c>
      <c r="I270" s="588">
        <v>0</v>
      </c>
      <c r="J270" s="588">
        <v>13</v>
      </c>
      <c r="K270" s="588">
        <v>0</v>
      </c>
      <c r="L270" s="588">
        <v>0</v>
      </c>
      <c r="M270" s="588">
        <v>0</v>
      </c>
      <c r="N270" s="588">
        <v>214</v>
      </c>
      <c r="O270" s="588">
        <v>0</v>
      </c>
      <c r="P270" s="588">
        <v>28</v>
      </c>
      <c r="Q270" s="588">
        <v>58</v>
      </c>
      <c r="R270" s="588">
        <v>277</v>
      </c>
      <c r="S270" s="588">
        <v>71</v>
      </c>
      <c r="T270" s="588">
        <v>2015</v>
      </c>
      <c r="U270" s="588">
        <v>2015</v>
      </c>
      <c r="V270" s="589"/>
      <c r="W270" s="589"/>
      <c r="X270" s="589"/>
      <c r="Y270" s="589"/>
      <c r="Z270" s="589"/>
      <c r="AA270" s="589"/>
      <c r="AB270" s="589"/>
      <c r="AC270" s="589"/>
      <c r="AD270" s="589"/>
      <c r="AE270" s="589"/>
      <c r="AF270" s="589"/>
      <c r="AG270" s="589"/>
      <c r="AH270" s="589"/>
      <c r="AI270" s="589"/>
      <c r="AJ270" s="589"/>
      <c r="AK270" s="589"/>
      <c r="AL270" s="589"/>
      <c r="AM270" s="589"/>
      <c r="AN270" s="589"/>
      <c r="AO270" s="589"/>
      <c r="AP270" s="589"/>
      <c r="AQ270" s="589"/>
      <c r="AR270" s="589"/>
      <c r="AS270" s="589"/>
    </row>
    <row r="271" spans="1:45" ht="15">
      <c r="A271" s="590" t="s">
        <v>153</v>
      </c>
      <c r="B271" s="591" t="s">
        <v>418</v>
      </c>
      <c r="C271" s="591" t="s">
        <v>812</v>
      </c>
      <c r="D271" s="592">
        <v>2014</v>
      </c>
      <c r="E271" s="591" t="s">
        <v>775</v>
      </c>
      <c r="F271" s="592">
        <v>2645</v>
      </c>
      <c r="G271" s="592">
        <v>3</v>
      </c>
      <c r="H271" s="592">
        <v>3</v>
      </c>
      <c r="I271" s="592">
        <v>0</v>
      </c>
      <c r="J271" s="592">
        <v>1678</v>
      </c>
      <c r="K271" s="592">
        <v>32</v>
      </c>
      <c r="L271" s="592">
        <v>2</v>
      </c>
      <c r="M271" s="592">
        <v>30</v>
      </c>
      <c r="N271" s="593">
        <v>1532</v>
      </c>
      <c r="O271" s="593">
        <v>141</v>
      </c>
      <c r="P271" s="593">
        <v>5126</v>
      </c>
      <c r="Q271" s="593">
        <v>212</v>
      </c>
      <c r="R271" s="593">
        <v>10981</v>
      </c>
      <c r="S271" s="593">
        <v>388</v>
      </c>
      <c r="T271" s="593">
        <v>2014</v>
      </c>
      <c r="U271" s="593">
        <v>2014</v>
      </c>
      <c r="V271" s="589"/>
      <c r="W271" s="589"/>
      <c r="X271" s="589"/>
      <c r="Y271" s="589"/>
      <c r="Z271" s="589"/>
      <c r="AA271" s="589"/>
      <c r="AB271" s="589"/>
      <c r="AC271" s="589"/>
      <c r="AD271" s="589"/>
      <c r="AE271" s="589"/>
      <c r="AF271" s="589"/>
      <c r="AG271" s="589"/>
      <c r="AH271" s="589"/>
      <c r="AI271" s="589"/>
      <c r="AJ271" s="589"/>
      <c r="AK271" s="589"/>
      <c r="AL271" s="589"/>
      <c r="AM271" s="589"/>
      <c r="AN271" s="589"/>
      <c r="AO271" s="589"/>
      <c r="AP271" s="589"/>
      <c r="AQ271" s="589"/>
      <c r="AR271" s="589"/>
      <c r="AS271" s="589"/>
    </row>
    <row r="272" spans="1:45" ht="15">
      <c r="A272" s="587" t="s">
        <v>153</v>
      </c>
      <c r="B272" s="587" t="s">
        <v>419</v>
      </c>
      <c r="C272" s="587" t="s">
        <v>812</v>
      </c>
      <c r="D272" s="588">
        <v>2014</v>
      </c>
      <c r="E272" s="587" t="s">
        <v>775</v>
      </c>
      <c r="F272" s="588">
        <v>82</v>
      </c>
      <c r="G272" s="588">
        <v>0</v>
      </c>
      <c r="H272" s="588">
        <v>0</v>
      </c>
      <c r="I272" s="588">
        <v>0</v>
      </c>
      <c r="J272" s="588">
        <v>50</v>
      </c>
      <c r="K272" s="588">
        <v>0</v>
      </c>
      <c r="L272" s="588">
        <v>0</v>
      </c>
      <c r="M272" s="588">
        <v>0</v>
      </c>
      <c r="N272" s="588">
        <v>53</v>
      </c>
      <c r="O272" s="588">
        <v>0</v>
      </c>
      <c r="P272" s="588">
        <v>139</v>
      </c>
      <c r="Q272" s="588">
        <v>156</v>
      </c>
      <c r="R272" s="588">
        <v>324</v>
      </c>
      <c r="S272" s="588">
        <v>156</v>
      </c>
      <c r="T272" s="588">
        <v>2014</v>
      </c>
      <c r="U272" s="588">
        <v>2014</v>
      </c>
      <c r="V272" s="589"/>
      <c r="W272" s="589"/>
      <c r="X272" s="589"/>
      <c r="Y272" s="589"/>
      <c r="Z272" s="589"/>
      <c r="AA272" s="589"/>
      <c r="AB272" s="589"/>
      <c r="AC272" s="589"/>
      <c r="AD272" s="589"/>
      <c r="AE272" s="589"/>
      <c r="AF272" s="589"/>
      <c r="AG272" s="589"/>
      <c r="AH272" s="589"/>
      <c r="AI272" s="589"/>
      <c r="AJ272" s="589"/>
      <c r="AK272" s="589"/>
      <c r="AL272" s="589"/>
      <c r="AM272" s="589"/>
      <c r="AN272" s="589"/>
      <c r="AO272" s="589"/>
      <c r="AP272" s="589"/>
      <c r="AQ272" s="589"/>
      <c r="AR272" s="589"/>
      <c r="AS272" s="589"/>
    </row>
    <row r="273" spans="1:45" ht="15">
      <c r="A273" s="590" t="s">
        <v>153</v>
      </c>
      <c r="B273" s="591" t="s">
        <v>420</v>
      </c>
      <c r="C273" s="591" t="s">
        <v>812</v>
      </c>
      <c r="D273" s="592">
        <v>2014</v>
      </c>
      <c r="E273" s="591" t="s">
        <v>775</v>
      </c>
      <c r="F273" s="592">
        <v>428</v>
      </c>
      <c r="G273" s="592">
        <v>167</v>
      </c>
      <c r="H273" s="592">
        <v>167</v>
      </c>
      <c r="I273" s="592">
        <v>0</v>
      </c>
      <c r="J273" s="592">
        <v>263</v>
      </c>
      <c r="K273" s="592">
        <v>97</v>
      </c>
      <c r="L273" s="592">
        <v>97</v>
      </c>
      <c r="M273" s="592">
        <v>0</v>
      </c>
      <c r="N273" s="593">
        <v>283</v>
      </c>
      <c r="O273" s="593">
        <v>17</v>
      </c>
      <c r="P273" s="593">
        <v>700</v>
      </c>
      <c r="Q273" s="593">
        <v>301</v>
      </c>
      <c r="R273" s="593">
        <v>1674</v>
      </c>
      <c r="S273" s="593">
        <v>582</v>
      </c>
      <c r="T273" s="593">
        <v>2014</v>
      </c>
      <c r="U273" s="593">
        <v>2014</v>
      </c>
      <c r="V273" s="589"/>
      <c r="W273" s="589"/>
      <c r="X273" s="589"/>
      <c r="Y273" s="589"/>
      <c r="Z273" s="589"/>
      <c r="AA273" s="589"/>
      <c r="AB273" s="589"/>
      <c r="AC273" s="589"/>
      <c r="AD273" s="589"/>
      <c r="AE273" s="589"/>
      <c r="AF273" s="589"/>
      <c r="AG273" s="589"/>
      <c r="AH273" s="589"/>
      <c r="AI273" s="589"/>
      <c r="AJ273" s="589"/>
      <c r="AK273" s="589"/>
      <c r="AL273" s="589"/>
      <c r="AM273" s="589"/>
      <c r="AN273" s="589"/>
      <c r="AO273" s="589"/>
      <c r="AP273" s="589"/>
      <c r="AQ273" s="589"/>
      <c r="AR273" s="589"/>
      <c r="AS273" s="589"/>
    </row>
    <row r="274" spans="1:45" ht="15">
      <c r="A274" s="587" t="s">
        <v>193</v>
      </c>
      <c r="B274" s="587" t="s">
        <v>699</v>
      </c>
      <c r="C274" s="587" t="s">
        <v>774</v>
      </c>
      <c r="D274" s="588">
        <v>2014</v>
      </c>
      <c r="E274" s="587" t="s">
        <v>775</v>
      </c>
      <c r="F274" s="588">
        <v>1041</v>
      </c>
      <c r="G274" s="588">
        <v>11</v>
      </c>
      <c r="H274" s="588">
        <v>11</v>
      </c>
      <c r="I274" s="588">
        <v>0</v>
      </c>
      <c r="J274" s="588">
        <v>671</v>
      </c>
      <c r="K274" s="588">
        <v>90</v>
      </c>
      <c r="L274" s="588">
        <v>90</v>
      </c>
      <c r="M274" s="588">
        <v>0</v>
      </c>
      <c r="N274" s="588">
        <v>759</v>
      </c>
      <c r="O274" s="588">
        <v>10</v>
      </c>
      <c r="P274" s="588">
        <v>2612</v>
      </c>
      <c r="Q274" s="588">
        <v>141</v>
      </c>
      <c r="R274" s="588">
        <v>5083</v>
      </c>
      <c r="S274" s="588">
        <v>252</v>
      </c>
      <c r="T274" s="588">
        <v>2015</v>
      </c>
      <c r="U274" s="588">
        <v>2015</v>
      </c>
      <c r="V274" s="589"/>
      <c r="W274" s="589"/>
      <c r="X274" s="589"/>
      <c r="Y274" s="589"/>
      <c r="Z274" s="589"/>
      <c r="AA274" s="589"/>
      <c r="AB274" s="589"/>
      <c r="AC274" s="589"/>
      <c r="AD274" s="589"/>
      <c r="AE274" s="589"/>
      <c r="AF274" s="589"/>
      <c r="AG274" s="589"/>
      <c r="AH274" s="589"/>
      <c r="AI274" s="589"/>
      <c r="AJ274" s="589"/>
      <c r="AK274" s="589"/>
      <c r="AL274" s="589"/>
      <c r="AM274" s="589"/>
      <c r="AN274" s="589"/>
      <c r="AO274" s="589"/>
      <c r="AP274" s="589"/>
      <c r="AQ274" s="589"/>
      <c r="AR274" s="589"/>
      <c r="AS274" s="589"/>
    </row>
    <row r="275" spans="1:45" ht="15">
      <c r="A275" s="590" t="s">
        <v>179</v>
      </c>
      <c r="B275" s="591" t="s">
        <v>605</v>
      </c>
      <c r="C275" s="591" t="s">
        <v>855</v>
      </c>
      <c r="D275" s="592">
        <v>2014</v>
      </c>
      <c r="E275" s="591" t="s">
        <v>775</v>
      </c>
      <c r="F275" s="592">
        <v>914</v>
      </c>
      <c r="G275" s="592">
        <v>0</v>
      </c>
      <c r="H275" s="592">
        <v>0</v>
      </c>
      <c r="I275" s="592">
        <v>0</v>
      </c>
      <c r="J275" s="592">
        <v>694</v>
      </c>
      <c r="K275" s="592">
        <v>0</v>
      </c>
      <c r="L275" s="592">
        <v>0</v>
      </c>
      <c r="M275" s="592">
        <v>0</v>
      </c>
      <c r="N275" s="593">
        <v>642</v>
      </c>
      <c r="O275" s="593">
        <v>0</v>
      </c>
      <c r="P275" s="593">
        <v>1410</v>
      </c>
      <c r="Q275" s="593">
        <v>175</v>
      </c>
      <c r="R275" s="593">
        <v>3660</v>
      </c>
      <c r="S275" s="593">
        <v>175</v>
      </c>
      <c r="T275" s="593">
        <v>2014</v>
      </c>
      <c r="U275" s="593">
        <v>2013</v>
      </c>
      <c r="V275" s="589"/>
      <c r="W275" s="589"/>
      <c r="X275" s="589"/>
      <c r="Y275" s="589"/>
      <c r="Z275" s="589"/>
      <c r="AA275" s="589"/>
      <c r="AB275" s="589"/>
      <c r="AC275" s="589"/>
      <c r="AD275" s="589"/>
      <c r="AE275" s="589"/>
      <c r="AF275" s="589"/>
      <c r="AG275" s="589"/>
      <c r="AH275" s="589"/>
      <c r="AI275" s="589"/>
      <c r="AJ275" s="589"/>
      <c r="AK275" s="589"/>
      <c r="AL275" s="589"/>
      <c r="AM275" s="589"/>
      <c r="AN275" s="589"/>
      <c r="AO275" s="589"/>
      <c r="AP275" s="589"/>
      <c r="AQ275" s="589"/>
      <c r="AR275" s="589"/>
      <c r="AS275" s="589"/>
    </row>
    <row r="276" spans="1:45" ht="15">
      <c r="A276" s="587" t="s">
        <v>157</v>
      </c>
      <c r="B276" s="587" t="s">
        <v>446</v>
      </c>
      <c r="C276" s="587" t="s">
        <v>774</v>
      </c>
      <c r="D276" s="588">
        <v>2014</v>
      </c>
      <c r="E276" s="587" t="s">
        <v>775</v>
      </c>
      <c r="F276" s="588">
        <v>26</v>
      </c>
      <c r="G276" s="588">
        <v>6</v>
      </c>
      <c r="H276" s="588">
        <v>0</v>
      </c>
      <c r="I276" s="588">
        <v>6</v>
      </c>
      <c r="J276" s="588">
        <v>14</v>
      </c>
      <c r="K276" s="588">
        <v>11</v>
      </c>
      <c r="L276" s="588">
        <v>0</v>
      </c>
      <c r="M276" s="588">
        <v>11</v>
      </c>
      <c r="N276" s="588">
        <v>16</v>
      </c>
      <c r="O276" s="588">
        <v>3</v>
      </c>
      <c r="P276" s="588">
        <v>23</v>
      </c>
      <c r="Q276" s="588">
        <v>1</v>
      </c>
      <c r="R276" s="588">
        <v>79</v>
      </c>
      <c r="S276" s="588">
        <v>21</v>
      </c>
      <c r="T276" s="588">
        <v>2015</v>
      </c>
      <c r="U276" s="588">
        <v>2015</v>
      </c>
      <c r="V276" s="589"/>
      <c r="W276" s="589"/>
      <c r="X276" s="589"/>
      <c r="Y276" s="589"/>
      <c r="Z276" s="589"/>
      <c r="AA276" s="589"/>
      <c r="AB276" s="589"/>
      <c r="AC276" s="589"/>
      <c r="AD276" s="589"/>
      <c r="AE276" s="589"/>
      <c r="AF276" s="589"/>
      <c r="AG276" s="589"/>
      <c r="AH276" s="589"/>
      <c r="AI276" s="589"/>
      <c r="AJ276" s="589"/>
      <c r="AK276" s="589"/>
      <c r="AL276" s="589"/>
      <c r="AM276" s="589"/>
      <c r="AN276" s="589"/>
      <c r="AO276" s="589"/>
      <c r="AP276" s="589"/>
      <c r="AQ276" s="589"/>
      <c r="AR276" s="589"/>
      <c r="AS276" s="589"/>
    </row>
    <row r="277" spans="1:45" ht="15">
      <c r="A277" s="590" t="s">
        <v>193</v>
      </c>
      <c r="B277" s="591" t="s">
        <v>700</v>
      </c>
      <c r="C277" s="591" t="s">
        <v>774</v>
      </c>
      <c r="D277" s="592">
        <v>2014</v>
      </c>
      <c r="E277" s="591" t="s">
        <v>775</v>
      </c>
      <c r="F277" s="592">
        <v>22</v>
      </c>
      <c r="G277" s="592">
        <v>0</v>
      </c>
      <c r="H277" s="592">
        <v>0</v>
      </c>
      <c r="I277" s="592">
        <v>0</v>
      </c>
      <c r="J277" s="592">
        <v>17</v>
      </c>
      <c r="K277" s="592">
        <v>0</v>
      </c>
      <c r="L277" s="592">
        <v>0</v>
      </c>
      <c r="M277" s="592">
        <v>0</v>
      </c>
      <c r="N277" s="593">
        <v>19</v>
      </c>
      <c r="O277" s="593">
        <v>3</v>
      </c>
      <c r="P277" s="593">
        <v>62</v>
      </c>
      <c r="Q277" s="593">
        <v>1</v>
      </c>
      <c r="R277" s="593">
        <v>120</v>
      </c>
      <c r="S277" s="593">
        <v>4</v>
      </c>
      <c r="T277" s="593">
        <v>2015</v>
      </c>
      <c r="U277" s="593">
        <v>2015</v>
      </c>
      <c r="V277" s="589"/>
      <c r="W277" s="589"/>
      <c r="X277" s="589"/>
      <c r="Y277" s="589"/>
      <c r="Z277" s="589"/>
      <c r="AA277" s="589"/>
      <c r="AB277" s="589"/>
      <c r="AC277" s="589"/>
      <c r="AD277" s="589"/>
      <c r="AE277" s="589"/>
      <c r="AF277" s="589"/>
      <c r="AG277" s="589"/>
      <c r="AH277" s="589"/>
      <c r="AI277" s="589"/>
      <c r="AJ277" s="589"/>
      <c r="AK277" s="589"/>
      <c r="AL277" s="589"/>
      <c r="AM277" s="589"/>
      <c r="AN277" s="589"/>
      <c r="AO277" s="589"/>
      <c r="AP277" s="589"/>
      <c r="AQ277" s="589"/>
      <c r="AR277" s="589"/>
      <c r="AS277" s="589"/>
    </row>
    <row r="278" spans="1:45" ht="15">
      <c r="A278" s="587" t="s">
        <v>153</v>
      </c>
      <c r="B278" s="587" t="s">
        <v>421</v>
      </c>
      <c r="C278" s="587" t="s">
        <v>812</v>
      </c>
      <c r="D278" s="588">
        <v>2014</v>
      </c>
      <c r="E278" s="587" t="s">
        <v>775</v>
      </c>
      <c r="F278" s="588">
        <v>14</v>
      </c>
      <c r="G278" s="588">
        <v>2</v>
      </c>
      <c r="H278" s="588">
        <v>0</v>
      </c>
      <c r="I278" s="588">
        <v>2</v>
      </c>
      <c r="J278" s="588">
        <v>9</v>
      </c>
      <c r="K278" s="588">
        <v>5</v>
      </c>
      <c r="L278" s="588">
        <v>0</v>
      </c>
      <c r="M278" s="588">
        <v>5</v>
      </c>
      <c r="N278" s="588">
        <v>9</v>
      </c>
      <c r="O278" s="588">
        <v>0</v>
      </c>
      <c r="P278" s="588">
        <v>23</v>
      </c>
      <c r="Q278" s="588">
        <v>5</v>
      </c>
      <c r="R278" s="588">
        <v>55</v>
      </c>
      <c r="S278" s="588">
        <v>12</v>
      </c>
      <c r="T278" s="588">
        <v>2014</v>
      </c>
      <c r="U278" s="588">
        <v>2014</v>
      </c>
      <c r="V278" s="589"/>
      <c r="W278" s="589"/>
      <c r="X278" s="589"/>
      <c r="Y278" s="589"/>
      <c r="Z278" s="589"/>
      <c r="AA278" s="589"/>
      <c r="AB278" s="589"/>
      <c r="AC278" s="589"/>
      <c r="AD278" s="589"/>
      <c r="AE278" s="589"/>
      <c r="AF278" s="589"/>
      <c r="AG278" s="589"/>
      <c r="AH278" s="589"/>
      <c r="AI278" s="589"/>
      <c r="AJ278" s="589"/>
      <c r="AK278" s="589"/>
      <c r="AL278" s="589"/>
      <c r="AM278" s="589"/>
      <c r="AN278" s="589"/>
      <c r="AO278" s="589"/>
      <c r="AP278" s="589"/>
      <c r="AQ278" s="589"/>
      <c r="AR278" s="589"/>
      <c r="AS278" s="589"/>
    </row>
    <row r="279" spans="1:45" ht="15">
      <c r="A279" s="590" t="s">
        <v>153</v>
      </c>
      <c r="B279" s="591" t="s">
        <v>422</v>
      </c>
      <c r="C279" s="591" t="s">
        <v>812</v>
      </c>
      <c r="D279" s="592">
        <v>2014</v>
      </c>
      <c r="E279" s="591" t="s">
        <v>775</v>
      </c>
      <c r="F279" s="592">
        <v>44</v>
      </c>
      <c r="G279" s="592">
        <v>0</v>
      </c>
      <c r="H279" s="592">
        <v>0</v>
      </c>
      <c r="I279" s="592">
        <v>0</v>
      </c>
      <c r="J279" s="592">
        <v>27</v>
      </c>
      <c r="K279" s="592">
        <v>0</v>
      </c>
      <c r="L279" s="592">
        <v>0</v>
      </c>
      <c r="M279" s="592">
        <v>0</v>
      </c>
      <c r="N279" s="593">
        <v>28</v>
      </c>
      <c r="O279" s="593">
        <v>17</v>
      </c>
      <c r="P279" s="593">
        <v>70</v>
      </c>
      <c r="Q279" s="593">
        <v>1</v>
      </c>
      <c r="R279" s="593">
        <v>169</v>
      </c>
      <c r="S279" s="593">
        <v>18</v>
      </c>
      <c r="T279" s="593">
        <v>2014</v>
      </c>
      <c r="U279" s="593">
        <v>2014</v>
      </c>
      <c r="V279" s="589"/>
      <c r="W279" s="589"/>
      <c r="X279" s="589"/>
      <c r="Y279" s="589"/>
      <c r="Z279" s="589"/>
      <c r="AA279" s="589"/>
      <c r="AB279" s="589"/>
      <c r="AC279" s="589"/>
      <c r="AD279" s="589"/>
      <c r="AE279" s="589"/>
      <c r="AF279" s="589"/>
      <c r="AG279" s="589"/>
      <c r="AH279" s="589"/>
      <c r="AI279" s="589"/>
      <c r="AJ279" s="589"/>
      <c r="AK279" s="589"/>
      <c r="AL279" s="589"/>
      <c r="AM279" s="589"/>
      <c r="AN279" s="589"/>
      <c r="AO279" s="589"/>
      <c r="AP279" s="589"/>
      <c r="AQ279" s="589"/>
      <c r="AR279" s="589"/>
      <c r="AS279" s="589"/>
    </row>
    <row r="280" spans="1:45" ht="15">
      <c r="A280" s="587" t="s">
        <v>201</v>
      </c>
      <c r="B280" s="587" t="s">
        <v>738</v>
      </c>
      <c r="C280" s="587" t="s">
        <v>812</v>
      </c>
      <c r="D280" s="588">
        <v>2014</v>
      </c>
      <c r="E280" s="587" t="s">
        <v>775</v>
      </c>
      <c r="F280" s="588">
        <v>310</v>
      </c>
      <c r="G280" s="588">
        <v>0</v>
      </c>
      <c r="H280" s="588">
        <v>0</v>
      </c>
      <c r="I280" s="588">
        <v>0</v>
      </c>
      <c r="J280" s="588">
        <v>208</v>
      </c>
      <c r="K280" s="588">
        <v>0</v>
      </c>
      <c r="L280" s="588">
        <v>0</v>
      </c>
      <c r="M280" s="588">
        <v>0</v>
      </c>
      <c r="N280" s="588">
        <v>229</v>
      </c>
      <c r="O280" s="588">
        <v>0</v>
      </c>
      <c r="P280" s="588">
        <v>509</v>
      </c>
      <c r="Q280" s="588">
        <v>42</v>
      </c>
      <c r="R280" s="588">
        <v>1256</v>
      </c>
      <c r="S280" s="588">
        <v>42</v>
      </c>
      <c r="T280" s="588">
        <v>2014</v>
      </c>
      <c r="U280" s="588">
        <v>2014</v>
      </c>
      <c r="V280" s="589"/>
      <c r="W280" s="589"/>
      <c r="X280" s="589"/>
      <c r="Y280" s="589"/>
      <c r="Z280" s="589"/>
      <c r="AA280" s="589"/>
      <c r="AB280" s="589"/>
      <c r="AC280" s="589"/>
      <c r="AD280" s="589"/>
      <c r="AE280" s="589"/>
      <c r="AF280" s="589"/>
      <c r="AG280" s="589"/>
      <c r="AH280" s="589"/>
      <c r="AI280" s="589"/>
      <c r="AJ280" s="589"/>
      <c r="AK280" s="589"/>
      <c r="AL280" s="589"/>
      <c r="AM280" s="589"/>
      <c r="AN280" s="589"/>
      <c r="AO280" s="589"/>
      <c r="AP280" s="589"/>
      <c r="AQ280" s="589"/>
      <c r="AR280" s="589"/>
      <c r="AS280" s="589"/>
    </row>
    <row r="281" spans="1:45" ht="15">
      <c r="A281" s="590" t="s">
        <v>179</v>
      </c>
      <c r="B281" s="591" t="s">
        <v>606</v>
      </c>
      <c r="C281" s="591" t="s">
        <v>855</v>
      </c>
      <c r="D281" s="592">
        <v>2014</v>
      </c>
      <c r="E281" s="591" t="s">
        <v>775</v>
      </c>
      <c r="F281" s="592">
        <v>85</v>
      </c>
      <c r="G281" s="592">
        <v>0</v>
      </c>
      <c r="H281" s="592">
        <v>0</v>
      </c>
      <c r="I281" s="592">
        <v>0</v>
      </c>
      <c r="J281" s="592">
        <v>65</v>
      </c>
      <c r="K281" s="592">
        <v>0</v>
      </c>
      <c r="L281" s="592">
        <v>0</v>
      </c>
      <c r="M281" s="592">
        <v>0</v>
      </c>
      <c r="N281" s="593">
        <v>59</v>
      </c>
      <c r="O281" s="593">
        <v>0</v>
      </c>
      <c r="P281" s="593">
        <v>131</v>
      </c>
      <c r="Q281" s="593">
        <v>5</v>
      </c>
      <c r="R281" s="593">
        <v>340</v>
      </c>
      <c r="S281" s="593">
        <v>5</v>
      </c>
      <c r="T281" s="593">
        <v>2014</v>
      </c>
      <c r="U281" s="593">
        <v>2013</v>
      </c>
      <c r="V281" s="589"/>
      <c r="W281" s="589"/>
      <c r="X281" s="589"/>
      <c r="Y281" s="589"/>
      <c r="Z281" s="589"/>
      <c r="AA281" s="589"/>
      <c r="AB281" s="589"/>
      <c r="AC281" s="589"/>
      <c r="AD281" s="589"/>
      <c r="AE281" s="589"/>
      <c r="AF281" s="589"/>
      <c r="AG281" s="589"/>
      <c r="AH281" s="589"/>
      <c r="AI281" s="589"/>
      <c r="AJ281" s="589"/>
      <c r="AK281" s="589"/>
      <c r="AL281" s="589"/>
      <c r="AM281" s="589"/>
      <c r="AN281" s="589"/>
      <c r="AO281" s="589"/>
      <c r="AP281" s="589"/>
      <c r="AQ281" s="589"/>
      <c r="AR281" s="589"/>
      <c r="AS281" s="589"/>
    </row>
    <row r="282" spans="1:45" ht="15">
      <c r="A282" s="587" t="s">
        <v>192</v>
      </c>
      <c r="B282" s="587" t="s">
        <v>690</v>
      </c>
      <c r="C282" s="587" t="s">
        <v>774</v>
      </c>
      <c r="D282" s="588">
        <v>2014</v>
      </c>
      <c r="E282" s="587" t="s">
        <v>775</v>
      </c>
      <c r="F282" s="588">
        <v>26</v>
      </c>
      <c r="G282" s="588">
        <v>1</v>
      </c>
      <c r="H282" s="588">
        <v>1</v>
      </c>
      <c r="I282" s="588">
        <v>0</v>
      </c>
      <c r="J282" s="588">
        <v>15</v>
      </c>
      <c r="K282" s="588">
        <v>13</v>
      </c>
      <c r="L282" s="588">
        <v>13</v>
      </c>
      <c r="M282" s="588">
        <v>0</v>
      </c>
      <c r="N282" s="588">
        <v>19</v>
      </c>
      <c r="O282" s="588">
        <v>2</v>
      </c>
      <c r="P282" s="588">
        <v>43</v>
      </c>
      <c r="Q282" s="588">
        <v>7</v>
      </c>
      <c r="R282" s="588">
        <v>103</v>
      </c>
      <c r="S282" s="588">
        <v>23</v>
      </c>
      <c r="T282" s="588">
        <v>2015</v>
      </c>
      <c r="U282" s="588">
        <v>2015</v>
      </c>
      <c r="V282" s="589"/>
      <c r="W282" s="589"/>
      <c r="X282" s="589"/>
      <c r="Y282" s="589"/>
      <c r="Z282" s="589"/>
      <c r="AA282" s="589"/>
      <c r="AB282" s="589"/>
      <c r="AC282" s="589"/>
      <c r="AD282" s="589"/>
      <c r="AE282" s="589"/>
      <c r="AF282" s="589"/>
      <c r="AG282" s="589"/>
      <c r="AH282" s="589"/>
      <c r="AI282" s="589"/>
      <c r="AJ282" s="589"/>
      <c r="AK282" s="589"/>
      <c r="AL282" s="589"/>
      <c r="AM282" s="589"/>
      <c r="AN282" s="589"/>
      <c r="AO282" s="589"/>
      <c r="AP282" s="589"/>
      <c r="AQ282" s="589"/>
      <c r="AR282" s="589"/>
      <c r="AS282" s="589"/>
    </row>
    <row r="283" spans="1:45" ht="15">
      <c r="A283" s="590" t="s">
        <v>193</v>
      </c>
      <c r="B283" s="591" t="s">
        <v>701</v>
      </c>
      <c r="C283" s="591" t="s">
        <v>774</v>
      </c>
      <c r="D283" s="592">
        <v>2014</v>
      </c>
      <c r="E283" s="591" t="s">
        <v>775</v>
      </c>
      <c r="F283" s="592">
        <v>126</v>
      </c>
      <c r="G283" s="592">
        <v>1</v>
      </c>
      <c r="H283" s="592">
        <v>1</v>
      </c>
      <c r="I283" s="592">
        <v>0</v>
      </c>
      <c r="J283" s="592">
        <v>37</v>
      </c>
      <c r="K283" s="592">
        <v>7</v>
      </c>
      <c r="L283" s="592">
        <v>7</v>
      </c>
      <c r="M283" s="592">
        <v>0</v>
      </c>
      <c r="N283" s="593">
        <v>160</v>
      </c>
      <c r="O283" s="593">
        <v>32</v>
      </c>
      <c r="P283" s="593">
        <v>192</v>
      </c>
      <c r="Q283" s="593">
        <v>51</v>
      </c>
      <c r="R283" s="593">
        <v>515</v>
      </c>
      <c r="S283" s="593">
        <v>91</v>
      </c>
      <c r="T283" s="593">
        <v>2015</v>
      </c>
      <c r="U283" s="593">
        <v>2015</v>
      </c>
      <c r="V283" s="589"/>
      <c r="W283" s="589"/>
      <c r="X283" s="589"/>
      <c r="Y283" s="589"/>
      <c r="Z283" s="589"/>
      <c r="AA283" s="589"/>
      <c r="AB283" s="589"/>
      <c r="AC283" s="589"/>
      <c r="AD283" s="589"/>
      <c r="AE283" s="589"/>
      <c r="AF283" s="589"/>
      <c r="AG283" s="589"/>
      <c r="AH283" s="589"/>
      <c r="AI283" s="589"/>
      <c r="AJ283" s="589"/>
      <c r="AK283" s="589"/>
      <c r="AL283" s="589"/>
      <c r="AM283" s="589"/>
      <c r="AN283" s="589"/>
      <c r="AO283" s="589"/>
      <c r="AP283" s="589"/>
      <c r="AQ283" s="589"/>
      <c r="AR283" s="589"/>
      <c r="AS283" s="589"/>
    </row>
    <row r="284" spans="1:45" ht="15">
      <c r="A284" s="587" t="s">
        <v>200</v>
      </c>
      <c r="B284" s="587" t="s">
        <v>728</v>
      </c>
      <c r="C284" s="587" t="s">
        <v>784</v>
      </c>
      <c r="D284" s="588">
        <v>2014</v>
      </c>
      <c r="E284" s="587" t="s">
        <v>775</v>
      </c>
      <c r="F284" s="588">
        <v>23</v>
      </c>
      <c r="G284" s="588">
        <v>0</v>
      </c>
      <c r="H284" s="588">
        <v>0</v>
      </c>
      <c r="I284" s="588">
        <v>0</v>
      </c>
      <c r="J284" s="588">
        <v>16</v>
      </c>
      <c r="K284" s="588">
        <v>1</v>
      </c>
      <c r="L284" s="588">
        <v>0</v>
      </c>
      <c r="M284" s="588">
        <v>1</v>
      </c>
      <c r="N284" s="588">
        <v>19</v>
      </c>
      <c r="O284" s="588">
        <v>2</v>
      </c>
      <c r="P284" s="588">
        <v>42</v>
      </c>
      <c r="Q284" s="588">
        <v>0</v>
      </c>
      <c r="R284" s="588">
        <v>100</v>
      </c>
      <c r="S284" s="588">
        <v>3</v>
      </c>
      <c r="T284" s="588">
        <v>2014</v>
      </c>
      <c r="U284" s="588">
        <v>2014</v>
      </c>
      <c r="V284" s="589"/>
      <c r="W284" s="589"/>
      <c r="X284" s="589"/>
      <c r="Y284" s="589"/>
      <c r="Z284" s="589"/>
      <c r="AA284" s="589"/>
      <c r="AB284" s="589"/>
      <c r="AC284" s="589"/>
      <c r="AD284" s="589"/>
      <c r="AE284" s="589"/>
      <c r="AF284" s="589"/>
      <c r="AG284" s="589"/>
      <c r="AH284" s="589"/>
      <c r="AI284" s="589"/>
      <c r="AJ284" s="589"/>
      <c r="AK284" s="589"/>
      <c r="AL284" s="589"/>
      <c r="AM284" s="589"/>
      <c r="AN284" s="589"/>
      <c r="AO284" s="589"/>
      <c r="AP284" s="589"/>
      <c r="AQ284" s="589"/>
      <c r="AR284" s="589"/>
      <c r="AS284" s="589"/>
    </row>
    <row r="285" spans="1:45" ht="15">
      <c r="A285" s="590" t="s">
        <v>153</v>
      </c>
      <c r="B285" s="591" t="s">
        <v>423</v>
      </c>
      <c r="C285" s="591" t="s">
        <v>812</v>
      </c>
      <c r="D285" s="592">
        <v>2014</v>
      </c>
      <c r="E285" s="591" t="s">
        <v>775</v>
      </c>
      <c r="F285" s="592">
        <v>43</v>
      </c>
      <c r="G285" s="592">
        <v>0</v>
      </c>
      <c r="H285" s="592">
        <v>0</v>
      </c>
      <c r="I285" s="592">
        <v>0</v>
      </c>
      <c r="J285" s="592">
        <v>25</v>
      </c>
      <c r="K285" s="592">
        <v>4</v>
      </c>
      <c r="L285" s="592">
        <v>0</v>
      </c>
      <c r="M285" s="592">
        <v>4</v>
      </c>
      <c r="N285" s="593">
        <v>28</v>
      </c>
      <c r="O285" s="593">
        <v>0</v>
      </c>
      <c r="P285" s="593">
        <v>76</v>
      </c>
      <c r="Q285" s="593">
        <v>76</v>
      </c>
      <c r="R285" s="593">
        <v>172</v>
      </c>
      <c r="S285" s="593">
        <v>80</v>
      </c>
      <c r="T285" s="593">
        <v>2014</v>
      </c>
      <c r="U285" s="593">
        <v>2014</v>
      </c>
      <c r="V285" s="589"/>
      <c r="W285" s="589"/>
      <c r="X285" s="589"/>
      <c r="Y285" s="589"/>
      <c r="Z285" s="589"/>
      <c r="AA285" s="589"/>
      <c r="AB285" s="589"/>
      <c r="AC285" s="589"/>
      <c r="AD285" s="589"/>
      <c r="AE285" s="589"/>
      <c r="AF285" s="589"/>
      <c r="AG285" s="589"/>
      <c r="AH285" s="589"/>
      <c r="AI285" s="589"/>
      <c r="AJ285" s="589"/>
      <c r="AK285" s="589"/>
      <c r="AL285" s="589"/>
      <c r="AM285" s="589"/>
      <c r="AN285" s="589"/>
      <c r="AO285" s="589"/>
      <c r="AP285" s="589"/>
      <c r="AQ285" s="589"/>
      <c r="AR285" s="589"/>
      <c r="AS285" s="589"/>
    </row>
    <row r="286" spans="1:45" ht="15">
      <c r="A286" s="587" t="s">
        <v>153</v>
      </c>
      <c r="B286" s="587" t="s">
        <v>424</v>
      </c>
      <c r="C286" s="587" t="s">
        <v>812</v>
      </c>
      <c r="D286" s="588">
        <v>2014</v>
      </c>
      <c r="E286" s="587" t="s">
        <v>775</v>
      </c>
      <c r="F286" s="588">
        <v>314</v>
      </c>
      <c r="G286" s="588">
        <v>22</v>
      </c>
      <c r="H286" s="588">
        <v>22</v>
      </c>
      <c r="I286" s="588">
        <v>0</v>
      </c>
      <c r="J286" s="588">
        <v>185</v>
      </c>
      <c r="K286" s="588">
        <v>192</v>
      </c>
      <c r="L286" s="588">
        <v>192</v>
      </c>
      <c r="M286" s="588">
        <v>0</v>
      </c>
      <c r="N286" s="588">
        <v>205</v>
      </c>
      <c r="O286" s="588">
        <v>15</v>
      </c>
      <c r="P286" s="588">
        <v>558</v>
      </c>
      <c r="Q286" s="588">
        <v>6</v>
      </c>
      <c r="R286" s="588">
        <v>1262</v>
      </c>
      <c r="S286" s="588">
        <v>235</v>
      </c>
      <c r="T286" s="588">
        <v>2014</v>
      </c>
      <c r="U286" s="588">
        <v>2014</v>
      </c>
      <c r="V286" s="589"/>
      <c r="W286" s="589"/>
      <c r="X286" s="589"/>
      <c r="Y286" s="589"/>
      <c r="Z286" s="589"/>
      <c r="AA286" s="589"/>
      <c r="AB286" s="589"/>
      <c r="AC286" s="589"/>
      <c r="AD286" s="589"/>
      <c r="AE286" s="589"/>
      <c r="AF286" s="589"/>
      <c r="AG286" s="589"/>
      <c r="AH286" s="589"/>
      <c r="AI286" s="589"/>
      <c r="AJ286" s="589"/>
      <c r="AK286" s="589"/>
      <c r="AL286" s="589"/>
      <c r="AM286" s="589"/>
      <c r="AN286" s="589"/>
      <c r="AO286" s="589"/>
      <c r="AP286" s="589"/>
      <c r="AQ286" s="589"/>
      <c r="AR286" s="589"/>
      <c r="AS286" s="589"/>
    </row>
    <row r="287" spans="1:45" ht="15">
      <c r="A287" s="590" t="s">
        <v>153</v>
      </c>
      <c r="B287" s="591" t="s">
        <v>425</v>
      </c>
      <c r="C287" s="591" t="s">
        <v>812</v>
      </c>
      <c r="D287" s="592">
        <v>2014</v>
      </c>
      <c r="E287" s="591" t="s">
        <v>775</v>
      </c>
      <c r="F287" s="592">
        <v>17</v>
      </c>
      <c r="G287" s="592">
        <v>0</v>
      </c>
      <c r="H287" s="592">
        <v>0</v>
      </c>
      <c r="I287" s="592">
        <v>0</v>
      </c>
      <c r="J287" s="592">
        <v>10</v>
      </c>
      <c r="K287" s="592">
        <v>0</v>
      </c>
      <c r="L287" s="592">
        <v>0</v>
      </c>
      <c r="M287" s="592">
        <v>0</v>
      </c>
      <c r="N287" s="593">
        <v>11</v>
      </c>
      <c r="O287" s="593">
        <v>0</v>
      </c>
      <c r="P287" s="593">
        <v>25</v>
      </c>
      <c r="Q287" s="593">
        <v>40</v>
      </c>
      <c r="R287" s="593">
        <v>63</v>
      </c>
      <c r="S287" s="593">
        <v>40</v>
      </c>
      <c r="T287" s="593">
        <v>2014</v>
      </c>
      <c r="U287" s="593">
        <v>2014</v>
      </c>
      <c r="V287" s="589"/>
      <c r="W287" s="589"/>
      <c r="X287" s="589"/>
      <c r="Y287" s="589"/>
      <c r="Z287" s="589"/>
      <c r="AA287" s="589"/>
      <c r="AB287" s="589"/>
      <c r="AC287" s="589"/>
      <c r="AD287" s="589"/>
      <c r="AE287" s="589"/>
      <c r="AF287" s="589"/>
      <c r="AG287" s="589"/>
      <c r="AH287" s="589"/>
      <c r="AI287" s="589"/>
      <c r="AJ287" s="589"/>
      <c r="AK287" s="589"/>
      <c r="AL287" s="589"/>
      <c r="AM287" s="589"/>
      <c r="AN287" s="589"/>
      <c r="AO287" s="589"/>
      <c r="AP287" s="589"/>
      <c r="AQ287" s="589"/>
      <c r="AR287" s="589"/>
      <c r="AS287" s="589"/>
    </row>
    <row r="288" spans="1:45" ht="15">
      <c r="A288" s="587" t="s">
        <v>169</v>
      </c>
      <c r="B288" s="587" t="s">
        <v>514</v>
      </c>
      <c r="C288" s="587" t="s">
        <v>812</v>
      </c>
      <c r="D288" s="588">
        <v>2014</v>
      </c>
      <c r="E288" s="587" t="s">
        <v>775</v>
      </c>
      <c r="F288" s="588">
        <v>68</v>
      </c>
      <c r="G288" s="588">
        <v>0</v>
      </c>
      <c r="H288" s="588">
        <v>0</v>
      </c>
      <c r="I288" s="588">
        <v>0</v>
      </c>
      <c r="J288" s="588">
        <v>49</v>
      </c>
      <c r="K288" s="588">
        <v>0</v>
      </c>
      <c r="L288" s="588">
        <v>0</v>
      </c>
      <c r="M288" s="588">
        <v>0</v>
      </c>
      <c r="N288" s="588">
        <v>56</v>
      </c>
      <c r="O288" s="588">
        <v>0</v>
      </c>
      <c r="P288" s="588">
        <v>140</v>
      </c>
      <c r="Q288" s="588">
        <v>32</v>
      </c>
      <c r="R288" s="588">
        <v>313</v>
      </c>
      <c r="S288" s="588">
        <v>32</v>
      </c>
      <c r="T288" s="588">
        <v>2014</v>
      </c>
      <c r="U288" s="588">
        <v>2014</v>
      </c>
      <c r="V288" s="589"/>
      <c r="W288" s="589"/>
      <c r="X288" s="589"/>
      <c r="Y288" s="589"/>
      <c r="Z288" s="589"/>
      <c r="AA288" s="589"/>
      <c r="AB288" s="589"/>
      <c r="AC288" s="589"/>
      <c r="AD288" s="589"/>
      <c r="AE288" s="589"/>
      <c r="AF288" s="589"/>
      <c r="AG288" s="589"/>
      <c r="AH288" s="589"/>
      <c r="AI288" s="589"/>
      <c r="AJ288" s="589"/>
      <c r="AK288" s="589"/>
      <c r="AL288" s="589"/>
      <c r="AM288" s="589"/>
      <c r="AN288" s="589"/>
      <c r="AO288" s="589"/>
      <c r="AP288" s="589"/>
      <c r="AQ288" s="589"/>
      <c r="AR288" s="589"/>
      <c r="AS288" s="589"/>
    </row>
    <row r="289" spans="1:45" ht="15">
      <c r="A289" s="590" t="s">
        <v>192</v>
      </c>
      <c r="B289" s="591" t="s">
        <v>691</v>
      </c>
      <c r="C289" s="591" t="s">
        <v>774</v>
      </c>
      <c r="D289" s="592">
        <v>2014</v>
      </c>
      <c r="E289" s="591" t="s">
        <v>775</v>
      </c>
      <c r="F289" s="592">
        <v>147</v>
      </c>
      <c r="G289" s="592">
        <v>0</v>
      </c>
      <c r="H289" s="592">
        <v>0</v>
      </c>
      <c r="I289" s="592">
        <v>0</v>
      </c>
      <c r="J289" s="592">
        <v>57</v>
      </c>
      <c r="K289" s="592">
        <v>0</v>
      </c>
      <c r="L289" s="592">
        <v>0</v>
      </c>
      <c r="M289" s="592">
        <v>0</v>
      </c>
      <c r="N289" s="593">
        <v>60</v>
      </c>
      <c r="O289" s="593">
        <v>0</v>
      </c>
      <c r="P289" s="593">
        <v>241</v>
      </c>
      <c r="Q289" s="593">
        <v>0</v>
      </c>
      <c r="R289" s="593">
        <v>505</v>
      </c>
      <c r="S289" s="593">
        <v>0</v>
      </c>
      <c r="T289" s="593">
        <v>2015</v>
      </c>
      <c r="U289" s="593">
        <v>2015</v>
      </c>
      <c r="V289" s="589"/>
      <c r="W289" s="589"/>
      <c r="X289" s="589"/>
      <c r="Y289" s="589"/>
      <c r="Z289" s="589"/>
      <c r="AA289" s="589"/>
      <c r="AB289" s="589"/>
      <c r="AC289" s="589"/>
      <c r="AD289" s="589"/>
      <c r="AE289" s="589"/>
      <c r="AF289" s="589"/>
      <c r="AG289" s="589"/>
      <c r="AH289" s="589"/>
      <c r="AI289" s="589"/>
      <c r="AJ289" s="589"/>
      <c r="AK289" s="589"/>
      <c r="AL289" s="589"/>
      <c r="AM289" s="589"/>
      <c r="AN289" s="589"/>
      <c r="AO289" s="589"/>
      <c r="AP289" s="589"/>
      <c r="AQ289" s="589"/>
      <c r="AR289" s="589"/>
      <c r="AS289" s="589"/>
    </row>
    <row r="290" spans="1:45" ht="15">
      <c r="A290" s="587" t="s">
        <v>196</v>
      </c>
      <c r="B290" s="587" t="s">
        <v>714</v>
      </c>
      <c r="C290" s="587" t="s">
        <v>799</v>
      </c>
      <c r="D290" s="588">
        <v>2014</v>
      </c>
      <c r="E290" s="587" t="s">
        <v>775</v>
      </c>
      <c r="F290" s="588">
        <v>85</v>
      </c>
      <c r="G290" s="588">
        <v>0</v>
      </c>
      <c r="H290" s="588">
        <v>0</v>
      </c>
      <c r="I290" s="588">
        <v>0</v>
      </c>
      <c r="J290" s="588">
        <v>60</v>
      </c>
      <c r="K290" s="588">
        <v>0</v>
      </c>
      <c r="L290" s="588">
        <v>0</v>
      </c>
      <c r="M290" s="588">
        <v>0</v>
      </c>
      <c r="N290" s="588">
        <v>62</v>
      </c>
      <c r="O290" s="588">
        <v>1</v>
      </c>
      <c r="P290" s="588">
        <v>128</v>
      </c>
      <c r="Q290" s="588">
        <v>19</v>
      </c>
      <c r="R290" s="588">
        <v>335</v>
      </c>
      <c r="S290" s="588">
        <v>20</v>
      </c>
      <c r="T290" s="588">
        <v>2014</v>
      </c>
      <c r="U290" s="588">
        <v>2014</v>
      </c>
      <c r="V290" s="589"/>
      <c r="W290" s="589"/>
      <c r="X290" s="589"/>
      <c r="Y290" s="589"/>
      <c r="Z290" s="589"/>
      <c r="AA290" s="589"/>
      <c r="AB290" s="589"/>
      <c r="AC290" s="589"/>
      <c r="AD290" s="589"/>
      <c r="AE290" s="589"/>
      <c r="AF290" s="589"/>
      <c r="AG290" s="589"/>
      <c r="AH290" s="589"/>
      <c r="AI290" s="589"/>
      <c r="AJ290" s="589"/>
      <c r="AK290" s="589"/>
      <c r="AL290" s="589"/>
      <c r="AM290" s="589"/>
      <c r="AN290" s="589"/>
      <c r="AO290" s="589"/>
      <c r="AP290" s="589"/>
      <c r="AQ290" s="589"/>
      <c r="AR290" s="589"/>
      <c r="AS290" s="589"/>
    </row>
    <row r="291" spans="1:45" ht="15">
      <c r="A291" s="590" t="s">
        <v>130</v>
      </c>
      <c r="B291" s="591" t="s">
        <v>254</v>
      </c>
      <c r="C291" s="591" t="s">
        <v>784</v>
      </c>
      <c r="D291" s="592">
        <v>2014</v>
      </c>
      <c r="E291" s="591" t="s">
        <v>775</v>
      </c>
      <c r="F291" s="592">
        <v>2</v>
      </c>
      <c r="G291" s="592">
        <v>0</v>
      </c>
      <c r="H291" s="592">
        <v>0</v>
      </c>
      <c r="I291" s="592">
        <v>0</v>
      </c>
      <c r="J291" s="592">
        <v>2</v>
      </c>
      <c r="K291" s="592">
        <v>0</v>
      </c>
      <c r="L291" s="592">
        <v>0</v>
      </c>
      <c r="M291" s="592">
        <v>0</v>
      </c>
      <c r="N291" s="593">
        <v>2</v>
      </c>
      <c r="O291" s="593">
        <v>1</v>
      </c>
      <c r="P291" s="593">
        <v>4</v>
      </c>
      <c r="Q291" s="593">
        <v>0</v>
      </c>
      <c r="R291" s="593">
        <v>10</v>
      </c>
      <c r="S291" s="593">
        <v>1</v>
      </c>
      <c r="T291" s="593">
        <v>2014</v>
      </c>
      <c r="U291" s="593">
        <v>2014</v>
      </c>
      <c r="V291" s="589"/>
      <c r="W291" s="589"/>
      <c r="X291" s="589"/>
      <c r="Y291" s="589"/>
      <c r="Z291" s="589"/>
      <c r="AA291" s="589"/>
      <c r="AB291" s="589"/>
      <c r="AC291" s="589"/>
      <c r="AD291" s="589"/>
      <c r="AE291" s="589"/>
      <c r="AF291" s="589"/>
      <c r="AG291" s="589"/>
      <c r="AH291" s="589"/>
      <c r="AI291" s="589"/>
      <c r="AJ291" s="589"/>
      <c r="AK291" s="589"/>
      <c r="AL291" s="589"/>
      <c r="AM291" s="589"/>
      <c r="AN291" s="589"/>
      <c r="AO291" s="589"/>
      <c r="AP291" s="589"/>
      <c r="AQ291" s="589"/>
      <c r="AR291" s="589"/>
      <c r="AS291" s="589"/>
    </row>
    <row r="292" spans="1:45" ht="15">
      <c r="A292" s="587" t="s">
        <v>197</v>
      </c>
      <c r="B292" s="587" t="s">
        <v>718</v>
      </c>
      <c r="C292" s="587" t="s">
        <v>784</v>
      </c>
      <c r="D292" s="588">
        <v>2014</v>
      </c>
      <c r="E292" s="587" t="s">
        <v>775</v>
      </c>
      <c r="F292" s="588">
        <v>112</v>
      </c>
      <c r="G292" s="588">
        <v>16</v>
      </c>
      <c r="H292" s="588">
        <v>0</v>
      </c>
      <c r="I292" s="588">
        <v>16</v>
      </c>
      <c r="J292" s="588">
        <v>76</v>
      </c>
      <c r="K292" s="588">
        <v>7</v>
      </c>
      <c r="L292" s="588">
        <v>0</v>
      </c>
      <c r="M292" s="588">
        <v>7</v>
      </c>
      <c r="N292" s="588">
        <v>89</v>
      </c>
      <c r="O292" s="588">
        <v>6</v>
      </c>
      <c r="P292" s="588">
        <v>209</v>
      </c>
      <c r="Q292" s="588">
        <v>52</v>
      </c>
      <c r="R292" s="588">
        <v>486</v>
      </c>
      <c r="S292" s="588">
        <v>81</v>
      </c>
      <c r="T292" s="588">
        <v>2014</v>
      </c>
      <c r="U292" s="588">
        <v>2014</v>
      </c>
      <c r="V292" s="589"/>
      <c r="W292" s="589"/>
      <c r="X292" s="589"/>
      <c r="Y292" s="589"/>
      <c r="Z292" s="589"/>
      <c r="AA292" s="589"/>
      <c r="AB292" s="589"/>
      <c r="AC292" s="589"/>
      <c r="AD292" s="589"/>
      <c r="AE292" s="589"/>
      <c r="AF292" s="589"/>
      <c r="AG292" s="589"/>
      <c r="AH292" s="589"/>
      <c r="AI292" s="589"/>
      <c r="AJ292" s="589"/>
      <c r="AK292" s="589"/>
      <c r="AL292" s="589"/>
      <c r="AM292" s="589"/>
      <c r="AN292" s="589"/>
      <c r="AO292" s="589"/>
      <c r="AP292" s="589"/>
      <c r="AQ292" s="589"/>
      <c r="AR292" s="589"/>
      <c r="AS292" s="589"/>
    </row>
    <row r="293" spans="1:45" ht="15">
      <c r="A293" s="590" t="s">
        <v>173</v>
      </c>
      <c r="B293" s="591" t="s">
        <v>554</v>
      </c>
      <c r="C293" s="591" t="s">
        <v>812</v>
      </c>
      <c r="D293" s="592">
        <v>2014</v>
      </c>
      <c r="E293" s="591" t="s">
        <v>775</v>
      </c>
      <c r="F293" s="592">
        <v>375</v>
      </c>
      <c r="G293" s="592">
        <v>0</v>
      </c>
      <c r="H293" s="592">
        <v>0</v>
      </c>
      <c r="I293" s="592">
        <v>0</v>
      </c>
      <c r="J293" s="592">
        <v>251</v>
      </c>
      <c r="K293" s="592">
        <v>0</v>
      </c>
      <c r="L293" s="592">
        <v>0</v>
      </c>
      <c r="M293" s="592">
        <v>0</v>
      </c>
      <c r="N293" s="593">
        <v>271</v>
      </c>
      <c r="O293" s="593">
        <v>0</v>
      </c>
      <c r="P293" s="593">
        <v>596</v>
      </c>
      <c r="Q293" s="593">
        <v>383</v>
      </c>
      <c r="R293" s="593">
        <v>1493</v>
      </c>
      <c r="S293" s="593">
        <v>383</v>
      </c>
      <c r="T293" s="593">
        <v>2014</v>
      </c>
      <c r="U293" s="593">
        <v>2014</v>
      </c>
      <c r="V293" s="589"/>
      <c r="W293" s="589"/>
      <c r="X293" s="589"/>
      <c r="Y293" s="589"/>
      <c r="Z293" s="589"/>
      <c r="AA293" s="589"/>
      <c r="AB293" s="589"/>
      <c r="AC293" s="589"/>
      <c r="AD293" s="589"/>
      <c r="AE293" s="589"/>
      <c r="AF293" s="589"/>
      <c r="AG293" s="589"/>
      <c r="AH293" s="589"/>
      <c r="AI293" s="589"/>
      <c r="AJ293" s="589"/>
      <c r="AK293" s="589"/>
      <c r="AL293" s="589"/>
      <c r="AM293" s="589"/>
      <c r="AN293" s="589"/>
      <c r="AO293" s="589"/>
      <c r="AP293" s="589"/>
      <c r="AQ293" s="589"/>
      <c r="AR293" s="589"/>
      <c r="AS293" s="589"/>
    </row>
    <row r="294" spans="1:45" ht="15">
      <c r="A294" s="587" t="s">
        <v>153</v>
      </c>
      <c r="B294" s="587" t="s">
        <v>426</v>
      </c>
      <c r="C294" s="587" t="s">
        <v>812</v>
      </c>
      <c r="D294" s="588">
        <v>2014</v>
      </c>
      <c r="E294" s="587" t="s">
        <v>775</v>
      </c>
      <c r="F294" s="588">
        <v>159</v>
      </c>
      <c r="G294" s="588">
        <v>0</v>
      </c>
      <c r="H294" s="588">
        <v>0</v>
      </c>
      <c r="I294" s="588">
        <v>0</v>
      </c>
      <c r="J294" s="588">
        <v>93</v>
      </c>
      <c r="K294" s="588">
        <v>3</v>
      </c>
      <c r="L294" s="588">
        <v>3</v>
      </c>
      <c r="M294" s="588">
        <v>0</v>
      </c>
      <c r="N294" s="588">
        <v>99</v>
      </c>
      <c r="O294" s="588">
        <v>1</v>
      </c>
      <c r="P294" s="588">
        <v>252</v>
      </c>
      <c r="Q294" s="588">
        <v>105</v>
      </c>
      <c r="R294" s="588">
        <v>603</v>
      </c>
      <c r="S294" s="588">
        <v>109</v>
      </c>
      <c r="T294" s="588">
        <v>2014</v>
      </c>
      <c r="U294" s="588">
        <v>2014</v>
      </c>
      <c r="V294" s="589"/>
      <c r="W294" s="589"/>
      <c r="X294" s="589"/>
      <c r="Y294" s="589"/>
      <c r="Z294" s="589"/>
      <c r="AA294" s="589"/>
      <c r="AB294" s="589"/>
      <c r="AC294" s="589"/>
      <c r="AD294" s="589"/>
      <c r="AE294" s="589"/>
      <c r="AF294" s="589"/>
      <c r="AG294" s="589"/>
      <c r="AH294" s="589"/>
      <c r="AI294" s="589"/>
      <c r="AJ294" s="589"/>
      <c r="AK294" s="589"/>
      <c r="AL294" s="589"/>
      <c r="AM294" s="589"/>
      <c r="AN294" s="589"/>
      <c r="AO294" s="589"/>
      <c r="AP294" s="589"/>
      <c r="AQ294" s="589"/>
      <c r="AR294" s="589"/>
      <c r="AS294" s="589"/>
    </row>
    <row r="295" spans="1:45" ht="15">
      <c r="A295" s="590" t="s">
        <v>201</v>
      </c>
      <c r="B295" s="591" t="s">
        <v>739</v>
      </c>
      <c r="C295" s="591" t="s">
        <v>812</v>
      </c>
      <c r="D295" s="592">
        <v>2014</v>
      </c>
      <c r="E295" s="591" t="s">
        <v>775</v>
      </c>
      <c r="F295" s="592">
        <v>47</v>
      </c>
      <c r="G295" s="592">
        <v>17</v>
      </c>
      <c r="H295" s="592">
        <v>17</v>
      </c>
      <c r="I295" s="592">
        <v>0</v>
      </c>
      <c r="J295" s="592">
        <v>32</v>
      </c>
      <c r="K295" s="592">
        <v>2</v>
      </c>
      <c r="L295" s="592">
        <v>2</v>
      </c>
      <c r="M295" s="592">
        <v>0</v>
      </c>
      <c r="N295" s="593">
        <v>36</v>
      </c>
      <c r="O295" s="593">
        <v>1</v>
      </c>
      <c r="P295" s="593">
        <v>77</v>
      </c>
      <c r="Q295" s="593">
        <v>27</v>
      </c>
      <c r="R295" s="593">
        <v>192</v>
      </c>
      <c r="S295" s="593">
        <v>47</v>
      </c>
      <c r="T295" s="593">
        <v>2014</v>
      </c>
      <c r="U295" s="593">
        <v>2014</v>
      </c>
      <c r="V295" s="589"/>
      <c r="W295" s="589"/>
      <c r="X295" s="589"/>
      <c r="Y295" s="589"/>
      <c r="Z295" s="589"/>
      <c r="AA295" s="589"/>
      <c r="AB295" s="589"/>
      <c r="AC295" s="589"/>
      <c r="AD295" s="589"/>
      <c r="AE295" s="589"/>
      <c r="AF295" s="589"/>
      <c r="AG295" s="589"/>
      <c r="AH295" s="589"/>
      <c r="AI295" s="589"/>
      <c r="AJ295" s="589"/>
      <c r="AK295" s="589"/>
      <c r="AL295" s="589"/>
      <c r="AM295" s="589"/>
      <c r="AN295" s="589"/>
      <c r="AO295" s="589"/>
      <c r="AP295" s="589"/>
      <c r="AQ295" s="589"/>
      <c r="AR295" s="589"/>
      <c r="AS295" s="589"/>
    </row>
    <row r="296" spans="1:45" ht="15">
      <c r="A296" s="587" t="s">
        <v>157</v>
      </c>
      <c r="B296" s="587" t="s">
        <v>447</v>
      </c>
      <c r="C296" s="587" t="s">
        <v>774</v>
      </c>
      <c r="D296" s="588">
        <v>2014</v>
      </c>
      <c r="E296" s="587" t="s">
        <v>775</v>
      </c>
      <c r="F296" s="588">
        <v>24</v>
      </c>
      <c r="G296" s="588">
        <v>0</v>
      </c>
      <c r="H296" s="588">
        <v>0</v>
      </c>
      <c r="I296" s="588">
        <v>0</v>
      </c>
      <c r="J296" s="588">
        <v>16</v>
      </c>
      <c r="K296" s="588">
        <v>0</v>
      </c>
      <c r="L296" s="588">
        <v>0</v>
      </c>
      <c r="M296" s="588">
        <v>0</v>
      </c>
      <c r="N296" s="588">
        <v>19</v>
      </c>
      <c r="O296" s="588">
        <v>0</v>
      </c>
      <c r="P296" s="588">
        <v>19</v>
      </c>
      <c r="Q296" s="588">
        <v>2</v>
      </c>
      <c r="R296" s="588">
        <v>78</v>
      </c>
      <c r="S296" s="588">
        <v>2</v>
      </c>
      <c r="T296" s="588">
        <v>2015</v>
      </c>
      <c r="U296" s="588">
        <v>2015</v>
      </c>
      <c r="V296" s="589"/>
      <c r="W296" s="589"/>
      <c r="X296" s="589"/>
      <c r="Y296" s="589"/>
      <c r="Z296" s="589"/>
      <c r="AA296" s="589"/>
      <c r="AB296" s="589"/>
      <c r="AC296" s="589"/>
      <c r="AD296" s="589"/>
      <c r="AE296" s="589"/>
      <c r="AF296" s="589"/>
      <c r="AG296" s="589"/>
      <c r="AH296" s="589"/>
      <c r="AI296" s="589"/>
      <c r="AJ296" s="589"/>
      <c r="AK296" s="589"/>
      <c r="AL296" s="589"/>
      <c r="AM296" s="589"/>
      <c r="AN296" s="589"/>
      <c r="AO296" s="589"/>
      <c r="AP296" s="589"/>
      <c r="AQ296" s="589"/>
      <c r="AR296" s="589"/>
      <c r="AS296" s="589"/>
    </row>
    <row r="297" spans="1:45" ht="15">
      <c r="A297" s="590" t="s">
        <v>153</v>
      </c>
      <c r="B297" s="591" t="s">
        <v>427</v>
      </c>
      <c r="C297" s="591" t="s">
        <v>812</v>
      </c>
      <c r="D297" s="592">
        <v>2014</v>
      </c>
      <c r="E297" s="591" t="s">
        <v>775</v>
      </c>
      <c r="F297" s="592">
        <v>380</v>
      </c>
      <c r="G297" s="592">
        <v>0</v>
      </c>
      <c r="H297" s="592">
        <v>0</v>
      </c>
      <c r="I297" s="592">
        <v>0</v>
      </c>
      <c r="J297" s="592">
        <v>227</v>
      </c>
      <c r="K297" s="592">
        <v>0</v>
      </c>
      <c r="L297" s="592">
        <v>0</v>
      </c>
      <c r="M297" s="592">
        <v>0</v>
      </c>
      <c r="N297" s="593">
        <v>243</v>
      </c>
      <c r="O297" s="593">
        <v>0</v>
      </c>
      <c r="P297" s="593">
        <v>600</v>
      </c>
      <c r="Q297" s="593">
        <v>12</v>
      </c>
      <c r="R297" s="593">
        <v>1450</v>
      </c>
      <c r="S297" s="593">
        <v>12</v>
      </c>
      <c r="T297" s="593">
        <v>2014</v>
      </c>
      <c r="U297" s="593">
        <v>2014</v>
      </c>
      <c r="V297" s="589"/>
      <c r="W297" s="589"/>
      <c r="X297" s="589"/>
      <c r="Y297" s="589"/>
      <c r="Z297" s="589"/>
      <c r="AA297" s="589"/>
      <c r="AB297" s="589"/>
      <c r="AC297" s="589"/>
      <c r="AD297" s="589"/>
      <c r="AE297" s="589"/>
      <c r="AF297" s="589"/>
      <c r="AG297" s="589"/>
      <c r="AH297" s="589"/>
      <c r="AI297" s="589"/>
      <c r="AJ297" s="589"/>
      <c r="AK297" s="589"/>
      <c r="AL297" s="589"/>
      <c r="AM297" s="589"/>
      <c r="AN297" s="589"/>
      <c r="AO297" s="589"/>
      <c r="AP297" s="589"/>
      <c r="AQ297" s="589"/>
      <c r="AR297" s="589"/>
      <c r="AS297" s="589"/>
    </row>
    <row r="298" spans="1:45" ht="15">
      <c r="A298" s="587" t="s">
        <v>168</v>
      </c>
      <c r="B298" s="587" t="s">
        <v>484</v>
      </c>
      <c r="C298" s="587" t="s">
        <v>784</v>
      </c>
      <c r="D298" s="588">
        <v>2014</v>
      </c>
      <c r="E298" s="587" t="s">
        <v>775</v>
      </c>
      <c r="F298" s="588">
        <v>108</v>
      </c>
      <c r="G298" s="588">
        <v>0</v>
      </c>
      <c r="H298" s="588">
        <v>0</v>
      </c>
      <c r="I298" s="588">
        <v>0</v>
      </c>
      <c r="J298" s="588">
        <v>75</v>
      </c>
      <c r="K298" s="588">
        <v>0</v>
      </c>
      <c r="L298" s="588">
        <v>0</v>
      </c>
      <c r="M298" s="588">
        <v>0</v>
      </c>
      <c r="N298" s="588">
        <v>78</v>
      </c>
      <c r="O298" s="588">
        <v>0</v>
      </c>
      <c r="P298" s="588">
        <v>199</v>
      </c>
      <c r="Q298" s="588">
        <v>95</v>
      </c>
      <c r="R298" s="588">
        <v>460</v>
      </c>
      <c r="S298" s="588">
        <v>95</v>
      </c>
      <c r="T298" s="588">
        <v>2014</v>
      </c>
      <c r="U298" s="588">
        <v>2014</v>
      </c>
      <c r="V298" s="589"/>
      <c r="W298" s="589"/>
      <c r="X298" s="589"/>
      <c r="Y298" s="589"/>
      <c r="Z298" s="589"/>
      <c r="AA298" s="589"/>
      <c r="AB298" s="589"/>
      <c r="AC298" s="589"/>
      <c r="AD298" s="589"/>
      <c r="AE298" s="589"/>
      <c r="AF298" s="589"/>
      <c r="AG298" s="589"/>
      <c r="AH298" s="589"/>
      <c r="AI298" s="589"/>
      <c r="AJ298" s="589"/>
      <c r="AK298" s="589"/>
      <c r="AL298" s="589"/>
      <c r="AM298" s="589"/>
      <c r="AN298" s="589"/>
      <c r="AO298" s="589"/>
      <c r="AP298" s="589"/>
      <c r="AQ298" s="589"/>
      <c r="AR298" s="589"/>
      <c r="AS298" s="589"/>
    </row>
    <row r="299" spans="1:45" ht="15">
      <c r="A299" s="590" t="s">
        <v>200</v>
      </c>
      <c r="B299" s="591" t="s">
        <v>729</v>
      </c>
      <c r="C299" s="591" t="s">
        <v>784</v>
      </c>
      <c r="D299" s="592">
        <v>2014</v>
      </c>
      <c r="E299" s="591" t="s">
        <v>775</v>
      </c>
      <c r="F299" s="592">
        <v>102</v>
      </c>
      <c r="G299" s="592">
        <v>0</v>
      </c>
      <c r="H299" s="592">
        <v>0</v>
      </c>
      <c r="I299" s="592">
        <v>0</v>
      </c>
      <c r="J299" s="592">
        <v>74</v>
      </c>
      <c r="K299" s="592">
        <v>2</v>
      </c>
      <c r="L299" s="592">
        <v>2</v>
      </c>
      <c r="M299" s="592">
        <v>0</v>
      </c>
      <c r="N299" s="593">
        <v>81</v>
      </c>
      <c r="O299" s="593">
        <v>0</v>
      </c>
      <c r="P299" s="593">
        <v>193</v>
      </c>
      <c r="Q299" s="593">
        <v>0</v>
      </c>
      <c r="R299" s="593">
        <v>450</v>
      </c>
      <c r="S299" s="593">
        <v>2</v>
      </c>
      <c r="T299" s="593">
        <v>2014</v>
      </c>
      <c r="U299" s="593">
        <v>2014</v>
      </c>
      <c r="V299" s="589"/>
      <c r="W299" s="589"/>
      <c r="X299" s="589"/>
      <c r="Y299" s="589"/>
      <c r="Z299" s="589"/>
      <c r="AA299" s="589"/>
      <c r="AB299" s="589"/>
      <c r="AC299" s="589"/>
      <c r="AD299" s="589"/>
      <c r="AE299" s="589"/>
      <c r="AF299" s="589"/>
      <c r="AG299" s="589"/>
      <c r="AH299" s="589"/>
      <c r="AI299" s="589"/>
      <c r="AJ299" s="589"/>
      <c r="AK299" s="589"/>
      <c r="AL299" s="589"/>
      <c r="AM299" s="589"/>
      <c r="AN299" s="589"/>
      <c r="AO299" s="589"/>
      <c r="AP299" s="589"/>
      <c r="AQ299" s="589"/>
      <c r="AR299" s="589"/>
      <c r="AS299" s="589"/>
    </row>
    <row r="300" spans="1:45" ht="15">
      <c r="A300" s="587" t="s">
        <v>169</v>
      </c>
      <c r="B300" s="587" t="s">
        <v>515</v>
      </c>
      <c r="C300" s="587" t="s">
        <v>812</v>
      </c>
      <c r="D300" s="588">
        <v>2014</v>
      </c>
      <c r="E300" s="587" t="s">
        <v>775</v>
      </c>
      <c r="F300" s="588">
        <v>283</v>
      </c>
      <c r="G300" s="588">
        <v>88</v>
      </c>
      <c r="H300" s="588">
        <v>88</v>
      </c>
      <c r="I300" s="588">
        <v>0</v>
      </c>
      <c r="J300" s="588">
        <v>195</v>
      </c>
      <c r="K300" s="588">
        <v>73</v>
      </c>
      <c r="L300" s="588">
        <v>73</v>
      </c>
      <c r="M300" s="588">
        <v>0</v>
      </c>
      <c r="N300" s="588">
        <v>224</v>
      </c>
      <c r="O300" s="588">
        <v>101</v>
      </c>
      <c r="P300" s="588">
        <v>525</v>
      </c>
      <c r="Q300" s="588">
        <v>496</v>
      </c>
      <c r="R300" s="588">
        <v>1227</v>
      </c>
      <c r="S300" s="588">
        <v>758</v>
      </c>
      <c r="T300" s="588">
        <v>2014</v>
      </c>
      <c r="U300" s="588">
        <v>2014</v>
      </c>
      <c r="V300" s="589"/>
      <c r="W300" s="589"/>
      <c r="X300" s="589"/>
      <c r="Y300" s="589"/>
      <c r="Z300" s="589"/>
      <c r="AA300" s="589"/>
      <c r="AB300" s="589"/>
      <c r="AC300" s="589"/>
      <c r="AD300" s="589"/>
      <c r="AE300" s="589"/>
      <c r="AF300" s="589"/>
      <c r="AG300" s="589"/>
      <c r="AH300" s="589"/>
      <c r="AI300" s="589"/>
      <c r="AJ300" s="589"/>
      <c r="AK300" s="589"/>
      <c r="AL300" s="589"/>
      <c r="AM300" s="589"/>
      <c r="AN300" s="589"/>
      <c r="AO300" s="589"/>
      <c r="AP300" s="589"/>
      <c r="AQ300" s="589"/>
      <c r="AR300" s="589"/>
      <c r="AS300" s="589"/>
    </row>
    <row r="301" spans="1:45" ht="15">
      <c r="A301" s="590" t="s">
        <v>178</v>
      </c>
      <c r="B301" s="591" t="s">
        <v>585</v>
      </c>
      <c r="C301" s="591" t="s">
        <v>812</v>
      </c>
      <c r="D301" s="592">
        <v>2014</v>
      </c>
      <c r="E301" s="591" t="s">
        <v>775</v>
      </c>
      <c r="F301" s="592">
        <v>103</v>
      </c>
      <c r="G301" s="592">
        <v>0</v>
      </c>
      <c r="H301" s="592">
        <v>0</v>
      </c>
      <c r="I301" s="592">
        <v>0</v>
      </c>
      <c r="J301" s="592">
        <v>72</v>
      </c>
      <c r="K301" s="592">
        <v>0</v>
      </c>
      <c r="L301" s="592">
        <v>0</v>
      </c>
      <c r="M301" s="592">
        <v>0</v>
      </c>
      <c r="N301" s="593">
        <v>84</v>
      </c>
      <c r="O301" s="593">
        <v>7</v>
      </c>
      <c r="P301" s="593">
        <v>195</v>
      </c>
      <c r="Q301" s="593">
        <v>0</v>
      </c>
      <c r="R301" s="593">
        <v>454</v>
      </c>
      <c r="S301" s="593">
        <v>7</v>
      </c>
      <c r="T301" s="593">
        <v>2014</v>
      </c>
      <c r="U301" s="593">
        <v>2014</v>
      </c>
      <c r="V301" s="589"/>
      <c r="W301" s="589"/>
      <c r="X301" s="589"/>
      <c r="Y301" s="589"/>
      <c r="Z301" s="589"/>
      <c r="AA301" s="589"/>
      <c r="AB301" s="589"/>
      <c r="AC301" s="589"/>
      <c r="AD301" s="589"/>
      <c r="AE301" s="589"/>
      <c r="AF301" s="589"/>
      <c r="AG301" s="589"/>
      <c r="AH301" s="589"/>
      <c r="AI301" s="589"/>
      <c r="AJ301" s="589"/>
      <c r="AK301" s="589"/>
      <c r="AL301" s="589"/>
      <c r="AM301" s="589"/>
      <c r="AN301" s="589"/>
      <c r="AO301" s="589"/>
      <c r="AP301" s="589"/>
      <c r="AQ301" s="589"/>
      <c r="AR301" s="589"/>
      <c r="AS301" s="589"/>
    </row>
    <row r="302" spans="1:45" ht="15">
      <c r="A302" s="587" t="s">
        <v>159</v>
      </c>
      <c r="B302" s="587" t="s">
        <v>452</v>
      </c>
      <c r="C302" s="587" t="s">
        <v>784</v>
      </c>
      <c r="D302" s="588">
        <v>2014</v>
      </c>
      <c r="E302" s="587" t="s">
        <v>775</v>
      </c>
      <c r="F302" s="588">
        <v>11</v>
      </c>
      <c r="G302" s="588">
        <v>0</v>
      </c>
      <c r="H302" s="588">
        <v>0</v>
      </c>
      <c r="I302" s="588">
        <v>0</v>
      </c>
      <c r="J302" s="588">
        <v>7</v>
      </c>
      <c r="K302" s="588">
        <v>0</v>
      </c>
      <c r="L302" s="588">
        <v>0</v>
      </c>
      <c r="M302" s="588">
        <v>0</v>
      </c>
      <c r="N302" s="588">
        <v>7</v>
      </c>
      <c r="O302" s="588">
        <v>0</v>
      </c>
      <c r="P302" s="588">
        <v>20</v>
      </c>
      <c r="Q302" s="588">
        <v>0</v>
      </c>
      <c r="R302" s="588">
        <v>45</v>
      </c>
      <c r="S302" s="588">
        <v>0</v>
      </c>
      <c r="T302" s="588">
        <v>2014</v>
      </c>
      <c r="U302" s="588">
        <v>2014</v>
      </c>
      <c r="V302" s="589"/>
      <c r="W302" s="589"/>
      <c r="X302" s="589"/>
      <c r="Y302" s="589"/>
      <c r="Z302" s="589"/>
      <c r="AA302" s="589"/>
      <c r="AB302" s="589"/>
      <c r="AC302" s="589"/>
      <c r="AD302" s="589"/>
      <c r="AE302" s="589"/>
      <c r="AF302" s="589"/>
      <c r="AG302" s="589"/>
      <c r="AH302" s="589"/>
      <c r="AI302" s="589"/>
      <c r="AJ302" s="589"/>
      <c r="AK302" s="589"/>
      <c r="AL302" s="589"/>
      <c r="AM302" s="589"/>
      <c r="AN302" s="589"/>
      <c r="AO302" s="589"/>
      <c r="AP302" s="589"/>
      <c r="AQ302" s="589"/>
      <c r="AR302" s="589"/>
      <c r="AS302" s="589"/>
    </row>
    <row r="303" spans="1:45" ht="15">
      <c r="A303" s="590" t="s">
        <v>125</v>
      </c>
      <c r="B303" s="591" t="s">
        <v>246</v>
      </c>
      <c r="C303" s="591" t="s">
        <v>774</v>
      </c>
      <c r="D303" s="592">
        <v>2014</v>
      </c>
      <c r="E303" s="591" t="s">
        <v>775</v>
      </c>
      <c r="F303" s="592">
        <v>317</v>
      </c>
      <c r="G303" s="592">
        <v>0</v>
      </c>
      <c r="H303" s="592">
        <v>0</v>
      </c>
      <c r="I303" s="592">
        <v>0</v>
      </c>
      <c r="J303" s="592">
        <v>180</v>
      </c>
      <c r="K303" s="592">
        <v>0</v>
      </c>
      <c r="L303" s="592">
        <v>0</v>
      </c>
      <c r="M303" s="592">
        <v>0</v>
      </c>
      <c r="N303" s="593">
        <v>192</v>
      </c>
      <c r="O303" s="593">
        <v>4</v>
      </c>
      <c r="P303" s="593">
        <v>417</v>
      </c>
      <c r="Q303" s="593">
        <v>2</v>
      </c>
      <c r="R303" s="593">
        <v>1106</v>
      </c>
      <c r="S303" s="593">
        <v>6</v>
      </c>
      <c r="T303" s="593">
        <v>2015</v>
      </c>
      <c r="U303" s="593">
        <v>2015</v>
      </c>
      <c r="V303" s="589"/>
      <c r="W303" s="589"/>
      <c r="X303" s="589"/>
      <c r="Y303" s="589"/>
      <c r="Z303" s="589"/>
      <c r="AA303" s="589"/>
      <c r="AB303" s="589"/>
      <c r="AC303" s="589"/>
      <c r="AD303" s="589"/>
      <c r="AE303" s="589"/>
      <c r="AF303" s="589"/>
      <c r="AG303" s="589"/>
      <c r="AH303" s="589"/>
      <c r="AI303" s="589"/>
      <c r="AJ303" s="589"/>
      <c r="AK303" s="589"/>
      <c r="AL303" s="589"/>
      <c r="AM303" s="589"/>
      <c r="AN303" s="589"/>
      <c r="AO303" s="589"/>
      <c r="AP303" s="589"/>
      <c r="AQ303" s="589"/>
      <c r="AR303" s="589"/>
      <c r="AS303" s="589"/>
    </row>
    <row r="304" spans="1:45" ht="15">
      <c r="A304" s="587" t="s">
        <v>201</v>
      </c>
      <c r="B304" s="587" t="s">
        <v>740</v>
      </c>
      <c r="C304" s="587" t="s">
        <v>812</v>
      </c>
      <c r="D304" s="588">
        <v>2014</v>
      </c>
      <c r="E304" s="587" t="s">
        <v>775</v>
      </c>
      <c r="F304" s="588">
        <v>246</v>
      </c>
      <c r="G304" s="588">
        <v>44</v>
      </c>
      <c r="H304" s="588">
        <v>0</v>
      </c>
      <c r="I304" s="588">
        <v>44</v>
      </c>
      <c r="J304" s="588">
        <v>168</v>
      </c>
      <c r="K304" s="588">
        <v>37</v>
      </c>
      <c r="L304" s="588">
        <v>0</v>
      </c>
      <c r="M304" s="588">
        <v>37</v>
      </c>
      <c r="N304" s="588">
        <v>189</v>
      </c>
      <c r="O304" s="588">
        <v>12</v>
      </c>
      <c r="P304" s="588">
        <v>412</v>
      </c>
      <c r="Q304" s="588">
        <v>58</v>
      </c>
      <c r="R304" s="588">
        <v>1015</v>
      </c>
      <c r="S304" s="588">
        <v>151</v>
      </c>
      <c r="T304" s="588">
        <v>2014</v>
      </c>
      <c r="U304" s="588">
        <v>2014</v>
      </c>
      <c r="V304" s="589"/>
      <c r="W304" s="589"/>
      <c r="X304" s="589"/>
      <c r="Y304" s="589"/>
      <c r="Z304" s="589"/>
      <c r="AA304" s="589"/>
      <c r="AB304" s="589"/>
      <c r="AC304" s="589"/>
      <c r="AD304" s="589"/>
      <c r="AE304" s="589"/>
      <c r="AF304" s="589"/>
      <c r="AG304" s="589"/>
      <c r="AH304" s="589"/>
      <c r="AI304" s="589"/>
      <c r="AJ304" s="589"/>
      <c r="AK304" s="589"/>
      <c r="AL304" s="589"/>
      <c r="AM304" s="589"/>
      <c r="AN304" s="589"/>
      <c r="AO304" s="589"/>
      <c r="AP304" s="589"/>
      <c r="AQ304" s="589"/>
      <c r="AR304" s="589"/>
      <c r="AS304" s="589"/>
    </row>
    <row r="305" spans="1:45" ht="15">
      <c r="A305" s="590" t="s">
        <v>179</v>
      </c>
      <c r="B305" s="591" t="s">
        <v>607</v>
      </c>
      <c r="C305" s="591" t="s">
        <v>855</v>
      </c>
      <c r="D305" s="592">
        <v>2014</v>
      </c>
      <c r="E305" s="591" t="s">
        <v>775</v>
      </c>
      <c r="F305" s="592">
        <v>343</v>
      </c>
      <c r="G305" s="592">
        <v>48</v>
      </c>
      <c r="H305" s="592">
        <v>48</v>
      </c>
      <c r="I305" s="592">
        <v>0</v>
      </c>
      <c r="J305" s="592">
        <v>260</v>
      </c>
      <c r="K305" s="592">
        <v>18</v>
      </c>
      <c r="L305" s="592">
        <v>18</v>
      </c>
      <c r="M305" s="592">
        <v>0</v>
      </c>
      <c r="N305" s="593">
        <v>241</v>
      </c>
      <c r="O305" s="593">
        <v>0</v>
      </c>
      <c r="P305" s="593">
        <v>530</v>
      </c>
      <c r="Q305" s="593">
        <v>691</v>
      </c>
      <c r="R305" s="593">
        <v>1374</v>
      </c>
      <c r="S305" s="593">
        <v>757</v>
      </c>
      <c r="T305" s="593">
        <v>2014</v>
      </c>
      <c r="U305" s="593">
        <v>2013</v>
      </c>
      <c r="V305" s="589"/>
      <c r="W305" s="589"/>
      <c r="X305" s="589"/>
      <c r="Y305" s="589"/>
      <c r="Z305" s="589"/>
      <c r="AA305" s="589"/>
      <c r="AB305" s="589"/>
      <c r="AC305" s="589"/>
      <c r="AD305" s="589"/>
      <c r="AE305" s="589"/>
      <c r="AF305" s="589"/>
      <c r="AG305" s="589"/>
      <c r="AH305" s="589"/>
      <c r="AI305" s="589"/>
      <c r="AJ305" s="589"/>
      <c r="AK305" s="589"/>
      <c r="AL305" s="589"/>
      <c r="AM305" s="589"/>
      <c r="AN305" s="589"/>
      <c r="AO305" s="589"/>
      <c r="AP305" s="589"/>
      <c r="AQ305" s="589"/>
      <c r="AR305" s="589"/>
      <c r="AS305" s="589"/>
    </row>
    <row r="306" spans="1:45" ht="15">
      <c r="A306" s="587" t="s">
        <v>153</v>
      </c>
      <c r="B306" s="587" t="s">
        <v>429</v>
      </c>
      <c r="C306" s="587" t="s">
        <v>812</v>
      </c>
      <c r="D306" s="588">
        <v>2014</v>
      </c>
      <c r="E306" s="587" t="s">
        <v>775</v>
      </c>
      <c r="F306" s="588">
        <v>246</v>
      </c>
      <c r="G306" s="588">
        <v>0</v>
      </c>
      <c r="H306" s="588">
        <v>0</v>
      </c>
      <c r="I306" s="588">
        <v>0</v>
      </c>
      <c r="J306" s="588">
        <v>144</v>
      </c>
      <c r="K306" s="588">
        <v>0</v>
      </c>
      <c r="L306" s="588">
        <v>0</v>
      </c>
      <c r="M306" s="588">
        <v>0</v>
      </c>
      <c r="N306" s="588">
        <v>155</v>
      </c>
      <c r="O306" s="588">
        <v>1</v>
      </c>
      <c r="P306" s="588">
        <v>363</v>
      </c>
      <c r="Q306" s="588">
        <v>325</v>
      </c>
      <c r="R306" s="588">
        <v>908</v>
      </c>
      <c r="S306" s="588">
        <v>326</v>
      </c>
      <c r="T306" s="588">
        <v>2014</v>
      </c>
      <c r="U306" s="588">
        <v>2014</v>
      </c>
      <c r="V306" s="589"/>
      <c r="W306" s="589"/>
      <c r="X306" s="589"/>
      <c r="Y306" s="589"/>
      <c r="Z306" s="589"/>
      <c r="AA306" s="589"/>
      <c r="AB306" s="589"/>
      <c r="AC306" s="589"/>
      <c r="AD306" s="589"/>
      <c r="AE306" s="589"/>
      <c r="AF306" s="589"/>
      <c r="AG306" s="589"/>
      <c r="AH306" s="589"/>
      <c r="AI306" s="589"/>
      <c r="AJ306" s="589"/>
      <c r="AK306" s="589"/>
      <c r="AL306" s="589"/>
      <c r="AM306" s="589"/>
      <c r="AN306" s="589"/>
      <c r="AO306" s="589"/>
      <c r="AP306" s="589"/>
      <c r="AQ306" s="589"/>
      <c r="AR306" s="589"/>
      <c r="AS306" s="589"/>
    </row>
    <row r="307" spans="1:45" ht="15">
      <c r="A307" s="590" t="s">
        <v>136</v>
      </c>
      <c r="B307" s="591" t="s">
        <v>284</v>
      </c>
      <c r="C307" s="591" t="s">
        <v>774</v>
      </c>
      <c r="D307" s="592">
        <v>2014</v>
      </c>
      <c r="E307" s="591" t="s">
        <v>775</v>
      </c>
      <c r="F307" s="592">
        <v>604</v>
      </c>
      <c r="G307" s="592">
        <v>0</v>
      </c>
      <c r="H307" s="592">
        <v>0</v>
      </c>
      <c r="I307" s="592">
        <v>0</v>
      </c>
      <c r="J307" s="592">
        <v>355</v>
      </c>
      <c r="K307" s="592">
        <v>0</v>
      </c>
      <c r="L307" s="592">
        <v>0</v>
      </c>
      <c r="M307" s="592">
        <v>0</v>
      </c>
      <c r="N307" s="593">
        <v>381</v>
      </c>
      <c r="O307" s="593">
        <v>0</v>
      </c>
      <c r="P307" s="593">
        <v>895</v>
      </c>
      <c r="Q307" s="593">
        <v>0</v>
      </c>
      <c r="R307" s="593">
        <v>2235</v>
      </c>
      <c r="S307" s="593">
        <v>0</v>
      </c>
      <c r="T307" s="593">
        <v>2015</v>
      </c>
      <c r="U307" s="593">
        <v>2015</v>
      </c>
      <c r="V307" s="589"/>
      <c r="W307" s="589"/>
      <c r="X307" s="589"/>
      <c r="Y307" s="589"/>
      <c r="Z307" s="589"/>
      <c r="AA307" s="589"/>
      <c r="AB307" s="589"/>
      <c r="AC307" s="589"/>
      <c r="AD307" s="589"/>
      <c r="AE307" s="589"/>
      <c r="AF307" s="589"/>
      <c r="AG307" s="589"/>
      <c r="AH307" s="589"/>
      <c r="AI307" s="589"/>
      <c r="AJ307" s="589"/>
      <c r="AK307" s="589"/>
      <c r="AL307" s="589"/>
      <c r="AM307" s="589"/>
      <c r="AN307" s="589"/>
      <c r="AO307" s="589"/>
      <c r="AP307" s="589"/>
      <c r="AQ307" s="589"/>
      <c r="AR307" s="589"/>
      <c r="AS307" s="589"/>
    </row>
    <row r="308" spans="1:45" ht="15">
      <c r="A308" s="587" t="s">
        <v>191</v>
      </c>
      <c r="B308" s="587" t="s">
        <v>684</v>
      </c>
      <c r="C308" s="587" t="s">
        <v>784</v>
      </c>
      <c r="D308" s="588">
        <v>2014</v>
      </c>
      <c r="E308" s="587" t="s">
        <v>775</v>
      </c>
      <c r="F308" s="588">
        <v>10</v>
      </c>
      <c r="G308" s="588">
        <v>0</v>
      </c>
      <c r="H308" s="588">
        <v>0</v>
      </c>
      <c r="I308" s="588">
        <v>0</v>
      </c>
      <c r="J308" s="588">
        <v>6</v>
      </c>
      <c r="K308" s="588">
        <v>0</v>
      </c>
      <c r="L308" s="588">
        <v>0</v>
      </c>
      <c r="M308" s="588">
        <v>0</v>
      </c>
      <c r="N308" s="588">
        <v>6</v>
      </c>
      <c r="O308" s="588">
        <v>0</v>
      </c>
      <c r="P308" s="588">
        <v>16</v>
      </c>
      <c r="Q308" s="588">
        <v>3</v>
      </c>
      <c r="R308" s="588">
        <v>38</v>
      </c>
      <c r="S308" s="588">
        <v>3</v>
      </c>
      <c r="T308" s="588">
        <v>2014</v>
      </c>
      <c r="U308" s="588">
        <v>2014</v>
      </c>
      <c r="V308" s="589"/>
      <c r="W308" s="589"/>
      <c r="X308" s="589"/>
      <c r="Y308" s="589"/>
      <c r="Z308" s="589"/>
      <c r="AA308" s="589"/>
      <c r="AB308" s="589"/>
      <c r="AC308" s="589"/>
      <c r="AD308" s="589"/>
      <c r="AE308" s="589"/>
      <c r="AF308" s="589"/>
      <c r="AG308" s="589"/>
      <c r="AH308" s="589"/>
      <c r="AI308" s="589"/>
      <c r="AJ308" s="589"/>
      <c r="AK308" s="589"/>
      <c r="AL308" s="589"/>
      <c r="AM308" s="589"/>
      <c r="AN308" s="589"/>
      <c r="AO308" s="589"/>
      <c r="AP308" s="589"/>
      <c r="AQ308" s="589"/>
      <c r="AR308" s="589"/>
      <c r="AS308" s="589"/>
    </row>
    <row r="309" spans="1:45" ht="15">
      <c r="A309" s="590" t="s">
        <v>153</v>
      </c>
      <c r="B309" s="591" t="s">
        <v>430</v>
      </c>
      <c r="C309" s="591" t="s">
        <v>812</v>
      </c>
      <c r="D309" s="592">
        <v>2014</v>
      </c>
      <c r="E309" s="591" t="s">
        <v>775</v>
      </c>
      <c r="F309" s="592">
        <v>217</v>
      </c>
      <c r="G309" s="592">
        <v>0</v>
      </c>
      <c r="H309" s="592">
        <v>0</v>
      </c>
      <c r="I309" s="592">
        <v>0</v>
      </c>
      <c r="J309" s="592">
        <v>129</v>
      </c>
      <c r="K309" s="592">
        <v>0</v>
      </c>
      <c r="L309" s="592">
        <v>0</v>
      </c>
      <c r="M309" s="592">
        <v>0</v>
      </c>
      <c r="N309" s="593">
        <v>138</v>
      </c>
      <c r="O309" s="593">
        <v>0</v>
      </c>
      <c r="P309" s="593">
        <v>347</v>
      </c>
      <c r="Q309" s="593">
        <v>481</v>
      </c>
      <c r="R309" s="593">
        <v>831</v>
      </c>
      <c r="S309" s="593">
        <v>481</v>
      </c>
      <c r="T309" s="593">
        <v>2014</v>
      </c>
      <c r="U309" s="593">
        <v>2014</v>
      </c>
      <c r="V309" s="589"/>
      <c r="W309" s="589"/>
      <c r="X309" s="589"/>
      <c r="Y309" s="589"/>
      <c r="Z309" s="589"/>
      <c r="AA309" s="589"/>
      <c r="AB309" s="589"/>
      <c r="AC309" s="589"/>
      <c r="AD309" s="589"/>
      <c r="AE309" s="589"/>
      <c r="AF309" s="589"/>
      <c r="AG309" s="589"/>
      <c r="AH309" s="589"/>
      <c r="AI309" s="589"/>
      <c r="AJ309" s="589"/>
      <c r="AK309" s="589"/>
      <c r="AL309" s="589"/>
      <c r="AM309" s="589"/>
      <c r="AN309" s="589"/>
      <c r="AO309" s="589"/>
      <c r="AP309" s="589"/>
      <c r="AQ309" s="589"/>
      <c r="AR309" s="589"/>
      <c r="AS309" s="589"/>
    </row>
    <row r="310" spans="1:45" ht="15">
      <c r="A310" s="587" t="s">
        <v>153</v>
      </c>
      <c r="B310" s="587" t="s">
        <v>431</v>
      </c>
      <c r="C310" s="587" t="s">
        <v>812</v>
      </c>
      <c r="D310" s="588">
        <v>2014</v>
      </c>
      <c r="E310" s="587" t="s">
        <v>775</v>
      </c>
      <c r="F310" s="588">
        <v>19</v>
      </c>
      <c r="G310" s="588">
        <v>0</v>
      </c>
      <c r="H310" s="588">
        <v>0</v>
      </c>
      <c r="I310" s="588">
        <v>0</v>
      </c>
      <c r="J310" s="588">
        <v>12</v>
      </c>
      <c r="K310" s="588">
        <v>18</v>
      </c>
      <c r="L310" s="588">
        <v>18</v>
      </c>
      <c r="M310" s="588">
        <v>0</v>
      </c>
      <c r="N310" s="588">
        <v>13</v>
      </c>
      <c r="O310" s="588">
        <v>19</v>
      </c>
      <c r="P310" s="588">
        <v>33</v>
      </c>
      <c r="Q310" s="588">
        <v>233</v>
      </c>
      <c r="R310" s="588">
        <v>77</v>
      </c>
      <c r="S310" s="588">
        <v>270</v>
      </c>
      <c r="T310" s="588">
        <v>2014</v>
      </c>
      <c r="U310" s="588">
        <v>2014</v>
      </c>
      <c r="V310" s="589"/>
      <c r="W310" s="589"/>
      <c r="X310" s="589"/>
      <c r="Y310" s="589"/>
      <c r="Z310" s="589"/>
      <c r="AA310" s="589"/>
      <c r="AB310" s="589"/>
      <c r="AC310" s="589"/>
      <c r="AD310" s="589"/>
      <c r="AE310" s="589"/>
      <c r="AF310" s="589"/>
      <c r="AG310" s="589"/>
      <c r="AH310" s="589"/>
      <c r="AI310" s="589"/>
      <c r="AJ310" s="589"/>
      <c r="AK310" s="589"/>
      <c r="AL310" s="589"/>
      <c r="AM310" s="589"/>
      <c r="AN310" s="589"/>
      <c r="AO310" s="589"/>
      <c r="AP310" s="589"/>
      <c r="AQ310" s="589"/>
      <c r="AR310" s="589"/>
      <c r="AS310" s="589"/>
    </row>
    <row r="311" spans="1:45" ht="15">
      <c r="A311" s="590" t="s">
        <v>202</v>
      </c>
      <c r="B311" s="591" t="s">
        <v>742</v>
      </c>
      <c r="C311" s="591" t="s">
        <v>799</v>
      </c>
      <c r="D311" s="592">
        <v>2014</v>
      </c>
      <c r="E311" s="591" t="s">
        <v>775</v>
      </c>
      <c r="F311" s="592">
        <v>1316</v>
      </c>
      <c r="G311" s="592">
        <v>0</v>
      </c>
      <c r="H311" s="592">
        <v>0</v>
      </c>
      <c r="I311" s="592">
        <v>0</v>
      </c>
      <c r="J311" s="592">
        <v>923</v>
      </c>
      <c r="K311" s="592">
        <v>0</v>
      </c>
      <c r="L311" s="592">
        <v>0</v>
      </c>
      <c r="M311" s="592">
        <v>0</v>
      </c>
      <c r="N311" s="593">
        <v>1111</v>
      </c>
      <c r="O311" s="593">
        <v>42</v>
      </c>
      <c r="P311" s="593">
        <v>2627</v>
      </c>
      <c r="Q311" s="593">
        <v>20</v>
      </c>
      <c r="R311" s="593">
        <v>5977</v>
      </c>
      <c r="S311" s="593">
        <v>62</v>
      </c>
      <c r="T311" s="593">
        <v>2014</v>
      </c>
      <c r="U311" s="593">
        <v>2014</v>
      </c>
      <c r="V311" s="589"/>
      <c r="W311" s="589"/>
      <c r="X311" s="589"/>
      <c r="Y311" s="589"/>
      <c r="Z311" s="589"/>
      <c r="AA311" s="589"/>
      <c r="AB311" s="589"/>
      <c r="AC311" s="589"/>
      <c r="AD311" s="589"/>
      <c r="AE311" s="589"/>
      <c r="AF311" s="589"/>
      <c r="AG311" s="589"/>
      <c r="AH311" s="589"/>
      <c r="AI311" s="589"/>
      <c r="AJ311" s="589"/>
      <c r="AK311" s="589"/>
      <c r="AL311" s="589"/>
      <c r="AM311" s="589"/>
      <c r="AN311" s="589"/>
      <c r="AO311" s="589"/>
      <c r="AP311" s="589"/>
      <c r="AQ311" s="589"/>
      <c r="AR311" s="589"/>
      <c r="AS311" s="589"/>
    </row>
    <row r="312" spans="1:45" ht="15">
      <c r="A312" s="587" t="s">
        <v>169</v>
      </c>
      <c r="B312" s="587" t="s">
        <v>517</v>
      </c>
      <c r="C312" s="587" t="s">
        <v>812</v>
      </c>
      <c r="D312" s="588">
        <v>2014</v>
      </c>
      <c r="E312" s="587" t="s">
        <v>775</v>
      </c>
      <c r="F312" s="588">
        <v>1</v>
      </c>
      <c r="G312" s="588">
        <v>0</v>
      </c>
      <c r="H312" s="588">
        <v>0</v>
      </c>
      <c r="I312" s="588">
        <v>0</v>
      </c>
      <c r="J312" s="588">
        <v>1</v>
      </c>
      <c r="K312" s="588">
        <v>0</v>
      </c>
      <c r="L312" s="588">
        <v>0</v>
      </c>
      <c r="M312" s="588">
        <v>0</v>
      </c>
      <c r="N312" s="588">
        <v>0</v>
      </c>
      <c r="O312" s="588">
        <v>0</v>
      </c>
      <c r="P312" s="588">
        <v>0</v>
      </c>
      <c r="Q312" s="588">
        <v>18</v>
      </c>
      <c r="R312" s="588">
        <v>2</v>
      </c>
      <c r="S312" s="588">
        <v>18</v>
      </c>
      <c r="T312" s="588">
        <v>2014</v>
      </c>
      <c r="U312" s="588">
        <v>2014</v>
      </c>
      <c r="V312" s="589"/>
      <c r="W312" s="589"/>
      <c r="X312" s="589"/>
      <c r="Y312" s="589"/>
      <c r="Z312" s="589"/>
      <c r="AA312" s="589"/>
      <c r="AB312" s="589"/>
      <c r="AC312" s="589"/>
      <c r="AD312" s="589"/>
      <c r="AE312" s="589"/>
      <c r="AF312" s="589"/>
      <c r="AG312" s="589"/>
      <c r="AH312" s="589"/>
      <c r="AI312" s="589"/>
      <c r="AJ312" s="589"/>
      <c r="AK312" s="589"/>
      <c r="AL312" s="589"/>
      <c r="AM312" s="589"/>
      <c r="AN312" s="589"/>
      <c r="AO312" s="589"/>
      <c r="AP312" s="589"/>
      <c r="AQ312" s="589"/>
      <c r="AR312" s="589"/>
      <c r="AS312" s="589"/>
    </row>
    <row r="313" spans="1:45" ht="15">
      <c r="A313" s="590" t="s">
        <v>146</v>
      </c>
      <c r="B313" s="591" t="s">
        <v>321</v>
      </c>
      <c r="C313" s="591" t="s">
        <v>812</v>
      </c>
      <c r="D313" s="592">
        <v>2014</v>
      </c>
      <c r="E313" s="591" t="s">
        <v>775</v>
      </c>
      <c r="F313" s="592">
        <v>57</v>
      </c>
      <c r="G313" s="592">
        <v>0</v>
      </c>
      <c r="H313" s="592">
        <v>0</v>
      </c>
      <c r="I313" s="592">
        <v>0</v>
      </c>
      <c r="J313" s="592">
        <v>35</v>
      </c>
      <c r="K313" s="592">
        <v>0</v>
      </c>
      <c r="L313" s="592">
        <v>0</v>
      </c>
      <c r="M313" s="592">
        <v>0</v>
      </c>
      <c r="N313" s="593">
        <v>36</v>
      </c>
      <c r="O313" s="593">
        <v>0</v>
      </c>
      <c r="P313" s="593">
        <v>105</v>
      </c>
      <c r="Q313" s="593">
        <v>0</v>
      </c>
      <c r="R313" s="593">
        <v>233</v>
      </c>
      <c r="S313" s="593">
        <v>0</v>
      </c>
      <c r="T313" s="593">
        <v>2014</v>
      </c>
      <c r="U313" s="593">
        <v>2014</v>
      </c>
      <c r="V313" s="589"/>
      <c r="W313" s="589"/>
      <c r="X313" s="589"/>
      <c r="Y313" s="589"/>
      <c r="Z313" s="589"/>
      <c r="AA313" s="589"/>
      <c r="AB313" s="589"/>
      <c r="AC313" s="589"/>
      <c r="AD313" s="589"/>
      <c r="AE313" s="589"/>
      <c r="AF313" s="589"/>
      <c r="AG313" s="589"/>
      <c r="AH313" s="589"/>
      <c r="AI313" s="589"/>
      <c r="AJ313" s="589"/>
      <c r="AK313" s="589"/>
      <c r="AL313" s="589"/>
      <c r="AM313" s="589"/>
      <c r="AN313" s="589"/>
      <c r="AO313" s="589"/>
      <c r="AP313" s="589"/>
      <c r="AQ313" s="589"/>
      <c r="AR313" s="589"/>
      <c r="AS313" s="589"/>
    </row>
    <row r="314" spans="1:45" ht="15">
      <c r="A314" s="587" t="s">
        <v>153</v>
      </c>
      <c r="B314" s="587" t="s">
        <v>433</v>
      </c>
      <c r="C314" s="587" t="s">
        <v>812</v>
      </c>
      <c r="D314" s="588">
        <v>2014</v>
      </c>
      <c r="E314" s="587" t="s">
        <v>775</v>
      </c>
      <c r="F314" s="588">
        <v>228</v>
      </c>
      <c r="G314" s="588">
        <v>0</v>
      </c>
      <c r="H314" s="588">
        <v>0</v>
      </c>
      <c r="I314" s="588">
        <v>0</v>
      </c>
      <c r="J314" s="588">
        <v>135</v>
      </c>
      <c r="K314" s="588">
        <v>0</v>
      </c>
      <c r="L314" s="588">
        <v>0</v>
      </c>
      <c r="M314" s="588">
        <v>0</v>
      </c>
      <c r="N314" s="588">
        <v>146</v>
      </c>
      <c r="O314" s="588">
        <v>71</v>
      </c>
      <c r="P314" s="588">
        <v>369</v>
      </c>
      <c r="Q314" s="588">
        <v>0</v>
      </c>
      <c r="R314" s="588">
        <v>878</v>
      </c>
      <c r="S314" s="588">
        <v>71</v>
      </c>
      <c r="T314" s="588">
        <v>2014</v>
      </c>
      <c r="U314" s="588">
        <v>2014</v>
      </c>
      <c r="V314" s="589"/>
      <c r="W314" s="589"/>
      <c r="X314" s="589"/>
      <c r="Y314" s="589"/>
      <c r="Z314" s="589"/>
      <c r="AA314" s="589"/>
      <c r="AB314" s="589"/>
      <c r="AC314" s="589"/>
      <c r="AD314" s="589"/>
      <c r="AE314" s="589"/>
      <c r="AF314" s="589"/>
      <c r="AG314" s="589"/>
      <c r="AH314" s="589"/>
      <c r="AI314" s="589"/>
      <c r="AJ314" s="589"/>
      <c r="AK314" s="589"/>
      <c r="AL314" s="589"/>
      <c r="AM314" s="589"/>
      <c r="AN314" s="589"/>
      <c r="AO314" s="589"/>
      <c r="AP314" s="589"/>
      <c r="AQ314" s="589"/>
      <c r="AR314" s="589"/>
      <c r="AS314" s="589"/>
    </row>
    <row r="315" spans="1:45" ht="15">
      <c r="A315" s="590" t="s">
        <v>173</v>
      </c>
      <c r="B315" s="591" t="s">
        <v>555</v>
      </c>
      <c r="C315" s="591" t="s">
        <v>812</v>
      </c>
      <c r="D315" s="592">
        <v>2014</v>
      </c>
      <c r="E315" s="591" t="s">
        <v>775</v>
      </c>
      <c r="F315" s="592">
        <v>621</v>
      </c>
      <c r="G315" s="592">
        <v>0</v>
      </c>
      <c r="H315" s="592">
        <v>0</v>
      </c>
      <c r="I315" s="592">
        <v>0</v>
      </c>
      <c r="J315" s="592">
        <v>415</v>
      </c>
      <c r="K315" s="592">
        <v>0</v>
      </c>
      <c r="L315" s="592">
        <v>0</v>
      </c>
      <c r="M315" s="592">
        <v>0</v>
      </c>
      <c r="N315" s="593">
        <v>461</v>
      </c>
      <c r="O315" s="593">
        <v>4</v>
      </c>
      <c r="P315" s="593">
        <v>1038</v>
      </c>
      <c r="Q315" s="593">
        <v>307</v>
      </c>
      <c r="R315" s="593">
        <v>2535</v>
      </c>
      <c r="S315" s="593">
        <v>311</v>
      </c>
      <c r="T315" s="593">
        <v>2014</v>
      </c>
      <c r="U315" s="593">
        <v>2014</v>
      </c>
      <c r="V315" s="589"/>
      <c r="W315" s="589"/>
      <c r="X315" s="589"/>
      <c r="Y315" s="589"/>
      <c r="Z315" s="589"/>
      <c r="AA315" s="589"/>
      <c r="AB315" s="589"/>
      <c r="AC315" s="589"/>
      <c r="AD315" s="589"/>
      <c r="AE315" s="589"/>
      <c r="AF315" s="589"/>
      <c r="AG315" s="589"/>
      <c r="AH315" s="589"/>
      <c r="AI315" s="589"/>
      <c r="AJ315" s="589"/>
      <c r="AK315" s="589"/>
      <c r="AL315" s="589"/>
      <c r="AM315" s="589"/>
      <c r="AN315" s="589"/>
      <c r="AO315" s="589"/>
      <c r="AP315" s="589"/>
      <c r="AQ315" s="589"/>
      <c r="AR315" s="589"/>
      <c r="AS315" s="589"/>
    </row>
    <row r="316" spans="1:45" ht="15">
      <c r="A316" s="587" t="s">
        <v>144</v>
      </c>
      <c r="B316" s="587" t="s">
        <v>306</v>
      </c>
      <c r="C316" s="587" t="s">
        <v>784</v>
      </c>
      <c r="D316" s="588">
        <v>2014</v>
      </c>
      <c r="E316" s="587" t="s">
        <v>775</v>
      </c>
      <c r="F316" s="588">
        <v>15</v>
      </c>
      <c r="G316" s="588">
        <v>0</v>
      </c>
      <c r="H316" s="588">
        <v>0</v>
      </c>
      <c r="I316" s="588">
        <v>0</v>
      </c>
      <c r="J316" s="588">
        <v>11</v>
      </c>
      <c r="K316" s="588">
        <v>0</v>
      </c>
      <c r="L316" s="588">
        <v>0</v>
      </c>
      <c r="M316" s="588">
        <v>0</v>
      </c>
      <c r="N316" s="588">
        <v>11</v>
      </c>
      <c r="O316" s="588">
        <v>0</v>
      </c>
      <c r="P316" s="588">
        <v>26</v>
      </c>
      <c r="Q316" s="588">
        <v>0</v>
      </c>
      <c r="R316" s="588">
        <v>63</v>
      </c>
      <c r="S316" s="588">
        <v>0</v>
      </c>
      <c r="T316" s="588">
        <v>2014</v>
      </c>
      <c r="U316" s="588">
        <v>2014</v>
      </c>
      <c r="V316" s="589"/>
      <c r="W316" s="589"/>
      <c r="X316" s="589"/>
      <c r="Y316" s="589"/>
      <c r="Z316" s="589"/>
      <c r="AA316" s="589"/>
      <c r="AB316" s="589"/>
      <c r="AC316" s="589"/>
      <c r="AD316" s="589"/>
      <c r="AE316" s="589"/>
      <c r="AF316" s="589"/>
      <c r="AG316" s="589"/>
      <c r="AH316" s="589"/>
      <c r="AI316" s="589"/>
      <c r="AJ316" s="589"/>
      <c r="AK316" s="589"/>
      <c r="AL316" s="589"/>
      <c r="AM316" s="589"/>
      <c r="AN316" s="589"/>
      <c r="AO316" s="589"/>
      <c r="AP316" s="589"/>
      <c r="AQ316" s="589"/>
      <c r="AR316" s="589"/>
      <c r="AS316" s="589"/>
    </row>
    <row r="317" spans="1:45" ht="15">
      <c r="A317" s="590" t="s">
        <v>193</v>
      </c>
      <c r="B317" s="591" t="s">
        <v>702</v>
      </c>
      <c r="C317" s="591" t="s">
        <v>774</v>
      </c>
      <c r="D317" s="592">
        <v>2014</v>
      </c>
      <c r="E317" s="591" t="s">
        <v>775</v>
      </c>
      <c r="F317" s="592">
        <v>120</v>
      </c>
      <c r="G317" s="592">
        <v>0</v>
      </c>
      <c r="H317" s="592">
        <v>0</v>
      </c>
      <c r="I317" s="592">
        <v>0</v>
      </c>
      <c r="J317" s="592">
        <v>65</v>
      </c>
      <c r="K317" s="592">
        <v>0</v>
      </c>
      <c r="L317" s="592">
        <v>0</v>
      </c>
      <c r="M317" s="592">
        <v>0</v>
      </c>
      <c r="N317" s="593">
        <v>67</v>
      </c>
      <c r="O317" s="593">
        <v>1</v>
      </c>
      <c r="P317" s="593">
        <v>188</v>
      </c>
      <c r="Q317" s="593">
        <v>9</v>
      </c>
      <c r="R317" s="593">
        <v>440</v>
      </c>
      <c r="S317" s="593">
        <v>10</v>
      </c>
      <c r="T317" s="593">
        <v>2015</v>
      </c>
      <c r="U317" s="593">
        <v>2015</v>
      </c>
      <c r="V317" s="589"/>
      <c r="W317" s="589"/>
      <c r="X317" s="589"/>
      <c r="Y317" s="589"/>
      <c r="Z317" s="589"/>
      <c r="AA317" s="589"/>
      <c r="AB317" s="589"/>
      <c r="AC317" s="589"/>
      <c r="AD317" s="589"/>
      <c r="AE317" s="589"/>
      <c r="AF317" s="589"/>
      <c r="AG317" s="589"/>
      <c r="AH317" s="589"/>
      <c r="AI317" s="589"/>
      <c r="AJ317" s="589"/>
      <c r="AK317" s="589"/>
      <c r="AL317" s="589"/>
      <c r="AM317" s="589"/>
      <c r="AN317" s="589"/>
      <c r="AO317" s="589"/>
      <c r="AP317" s="589"/>
      <c r="AQ317" s="589"/>
      <c r="AR317" s="589"/>
      <c r="AS317" s="589"/>
    </row>
    <row r="318" spans="1:45" ht="15">
      <c r="A318" s="587" t="s">
        <v>202</v>
      </c>
      <c r="B318" s="587" t="s">
        <v>743</v>
      </c>
      <c r="C318" s="587" t="s">
        <v>799</v>
      </c>
      <c r="D318" s="588">
        <v>2014</v>
      </c>
      <c r="E318" s="587" t="s">
        <v>775</v>
      </c>
      <c r="F318" s="588">
        <v>76</v>
      </c>
      <c r="G318" s="588">
        <v>0</v>
      </c>
      <c r="H318" s="588">
        <v>0</v>
      </c>
      <c r="I318" s="588">
        <v>0</v>
      </c>
      <c r="J318" s="588">
        <v>54</v>
      </c>
      <c r="K318" s="588">
        <v>0</v>
      </c>
      <c r="L318" s="588">
        <v>0</v>
      </c>
      <c r="M318" s="588">
        <v>0</v>
      </c>
      <c r="N318" s="588">
        <v>59</v>
      </c>
      <c r="O318" s="588">
        <v>0</v>
      </c>
      <c r="P318" s="588">
        <v>130</v>
      </c>
      <c r="Q318" s="588">
        <v>0</v>
      </c>
      <c r="R318" s="588">
        <v>319</v>
      </c>
      <c r="S318" s="588">
        <v>0</v>
      </c>
      <c r="T318" s="588">
        <v>2014</v>
      </c>
      <c r="U318" s="588">
        <v>2014</v>
      </c>
      <c r="V318" s="589"/>
      <c r="W318" s="589"/>
      <c r="X318" s="589"/>
      <c r="Y318" s="589"/>
      <c r="Z318" s="589"/>
      <c r="AA318" s="589"/>
      <c r="AB318" s="589"/>
      <c r="AC318" s="589"/>
      <c r="AD318" s="589"/>
      <c r="AE318" s="589"/>
      <c r="AF318" s="589"/>
      <c r="AG318" s="589"/>
      <c r="AH318" s="589"/>
      <c r="AI318" s="589"/>
      <c r="AJ318" s="589"/>
      <c r="AK318" s="589"/>
      <c r="AL318" s="589"/>
      <c r="AM318" s="589"/>
      <c r="AN318" s="589"/>
      <c r="AO318" s="589"/>
      <c r="AP318" s="589"/>
      <c r="AQ318" s="589"/>
      <c r="AR318" s="589"/>
      <c r="AS318" s="589"/>
    </row>
    <row r="319" spans="1:45" ht="15">
      <c r="A319" s="590" t="s">
        <v>202</v>
      </c>
      <c r="B319" s="591" t="s">
        <v>744</v>
      </c>
      <c r="C319" s="591" t="s">
        <v>799</v>
      </c>
      <c r="D319" s="592">
        <v>2014</v>
      </c>
      <c r="E319" s="591" t="s">
        <v>775</v>
      </c>
      <c r="F319" s="592">
        <v>390</v>
      </c>
      <c r="G319" s="592">
        <v>0</v>
      </c>
      <c r="H319" s="592">
        <v>0</v>
      </c>
      <c r="I319" s="592">
        <v>0</v>
      </c>
      <c r="J319" s="592">
        <v>274</v>
      </c>
      <c r="K319" s="592">
        <v>0</v>
      </c>
      <c r="L319" s="592">
        <v>0</v>
      </c>
      <c r="M319" s="592">
        <v>0</v>
      </c>
      <c r="N319" s="593">
        <v>349</v>
      </c>
      <c r="O319" s="593">
        <v>32</v>
      </c>
      <c r="P319" s="593">
        <v>864</v>
      </c>
      <c r="Q319" s="593">
        <v>96</v>
      </c>
      <c r="R319" s="593">
        <v>1877</v>
      </c>
      <c r="S319" s="593">
        <v>128</v>
      </c>
      <c r="T319" s="593">
        <v>2014</v>
      </c>
      <c r="U319" s="593">
        <v>2014</v>
      </c>
      <c r="V319" s="589"/>
      <c r="W319" s="589"/>
      <c r="X319" s="589"/>
      <c r="Y319" s="589"/>
      <c r="Z319" s="589"/>
      <c r="AA319" s="589"/>
      <c r="AB319" s="589"/>
      <c r="AC319" s="589"/>
      <c r="AD319" s="589"/>
      <c r="AE319" s="589"/>
      <c r="AF319" s="589"/>
      <c r="AG319" s="589"/>
      <c r="AH319" s="589"/>
      <c r="AI319" s="589"/>
      <c r="AJ319" s="589"/>
      <c r="AK319" s="589"/>
      <c r="AL319" s="589"/>
      <c r="AM319" s="589"/>
      <c r="AN319" s="589"/>
      <c r="AO319" s="589"/>
      <c r="AP319" s="589"/>
      <c r="AQ319" s="589"/>
      <c r="AR319" s="589"/>
      <c r="AS319" s="589"/>
    </row>
    <row r="320" spans="1:45" ht="15">
      <c r="A320" s="587" t="s">
        <v>202</v>
      </c>
      <c r="B320" s="587" t="s">
        <v>745</v>
      </c>
      <c r="C320" s="587" t="s">
        <v>799</v>
      </c>
      <c r="D320" s="588">
        <v>2014</v>
      </c>
      <c r="E320" s="587" t="s">
        <v>775</v>
      </c>
      <c r="F320" s="588">
        <v>427</v>
      </c>
      <c r="G320" s="588">
        <v>6</v>
      </c>
      <c r="H320" s="588">
        <v>6</v>
      </c>
      <c r="I320" s="588">
        <v>0</v>
      </c>
      <c r="J320" s="588">
        <v>299</v>
      </c>
      <c r="K320" s="588">
        <v>3</v>
      </c>
      <c r="L320" s="588">
        <v>3</v>
      </c>
      <c r="M320" s="588">
        <v>0</v>
      </c>
      <c r="N320" s="588">
        <v>351</v>
      </c>
      <c r="O320" s="588">
        <v>4</v>
      </c>
      <c r="P320" s="588">
        <v>813</v>
      </c>
      <c r="Q320" s="588">
        <v>10</v>
      </c>
      <c r="R320" s="588">
        <v>1890</v>
      </c>
      <c r="S320" s="588">
        <v>23</v>
      </c>
      <c r="T320" s="588">
        <v>2014</v>
      </c>
      <c r="U320" s="588">
        <v>2014</v>
      </c>
      <c r="V320" s="589"/>
      <c r="W320" s="589"/>
      <c r="X320" s="589"/>
      <c r="Y320" s="589"/>
      <c r="Z320" s="589"/>
      <c r="AA320" s="589"/>
      <c r="AB320" s="589"/>
      <c r="AC320" s="589"/>
      <c r="AD320" s="589"/>
      <c r="AE320" s="589"/>
      <c r="AF320" s="589"/>
      <c r="AG320" s="589"/>
      <c r="AH320" s="589"/>
      <c r="AI320" s="589"/>
      <c r="AJ320" s="589"/>
      <c r="AK320" s="589"/>
      <c r="AL320" s="589"/>
      <c r="AM320" s="589"/>
      <c r="AN320" s="589"/>
      <c r="AO320" s="589"/>
      <c r="AP320" s="589"/>
      <c r="AQ320" s="589"/>
      <c r="AR320" s="589"/>
      <c r="AS320" s="589"/>
    </row>
    <row r="321" spans="1:45" ht="15">
      <c r="A321" s="590" t="s">
        <v>169</v>
      </c>
      <c r="B321" s="591" t="s">
        <v>518</v>
      </c>
      <c r="C321" s="591" t="s">
        <v>812</v>
      </c>
      <c r="D321" s="592">
        <v>2014</v>
      </c>
      <c r="E321" s="591" t="s">
        <v>775</v>
      </c>
      <c r="F321" s="592">
        <v>160</v>
      </c>
      <c r="G321" s="592">
        <v>4</v>
      </c>
      <c r="H321" s="592">
        <v>0</v>
      </c>
      <c r="I321" s="592">
        <v>4</v>
      </c>
      <c r="J321" s="592">
        <v>113</v>
      </c>
      <c r="K321" s="592">
        <v>0</v>
      </c>
      <c r="L321" s="592">
        <v>0</v>
      </c>
      <c r="M321" s="592">
        <v>0</v>
      </c>
      <c r="N321" s="593">
        <v>126</v>
      </c>
      <c r="O321" s="593">
        <v>1</v>
      </c>
      <c r="P321" s="593">
        <v>270</v>
      </c>
      <c r="Q321" s="593">
        <v>89</v>
      </c>
      <c r="R321" s="593">
        <v>669</v>
      </c>
      <c r="S321" s="593">
        <v>94</v>
      </c>
      <c r="T321" s="593">
        <v>2014</v>
      </c>
      <c r="U321" s="593">
        <v>2014</v>
      </c>
      <c r="V321" s="589"/>
      <c r="W321" s="589"/>
      <c r="X321" s="589"/>
      <c r="Y321" s="589"/>
      <c r="Z321" s="589"/>
      <c r="AA321" s="589"/>
      <c r="AB321" s="589"/>
      <c r="AC321" s="589"/>
      <c r="AD321" s="589"/>
      <c r="AE321" s="589"/>
      <c r="AF321" s="589"/>
      <c r="AG321" s="589"/>
      <c r="AH321" s="589"/>
      <c r="AI321" s="589"/>
      <c r="AJ321" s="589"/>
      <c r="AK321" s="589"/>
      <c r="AL321" s="589"/>
      <c r="AM321" s="589"/>
      <c r="AN321" s="589"/>
      <c r="AO321" s="589"/>
      <c r="AP321" s="589"/>
      <c r="AQ321" s="589"/>
      <c r="AR321" s="589"/>
      <c r="AS321" s="589"/>
    </row>
    <row r="322" spans="1:45" ht="15">
      <c r="A322" s="587" t="s">
        <v>196</v>
      </c>
      <c r="B322" s="587" t="s">
        <v>715</v>
      </c>
      <c r="C322" s="587" t="s">
        <v>799</v>
      </c>
      <c r="D322" s="588">
        <v>2014</v>
      </c>
      <c r="E322" s="587" t="s">
        <v>775</v>
      </c>
      <c r="F322" s="588">
        <v>624</v>
      </c>
      <c r="G322" s="588">
        <v>0</v>
      </c>
      <c r="H322" s="588">
        <v>0</v>
      </c>
      <c r="I322" s="588">
        <v>0</v>
      </c>
      <c r="J322" s="588">
        <v>437</v>
      </c>
      <c r="K322" s="588">
        <v>0</v>
      </c>
      <c r="L322" s="588">
        <v>0</v>
      </c>
      <c r="M322" s="588">
        <v>0</v>
      </c>
      <c r="N322" s="588">
        <v>498</v>
      </c>
      <c r="O322" s="588">
        <v>5</v>
      </c>
      <c r="P322" s="588">
        <v>1120</v>
      </c>
      <c r="Q322" s="588">
        <v>50</v>
      </c>
      <c r="R322" s="588">
        <v>2679</v>
      </c>
      <c r="S322" s="588">
        <v>55</v>
      </c>
      <c r="T322" s="588">
        <v>2014</v>
      </c>
      <c r="U322" s="588">
        <v>2014</v>
      </c>
      <c r="V322" s="589"/>
      <c r="W322" s="589"/>
      <c r="X322" s="589"/>
      <c r="Y322" s="589"/>
      <c r="Z322" s="589"/>
      <c r="AA322" s="589"/>
      <c r="AB322" s="589"/>
      <c r="AC322" s="589"/>
      <c r="AD322" s="589"/>
      <c r="AE322" s="589"/>
      <c r="AF322" s="589"/>
      <c r="AG322" s="589"/>
      <c r="AH322" s="589"/>
      <c r="AI322" s="589"/>
      <c r="AJ322" s="589"/>
      <c r="AK322" s="589"/>
      <c r="AL322" s="589"/>
      <c r="AM322" s="589"/>
      <c r="AN322" s="589"/>
      <c r="AO322" s="589"/>
      <c r="AP322" s="589"/>
      <c r="AQ322" s="589"/>
      <c r="AR322" s="589"/>
      <c r="AS322" s="589"/>
    </row>
    <row r="323" spans="1:45" ht="15">
      <c r="A323" s="590" t="s">
        <v>204</v>
      </c>
      <c r="B323" s="591" t="s">
        <v>748</v>
      </c>
      <c r="C323" s="591" t="s">
        <v>799</v>
      </c>
      <c r="D323" s="592">
        <v>2014</v>
      </c>
      <c r="E323" s="591" t="s">
        <v>775</v>
      </c>
      <c r="F323" s="592">
        <v>1036</v>
      </c>
      <c r="G323" s="592">
        <v>17</v>
      </c>
      <c r="H323" s="592">
        <v>17</v>
      </c>
      <c r="I323" s="592">
        <v>0</v>
      </c>
      <c r="J323" s="592">
        <v>727</v>
      </c>
      <c r="K323" s="592">
        <v>20</v>
      </c>
      <c r="L323" s="592">
        <v>20</v>
      </c>
      <c r="M323" s="592">
        <v>0</v>
      </c>
      <c r="N323" s="593">
        <v>870</v>
      </c>
      <c r="O323" s="593">
        <v>11</v>
      </c>
      <c r="P323" s="593">
        <v>2043</v>
      </c>
      <c r="Q323" s="593">
        <v>127</v>
      </c>
      <c r="R323" s="593">
        <v>4676</v>
      </c>
      <c r="S323" s="593">
        <v>175</v>
      </c>
      <c r="T323" s="593">
        <v>2014</v>
      </c>
      <c r="U323" s="593">
        <v>2014</v>
      </c>
      <c r="V323" s="589"/>
      <c r="W323" s="589"/>
      <c r="X323" s="589"/>
      <c r="Y323" s="589"/>
      <c r="Z323" s="589"/>
      <c r="AA323" s="589"/>
      <c r="AB323" s="589"/>
      <c r="AC323" s="589"/>
      <c r="AD323" s="589"/>
      <c r="AE323" s="589"/>
      <c r="AF323" s="589"/>
      <c r="AG323" s="589"/>
      <c r="AH323" s="589"/>
      <c r="AI323" s="589"/>
      <c r="AJ323" s="589"/>
      <c r="AK323" s="589"/>
      <c r="AL323" s="589"/>
      <c r="AM323" s="589"/>
      <c r="AN323" s="589"/>
      <c r="AO323" s="589"/>
      <c r="AP323" s="589"/>
      <c r="AQ323" s="589"/>
      <c r="AR323" s="589"/>
      <c r="AS323" s="589"/>
    </row>
    <row r="324" spans="1:45" ht="15">
      <c r="A324" s="587" t="s">
        <v>178</v>
      </c>
      <c r="B324" s="587" t="s">
        <v>588</v>
      </c>
      <c r="C324" s="587" t="s">
        <v>812</v>
      </c>
      <c r="D324" s="588">
        <v>2014</v>
      </c>
      <c r="E324" s="587" t="s">
        <v>775</v>
      </c>
      <c r="F324" s="588">
        <v>376</v>
      </c>
      <c r="G324" s="588">
        <v>0</v>
      </c>
      <c r="H324" s="588">
        <v>0</v>
      </c>
      <c r="I324" s="588">
        <v>0</v>
      </c>
      <c r="J324" s="588">
        <v>261</v>
      </c>
      <c r="K324" s="588">
        <v>34</v>
      </c>
      <c r="L324" s="588">
        <v>34</v>
      </c>
      <c r="M324" s="588">
        <v>0</v>
      </c>
      <c r="N324" s="588">
        <v>299</v>
      </c>
      <c r="O324" s="588">
        <v>0</v>
      </c>
      <c r="P324" s="588">
        <v>669</v>
      </c>
      <c r="Q324" s="588">
        <v>32</v>
      </c>
      <c r="R324" s="588">
        <v>1605</v>
      </c>
      <c r="S324" s="588">
        <v>66</v>
      </c>
      <c r="T324" s="588">
        <v>2014</v>
      </c>
      <c r="U324" s="588">
        <v>2014</v>
      </c>
      <c r="V324" s="589"/>
      <c r="W324" s="589"/>
      <c r="X324" s="589"/>
      <c r="Y324" s="589"/>
      <c r="Z324" s="589"/>
      <c r="AA324" s="589"/>
      <c r="AB324" s="589"/>
      <c r="AC324" s="589"/>
      <c r="AD324" s="589"/>
      <c r="AE324" s="589"/>
      <c r="AF324" s="589"/>
      <c r="AG324" s="589"/>
      <c r="AH324" s="589"/>
      <c r="AI324" s="589"/>
      <c r="AJ324" s="589"/>
      <c r="AK324" s="589"/>
      <c r="AL324" s="589"/>
      <c r="AM324" s="589"/>
      <c r="AN324" s="589"/>
      <c r="AO324" s="589"/>
      <c r="AP324" s="589"/>
      <c r="AQ324" s="589"/>
      <c r="AR324" s="589"/>
      <c r="AS324" s="589"/>
    </row>
    <row r="325" spans="1:45" ht="15">
      <c r="A325" s="590" t="s">
        <v>178</v>
      </c>
      <c r="B325" s="591" t="s">
        <v>589</v>
      </c>
      <c r="C325" s="591" t="s">
        <v>812</v>
      </c>
      <c r="D325" s="592">
        <v>2014</v>
      </c>
      <c r="E325" s="591" t="s">
        <v>775</v>
      </c>
      <c r="F325" s="592">
        <v>209</v>
      </c>
      <c r="G325" s="592">
        <v>0</v>
      </c>
      <c r="H325" s="592">
        <v>0</v>
      </c>
      <c r="I325" s="592">
        <v>0</v>
      </c>
      <c r="J325" s="592">
        <v>149</v>
      </c>
      <c r="K325" s="592">
        <v>0</v>
      </c>
      <c r="L325" s="592">
        <v>0</v>
      </c>
      <c r="M325" s="592">
        <v>0</v>
      </c>
      <c r="N325" s="593">
        <v>172</v>
      </c>
      <c r="O325" s="593">
        <v>0</v>
      </c>
      <c r="P325" s="593">
        <v>400</v>
      </c>
      <c r="Q325" s="593">
        <v>18</v>
      </c>
      <c r="R325" s="593">
        <v>930</v>
      </c>
      <c r="S325" s="593">
        <v>18</v>
      </c>
      <c r="T325" s="593">
        <v>2014</v>
      </c>
      <c r="U325" s="593">
        <v>2014</v>
      </c>
      <c r="V325" s="589"/>
      <c r="W325" s="589"/>
      <c r="X325" s="589"/>
      <c r="Y325" s="589"/>
      <c r="Z325" s="589"/>
      <c r="AA325" s="589"/>
      <c r="AB325" s="589"/>
      <c r="AC325" s="589"/>
      <c r="AD325" s="589"/>
      <c r="AE325" s="589"/>
      <c r="AF325" s="589"/>
      <c r="AG325" s="589"/>
      <c r="AH325" s="589"/>
      <c r="AI325" s="589"/>
      <c r="AJ325" s="589"/>
      <c r="AK325" s="589"/>
      <c r="AL325" s="589"/>
      <c r="AM325" s="589"/>
      <c r="AN325" s="589"/>
      <c r="AO325" s="589"/>
      <c r="AP325" s="589"/>
      <c r="AQ325" s="589"/>
      <c r="AR325" s="589"/>
      <c r="AS325" s="589"/>
    </row>
    <row r="326" spans="1:45" ht="15">
      <c r="A326" s="587" t="s">
        <v>153</v>
      </c>
      <c r="B326" s="587" t="s">
        <v>346</v>
      </c>
      <c r="C326" s="587" t="s">
        <v>812</v>
      </c>
      <c r="D326" s="588">
        <v>2015</v>
      </c>
      <c r="E326" s="587" t="s">
        <v>775</v>
      </c>
      <c r="F326" s="588">
        <v>31</v>
      </c>
      <c r="G326" s="588">
        <v>0</v>
      </c>
      <c r="H326" s="588">
        <v>0</v>
      </c>
      <c r="I326" s="588">
        <v>0</v>
      </c>
      <c r="J326" s="588">
        <v>19</v>
      </c>
      <c r="K326" s="588">
        <v>0</v>
      </c>
      <c r="L326" s="588">
        <v>0</v>
      </c>
      <c r="M326" s="588">
        <v>0</v>
      </c>
      <c r="N326" s="588">
        <v>20</v>
      </c>
      <c r="O326" s="588">
        <v>0</v>
      </c>
      <c r="P326" s="588">
        <v>45</v>
      </c>
      <c r="Q326" s="588">
        <v>15</v>
      </c>
      <c r="R326" s="588">
        <v>115</v>
      </c>
      <c r="S326" s="588">
        <v>15</v>
      </c>
      <c r="T326" s="588">
        <v>2015</v>
      </c>
      <c r="U326" s="588">
        <v>2014</v>
      </c>
      <c r="V326" s="589"/>
      <c r="W326" s="589"/>
      <c r="X326" s="589"/>
      <c r="Y326" s="589"/>
      <c r="Z326" s="589"/>
      <c r="AA326" s="589"/>
      <c r="AB326" s="589"/>
      <c r="AC326" s="589"/>
      <c r="AD326" s="589"/>
      <c r="AE326" s="589"/>
      <c r="AF326" s="589"/>
      <c r="AG326" s="589"/>
      <c r="AH326" s="589"/>
      <c r="AI326" s="589"/>
      <c r="AJ326" s="589"/>
      <c r="AK326" s="589"/>
      <c r="AL326" s="589"/>
      <c r="AM326" s="589"/>
      <c r="AN326" s="589"/>
      <c r="AO326" s="589"/>
      <c r="AP326" s="589"/>
      <c r="AQ326" s="589"/>
      <c r="AR326" s="589"/>
      <c r="AS326" s="589"/>
    </row>
    <row r="327" spans="1:45" ht="15">
      <c r="A327" s="590" t="s">
        <v>125</v>
      </c>
      <c r="B327" s="591" t="s">
        <v>125</v>
      </c>
      <c r="C327" s="591" t="s">
        <v>774</v>
      </c>
      <c r="D327" s="592">
        <v>2015</v>
      </c>
      <c r="E327" s="591" t="s">
        <v>775</v>
      </c>
      <c r="F327" s="592">
        <v>444</v>
      </c>
      <c r="G327" s="592">
        <v>19</v>
      </c>
      <c r="H327" s="592">
        <v>19</v>
      </c>
      <c r="I327" s="592">
        <v>0</v>
      </c>
      <c r="J327" s="592">
        <v>248</v>
      </c>
      <c r="K327" s="592">
        <v>22</v>
      </c>
      <c r="L327" s="592">
        <v>22</v>
      </c>
      <c r="M327" s="592">
        <v>0</v>
      </c>
      <c r="N327" s="593">
        <v>283</v>
      </c>
      <c r="O327" s="593">
        <v>14</v>
      </c>
      <c r="P327" s="593">
        <v>748</v>
      </c>
      <c r="Q327" s="593">
        <v>192</v>
      </c>
      <c r="R327" s="593">
        <v>1723</v>
      </c>
      <c r="S327" s="593">
        <v>247</v>
      </c>
      <c r="T327" s="593">
        <v>2015</v>
      </c>
      <c r="U327" s="593">
        <v>2015</v>
      </c>
      <c r="V327" s="589"/>
      <c r="W327" s="589"/>
      <c r="X327" s="589"/>
      <c r="Y327" s="589"/>
      <c r="Z327" s="589"/>
      <c r="AA327" s="589"/>
      <c r="AB327" s="589"/>
      <c r="AC327" s="589"/>
      <c r="AD327" s="589"/>
      <c r="AE327" s="589"/>
      <c r="AF327" s="589"/>
      <c r="AG327" s="589"/>
      <c r="AH327" s="589"/>
      <c r="AI327" s="589"/>
      <c r="AJ327" s="589"/>
      <c r="AK327" s="589"/>
      <c r="AL327" s="589"/>
      <c r="AM327" s="589"/>
      <c r="AN327" s="589"/>
      <c r="AO327" s="589"/>
      <c r="AP327" s="589"/>
      <c r="AQ327" s="589"/>
      <c r="AR327" s="589"/>
      <c r="AS327" s="589"/>
    </row>
    <row r="328" spans="1:45" ht="15">
      <c r="A328" s="587" t="s">
        <v>125</v>
      </c>
      <c r="B328" s="587" t="s">
        <v>233</v>
      </c>
      <c r="C328" s="587" t="s">
        <v>774</v>
      </c>
      <c r="D328" s="588">
        <v>2015</v>
      </c>
      <c r="E328" s="587" t="s">
        <v>775</v>
      </c>
      <c r="F328" s="588">
        <v>430</v>
      </c>
      <c r="G328" s="588">
        <v>35</v>
      </c>
      <c r="H328" s="588">
        <v>35</v>
      </c>
      <c r="I328" s="588">
        <v>0</v>
      </c>
      <c r="J328" s="588">
        <v>227</v>
      </c>
      <c r="K328" s="588">
        <v>65</v>
      </c>
      <c r="L328" s="588">
        <v>65</v>
      </c>
      <c r="M328" s="588">
        <v>0</v>
      </c>
      <c r="N328" s="588">
        <v>295</v>
      </c>
      <c r="O328" s="588">
        <v>21</v>
      </c>
      <c r="P328" s="588">
        <v>817</v>
      </c>
      <c r="Q328" s="588">
        <v>17</v>
      </c>
      <c r="R328" s="588">
        <v>1769</v>
      </c>
      <c r="S328" s="588">
        <v>138</v>
      </c>
      <c r="T328" s="588">
        <v>2015</v>
      </c>
      <c r="U328" s="588">
        <v>2015</v>
      </c>
      <c r="V328" s="589"/>
      <c r="W328" s="589"/>
      <c r="X328" s="589"/>
      <c r="Y328" s="589"/>
      <c r="Z328" s="589"/>
      <c r="AA328" s="589"/>
      <c r="AB328" s="589"/>
      <c r="AC328" s="589"/>
      <c r="AD328" s="589"/>
      <c r="AE328" s="589"/>
      <c r="AF328" s="589"/>
      <c r="AG328" s="589"/>
      <c r="AH328" s="589"/>
      <c r="AI328" s="589"/>
      <c r="AJ328" s="589"/>
      <c r="AK328" s="589"/>
      <c r="AL328" s="589"/>
      <c r="AM328" s="589"/>
      <c r="AN328" s="589"/>
      <c r="AO328" s="589"/>
      <c r="AP328" s="589"/>
      <c r="AQ328" s="589"/>
      <c r="AR328" s="589"/>
      <c r="AS328" s="589"/>
    </row>
    <row r="329" spans="1:45" ht="15">
      <c r="A329" s="590" t="s">
        <v>153</v>
      </c>
      <c r="B329" s="591" t="s">
        <v>347</v>
      </c>
      <c r="C329" s="591" t="s">
        <v>812</v>
      </c>
      <c r="D329" s="592">
        <v>2015</v>
      </c>
      <c r="E329" s="591" t="s">
        <v>775</v>
      </c>
      <c r="F329" s="592">
        <v>380</v>
      </c>
      <c r="G329" s="592">
        <v>0</v>
      </c>
      <c r="H329" s="592">
        <v>0</v>
      </c>
      <c r="I329" s="592">
        <v>0</v>
      </c>
      <c r="J329" s="592">
        <v>224</v>
      </c>
      <c r="K329" s="592">
        <v>0</v>
      </c>
      <c r="L329" s="592">
        <v>0</v>
      </c>
      <c r="M329" s="592">
        <v>0</v>
      </c>
      <c r="N329" s="593">
        <v>246</v>
      </c>
      <c r="O329" s="593">
        <v>0</v>
      </c>
      <c r="P329" s="593">
        <v>642</v>
      </c>
      <c r="Q329" s="593">
        <v>0</v>
      </c>
      <c r="R329" s="593">
        <v>1492</v>
      </c>
      <c r="S329" s="593">
        <v>0</v>
      </c>
      <c r="T329" s="593">
        <v>2015</v>
      </c>
      <c r="U329" s="593">
        <v>2014</v>
      </c>
      <c r="V329" s="589"/>
      <c r="W329" s="589"/>
      <c r="X329" s="589"/>
      <c r="Y329" s="589"/>
      <c r="Z329" s="589"/>
      <c r="AA329" s="589"/>
      <c r="AB329" s="589"/>
      <c r="AC329" s="589"/>
      <c r="AD329" s="589"/>
      <c r="AE329" s="589"/>
      <c r="AF329" s="589"/>
      <c r="AG329" s="589"/>
      <c r="AH329" s="589"/>
      <c r="AI329" s="589"/>
      <c r="AJ329" s="589"/>
      <c r="AK329" s="589"/>
      <c r="AL329" s="589"/>
      <c r="AM329" s="589"/>
      <c r="AN329" s="589"/>
      <c r="AO329" s="589"/>
      <c r="AP329" s="589"/>
      <c r="AQ329" s="589"/>
      <c r="AR329" s="589"/>
      <c r="AS329" s="589"/>
    </row>
    <row r="330" spans="1:45" ht="15">
      <c r="A330" s="587" t="s">
        <v>169</v>
      </c>
      <c r="B330" s="587" t="s">
        <v>485</v>
      </c>
      <c r="C330" s="587" t="s">
        <v>812</v>
      </c>
      <c r="D330" s="588">
        <v>2015</v>
      </c>
      <c r="E330" s="587" t="s">
        <v>775</v>
      </c>
      <c r="F330" s="588">
        <v>9</v>
      </c>
      <c r="G330" s="588">
        <v>33</v>
      </c>
      <c r="H330" s="588">
        <v>33</v>
      </c>
      <c r="I330" s="588">
        <v>0</v>
      </c>
      <c r="J330" s="588">
        <v>7</v>
      </c>
      <c r="K330" s="588">
        <v>187</v>
      </c>
      <c r="L330" s="588">
        <v>187</v>
      </c>
      <c r="M330" s="588">
        <v>0</v>
      </c>
      <c r="N330" s="588">
        <v>7</v>
      </c>
      <c r="O330" s="588">
        <v>419</v>
      </c>
      <c r="P330" s="588">
        <v>16</v>
      </c>
      <c r="Q330" s="588">
        <v>0</v>
      </c>
      <c r="R330" s="588">
        <v>39</v>
      </c>
      <c r="S330" s="588">
        <v>639</v>
      </c>
      <c r="T330" s="588">
        <v>2015</v>
      </c>
      <c r="U330" s="588">
        <v>2014</v>
      </c>
      <c r="V330" s="589"/>
      <c r="W330" s="589"/>
      <c r="X330" s="589"/>
      <c r="Y330" s="589"/>
      <c r="Z330" s="589"/>
      <c r="AA330" s="589"/>
      <c r="AB330" s="589"/>
      <c r="AC330" s="589"/>
      <c r="AD330" s="589"/>
      <c r="AE330" s="589"/>
      <c r="AF330" s="589"/>
      <c r="AG330" s="589"/>
      <c r="AH330" s="589"/>
      <c r="AI330" s="589"/>
      <c r="AJ330" s="589"/>
      <c r="AK330" s="589"/>
      <c r="AL330" s="589"/>
      <c r="AM330" s="589"/>
      <c r="AN330" s="589"/>
      <c r="AO330" s="589"/>
      <c r="AP330" s="589"/>
      <c r="AQ330" s="589"/>
      <c r="AR330" s="589"/>
      <c r="AS330" s="589"/>
    </row>
    <row r="331" spans="1:45" ht="15">
      <c r="A331" s="590" t="s">
        <v>127</v>
      </c>
      <c r="B331" s="591" t="s">
        <v>247</v>
      </c>
      <c r="C331" s="591" t="s">
        <v>784</v>
      </c>
      <c r="D331" s="592">
        <v>2015</v>
      </c>
      <c r="E331" s="591" t="s">
        <v>775</v>
      </c>
      <c r="F331" s="592">
        <v>7</v>
      </c>
      <c r="G331" s="592">
        <v>0</v>
      </c>
      <c r="H331" s="592">
        <v>0</v>
      </c>
      <c r="I331" s="592">
        <v>0</v>
      </c>
      <c r="J331" s="592">
        <v>6</v>
      </c>
      <c r="K331" s="592">
        <v>0</v>
      </c>
      <c r="L331" s="592">
        <v>0</v>
      </c>
      <c r="M331" s="592">
        <v>0</v>
      </c>
      <c r="N331" s="593">
        <v>6</v>
      </c>
      <c r="O331" s="593">
        <v>0</v>
      </c>
      <c r="P331" s="593">
        <v>11</v>
      </c>
      <c r="Q331" s="593">
        <v>4</v>
      </c>
      <c r="R331" s="593">
        <v>30</v>
      </c>
      <c r="S331" s="593">
        <v>4</v>
      </c>
      <c r="T331" s="593">
        <v>2015</v>
      </c>
      <c r="U331" s="593">
        <v>2014</v>
      </c>
      <c r="V331" s="589"/>
      <c r="W331" s="589"/>
      <c r="X331" s="589"/>
      <c r="Y331" s="589"/>
      <c r="Z331" s="589"/>
      <c r="AA331" s="589"/>
      <c r="AB331" s="589"/>
      <c r="AC331" s="589"/>
      <c r="AD331" s="589"/>
      <c r="AE331" s="589"/>
      <c r="AF331" s="589"/>
      <c r="AG331" s="589"/>
      <c r="AH331" s="589"/>
      <c r="AI331" s="589"/>
      <c r="AJ331" s="589"/>
      <c r="AK331" s="589"/>
      <c r="AL331" s="589"/>
      <c r="AM331" s="589"/>
      <c r="AN331" s="589"/>
      <c r="AO331" s="589"/>
      <c r="AP331" s="589"/>
      <c r="AQ331" s="589"/>
      <c r="AR331" s="589"/>
      <c r="AS331" s="589"/>
    </row>
    <row r="332" spans="1:45" ht="15">
      <c r="A332" s="587" t="s">
        <v>166</v>
      </c>
      <c r="B332" s="587" t="s">
        <v>476</v>
      </c>
      <c r="C332" s="587" t="s">
        <v>774</v>
      </c>
      <c r="D332" s="588">
        <v>2015</v>
      </c>
      <c r="E332" s="587" t="s">
        <v>775</v>
      </c>
      <c r="F332" s="588">
        <v>116</v>
      </c>
      <c r="G332" s="588">
        <v>0</v>
      </c>
      <c r="H332" s="588">
        <v>0</v>
      </c>
      <c r="I332" s="588">
        <v>0</v>
      </c>
      <c r="J332" s="588">
        <v>54</v>
      </c>
      <c r="K332" s="588">
        <v>9</v>
      </c>
      <c r="L332" s="588">
        <v>9</v>
      </c>
      <c r="M332" s="588">
        <v>0</v>
      </c>
      <c r="N332" s="588">
        <v>58</v>
      </c>
      <c r="O332" s="588">
        <v>140</v>
      </c>
      <c r="P332" s="588">
        <v>164</v>
      </c>
      <c r="Q332" s="588">
        <v>0</v>
      </c>
      <c r="R332" s="588">
        <v>392</v>
      </c>
      <c r="S332" s="588">
        <v>149</v>
      </c>
      <c r="T332" s="588">
        <v>2015</v>
      </c>
      <c r="U332" s="588">
        <v>2015</v>
      </c>
      <c r="V332" s="589"/>
      <c r="W332" s="589"/>
      <c r="X332" s="589"/>
      <c r="Y332" s="589"/>
      <c r="Z332" s="589"/>
      <c r="AA332" s="589"/>
      <c r="AB332" s="589"/>
      <c r="AC332" s="589"/>
      <c r="AD332" s="589"/>
      <c r="AE332" s="589"/>
      <c r="AF332" s="589"/>
      <c r="AG332" s="589"/>
      <c r="AH332" s="589"/>
      <c r="AI332" s="589"/>
      <c r="AJ332" s="589"/>
      <c r="AK332" s="589"/>
      <c r="AL332" s="589"/>
      <c r="AM332" s="589"/>
      <c r="AN332" s="589"/>
      <c r="AO332" s="589"/>
      <c r="AP332" s="589"/>
      <c r="AQ332" s="589"/>
      <c r="AR332" s="589"/>
      <c r="AS332" s="589"/>
    </row>
    <row r="333" spans="1:45" ht="15">
      <c r="A333" s="590" t="s">
        <v>169</v>
      </c>
      <c r="B333" s="591" t="s">
        <v>486</v>
      </c>
      <c r="C333" s="591" t="s">
        <v>812</v>
      </c>
      <c r="D333" s="592">
        <v>2015</v>
      </c>
      <c r="E333" s="591" t="s">
        <v>775</v>
      </c>
      <c r="F333" s="592">
        <v>1256</v>
      </c>
      <c r="G333" s="592">
        <v>69</v>
      </c>
      <c r="H333" s="592">
        <v>69</v>
      </c>
      <c r="I333" s="592">
        <v>0</v>
      </c>
      <c r="J333" s="592">
        <v>907</v>
      </c>
      <c r="K333" s="592">
        <v>13</v>
      </c>
      <c r="L333" s="592">
        <v>13</v>
      </c>
      <c r="M333" s="592">
        <v>0</v>
      </c>
      <c r="N333" s="593">
        <v>1038</v>
      </c>
      <c r="O333" s="593">
        <v>23</v>
      </c>
      <c r="P333" s="593">
        <v>2501</v>
      </c>
      <c r="Q333" s="593">
        <v>1169</v>
      </c>
      <c r="R333" s="593">
        <v>5702</v>
      </c>
      <c r="S333" s="593">
        <v>1274</v>
      </c>
      <c r="T333" s="593">
        <v>2015</v>
      </c>
      <c r="U333" s="593">
        <v>2014</v>
      </c>
      <c r="V333" s="589"/>
      <c r="W333" s="589"/>
      <c r="X333" s="589"/>
      <c r="Y333" s="589"/>
      <c r="Z333" s="589"/>
      <c r="AA333" s="589"/>
      <c r="AB333" s="589"/>
      <c r="AC333" s="589"/>
      <c r="AD333" s="589"/>
      <c r="AE333" s="589"/>
      <c r="AF333" s="589"/>
      <c r="AG333" s="589"/>
      <c r="AH333" s="589"/>
      <c r="AI333" s="589"/>
      <c r="AJ333" s="589"/>
      <c r="AK333" s="589"/>
      <c r="AL333" s="589"/>
      <c r="AM333" s="589"/>
      <c r="AN333" s="589"/>
      <c r="AO333" s="589"/>
      <c r="AP333" s="589"/>
      <c r="AQ333" s="589"/>
      <c r="AR333" s="589"/>
      <c r="AS333" s="589"/>
    </row>
    <row r="334" spans="1:45" ht="15">
      <c r="A334" s="587" t="s">
        <v>189</v>
      </c>
      <c r="B334" s="587" t="s">
        <v>670</v>
      </c>
      <c r="C334" s="587" t="s">
        <v>784</v>
      </c>
      <c r="D334" s="588">
        <v>2015</v>
      </c>
      <c r="E334" s="587" t="s">
        <v>775</v>
      </c>
      <c r="F334" s="588">
        <v>32</v>
      </c>
      <c r="G334" s="588">
        <v>0</v>
      </c>
      <c r="H334" s="588">
        <v>0</v>
      </c>
      <c r="I334" s="588">
        <v>0</v>
      </c>
      <c r="J334" s="588">
        <v>21</v>
      </c>
      <c r="K334" s="588">
        <v>0</v>
      </c>
      <c r="L334" s="588">
        <v>0</v>
      </c>
      <c r="M334" s="588">
        <v>0</v>
      </c>
      <c r="N334" s="588">
        <v>24</v>
      </c>
      <c r="O334" s="588">
        <v>19</v>
      </c>
      <c r="P334" s="588">
        <v>59</v>
      </c>
      <c r="Q334" s="588">
        <v>1</v>
      </c>
      <c r="R334" s="588">
        <v>136</v>
      </c>
      <c r="S334" s="588">
        <v>20</v>
      </c>
      <c r="T334" s="588">
        <v>2015</v>
      </c>
      <c r="U334" s="588">
        <v>2014</v>
      </c>
      <c r="V334" s="589"/>
      <c r="W334" s="589"/>
      <c r="X334" s="589"/>
      <c r="Y334" s="589"/>
      <c r="Z334" s="589"/>
      <c r="AA334" s="589"/>
      <c r="AB334" s="589"/>
      <c r="AC334" s="589"/>
      <c r="AD334" s="589"/>
      <c r="AE334" s="589"/>
      <c r="AF334" s="589"/>
      <c r="AG334" s="589"/>
      <c r="AH334" s="589"/>
      <c r="AI334" s="589"/>
      <c r="AJ334" s="589"/>
      <c r="AK334" s="589"/>
      <c r="AL334" s="589"/>
      <c r="AM334" s="589"/>
      <c r="AN334" s="589"/>
      <c r="AO334" s="589"/>
      <c r="AP334" s="589"/>
      <c r="AQ334" s="589"/>
      <c r="AR334" s="589"/>
      <c r="AS334" s="589"/>
    </row>
    <row r="335" spans="1:45" ht="15">
      <c r="A335" s="590" t="s">
        <v>136</v>
      </c>
      <c r="B335" s="591" t="s">
        <v>265</v>
      </c>
      <c r="C335" s="591" t="s">
        <v>774</v>
      </c>
      <c r="D335" s="592">
        <v>2015</v>
      </c>
      <c r="E335" s="591" t="s">
        <v>775</v>
      </c>
      <c r="F335" s="592">
        <v>349</v>
      </c>
      <c r="G335" s="592">
        <v>1</v>
      </c>
      <c r="H335" s="592">
        <v>0</v>
      </c>
      <c r="I335" s="592">
        <v>1</v>
      </c>
      <c r="J335" s="592">
        <v>205</v>
      </c>
      <c r="K335" s="592">
        <v>0</v>
      </c>
      <c r="L335" s="592">
        <v>0</v>
      </c>
      <c r="M335" s="592">
        <v>0</v>
      </c>
      <c r="N335" s="593">
        <v>214</v>
      </c>
      <c r="O335" s="593">
        <v>19</v>
      </c>
      <c r="P335" s="593">
        <v>680</v>
      </c>
      <c r="Q335" s="593">
        <v>47</v>
      </c>
      <c r="R335" s="593">
        <v>1448</v>
      </c>
      <c r="S335" s="593">
        <v>67</v>
      </c>
      <c r="T335" s="593">
        <v>2015</v>
      </c>
      <c r="U335" s="593">
        <v>2015</v>
      </c>
      <c r="V335" s="589"/>
      <c r="W335" s="589"/>
      <c r="X335" s="589"/>
      <c r="Y335" s="589"/>
      <c r="Z335" s="589"/>
      <c r="AA335" s="589"/>
      <c r="AB335" s="589"/>
      <c r="AC335" s="589"/>
      <c r="AD335" s="589"/>
      <c r="AE335" s="589"/>
      <c r="AF335" s="589"/>
      <c r="AG335" s="589"/>
      <c r="AH335" s="589"/>
      <c r="AI335" s="589"/>
      <c r="AJ335" s="589"/>
      <c r="AK335" s="589"/>
      <c r="AL335" s="589"/>
      <c r="AM335" s="589"/>
      <c r="AN335" s="589"/>
      <c r="AO335" s="589"/>
      <c r="AP335" s="589"/>
      <c r="AQ335" s="589"/>
      <c r="AR335" s="589"/>
      <c r="AS335" s="589"/>
    </row>
    <row r="336" spans="1:45" ht="15">
      <c r="A336" s="587" t="s">
        <v>178</v>
      </c>
      <c r="B336" s="587" t="s">
        <v>567</v>
      </c>
      <c r="C336" s="587" t="s">
        <v>812</v>
      </c>
      <c r="D336" s="588">
        <v>2015</v>
      </c>
      <c r="E336" s="587" t="s">
        <v>775</v>
      </c>
      <c r="F336" s="588">
        <v>764</v>
      </c>
      <c r="G336" s="588">
        <v>0</v>
      </c>
      <c r="H336" s="588">
        <v>0</v>
      </c>
      <c r="I336" s="588">
        <v>0</v>
      </c>
      <c r="J336" s="588">
        <v>541</v>
      </c>
      <c r="K336" s="588">
        <v>0</v>
      </c>
      <c r="L336" s="588">
        <v>0</v>
      </c>
      <c r="M336" s="588">
        <v>0</v>
      </c>
      <c r="N336" s="588">
        <v>622</v>
      </c>
      <c r="O336" s="588">
        <v>0</v>
      </c>
      <c r="P336" s="588">
        <v>1407</v>
      </c>
      <c r="Q336" s="588">
        <v>0</v>
      </c>
      <c r="R336" s="588">
        <v>3334</v>
      </c>
      <c r="S336" s="588">
        <v>0</v>
      </c>
      <c r="T336" s="588">
        <v>2015</v>
      </c>
      <c r="U336" s="588">
        <v>2014</v>
      </c>
      <c r="V336" s="589"/>
      <c r="W336" s="589"/>
      <c r="X336" s="589"/>
      <c r="Y336" s="589"/>
      <c r="Z336" s="589"/>
      <c r="AA336" s="589"/>
      <c r="AB336" s="589"/>
      <c r="AC336" s="589"/>
      <c r="AD336" s="589"/>
      <c r="AE336" s="589"/>
      <c r="AF336" s="589"/>
      <c r="AG336" s="589"/>
      <c r="AH336" s="589"/>
      <c r="AI336" s="589"/>
      <c r="AJ336" s="589"/>
      <c r="AK336" s="589"/>
      <c r="AL336" s="589"/>
      <c r="AM336" s="589"/>
      <c r="AN336" s="589"/>
      <c r="AO336" s="589"/>
      <c r="AP336" s="589"/>
      <c r="AQ336" s="589"/>
      <c r="AR336" s="589"/>
      <c r="AS336" s="589"/>
    </row>
    <row r="337" spans="1:45" ht="15">
      <c r="A337" s="590" t="s">
        <v>145</v>
      </c>
      <c r="B337" s="591" t="s">
        <v>307</v>
      </c>
      <c r="C337" s="591" t="s">
        <v>784</v>
      </c>
      <c r="D337" s="592">
        <v>2015</v>
      </c>
      <c r="E337" s="591" t="s">
        <v>775</v>
      </c>
      <c r="F337" s="592">
        <v>85</v>
      </c>
      <c r="G337" s="592">
        <v>17</v>
      </c>
      <c r="H337" s="592">
        <v>17</v>
      </c>
      <c r="I337" s="592">
        <v>0</v>
      </c>
      <c r="J337" s="592">
        <v>56</v>
      </c>
      <c r="K337" s="592">
        <v>0</v>
      </c>
      <c r="L337" s="592">
        <v>0</v>
      </c>
      <c r="M337" s="592">
        <v>0</v>
      </c>
      <c r="N337" s="593">
        <v>62</v>
      </c>
      <c r="O337" s="593">
        <v>3</v>
      </c>
      <c r="P337" s="593">
        <v>160</v>
      </c>
      <c r="Q337" s="593">
        <v>2</v>
      </c>
      <c r="R337" s="593">
        <v>363</v>
      </c>
      <c r="S337" s="593">
        <v>22</v>
      </c>
      <c r="T337" s="593">
        <v>2015</v>
      </c>
      <c r="U337" s="593">
        <v>2014</v>
      </c>
      <c r="V337" s="589"/>
      <c r="W337" s="589"/>
      <c r="X337" s="589"/>
      <c r="Y337" s="589"/>
      <c r="Z337" s="589"/>
      <c r="AA337" s="589"/>
      <c r="AB337" s="589"/>
      <c r="AC337" s="589"/>
      <c r="AD337" s="589"/>
      <c r="AE337" s="589"/>
      <c r="AF337" s="589"/>
      <c r="AG337" s="589"/>
      <c r="AH337" s="589"/>
      <c r="AI337" s="589"/>
      <c r="AJ337" s="589"/>
      <c r="AK337" s="589"/>
      <c r="AL337" s="589"/>
      <c r="AM337" s="589"/>
      <c r="AN337" s="589"/>
      <c r="AO337" s="589"/>
      <c r="AP337" s="589"/>
      <c r="AQ337" s="589"/>
      <c r="AR337" s="589"/>
      <c r="AS337" s="589"/>
    </row>
    <row r="338" spans="1:45" ht="15">
      <c r="A338" s="587" t="s">
        <v>153</v>
      </c>
      <c r="B338" s="587" t="s">
        <v>349</v>
      </c>
      <c r="C338" s="587" t="s">
        <v>812</v>
      </c>
      <c r="D338" s="588">
        <v>2015</v>
      </c>
      <c r="E338" s="587" t="s">
        <v>775</v>
      </c>
      <c r="F338" s="588">
        <v>31</v>
      </c>
      <c r="G338" s="588">
        <v>0</v>
      </c>
      <c r="H338" s="588">
        <v>0</v>
      </c>
      <c r="I338" s="588">
        <v>0</v>
      </c>
      <c r="J338" s="588">
        <v>18</v>
      </c>
      <c r="K338" s="588">
        <v>0</v>
      </c>
      <c r="L338" s="588">
        <v>0</v>
      </c>
      <c r="M338" s="588">
        <v>0</v>
      </c>
      <c r="N338" s="588">
        <v>20</v>
      </c>
      <c r="O338" s="588">
        <v>0</v>
      </c>
      <c r="P338" s="588">
        <v>51</v>
      </c>
      <c r="Q338" s="588">
        <v>8</v>
      </c>
      <c r="R338" s="588">
        <v>120</v>
      </c>
      <c r="S338" s="588">
        <v>8</v>
      </c>
      <c r="T338" s="588">
        <v>2015</v>
      </c>
      <c r="U338" s="588">
        <v>2014</v>
      </c>
      <c r="V338" s="589"/>
      <c r="W338" s="589"/>
      <c r="X338" s="589"/>
      <c r="Y338" s="589"/>
      <c r="Z338" s="589"/>
      <c r="AA338" s="589"/>
      <c r="AB338" s="589"/>
      <c r="AC338" s="589"/>
      <c r="AD338" s="589"/>
      <c r="AE338" s="589"/>
      <c r="AF338" s="589"/>
      <c r="AG338" s="589"/>
      <c r="AH338" s="589"/>
      <c r="AI338" s="589"/>
      <c r="AJ338" s="589"/>
      <c r="AK338" s="589"/>
      <c r="AL338" s="589"/>
      <c r="AM338" s="589"/>
      <c r="AN338" s="589"/>
      <c r="AO338" s="589"/>
      <c r="AP338" s="589"/>
      <c r="AQ338" s="589"/>
      <c r="AR338" s="589"/>
      <c r="AS338" s="589"/>
    </row>
    <row r="339" spans="1:45" ht="15">
      <c r="A339" s="590" t="s">
        <v>148</v>
      </c>
      <c r="B339" s="591" t="s">
        <v>324</v>
      </c>
      <c r="C339" s="591" t="s">
        <v>177</v>
      </c>
      <c r="D339" s="592">
        <v>2015</v>
      </c>
      <c r="E339" s="591" t="s">
        <v>775</v>
      </c>
      <c r="F339" s="592">
        <v>398</v>
      </c>
      <c r="G339" s="592">
        <v>0</v>
      </c>
      <c r="H339" s="592">
        <v>0</v>
      </c>
      <c r="I339" s="592">
        <v>0</v>
      </c>
      <c r="J339" s="592">
        <v>239</v>
      </c>
      <c r="K339" s="592">
        <v>26</v>
      </c>
      <c r="L339" s="592">
        <v>9</v>
      </c>
      <c r="M339" s="592">
        <v>17</v>
      </c>
      <c r="N339" s="593">
        <v>183</v>
      </c>
      <c r="O339" s="593">
        <v>60</v>
      </c>
      <c r="P339" s="593">
        <v>349</v>
      </c>
      <c r="Q339" s="593">
        <v>0</v>
      </c>
      <c r="R339" s="593">
        <v>1169</v>
      </c>
      <c r="S339" s="593">
        <v>86</v>
      </c>
      <c r="T339" s="593">
        <v>2016</v>
      </c>
      <c r="U339" s="593">
        <v>2016</v>
      </c>
      <c r="V339" s="589"/>
      <c r="W339" s="589"/>
      <c r="X339" s="589"/>
      <c r="Y339" s="589"/>
      <c r="Z339" s="589"/>
      <c r="AA339" s="589"/>
      <c r="AB339" s="589"/>
      <c r="AC339" s="589"/>
      <c r="AD339" s="589"/>
      <c r="AE339" s="589"/>
      <c r="AF339" s="589"/>
      <c r="AG339" s="589"/>
      <c r="AH339" s="589"/>
      <c r="AI339" s="589"/>
      <c r="AJ339" s="589"/>
      <c r="AK339" s="589"/>
      <c r="AL339" s="589"/>
      <c r="AM339" s="589"/>
      <c r="AN339" s="589"/>
      <c r="AO339" s="589"/>
      <c r="AP339" s="589"/>
      <c r="AQ339" s="589"/>
      <c r="AR339" s="589"/>
      <c r="AS339" s="589"/>
    </row>
    <row r="340" spans="1:45" ht="15">
      <c r="A340" s="587" t="s">
        <v>183</v>
      </c>
      <c r="B340" s="587" t="s">
        <v>617</v>
      </c>
      <c r="C340" s="587" t="s">
        <v>784</v>
      </c>
      <c r="D340" s="588">
        <v>2015</v>
      </c>
      <c r="E340" s="587" t="s">
        <v>775</v>
      </c>
      <c r="F340" s="588">
        <v>98</v>
      </c>
      <c r="G340" s="588">
        <v>1</v>
      </c>
      <c r="H340" s="588">
        <v>1</v>
      </c>
      <c r="I340" s="588">
        <v>0</v>
      </c>
      <c r="J340" s="588">
        <v>62</v>
      </c>
      <c r="K340" s="588">
        <v>0</v>
      </c>
      <c r="L340" s="588">
        <v>0</v>
      </c>
      <c r="M340" s="588">
        <v>0</v>
      </c>
      <c r="N340" s="588">
        <v>69</v>
      </c>
      <c r="O340" s="588">
        <v>58</v>
      </c>
      <c r="P340" s="588">
        <v>164</v>
      </c>
      <c r="Q340" s="588">
        <v>29</v>
      </c>
      <c r="R340" s="588">
        <v>393</v>
      </c>
      <c r="S340" s="588">
        <v>88</v>
      </c>
      <c r="T340" s="588">
        <v>2015</v>
      </c>
      <c r="U340" s="588">
        <v>2014</v>
      </c>
      <c r="V340" s="589"/>
      <c r="W340" s="589"/>
      <c r="X340" s="589"/>
      <c r="Y340" s="589"/>
      <c r="Z340" s="589"/>
      <c r="AA340" s="589"/>
      <c r="AB340" s="589"/>
      <c r="AC340" s="589"/>
      <c r="AD340" s="589"/>
      <c r="AE340" s="589"/>
      <c r="AF340" s="589"/>
      <c r="AG340" s="589"/>
      <c r="AH340" s="589"/>
      <c r="AI340" s="589"/>
      <c r="AJ340" s="589"/>
      <c r="AK340" s="589"/>
      <c r="AL340" s="589"/>
      <c r="AM340" s="589"/>
      <c r="AN340" s="589"/>
      <c r="AO340" s="589"/>
      <c r="AP340" s="589"/>
      <c r="AQ340" s="589"/>
      <c r="AR340" s="589"/>
      <c r="AS340" s="589"/>
    </row>
    <row r="341" spans="1:45" ht="15">
      <c r="A341" s="590" t="s">
        <v>184</v>
      </c>
      <c r="B341" s="591" t="s">
        <v>623</v>
      </c>
      <c r="C341" s="591" t="s">
        <v>774</v>
      </c>
      <c r="D341" s="592">
        <v>2015</v>
      </c>
      <c r="E341" s="591" t="s">
        <v>775</v>
      </c>
      <c r="F341" s="592">
        <v>35</v>
      </c>
      <c r="G341" s="592">
        <v>12</v>
      </c>
      <c r="H341" s="592">
        <v>12</v>
      </c>
      <c r="I341" s="592">
        <v>0</v>
      </c>
      <c r="J341" s="592">
        <v>26</v>
      </c>
      <c r="K341" s="592">
        <v>0</v>
      </c>
      <c r="L341" s="592">
        <v>0</v>
      </c>
      <c r="M341" s="592">
        <v>0</v>
      </c>
      <c r="N341" s="593">
        <v>29</v>
      </c>
      <c r="O341" s="593">
        <v>0</v>
      </c>
      <c r="P341" s="593">
        <v>3</v>
      </c>
      <c r="Q341" s="593">
        <v>0</v>
      </c>
      <c r="R341" s="593">
        <v>93</v>
      </c>
      <c r="S341" s="593">
        <v>12</v>
      </c>
      <c r="T341" s="593">
        <v>2015</v>
      </c>
      <c r="U341" s="593">
        <v>2015</v>
      </c>
      <c r="V341" s="589"/>
      <c r="W341" s="589"/>
      <c r="X341" s="589"/>
      <c r="Y341" s="589"/>
      <c r="Z341" s="589"/>
      <c r="AA341" s="589"/>
      <c r="AB341" s="589"/>
      <c r="AC341" s="589"/>
      <c r="AD341" s="589"/>
      <c r="AE341" s="589"/>
      <c r="AF341" s="589"/>
      <c r="AG341" s="589"/>
      <c r="AH341" s="589"/>
      <c r="AI341" s="589"/>
      <c r="AJ341" s="589"/>
      <c r="AK341" s="589"/>
      <c r="AL341" s="589"/>
      <c r="AM341" s="589"/>
      <c r="AN341" s="589"/>
      <c r="AO341" s="589"/>
      <c r="AP341" s="589"/>
      <c r="AQ341" s="589"/>
      <c r="AR341" s="589"/>
      <c r="AS341" s="589"/>
    </row>
    <row r="342" spans="1:45" ht="15">
      <c r="A342" s="587" t="s">
        <v>170</v>
      </c>
      <c r="B342" s="587" t="s">
        <v>519</v>
      </c>
      <c r="C342" s="587" t="s">
        <v>799</v>
      </c>
      <c r="D342" s="588">
        <v>2015</v>
      </c>
      <c r="E342" s="587" t="s">
        <v>775</v>
      </c>
      <c r="F342" s="588">
        <v>74</v>
      </c>
      <c r="G342" s="588">
        <v>0</v>
      </c>
      <c r="H342" s="588">
        <v>0</v>
      </c>
      <c r="I342" s="588">
        <v>0</v>
      </c>
      <c r="J342" s="588">
        <v>52</v>
      </c>
      <c r="K342" s="588">
        <v>0</v>
      </c>
      <c r="L342" s="588">
        <v>0</v>
      </c>
      <c r="M342" s="588">
        <v>0</v>
      </c>
      <c r="N342" s="588">
        <v>57</v>
      </c>
      <c r="O342" s="588">
        <v>0</v>
      </c>
      <c r="P342" s="588">
        <v>125</v>
      </c>
      <c r="Q342" s="588">
        <v>10</v>
      </c>
      <c r="R342" s="588">
        <v>308</v>
      </c>
      <c r="S342" s="588">
        <v>10</v>
      </c>
      <c r="T342" s="588">
        <v>2015</v>
      </c>
      <c r="U342" s="588">
        <v>2014</v>
      </c>
      <c r="V342" s="589"/>
      <c r="W342" s="589"/>
      <c r="X342" s="589"/>
      <c r="Y342" s="589"/>
      <c r="Z342" s="589"/>
      <c r="AA342" s="589"/>
      <c r="AB342" s="589"/>
      <c r="AC342" s="589"/>
      <c r="AD342" s="589"/>
      <c r="AE342" s="589"/>
      <c r="AF342" s="589"/>
      <c r="AG342" s="589"/>
      <c r="AH342" s="589"/>
      <c r="AI342" s="589"/>
      <c r="AJ342" s="589"/>
      <c r="AK342" s="589"/>
      <c r="AL342" s="589"/>
      <c r="AM342" s="589"/>
      <c r="AN342" s="589"/>
      <c r="AO342" s="589"/>
      <c r="AP342" s="589"/>
      <c r="AQ342" s="589"/>
      <c r="AR342" s="589"/>
      <c r="AS342" s="589"/>
    </row>
    <row r="343" spans="1:45" ht="15">
      <c r="A343" s="590" t="s">
        <v>153</v>
      </c>
      <c r="B343" s="591" t="s">
        <v>350</v>
      </c>
      <c r="C343" s="591" t="s">
        <v>812</v>
      </c>
      <c r="D343" s="592">
        <v>2015</v>
      </c>
      <c r="E343" s="591" t="s">
        <v>775</v>
      </c>
      <c r="F343" s="592">
        <v>20</v>
      </c>
      <c r="G343" s="592">
        <v>0</v>
      </c>
      <c r="H343" s="592">
        <v>0</v>
      </c>
      <c r="I343" s="592">
        <v>0</v>
      </c>
      <c r="J343" s="592">
        <v>12</v>
      </c>
      <c r="K343" s="592">
        <v>0</v>
      </c>
      <c r="L343" s="592">
        <v>0</v>
      </c>
      <c r="M343" s="592">
        <v>0</v>
      </c>
      <c r="N343" s="593">
        <v>14</v>
      </c>
      <c r="O343" s="593">
        <v>0</v>
      </c>
      <c r="P343" s="593">
        <v>34</v>
      </c>
      <c r="Q343" s="593">
        <v>1</v>
      </c>
      <c r="R343" s="593">
        <v>80</v>
      </c>
      <c r="S343" s="593">
        <v>1</v>
      </c>
      <c r="T343" s="593">
        <v>2015</v>
      </c>
      <c r="U343" s="593">
        <v>2014</v>
      </c>
      <c r="V343" s="589"/>
      <c r="W343" s="589"/>
      <c r="X343" s="589"/>
      <c r="Y343" s="589"/>
      <c r="Z343" s="589"/>
      <c r="AA343" s="589"/>
      <c r="AB343" s="589"/>
      <c r="AC343" s="589"/>
      <c r="AD343" s="589"/>
      <c r="AE343" s="589"/>
      <c r="AF343" s="589"/>
      <c r="AG343" s="589"/>
      <c r="AH343" s="589"/>
      <c r="AI343" s="589"/>
      <c r="AJ343" s="589"/>
      <c r="AK343" s="589"/>
      <c r="AL343" s="589"/>
      <c r="AM343" s="589"/>
      <c r="AN343" s="589"/>
      <c r="AO343" s="589"/>
      <c r="AP343" s="589"/>
      <c r="AQ343" s="589"/>
      <c r="AR343" s="589"/>
      <c r="AS343" s="589"/>
    </row>
    <row r="344" spans="1:45" ht="15">
      <c r="A344" s="587" t="s">
        <v>153</v>
      </c>
      <c r="B344" s="587" t="s">
        <v>351</v>
      </c>
      <c r="C344" s="587" t="s">
        <v>812</v>
      </c>
      <c r="D344" s="588">
        <v>2015</v>
      </c>
      <c r="E344" s="587" t="s">
        <v>775</v>
      </c>
      <c r="F344" s="588">
        <v>198</v>
      </c>
      <c r="G344" s="588">
        <v>0</v>
      </c>
      <c r="H344" s="588">
        <v>0</v>
      </c>
      <c r="I344" s="588">
        <v>0</v>
      </c>
      <c r="J344" s="588">
        <v>118</v>
      </c>
      <c r="K344" s="588">
        <v>0</v>
      </c>
      <c r="L344" s="588">
        <v>0</v>
      </c>
      <c r="M344" s="588">
        <v>0</v>
      </c>
      <c r="N344" s="588">
        <v>127</v>
      </c>
      <c r="O344" s="588">
        <v>112</v>
      </c>
      <c r="P344" s="588">
        <v>336</v>
      </c>
      <c r="Q344" s="588">
        <v>0</v>
      </c>
      <c r="R344" s="588">
        <v>779</v>
      </c>
      <c r="S344" s="588">
        <v>112</v>
      </c>
      <c r="T344" s="588">
        <v>2015</v>
      </c>
      <c r="U344" s="588">
        <v>2014</v>
      </c>
      <c r="V344" s="589"/>
      <c r="W344" s="589"/>
      <c r="X344" s="589"/>
      <c r="Y344" s="589"/>
      <c r="Z344" s="589"/>
      <c r="AA344" s="589"/>
      <c r="AB344" s="589"/>
      <c r="AC344" s="589"/>
      <c r="AD344" s="589"/>
      <c r="AE344" s="589"/>
      <c r="AF344" s="589"/>
      <c r="AG344" s="589"/>
      <c r="AH344" s="589"/>
      <c r="AI344" s="589"/>
      <c r="AJ344" s="589"/>
      <c r="AK344" s="589"/>
      <c r="AL344" s="589"/>
      <c r="AM344" s="589"/>
      <c r="AN344" s="589"/>
      <c r="AO344" s="589"/>
      <c r="AP344" s="589"/>
      <c r="AQ344" s="589"/>
      <c r="AR344" s="589"/>
      <c r="AS344" s="589"/>
    </row>
    <row r="345" spans="1:45" ht="15">
      <c r="A345" s="590" t="s">
        <v>153</v>
      </c>
      <c r="B345" s="591" t="s">
        <v>352</v>
      </c>
      <c r="C345" s="591" t="s">
        <v>812</v>
      </c>
      <c r="D345" s="592">
        <v>2015</v>
      </c>
      <c r="E345" s="591" t="s">
        <v>775</v>
      </c>
      <c r="F345" s="592">
        <v>142</v>
      </c>
      <c r="G345" s="592">
        <v>0</v>
      </c>
      <c r="H345" s="592">
        <v>0</v>
      </c>
      <c r="I345" s="592">
        <v>0</v>
      </c>
      <c r="J345" s="592">
        <v>83</v>
      </c>
      <c r="K345" s="592">
        <v>1</v>
      </c>
      <c r="L345" s="592">
        <v>1</v>
      </c>
      <c r="M345" s="592">
        <v>0</v>
      </c>
      <c r="N345" s="593">
        <v>90</v>
      </c>
      <c r="O345" s="593">
        <v>0</v>
      </c>
      <c r="P345" s="593">
        <v>242</v>
      </c>
      <c r="Q345" s="593">
        <v>21</v>
      </c>
      <c r="R345" s="593">
        <v>557</v>
      </c>
      <c r="S345" s="593">
        <v>22</v>
      </c>
      <c r="T345" s="593">
        <v>2015</v>
      </c>
      <c r="U345" s="593">
        <v>2014</v>
      </c>
      <c r="V345" s="589"/>
      <c r="W345" s="589"/>
      <c r="X345" s="589"/>
      <c r="Y345" s="589"/>
      <c r="Z345" s="589"/>
      <c r="AA345" s="589"/>
      <c r="AB345" s="589"/>
      <c r="AC345" s="589"/>
      <c r="AD345" s="589"/>
      <c r="AE345" s="589"/>
      <c r="AF345" s="589"/>
      <c r="AG345" s="589"/>
      <c r="AH345" s="589"/>
      <c r="AI345" s="589"/>
      <c r="AJ345" s="589"/>
      <c r="AK345" s="589"/>
      <c r="AL345" s="589"/>
      <c r="AM345" s="589"/>
      <c r="AN345" s="589"/>
      <c r="AO345" s="589"/>
      <c r="AP345" s="589"/>
      <c r="AQ345" s="589"/>
      <c r="AR345" s="589"/>
      <c r="AS345" s="589"/>
    </row>
    <row r="346" spans="1:45" ht="15">
      <c r="A346" s="587" t="s">
        <v>173</v>
      </c>
      <c r="B346" s="587" t="s">
        <v>528</v>
      </c>
      <c r="C346" s="587" t="s">
        <v>812</v>
      </c>
      <c r="D346" s="588">
        <v>2015</v>
      </c>
      <c r="E346" s="587" t="s">
        <v>775</v>
      </c>
      <c r="F346" s="588">
        <v>872</v>
      </c>
      <c r="G346" s="588">
        <v>0</v>
      </c>
      <c r="H346" s="588">
        <v>0</v>
      </c>
      <c r="I346" s="588">
        <v>0</v>
      </c>
      <c r="J346" s="588">
        <v>593</v>
      </c>
      <c r="K346" s="588">
        <v>0</v>
      </c>
      <c r="L346" s="588">
        <v>0</v>
      </c>
      <c r="M346" s="588">
        <v>0</v>
      </c>
      <c r="N346" s="588">
        <v>685</v>
      </c>
      <c r="O346" s="588">
        <v>0</v>
      </c>
      <c r="P346" s="588">
        <v>1642</v>
      </c>
      <c r="Q346" s="588">
        <v>0</v>
      </c>
      <c r="R346" s="588">
        <v>3792</v>
      </c>
      <c r="S346" s="588">
        <v>0</v>
      </c>
      <c r="T346" s="588">
        <v>2015</v>
      </c>
      <c r="U346" s="588">
        <v>2014</v>
      </c>
      <c r="V346" s="589"/>
      <c r="W346" s="589"/>
      <c r="X346" s="589"/>
      <c r="Y346" s="589"/>
      <c r="Z346" s="589"/>
      <c r="AA346" s="589"/>
      <c r="AB346" s="589"/>
      <c r="AC346" s="589"/>
      <c r="AD346" s="589"/>
      <c r="AE346" s="589"/>
      <c r="AF346" s="589"/>
      <c r="AG346" s="589"/>
      <c r="AH346" s="589"/>
      <c r="AI346" s="589"/>
      <c r="AJ346" s="589"/>
      <c r="AK346" s="589"/>
      <c r="AL346" s="589"/>
      <c r="AM346" s="589"/>
      <c r="AN346" s="589"/>
      <c r="AO346" s="589"/>
      <c r="AP346" s="589"/>
      <c r="AQ346" s="589"/>
      <c r="AR346" s="589"/>
      <c r="AS346" s="589"/>
    </row>
    <row r="347" spans="1:45" ht="15">
      <c r="A347" s="590" t="s">
        <v>153</v>
      </c>
      <c r="B347" s="591" t="s">
        <v>353</v>
      </c>
      <c r="C347" s="591" t="s">
        <v>812</v>
      </c>
      <c r="D347" s="592">
        <v>2015</v>
      </c>
      <c r="E347" s="591" t="s">
        <v>775</v>
      </c>
      <c r="F347" s="592">
        <v>11</v>
      </c>
      <c r="G347" s="592">
        <v>0</v>
      </c>
      <c r="H347" s="592">
        <v>0</v>
      </c>
      <c r="I347" s="592">
        <v>0</v>
      </c>
      <c r="J347" s="592">
        <v>7</v>
      </c>
      <c r="K347" s="592">
        <v>0</v>
      </c>
      <c r="L347" s="592">
        <v>0</v>
      </c>
      <c r="M347" s="592">
        <v>0</v>
      </c>
      <c r="N347" s="593">
        <v>8</v>
      </c>
      <c r="O347" s="593">
        <v>3</v>
      </c>
      <c r="P347" s="593">
        <v>21</v>
      </c>
      <c r="Q347" s="593">
        <v>0</v>
      </c>
      <c r="R347" s="593">
        <v>47</v>
      </c>
      <c r="S347" s="593">
        <v>3</v>
      </c>
      <c r="T347" s="593">
        <v>2015</v>
      </c>
      <c r="U347" s="593">
        <v>2014</v>
      </c>
      <c r="V347" s="589"/>
      <c r="W347" s="589"/>
      <c r="X347" s="589"/>
      <c r="Y347" s="589"/>
      <c r="Z347" s="589"/>
      <c r="AA347" s="589"/>
      <c r="AB347" s="589"/>
      <c r="AC347" s="589"/>
      <c r="AD347" s="589"/>
      <c r="AE347" s="589"/>
      <c r="AF347" s="589"/>
      <c r="AG347" s="589"/>
      <c r="AH347" s="589"/>
      <c r="AI347" s="589"/>
      <c r="AJ347" s="589"/>
      <c r="AK347" s="589"/>
      <c r="AL347" s="589"/>
      <c r="AM347" s="589"/>
      <c r="AN347" s="589"/>
      <c r="AO347" s="589"/>
      <c r="AP347" s="589"/>
      <c r="AQ347" s="589"/>
      <c r="AR347" s="589"/>
      <c r="AS347" s="589"/>
    </row>
    <row r="348" spans="1:45" ht="15">
      <c r="A348" s="587" t="s">
        <v>153</v>
      </c>
      <c r="B348" s="587" t="s">
        <v>354</v>
      </c>
      <c r="C348" s="587" t="s">
        <v>812</v>
      </c>
      <c r="D348" s="588">
        <v>2015</v>
      </c>
      <c r="E348" s="587" t="s">
        <v>775</v>
      </c>
      <c r="F348" s="588">
        <v>11</v>
      </c>
      <c r="G348" s="588">
        <v>0</v>
      </c>
      <c r="H348" s="588">
        <v>0</v>
      </c>
      <c r="I348" s="588">
        <v>0</v>
      </c>
      <c r="J348" s="588">
        <v>7</v>
      </c>
      <c r="K348" s="588">
        <v>0</v>
      </c>
      <c r="L348" s="588">
        <v>0</v>
      </c>
      <c r="M348" s="588">
        <v>0</v>
      </c>
      <c r="N348" s="588">
        <v>8</v>
      </c>
      <c r="O348" s="588">
        <v>1</v>
      </c>
      <c r="P348" s="588">
        <v>20</v>
      </c>
      <c r="Q348" s="588">
        <v>3</v>
      </c>
      <c r="R348" s="588">
        <v>46</v>
      </c>
      <c r="S348" s="588">
        <v>4</v>
      </c>
      <c r="T348" s="588">
        <v>2015</v>
      </c>
      <c r="U348" s="588">
        <v>2014</v>
      </c>
      <c r="V348" s="589"/>
      <c r="W348" s="589"/>
      <c r="X348" s="589"/>
      <c r="Y348" s="589"/>
      <c r="Z348" s="589"/>
      <c r="AA348" s="589"/>
      <c r="AB348" s="589"/>
      <c r="AC348" s="589"/>
      <c r="AD348" s="589"/>
      <c r="AE348" s="589"/>
      <c r="AF348" s="589"/>
      <c r="AG348" s="589"/>
      <c r="AH348" s="589"/>
      <c r="AI348" s="589"/>
      <c r="AJ348" s="589"/>
      <c r="AK348" s="589"/>
      <c r="AL348" s="589"/>
      <c r="AM348" s="589"/>
      <c r="AN348" s="589"/>
      <c r="AO348" s="589"/>
      <c r="AP348" s="589"/>
      <c r="AQ348" s="589"/>
      <c r="AR348" s="589"/>
      <c r="AS348" s="589"/>
    </row>
    <row r="349" spans="1:45" ht="15">
      <c r="A349" s="590" t="s">
        <v>153</v>
      </c>
      <c r="B349" s="591" t="s">
        <v>355</v>
      </c>
      <c r="C349" s="591" t="s">
        <v>812</v>
      </c>
      <c r="D349" s="592">
        <v>2015</v>
      </c>
      <c r="E349" s="591" t="s">
        <v>775</v>
      </c>
      <c r="F349" s="592">
        <v>1</v>
      </c>
      <c r="G349" s="592">
        <v>0</v>
      </c>
      <c r="H349" s="592">
        <v>0</v>
      </c>
      <c r="I349" s="592">
        <v>0</v>
      </c>
      <c r="J349" s="592">
        <v>1</v>
      </c>
      <c r="K349" s="592">
        <v>0</v>
      </c>
      <c r="L349" s="592">
        <v>0</v>
      </c>
      <c r="M349" s="592">
        <v>0</v>
      </c>
      <c r="N349" s="593">
        <v>0</v>
      </c>
      <c r="O349" s="593">
        <v>0</v>
      </c>
      <c r="P349" s="593">
        <v>0</v>
      </c>
      <c r="Q349" s="593">
        <v>3</v>
      </c>
      <c r="R349" s="593">
        <v>2</v>
      </c>
      <c r="S349" s="593">
        <v>3</v>
      </c>
      <c r="T349" s="593">
        <v>2015</v>
      </c>
      <c r="U349" s="593">
        <v>2014</v>
      </c>
      <c r="V349" s="589"/>
      <c r="W349" s="589"/>
      <c r="X349" s="589"/>
      <c r="Y349" s="589"/>
      <c r="Z349" s="589"/>
      <c r="AA349" s="589"/>
      <c r="AB349" s="589"/>
      <c r="AC349" s="589"/>
      <c r="AD349" s="589"/>
      <c r="AE349" s="589"/>
      <c r="AF349" s="589"/>
      <c r="AG349" s="589"/>
      <c r="AH349" s="589"/>
      <c r="AI349" s="589"/>
      <c r="AJ349" s="589"/>
      <c r="AK349" s="589"/>
      <c r="AL349" s="589"/>
      <c r="AM349" s="589"/>
      <c r="AN349" s="589"/>
      <c r="AO349" s="589"/>
      <c r="AP349" s="589"/>
      <c r="AQ349" s="589"/>
      <c r="AR349" s="589"/>
      <c r="AS349" s="589"/>
    </row>
    <row r="350" spans="1:45" ht="15">
      <c r="A350" s="587" t="s">
        <v>184</v>
      </c>
      <c r="B350" s="587" t="s">
        <v>624</v>
      </c>
      <c r="C350" s="587" t="s">
        <v>774</v>
      </c>
      <c r="D350" s="588">
        <v>2015</v>
      </c>
      <c r="E350" s="587" t="s">
        <v>775</v>
      </c>
      <c r="F350" s="588">
        <v>116</v>
      </c>
      <c r="G350" s="588">
        <v>0</v>
      </c>
      <c r="H350" s="588">
        <v>0</v>
      </c>
      <c r="I350" s="588">
        <v>0</v>
      </c>
      <c r="J350" s="588">
        <v>63</v>
      </c>
      <c r="K350" s="588">
        <v>0</v>
      </c>
      <c r="L350" s="588">
        <v>0</v>
      </c>
      <c r="M350" s="588">
        <v>0</v>
      </c>
      <c r="N350" s="588">
        <v>67</v>
      </c>
      <c r="O350" s="588">
        <v>0</v>
      </c>
      <c r="P350" s="588">
        <v>222</v>
      </c>
      <c r="Q350" s="588">
        <v>7</v>
      </c>
      <c r="R350" s="588">
        <v>468</v>
      </c>
      <c r="S350" s="588">
        <v>7</v>
      </c>
      <c r="T350" s="588">
        <v>2015</v>
      </c>
      <c r="U350" s="588">
        <v>2015</v>
      </c>
      <c r="V350" s="589"/>
      <c r="W350" s="589"/>
      <c r="X350" s="589"/>
      <c r="Y350" s="589"/>
      <c r="Z350" s="589"/>
      <c r="AA350" s="589"/>
      <c r="AB350" s="589"/>
      <c r="AC350" s="589"/>
      <c r="AD350" s="589"/>
      <c r="AE350" s="589"/>
      <c r="AF350" s="589"/>
      <c r="AG350" s="589"/>
      <c r="AH350" s="589"/>
      <c r="AI350" s="589"/>
      <c r="AJ350" s="589"/>
      <c r="AK350" s="589"/>
      <c r="AL350" s="589"/>
      <c r="AM350" s="589"/>
      <c r="AN350" s="589"/>
      <c r="AO350" s="589"/>
      <c r="AP350" s="589"/>
      <c r="AQ350" s="589"/>
      <c r="AR350" s="589"/>
      <c r="AS350" s="589"/>
    </row>
    <row r="351" spans="1:45" ht="15">
      <c r="A351" s="590" t="s">
        <v>157</v>
      </c>
      <c r="B351" s="591" t="s">
        <v>436</v>
      </c>
      <c r="C351" s="591" t="s">
        <v>774</v>
      </c>
      <c r="D351" s="592">
        <v>2015</v>
      </c>
      <c r="E351" s="591" t="s">
        <v>775</v>
      </c>
      <c r="F351" s="592">
        <v>4</v>
      </c>
      <c r="G351" s="592">
        <v>0</v>
      </c>
      <c r="H351" s="592">
        <v>0</v>
      </c>
      <c r="I351" s="592">
        <v>0</v>
      </c>
      <c r="J351" s="592">
        <v>3</v>
      </c>
      <c r="K351" s="592">
        <v>0</v>
      </c>
      <c r="L351" s="592">
        <v>0</v>
      </c>
      <c r="M351" s="592">
        <v>0</v>
      </c>
      <c r="N351" s="593">
        <v>4</v>
      </c>
      <c r="O351" s="593">
        <v>0</v>
      </c>
      <c r="P351" s="593">
        <v>5</v>
      </c>
      <c r="Q351" s="593">
        <v>0</v>
      </c>
      <c r="R351" s="593">
        <v>16</v>
      </c>
      <c r="S351" s="593">
        <v>0</v>
      </c>
      <c r="T351" s="593">
        <v>2015</v>
      </c>
      <c r="U351" s="593">
        <v>2015</v>
      </c>
      <c r="V351" s="589"/>
      <c r="W351" s="589"/>
      <c r="X351" s="589"/>
      <c r="Y351" s="589"/>
      <c r="Z351" s="589"/>
      <c r="AA351" s="589"/>
      <c r="AB351" s="589"/>
      <c r="AC351" s="589"/>
      <c r="AD351" s="589"/>
      <c r="AE351" s="589"/>
      <c r="AF351" s="589"/>
      <c r="AG351" s="589"/>
      <c r="AH351" s="589"/>
      <c r="AI351" s="589"/>
      <c r="AJ351" s="589"/>
      <c r="AK351" s="589"/>
      <c r="AL351" s="589"/>
      <c r="AM351" s="589"/>
      <c r="AN351" s="589"/>
      <c r="AO351" s="589"/>
      <c r="AP351" s="589"/>
      <c r="AQ351" s="589"/>
      <c r="AR351" s="589"/>
      <c r="AS351" s="589"/>
    </row>
    <row r="352" spans="1:45" ht="15">
      <c r="A352" s="587" t="s">
        <v>192</v>
      </c>
      <c r="B352" s="587" t="s">
        <v>686</v>
      </c>
      <c r="C352" s="587" t="s">
        <v>774</v>
      </c>
      <c r="D352" s="588">
        <v>2015</v>
      </c>
      <c r="E352" s="587" t="s">
        <v>775</v>
      </c>
      <c r="F352" s="588">
        <v>94</v>
      </c>
      <c r="G352" s="588">
        <v>0</v>
      </c>
      <c r="H352" s="588">
        <v>0</v>
      </c>
      <c r="I352" s="588">
        <v>0</v>
      </c>
      <c r="J352" s="588">
        <v>54</v>
      </c>
      <c r="K352" s="588">
        <v>1</v>
      </c>
      <c r="L352" s="588">
        <v>1</v>
      </c>
      <c r="M352" s="588">
        <v>0</v>
      </c>
      <c r="N352" s="588">
        <v>56</v>
      </c>
      <c r="O352" s="588">
        <v>0</v>
      </c>
      <c r="P352" s="588">
        <v>123</v>
      </c>
      <c r="Q352" s="588">
        <v>2</v>
      </c>
      <c r="R352" s="588">
        <v>327</v>
      </c>
      <c r="S352" s="588">
        <v>3</v>
      </c>
      <c r="T352" s="588">
        <v>2015</v>
      </c>
      <c r="U352" s="588">
        <v>2015</v>
      </c>
      <c r="V352" s="589"/>
      <c r="W352" s="589"/>
      <c r="X352" s="589"/>
      <c r="Y352" s="589"/>
      <c r="Z352" s="589"/>
      <c r="AA352" s="589"/>
      <c r="AB352" s="589"/>
      <c r="AC352" s="589"/>
      <c r="AD352" s="589"/>
      <c r="AE352" s="589"/>
      <c r="AF352" s="589"/>
      <c r="AG352" s="589"/>
      <c r="AH352" s="589"/>
      <c r="AI352" s="589"/>
      <c r="AJ352" s="589"/>
      <c r="AK352" s="589"/>
      <c r="AL352" s="589"/>
      <c r="AM352" s="589"/>
      <c r="AN352" s="589"/>
      <c r="AO352" s="589"/>
      <c r="AP352" s="589"/>
      <c r="AQ352" s="589"/>
      <c r="AR352" s="589"/>
      <c r="AS352" s="589"/>
    </row>
    <row r="353" spans="1:45" ht="15">
      <c r="A353" s="590" t="s">
        <v>125</v>
      </c>
      <c r="B353" s="591" t="s">
        <v>235</v>
      </c>
      <c r="C353" s="591" t="s">
        <v>774</v>
      </c>
      <c r="D353" s="592">
        <v>2015</v>
      </c>
      <c r="E353" s="591" t="s">
        <v>775</v>
      </c>
      <c r="F353" s="592">
        <v>532</v>
      </c>
      <c r="G353" s="592">
        <v>59</v>
      </c>
      <c r="H353" s="592">
        <v>59</v>
      </c>
      <c r="I353" s="592">
        <v>0</v>
      </c>
      <c r="J353" s="592">
        <v>442</v>
      </c>
      <c r="K353" s="592">
        <v>17</v>
      </c>
      <c r="L353" s="592">
        <v>17</v>
      </c>
      <c r="M353" s="592">
        <v>0</v>
      </c>
      <c r="N353" s="593">
        <v>584</v>
      </c>
      <c r="O353" s="593">
        <v>132</v>
      </c>
      <c r="P353" s="593">
        <v>1401</v>
      </c>
      <c r="Q353" s="593">
        <v>326</v>
      </c>
      <c r="R353" s="593">
        <v>2959</v>
      </c>
      <c r="S353" s="593">
        <v>534</v>
      </c>
      <c r="T353" s="593">
        <v>2015</v>
      </c>
      <c r="U353" s="593">
        <v>2015</v>
      </c>
      <c r="V353" s="589"/>
      <c r="W353" s="589"/>
      <c r="X353" s="589"/>
      <c r="Y353" s="589"/>
      <c r="Z353" s="589"/>
      <c r="AA353" s="589"/>
      <c r="AB353" s="589"/>
      <c r="AC353" s="589"/>
      <c r="AD353" s="589"/>
      <c r="AE353" s="589"/>
      <c r="AF353" s="589"/>
      <c r="AG353" s="589"/>
      <c r="AH353" s="589"/>
      <c r="AI353" s="589"/>
      <c r="AJ353" s="589"/>
      <c r="AK353" s="589"/>
      <c r="AL353" s="589"/>
      <c r="AM353" s="589"/>
      <c r="AN353" s="589"/>
      <c r="AO353" s="589"/>
      <c r="AP353" s="589"/>
      <c r="AQ353" s="589"/>
      <c r="AR353" s="589"/>
      <c r="AS353" s="589"/>
    </row>
    <row r="354" spans="1:45" ht="15">
      <c r="A354" s="587" t="s">
        <v>153</v>
      </c>
      <c r="B354" s="587" t="s">
        <v>356</v>
      </c>
      <c r="C354" s="587" t="s">
        <v>812</v>
      </c>
      <c r="D354" s="588">
        <v>2015</v>
      </c>
      <c r="E354" s="587" t="s">
        <v>775</v>
      </c>
      <c r="F354" s="588">
        <v>1</v>
      </c>
      <c r="G354" s="588">
        <v>2</v>
      </c>
      <c r="H354" s="588">
        <v>2</v>
      </c>
      <c r="I354" s="588">
        <v>0</v>
      </c>
      <c r="J354" s="588">
        <v>1</v>
      </c>
      <c r="K354" s="588">
        <v>0</v>
      </c>
      <c r="L354" s="588">
        <v>0</v>
      </c>
      <c r="M354" s="588">
        <v>0</v>
      </c>
      <c r="N354" s="588">
        <v>1</v>
      </c>
      <c r="O354" s="588">
        <v>0</v>
      </c>
      <c r="P354" s="588">
        <v>0</v>
      </c>
      <c r="Q354" s="588">
        <v>21</v>
      </c>
      <c r="R354" s="588">
        <v>3</v>
      </c>
      <c r="S354" s="588">
        <v>23</v>
      </c>
      <c r="T354" s="588">
        <v>2015</v>
      </c>
      <c r="U354" s="588">
        <v>2014</v>
      </c>
      <c r="V354" s="589"/>
      <c r="W354" s="589"/>
      <c r="X354" s="589"/>
      <c r="Y354" s="589"/>
      <c r="Z354" s="589"/>
      <c r="AA354" s="589"/>
      <c r="AB354" s="589"/>
      <c r="AC354" s="589"/>
      <c r="AD354" s="589"/>
      <c r="AE354" s="589"/>
      <c r="AF354" s="589"/>
      <c r="AG354" s="589"/>
      <c r="AH354" s="589"/>
      <c r="AI354" s="589"/>
      <c r="AJ354" s="589"/>
      <c r="AK354" s="589"/>
      <c r="AL354" s="589"/>
      <c r="AM354" s="589"/>
      <c r="AN354" s="589"/>
      <c r="AO354" s="589"/>
      <c r="AP354" s="589"/>
      <c r="AQ354" s="589"/>
      <c r="AR354" s="589"/>
      <c r="AS354" s="589"/>
    </row>
    <row r="355" spans="1:45" ht="15">
      <c r="A355" s="590" t="s">
        <v>131</v>
      </c>
      <c r="B355" s="591" t="s">
        <v>255</v>
      </c>
      <c r="C355" s="591" t="s">
        <v>786</v>
      </c>
      <c r="D355" s="592">
        <v>2015</v>
      </c>
      <c r="E355" s="591" t="s">
        <v>775</v>
      </c>
      <c r="F355" s="592">
        <v>48</v>
      </c>
      <c r="G355" s="592">
        <v>26</v>
      </c>
      <c r="H355" s="592">
        <v>26</v>
      </c>
      <c r="I355" s="592">
        <v>0</v>
      </c>
      <c r="J355" s="592">
        <v>30</v>
      </c>
      <c r="K355" s="592">
        <v>30</v>
      </c>
      <c r="L355" s="592">
        <v>30</v>
      </c>
      <c r="M355" s="592">
        <v>0</v>
      </c>
      <c r="N355" s="593">
        <v>24</v>
      </c>
      <c r="O355" s="593">
        <v>0</v>
      </c>
      <c r="P355" s="593">
        <v>82</v>
      </c>
      <c r="Q355" s="593">
        <v>0</v>
      </c>
      <c r="R355" s="593">
        <v>184</v>
      </c>
      <c r="S355" s="593">
        <v>56</v>
      </c>
      <c r="T355" s="593">
        <v>2015</v>
      </c>
      <c r="U355" s="593">
        <v>2014</v>
      </c>
      <c r="V355" s="589"/>
      <c r="W355" s="589"/>
      <c r="X355" s="589"/>
      <c r="Y355" s="589"/>
      <c r="Z355" s="589"/>
      <c r="AA355" s="589"/>
      <c r="AB355" s="589"/>
      <c r="AC355" s="589"/>
      <c r="AD355" s="589"/>
      <c r="AE355" s="589"/>
      <c r="AF355" s="589"/>
      <c r="AG355" s="589"/>
      <c r="AH355" s="589"/>
      <c r="AI355" s="589"/>
      <c r="AJ355" s="589"/>
      <c r="AK355" s="589"/>
      <c r="AL355" s="589"/>
      <c r="AM355" s="589"/>
      <c r="AN355" s="589"/>
      <c r="AO355" s="589"/>
      <c r="AP355" s="589"/>
      <c r="AQ355" s="589"/>
      <c r="AR355" s="589"/>
      <c r="AS355" s="589"/>
    </row>
    <row r="356" spans="1:45" ht="15">
      <c r="A356" s="587" t="s">
        <v>147</v>
      </c>
      <c r="B356" s="587" t="s">
        <v>322</v>
      </c>
      <c r="C356" s="587" t="s">
        <v>784</v>
      </c>
      <c r="D356" s="588">
        <v>2015</v>
      </c>
      <c r="E356" s="587" t="s">
        <v>775</v>
      </c>
      <c r="F356" s="588">
        <v>15</v>
      </c>
      <c r="G356" s="588">
        <v>0</v>
      </c>
      <c r="H356" s="588">
        <v>0</v>
      </c>
      <c r="I356" s="588">
        <v>0</v>
      </c>
      <c r="J356" s="588">
        <v>10</v>
      </c>
      <c r="K356" s="588">
        <v>1</v>
      </c>
      <c r="L356" s="588">
        <v>1</v>
      </c>
      <c r="M356" s="588">
        <v>0</v>
      </c>
      <c r="N356" s="588">
        <v>12</v>
      </c>
      <c r="O356" s="588">
        <v>2</v>
      </c>
      <c r="P356" s="588">
        <v>28</v>
      </c>
      <c r="Q356" s="588">
        <v>0</v>
      </c>
      <c r="R356" s="588">
        <v>65</v>
      </c>
      <c r="S356" s="588">
        <v>3</v>
      </c>
      <c r="T356" s="588">
        <v>2015</v>
      </c>
      <c r="U356" s="588">
        <v>2014</v>
      </c>
      <c r="V356" s="589"/>
      <c r="W356" s="589"/>
      <c r="X356" s="589"/>
      <c r="Y356" s="589"/>
      <c r="Z356" s="589"/>
      <c r="AA356" s="589"/>
      <c r="AB356" s="589"/>
      <c r="AC356" s="589"/>
      <c r="AD356" s="589"/>
      <c r="AE356" s="589"/>
      <c r="AF356" s="589"/>
      <c r="AG356" s="589"/>
      <c r="AH356" s="589"/>
      <c r="AI356" s="589"/>
      <c r="AJ356" s="589"/>
      <c r="AK356" s="589"/>
      <c r="AL356" s="589"/>
      <c r="AM356" s="589"/>
      <c r="AN356" s="589"/>
      <c r="AO356" s="589"/>
      <c r="AP356" s="589"/>
      <c r="AQ356" s="589"/>
      <c r="AR356" s="589"/>
      <c r="AS356" s="589"/>
    </row>
    <row r="357" spans="1:45" ht="15">
      <c r="A357" s="590" t="s">
        <v>146</v>
      </c>
      <c r="B357" s="591" t="s">
        <v>315</v>
      </c>
      <c r="C357" s="591" t="s">
        <v>812</v>
      </c>
      <c r="D357" s="592">
        <v>2015</v>
      </c>
      <c r="E357" s="591" t="s">
        <v>775</v>
      </c>
      <c r="F357" s="592">
        <v>760</v>
      </c>
      <c r="G357" s="592">
        <v>20</v>
      </c>
      <c r="H357" s="592">
        <v>20</v>
      </c>
      <c r="I357" s="592">
        <v>0</v>
      </c>
      <c r="J357" s="592">
        <v>470</v>
      </c>
      <c r="K357" s="592">
        <v>27</v>
      </c>
      <c r="L357" s="592">
        <v>27</v>
      </c>
      <c r="M357" s="592">
        <v>0</v>
      </c>
      <c r="N357" s="593">
        <v>466</v>
      </c>
      <c r="O357" s="593">
        <v>0</v>
      </c>
      <c r="P357" s="593">
        <v>1338</v>
      </c>
      <c r="Q357" s="593">
        <v>0</v>
      </c>
      <c r="R357" s="593">
        <v>3034</v>
      </c>
      <c r="S357" s="593">
        <v>47</v>
      </c>
      <c r="T357" s="593">
        <v>2015</v>
      </c>
      <c r="U357" s="593">
        <v>2014</v>
      </c>
      <c r="V357" s="589"/>
      <c r="W357" s="589"/>
      <c r="X357" s="589"/>
      <c r="Y357" s="589"/>
      <c r="Z357" s="589"/>
      <c r="AA357" s="589"/>
      <c r="AB357" s="589"/>
      <c r="AC357" s="589"/>
      <c r="AD357" s="589"/>
      <c r="AE357" s="589"/>
      <c r="AF357" s="589"/>
      <c r="AG357" s="589"/>
      <c r="AH357" s="589"/>
      <c r="AI357" s="589"/>
      <c r="AJ357" s="589"/>
      <c r="AK357" s="589"/>
      <c r="AL357" s="589"/>
      <c r="AM357" s="589"/>
      <c r="AN357" s="589"/>
      <c r="AO357" s="589"/>
      <c r="AP357" s="589"/>
      <c r="AQ357" s="589"/>
      <c r="AR357" s="589"/>
      <c r="AS357" s="589"/>
    </row>
    <row r="358" spans="1:45" ht="15">
      <c r="A358" s="587" t="s">
        <v>169</v>
      </c>
      <c r="B358" s="587" t="s">
        <v>487</v>
      </c>
      <c r="C358" s="587" t="s">
        <v>812</v>
      </c>
      <c r="D358" s="588">
        <v>2015</v>
      </c>
      <c r="E358" s="587" t="s">
        <v>775</v>
      </c>
      <c r="F358" s="588">
        <v>426</v>
      </c>
      <c r="G358" s="588">
        <v>0</v>
      </c>
      <c r="H358" s="588">
        <v>0</v>
      </c>
      <c r="I358" s="588">
        <v>0</v>
      </c>
      <c r="J358" s="588">
        <v>305</v>
      </c>
      <c r="K358" s="588">
        <v>0</v>
      </c>
      <c r="L358" s="588">
        <v>0</v>
      </c>
      <c r="M358" s="588">
        <v>0</v>
      </c>
      <c r="N358" s="588">
        <v>335</v>
      </c>
      <c r="O358" s="588">
        <v>0</v>
      </c>
      <c r="P358" s="588">
        <v>785</v>
      </c>
      <c r="Q358" s="588">
        <v>461</v>
      </c>
      <c r="R358" s="588">
        <v>1851</v>
      </c>
      <c r="S358" s="588">
        <v>461</v>
      </c>
      <c r="T358" s="588">
        <v>2015</v>
      </c>
      <c r="U358" s="588">
        <v>2014</v>
      </c>
      <c r="V358" s="589"/>
      <c r="W358" s="589"/>
      <c r="X358" s="589"/>
      <c r="Y358" s="589"/>
      <c r="Z358" s="589"/>
      <c r="AA358" s="589"/>
      <c r="AB358" s="589"/>
      <c r="AC358" s="589"/>
      <c r="AD358" s="589"/>
      <c r="AE358" s="589"/>
      <c r="AF358" s="589"/>
      <c r="AG358" s="589"/>
      <c r="AH358" s="589"/>
      <c r="AI358" s="589"/>
      <c r="AJ358" s="589"/>
      <c r="AK358" s="589"/>
      <c r="AL358" s="589"/>
      <c r="AM358" s="589"/>
      <c r="AN358" s="589"/>
      <c r="AO358" s="589"/>
      <c r="AP358" s="589"/>
      <c r="AQ358" s="589"/>
      <c r="AR358" s="589"/>
      <c r="AS358" s="589"/>
    </row>
    <row r="359" spans="1:45" ht="15">
      <c r="A359" s="590" t="s">
        <v>136</v>
      </c>
      <c r="B359" s="591" t="s">
        <v>266</v>
      </c>
      <c r="C359" s="591" t="s">
        <v>774</v>
      </c>
      <c r="D359" s="592">
        <v>2015</v>
      </c>
      <c r="E359" s="591" t="s">
        <v>775</v>
      </c>
      <c r="F359" s="592">
        <v>234</v>
      </c>
      <c r="G359" s="592">
        <v>0</v>
      </c>
      <c r="H359" s="592">
        <v>0</v>
      </c>
      <c r="I359" s="592">
        <v>0</v>
      </c>
      <c r="J359" s="592">
        <v>124</v>
      </c>
      <c r="K359" s="592">
        <v>5</v>
      </c>
      <c r="L359" s="592">
        <v>5</v>
      </c>
      <c r="M359" s="592">
        <v>0</v>
      </c>
      <c r="N359" s="593">
        <v>123</v>
      </c>
      <c r="O359" s="593">
        <v>0</v>
      </c>
      <c r="P359" s="593">
        <v>279</v>
      </c>
      <c r="Q359" s="593">
        <v>449</v>
      </c>
      <c r="R359" s="593">
        <v>760</v>
      </c>
      <c r="S359" s="593">
        <v>454</v>
      </c>
      <c r="T359" s="593">
        <v>2015</v>
      </c>
      <c r="U359" s="593">
        <v>2015</v>
      </c>
      <c r="V359" s="589"/>
      <c r="W359" s="589"/>
      <c r="X359" s="589"/>
      <c r="Y359" s="589"/>
      <c r="Z359" s="589"/>
      <c r="AA359" s="589"/>
      <c r="AB359" s="589"/>
      <c r="AC359" s="589"/>
      <c r="AD359" s="589"/>
      <c r="AE359" s="589"/>
      <c r="AF359" s="589"/>
      <c r="AG359" s="589"/>
      <c r="AH359" s="589"/>
      <c r="AI359" s="589"/>
      <c r="AJ359" s="589"/>
      <c r="AK359" s="589"/>
      <c r="AL359" s="589"/>
      <c r="AM359" s="589"/>
      <c r="AN359" s="589"/>
      <c r="AO359" s="589"/>
      <c r="AP359" s="589"/>
      <c r="AQ359" s="589"/>
      <c r="AR359" s="589"/>
      <c r="AS359" s="589"/>
    </row>
    <row r="360" spans="1:45" ht="15">
      <c r="A360" s="587" t="s">
        <v>184</v>
      </c>
      <c r="B360" s="587" t="s">
        <v>625</v>
      </c>
      <c r="C360" s="587" t="s">
        <v>774</v>
      </c>
      <c r="D360" s="588">
        <v>2015</v>
      </c>
      <c r="E360" s="587" t="s">
        <v>775</v>
      </c>
      <c r="F360" s="588">
        <v>25</v>
      </c>
      <c r="G360" s="588">
        <v>0</v>
      </c>
      <c r="H360" s="588">
        <v>0</v>
      </c>
      <c r="I360" s="588">
        <v>0</v>
      </c>
      <c r="J360" s="588">
        <v>13</v>
      </c>
      <c r="K360" s="588">
        <v>0</v>
      </c>
      <c r="L360" s="588">
        <v>0</v>
      </c>
      <c r="M360" s="588">
        <v>0</v>
      </c>
      <c r="N360" s="588">
        <v>15</v>
      </c>
      <c r="O360" s="588">
        <v>1</v>
      </c>
      <c r="P360" s="588">
        <v>30</v>
      </c>
      <c r="Q360" s="588">
        <v>2</v>
      </c>
      <c r="R360" s="588">
        <v>83</v>
      </c>
      <c r="S360" s="588">
        <v>3</v>
      </c>
      <c r="T360" s="588">
        <v>2015</v>
      </c>
      <c r="U360" s="588">
        <v>2015</v>
      </c>
      <c r="V360" s="589"/>
      <c r="W360" s="589"/>
      <c r="X360" s="589"/>
      <c r="Y360" s="589"/>
      <c r="Z360" s="589"/>
      <c r="AA360" s="589"/>
      <c r="AB360" s="589"/>
      <c r="AC360" s="589"/>
      <c r="AD360" s="589"/>
      <c r="AE360" s="589"/>
      <c r="AF360" s="589"/>
      <c r="AG360" s="589"/>
      <c r="AH360" s="589"/>
      <c r="AI360" s="589"/>
      <c r="AJ360" s="589"/>
      <c r="AK360" s="589"/>
      <c r="AL360" s="589"/>
      <c r="AM360" s="589"/>
      <c r="AN360" s="589"/>
      <c r="AO360" s="589"/>
      <c r="AP360" s="589"/>
      <c r="AQ360" s="589"/>
      <c r="AR360" s="589"/>
      <c r="AS360" s="589"/>
    </row>
    <row r="361" spans="1:45" ht="15">
      <c r="A361" s="590" t="s">
        <v>185</v>
      </c>
      <c r="B361" s="591" t="s">
        <v>643</v>
      </c>
      <c r="C361" s="591" t="s">
        <v>868</v>
      </c>
      <c r="D361" s="592">
        <v>2015</v>
      </c>
      <c r="E361" s="591" t="s">
        <v>775</v>
      </c>
      <c r="F361" s="592">
        <v>66</v>
      </c>
      <c r="G361" s="592">
        <v>5</v>
      </c>
      <c r="H361" s="592">
        <v>5</v>
      </c>
      <c r="I361" s="592">
        <v>0</v>
      </c>
      <c r="J361" s="592">
        <v>44</v>
      </c>
      <c r="K361" s="592">
        <v>4</v>
      </c>
      <c r="L361" s="592">
        <v>4</v>
      </c>
      <c r="M361" s="592">
        <v>0</v>
      </c>
      <c r="N361" s="593">
        <v>41</v>
      </c>
      <c r="O361" s="593">
        <v>60</v>
      </c>
      <c r="P361" s="593">
        <v>124</v>
      </c>
      <c r="Q361" s="593">
        <v>0</v>
      </c>
      <c r="R361" s="593">
        <v>275</v>
      </c>
      <c r="S361" s="593">
        <v>69</v>
      </c>
      <c r="T361" s="593">
        <v>2015</v>
      </c>
      <c r="U361" s="593">
        <v>2015</v>
      </c>
      <c r="V361" s="589"/>
      <c r="W361" s="589"/>
      <c r="X361" s="589"/>
      <c r="Y361" s="589"/>
      <c r="Z361" s="589"/>
      <c r="AA361" s="589"/>
      <c r="AB361" s="589"/>
      <c r="AC361" s="589"/>
      <c r="AD361" s="589"/>
      <c r="AE361" s="589"/>
      <c r="AF361" s="589"/>
      <c r="AG361" s="589"/>
      <c r="AH361" s="589"/>
      <c r="AI361" s="589"/>
      <c r="AJ361" s="589"/>
      <c r="AK361" s="589"/>
      <c r="AL361" s="589"/>
      <c r="AM361" s="589"/>
      <c r="AN361" s="589"/>
      <c r="AO361" s="589"/>
      <c r="AP361" s="589"/>
      <c r="AQ361" s="589"/>
      <c r="AR361" s="589"/>
      <c r="AS361" s="589"/>
    </row>
    <row r="362" spans="1:45" ht="15">
      <c r="A362" s="587" t="s">
        <v>169</v>
      </c>
      <c r="B362" s="587" t="s">
        <v>488</v>
      </c>
      <c r="C362" s="587" t="s">
        <v>812</v>
      </c>
      <c r="D362" s="588">
        <v>2015</v>
      </c>
      <c r="E362" s="587" t="s">
        <v>775</v>
      </c>
      <c r="F362" s="588">
        <v>76</v>
      </c>
      <c r="G362" s="588">
        <v>0</v>
      </c>
      <c r="H362" s="588">
        <v>0</v>
      </c>
      <c r="I362" s="588">
        <v>0</v>
      </c>
      <c r="J362" s="588">
        <v>53</v>
      </c>
      <c r="K362" s="588">
        <v>0</v>
      </c>
      <c r="L362" s="588">
        <v>0</v>
      </c>
      <c r="M362" s="588">
        <v>0</v>
      </c>
      <c r="N362" s="588">
        <v>62</v>
      </c>
      <c r="O362" s="588">
        <v>72</v>
      </c>
      <c r="P362" s="588">
        <v>148</v>
      </c>
      <c r="Q362" s="588">
        <v>65</v>
      </c>
      <c r="R362" s="588">
        <v>339</v>
      </c>
      <c r="S362" s="588">
        <v>137</v>
      </c>
      <c r="T362" s="588">
        <v>2015</v>
      </c>
      <c r="U362" s="588">
        <v>2014</v>
      </c>
      <c r="V362" s="589"/>
      <c r="W362" s="589"/>
      <c r="X362" s="589"/>
      <c r="Y362" s="589"/>
      <c r="Z362" s="589"/>
      <c r="AA362" s="589"/>
      <c r="AB362" s="589"/>
      <c r="AC362" s="589"/>
      <c r="AD362" s="589"/>
      <c r="AE362" s="589"/>
      <c r="AF362" s="589"/>
      <c r="AG362" s="589"/>
      <c r="AH362" s="589"/>
      <c r="AI362" s="589"/>
      <c r="AJ362" s="589"/>
      <c r="AK362" s="589"/>
      <c r="AL362" s="589"/>
      <c r="AM362" s="589"/>
      <c r="AN362" s="589"/>
      <c r="AO362" s="589"/>
      <c r="AP362" s="589"/>
      <c r="AQ362" s="589"/>
      <c r="AR362" s="589"/>
      <c r="AS362" s="589"/>
    </row>
    <row r="363" spans="1:45" ht="15">
      <c r="A363" s="590" t="s">
        <v>153</v>
      </c>
      <c r="B363" s="591" t="s">
        <v>358</v>
      </c>
      <c r="C363" s="591" t="s">
        <v>812</v>
      </c>
      <c r="D363" s="592">
        <v>2015</v>
      </c>
      <c r="E363" s="591" t="s">
        <v>775</v>
      </c>
      <c r="F363" s="592">
        <v>694</v>
      </c>
      <c r="G363" s="592">
        <v>0</v>
      </c>
      <c r="H363" s="592">
        <v>0</v>
      </c>
      <c r="I363" s="592">
        <v>0</v>
      </c>
      <c r="J363" s="592">
        <v>413</v>
      </c>
      <c r="K363" s="592">
        <v>0</v>
      </c>
      <c r="L363" s="592">
        <v>0</v>
      </c>
      <c r="M363" s="592">
        <v>0</v>
      </c>
      <c r="N363" s="593">
        <v>443</v>
      </c>
      <c r="O363" s="593">
        <v>0</v>
      </c>
      <c r="P363" s="593">
        <v>1134</v>
      </c>
      <c r="Q363" s="593">
        <v>14</v>
      </c>
      <c r="R363" s="593">
        <v>2684</v>
      </c>
      <c r="S363" s="593">
        <v>14</v>
      </c>
      <c r="T363" s="593">
        <v>2015</v>
      </c>
      <c r="U363" s="593">
        <v>2014</v>
      </c>
      <c r="V363" s="589"/>
      <c r="W363" s="589"/>
      <c r="X363" s="589"/>
      <c r="Y363" s="589"/>
      <c r="Z363" s="589"/>
      <c r="AA363" s="589"/>
      <c r="AB363" s="589"/>
      <c r="AC363" s="589"/>
      <c r="AD363" s="589"/>
      <c r="AE363" s="589"/>
      <c r="AF363" s="589"/>
      <c r="AG363" s="589"/>
      <c r="AH363" s="589"/>
      <c r="AI363" s="589"/>
      <c r="AJ363" s="589"/>
      <c r="AK363" s="589"/>
      <c r="AL363" s="589"/>
      <c r="AM363" s="589"/>
      <c r="AN363" s="589"/>
      <c r="AO363" s="589"/>
      <c r="AP363" s="589"/>
      <c r="AQ363" s="589"/>
      <c r="AR363" s="589"/>
      <c r="AS363" s="589"/>
    </row>
    <row r="364" spans="1:45" ht="15">
      <c r="A364" s="587" t="s">
        <v>184</v>
      </c>
      <c r="B364" s="587" t="s">
        <v>626</v>
      </c>
      <c r="C364" s="587" t="s">
        <v>774</v>
      </c>
      <c r="D364" s="588">
        <v>2015</v>
      </c>
      <c r="E364" s="587" t="s">
        <v>775</v>
      </c>
      <c r="F364" s="588">
        <v>276</v>
      </c>
      <c r="G364" s="588">
        <v>0</v>
      </c>
      <c r="H364" s="588">
        <v>0</v>
      </c>
      <c r="I364" s="588">
        <v>0</v>
      </c>
      <c r="J364" s="588">
        <v>144</v>
      </c>
      <c r="K364" s="588">
        <v>0</v>
      </c>
      <c r="L364" s="588">
        <v>0</v>
      </c>
      <c r="M364" s="588">
        <v>0</v>
      </c>
      <c r="N364" s="588">
        <v>155</v>
      </c>
      <c r="O364" s="588">
        <v>0</v>
      </c>
      <c r="P364" s="588">
        <v>288</v>
      </c>
      <c r="Q364" s="588">
        <v>5</v>
      </c>
      <c r="R364" s="588">
        <v>863</v>
      </c>
      <c r="S364" s="588">
        <v>5</v>
      </c>
      <c r="T364" s="588">
        <v>2015</v>
      </c>
      <c r="U364" s="588">
        <v>2015</v>
      </c>
      <c r="V364" s="589"/>
      <c r="W364" s="589"/>
      <c r="X364" s="589"/>
      <c r="Y364" s="589"/>
      <c r="Z364" s="589"/>
      <c r="AA364" s="589"/>
      <c r="AB364" s="589"/>
      <c r="AC364" s="589"/>
      <c r="AD364" s="589"/>
      <c r="AE364" s="589"/>
      <c r="AF364" s="589"/>
      <c r="AG364" s="589"/>
      <c r="AH364" s="589"/>
      <c r="AI364" s="589"/>
      <c r="AJ364" s="589"/>
      <c r="AK364" s="589"/>
      <c r="AL364" s="589"/>
      <c r="AM364" s="589"/>
      <c r="AN364" s="589"/>
      <c r="AO364" s="589"/>
      <c r="AP364" s="589"/>
      <c r="AQ364" s="589"/>
      <c r="AR364" s="589"/>
      <c r="AS364" s="589"/>
    </row>
    <row r="365" spans="1:45" ht="15">
      <c r="A365" s="590" t="s">
        <v>153</v>
      </c>
      <c r="B365" s="591" t="s">
        <v>359</v>
      </c>
      <c r="C365" s="591" t="s">
        <v>812</v>
      </c>
      <c r="D365" s="592">
        <v>2015</v>
      </c>
      <c r="E365" s="591" t="s">
        <v>775</v>
      </c>
      <c r="F365" s="592">
        <v>88</v>
      </c>
      <c r="G365" s="592">
        <v>8</v>
      </c>
      <c r="H365" s="592">
        <v>8</v>
      </c>
      <c r="I365" s="592">
        <v>0</v>
      </c>
      <c r="J365" s="592">
        <v>54</v>
      </c>
      <c r="K365" s="592">
        <v>0</v>
      </c>
      <c r="L365" s="592">
        <v>0</v>
      </c>
      <c r="M365" s="592">
        <v>0</v>
      </c>
      <c r="N365" s="593">
        <v>57</v>
      </c>
      <c r="O365" s="593">
        <v>1</v>
      </c>
      <c r="P365" s="593">
        <v>131</v>
      </c>
      <c r="Q365" s="593">
        <v>15</v>
      </c>
      <c r="R365" s="593">
        <v>330</v>
      </c>
      <c r="S365" s="593">
        <v>24</v>
      </c>
      <c r="T365" s="593">
        <v>2015</v>
      </c>
      <c r="U365" s="593">
        <v>2014</v>
      </c>
      <c r="V365" s="589"/>
      <c r="W365" s="589"/>
      <c r="X365" s="589"/>
      <c r="Y365" s="589"/>
      <c r="Z365" s="589"/>
      <c r="AA365" s="589"/>
      <c r="AB365" s="589"/>
      <c r="AC365" s="589"/>
      <c r="AD365" s="589"/>
      <c r="AE365" s="589"/>
      <c r="AF365" s="589"/>
      <c r="AG365" s="589"/>
      <c r="AH365" s="589"/>
      <c r="AI365" s="589"/>
      <c r="AJ365" s="589"/>
      <c r="AK365" s="589"/>
      <c r="AL365" s="589"/>
      <c r="AM365" s="589"/>
      <c r="AN365" s="589"/>
      <c r="AO365" s="589"/>
      <c r="AP365" s="589"/>
      <c r="AQ365" s="589"/>
      <c r="AR365" s="589"/>
      <c r="AS365" s="589"/>
    </row>
    <row r="366" spans="1:45" ht="15">
      <c r="A366" s="587" t="s">
        <v>134</v>
      </c>
      <c r="B366" s="587" t="s">
        <v>262</v>
      </c>
      <c r="C366" s="587" t="s">
        <v>784</v>
      </c>
      <c r="D366" s="588">
        <v>2015</v>
      </c>
      <c r="E366" s="587" t="s">
        <v>775</v>
      </c>
      <c r="F366" s="588">
        <v>241</v>
      </c>
      <c r="G366" s="588">
        <v>8</v>
      </c>
      <c r="H366" s="588">
        <v>0</v>
      </c>
      <c r="I366" s="588">
        <v>8</v>
      </c>
      <c r="J366" s="588">
        <v>175</v>
      </c>
      <c r="K366" s="588">
        <v>15</v>
      </c>
      <c r="L366" s="588">
        <v>0</v>
      </c>
      <c r="M366" s="588">
        <v>15</v>
      </c>
      <c r="N366" s="588">
        <v>192</v>
      </c>
      <c r="O366" s="588">
        <v>45</v>
      </c>
      <c r="P366" s="588">
        <v>471</v>
      </c>
      <c r="Q366" s="588">
        <v>49</v>
      </c>
      <c r="R366" s="588">
        <v>1079</v>
      </c>
      <c r="S366" s="588">
        <v>117</v>
      </c>
      <c r="T366" s="588">
        <v>2015</v>
      </c>
      <c r="U366" s="588">
        <v>2014</v>
      </c>
      <c r="V366" s="589"/>
      <c r="W366" s="589"/>
      <c r="X366" s="589"/>
      <c r="Y366" s="589"/>
      <c r="Z366" s="589"/>
      <c r="AA366" s="589"/>
      <c r="AB366" s="589"/>
      <c r="AC366" s="589"/>
      <c r="AD366" s="589"/>
      <c r="AE366" s="589"/>
      <c r="AF366" s="589"/>
      <c r="AG366" s="589"/>
      <c r="AH366" s="589"/>
      <c r="AI366" s="589"/>
      <c r="AJ366" s="589"/>
      <c r="AK366" s="589"/>
      <c r="AL366" s="589"/>
      <c r="AM366" s="589"/>
      <c r="AN366" s="589"/>
      <c r="AO366" s="589"/>
      <c r="AP366" s="589"/>
      <c r="AQ366" s="589"/>
      <c r="AR366" s="589"/>
      <c r="AS366" s="589"/>
    </row>
    <row r="367" spans="1:45" ht="15">
      <c r="A367" s="590" t="s">
        <v>146</v>
      </c>
      <c r="B367" s="591" t="s">
        <v>316</v>
      </c>
      <c r="C367" s="591" t="s">
        <v>812</v>
      </c>
      <c r="D367" s="592">
        <v>2015</v>
      </c>
      <c r="E367" s="591" t="s">
        <v>775</v>
      </c>
      <c r="F367" s="592">
        <v>817</v>
      </c>
      <c r="G367" s="592">
        <v>0</v>
      </c>
      <c r="H367" s="592">
        <v>0</v>
      </c>
      <c r="I367" s="592">
        <v>0</v>
      </c>
      <c r="J367" s="592">
        <v>489</v>
      </c>
      <c r="K367" s="592">
        <v>0</v>
      </c>
      <c r="L367" s="592">
        <v>0</v>
      </c>
      <c r="M367" s="592">
        <v>0</v>
      </c>
      <c r="N367" s="593">
        <v>490</v>
      </c>
      <c r="O367" s="593">
        <v>10</v>
      </c>
      <c r="P367" s="593">
        <v>1428</v>
      </c>
      <c r="Q367" s="593">
        <v>0</v>
      </c>
      <c r="R367" s="593">
        <v>3224</v>
      </c>
      <c r="S367" s="593">
        <v>10</v>
      </c>
      <c r="T367" s="593">
        <v>2015</v>
      </c>
      <c r="U367" s="593">
        <v>2014</v>
      </c>
      <c r="V367" s="589"/>
      <c r="W367" s="589"/>
      <c r="X367" s="589"/>
      <c r="Y367" s="589"/>
      <c r="Z367" s="589"/>
      <c r="AA367" s="589"/>
      <c r="AB367" s="589"/>
      <c r="AC367" s="589"/>
      <c r="AD367" s="589"/>
      <c r="AE367" s="589"/>
      <c r="AF367" s="589"/>
      <c r="AG367" s="589"/>
      <c r="AH367" s="589"/>
      <c r="AI367" s="589"/>
      <c r="AJ367" s="589"/>
      <c r="AK367" s="589"/>
      <c r="AL367" s="589"/>
      <c r="AM367" s="589"/>
      <c r="AN367" s="589"/>
      <c r="AO367" s="589"/>
      <c r="AP367" s="589"/>
      <c r="AQ367" s="589"/>
      <c r="AR367" s="589"/>
      <c r="AS367" s="589"/>
    </row>
    <row r="368" spans="1:45" ht="15">
      <c r="A368" s="587" t="s">
        <v>173</v>
      </c>
      <c r="B368" s="587" t="s">
        <v>531</v>
      </c>
      <c r="C368" s="587" t="s">
        <v>812</v>
      </c>
      <c r="D368" s="588">
        <v>2015</v>
      </c>
      <c r="E368" s="587" t="s">
        <v>775</v>
      </c>
      <c r="F368" s="588">
        <v>543</v>
      </c>
      <c r="G368" s="588">
        <v>0</v>
      </c>
      <c r="H368" s="588">
        <v>0</v>
      </c>
      <c r="I368" s="588">
        <v>0</v>
      </c>
      <c r="J368" s="588">
        <v>383</v>
      </c>
      <c r="K368" s="588">
        <v>0</v>
      </c>
      <c r="L368" s="588">
        <v>0</v>
      </c>
      <c r="M368" s="588">
        <v>0</v>
      </c>
      <c r="N368" s="588">
        <v>433</v>
      </c>
      <c r="O368" s="588">
        <v>0</v>
      </c>
      <c r="P368" s="588">
        <v>982</v>
      </c>
      <c r="Q368" s="588">
        <v>77</v>
      </c>
      <c r="R368" s="588">
        <v>2341</v>
      </c>
      <c r="S368" s="588">
        <v>77</v>
      </c>
      <c r="T368" s="588">
        <v>2015</v>
      </c>
      <c r="U368" s="588">
        <v>2014</v>
      </c>
      <c r="V368" s="589"/>
      <c r="W368" s="589"/>
      <c r="X368" s="589"/>
      <c r="Y368" s="589"/>
      <c r="Z368" s="589"/>
      <c r="AA368" s="589"/>
      <c r="AB368" s="589"/>
      <c r="AC368" s="589"/>
      <c r="AD368" s="589"/>
      <c r="AE368" s="589"/>
      <c r="AF368" s="589"/>
      <c r="AG368" s="589"/>
      <c r="AH368" s="589"/>
      <c r="AI368" s="589"/>
      <c r="AJ368" s="589"/>
      <c r="AK368" s="589"/>
      <c r="AL368" s="589"/>
      <c r="AM368" s="589"/>
      <c r="AN368" s="589"/>
      <c r="AO368" s="589"/>
      <c r="AP368" s="589"/>
      <c r="AQ368" s="589"/>
      <c r="AR368" s="589"/>
      <c r="AS368" s="589"/>
    </row>
    <row r="369" spans="1:45" ht="15">
      <c r="A369" s="590" t="s">
        <v>166</v>
      </c>
      <c r="B369" s="591" t="s">
        <v>477</v>
      </c>
      <c r="C369" s="591" t="s">
        <v>774</v>
      </c>
      <c r="D369" s="592">
        <v>2015</v>
      </c>
      <c r="E369" s="591" t="s">
        <v>775</v>
      </c>
      <c r="F369" s="592">
        <v>6</v>
      </c>
      <c r="G369" s="592">
        <v>0</v>
      </c>
      <c r="H369" s="592">
        <v>0</v>
      </c>
      <c r="I369" s="592">
        <v>0</v>
      </c>
      <c r="J369" s="592">
        <v>2</v>
      </c>
      <c r="K369" s="592">
        <v>0</v>
      </c>
      <c r="L369" s="592">
        <v>0</v>
      </c>
      <c r="M369" s="592">
        <v>0</v>
      </c>
      <c r="N369" s="593">
        <v>4</v>
      </c>
      <c r="O369" s="593">
        <v>0</v>
      </c>
      <c r="P369" s="593">
        <v>15</v>
      </c>
      <c r="Q369" s="593">
        <v>4</v>
      </c>
      <c r="R369" s="593">
        <v>27</v>
      </c>
      <c r="S369" s="593">
        <v>4</v>
      </c>
      <c r="T369" s="593">
        <v>2015</v>
      </c>
      <c r="U369" s="593">
        <v>2015</v>
      </c>
      <c r="V369" s="589"/>
      <c r="W369" s="589"/>
      <c r="X369" s="589"/>
      <c r="Y369" s="589"/>
      <c r="Z369" s="589"/>
      <c r="AA369" s="589"/>
      <c r="AB369" s="589"/>
      <c r="AC369" s="589"/>
      <c r="AD369" s="589"/>
      <c r="AE369" s="589"/>
      <c r="AF369" s="589"/>
      <c r="AG369" s="589"/>
      <c r="AH369" s="589"/>
      <c r="AI369" s="589"/>
      <c r="AJ369" s="589"/>
      <c r="AK369" s="589"/>
      <c r="AL369" s="589"/>
      <c r="AM369" s="589"/>
      <c r="AN369" s="589"/>
      <c r="AO369" s="589"/>
      <c r="AP369" s="589"/>
      <c r="AQ369" s="589"/>
      <c r="AR369" s="589"/>
      <c r="AS369" s="589"/>
    </row>
    <row r="370" spans="1:45" ht="15">
      <c r="A370" s="587" t="s">
        <v>201</v>
      </c>
      <c r="B370" s="587" t="s">
        <v>730</v>
      </c>
      <c r="C370" s="587" t="s">
        <v>812</v>
      </c>
      <c r="D370" s="588">
        <v>2015</v>
      </c>
      <c r="E370" s="587" t="s">
        <v>775</v>
      </c>
      <c r="F370" s="588">
        <v>539</v>
      </c>
      <c r="G370" s="588">
        <v>0</v>
      </c>
      <c r="H370" s="588">
        <v>0</v>
      </c>
      <c r="I370" s="588">
        <v>0</v>
      </c>
      <c r="J370" s="588">
        <v>366</v>
      </c>
      <c r="K370" s="588">
        <v>0</v>
      </c>
      <c r="L370" s="588">
        <v>0</v>
      </c>
      <c r="M370" s="588">
        <v>0</v>
      </c>
      <c r="N370" s="588">
        <v>411</v>
      </c>
      <c r="O370" s="588">
        <v>2</v>
      </c>
      <c r="P370" s="588">
        <v>908</v>
      </c>
      <c r="Q370" s="588">
        <v>94</v>
      </c>
      <c r="R370" s="588">
        <v>2224</v>
      </c>
      <c r="S370" s="588">
        <v>96</v>
      </c>
      <c r="T370" s="588">
        <v>2015</v>
      </c>
      <c r="U370" s="588">
        <v>2014</v>
      </c>
      <c r="V370" s="589"/>
      <c r="W370" s="589"/>
      <c r="X370" s="589"/>
      <c r="Y370" s="589"/>
      <c r="Z370" s="589"/>
      <c r="AA370" s="589"/>
      <c r="AB370" s="589"/>
      <c r="AC370" s="589"/>
      <c r="AD370" s="589"/>
      <c r="AE370" s="589"/>
      <c r="AF370" s="589"/>
      <c r="AG370" s="589"/>
      <c r="AH370" s="589"/>
      <c r="AI370" s="589"/>
      <c r="AJ370" s="589"/>
      <c r="AK370" s="589"/>
      <c r="AL370" s="589"/>
      <c r="AM370" s="589"/>
      <c r="AN370" s="589"/>
      <c r="AO370" s="589"/>
      <c r="AP370" s="589"/>
      <c r="AQ370" s="589"/>
      <c r="AR370" s="589"/>
      <c r="AS370" s="589"/>
    </row>
    <row r="371" spans="1:45" ht="15">
      <c r="A371" s="590" t="s">
        <v>187</v>
      </c>
      <c r="B371" s="591" t="s">
        <v>651</v>
      </c>
      <c r="C371" s="591" t="s">
        <v>774</v>
      </c>
      <c r="D371" s="592">
        <v>2015</v>
      </c>
      <c r="E371" s="591" t="s">
        <v>775</v>
      </c>
      <c r="F371" s="592">
        <v>253</v>
      </c>
      <c r="G371" s="592">
        <v>0</v>
      </c>
      <c r="H371" s="592">
        <v>0</v>
      </c>
      <c r="I371" s="592">
        <v>0</v>
      </c>
      <c r="J371" s="592">
        <v>138</v>
      </c>
      <c r="K371" s="592">
        <v>0</v>
      </c>
      <c r="L371" s="592">
        <v>0</v>
      </c>
      <c r="M371" s="592">
        <v>0</v>
      </c>
      <c r="N371" s="593">
        <v>151</v>
      </c>
      <c r="O371" s="593">
        <v>0</v>
      </c>
      <c r="P371" s="593">
        <v>391</v>
      </c>
      <c r="Q371" s="593">
        <v>52</v>
      </c>
      <c r="R371" s="593">
        <v>933</v>
      </c>
      <c r="S371" s="593">
        <v>52</v>
      </c>
      <c r="T371" s="593">
        <v>2015</v>
      </c>
      <c r="U371" s="593">
        <v>2015</v>
      </c>
      <c r="V371" s="589"/>
      <c r="W371" s="589"/>
      <c r="X371" s="589"/>
      <c r="Y371" s="589"/>
      <c r="Z371" s="589"/>
      <c r="AA371" s="589"/>
      <c r="AB371" s="589"/>
      <c r="AC371" s="589"/>
      <c r="AD371" s="589"/>
      <c r="AE371" s="589"/>
      <c r="AF371" s="589"/>
      <c r="AG371" s="589"/>
      <c r="AH371" s="589"/>
      <c r="AI371" s="589"/>
      <c r="AJ371" s="589"/>
      <c r="AK371" s="589"/>
      <c r="AL371" s="589"/>
      <c r="AM371" s="589"/>
      <c r="AN371" s="589"/>
      <c r="AO371" s="589"/>
      <c r="AP371" s="589"/>
      <c r="AQ371" s="589"/>
      <c r="AR371" s="589"/>
      <c r="AS371" s="589"/>
    </row>
    <row r="372" spans="1:45" ht="15">
      <c r="A372" s="587" t="s">
        <v>173</v>
      </c>
      <c r="B372" s="587" t="s">
        <v>532</v>
      </c>
      <c r="C372" s="587" t="s">
        <v>812</v>
      </c>
      <c r="D372" s="588">
        <v>2015</v>
      </c>
      <c r="E372" s="587" t="s">
        <v>775</v>
      </c>
      <c r="F372" s="588">
        <v>21</v>
      </c>
      <c r="G372" s="588">
        <v>0</v>
      </c>
      <c r="H372" s="588">
        <v>0</v>
      </c>
      <c r="I372" s="588">
        <v>0</v>
      </c>
      <c r="J372" s="588">
        <v>14</v>
      </c>
      <c r="K372" s="588">
        <v>0</v>
      </c>
      <c r="L372" s="588">
        <v>0</v>
      </c>
      <c r="M372" s="588">
        <v>0</v>
      </c>
      <c r="N372" s="588">
        <v>16</v>
      </c>
      <c r="O372" s="588">
        <v>4</v>
      </c>
      <c r="P372" s="588">
        <v>32</v>
      </c>
      <c r="Q372" s="588">
        <v>6</v>
      </c>
      <c r="R372" s="588">
        <v>83</v>
      </c>
      <c r="S372" s="588">
        <v>10</v>
      </c>
      <c r="T372" s="588">
        <v>2015</v>
      </c>
      <c r="U372" s="588">
        <v>2014</v>
      </c>
      <c r="V372" s="589"/>
      <c r="W372" s="589"/>
      <c r="X372" s="589"/>
      <c r="Y372" s="589"/>
      <c r="Z372" s="589"/>
      <c r="AA372" s="589"/>
      <c r="AB372" s="589"/>
      <c r="AC372" s="589"/>
      <c r="AD372" s="589"/>
      <c r="AE372" s="589"/>
      <c r="AF372" s="589"/>
      <c r="AG372" s="589"/>
      <c r="AH372" s="589"/>
      <c r="AI372" s="589"/>
      <c r="AJ372" s="589"/>
      <c r="AK372" s="589"/>
      <c r="AL372" s="589"/>
      <c r="AM372" s="589"/>
      <c r="AN372" s="589"/>
      <c r="AO372" s="589"/>
      <c r="AP372" s="589"/>
      <c r="AQ372" s="589"/>
      <c r="AR372" s="589"/>
      <c r="AS372" s="589"/>
    </row>
    <row r="373" spans="1:45" ht="15">
      <c r="A373" s="590" t="s">
        <v>188</v>
      </c>
      <c r="B373" s="591" t="s">
        <v>666</v>
      </c>
      <c r="C373" s="591" t="s">
        <v>177</v>
      </c>
      <c r="D373" s="592">
        <v>2015</v>
      </c>
      <c r="E373" s="591" t="s">
        <v>775</v>
      </c>
      <c r="F373" s="592">
        <v>34</v>
      </c>
      <c r="G373" s="592">
        <v>0</v>
      </c>
      <c r="H373" s="592">
        <v>0</v>
      </c>
      <c r="I373" s="592">
        <v>0</v>
      </c>
      <c r="J373" s="592">
        <v>23</v>
      </c>
      <c r="K373" s="592">
        <v>0</v>
      </c>
      <c r="L373" s="592">
        <v>0</v>
      </c>
      <c r="M373" s="592">
        <v>0</v>
      </c>
      <c r="N373" s="593">
        <v>26</v>
      </c>
      <c r="O373" s="593">
        <v>0</v>
      </c>
      <c r="P373" s="593">
        <v>60</v>
      </c>
      <c r="Q373" s="593">
        <v>2</v>
      </c>
      <c r="R373" s="593">
        <v>143</v>
      </c>
      <c r="S373" s="593">
        <v>2</v>
      </c>
      <c r="T373" s="593">
        <v>2016</v>
      </c>
      <c r="U373" s="593">
        <v>2016</v>
      </c>
      <c r="V373" s="589"/>
      <c r="W373" s="589"/>
      <c r="X373" s="589"/>
      <c r="Y373" s="589"/>
      <c r="Z373" s="589"/>
      <c r="AA373" s="589"/>
      <c r="AB373" s="589"/>
      <c r="AC373" s="589"/>
      <c r="AD373" s="589"/>
      <c r="AE373" s="589"/>
      <c r="AF373" s="589"/>
      <c r="AG373" s="589"/>
      <c r="AH373" s="589"/>
      <c r="AI373" s="589"/>
      <c r="AJ373" s="589"/>
      <c r="AK373" s="589"/>
      <c r="AL373" s="589"/>
      <c r="AM373" s="589"/>
      <c r="AN373" s="589"/>
      <c r="AO373" s="589"/>
      <c r="AP373" s="589"/>
      <c r="AQ373" s="589"/>
      <c r="AR373" s="589"/>
      <c r="AS373" s="589"/>
    </row>
    <row r="374" spans="1:45" ht="15">
      <c r="A374" s="587" t="s">
        <v>179</v>
      </c>
      <c r="B374" s="587" t="s">
        <v>590</v>
      </c>
      <c r="C374" s="587" t="s">
        <v>855</v>
      </c>
      <c r="D374" s="588">
        <v>2015</v>
      </c>
      <c r="E374" s="587" t="s">
        <v>775</v>
      </c>
      <c r="F374" s="588">
        <v>912</v>
      </c>
      <c r="G374" s="588">
        <v>0</v>
      </c>
      <c r="H374" s="588">
        <v>0</v>
      </c>
      <c r="I374" s="588">
        <v>0</v>
      </c>
      <c r="J374" s="588">
        <v>693</v>
      </c>
      <c r="K374" s="588">
        <v>9</v>
      </c>
      <c r="L374" s="588">
        <v>9</v>
      </c>
      <c r="M374" s="588">
        <v>0</v>
      </c>
      <c r="N374" s="588">
        <v>1062</v>
      </c>
      <c r="O374" s="588">
        <v>20</v>
      </c>
      <c r="P374" s="588">
        <v>2332</v>
      </c>
      <c r="Q374" s="588">
        <v>200</v>
      </c>
      <c r="R374" s="588">
        <v>4999</v>
      </c>
      <c r="S374" s="588">
        <v>229</v>
      </c>
      <c r="T374" s="588">
        <v>2015</v>
      </c>
      <c r="U374" s="588">
        <v>2013</v>
      </c>
      <c r="V374" s="589"/>
      <c r="W374" s="589"/>
      <c r="X374" s="589"/>
      <c r="Y374" s="589"/>
      <c r="Z374" s="589"/>
      <c r="AA374" s="589"/>
      <c r="AB374" s="589"/>
      <c r="AC374" s="589"/>
      <c r="AD374" s="589"/>
      <c r="AE374" s="589"/>
      <c r="AF374" s="589"/>
      <c r="AG374" s="589"/>
      <c r="AH374" s="589"/>
      <c r="AI374" s="589"/>
      <c r="AJ374" s="589"/>
      <c r="AK374" s="589"/>
      <c r="AL374" s="589"/>
      <c r="AM374" s="589"/>
      <c r="AN374" s="589"/>
      <c r="AO374" s="589"/>
      <c r="AP374" s="589"/>
      <c r="AQ374" s="589"/>
      <c r="AR374" s="589"/>
      <c r="AS374" s="589"/>
    </row>
    <row r="375" spans="1:45" ht="15">
      <c r="A375" s="590" t="s">
        <v>185</v>
      </c>
      <c r="B375" s="591" t="s">
        <v>644</v>
      </c>
      <c r="C375" s="591" t="s">
        <v>868</v>
      </c>
      <c r="D375" s="592">
        <v>2015</v>
      </c>
      <c r="E375" s="591" t="s">
        <v>775</v>
      </c>
      <c r="F375" s="592">
        <v>39</v>
      </c>
      <c r="G375" s="592">
        <v>33</v>
      </c>
      <c r="H375" s="592">
        <v>33</v>
      </c>
      <c r="I375" s="592">
        <v>0</v>
      </c>
      <c r="J375" s="592">
        <v>26</v>
      </c>
      <c r="K375" s="592">
        <v>9</v>
      </c>
      <c r="L375" s="592">
        <v>9</v>
      </c>
      <c r="M375" s="592">
        <v>0</v>
      </c>
      <c r="N375" s="593">
        <v>34</v>
      </c>
      <c r="O375" s="593">
        <v>2</v>
      </c>
      <c r="P375" s="593">
        <v>64</v>
      </c>
      <c r="Q375" s="593">
        <v>82</v>
      </c>
      <c r="R375" s="593">
        <v>163</v>
      </c>
      <c r="S375" s="593">
        <v>126</v>
      </c>
      <c r="T375" s="593">
        <v>2015</v>
      </c>
      <c r="U375" s="593">
        <v>2015</v>
      </c>
      <c r="V375" s="589"/>
      <c r="W375" s="589"/>
      <c r="X375" s="589"/>
      <c r="Y375" s="589"/>
      <c r="Z375" s="589"/>
      <c r="AA375" s="589"/>
      <c r="AB375" s="589"/>
      <c r="AC375" s="589"/>
      <c r="AD375" s="589"/>
      <c r="AE375" s="589"/>
      <c r="AF375" s="589"/>
      <c r="AG375" s="589"/>
      <c r="AH375" s="589"/>
      <c r="AI375" s="589"/>
      <c r="AJ375" s="589"/>
      <c r="AK375" s="589"/>
      <c r="AL375" s="589"/>
      <c r="AM375" s="589"/>
      <c r="AN375" s="589"/>
      <c r="AO375" s="589"/>
      <c r="AP375" s="589"/>
      <c r="AQ375" s="589"/>
      <c r="AR375" s="589"/>
      <c r="AS375" s="589"/>
    </row>
    <row r="376" spans="1:45" ht="15">
      <c r="A376" s="587" t="s">
        <v>153</v>
      </c>
      <c r="B376" s="587" t="s">
        <v>360</v>
      </c>
      <c r="C376" s="587" t="s">
        <v>812</v>
      </c>
      <c r="D376" s="588">
        <v>2015</v>
      </c>
      <c r="E376" s="587" t="s">
        <v>775</v>
      </c>
      <c r="F376" s="588">
        <v>447</v>
      </c>
      <c r="G376" s="588">
        <v>0</v>
      </c>
      <c r="H376" s="588">
        <v>0</v>
      </c>
      <c r="I376" s="588">
        <v>0</v>
      </c>
      <c r="J376" s="588">
        <v>263</v>
      </c>
      <c r="K376" s="588">
        <v>0</v>
      </c>
      <c r="L376" s="588">
        <v>0</v>
      </c>
      <c r="M376" s="588">
        <v>0</v>
      </c>
      <c r="N376" s="588">
        <v>280</v>
      </c>
      <c r="O376" s="588">
        <v>11</v>
      </c>
      <c r="P376" s="588">
        <v>708</v>
      </c>
      <c r="Q376" s="588">
        <v>83</v>
      </c>
      <c r="R376" s="588">
        <v>1698</v>
      </c>
      <c r="S376" s="588">
        <v>94</v>
      </c>
      <c r="T376" s="588">
        <v>2015</v>
      </c>
      <c r="U376" s="588">
        <v>2014</v>
      </c>
      <c r="V376" s="589"/>
      <c r="W376" s="589"/>
      <c r="X376" s="589"/>
      <c r="Y376" s="589"/>
      <c r="Z376" s="589"/>
      <c r="AA376" s="589"/>
      <c r="AB376" s="589"/>
      <c r="AC376" s="589"/>
      <c r="AD376" s="589"/>
      <c r="AE376" s="589"/>
      <c r="AF376" s="589"/>
      <c r="AG376" s="589"/>
      <c r="AH376" s="589"/>
      <c r="AI376" s="589"/>
      <c r="AJ376" s="589"/>
      <c r="AK376" s="589"/>
      <c r="AL376" s="589"/>
      <c r="AM376" s="589"/>
      <c r="AN376" s="589"/>
      <c r="AO376" s="589"/>
      <c r="AP376" s="589"/>
      <c r="AQ376" s="589"/>
      <c r="AR376" s="589"/>
      <c r="AS376" s="589"/>
    </row>
    <row r="377" spans="1:45" ht="15">
      <c r="A377" s="590" t="s">
        <v>173</v>
      </c>
      <c r="B377" s="591" t="s">
        <v>533</v>
      </c>
      <c r="C377" s="591" t="s">
        <v>812</v>
      </c>
      <c r="D377" s="592">
        <v>2015</v>
      </c>
      <c r="E377" s="591" t="s">
        <v>775</v>
      </c>
      <c r="F377" s="592">
        <v>141</v>
      </c>
      <c r="G377" s="592">
        <v>0</v>
      </c>
      <c r="H377" s="592">
        <v>0</v>
      </c>
      <c r="I377" s="592">
        <v>0</v>
      </c>
      <c r="J377" s="592">
        <v>95</v>
      </c>
      <c r="K377" s="592">
        <v>0</v>
      </c>
      <c r="L377" s="592">
        <v>0</v>
      </c>
      <c r="M377" s="592">
        <v>0</v>
      </c>
      <c r="N377" s="593">
        <v>110</v>
      </c>
      <c r="O377" s="593">
        <v>21</v>
      </c>
      <c r="P377" s="593">
        <v>254</v>
      </c>
      <c r="Q377" s="593">
        <v>3</v>
      </c>
      <c r="R377" s="593">
        <v>600</v>
      </c>
      <c r="S377" s="593">
        <v>24</v>
      </c>
      <c r="T377" s="593">
        <v>2015</v>
      </c>
      <c r="U377" s="593">
        <v>2014</v>
      </c>
      <c r="V377" s="589"/>
      <c r="W377" s="589"/>
      <c r="X377" s="589"/>
      <c r="Y377" s="589"/>
      <c r="Z377" s="589"/>
      <c r="AA377" s="589"/>
      <c r="AB377" s="589"/>
      <c r="AC377" s="589"/>
      <c r="AD377" s="589"/>
      <c r="AE377" s="589"/>
      <c r="AF377" s="589"/>
      <c r="AG377" s="589"/>
      <c r="AH377" s="589"/>
      <c r="AI377" s="589"/>
      <c r="AJ377" s="589"/>
      <c r="AK377" s="589"/>
      <c r="AL377" s="589"/>
      <c r="AM377" s="589"/>
      <c r="AN377" s="589"/>
      <c r="AO377" s="589"/>
      <c r="AP377" s="589"/>
      <c r="AQ377" s="589"/>
      <c r="AR377" s="589"/>
      <c r="AS377" s="589"/>
    </row>
    <row r="378" spans="1:45" ht="15">
      <c r="A378" s="587" t="s">
        <v>153</v>
      </c>
      <c r="B378" s="587" t="s">
        <v>361</v>
      </c>
      <c r="C378" s="587" t="s">
        <v>812</v>
      </c>
      <c r="D378" s="588">
        <v>2015</v>
      </c>
      <c r="E378" s="587" t="s">
        <v>775</v>
      </c>
      <c r="F378" s="588">
        <v>23</v>
      </c>
      <c r="G378" s="588">
        <v>0</v>
      </c>
      <c r="H378" s="588">
        <v>0</v>
      </c>
      <c r="I378" s="588">
        <v>0</v>
      </c>
      <c r="J378" s="588">
        <v>14</v>
      </c>
      <c r="K378" s="588">
        <v>0</v>
      </c>
      <c r="L378" s="588">
        <v>0</v>
      </c>
      <c r="M378" s="588">
        <v>0</v>
      </c>
      <c r="N378" s="588">
        <v>14</v>
      </c>
      <c r="O378" s="588">
        <v>0</v>
      </c>
      <c r="P378" s="588">
        <v>35</v>
      </c>
      <c r="Q378" s="588">
        <v>0</v>
      </c>
      <c r="R378" s="588">
        <v>86</v>
      </c>
      <c r="S378" s="588">
        <v>0</v>
      </c>
      <c r="T378" s="588">
        <v>2015</v>
      </c>
      <c r="U378" s="588">
        <v>2014</v>
      </c>
      <c r="V378" s="589"/>
      <c r="W378" s="589"/>
      <c r="X378" s="589"/>
      <c r="Y378" s="589"/>
      <c r="Z378" s="589"/>
      <c r="AA378" s="589"/>
      <c r="AB378" s="589"/>
      <c r="AC378" s="589"/>
      <c r="AD378" s="589"/>
      <c r="AE378" s="589"/>
      <c r="AF378" s="589"/>
      <c r="AG378" s="589"/>
      <c r="AH378" s="589"/>
      <c r="AI378" s="589"/>
      <c r="AJ378" s="589"/>
      <c r="AK378" s="589"/>
      <c r="AL378" s="589"/>
      <c r="AM378" s="589"/>
      <c r="AN378" s="589"/>
      <c r="AO378" s="589"/>
      <c r="AP378" s="589"/>
      <c r="AQ378" s="589"/>
      <c r="AR378" s="589"/>
      <c r="AS378" s="589"/>
    </row>
    <row r="379" spans="1:45" ht="15">
      <c r="A379" s="590" t="s">
        <v>131</v>
      </c>
      <c r="B379" s="591" t="s">
        <v>257</v>
      </c>
      <c r="C379" s="591" t="s">
        <v>786</v>
      </c>
      <c r="D379" s="592">
        <v>2015</v>
      </c>
      <c r="E379" s="591" t="s">
        <v>775</v>
      </c>
      <c r="F379" s="592">
        <v>974</v>
      </c>
      <c r="G379" s="592">
        <v>0</v>
      </c>
      <c r="H379" s="592">
        <v>0</v>
      </c>
      <c r="I379" s="592">
        <v>0</v>
      </c>
      <c r="J379" s="592">
        <v>643</v>
      </c>
      <c r="K379" s="592">
        <v>2</v>
      </c>
      <c r="L379" s="592">
        <v>2</v>
      </c>
      <c r="M379" s="592">
        <v>0</v>
      </c>
      <c r="N379" s="593">
        <v>708</v>
      </c>
      <c r="O379" s="593">
        <v>0</v>
      </c>
      <c r="P379" s="593">
        <v>1638</v>
      </c>
      <c r="Q379" s="593">
        <v>522</v>
      </c>
      <c r="R379" s="593">
        <v>3963</v>
      </c>
      <c r="S379" s="593">
        <v>524</v>
      </c>
      <c r="T379" s="593">
        <v>2015</v>
      </c>
      <c r="U379" s="593">
        <v>2014</v>
      </c>
      <c r="V379" s="589"/>
      <c r="W379" s="589"/>
      <c r="X379" s="589"/>
      <c r="Y379" s="589"/>
      <c r="Z379" s="589"/>
      <c r="AA379" s="589"/>
      <c r="AB379" s="589"/>
      <c r="AC379" s="589"/>
      <c r="AD379" s="589"/>
      <c r="AE379" s="589"/>
      <c r="AF379" s="589"/>
      <c r="AG379" s="589"/>
      <c r="AH379" s="589"/>
      <c r="AI379" s="589"/>
      <c r="AJ379" s="589"/>
      <c r="AK379" s="589"/>
      <c r="AL379" s="589"/>
      <c r="AM379" s="589"/>
      <c r="AN379" s="589"/>
      <c r="AO379" s="589"/>
      <c r="AP379" s="589"/>
      <c r="AQ379" s="589"/>
      <c r="AR379" s="589"/>
      <c r="AS379" s="589"/>
    </row>
    <row r="380" spans="1:45" ht="15">
      <c r="A380" s="587" t="s">
        <v>178</v>
      </c>
      <c r="B380" s="587" t="s">
        <v>570</v>
      </c>
      <c r="C380" s="587" t="s">
        <v>812</v>
      </c>
      <c r="D380" s="588">
        <v>2015</v>
      </c>
      <c r="E380" s="587" t="s">
        <v>775</v>
      </c>
      <c r="F380" s="588">
        <v>707</v>
      </c>
      <c r="G380" s="588">
        <v>135</v>
      </c>
      <c r="H380" s="588">
        <v>135</v>
      </c>
      <c r="I380" s="588">
        <v>0</v>
      </c>
      <c r="J380" s="588">
        <v>478</v>
      </c>
      <c r="K380" s="588">
        <v>0</v>
      </c>
      <c r="L380" s="588">
        <v>0</v>
      </c>
      <c r="M380" s="588">
        <v>0</v>
      </c>
      <c r="N380" s="588">
        <v>533</v>
      </c>
      <c r="O380" s="588">
        <v>0</v>
      </c>
      <c r="P380" s="588">
        <v>1176</v>
      </c>
      <c r="Q380" s="588">
        <v>342</v>
      </c>
      <c r="R380" s="588">
        <v>2894</v>
      </c>
      <c r="S380" s="588">
        <v>477</v>
      </c>
      <c r="T380" s="588">
        <v>2015</v>
      </c>
      <c r="U380" s="588">
        <v>2014</v>
      </c>
      <c r="V380" s="589"/>
      <c r="W380" s="589"/>
      <c r="X380" s="589"/>
      <c r="Y380" s="589"/>
      <c r="Z380" s="589"/>
      <c r="AA380" s="589"/>
      <c r="AB380" s="589"/>
      <c r="AC380" s="589"/>
      <c r="AD380" s="589"/>
      <c r="AE380" s="589"/>
      <c r="AF380" s="589"/>
      <c r="AG380" s="589"/>
      <c r="AH380" s="589"/>
      <c r="AI380" s="589"/>
      <c r="AJ380" s="589"/>
      <c r="AK380" s="589"/>
      <c r="AL380" s="589"/>
      <c r="AM380" s="589"/>
      <c r="AN380" s="589"/>
      <c r="AO380" s="589"/>
      <c r="AP380" s="589"/>
      <c r="AQ380" s="589"/>
      <c r="AR380" s="589"/>
      <c r="AS380" s="589"/>
    </row>
    <row r="381" spans="1:45" ht="15">
      <c r="A381" s="590" t="s">
        <v>178</v>
      </c>
      <c r="B381" s="591" t="s">
        <v>571</v>
      </c>
      <c r="C381" s="591" t="s">
        <v>812</v>
      </c>
      <c r="D381" s="592">
        <v>2015</v>
      </c>
      <c r="E381" s="591" t="s">
        <v>775</v>
      </c>
      <c r="F381" s="592">
        <v>217</v>
      </c>
      <c r="G381" s="592">
        <v>0</v>
      </c>
      <c r="H381" s="592">
        <v>0</v>
      </c>
      <c r="I381" s="592">
        <v>0</v>
      </c>
      <c r="J381" s="592">
        <v>148</v>
      </c>
      <c r="K381" s="592">
        <v>0</v>
      </c>
      <c r="L381" s="592">
        <v>0</v>
      </c>
      <c r="M381" s="592">
        <v>0</v>
      </c>
      <c r="N381" s="593">
        <v>164</v>
      </c>
      <c r="O381" s="593">
        <v>11</v>
      </c>
      <c r="P381" s="593">
        <v>333</v>
      </c>
      <c r="Q381" s="593">
        <v>94</v>
      </c>
      <c r="R381" s="593">
        <v>862</v>
      </c>
      <c r="S381" s="593">
        <v>105</v>
      </c>
      <c r="T381" s="593">
        <v>2015</v>
      </c>
      <c r="U381" s="593">
        <v>2014</v>
      </c>
      <c r="V381" s="589"/>
      <c r="W381" s="589"/>
      <c r="X381" s="589"/>
      <c r="Y381" s="589"/>
      <c r="Z381" s="589"/>
      <c r="AA381" s="589"/>
      <c r="AB381" s="589"/>
      <c r="AC381" s="589"/>
      <c r="AD381" s="589"/>
      <c r="AE381" s="589"/>
      <c r="AF381" s="589"/>
      <c r="AG381" s="589"/>
      <c r="AH381" s="589"/>
      <c r="AI381" s="589"/>
      <c r="AJ381" s="589"/>
      <c r="AK381" s="589"/>
      <c r="AL381" s="589"/>
      <c r="AM381" s="589"/>
      <c r="AN381" s="589"/>
      <c r="AO381" s="589"/>
      <c r="AP381" s="589"/>
      <c r="AQ381" s="589"/>
      <c r="AR381" s="589"/>
      <c r="AS381" s="589"/>
    </row>
    <row r="382" spans="1:45" ht="15">
      <c r="A382" s="587" t="s">
        <v>179</v>
      </c>
      <c r="B382" s="587" t="s">
        <v>591</v>
      </c>
      <c r="C382" s="587" t="s">
        <v>855</v>
      </c>
      <c r="D382" s="588">
        <v>2015</v>
      </c>
      <c r="E382" s="587" t="s">
        <v>775</v>
      </c>
      <c r="F382" s="588">
        <v>3209</v>
      </c>
      <c r="G382" s="588">
        <v>0</v>
      </c>
      <c r="H382" s="588">
        <v>0</v>
      </c>
      <c r="I382" s="588">
        <v>0</v>
      </c>
      <c r="J382" s="588">
        <v>2439</v>
      </c>
      <c r="K382" s="588">
        <v>0</v>
      </c>
      <c r="L382" s="588">
        <v>0</v>
      </c>
      <c r="M382" s="588">
        <v>0</v>
      </c>
      <c r="N382" s="588">
        <v>2257</v>
      </c>
      <c r="O382" s="588">
        <v>0</v>
      </c>
      <c r="P382" s="588">
        <v>4956</v>
      </c>
      <c r="Q382" s="588">
        <v>689</v>
      </c>
      <c r="R382" s="588">
        <v>12861</v>
      </c>
      <c r="S382" s="588">
        <v>689</v>
      </c>
      <c r="T382" s="588">
        <v>2015</v>
      </c>
      <c r="U382" s="588">
        <v>2013</v>
      </c>
      <c r="V382" s="589"/>
      <c r="W382" s="589"/>
      <c r="X382" s="589"/>
      <c r="Y382" s="589"/>
      <c r="Z382" s="589"/>
      <c r="AA382" s="589"/>
      <c r="AB382" s="589"/>
      <c r="AC382" s="589"/>
      <c r="AD382" s="589"/>
      <c r="AE382" s="589"/>
      <c r="AF382" s="589"/>
      <c r="AG382" s="589"/>
      <c r="AH382" s="589"/>
      <c r="AI382" s="589"/>
      <c r="AJ382" s="589"/>
      <c r="AK382" s="589"/>
      <c r="AL382" s="589"/>
      <c r="AM382" s="589"/>
      <c r="AN382" s="589"/>
      <c r="AO382" s="589"/>
      <c r="AP382" s="589"/>
      <c r="AQ382" s="589"/>
      <c r="AR382" s="589"/>
      <c r="AS382" s="589"/>
    </row>
    <row r="383" spans="1:45" ht="15">
      <c r="A383" s="590" t="s">
        <v>174</v>
      </c>
      <c r="B383" s="591" t="s">
        <v>556</v>
      </c>
      <c r="C383" s="591" t="s">
        <v>799</v>
      </c>
      <c r="D383" s="592">
        <v>2015</v>
      </c>
      <c r="E383" s="591" t="s">
        <v>775</v>
      </c>
      <c r="F383" s="592">
        <v>146</v>
      </c>
      <c r="G383" s="592">
        <v>0</v>
      </c>
      <c r="H383" s="592">
        <v>0</v>
      </c>
      <c r="I383" s="592">
        <v>0</v>
      </c>
      <c r="J383" s="592">
        <v>102</v>
      </c>
      <c r="K383" s="592">
        <v>1</v>
      </c>
      <c r="L383" s="592">
        <v>1</v>
      </c>
      <c r="M383" s="592">
        <v>0</v>
      </c>
      <c r="N383" s="593">
        <v>130</v>
      </c>
      <c r="O383" s="593">
        <v>0</v>
      </c>
      <c r="P383" s="593">
        <v>318</v>
      </c>
      <c r="Q383" s="593">
        <v>43</v>
      </c>
      <c r="R383" s="593">
        <v>696</v>
      </c>
      <c r="S383" s="593">
        <v>44</v>
      </c>
      <c r="T383" s="593">
        <v>2015</v>
      </c>
      <c r="U383" s="593">
        <v>2014</v>
      </c>
      <c r="V383" s="589"/>
      <c r="W383" s="589"/>
      <c r="X383" s="589"/>
      <c r="Y383" s="589"/>
      <c r="Z383" s="589"/>
      <c r="AA383" s="589"/>
      <c r="AB383" s="589"/>
      <c r="AC383" s="589"/>
      <c r="AD383" s="589"/>
      <c r="AE383" s="589"/>
      <c r="AF383" s="589"/>
      <c r="AG383" s="589"/>
      <c r="AH383" s="589"/>
      <c r="AI383" s="589"/>
      <c r="AJ383" s="589"/>
      <c r="AK383" s="589"/>
      <c r="AL383" s="589"/>
      <c r="AM383" s="589"/>
      <c r="AN383" s="589"/>
      <c r="AO383" s="589"/>
      <c r="AP383" s="589"/>
      <c r="AQ383" s="589"/>
      <c r="AR383" s="589"/>
      <c r="AS383" s="589"/>
    </row>
    <row r="384" spans="1:45" ht="15">
      <c r="A384" s="587" t="s">
        <v>136</v>
      </c>
      <c r="B384" s="587" t="s">
        <v>267</v>
      </c>
      <c r="C384" s="587" t="s">
        <v>774</v>
      </c>
      <c r="D384" s="588">
        <v>2015</v>
      </c>
      <c r="E384" s="587" t="s">
        <v>775</v>
      </c>
      <c r="F384" s="588">
        <v>51</v>
      </c>
      <c r="G384" s="588">
        <v>0</v>
      </c>
      <c r="H384" s="588">
        <v>0</v>
      </c>
      <c r="I384" s="588">
        <v>0</v>
      </c>
      <c r="J384" s="588">
        <v>25</v>
      </c>
      <c r="K384" s="588">
        <v>0</v>
      </c>
      <c r="L384" s="588">
        <v>0</v>
      </c>
      <c r="M384" s="588">
        <v>0</v>
      </c>
      <c r="N384" s="588">
        <v>31</v>
      </c>
      <c r="O384" s="588">
        <v>0</v>
      </c>
      <c r="P384" s="588">
        <v>34</v>
      </c>
      <c r="Q384" s="588">
        <v>0</v>
      </c>
      <c r="R384" s="588">
        <v>141</v>
      </c>
      <c r="S384" s="588">
        <v>0</v>
      </c>
      <c r="T384" s="588">
        <v>2015</v>
      </c>
      <c r="U384" s="588">
        <v>2015</v>
      </c>
      <c r="V384" s="589"/>
      <c r="W384" s="589"/>
      <c r="X384" s="589"/>
      <c r="Y384" s="589"/>
      <c r="Z384" s="589"/>
      <c r="AA384" s="589"/>
      <c r="AB384" s="589"/>
      <c r="AC384" s="589"/>
      <c r="AD384" s="589"/>
      <c r="AE384" s="589"/>
      <c r="AF384" s="589"/>
      <c r="AG384" s="589"/>
      <c r="AH384" s="589"/>
      <c r="AI384" s="589"/>
      <c r="AJ384" s="589"/>
      <c r="AK384" s="589"/>
      <c r="AL384" s="589"/>
      <c r="AM384" s="589"/>
      <c r="AN384" s="589"/>
      <c r="AO384" s="589"/>
      <c r="AP384" s="589"/>
      <c r="AQ384" s="589"/>
      <c r="AR384" s="589"/>
      <c r="AS384" s="589"/>
    </row>
    <row r="385" spans="1:45" ht="15">
      <c r="A385" s="590" t="s">
        <v>151</v>
      </c>
      <c r="B385" s="591" t="s">
        <v>341</v>
      </c>
      <c r="C385" s="591" t="s">
        <v>784</v>
      </c>
      <c r="D385" s="592">
        <v>2015</v>
      </c>
      <c r="E385" s="591" t="s">
        <v>775</v>
      </c>
      <c r="F385" s="592">
        <v>108</v>
      </c>
      <c r="G385" s="592">
        <v>1</v>
      </c>
      <c r="H385" s="592">
        <v>1</v>
      </c>
      <c r="I385" s="592">
        <v>0</v>
      </c>
      <c r="J385" s="592">
        <v>67</v>
      </c>
      <c r="K385" s="592">
        <v>0</v>
      </c>
      <c r="L385" s="592">
        <v>0</v>
      </c>
      <c r="M385" s="592">
        <v>0</v>
      </c>
      <c r="N385" s="593">
        <v>87</v>
      </c>
      <c r="O385" s="593">
        <v>0</v>
      </c>
      <c r="P385" s="593">
        <v>205</v>
      </c>
      <c r="Q385" s="593">
        <v>1</v>
      </c>
      <c r="R385" s="593">
        <v>467</v>
      </c>
      <c r="S385" s="593">
        <v>2</v>
      </c>
      <c r="T385" s="593">
        <v>2015</v>
      </c>
      <c r="U385" s="593">
        <v>2014</v>
      </c>
      <c r="V385" s="589"/>
      <c r="W385" s="589"/>
      <c r="X385" s="589"/>
      <c r="Y385" s="589"/>
      <c r="Z385" s="589"/>
      <c r="AA385" s="589"/>
      <c r="AB385" s="589"/>
      <c r="AC385" s="589"/>
      <c r="AD385" s="589"/>
      <c r="AE385" s="589"/>
      <c r="AF385" s="589"/>
      <c r="AG385" s="589"/>
      <c r="AH385" s="589"/>
      <c r="AI385" s="589"/>
      <c r="AJ385" s="589"/>
      <c r="AK385" s="589"/>
      <c r="AL385" s="589"/>
      <c r="AM385" s="589"/>
      <c r="AN385" s="589"/>
      <c r="AO385" s="589"/>
      <c r="AP385" s="589"/>
      <c r="AQ385" s="589"/>
      <c r="AR385" s="589"/>
      <c r="AS385" s="589"/>
    </row>
    <row r="386" spans="1:45" ht="15">
      <c r="A386" s="587" t="s">
        <v>193</v>
      </c>
      <c r="B386" s="587" t="s">
        <v>694</v>
      </c>
      <c r="C386" s="587" t="s">
        <v>774</v>
      </c>
      <c r="D386" s="588">
        <v>2015</v>
      </c>
      <c r="E386" s="587" t="s">
        <v>775</v>
      </c>
      <c r="F386" s="588">
        <v>39</v>
      </c>
      <c r="G386" s="588">
        <v>25</v>
      </c>
      <c r="H386" s="588">
        <v>25</v>
      </c>
      <c r="I386" s="588">
        <v>0</v>
      </c>
      <c r="J386" s="588">
        <v>29</v>
      </c>
      <c r="K386" s="588">
        <v>7</v>
      </c>
      <c r="L386" s="588">
        <v>7</v>
      </c>
      <c r="M386" s="588">
        <v>0</v>
      </c>
      <c r="N386" s="588">
        <v>31</v>
      </c>
      <c r="O386" s="588">
        <v>0</v>
      </c>
      <c r="P386" s="588">
        <v>112</v>
      </c>
      <c r="Q386" s="588">
        <v>0</v>
      </c>
      <c r="R386" s="588">
        <v>211</v>
      </c>
      <c r="S386" s="588">
        <v>32</v>
      </c>
      <c r="T386" s="588">
        <v>2015</v>
      </c>
      <c r="U386" s="588">
        <v>2015</v>
      </c>
      <c r="V386" s="589"/>
      <c r="W386" s="589"/>
      <c r="X386" s="589"/>
      <c r="Y386" s="589"/>
      <c r="Z386" s="589"/>
      <c r="AA386" s="589"/>
      <c r="AB386" s="589"/>
      <c r="AC386" s="589"/>
      <c r="AD386" s="589"/>
      <c r="AE386" s="589"/>
      <c r="AF386" s="589"/>
      <c r="AG386" s="589"/>
      <c r="AH386" s="589"/>
      <c r="AI386" s="589"/>
      <c r="AJ386" s="589"/>
      <c r="AK386" s="589"/>
      <c r="AL386" s="589"/>
      <c r="AM386" s="589"/>
      <c r="AN386" s="589"/>
      <c r="AO386" s="589"/>
      <c r="AP386" s="589"/>
      <c r="AQ386" s="589"/>
      <c r="AR386" s="589"/>
      <c r="AS386" s="589"/>
    </row>
    <row r="387" spans="1:45" ht="15">
      <c r="A387" s="590" t="s">
        <v>141</v>
      </c>
      <c r="B387" s="591" t="s">
        <v>290</v>
      </c>
      <c r="C387" s="591" t="s">
        <v>177</v>
      </c>
      <c r="D387" s="592">
        <v>2015</v>
      </c>
      <c r="E387" s="591" t="s">
        <v>775</v>
      </c>
      <c r="F387" s="592">
        <v>2321</v>
      </c>
      <c r="G387" s="592">
        <v>0</v>
      </c>
      <c r="H387" s="592">
        <v>0</v>
      </c>
      <c r="I387" s="592">
        <v>0</v>
      </c>
      <c r="J387" s="592">
        <v>1145</v>
      </c>
      <c r="K387" s="592">
        <v>0</v>
      </c>
      <c r="L387" s="592">
        <v>0</v>
      </c>
      <c r="M387" s="592">
        <v>0</v>
      </c>
      <c r="N387" s="593">
        <v>1018</v>
      </c>
      <c r="O387" s="593">
        <v>456</v>
      </c>
      <c r="P387" s="593">
        <v>1844</v>
      </c>
      <c r="Q387" s="593">
        <v>1296</v>
      </c>
      <c r="R387" s="593">
        <v>6328</v>
      </c>
      <c r="S387" s="593">
        <v>1752</v>
      </c>
      <c r="T387" s="593">
        <v>2016</v>
      </c>
      <c r="U387" s="593">
        <v>2016</v>
      </c>
      <c r="V387" s="589"/>
      <c r="W387" s="589"/>
      <c r="X387" s="589"/>
      <c r="Y387" s="589"/>
      <c r="Z387" s="589"/>
      <c r="AA387" s="589"/>
      <c r="AB387" s="589"/>
      <c r="AC387" s="589"/>
      <c r="AD387" s="589"/>
      <c r="AE387" s="589"/>
      <c r="AF387" s="589"/>
      <c r="AG387" s="589"/>
      <c r="AH387" s="589"/>
      <c r="AI387" s="589"/>
      <c r="AJ387" s="589"/>
      <c r="AK387" s="589"/>
      <c r="AL387" s="589"/>
      <c r="AM387" s="589"/>
      <c r="AN387" s="589"/>
      <c r="AO387" s="589"/>
      <c r="AP387" s="589"/>
      <c r="AQ387" s="589"/>
      <c r="AR387" s="589"/>
      <c r="AS387" s="589"/>
    </row>
    <row r="388" spans="1:45" ht="15">
      <c r="A388" s="587" t="s">
        <v>173</v>
      </c>
      <c r="B388" s="587" t="s">
        <v>534</v>
      </c>
      <c r="C388" s="587" t="s">
        <v>812</v>
      </c>
      <c r="D388" s="588">
        <v>2015</v>
      </c>
      <c r="E388" s="587" t="s">
        <v>775</v>
      </c>
      <c r="F388" s="588">
        <v>1555</v>
      </c>
      <c r="G388" s="588">
        <v>0</v>
      </c>
      <c r="H388" s="588">
        <v>0</v>
      </c>
      <c r="I388" s="588">
        <v>0</v>
      </c>
      <c r="J388" s="588">
        <v>1059</v>
      </c>
      <c r="K388" s="588">
        <v>0</v>
      </c>
      <c r="L388" s="588">
        <v>0</v>
      </c>
      <c r="M388" s="588">
        <v>0</v>
      </c>
      <c r="N388" s="588">
        <v>1212</v>
      </c>
      <c r="O388" s="588">
        <v>0</v>
      </c>
      <c r="P388" s="588">
        <v>2945</v>
      </c>
      <c r="Q388" s="588">
        <v>24</v>
      </c>
      <c r="R388" s="588">
        <v>6771</v>
      </c>
      <c r="S388" s="588">
        <v>24</v>
      </c>
      <c r="T388" s="588">
        <v>2015</v>
      </c>
      <c r="U388" s="588">
        <v>2014</v>
      </c>
      <c r="V388" s="589"/>
      <c r="W388" s="589"/>
      <c r="X388" s="589"/>
      <c r="Y388" s="589"/>
      <c r="Z388" s="589"/>
      <c r="AA388" s="589"/>
      <c r="AB388" s="589"/>
      <c r="AC388" s="589"/>
      <c r="AD388" s="589"/>
      <c r="AE388" s="589"/>
      <c r="AF388" s="589"/>
      <c r="AG388" s="589"/>
      <c r="AH388" s="589"/>
      <c r="AI388" s="589"/>
      <c r="AJ388" s="589"/>
      <c r="AK388" s="589"/>
      <c r="AL388" s="589"/>
      <c r="AM388" s="589"/>
      <c r="AN388" s="589"/>
      <c r="AO388" s="589"/>
      <c r="AP388" s="589"/>
      <c r="AQ388" s="589"/>
      <c r="AR388" s="589"/>
      <c r="AS388" s="589"/>
    </row>
    <row r="389" spans="1:45" ht="15">
      <c r="A389" s="590" t="s">
        <v>141</v>
      </c>
      <c r="B389" s="591" t="s">
        <v>291</v>
      </c>
      <c r="C389" s="591" t="s">
        <v>177</v>
      </c>
      <c r="D389" s="592">
        <v>2015</v>
      </c>
      <c r="E389" s="591" t="s">
        <v>775</v>
      </c>
      <c r="F389" s="592">
        <v>150</v>
      </c>
      <c r="G389" s="592">
        <v>36</v>
      </c>
      <c r="H389" s="592">
        <v>36</v>
      </c>
      <c r="I389" s="592">
        <v>0</v>
      </c>
      <c r="J389" s="592">
        <v>115</v>
      </c>
      <c r="K389" s="592">
        <v>32</v>
      </c>
      <c r="L389" s="592">
        <v>32</v>
      </c>
      <c r="M389" s="592">
        <v>0</v>
      </c>
      <c r="N389" s="593">
        <v>123</v>
      </c>
      <c r="O389" s="593">
        <v>24</v>
      </c>
      <c r="P389" s="593">
        <v>201</v>
      </c>
      <c r="Q389" s="593">
        <v>15</v>
      </c>
      <c r="R389" s="593">
        <v>589</v>
      </c>
      <c r="S389" s="593">
        <v>107</v>
      </c>
      <c r="T389" s="593">
        <v>2016</v>
      </c>
      <c r="U389" s="593">
        <v>2016</v>
      </c>
      <c r="V389" s="589"/>
      <c r="W389" s="589"/>
      <c r="X389" s="589"/>
      <c r="Y389" s="589"/>
      <c r="Z389" s="589"/>
      <c r="AA389" s="589"/>
      <c r="AB389" s="589"/>
      <c r="AC389" s="589"/>
      <c r="AD389" s="589"/>
      <c r="AE389" s="589"/>
      <c r="AF389" s="589"/>
      <c r="AG389" s="589"/>
      <c r="AH389" s="589"/>
      <c r="AI389" s="589"/>
      <c r="AJ389" s="589"/>
      <c r="AK389" s="589"/>
      <c r="AL389" s="589"/>
      <c r="AM389" s="589"/>
      <c r="AN389" s="589"/>
      <c r="AO389" s="589"/>
      <c r="AP389" s="589"/>
      <c r="AQ389" s="589"/>
      <c r="AR389" s="589"/>
      <c r="AS389" s="589"/>
    </row>
    <row r="390" spans="1:45" ht="15">
      <c r="A390" s="587" t="s">
        <v>184</v>
      </c>
      <c r="B390" s="587" t="s">
        <v>627</v>
      </c>
      <c r="C390" s="587" t="s">
        <v>774</v>
      </c>
      <c r="D390" s="588">
        <v>2015</v>
      </c>
      <c r="E390" s="587" t="s">
        <v>775</v>
      </c>
      <c r="F390" s="588">
        <v>20</v>
      </c>
      <c r="G390" s="588">
        <v>0</v>
      </c>
      <c r="H390" s="588">
        <v>0</v>
      </c>
      <c r="I390" s="588">
        <v>0</v>
      </c>
      <c r="J390" s="588">
        <v>8</v>
      </c>
      <c r="K390" s="588">
        <v>0</v>
      </c>
      <c r="L390" s="588">
        <v>0</v>
      </c>
      <c r="M390" s="588">
        <v>0</v>
      </c>
      <c r="N390" s="588">
        <v>9</v>
      </c>
      <c r="O390" s="588">
        <v>0</v>
      </c>
      <c r="P390" s="588">
        <v>22</v>
      </c>
      <c r="Q390" s="588">
        <v>0</v>
      </c>
      <c r="R390" s="588">
        <v>59</v>
      </c>
      <c r="S390" s="588">
        <v>0</v>
      </c>
      <c r="T390" s="588">
        <v>2015</v>
      </c>
      <c r="U390" s="588">
        <v>2015</v>
      </c>
      <c r="V390" s="589"/>
      <c r="W390" s="589"/>
      <c r="X390" s="589"/>
      <c r="Y390" s="589"/>
      <c r="Z390" s="589"/>
      <c r="AA390" s="589"/>
      <c r="AB390" s="589"/>
      <c r="AC390" s="589"/>
      <c r="AD390" s="589"/>
      <c r="AE390" s="589"/>
      <c r="AF390" s="589"/>
      <c r="AG390" s="589"/>
      <c r="AH390" s="589"/>
      <c r="AI390" s="589"/>
      <c r="AJ390" s="589"/>
      <c r="AK390" s="589"/>
      <c r="AL390" s="589"/>
      <c r="AM390" s="589"/>
      <c r="AN390" s="589"/>
      <c r="AO390" s="589"/>
      <c r="AP390" s="589"/>
      <c r="AQ390" s="589"/>
      <c r="AR390" s="589"/>
      <c r="AS390" s="589"/>
    </row>
    <row r="391" spans="1:45" ht="15">
      <c r="A391" s="590" t="s">
        <v>178</v>
      </c>
      <c r="B391" s="591" t="s">
        <v>572</v>
      </c>
      <c r="C391" s="591" t="s">
        <v>812</v>
      </c>
      <c r="D391" s="592">
        <v>2015</v>
      </c>
      <c r="E391" s="591" t="s">
        <v>775</v>
      </c>
      <c r="F391" s="592">
        <v>443</v>
      </c>
      <c r="G391" s="592">
        <v>0</v>
      </c>
      <c r="H391" s="592">
        <v>0</v>
      </c>
      <c r="I391" s="592">
        <v>0</v>
      </c>
      <c r="J391" s="592">
        <v>302</v>
      </c>
      <c r="K391" s="592">
        <v>0</v>
      </c>
      <c r="L391" s="592">
        <v>0</v>
      </c>
      <c r="M391" s="592">
        <v>0</v>
      </c>
      <c r="N391" s="593">
        <v>347</v>
      </c>
      <c r="O391" s="593">
        <v>3</v>
      </c>
      <c r="P391" s="593">
        <v>831</v>
      </c>
      <c r="Q391" s="593">
        <v>13</v>
      </c>
      <c r="R391" s="593">
        <v>1923</v>
      </c>
      <c r="S391" s="593">
        <v>16</v>
      </c>
      <c r="T391" s="593">
        <v>2015</v>
      </c>
      <c r="U391" s="593">
        <v>2014</v>
      </c>
      <c r="V391" s="589"/>
      <c r="W391" s="589"/>
      <c r="X391" s="589"/>
      <c r="Y391" s="589"/>
      <c r="Z391" s="589"/>
      <c r="AA391" s="589"/>
      <c r="AB391" s="589"/>
      <c r="AC391" s="589"/>
      <c r="AD391" s="589"/>
      <c r="AE391" s="589"/>
      <c r="AF391" s="589"/>
      <c r="AG391" s="589"/>
      <c r="AH391" s="589"/>
      <c r="AI391" s="589"/>
      <c r="AJ391" s="589"/>
      <c r="AK391" s="589"/>
      <c r="AL391" s="589"/>
      <c r="AM391" s="589"/>
      <c r="AN391" s="589"/>
      <c r="AO391" s="589"/>
      <c r="AP391" s="589"/>
      <c r="AQ391" s="589"/>
      <c r="AR391" s="589"/>
      <c r="AS391" s="589"/>
    </row>
    <row r="392" spans="1:45" ht="15">
      <c r="A392" s="587" t="s">
        <v>135</v>
      </c>
      <c r="B392" s="587" t="s">
        <v>263</v>
      </c>
      <c r="C392" s="587" t="s">
        <v>784</v>
      </c>
      <c r="D392" s="588">
        <v>2015</v>
      </c>
      <c r="E392" s="587" t="s">
        <v>775</v>
      </c>
      <c r="F392" s="588">
        <v>107</v>
      </c>
      <c r="G392" s="588">
        <v>1</v>
      </c>
      <c r="H392" s="588">
        <v>1</v>
      </c>
      <c r="I392" s="588">
        <v>0</v>
      </c>
      <c r="J392" s="588">
        <v>91</v>
      </c>
      <c r="K392" s="588">
        <v>1</v>
      </c>
      <c r="L392" s="588">
        <v>0</v>
      </c>
      <c r="M392" s="588">
        <v>1</v>
      </c>
      <c r="N392" s="588">
        <v>91</v>
      </c>
      <c r="O392" s="588">
        <v>30</v>
      </c>
      <c r="P392" s="588">
        <v>210</v>
      </c>
      <c r="Q392" s="588">
        <v>13</v>
      </c>
      <c r="R392" s="588">
        <v>499</v>
      </c>
      <c r="S392" s="588">
        <v>45</v>
      </c>
      <c r="T392" s="588">
        <v>2015</v>
      </c>
      <c r="U392" s="588">
        <v>2014</v>
      </c>
      <c r="V392" s="589"/>
      <c r="W392" s="589"/>
      <c r="X392" s="589"/>
      <c r="Y392" s="589"/>
      <c r="Z392" s="589"/>
      <c r="AA392" s="589"/>
      <c r="AB392" s="589"/>
      <c r="AC392" s="589"/>
      <c r="AD392" s="589"/>
      <c r="AE392" s="589"/>
      <c r="AF392" s="589"/>
      <c r="AG392" s="589"/>
      <c r="AH392" s="589"/>
      <c r="AI392" s="589"/>
      <c r="AJ392" s="589"/>
      <c r="AK392" s="589"/>
      <c r="AL392" s="589"/>
      <c r="AM392" s="589"/>
      <c r="AN392" s="589"/>
      <c r="AO392" s="589"/>
      <c r="AP392" s="589"/>
      <c r="AQ392" s="589"/>
      <c r="AR392" s="589"/>
      <c r="AS392" s="589"/>
    </row>
    <row r="393" spans="1:45" ht="15">
      <c r="A393" s="590" t="s">
        <v>136</v>
      </c>
      <c r="B393" s="591" t="s">
        <v>268</v>
      </c>
      <c r="C393" s="591" t="s">
        <v>774</v>
      </c>
      <c r="D393" s="592">
        <v>2015</v>
      </c>
      <c r="E393" s="591" t="s">
        <v>775</v>
      </c>
      <c r="F393" s="592">
        <v>798</v>
      </c>
      <c r="G393" s="592">
        <v>0</v>
      </c>
      <c r="H393" s="592">
        <v>0</v>
      </c>
      <c r="I393" s="592">
        <v>0</v>
      </c>
      <c r="J393" s="592">
        <v>444</v>
      </c>
      <c r="K393" s="592">
        <v>0</v>
      </c>
      <c r="L393" s="592">
        <v>0</v>
      </c>
      <c r="M393" s="592">
        <v>0</v>
      </c>
      <c r="N393" s="593">
        <v>559</v>
      </c>
      <c r="O393" s="593">
        <v>4</v>
      </c>
      <c r="P393" s="593">
        <v>1677</v>
      </c>
      <c r="Q393" s="593">
        <v>33</v>
      </c>
      <c r="R393" s="593">
        <v>3478</v>
      </c>
      <c r="S393" s="593">
        <v>37</v>
      </c>
      <c r="T393" s="593">
        <v>2015</v>
      </c>
      <c r="U393" s="593">
        <v>2015</v>
      </c>
      <c r="V393" s="589"/>
      <c r="W393" s="589"/>
      <c r="X393" s="589"/>
      <c r="Y393" s="589"/>
      <c r="Z393" s="589"/>
      <c r="AA393" s="589"/>
      <c r="AB393" s="589"/>
      <c r="AC393" s="589"/>
      <c r="AD393" s="589"/>
      <c r="AE393" s="589"/>
      <c r="AF393" s="589"/>
      <c r="AG393" s="589"/>
      <c r="AH393" s="589"/>
      <c r="AI393" s="589"/>
      <c r="AJ393" s="589"/>
      <c r="AK393" s="589"/>
      <c r="AL393" s="589"/>
      <c r="AM393" s="589"/>
      <c r="AN393" s="589"/>
      <c r="AO393" s="589"/>
      <c r="AP393" s="589"/>
      <c r="AQ393" s="589"/>
      <c r="AR393" s="589"/>
      <c r="AS393" s="589"/>
    </row>
    <row r="394" spans="1:45" ht="15">
      <c r="A394" s="587" t="s">
        <v>136</v>
      </c>
      <c r="B394" s="587" t="s">
        <v>269</v>
      </c>
      <c r="C394" s="587" t="s">
        <v>774</v>
      </c>
      <c r="D394" s="588">
        <v>2015</v>
      </c>
      <c r="E394" s="587" t="s">
        <v>775</v>
      </c>
      <c r="F394" s="588">
        <v>374</v>
      </c>
      <c r="G394" s="588">
        <v>0</v>
      </c>
      <c r="H394" s="588">
        <v>0</v>
      </c>
      <c r="I394" s="588">
        <v>0</v>
      </c>
      <c r="J394" s="588">
        <v>218</v>
      </c>
      <c r="K394" s="588">
        <v>8</v>
      </c>
      <c r="L394" s="588">
        <v>0</v>
      </c>
      <c r="M394" s="588">
        <v>8</v>
      </c>
      <c r="N394" s="588">
        <v>243</v>
      </c>
      <c r="O394" s="588">
        <v>65</v>
      </c>
      <c r="P394" s="588">
        <v>532</v>
      </c>
      <c r="Q394" s="588">
        <v>276</v>
      </c>
      <c r="R394" s="588">
        <v>1367</v>
      </c>
      <c r="S394" s="588">
        <v>349</v>
      </c>
      <c r="T394" s="588">
        <v>2015</v>
      </c>
      <c r="U394" s="588">
        <v>2015</v>
      </c>
      <c r="V394" s="589"/>
      <c r="W394" s="589"/>
      <c r="X394" s="589"/>
      <c r="Y394" s="589"/>
      <c r="Z394" s="589"/>
      <c r="AA394" s="589"/>
      <c r="AB394" s="589"/>
      <c r="AC394" s="589"/>
      <c r="AD394" s="589"/>
      <c r="AE394" s="589"/>
      <c r="AF394" s="589"/>
      <c r="AG394" s="589"/>
      <c r="AH394" s="589"/>
      <c r="AI394" s="589"/>
      <c r="AJ394" s="589"/>
      <c r="AK394" s="589"/>
      <c r="AL394" s="589"/>
      <c r="AM394" s="589"/>
      <c r="AN394" s="589"/>
      <c r="AO394" s="589"/>
      <c r="AP394" s="589"/>
      <c r="AQ394" s="589"/>
      <c r="AR394" s="589"/>
      <c r="AS394" s="589"/>
    </row>
    <row r="395" spans="1:45" ht="15">
      <c r="A395" s="590" t="s">
        <v>173</v>
      </c>
      <c r="B395" s="591" t="s">
        <v>535</v>
      </c>
      <c r="C395" s="591" t="s">
        <v>812</v>
      </c>
      <c r="D395" s="592">
        <v>2015</v>
      </c>
      <c r="E395" s="591" t="s">
        <v>775</v>
      </c>
      <c r="F395" s="592">
        <v>192</v>
      </c>
      <c r="G395" s="592">
        <v>0</v>
      </c>
      <c r="H395" s="592">
        <v>0</v>
      </c>
      <c r="I395" s="592">
        <v>0</v>
      </c>
      <c r="J395" s="592">
        <v>128</v>
      </c>
      <c r="K395" s="592">
        <v>0</v>
      </c>
      <c r="L395" s="592">
        <v>0</v>
      </c>
      <c r="M395" s="592">
        <v>0</v>
      </c>
      <c r="N395" s="593">
        <v>142</v>
      </c>
      <c r="O395" s="593">
        <v>2</v>
      </c>
      <c r="P395" s="593">
        <v>308</v>
      </c>
      <c r="Q395" s="593">
        <v>559</v>
      </c>
      <c r="R395" s="593">
        <v>770</v>
      </c>
      <c r="S395" s="593">
        <v>561</v>
      </c>
      <c r="T395" s="593">
        <v>2015</v>
      </c>
      <c r="U395" s="593">
        <v>2014</v>
      </c>
      <c r="V395" s="589"/>
      <c r="W395" s="589"/>
      <c r="X395" s="589"/>
      <c r="Y395" s="589"/>
      <c r="Z395" s="589"/>
      <c r="AA395" s="589"/>
      <c r="AB395" s="589"/>
      <c r="AC395" s="589"/>
      <c r="AD395" s="589"/>
      <c r="AE395" s="589"/>
      <c r="AF395" s="589"/>
      <c r="AG395" s="589"/>
      <c r="AH395" s="589"/>
      <c r="AI395" s="589"/>
      <c r="AJ395" s="589"/>
      <c r="AK395" s="589"/>
      <c r="AL395" s="589"/>
      <c r="AM395" s="589"/>
      <c r="AN395" s="589"/>
      <c r="AO395" s="589"/>
      <c r="AP395" s="589"/>
      <c r="AQ395" s="589"/>
      <c r="AR395" s="589"/>
      <c r="AS395" s="589"/>
    </row>
    <row r="396" spans="1:45" ht="15">
      <c r="A396" s="587" t="s">
        <v>179</v>
      </c>
      <c r="B396" s="587" t="s">
        <v>592</v>
      </c>
      <c r="C396" s="587" t="s">
        <v>855</v>
      </c>
      <c r="D396" s="588">
        <v>2015</v>
      </c>
      <c r="E396" s="587" t="s">
        <v>775</v>
      </c>
      <c r="F396" s="588">
        <v>13</v>
      </c>
      <c r="G396" s="588">
        <v>0</v>
      </c>
      <c r="H396" s="588">
        <v>0</v>
      </c>
      <c r="I396" s="588">
        <v>0</v>
      </c>
      <c r="J396" s="588">
        <v>9</v>
      </c>
      <c r="K396" s="588">
        <v>0</v>
      </c>
      <c r="L396" s="588">
        <v>0</v>
      </c>
      <c r="M396" s="588">
        <v>0</v>
      </c>
      <c r="N396" s="588">
        <v>9</v>
      </c>
      <c r="O396" s="588">
        <v>0</v>
      </c>
      <c r="P396" s="588">
        <v>19</v>
      </c>
      <c r="Q396" s="588">
        <v>53</v>
      </c>
      <c r="R396" s="588">
        <v>50</v>
      </c>
      <c r="S396" s="588">
        <v>53</v>
      </c>
      <c r="T396" s="588">
        <v>2015</v>
      </c>
      <c r="U396" s="588">
        <v>2013</v>
      </c>
      <c r="V396" s="589"/>
      <c r="W396" s="589"/>
      <c r="X396" s="589"/>
      <c r="Y396" s="589"/>
      <c r="Z396" s="589"/>
      <c r="AA396" s="589"/>
      <c r="AB396" s="589"/>
      <c r="AC396" s="589"/>
      <c r="AD396" s="589"/>
      <c r="AE396" s="589"/>
      <c r="AF396" s="589"/>
      <c r="AG396" s="589"/>
      <c r="AH396" s="589"/>
      <c r="AI396" s="589"/>
      <c r="AJ396" s="589"/>
      <c r="AK396" s="589"/>
      <c r="AL396" s="589"/>
      <c r="AM396" s="589"/>
      <c r="AN396" s="589"/>
      <c r="AO396" s="589"/>
      <c r="AP396" s="589"/>
      <c r="AQ396" s="589"/>
      <c r="AR396" s="589"/>
      <c r="AS396" s="589"/>
    </row>
    <row r="397" spans="1:45" ht="15">
      <c r="A397" s="590" t="s">
        <v>157</v>
      </c>
      <c r="B397" s="591" t="s">
        <v>437</v>
      </c>
      <c r="C397" s="591" t="s">
        <v>774</v>
      </c>
      <c r="D397" s="592">
        <v>2015</v>
      </c>
      <c r="E397" s="591" t="s">
        <v>775</v>
      </c>
      <c r="F397" s="592">
        <v>22</v>
      </c>
      <c r="G397" s="592">
        <v>5</v>
      </c>
      <c r="H397" s="592">
        <v>4</v>
      </c>
      <c r="I397" s="592">
        <v>1</v>
      </c>
      <c r="J397" s="592">
        <v>13</v>
      </c>
      <c r="K397" s="592">
        <v>12</v>
      </c>
      <c r="L397" s="592">
        <v>12</v>
      </c>
      <c r="M397" s="592">
        <v>0</v>
      </c>
      <c r="N397" s="593">
        <v>13</v>
      </c>
      <c r="O397" s="593">
        <v>2</v>
      </c>
      <c r="P397" s="593">
        <v>24</v>
      </c>
      <c r="Q397" s="593">
        <v>164</v>
      </c>
      <c r="R397" s="593">
        <v>72</v>
      </c>
      <c r="S397" s="593">
        <v>183</v>
      </c>
      <c r="T397" s="593">
        <v>2015</v>
      </c>
      <c r="U397" s="593">
        <v>2015</v>
      </c>
      <c r="V397" s="589"/>
      <c r="W397" s="589"/>
      <c r="X397" s="589"/>
      <c r="Y397" s="589"/>
      <c r="Z397" s="589"/>
      <c r="AA397" s="589"/>
      <c r="AB397" s="589"/>
      <c r="AC397" s="589"/>
      <c r="AD397" s="589"/>
      <c r="AE397" s="589"/>
      <c r="AF397" s="589"/>
      <c r="AG397" s="589"/>
      <c r="AH397" s="589"/>
      <c r="AI397" s="589"/>
      <c r="AJ397" s="589"/>
      <c r="AK397" s="589"/>
      <c r="AL397" s="589"/>
      <c r="AM397" s="589"/>
      <c r="AN397" s="589"/>
      <c r="AO397" s="589"/>
      <c r="AP397" s="589"/>
      <c r="AQ397" s="589"/>
      <c r="AR397" s="589"/>
      <c r="AS397" s="589"/>
    </row>
    <row r="398" spans="1:45" ht="15">
      <c r="A398" s="587" t="s">
        <v>169</v>
      </c>
      <c r="B398" s="587" t="s">
        <v>489</v>
      </c>
      <c r="C398" s="587" t="s">
        <v>812</v>
      </c>
      <c r="D398" s="588">
        <v>2015</v>
      </c>
      <c r="E398" s="587" t="s">
        <v>775</v>
      </c>
      <c r="F398" s="588">
        <v>1</v>
      </c>
      <c r="G398" s="588">
        <v>0</v>
      </c>
      <c r="H398" s="588">
        <v>0</v>
      </c>
      <c r="I398" s="588">
        <v>0</v>
      </c>
      <c r="J398" s="588">
        <v>1</v>
      </c>
      <c r="K398" s="588">
        <v>0</v>
      </c>
      <c r="L398" s="588">
        <v>0</v>
      </c>
      <c r="M398" s="588">
        <v>0</v>
      </c>
      <c r="N398" s="588">
        <v>0</v>
      </c>
      <c r="O398" s="588">
        <v>0</v>
      </c>
      <c r="P398" s="588">
        <v>0</v>
      </c>
      <c r="Q398" s="588">
        <v>93</v>
      </c>
      <c r="R398" s="588">
        <v>2</v>
      </c>
      <c r="S398" s="588">
        <v>93</v>
      </c>
      <c r="T398" s="588">
        <v>2015</v>
      </c>
      <c r="U398" s="588">
        <v>2014</v>
      </c>
      <c r="V398" s="589"/>
      <c r="W398" s="589"/>
      <c r="X398" s="589"/>
      <c r="Y398" s="589"/>
      <c r="Z398" s="589"/>
      <c r="AA398" s="589"/>
      <c r="AB398" s="589"/>
      <c r="AC398" s="589"/>
      <c r="AD398" s="589"/>
      <c r="AE398" s="589"/>
      <c r="AF398" s="589"/>
      <c r="AG398" s="589"/>
      <c r="AH398" s="589"/>
      <c r="AI398" s="589"/>
      <c r="AJ398" s="589"/>
      <c r="AK398" s="589"/>
      <c r="AL398" s="589"/>
      <c r="AM398" s="589"/>
      <c r="AN398" s="589"/>
      <c r="AO398" s="589"/>
      <c r="AP398" s="589"/>
      <c r="AQ398" s="589"/>
      <c r="AR398" s="589"/>
      <c r="AS398" s="589"/>
    </row>
    <row r="399" spans="1:45" ht="15">
      <c r="A399" s="590" t="s">
        <v>193</v>
      </c>
      <c r="B399" s="591" t="s">
        <v>695</v>
      </c>
      <c r="C399" s="591" t="s">
        <v>774</v>
      </c>
      <c r="D399" s="592">
        <v>2015</v>
      </c>
      <c r="E399" s="591" t="s">
        <v>775</v>
      </c>
      <c r="F399" s="592">
        <v>35</v>
      </c>
      <c r="G399" s="592">
        <v>0</v>
      </c>
      <c r="H399" s="592">
        <v>0</v>
      </c>
      <c r="I399" s="592">
        <v>0</v>
      </c>
      <c r="J399" s="592">
        <v>18</v>
      </c>
      <c r="K399" s="592">
        <v>0</v>
      </c>
      <c r="L399" s="592">
        <v>0</v>
      </c>
      <c r="M399" s="592">
        <v>0</v>
      </c>
      <c r="N399" s="593">
        <v>18</v>
      </c>
      <c r="O399" s="593">
        <v>2</v>
      </c>
      <c r="P399" s="593">
        <v>66</v>
      </c>
      <c r="Q399" s="593">
        <v>3</v>
      </c>
      <c r="R399" s="593">
        <v>137</v>
      </c>
      <c r="S399" s="593">
        <v>5</v>
      </c>
      <c r="T399" s="593">
        <v>2015</v>
      </c>
      <c r="U399" s="593">
        <v>2015</v>
      </c>
      <c r="V399" s="589"/>
      <c r="W399" s="589"/>
      <c r="X399" s="589"/>
      <c r="Y399" s="589"/>
      <c r="Z399" s="589"/>
      <c r="AA399" s="589"/>
      <c r="AB399" s="589"/>
      <c r="AC399" s="589"/>
      <c r="AD399" s="589"/>
      <c r="AE399" s="589"/>
      <c r="AF399" s="589"/>
      <c r="AG399" s="589"/>
      <c r="AH399" s="589"/>
      <c r="AI399" s="589"/>
      <c r="AJ399" s="589"/>
      <c r="AK399" s="589"/>
      <c r="AL399" s="589"/>
      <c r="AM399" s="589"/>
      <c r="AN399" s="589"/>
      <c r="AO399" s="589"/>
      <c r="AP399" s="589"/>
      <c r="AQ399" s="589"/>
      <c r="AR399" s="589"/>
      <c r="AS399" s="589"/>
    </row>
    <row r="400" spans="1:45" ht="15">
      <c r="A400" s="587" t="s">
        <v>187</v>
      </c>
      <c r="B400" s="587" t="s">
        <v>652</v>
      </c>
      <c r="C400" s="587" t="s">
        <v>774</v>
      </c>
      <c r="D400" s="588">
        <v>2015</v>
      </c>
      <c r="E400" s="587" t="s">
        <v>775</v>
      </c>
      <c r="F400" s="588">
        <v>356</v>
      </c>
      <c r="G400" s="588">
        <v>0</v>
      </c>
      <c r="H400" s="588">
        <v>0</v>
      </c>
      <c r="I400" s="588">
        <v>0</v>
      </c>
      <c r="J400" s="588">
        <v>207</v>
      </c>
      <c r="K400" s="588">
        <v>0</v>
      </c>
      <c r="L400" s="588">
        <v>0</v>
      </c>
      <c r="M400" s="588">
        <v>0</v>
      </c>
      <c r="N400" s="588">
        <v>231</v>
      </c>
      <c r="O400" s="588">
        <v>14</v>
      </c>
      <c r="P400" s="588">
        <v>270</v>
      </c>
      <c r="Q400" s="588">
        <v>164</v>
      </c>
      <c r="R400" s="588">
        <v>1064</v>
      </c>
      <c r="S400" s="588">
        <v>178</v>
      </c>
      <c r="T400" s="588">
        <v>2015</v>
      </c>
      <c r="U400" s="588">
        <v>2015</v>
      </c>
      <c r="V400" s="589"/>
      <c r="W400" s="589"/>
      <c r="X400" s="589"/>
      <c r="Y400" s="589"/>
      <c r="Z400" s="589"/>
      <c r="AA400" s="589"/>
      <c r="AB400" s="589"/>
      <c r="AC400" s="589"/>
      <c r="AD400" s="589"/>
      <c r="AE400" s="589"/>
      <c r="AF400" s="589"/>
      <c r="AG400" s="589"/>
      <c r="AH400" s="589"/>
      <c r="AI400" s="589"/>
      <c r="AJ400" s="589"/>
      <c r="AK400" s="589"/>
      <c r="AL400" s="589"/>
      <c r="AM400" s="589"/>
      <c r="AN400" s="589"/>
      <c r="AO400" s="589"/>
      <c r="AP400" s="589"/>
      <c r="AQ400" s="589"/>
      <c r="AR400" s="589"/>
      <c r="AS400" s="589"/>
    </row>
    <row r="401" spans="1:45" ht="15">
      <c r="A401" s="590" t="s">
        <v>169</v>
      </c>
      <c r="B401" s="590" t="s">
        <v>490</v>
      </c>
      <c r="C401" s="590" t="s">
        <v>812</v>
      </c>
      <c r="D401" s="593">
        <v>2015</v>
      </c>
      <c r="E401" s="590" t="s">
        <v>775</v>
      </c>
      <c r="F401" s="593">
        <v>71</v>
      </c>
      <c r="G401" s="593">
        <v>5</v>
      </c>
      <c r="H401" s="593">
        <v>5</v>
      </c>
      <c r="I401" s="593">
        <v>0</v>
      </c>
      <c r="J401" s="593">
        <v>50</v>
      </c>
      <c r="K401" s="593">
        <v>3</v>
      </c>
      <c r="L401" s="593">
        <v>3</v>
      </c>
      <c r="M401" s="593">
        <v>0</v>
      </c>
      <c r="N401" s="593">
        <v>56</v>
      </c>
      <c r="O401" s="593">
        <v>2</v>
      </c>
      <c r="P401" s="593">
        <v>131</v>
      </c>
      <c r="Q401" s="593">
        <v>5</v>
      </c>
      <c r="R401" s="593">
        <v>308</v>
      </c>
      <c r="S401" s="593">
        <v>15</v>
      </c>
      <c r="T401" s="593">
        <v>2015</v>
      </c>
      <c r="U401" s="593">
        <v>2014</v>
      </c>
      <c r="V401" s="589"/>
      <c r="W401" s="589"/>
      <c r="X401" s="589"/>
      <c r="Y401" s="589"/>
      <c r="Z401" s="589"/>
      <c r="AA401" s="589"/>
      <c r="AB401" s="589"/>
      <c r="AC401" s="589"/>
      <c r="AD401" s="589"/>
      <c r="AE401" s="589"/>
      <c r="AF401" s="589"/>
      <c r="AG401" s="589"/>
      <c r="AH401" s="589"/>
      <c r="AI401" s="589"/>
      <c r="AJ401" s="589"/>
      <c r="AK401" s="589"/>
      <c r="AL401" s="589"/>
      <c r="AM401" s="589"/>
      <c r="AN401" s="589"/>
      <c r="AO401" s="589"/>
      <c r="AP401" s="589"/>
      <c r="AQ401" s="589"/>
      <c r="AR401" s="589"/>
      <c r="AS401" s="589"/>
    </row>
    <row r="402" spans="1:45" ht="15">
      <c r="A402" s="587" t="s">
        <v>184</v>
      </c>
      <c r="B402" s="587" t="s">
        <v>628</v>
      </c>
      <c r="C402" s="587" t="s">
        <v>774</v>
      </c>
      <c r="D402" s="588">
        <v>2015</v>
      </c>
      <c r="E402" s="587" t="s">
        <v>775</v>
      </c>
      <c r="F402" s="588">
        <v>400</v>
      </c>
      <c r="G402" s="588">
        <v>38</v>
      </c>
      <c r="H402" s="588">
        <v>38</v>
      </c>
      <c r="I402" s="588">
        <v>0</v>
      </c>
      <c r="J402" s="588">
        <v>188</v>
      </c>
      <c r="K402" s="588">
        <v>15</v>
      </c>
      <c r="L402" s="588">
        <v>15</v>
      </c>
      <c r="M402" s="588">
        <v>0</v>
      </c>
      <c r="N402" s="588">
        <v>221</v>
      </c>
      <c r="O402" s="588">
        <v>14</v>
      </c>
      <c r="P402" s="588">
        <v>541</v>
      </c>
      <c r="Q402" s="588">
        <v>89</v>
      </c>
      <c r="R402" s="588">
        <v>1350</v>
      </c>
      <c r="S402" s="588">
        <v>156</v>
      </c>
      <c r="T402" s="588">
        <v>2015</v>
      </c>
      <c r="U402" s="588">
        <v>2015</v>
      </c>
      <c r="V402" s="589"/>
      <c r="W402" s="589"/>
      <c r="X402" s="589"/>
      <c r="Y402" s="589"/>
      <c r="Z402" s="589"/>
      <c r="AA402" s="589"/>
      <c r="AB402" s="589"/>
      <c r="AC402" s="589"/>
      <c r="AD402" s="589"/>
      <c r="AE402" s="589"/>
      <c r="AF402" s="589"/>
      <c r="AG402" s="589"/>
      <c r="AH402" s="589"/>
      <c r="AI402" s="589"/>
      <c r="AJ402" s="589"/>
      <c r="AK402" s="589"/>
      <c r="AL402" s="589"/>
      <c r="AM402" s="589"/>
      <c r="AN402" s="589"/>
      <c r="AO402" s="589"/>
      <c r="AP402" s="589"/>
      <c r="AQ402" s="589"/>
      <c r="AR402" s="589"/>
      <c r="AS402" s="589"/>
    </row>
    <row r="403" spans="1:45" ht="15">
      <c r="A403" s="590" t="s">
        <v>169</v>
      </c>
      <c r="B403" s="590" t="s">
        <v>491</v>
      </c>
      <c r="C403" s="590" t="s">
        <v>812</v>
      </c>
      <c r="D403" s="593">
        <v>2015</v>
      </c>
      <c r="E403" s="590" t="s">
        <v>775</v>
      </c>
      <c r="F403" s="593">
        <v>76</v>
      </c>
      <c r="G403" s="593">
        <v>0</v>
      </c>
      <c r="H403" s="593">
        <v>0</v>
      </c>
      <c r="I403" s="593">
        <v>0</v>
      </c>
      <c r="J403" s="593">
        <v>53</v>
      </c>
      <c r="K403" s="593">
        <v>0</v>
      </c>
      <c r="L403" s="593">
        <v>0</v>
      </c>
      <c r="M403" s="593">
        <v>0</v>
      </c>
      <c r="N403" s="593">
        <v>61</v>
      </c>
      <c r="O403" s="593">
        <v>2</v>
      </c>
      <c r="P403" s="593">
        <v>137</v>
      </c>
      <c r="Q403" s="593">
        <v>36</v>
      </c>
      <c r="R403" s="593">
        <v>327</v>
      </c>
      <c r="S403" s="593">
        <v>38</v>
      </c>
      <c r="T403" s="593">
        <v>2015</v>
      </c>
      <c r="U403" s="593">
        <v>2014</v>
      </c>
      <c r="V403" s="589"/>
      <c r="W403" s="589"/>
      <c r="X403" s="589"/>
      <c r="Y403" s="589"/>
      <c r="Z403" s="589"/>
      <c r="AA403" s="589"/>
      <c r="AB403" s="589"/>
      <c r="AC403" s="589"/>
      <c r="AD403" s="589"/>
      <c r="AE403" s="589"/>
      <c r="AF403" s="589"/>
      <c r="AG403" s="589"/>
      <c r="AH403" s="589"/>
      <c r="AI403" s="589"/>
      <c r="AJ403" s="589"/>
      <c r="AK403" s="589"/>
      <c r="AL403" s="589"/>
      <c r="AM403" s="589"/>
      <c r="AN403" s="589"/>
      <c r="AO403" s="589"/>
      <c r="AP403" s="589"/>
      <c r="AQ403" s="589"/>
      <c r="AR403" s="589"/>
      <c r="AS403" s="589"/>
    </row>
    <row r="404" spans="1:45" ht="15">
      <c r="A404" s="587" t="s">
        <v>136</v>
      </c>
      <c r="B404" s="587" t="s">
        <v>270</v>
      </c>
      <c r="C404" s="587" t="s">
        <v>774</v>
      </c>
      <c r="D404" s="588">
        <v>2015</v>
      </c>
      <c r="E404" s="587" t="s">
        <v>775</v>
      </c>
      <c r="F404" s="588">
        <v>196</v>
      </c>
      <c r="G404" s="588">
        <v>0</v>
      </c>
      <c r="H404" s="588">
        <v>0</v>
      </c>
      <c r="I404" s="588">
        <v>0</v>
      </c>
      <c r="J404" s="588">
        <v>111</v>
      </c>
      <c r="K404" s="588">
        <v>1</v>
      </c>
      <c r="L404" s="588">
        <v>0</v>
      </c>
      <c r="M404" s="588">
        <v>1</v>
      </c>
      <c r="N404" s="588">
        <v>124</v>
      </c>
      <c r="O404" s="588">
        <v>13</v>
      </c>
      <c r="P404" s="588">
        <v>126</v>
      </c>
      <c r="Q404" s="588">
        <v>87</v>
      </c>
      <c r="R404" s="588">
        <v>557</v>
      </c>
      <c r="S404" s="588">
        <v>101</v>
      </c>
      <c r="T404" s="588">
        <v>2015</v>
      </c>
      <c r="U404" s="588">
        <v>2015</v>
      </c>
      <c r="V404" s="589"/>
      <c r="W404" s="589"/>
      <c r="X404" s="589"/>
      <c r="Y404" s="589"/>
      <c r="Z404" s="589"/>
      <c r="AA404" s="589"/>
      <c r="AB404" s="589"/>
      <c r="AC404" s="589"/>
      <c r="AD404" s="589"/>
      <c r="AE404" s="589"/>
      <c r="AF404" s="589"/>
      <c r="AG404" s="589"/>
      <c r="AH404" s="589"/>
      <c r="AI404" s="589"/>
      <c r="AJ404" s="589"/>
      <c r="AK404" s="589"/>
      <c r="AL404" s="589"/>
      <c r="AM404" s="589"/>
      <c r="AN404" s="589"/>
      <c r="AO404" s="589"/>
      <c r="AP404" s="589"/>
      <c r="AQ404" s="589"/>
      <c r="AR404" s="589"/>
      <c r="AS404" s="589"/>
    </row>
    <row r="405" spans="1:45" ht="15">
      <c r="A405" s="590" t="s">
        <v>202</v>
      </c>
      <c r="B405" s="590" t="s">
        <v>741</v>
      </c>
      <c r="C405" s="590" t="s">
        <v>799</v>
      </c>
      <c r="D405" s="593">
        <v>2015</v>
      </c>
      <c r="E405" s="590" t="s">
        <v>775</v>
      </c>
      <c r="F405" s="593">
        <v>248</v>
      </c>
      <c r="G405" s="593">
        <v>0</v>
      </c>
      <c r="H405" s="593">
        <v>0</v>
      </c>
      <c r="I405" s="593">
        <v>0</v>
      </c>
      <c r="J405" s="593">
        <v>174</v>
      </c>
      <c r="K405" s="593">
        <v>8</v>
      </c>
      <c r="L405" s="593">
        <v>0</v>
      </c>
      <c r="M405" s="593">
        <v>8</v>
      </c>
      <c r="N405" s="593">
        <v>198</v>
      </c>
      <c r="O405" s="593">
        <v>3</v>
      </c>
      <c r="P405" s="593">
        <v>446</v>
      </c>
      <c r="Q405" s="593">
        <v>94</v>
      </c>
      <c r="R405" s="593">
        <v>1066</v>
      </c>
      <c r="S405" s="593">
        <v>105</v>
      </c>
      <c r="T405" s="593">
        <v>2015</v>
      </c>
      <c r="U405" s="593">
        <v>2014</v>
      </c>
      <c r="V405" s="589"/>
      <c r="W405" s="589"/>
      <c r="X405" s="589"/>
      <c r="Y405" s="589"/>
      <c r="Z405" s="589"/>
      <c r="AA405" s="589"/>
      <c r="AB405" s="589"/>
      <c r="AC405" s="589"/>
      <c r="AD405" s="589"/>
      <c r="AE405" s="589"/>
      <c r="AF405" s="589"/>
      <c r="AG405" s="589"/>
      <c r="AH405" s="589"/>
      <c r="AI405" s="589"/>
      <c r="AJ405" s="589"/>
      <c r="AK405" s="589"/>
      <c r="AL405" s="589"/>
      <c r="AM405" s="589"/>
      <c r="AN405" s="589"/>
      <c r="AO405" s="589"/>
      <c r="AP405" s="589"/>
      <c r="AQ405" s="589"/>
      <c r="AR405" s="589"/>
      <c r="AS405" s="589"/>
    </row>
    <row r="406" spans="1:45" ht="15">
      <c r="A406" s="587" t="s">
        <v>179</v>
      </c>
      <c r="B406" s="587" t="s">
        <v>593</v>
      </c>
      <c r="C406" s="587" t="s">
        <v>855</v>
      </c>
      <c r="D406" s="588">
        <v>2015</v>
      </c>
      <c r="E406" s="587" t="s">
        <v>775</v>
      </c>
      <c r="F406" s="588">
        <v>7</v>
      </c>
      <c r="G406" s="588">
        <v>0</v>
      </c>
      <c r="H406" s="588">
        <v>0</v>
      </c>
      <c r="I406" s="588">
        <v>0</v>
      </c>
      <c r="J406" s="588">
        <v>5</v>
      </c>
      <c r="K406" s="588">
        <v>0</v>
      </c>
      <c r="L406" s="588">
        <v>0</v>
      </c>
      <c r="M406" s="588">
        <v>0</v>
      </c>
      <c r="N406" s="588">
        <v>15</v>
      </c>
      <c r="O406" s="588">
        <v>0</v>
      </c>
      <c r="P406" s="588">
        <v>34</v>
      </c>
      <c r="Q406" s="588">
        <v>4</v>
      </c>
      <c r="R406" s="588">
        <v>61</v>
      </c>
      <c r="S406" s="588">
        <v>4</v>
      </c>
      <c r="T406" s="588">
        <v>2015</v>
      </c>
      <c r="U406" s="588">
        <v>2013</v>
      </c>
      <c r="V406" s="589"/>
      <c r="W406" s="589"/>
      <c r="X406" s="589"/>
      <c r="Y406" s="589"/>
      <c r="Z406" s="589"/>
      <c r="AA406" s="589"/>
      <c r="AB406" s="589"/>
      <c r="AC406" s="589"/>
      <c r="AD406" s="589"/>
      <c r="AE406" s="589"/>
      <c r="AF406" s="589"/>
      <c r="AG406" s="589"/>
      <c r="AH406" s="589"/>
      <c r="AI406" s="589"/>
      <c r="AJ406" s="589"/>
      <c r="AK406" s="589"/>
      <c r="AL406" s="589"/>
      <c r="AM406" s="589"/>
      <c r="AN406" s="589"/>
      <c r="AO406" s="589"/>
      <c r="AP406" s="589"/>
      <c r="AQ406" s="589"/>
      <c r="AR406" s="589"/>
      <c r="AS406" s="589"/>
    </row>
    <row r="407" spans="1:45" ht="15">
      <c r="A407" s="590" t="s">
        <v>138</v>
      </c>
      <c r="B407" s="590" t="s">
        <v>286</v>
      </c>
      <c r="C407" s="590" t="s">
        <v>784</v>
      </c>
      <c r="D407" s="593">
        <v>2015</v>
      </c>
      <c r="E407" s="590" t="s">
        <v>775</v>
      </c>
      <c r="F407" s="593">
        <v>60</v>
      </c>
      <c r="G407" s="593">
        <v>4</v>
      </c>
      <c r="H407" s="593">
        <v>0</v>
      </c>
      <c r="I407" s="593">
        <v>4</v>
      </c>
      <c r="J407" s="593">
        <v>37</v>
      </c>
      <c r="K407" s="593">
        <v>4</v>
      </c>
      <c r="L407" s="593">
        <v>0</v>
      </c>
      <c r="M407" s="593">
        <v>4</v>
      </c>
      <c r="N407" s="593">
        <v>30</v>
      </c>
      <c r="O407" s="593">
        <v>4</v>
      </c>
      <c r="P407" s="593">
        <v>106</v>
      </c>
      <c r="Q407" s="593">
        <v>17</v>
      </c>
      <c r="R407" s="593">
        <v>233</v>
      </c>
      <c r="S407" s="593">
        <v>29</v>
      </c>
      <c r="T407" s="593">
        <v>2015</v>
      </c>
      <c r="U407" s="593">
        <v>2014</v>
      </c>
      <c r="V407" s="589"/>
      <c r="W407" s="589"/>
      <c r="X407" s="589"/>
      <c r="Y407" s="589"/>
      <c r="Z407" s="589"/>
      <c r="AA407" s="589"/>
      <c r="AB407" s="589"/>
      <c r="AC407" s="589"/>
      <c r="AD407" s="589"/>
      <c r="AE407" s="589"/>
      <c r="AF407" s="589"/>
      <c r="AG407" s="589"/>
      <c r="AH407" s="589"/>
      <c r="AI407" s="589"/>
      <c r="AJ407" s="589"/>
      <c r="AK407" s="589"/>
      <c r="AL407" s="589"/>
      <c r="AM407" s="589"/>
      <c r="AN407" s="589"/>
      <c r="AO407" s="589"/>
      <c r="AP407" s="589"/>
      <c r="AQ407" s="589"/>
      <c r="AR407" s="589"/>
      <c r="AS407" s="589"/>
    </row>
    <row r="408" spans="1:45" ht="15">
      <c r="A408" s="587" t="s">
        <v>148</v>
      </c>
      <c r="B408" s="587" t="s">
        <v>327</v>
      </c>
      <c r="C408" s="587" t="s">
        <v>177</v>
      </c>
      <c r="D408" s="588">
        <v>2015</v>
      </c>
      <c r="E408" s="587" t="s">
        <v>775</v>
      </c>
      <c r="F408" s="588">
        <v>396</v>
      </c>
      <c r="G408" s="588">
        <v>0</v>
      </c>
      <c r="H408" s="588">
        <v>0</v>
      </c>
      <c r="I408" s="588">
        <v>0</v>
      </c>
      <c r="J408" s="588">
        <v>277</v>
      </c>
      <c r="K408" s="588">
        <v>0</v>
      </c>
      <c r="L408" s="588">
        <v>0</v>
      </c>
      <c r="M408" s="588">
        <v>0</v>
      </c>
      <c r="N408" s="588">
        <v>243</v>
      </c>
      <c r="O408" s="588">
        <v>2</v>
      </c>
      <c r="P408" s="588">
        <v>546</v>
      </c>
      <c r="Q408" s="588">
        <v>0</v>
      </c>
      <c r="R408" s="588">
        <v>1462</v>
      </c>
      <c r="S408" s="588">
        <v>2</v>
      </c>
      <c r="T408" s="588">
        <v>2016</v>
      </c>
      <c r="U408" s="588">
        <v>2016</v>
      </c>
      <c r="V408" s="589"/>
      <c r="W408" s="589"/>
      <c r="X408" s="589"/>
      <c r="Y408" s="589"/>
      <c r="Z408" s="589"/>
      <c r="AA408" s="589"/>
      <c r="AB408" s="589"/>
      <c r="AC408" s="589"/>
      <c r="AD408" s="589"/>
      <c r="AE408" s="589"/>
      <c r="AF408" s="589"/>
      <c r="AG408" s="589"/>
      <c r="AH408" s="589"/>
      <c r="AI408" s="589"/>
      <c r="AJ408" s="589"/>
      <c r="AK408" s="589"/>
      <c r="AL408" s="589"/>
      <c r="AM408" s="589"/>
      <c r="AN408" s="589"/>
      <c r="AO408" s="589"/>
      <c r="AP408" s="589"/>
      <c r="AQ408" s="589"/>
      <c r="AR408" s="589"/>
      <c r="AS408" s="589"/>
    </row>
    <row r="409" spans="1:45" ht="15">
      <c r="A409" s="590" t="s">
        <v>153</v>
      </c>
      <c r="B409" s="590" t="s">
        <v>368</v>
      </c>
      <c r="C409" s="590" t="s">
        <v>812</v>
      </c>
      <c r="D409" s="593">
        <v>2015</v>
      </c>
      <c r="E409" s="590" t="s">
        <v>775</v>
      </c>
      <c r="F409" s="593">
        <v>308</v>
      </c>
      <c r="G409" s="593">
        <v>0</v>
      </c>
      <c r="H409" s="593">
        <v>0</v>
      </c>
      <c r="I409" s="593">
        <v>0</v>
      </c>
      <c r="J409" s="593">
        <v>182</v>
      </c>
      <c r="K409" s="593">
        <v>0</v>
      </c>
      <c r="L409" s="593">
        <v>0</v>
      </c>
      <c r="M409" s="593">
        <v>0</v>
      </c>
      <c r="N409" s="593">
        <v>190</v>
      </c>
      <c r="O409" s="593">
        <v>0</v>
      </c>
      <c r="P409" s="593">
        <v>466</v>
      </c>
      <c r="Q409" s="593">
        <v>127</v>
      </c>
      <c r="R409" s="593">
        <v>1146</v>
      </c>
      <c r="S409" s="593">
        <v>127</v>
      </c>
      <c r="T409" s="593">
        <v>2015</v>
      </c>
      <c r="U409" s="593">
        <v>2014</v>
      </c>
      <c r="V409" s="589"/>
      <c r="W409" s="589"/>
      <c r="X409" s="589"/>
      <c r="Y409" s="589"/>
      <c r="Z409" s="589"/>
      <c r="AA409" s="589"/>
      <c r="AB409" s="589"/>
      <c r="AC409" s="589"/>
      <c r="AD409" s="589"/>
      <c r="AE409" s="589"/>
      <c r="AF409" s="589"/>
      <c r="AG409" s="589"/>
      <c r="AH409" s="589"/>
      <c r="AI409" s="589"/>
      <c r="AJ409" s="589"/>
      <c r="AK409" s="589"/>
      <c r="AL409" s="589"/>
      <c r="AM409" s="589"/>
      <c r="AN409" s="589"/>
      <c r="AO409" s="589"/>
      <c r="AP409" s="589"/>
      <c r="AQ409" s="589"/>
      <c r="AR409" s="589"/>
      <c r="AS409" s="589"/>
    </row>
    <row r="410" spans="1:45" ht="15">
      <c r="A410" s="587" t="s">
        <v>199</v>
      </c>
      <c r="B410" s="587" t="s">
        <v>720</v>
      </c>
      <c r="C410" s="587" t="s">
        <v>177</v>
      </c>
      <c r="D410" s="588">
        <v>2015</v>
      </c>
      <c r="E410" s="587" t="s">
        <v>775</v>
      </c>
      <c r="F410" s="588">
        <v>211</v>
      </c>
      <c r="G410" s="588">
        <v>0</v>
      </c>
      <c r="H410" s="588">
        <v>0</v>
      </c>
      <c r="I410" s="588">
        <v>0</v>
      </c>
      <c r="J410" s="588">
        <v>163</v>
      </c>
      <c r="K410" s="588">
        <v>64</v>
      </c>
      <c r="L410" s="588">
        <v>0</v>
      </c>
      <c r="M410" s="588">
        <v>64</v>
      </c>
      <c r="N410" s="588">
        <v>121</v>
      </c>
      <c r="O410" s="588">
        <v>50</v>
      </c>
      <c r="P410" s="588">
        <v>470</v>
      </c>
      <c r="Q410" s="588">
        <v>0</v>
      </c>
      <c r="R410" s="588">
        <v>965</v>
      </c>
      <c r="S410" s="588">
        <v>114</v>
      </c>
      <c r="T410" s="588">
        <v>2016</v>
      </c>
      <c r="U410" s="588">
        <v>2016</v>
      </c>
      <c r="V410" s="589"/>
      <c r="W410" s="589"/>
      <c r="X410" s="589"/>
      <c r="Y410" s="589"/>
      <c r="Z410" s="589"/>
      <c r="AA410" s="589"/>
      <c r="AB410" s="589"/>
      <c r="AC410" s="589"/>
      <c r="AD410" s="589"/>
      <c r="AE410" s="589"/>
      <c r="AF410" s="589"/>
      <c r="AG410" s="589"/>
      <c r="AH410" s="589"/>
      <c r="AI410" s="589"/>
      <c r="AJ410" s="589"/>
      <c r="AK410" s="589"/>
      <c r="AL410" s="589"/>
      <c r="AM410" s="589"/>
      <c r="AN410" s="589"/>
      <c r="AO410" s="589"/>
      <c r="AP410" s="589"/>
      <c r="AQ410" s="589"/>
      <c r="AR410" s="589"/>
      <c r="AS410" s="589"/>
    </row>
    <row r="411" spans="1:45" ht="15">
      <c r="A411" s="590" t="s">
        <v>192</v>
      </c>
      <c r="B411" s="590" t="s">
        <v>687</v>
      </c>
      <c r="C411" s="590" t="s">
        <v>774</v>
      </c>
      <c r="D411" s="593">
        <v>2015</v>
      </c>
      <c r="E411" s="590" t="s">
        <v>775</v>
      </c>
      <c r="F411" s="593">
        <v>50</v>
      </c>
      <c r="G411" s="593">
        <v>0</v>
      </c>
      <c r="H411" s="593">
        <v>0</v>
      </c>
      <c r="I411" s="593">
        <v>0</v>
      </c>
      <c r="J411" s="593">
        <v>24</v>
      </c>
      <c r="K411" s="593">
        <v>0</v>
      </c>
      <c r="L411" s="593">
        <v>0</v>
      </c>
      <c r="M411" s="593">
        <v>0</v>
      </c>
      <c r="N411" s="593">
        <v>30</v>
      </c>
      <c r="O411" s="593">
        <v>59</v>
      </c>
      <c r="P411" s="593">
        <v>93</v>
      </c>
      <c r="Q411" s="593">
        <v>0</v>
      </c>
      <c r="R411" s="593">
        <v>197</v>
      </c>
      <c r="S411" s="593">
        <v>59</v>
      </c>
      <c r="T411" s="593">
        <v>2015</v>
      </c>
      <c r="U411" s="593">
        <v>2015</v>
      </c>
      <c r="V411" s="589"/>
      <c r="W411" s="589"/>
      <c r="X411" s="589"/>
      <c r="Y411" s="589"/>
      <c r="Z411" s="589"/>
      <c r="AA411" s="589"/>
      <c r="AB411" s="589"/>
      <c r="AC411" s="589"/>
      <c r="AD411" s="589"/>
      <c r="AE411" s="589"/>
      <c r="AF411" s="589"/>
      <c r="AG411" s="589"/>
      <c r="AH411" s="589"/>
      <c r="AI411" s="589"/>
      <c r="AJ411" s="589"/>
      <c r="AK411" s="589"/>
      <c r="AL411" s="589"/>
      <c r="AM411" s="589"/>
      <c r="AN411" s="589"/>
      <c r="AO411" s="589"/>
      <c r="AP411" s="589"/>
      <c r="AQ411" s="589"/>
      <c r="AR411" s="589"/>
      <c r="AS411" s="589"/>
    </row>
    <row r="412" spans="1:45" ht="15">
      <c r="A412" s="587" t="s">
        <v>191</v>
      </c>
      <c r="B412" s="587" t="s">
        <v>676</v>
      </c>
      <c r="C412" s="587" t="s">
        <v>784</v>
      </c>
      <c r="D412" s="588">
        <v>2015</v>
      </c>
      <c r="E412" s="587" t="s">
        <v>775</v>
      </c>
      <c r="F412" s="588">
        <v>3</v>
      </c>
      <c r="G412" s="588">
        <v>0</v>
      </c>
      <c r="H412" s="588">
        <v>0</v>
      </c>
      <c r="I412" s="588">
        <v>0</v>
      </c>
      <c r="J412" s="588">
        <v>2</v>
      </c>
      <c r="K412" s="588">
        <v>1</v>
      </c>
      <c r="L412" s="588">
        <v>1</v>
      </c>
      <c r="M412" s="588">
        <v>0</v>
      </c>
      <c r="N412" s="588">
        <v>2</v>
      </c>
      <c r="O412" s="588">
        <v>1</v>
      </c>
      <c r="P412" s="588">
        <v>5</v>
      </c>
      <c r="Q412" s="588">
        <v>0</v>
      </c>
      <c r="R412" s="588">
        <v>12</v>
      </c>
      <c r="S412" s="588">
        <v>2</v>
      </c>
      <c r="T412" s="588">
        <v>2015</v>
      </c>
      <c r="U412" s="588">
        <v>2014</v>
      </c>
      <c r="V412" s="589"/>
      <c r="W412" s="589"/>
      <c r="X412" s="589"/>
      <c r="Y412" s="589"/>
      <c r="Z412" s="589"/>
      <c r="AA412" s="589"/>
      <c r="AB412" s="589"/>
      <c r="AC412" s="589"/>
      <c r="AD412" s="589"/>
      <c r="AE412" s="589"/>
      <c r="AF412" s="589"/>
      <c r="AG412" s="589"/>
      <c r="AH412" s="589"/>
      <c r="AI412" s="589"/>
      <c r="AJ412" s="589"/>
      <c r="AK412" s="589"/>
      <c r="AL412" s="589"/>
      <c r="AM412" s="589"/>
      <c r="AN412" s="589"/>
      <c r="AO412" s="589"/>
      <c r="AP412" s="589"/>
      <c r="AQ412" s="589"/>
      <c r="AR412" s="589"/>
      <c r="AS412" s="589"/>
    </row>
    <row r="413" spans="1:45" ht="15">
      <c r="A413" s="590" t="s">
        <v>153</v>
      </c>
      <c r="B413" s="591" t="s">
        <v>369</v>
      </c>
      <c r="C413" s="591" t="s">
        <v>812</v>
      </c>
      <c r="D413" s="592">
        <v>2015</v>
      </c>
      <c r="E413" s="591" t="s">
        <v>775</v>
      </c>
      <c r="F413" s="592">
        <v>210</v>
      </c>
      <c r="G413" s="592">
        <v>0</v>
      </c>
      <c r="H413" s="592">
        <v>0</v>
      </c>
      <c r="I413" s="592">
        <v>0</v>
      </c>
      <c r="J413" s="592">
        <v>123</v>
      </c>
      <c r="K413" s="592">
        <v>0</v>
      </c>
      <c r="L413" s="592">
        <v>0</v>
      </c>
      <c r="M413" s="592">
        <v>0</v>
      </c>
      <c r="N413" s="593">
        <v>135</v>
      </c>
      <c r="O413" s="593">
        <v>50</v>
      </c>
      <c r="P413" s="593">
        <v>346</v>
      </c>
      <c r="Q413" s="593">
        <v>13</v>
      </c>
      <c r="R413" s="593">
        <v>814</v>
      </c>
      <c r="S413" s="593">
        <v>63</v>
      </c>
      <c r="T413" s="593">
        <v>2015</v>
      </c>
      <c r="U413" s="593">
        <v>2014</v>
      </c>
      <c r="V413" s="589"/>
      <c r="W413" s="589"/>
      <c r="X413" s="589"/>
      <c r="Y413" s="589"/>
      <c r="Z413" s="589"/>
      <c r="AA413" s="589"/>
      <c r="AB413" s="589"/>
      <c r="AC413" s="589"/>
      <c r="AD413" s="589"/>
      <c r="AE413" s="589"/>
      <c r="AF413" s="589"/>
      <c r="AG413" s="589"/>
      <c r="AH413" s="589"/>
      <c r="AI413" s="589"/>
      <c r="AJ413" s="589"/>
      <c r="AK413" s="589"/>
      <c r="AL413" s="589"/>
      <c r="AM413" s="589"/>
      <c r="AN413" s="589"/>
      <c r="AO413" s="589"/>
      <c r="AP413" s="589"/>
      <c r="AQ413" s="589"/>
      <c r="AR413" s="589"/>
      <c r="AS413" s="589"/>
    </row>
    <row r="414" spans="1:45" ht="15">
      <c r="A414" s="587" t="s">
        <v>153</v>
      </c>
      <c r="B414" s="587" t="s">
        <v>370</v>
      </c>
      <c r="C414" s="587" t="s">
        <v>812</v>
      </c>
      <c r="D414" s="588">
        <v>2015</v>
      </c>
      <c r="E414" s="587" t="s">
        <v>775</v>
      </c>
      <c r="F414" s="588">
        <v>87</v>
      </c>
      <c r="G414" s="588">
        <v>42</v>
      </c>
      <c r="H414" s="588">
        <v>42</v>
      </c>
      <c r="I414" s="588">
        <v>0</v>
      </c>
      <c r="J414" s="588">
        <v>53</v>
      </c>
      <c r="K414" s="588">
        <v>1</v>
      </c>
      <c r="L414" s="588">
        <v>1</v>
      </c>
      <c r="M414" s="588">
        <v>0</v>
      </c>
      <c r="N414" s="588">
        <v>55</v>
      </c>
      <c r="O414" s="588">
        <v>0</v>
      </c>
      <c r="P414" s="588">
        <v>142</v>
      </c>
      <c r="Q414" s="588">
        <v>0</v>
      </c>
      <c r="R414" s="588">
        <v>337</v>
      </c>
      <c r="S414" s="588">
        <v>43</v>
      </c>
      <c r="T414" s="588">
        <v>2015</v>
      </c>
      <c r="U414" s="588">
        <v>2014</v>
      </c>
      <c r="V414" s="589"/>
      <c r="W414" s="589"/>
      <c r="X414" s="589"/>
      <c r="Y414" s="589"/>
      <c r="Z414" s="589"/>
      <c r="AA414" s="589"/>
      <c r="AB414" s="589"/>
      <c r="AC414" s="589"/>
      <c r="AD414" s="589"/>
      <c r="AE414" s="589"/>
      <c r="AF414" s="589"/>
      <c r="AG414" s="589"/>
      <c r="AH414" s="589"/>
      <c r="AI414" s="589"/>
      <c r="AJ414" s="589"/>
      <c r="AK414" s="589"/>
      <c r="AL414" s="589"/>
      <c r="AM414" s="589"/>
      <c r="AN414" s="589"/>
      <c r="AO414" s="589"/>
      <c r="AP414" s="589"/>
      <c r="AQ414" s="589"/>
      <c r="AR414" s="589"/>
      <c r="AS414" s="589"/>
    </row>
    <row r="415" spans="1:45" ht="15">
      <c r="A415" s="590" t="s">
        <v>125</v>
      </c>
      <c r="B415" s="591" t="s">
        <v>236</v>
      </c>
      <c r="C415" s="591" t="s">
        <v>774</v>
      </c>
      <c r="D415" s="592">
        <v>2015</v>
      </c>
      <c r="E415" s="591" t="s">
        <v>775</v>
      </c>
      <c r="F415" s="592">
        <v>796</v>
      </c>
      <c r="G415" s="592">
        <v>26</v>
      </c>
      <c r="H415" s="592">
        <v>26</v>
      </c>
      <c r="I415" s="592">
        <v>0</v>
      </c>
      <c r="J415" s="592">
        <v>446</v>
      </c>
      <c r="K415" s="592">
        <v>39</v>
      </c>
      <c r="L415" s="592">
        <v>39</v>
      </c>
      <c r="M415" s="592">
        <v>0</v>
      </c>
      <c r="N415" s="593">
        <v>425</v>
      </c>
      <c r="O415" s="593">
        <v>4</v>
      </c>
      <c r="P415" s="593">
        <v>618</v>
      </c>
      <c r="Q415" s="593">
        <v>839</v>
      </c>
      <c r="R415" s="593">
        <v>2285</v>
      </c>
      <c r="S415" s="593">
        <v>908</v>
      </c>
      <c r="T415" s="593">
        <v>2015</v>
      </c>
      <c r="U415" s="593">
        <v>2015</v>
      </c>
      <c r="V415" s="589"/>
      <c r="W415" s="589"/>
      <c r="X415" s="589"/>
      <c r="Y415" s="589"/>
      <c r="Z415" s="589"/>
      <c r="AA415" s="589"/>
      <c r="AB415" s="589"/>
      <c r="AC415" s="589"/>
      <c r="AD415" s="589"/>
      <c r="AE415" s="589"/>
      <c r="AF415" s="589"/>
      <c r="AG415" s="589"/>
      <c r="AH415" s="589"/>
      <c r="AI415" s="589"/>
      <c r="AJ415" s="589"/>
      <c r="AK415" s="589"/>
      <c r="AL415" s="589"/>
      <c r="AM415" s="589"/>
      <c r="AN415" s="589"/>
      <c r="AO415" s="589"/>
      <c r="AP415" s="589"/>
      <c r="AQ415" s="589"/>
      <c r="AR415" s="589"/>
      <c r="AS415" s="589"/>
    </row>
    <row r="416" spans="1:45" ht="15">
      <c r="A416" s="587" t="s">
        <v>191</v>
      </c>
      <c r="B416" s="587" t="s">
        <v>677</v>
      </c>
      <c r="C416" s="587" t="s">
        <v>784</v>
      </c>
      <c r="D416" s="588">
        <v>2015</v>
      </c>
      <c r="E416" s="587" t="s">
        <v>775</v>
      </c>
      <c r="F416" s="588">
        <v>6</v>
      </c>
      <c r="G416" s="588">
        <v>0</v>
      </c>
      <c r="H416" s="588">
        <v>0</v>
      </c>
      <c r="I416" s="588">
        <v>0</v>
      </c>
      <c r="J416" s="588">
        <v>4</v>
      </c>
      <c r="K416" s="588">
        <v>0</v>
      </c>
      <c r="L416" s="588">
        <v>0</v>
      </c>
      <c r="M416" s="588">
        <v>0</v>
      </c>
      <c r="N416" s="588">
        <v>4</v>
      </c>
      <c r="O416" s="588">
        <v>0</v>
      </c>
      <c r="P416" s="588">
        <v>9</v>
      </c>
      <c r="Q416" s="588">
        <v>1</v>
      </c>
      <c r="R416" s="588">
        <v>23</v>
      </c>
      <c r="S416" s="588">
        <v>1</v>
      </c>
      <c r="T416" s="588">
        <v>2015</v>
      </c>
      <c r="U416" s="588">
        <v>2014</v>
      </c>
      <c r="V416" s="589"/>
      <c r="W416" s="589"/>
      <c r="X416" s="589"/>
      <c r="Y416" s="589"/>
      <c r="Z416" s="589"/>
      <c r="AA416" s="589"/>
      <c r="AB416" s="589"/>
      <c r="AC416" s="589"/>
      <c r="AD416" s="589"/>
      <c r="AE416" s="589"/>
      <c r="AF416" s="589"/>
      <c r="AG416" s="589"/>
      <c r="AH416" s="589"/>
      <c r="AI416" s="589"/>
      <c r="AJ416" s="589"/>
      <c r="AK416" s="589"/>
      <c r="AL416" s="589"/>
      <c r="AM416" s="589"/>
      <c r="AN416" s="589"/>
      <c r="AO416" s="589"/>
      <c r="AP416" s="589"/>
      <c r="AQ416" s="589"/>
      <c r="AR416" s="589"/>
      <c r="AS416" s="589"/>
    </row>
    <row r="417" spans="1:45" ht="15">
      <c r="A417" s="590" t="s">
        <v>184</v>
      </c>
      <c r="B417" s="591" t="s">
        <v>629</v>
      </c>
      <c r="C417" s="591" t="s">
        <v>774</v>
      </c>
      <c r="D417" s="592">
        <v>2015</v>
      </c>
      <c r="E417" s="591" t="s">
        <v>775</v>
      </c>
      <c r="F417" s="592">
        <v>64</v>
      </c>
      <c r="G417" s="592">
        <v>0</v>
      </c>
      <c r="H417" s="592">
        <v>0</v>
      </c>
      <c r="I417" s="592">
        <v>0</v>
      </c>
      <c r="J417" s="592">
        <v>54</v>
      </c>
      <c r="K417" s="592">
        <v>8</v>
      </c>
      <c r="L417" s="592">
        <v>8</v>
      </c>
      <c r="M417" s="592">
        <v>0</v>
      </c>
      <c r="N417" s="593">
        <v>83</v>
      </c>
      <c r="O417" s="593">
        <v>0</v>
      </c>
      <c r="P417" s="593">
        <v>266</v>
      </c>
      <c r="Q417" s="593">
        <v>0</v>
      </c>
      <c r="R417" s="593">
        <v>467</v>
      </c>
      <c r="S417" s="593">
        <v>8</v>
      </c>
      <c r="T417" s="593">
        <v>2015</v>
      </c>
      <c r="U417" s="593">
        <v>2015</v>
      </c>
      <c r="V417" s="589"/>
      <c r="W417" s="589"/>
      <c r="X417" s="589"/>
      <c r="Y417" s="589"/>
      <c r="Z417" s="589"/>
      <c r="AA417" s="589"/>
      <c r="AB417" s="589"/>
      <c r="AC417" s="589"/>
      <c r="AD417" s="589"/>
      <c r="AE417" s="589"/>
      <c r="AF417" s="589"/>
      <c r="AG417" s="589"/>
      <c r="AH417" s="589"/>
      <c r="AI417" s="589"/>
      <c r="AJ417" s="589"/>
      <c r="AK417" s="589"/>
      <c r="AL417" s="589"/>
      <c r="AM417" s="589"/>
      <c r="AN417" s="589"/>
      <c r="AO417" s="589"/>
      <c r="AP417" s="589"/>
      <c r="AQ417" s="589"/>
      <c r="AR417" s="589"/>
      <c r="AS417" s="589"/>
    </row>
    <row r="418" spans="1:45" ht="15">
      <c r="A418" s="587" t="s">
        <v>173</v>
      </c>
      <c r="B418" s="587" t="s">
        <v>537</v>
      </c>
      <c r="C418" s="587" t="s">
        <v>812</v>
      </c>
      <c r="D418" s="588">
        <v>2015</v>
      </c>
      <c r="E418" s="587" t="s">
        <v>775</v>
      </c>
      <c r="F418" s="588">
        <v>374</v>
      </c>
      <c r="G418" s="588">
        <v>0</v>
      </c>
      <c r="H418" s="588">
        <v>0</v>
      </c>
      <c r="I418" s="588">
        <v>0</v>
      </c>
      <c r="J418" s="588">
        <v>250</v>
      </c>
      <c r="K418" s="588">
        <v>0</v>
      </c>
      <c r="L418" s="588">
        <v>0</v>
      </c>
      <c r="M418" s="588">
        <v>0</v>
      </c>
      <c r="N418" s="588">
        <v>274</v>
      </c>
      <c r="O418" s="588">
        <v>0</v>
      </c>
      <c r="P418" s="588">
        <v>565</v>
      </c>
      <c r="Q418" s="588">
        <v>306</v>
      </c>
      <c r="R418" s="588">
        <v>1463</v>
      </c>
      <c r="S418" s="588">
        <v>306</v>
      </c>
      <c r="T418" s="588">
        <v>2015</v>
      </c>
      <c r="U418" s="588">
        <v>2014</v>
      </c>
      <c r="V418" s="589"/>
      <c r="W418" s="589"/>
      <c r="X418" s="589"/>
      <c r="Y418" s="589"/>
      <c r="Z418" s="589"/>
      <c r="AA418" s="589"/>
      <c r="AB418" s="589"/>
      <c r="AC418" s="589"/>
      <c r="AD418" s="589"/>
      <c r="AE418" s="589"/>
      <c r="AF418" s="589"/>
      <c r="AG418" s="589"/>
      <c r="AH418" s="589"/>
      <c r="AI418" s="589"/>
      <c r="AJ418" s="589"/>
      <c r="AK418" s="589"/>
      <c r="AL418" s="589"/>
      <c r="AM418" s="589"/>
      <c r="AN418" s="589"/>
      <c r="AO418" s="589"/>
      <c r="AP418" s="589"/>
      <c r="AQ418" s="589"/>
      <c r="AR418" s="589"/>
      <c r="AS418" s="589"/>
    </row>
    <row r="419" spans="1:45" ht="15">
      <c r="A419" s="590" t="s">
        <v>179</v>
      </c>
      <c r="B419" s="591" t="s">
        <v>594</v>
      </c>
      <c r="C419" s="591" t="s">
        <v>855</v>
      </c>
      <c r="D419" s="592">
        <v>2015</v>
      </c>
      <c r="E419" s="591" t="s">
        <v>775</v>
      </c>
      <c r="F419" s="592">
        <v>1448</v>
      </c>
      <c r="G419" s="592">
        <v>0</v>
      </c>
      <c r="H419" s="592">
        <v>0</v>
      </c>
      <c r="I419" s="592">
        <v>0</v>
      </c>
      <c r="J419" s="592">
        <v>1101</v>
      </c>
      <c r="K419" s="592">
        <v>1</v>
      </c>
      <c r="L419" s="592">
        <v>1</v>
      </c>
      <c r="M419" s="592">
        <v>0</v>
      </c>
      <c r="N419" s="593">
        <v>1019</v>
      </c>
      <c r="O419" s="593">
        <v>2</v>
      </c>
      <c r="P419" s="593">
        <v>2237</v>
      </c>
      <c r="Q419" s="593">
        <v>23</v>
      </c>
      <c r="R419" s="593">
        <v>5805</v>
      </c>
      <c r="S419" s="593">
        <v>26</v>
      </c>
      <c r="T419" s="593">
        <v>2015</v>
      </c>
      <c r="U419" s="593">
        <v>2013</v>
      </c>
      <c r="V419" s="589"/>
      <c r="W419" s="589"/>
      <c r="X419" s="589"/>
      <c r="Y419" s="589"/>
      <c r="Z419" s="589"/>
      <c r="AA419" s="589"/>
      <c r="AB419" s="589"/>
      <c r="AC419" s="589"/>
      <c r="AD419" s="589"/>
      <c r="AE419" s="589"/>
      <c r="AF419" s="589"/>
      <c r="AG419" s="589"/>
      <c r="AH419" s="589"/>
      <c r="AI419" s="589"/>
      <c r="AJ419" s="589"/>
      <c r="AK419" s="589"/>
      <c r="AL419" s="589"/>
      <c r="AM419" s="589"/>
      <c r="AN419" s="589"/>
      <c r="AO419" s="589"/>
      <c r="AP419" s="589"/>
      <c r="AQ419" s="589"/>
      <c r="AR419" s="589"/>
      <c r="AS419" s="589"/>
    </row>
    <row r="420" spans="1:45" ht="15">
      <c r="A420" s="587" t="s">
        <v>146</v>
      </c>
      <c r="B420" s="587" t="s">
        <v>318</v>
      </c>
      <c r="C420" s="587" t="s">
        <v>812</v>
      </c>
      <c r="D420" s="588">
        <v>2015</v>
      </c>
      <c r="E420" s="587" t="s">
        <v>775</v>
      </c>
      <c r="F420" s="588">
        <v>487</v>
      </c>
      <c r="G420" s="588">
        <v>0</v>
      </c>
      <c r="H420" s="588">
        <v>0</v>
      </c>
      <c r="I420" s="588">
        <v>0</v>
      </c>
      <c r="J420" s="588">
        <v>300</v>
      </c>
      <c r="K420" s="588">
        <v>5</v>
      </c>
      <c r="L420" s="588">
        <v>5</v>
      </c>
      <c r="M420" s="588">
        <v>0</v>
      </c>
      <c r="N420" s="588">
        <v>297</v>
      </c>
      <c r="O420" s="588">
        <v>84</v>
      </c>
      <c r="P420" s="588">
        <v>840</v>
      </c>
      <c r="Q420" s="588">
        <v>11</v>
      </c>
      <c r="R420" s="588">
        <v>1924</v>
      </c>
      <c r="S420" s="588">
        <v>100</v>
      </c>
      <c r="T420" s="588">
        <v>2015</v>
      </c>
      <c r="U420" s="588">
        <v>2014</v>
      </c>
      <c r="V420" s="589"/>
      <c r="W420" s="589"/>
      <c r="X420" s="589"/>
      <c r="Y420" s="589"/>
      <c r="Z420" s="589"/>
      <c r="AA420" s="589"/>
      <c r="AB420" s="589"/>
      <c r="AC420" s="589"/>
      <c r="AD420" s="589"/>
      <c r="AE420" s="589"/>
      <c r="AF420" s="589"/>
      <c r="AG420" s="589"/>
      <c r="AH420" s="589"/>
      <c r="AI420" s="589"/>
      <c r="AJ420" s="589"/>
      <c r="AK420" s="589"/>
      <c r="AL420" s="589"/>
      <c r="AM420" s="589"/>
      <c r="AN420" s="589"/>
      <c r="AO420" s="589"/>
      <c r="AP420" s="589"/>
      <c r="AQ420" s="589"/>
      <c r="AR420" s="589"/>
      <c r="AS420" s="589"/>
    </row>
    <row r="421" spans="1:45" ht="15">
      <c r="A421" s="590" t="s">
        <v>136</v>
      </c>
      <c r="B421" s="591" t="s">
        <v>271</v>
      </c>
      <c r="C421" s="591" t="s">
        <v>774</v>
      </c>
      <c r="D421" s="592">
        <v>2015</v>
      </c>
      <c r="E421" s="591" t="s">
        <v>775</v>
      </c>
      <c r="F421" s="592">
        <v>100</v>
      </c>
      <c r="G421" s="592">
        <v>0</v>
      </c>
      <c r="H421" s="592">
        <v>0</v>
      </c>
      <c r="I421" s="592">
        <v>0</v>
      </c>
      <c r="J421" s="592">
        <v>63</v>
      </c>
      <c r="K421" s="592">
        <v>6</v>
      </c>
      <c r="L421" s="592">
        <v>6</v>
      </c>
      <c r="M421" s="592">
        <v>0</v>
      </c>
      <c r="N421" s="593">
        <v>69</v>
      </c>
      <c r="O421" s="593">
        <v>26</v>
      </c>
      <c r="P421" s="593">
        <v>166</v>
      </c>
      <c r="Q421" s="593">
        <v>229</v>
      </c>
      <c r="R421" s="593">
        <v>398</v>
      </c>
      <c r="S421" s="593">
        <v>261</v>
      </c>
      <c r="T421" s="593">
        <v>2015</v>
      </c>
      <c r="U421" s="593">
        <v>2015</v>
      </c>
      <c r="V421" s="589"/>
      <c r="W421" s="589"/>
      <c r="X421" s="589"/>
      <c r="Y421" s="589"/>
      <c r="Z421" s="589"/>
      <c r="AA421" s="589"/>
      <c r="AB421" s="589"/>
      <c r="AC421" s="589"/>
      <c r="AD421" s="589"/>
      <c r="AE421" s="589"/>
      <c r="AF421" s="589"/>
      <c r="AG421" s="589"/>
      <c r="AH421" s="589"/>
      <c r="AI421" s="589"/>
      <c r="AJ421" s="589"/>
      <c r="AK421" s="589"/>
      <c r="AL421" s="589"/>
      <c r="AM421" s="589"/>
      <c r="AN421" s="589"/>
      <c r="AO421" s="589"/>
      <c r="AP421" s="589"/>
      <c r="AQ421" s="589"/>
      <c r="AR421" s="589"/>
      <c r="AS421" s="589"/>
    </row>
    <row r="422" spans="1:45" ht="15">
      <c r="A422" s="587" t="s">
        <v>139</v>
      </c>
      <c r="B422" s="587" t="s">
        <v>287</v>
      </c>
      <c r="C422" s="587" t="s">
        <v>799</v>
      </c>
      <c r="D422" s="588">
        <v>2015</v>
      </c>
      <c r="E422" s="587" t="s">
        <v>775</v>
      </c>
      <c r="F422" s="588">
        <v>1086</v>
      </c>
      <c r="G422" s="588">
        <v>0</v>
      </c>
      <c r="H422" s="588">
        <v>0</v>
      </c>
      <c r="I422" s="588">
        <v>0</v>
      </c>
      <c r="J422" s="588">
        <v>762</v>
      </c>
      <c r="K422" s="588">
        <v>53</v>
      </c>
      <c r="L422" s="588">
        <v>53</v>
      </c>
      <c r="M422" s="588">
        <v>0</v>
      </c>
      <c r="N422" s="588">
        <v>823</v>
      </c>
      <c r="O422" s="588">
        <v>0</v>
      </c>
      <c r="P422" s="588">
        <v>1757</v>
      </c>
      <c r="Q422" s="588">
        <v>512</v>
      </c>
      <c r="R422" s="588">
        <v>4428</v>
      </c>
      <c r="S422" s="588">
        <v>565</v>
      </c>
      <c r="T422" s="588">
        <v>2015</v>
      </c>
      <c r="U422" s="588">
        <v>2014</v>
      </c>
      <c r="V422" s="589"/>
      <c r="W422" s="589"/>
      <c r="X422" s="589"/>
      <c r="Y422" s="589"/>
      <c r="Z422" s="589"/>
      <c r="AA422" s="589"/>
      <c r="AB422" s="589"/>
      <c r="AC422" s="589"/>
      <c r="AD422" s="589"/>
      <c r="AE422" s="589"/>
      <c r="AF422" s="589"/>
      <c r="AG422" s="589"/>
      <c r="AH422" s="589"/>
      <c r="AI422" s="589"/>
      <c r="AJ422" s="589"/>
      <c r="AK422" s="589"/>
      <c r="AL422" s="589"/>
      <c r="AM422" s="589"/>
      <c r="AN422" s="589"/>
      <c r="AO422" s="589"/>
      <c r="AP422" s="589"/>
      <c r="AQ422" s="589"/>
      <c r="AR422" s="589"/>
      <c r="AS422" s="589"/>
    </row>
    <row r="423" spans="1:45" ht="15">
      <c r="A423" s="590" t="s">
        <v>153</v>
      </c>
      <c r="B423" s="591" t="s">
        <v>371</v>
      </c>
      <c r="C423" s="591" t="s">
        <v>812</v>
      </c>
      <c r="D423" s="592">
        <v>2015</v>
      </c>
      <c r="E423" s="591" t="s">
        <v>775</v>
      </c>
      <c r="F423" s="592">
        <v>529</v>
      </c>
      <c r="G423" s="592">
        <v>96</v>
      </c>
      <c r="H423" s="592">
        <v>96</v>
      </c>
      <c r="I423" s="592">
        <v>0</v>
      </c>
      <c r="J423" s="592">
        <v>315</v>
      </c>
      <c r="K423" s="592">
        <v>36</v>
      </c>
      <c r="L423" s="592">
        <v>36</v>
      </c>
      <c r="M423" s="592">
        <v>0</v>
      </c>
      <c r="N423" s="593">
        <v>352</v>
      </c>
      <c r="O423" s="593">
        <v>0</v>
      </c>
      <c r="P423" s="593">
        <v>946</v>
      </c>
      <c r="Q423" s="593">
        <v>8</v>
      </c>
      <c r="R423" s="593">
        <v>2142</v>
      </c>
      <c r="S423" s="593">
        <v>140</v>
      </c>
      <c r="T423" s="593">
        <v>2015</v>
      </c>
      <c r="U423" s="593">
        <v>2014</v>
      </c>
      <c r="V423" s="589"/>
      <c r="W423" s="589"/>
      <c r="X423" s="589"/>
      <c r="Y423" s="589"/>
      <c r="Z423" s="589"/>
      <c r="AA423" s="589"/>
      <c r="AB423" s="589"/>
      <c r="AC423" s="589"/>
      <c r="AD423" s="589"/>
      <c r="AE423" s="589"/>
      <c r="AF423" s="589"/>
      <c r="AG423" s="589"/>
      <c r="AH423" s="589"/>
      <c r="AI423" s="589"/>
      <c r="AJ423" s="589"/>
      <c r="AK423" s="589"/>
      <c r="AL423" s="589"/>
      <c r="AM423" s="589"/>
      <c r="AN423" s="589"/>
      <c r="AO423" s="589"/>
      <c r="AP423" s="589"/>
      <c r="AQ423" s="589"/>
      <c r="AR423" s="589"/>
      <c r="AS423" s="589"/>
    </row>
    <row r="424" spans="1:45" ht="15">
      <c r="A424" s="587" t="s">
        <v>174</v>
      </c>
      <c r="B424" s="587" t="s">
        <v>557</v>
      </c>
      <c r="C424" s="587" t="s">
        <v>799</v>
      </c>
      <c r="D424" s="588">
        <v>2015</v>
      </c>
      <c r="E424" s="587" t="s">
        <v>775</v>
      </c>
      <c r="F424" s="588">
        <v>2035</v>
      </c>
      <c r="G424" s="588">
        <v>0</v>
      </c>
      <c r="H424" s="588">
        <v>0</v>
      </c>
      <c r="I424" s="588">
        <v>0</v>
      </c>
      <c r="J424" s="588">
        <v>1427</v>
      </c>
      <c r="K424" s="588">
        <v>0</v>
      </c>
      <c r="L424" s="588">
        <v>0</v>
      </c>
      <c r="M424" s="588">
        <v>0</v>
      </c>
      <c r="N424" s="588">
        <v>1377</v>
      </c>
      <c r="O424" s="588">
        <v>23</v>
      </c>
      <c r="P424" s="588">
        <v>2563</v>
      </c>
      <c r="Q424" s="588">
        <v>616</v>
      </c>
      <c r="R424" s="588">
        <v>7402</v>
      </c>
      <c r="S424" s="588">
        <v>639</v>
      </c>
      <c r="T424" s="588">
        <v>2015</v>
      </c>
      <c r="U424" s="588">
        <v>2014</v>
      </c>
      <c r="V424" s="589"/>
      <c r="W424" s="589"/>
      <c r="X424" s="589"/>
      <c r="Y424" s="589"/>
      <c r="Z424" s="589"/>
      <c r="AA424" s="589"/>
      <c r="AB424" s="589"/>
      <c r="AC424" s="589"/>
      <c r="AD424" s="589"/>
      <c r="AE424" s="589"/>
      <c r="AF424" s="589"/>
      <c r="AG424" s="589"/>
      <c r="AH424" s="589"/>
      <c r="AI424" s="589"/>
      <c r="AJ424" s="589"/>
      <c r="AK424" s="589"/>
      <c r="AL424" s="589"/>
      <c r="AM424" s="589"/>
      <c r="AN424" s="589"/>
      <c r="AO424" s="589"/>
      <c r="AP424" s="589"/>
      <c r="AQ424" s="589"/>
      <c r="AR424" s="589"/>
      <c r="AS424" s="589"/>
    </row>
    <row r="425" spans="1:45" ht="15">
      <c r="A425" s="590" t="s">
        <v>125</v>
      </c>
      <c r="B425" s="591" t="s">
        <v>237</v>
      </c>
      <c r="C425" s="591" t="s">
        <v>774</v>
      </c>
      <c r="D425" s="592">
        <v>2015</v>
      </c>
      <c r="E425" s="591" t="s">
        <v>775</v>
      </c>
      <c r="F425" s="592">
        <v>276</v>
      </c>
      <c r="G425" s="592">
        <v>5</v>
      </c>
      <c r="H425" s="592">
        <v>5</v>
      </c>
      <c r="I425" s="592">
        <v>0</v>
      </c>
      <c r="J425" s="592">
        <v>211</v>
      </c>
      <c r="K425" s="592">
        <v>0</v>
      </c>
      <c r="L425" s="592">
        <v>0</v>
      </c>
      <c r="M425" s="592">
        <v>0</v>
      </c>
      <c r="N425" s="593">
        <v>259</v>
      </c>
      <c r="O425" s="593">
        <v>7</v>
      </c>
      <c r="P425" s="593">
        <v>752</v>
      </c>
      <c r="Q425" s="593">
        <v>178</v>
      </c>
      <c r="R425" s="593">
        <v>1498</v>
      </c>
      <c r="S425" s="593">
        <v>190</v>
      </c>
      <c r="T425" s="593">
        <v>2015</v>
      </c>
      <c r="U425" s="593">
        <v>2015</v>
      </c>
      <c r="V425" s="589"/>
      <c r="W425" s="589"/>
      <c r="X425" s="589"/>
      <c r="Y425" s="589"/>
      <c r="Z425" s="589"/>
      <c r="AA425" s="589"/>
      <c r="AB425" s="589"/>
      <c r="AC425" s="589"/>
      <c r="AD425" s="589"/>
      <c r="AE425" s="589"/>
      <c r="AF425" s="589"/>
      <c r="AG425" s="589"/>
      <c r="AH425" s="589"/>
      <c r="AI425" s="589"/>
      <c r="AJ425" s="589"/>
      <c r="AK425" s="589"/>
      <c r="AL425" s="589"/>
      <c r="AM425" s="589"/>
      <c r="AN425" s="589"/>
      <c r="AO425" s="589"/>
      <c r="AP425" s="589"/>
      <c r="AQ425" s="589"/>
      <c r="AR425" s="589"/>
      <c r="AS425" s="589"/>
    </row>
    <row r="426" spans="1:45" ht="15">
      <c r="A426" s="587" t="s">
        <v>179</v>
      </c>
      <c r="B426" s="587" t="s">
        <v>595</v>
      </c>
      <c r="C426" s="587" t="s">
        <v>855</v>
      </c>
      <c r="D426" s="588">
        <v>2015</v>
      </c>
      <c r="E426" s="587" t="s">
        <v>775</v>
      </c>
      <c r="F426" s="588">
        <v>587</v>
      </c>
      <c r="G426" s="588">
        <v>0</v>
      </c>
      <c r="H426" s="588">
        <v>0</v>
      </c>
      <c r="I426" s="588">
        <v>0</v>
      </c>
      <c r="J426" s="588">
        <v>446</v>
      </c>
      <c r="K426" s="588">
        <v>3</v>
      </c>
      <c r="L426" s="588">
        <v>3</v>
      </c>
      <c r="M426" s="588">
        <v>0</v>
      </c>
      <c r="N426" s="588">
        <v>413</v>
      </c>
      <c r="O426" s="588">
        <v>0</v>
      </c>
      <c r="P426" s="588">
        <v>907</v>
      </c>
      <c r="Q426" s="588">
        <v>155</v>
      </c>
      <c r="R426" s="588">
        <v>2353</v>
      </c>
      <c r="S426" s="588">
        <v>158</v>
      </c>
      <c r="T426" s="588">
        <v>2015</v>
      </c>
      <c r="U426" s="588">
        <v>2013</v>
      </c>
      <c r="V426" s="589"/>
      <c r="W426" s="589"/>
      <c r="X426" s="589"/>
      <c r="Y426" s="589"/>
      <c r="Z426" s="589"/>
      <c r="AA426" s="589"/>
      <c r="AB426" s="589"/>
      <c r="AC426" s="589"/>
      <c r="AD426" s="589"/>
      <c r="AE426" s="589"/>
      <c r="AF426" s="589"/>
      <c r="AG426" s="589"/>
      <c r="AH426" s="589"/>
      <c r="AI426" s="589"/>
      <c r="AJ426" s="589"/>
      <c r="AK426" s="589"/>
      <c r="AL426" s="589"/>
      <c r="AM426" s="589"/>
      <c r="AN426" s="589"/>
      <c r="AO426" s="589"/>
      <c r="AP426" s="589"/>
      <c r="AQ426" s="589"/>
      <c r="AR426" s="589"/>
      <c r="AS426" s="589"/>
    </row>
    <row r="427" spans="1:45" ht="15">
      <c r="A427" s="590" t="s">
        <v>179</v>
      </c>
      <c r="B427" s="591" t="s">
        <v>596</v>
      </c>
      <c r="C427" s="591" t="s">
        <v>855</v>
      </c>
      <c r="D427" s="592">
        <v>2015</v>
      </c>
      <c r="E427" s="591" t="s">
        <v>775</v>
      </c>
      <c r="F427" s="592">
        <v>1042</v>
      </c>
      <c r="G427" s="592">
        <v>0</v>
      </c>
      <c r="H427" s="592">
        <v>0</v>
      </c>
      <c r="I427" s="592">
        <v>0</v>
      </c>
      <c r="J427" s="592">
        <v>791</v>
      </c>
      <c r="K427" s="592">
        <v>11</v>
      </c>
      <c r="L427" s="592">
        <v>11</v>
      </c>
      <c r="M427" s="592">
        <v>0</v>
      </c>
      <c r="N427" s="593">
        <v>733</v>
      </c>
      <c r="O427" s="593">
        <v>0</v>
      </c>
      <c r="P427" s="593">
        <v>1609</v>
      </c>
      <c r="Q427" s="593">
        <v>7</v>
      </c>
      <c r="R427" s="593">
        <v>4175</v>
      </c>
      <c r="S427" s="593">
        <v>18</v>
      </c>
      <c r="T427" s="593">
        <v>2015</v>
      </c>
      <c r="U427" s="593">
        <v>2013</v>
      </c>
      <c r="V427" s="589"/>
      <c r="W427" s="589"/>
      <c r="X427" s="589"/>
      <c r="Y427" s="589"/>
      <c r="Z427" s="589"/>
      <c r="AA427" s="589"/>
      <c r="AB427" s="589"/>
      <c r="AC427" s="589"/>
      <c r="AD427" s="589"/>
      <c r="AE427" s="589"/>
      <c r="AF427" s="589"/>
      <c r="AG427" s="589"/>
      <c r="AH427" s="589"/>
      <c r="AI427" s="589"/>
      <c r="AJ427" s="589"/>
      <c r="AK427" s="589"/>
      <c r="AL427" s="589"/>
      <c r="AM427" s="589"/>
      <c r="AN427" s="589"/>
      <c r="AO427" s="589"/>
      <c r="AP427" s="589"/>
      <c r="AQ427" s="589"/>
      <c r="AR427" s="589"/>
      <c r="AS427" s="589"/>
    </row>
    <row r="428" spans="1:45" ht="15">
      <c r="A428" s="587" t="s">
        <v>145</v>
      </c>
      <c r="B428" s="587" t="s">
        <v>309</v>
      </c>
      <c r="C428" s="587" t="s">
        <v>784</v>
      </c>
      <c r="D428" s="588">
        <v>2015</v>
      </c>
      <c r="E428" s="587" t="s">
        <v>775</v>
      </c>
      <c r="F428" s="588">
        <v>145</v>
      </c>
      <c r="G428" s="588">
        <v>0</v>
      </c>
      <c r="H428" s="588">
        <v>0</v>
      </c>
      <c r="I428" s="588">
        <v>0</v>
      </c>
      <c r="J428" s="588">
        <v>96</v>
      </c>
      <c r="K428" s="588">
        <v>55</v>
      </c>
      <c r="L428" s="588">
        <v>49</v>
      </c>
      <c r="M428" s="588">
        <v>6</v>
      </c>
      <c r="N428" s="588">
        <v>104</v>
      </c>
      <c r="O428" s="588">
        <v>8</v>
      </c>
      <c r="P428" s="588">
        <v>264</v>
      </c>
      <c r="Q428" s="588">
        <v>14</v>
      </c>
      <c r="R428" s="588">
        <v>609</v>
      </c>
      <c r="S428" s="588">
        <v>77</v>
      </c>
      <c r="T428" s="588">
        <v>2015</v>
      </c>
      <c r="U428" s="588">
        <v>2014</v>
      </c>
      <c r="V428" s="589"/>
      <c r="W428" s="589"/>
      <c r="X428" s="589"/>
      <c r="Y428" s="589"/>
      <c r="Z428" s="589"/>
      <c r="AA428" s="589"/>
      <c r="AB428" s="589"/>
      <c r="AC428" s="589"/>
      <c r="AD428" s="589"/>
      <c r="AE428" s="589"/>
      <c r="AF428" s="589"/>
      <c r="AG428" s="589"/>
      <c r="AH428" s="589"/>
      <c r="AI428" s="589"/>
      <c r="AJ428" s="589"/>
      <c r="AK428" s="589"/>
      <c r="AL428" s="589"/>
      <c r="AM428" s="589"/>
      <c r="AN428" s="589"/>
      <c r="AO428" s="589"/>
      <c r="AP428" s="589"/>
      <c r="AQ428" s="589"/>
      <c r="AR428" s="589"/>
      <c r="AS428" s="589"/>
    </row>
    <row r="429" spans="1:45" ht="15">
      <c r="A429" s="590" t="s">
        <v>157</v>
      </c>
      <c r="B429" s="591" t="s">
        <v>438</v>
      </c>
      <c r="C429" s="591" t="s">
        <v>774</v>
      </c>
      <c r="D429" s="592">
        <v>2015</v>
      </c>
      <c r="E429" s="591" t="s">
        <v>775</v>
      </c>
      <c r="F429" s="592">
        <v>16</v>
      </c>
      <c r="G429" s="592">
        <v>0</v>
      </c>
      <c r="H429" s="592">
        <v>0</v>
      </c>
      <c r="I429" s="592">
        <v>0</v>
      </c>
      <c r="J429" s="592">
        <v>11</v>
      </c>
      <c r="K429" s="592">
        <v>0</v>
      </c>
      <c r="L429" s="592">
        <v>0</v>
      </c>
      <c r="M429" s="592">
        <v>0</v>
      </c>
      <c r="N429" s="593">
        <v>11</v>
      </c>
      <c r="O429" s="593">
        <v>0</v>
      </c>
      <c r="P429" s="593">
        <v>23</v>
      </c>
      <c r="Q429" s="593">
        <v>0</v>
      </c>
      <c r="R429" s="593">
        <v>61</v>
      </c>
      <c r="S429" s="593">
        <v>0</v>
      </c>
      <c r="T429" s="593">
        <v>2015</v>
      </c>
      <c r="U429" s="593">
        <v>2015</v>
      </c>
      <c r="V429" s="589"/>
      <c r="W429" s="589"/>
      <c r="X429" s="589"/>
      <c r="Y429" s="589"/>
      <c r="Z429" s="589"/>
      <c r="AA429" s="589"/>
      <c r="AB429" s="589"/>
      <c r="AC429" s="589"/>
      <c r="AD429" s="589"/>
      <c r="AE429" s="589"/>
      <c r="AF429" s="589"/>
      <c r="AG429" s="589"/>
      <c r="AH429" s="589"/>
      <c r="AI429" s="589"/>
      <c r="AJ429" s="589"/>
      <c r="AK429" s="589"/>
      <c r="AL429" s="589"/>
      <c r="AM429" s="589"/>
      <c r="AN429" s="589"/>
      <c r="AO429" s="589"/>
      <c r="AP429" s="589"/>
      <c r="AQ429" s="589"/>
      <c r="AR429" s="589"/>
      <c r="AS429" s="589"/>
    </row>
    <row r="430" spans="1:45" ht="15">
      <c r="A430" s="587" t="s">
        <v>192</v>
      </c>
      <c r="B430" s="587" t="s">
        <v>688</v>
      </c>
      <c r="C430" s="587" t="s">
        <v>774</v>
      </c>
      <c r="D430" s="588">
        <v>2015</v>
      </c>
      <c r="E430" s="587" t="s">
        <v>775</v>
      </c>
      <c r="F430" s="588">
        <v>779</v>
      </c>
      <c r="G430" s="588">
        <v>0</v>
      </c>
      <c r="H430" s="588">
        <v>0</v>
      </c>
      <c r="I430" s="588">
        <v>0</v>
      </c>
      <c r="J430" s="588">
        <v>404</v>
      </c>
      <c r="K430" s="588">
        <v>0</v>
      </c>
      <c r="L430" s="588">
        <v>0</v>
      </c>
      <c r="M430" s="588">
        <v>0</v>
      </c>
      <c r="N430" s="588">
        <v>456</v>
      </c>
      <c r="O430" s="588">
        <v>290</v>
      </c>
      <c r="P430" s="588">
        <v>1461</v>
      </c>
      <c r="Q430" s="588">
        <v>448</v>
      </c>
      <c r="R430" s="588">
        <v>3100</v>
      </c>
      <c r="S430" s="588">
        <v>738</v>
      </c>
      <c r="T430" s="588">
        <v>2015</v>
      </c>
      <c r="U430" s="588">
        <v>2015</v>
      </c>
      <c r="V430" s="589"/>
      <c r="W430" s="589"/>
      <c r="X430" s="589"/>
      <c r="Y430" s="589"/>
      <c r="Z430" s="589"/>
      <c r="AA430" s="589"/>
      <c r="AB430" s="589"/>
      <c r="AC430" s="589"/>
      <c r="AD430" s="589"/>
      <c r="AE430" s="589"/>
      <c r="AF430" s="589"/>
      <c r="AG430" s="589"/>
      <c r="AH430" s="589"/>
      <c r="AI430" s="589"/>
      <c r="AJ430" s="589"/>
      <c r="AK430" s="589"/>
      <c r="AL430" s="589"/>
      <c r="AM430" s="589"/>
      <c r="AN430" s="589"/>
      <c r="AO430" s="589"/>
      <c r="AP430" s="589"/>
      <c r="AQ430" s="589"/>
      <c r="AR430" s="589"/>
      <c r="AS430" s="589"/>
    </row>
    <row r="431" spans="1:45" ht="15">
      <c r="A431" s="590" t="s">
        <v>145</v>
      </c>
      <c r="B431" s="591" t="s">
        <v>310</v>
      </c>
      <c r="C431" s="591" t="s">
        <v>784</v>
      </c>
      <c r="D431" s="592">
        <v>2015</v>
      </c>
      <c r="E431" s="591" t="s">
        <v>775</v>
      </c>
      <c r="F431" s="592">
        <v>6</v>
      </c>
      <c r="G431" s="592">
        <v>0</v>
      </c>
      <c r="H431" s="592">
        <v>0</v>
      </c>
      <c r="I431" s="592">
        <v>0</v>
      </c>
      <c r="J431" s="592">
        <v>3</v>
      </c>
      <c r="K431" s="592">
        <v>0</v>
      </c>
      <c r="L431" s="592">
        <v>0</v>
      </c>
      <c r="M431" s="592">
        <v>0</v>
      </c>
      <c r="N431" s="593">
        <v>4</v>
      </c>
      <c r="O431" s="593">
        <v>0</v>
      </c>
      <c r="P431" s="593">
        <v>8</v>
      </c>
      <c r="Q431" s="593">
        <v>0</v>
      </c>
      <c r="R431" s="593">
        <v>21</v>
      </c>
      <c r="S431" s="593">
        <v>0</v>
      </c>
      <c r="T431" s="593">
        <v>2015</v>
      </c>
      <c r="U431" s="593">
        <v>2014</v>
      </c>
      <c r="V431" s="589"/>
      <c r="W431" s="589"/>
      <c r="X431" s="589"/>
      <c r="Y431" s="589"/>
      <c r="Z431" s="589"/>
      <c r="AA431" s="589"/>
      <c r="AB431" s="589"/>
      <c r="AC431" s="589"/>
      <c r="AD431" s="589"/>
      <c r="AE431" s="589"/>
      <c r="AF431" s="589"/>
      <c r="AG431" s="589"/>
      <c r="AH431" s="589"/>
      <c r="AI431" s="589"/>
      <c r="AJ431" s="589"/>
      <c r="AK431" s="589"/>
      <c r="AL431" s="589"/>
      <c r="AM431" s="589"/>
      <c r="AN431" s="589"/>
      <c r="AO431" s="589"/>
      <c r="AP431" s="589"/>
      <c r="AQ431" s="589"/>
      <c r="AR431" s="589"/>
      <c r="AS431" s="589"/>
    </row>
    <row r="432" spans="1:45" ht="15">
      <c r="A432" s="587" t="s">
        <v>174</v>
      </c>
      <c r="B432" s="587" t="s">
        <v>558</v>
      </c>
      <c r="C432" s="587" t="s">
        <v>799</v>
      </c>
      <c r="D432" s="588">
        <v>2015</v>
      </c>
      <c r="E432" s="587" t="s">
        <v>775</v>
      </c>
      <c r="F432" s="588">
        <v>1218</v>
      </c>
      <c r="G432" s="588">
        <v>0</v>
      </c>
      <c r="H432" s="588">
        <v>0</v>
      </c>
      <c r="I432" s="588">
        <v>0</v>
      </c>
      <c r="J432" s="588">
        <v>854</v>
      </c>
      <c r="K432" s="588">
        <v>0</v>
      </c>
      <c r="L432" s="588">
        <v>0</v>
      </c>
      <c r="M432" s="588">
        <v>0</v>
      </c>
      <c r="N432" s="588">
        <v>862</v>
      </c>
      <c r="O432" s="588">
        <v>54</v>
      </c>
      <c r="P432" s="588">
        <v>1699</v>
      </c>
      <c r="Q432" s="588">
        <v>180</v>
      </c>
      <c r="R432" s="588">
        <v>4633</v>
      </c>
      <c r="S432" s="588">
        <v>234</v>
      </c>
      <c r="T432" s="588">
        <v>2015</v>
      </c>
      <c r="U432" s="588">
        <v>2014</v>
      </c>
      <c r="V432" s="589"/>
      <c r="W432" s="589"/>
      <c r="X432" s="589"/>
      <c r="Y432" s="589"/>
      <c r="Z432" s="589"/>
      <c r="AA432" s="589"/>
      <c r="AB432" s="589"/>
      <c r="AC432" s="589"/>
      <c r="AD432" s="589"/>
      <c r="AE432" s="589"/>
      <c r="AF432" s="589"/>
      <c r="AG432" s="589"/>
      <c r="AH432" s="589"/>
      <c r="AI432" s="589"/>
      <c r="AJ432" s="589"/>
      <c r="AK432" s="589"/>
      <c r="AL432" s="589"/>
      <c r="AM432" s="589"/>
      <c r="AN432" s="589"/>
      <c r="AO432" s="589"/>
      <c r="AP432" s="589"/>
      <c r="AQ432" s="589"/>
      <c r="AR432" s="589"/>
      <c r="AS432" s="589"/>
    </row>
    <row r="433" spans="1:45" ht="15">
      <c r="A433" s="590" t="s">
        <v>178</v>
      </c>
      <c r="B433" s="591" t="s">
        <v>573</v>
      </c>
      <c r="C433" s="591" t="s">
        <v>812</v>
      </c>
      <c r="D433" s="592">
        <v>2015</v>
      </c>
      <c r="E433" s="591" t="s">
        <v>775</v>
      </c>
      <c r="F433" s="592">
        <v>1442</v>
      </c>
      <c r="G433" s="592">
        <v>0</v>
      </c>
      <c r="H433" s="592">
        <v>0</v>
      </c>
      <c r="I433" s="592">
        <v>0</v>
      </c>
      <c r="J433" s="592">
        <v>974</v>
      </c>
      <c r="K433" s="592">
        <v>147</v>
      </c>
      <c r="L433" s="592">
        <v>147</v>
      </c>
      <c r="M433" s="592">
        <v>0</v>
      </c>
      <c r="N433" s="593">
        <v>1090</v>
      </c>
      <c r="O433" s="593">
        <v>0</v>
      </c>
      <c r="P433" s="593">
        <v>2471</v>
      </c>
      <c r="Q433" s="593">
        <v>368</v>
      </c>
      <c r="R433" s="593">
        <v>5977</v>
      </c>
      <c r="S433" s="593">
        <v>515</v>
      </c>
      <c r="T433" s="593">
        <v>2015</v>
      </c>
      <c r="U433" s="593">
        <v>2014</v>
      </c>
      <c r="V433" s="589"/>
      <c r="W433" s="589"/>
      <c r="X433" s="589"/>
      <c r="Y433" s="589"/>
      <c r="Z433" s="589"/>
      <c r="AA433" s="589"/>
      <c r="AB433" s="589"/>
      <c r="AC433" s="589"/>
      <c r="AD433" s="589"/>
      <c r="AE433" s="589"/>
      <c r="AF433" s="589"/>
      <c r="AG433" s="589"/>
      <c r="AH433" s="589"/>
      <c r="AI433" s="589"/>
      <c r="AJ433" s="589"/>
      <c r="AK433" s="589"/>
      <c r="AL433" s="589"/>
      <c r="AM433" s="589"/>
      <c r="AN433" s="589"/>
      <c r="AO433" s="589"/>
      <c r="AP433" s="589"/>
      <c r="AQ433" s="589"/>
      <c r="AR433" s="589"/>
      <c r="AS433" s="589"/>
    </row>
    <row r="434" spans="1:45" ht="15">
      <c r="A434" s="587" t="s">
        <v>159</v>
      </c>
      <c r="B434" s="587" t="s">
        <v>449</v>
      </c>
      <c r="C434" s="587" t="s">
        <v>784</v>
      </c>
      <c r="D434" s="588">
        <v>2015</v>
      </c>
      <c r="E434" s="587" t="s">
        <v>775</v>
      </c>
      <c r="F434" s="588">
        <v>5</v>
      </c>
      <c r="G434" s="588">
        <v>0</v>
      </c>
      <c r="H434" s="588">
        <v>0</v>
      </c>
      <c r="I434" s="588">
        <v>0</v>
      </c>
      <c r="J434" s="588">
        <v>3</v>
      </c>
      <c r="K434" s="588">
        <v>2</v>
      </c>
      <c r="L434" s="588">
        <v>2</v>
      </c>
      <c r="M434" s="588">
        <v>0</v>
      </c>
      <c r="N434" s="588">
        <v>3</v>
      </c>
      <c r="O434" s="588">
        <v>0</v>
      </c>
      <c r="P434" s="588">
        <v>9</v>
      </c>
      <c r="Q434" s="588">
        <v>3</v>
      </c>
      <c r="R434" s="588">
        <v>20</v>
      </c>
      <c r="S434" s="588">
        <v>5</v>
      </c>
      <c r="T434" s="588">
        <v>2015</v>
      </c>
      <c r="U434" s="588">
        <v>2014</v>
      </c>
      <c r="V434" s="589"/>
      <c r="W434" s="589"/>
      <c r="X434" s="589"/>
      <c r="Y434" s="589"/>
      <c r="Z434" s="589"/>
      <c r="AA434" s="589"/>
      <c r="AB434" s="589"/>
      <c r="AC434" s="589"/>
      <c r="AD434" s="589"/>
      <c r="AE434" s="589"/>
      <c r="AF434" s="589"/>
      <c r="AG434" s="589"/>
      <c r="AH434" s="589"/>
      <c r="AI434" s="589"/>
      <c r="AJ434" s="589"/>
      <c r="AK434" s="589"/>
      <c r="AL434" s="589"/>
      <c r="AM434" s="589"/>
      <c r="AN434" s="589"/>
      <c r="AO434" s="589"/>
      <c r="AP434" s="589"/>
      <c r="AQ434" s="589"/>
      <c r="AR434" s="589"/>
      <c r="AS434" s="589"/>
    </row>
    <row r="435" spans="1:45" ht="15">
      <c r="A435" s="590" t="s">
        <v>184</v>
      </c>
      <c r="B435" s="591" t="s">
        <v>630</v>
      </c>
      <c r="C435" s="591" t="s">
        <v>774</v>
      </c>
      <c r="D435" s="592">
        <v>2015</v>
      </c>
      <c r="E435" s="591" t="s">
        <v>775</v>
      </c>
      <c r="F435" s="592">
        <v>148</v>
      </c>
      <c r="G435" s="592">
        <v>83</v>
      </c>
      <c r="H435" s="592">
        <v>83</v>
      </c>
      <c r="I435" s="592">
        <v>0</v>
      </c>
      <c r="J435" s="592">
        <v>87</v>
      </c>
      <c r="K435" s="592">
        <v>49</v>
      </c>
      <c r="L435" s="592">
        <v>49</v>
      </c>
      <c r="M435" s="592">
        <v>0</v>
      </c>
      <c r="N435" s="593">
        <v>76</v>
      </c>
      <c r="O435" s="593">
        <v>14</v>
      </c>
      <c r="P435" s="593">
        <v>119</v>
      </c>
      <c r="Q435" s="593">
        <v>563</v>
      </c>
      <c r="R435" s="593">
        <v>430</v>
      </c>
      <c r="S435" s="593">
        <v>709</v>
      </c>
      <c r="T435" s="593">
        <v>2015</v>
      </c>
      <c r="U435" s="593">
        <v>2015</v>
      </c>
      <c r="V435" s="589"/>
      <c r="W435" s="589"/>
      <c r="X435" s="589"/>
      <c r="Y435" s="589"/>
      <c r="Z435" s="589"/>
      <c r="AA435" s="589"/>
      <c r="AB435" s="589"/>
      <c r="AC435" s="589"/>
      <c r="AD435" s="589"/>
      <c r="AE435" s="589"/>
      <c r="AF435" s="589"/>
      <c r="AG435" s="589"/>
      <c r="AH435" s="589"/>
      <c r="AI435" s="589"/>
      <c r="AJ435" s="589"/>
      <c r="AK435" s="589"/>
      <c r="AL435" s="589"/>
      <c r="AM435" s="589"/>
      <c r="AN435" s="589"/>
      <c r="AO435" s="589"/>
      <c r="AP435" s="589"/>
      <c r="AQ435" s="589"/>
      <c r="AR435" s="589"/>
      <c r="AS435" s="589"/>
    </row>
    <row r="436" spans="1:45" ht="15">
      <c r="A436" s="587" t="s">
        <v>169</v>
      </c>
      <c r="B436" s="587" t="s">
        <v>492</v>
      </c>
      <c r="C436" s="587" t="s">
        <v>812</v>
      </c>
      <c r="D436" s="588">
        <v>2015</v>
      </c>
      <c r="E436" s="587" t="s">
        <v>775</v>
      </c>
      <c r="F436" s="588">
        <v>83</v>
      </c>
      <c r="G436" s="588">
        <v>0</v>
      </c>
      <c r="H436" s="588">
        <v>0</v>
      </c>
      <c r="I436" s="588">
        <v>0</v>
      </c>
      <c r="J436" s="588">
        <v>59</v>
      </c>
      <c r="K436" s="588">
        <v>0</v>
      </c>
      <c r="L436" s="588">
        <v>0</v>
      </c>
      <c r="M436" s="588">
        <v>0</v>
      </c>
      <c r="N436" s="588">
        <v>65</v>
      </c>
      <c r="O436" s="588">
        <v>0</v>
      </c>
      <c r="P436" s="588">
        <v>151</v>
      </c>
      <c r="Q436" s="588">
        <v>6</v>
      </c>
      <c r="R436" s="588">
        <v>358</v>
      </c>
      <c r="S436" s="588">
        <v>6</v>
      </c>
      <c r="T436" s="588">
        <v>2015</v>
      </c>
      <c r="U436" s="588">
        <v>2014</v>
      </c>
      <c r="V436" s="589"/>
      <c r="W436" s="589"/>
      <c r="X436" s="589"/>
      <c r="Y436" s="589"/>
      <c r="Z436" s="589"/>
      <c r="AA436" s="589"/>
      <c r="AB436" s="589"/>
      <c r="AC436" s="589"/>
      <c r="AD436" s="589"/>
      <c r="AE436" s="589"/>
      <c r="AF436" s="589"/>
      <c r="AG436" s="589"/>
      <c r="AH436" s="589"/>
      <c r="AI436" s="589"/>
      <c r="AJ436" s="589"/>
      <c r="AK436" s="589"/>
      <c r="AL436" s="589"/>
      <c r="AM436" s="589"/>
      <c r="AN436" s="589"/>
      <c r="AO436" s="589"/>
      <c r="AP436" s="589"/>
      <c r="AQ436" s="589"/>
      <c r="AR436" s="589"/>
      <c r="AS436" s="589"/>
    </row>
    <row r="437" spans="1:45" ht="15">
      <c r="A437" s="590" t="s">
        <v>125</v>
      </c>
      <c r="B437" s="591" t="s">
        <v>238</v>
      </c>
      <c r="C437" s="591" t="s">
        <v>774</v>
      </c>
      <c r="D437" s="592">
        <v>2015</v>
      </c>
      <c r="E437" s="591" t="s">
        <v>775</v>
      </c>
      <c r="F437" s="592">
        <v>1714</v>
      </c>
      <c r="G437" s="592">
        <v>64</v>
      </c>
      <c r="H437" s="592">
        <v>64</v>
      </c>
      <c r="I437" s="592">
        <v>0</v>
      </c>
      <c r="J437" s="592">
        <v>926</v>
      </c>
      <c r="K437" s="592">
        <v>0</v>
      </c>
      <c r="L437" s="592">
        <v>0</v>
      </c>
      <c r="M437" s="592">
        <v>0</v>
      </c>
      <c r="N437" s="593">
        <v>978</v>
      </c>
      <c r="O437" s="593">
        <v>0</v>
      </c>
      <c r="P437" s="593">
        <v>1837</v>
      </c>
      <c r="Q437" s="593">
        <v>383</v>
      </c>
      <c r="R437" s="593">
        <v>5455</v>
      </c>
      <c r="S437" s="593">
        <v>447</v>
      </c>
      <c r="T437" s="593">
        <v>2015</v>
      </c>
      <c r="U437" s="593">
        <v>2015</v>
      </c>
      <c r="V437" s="589"/>
      <c r="W437" s="589"/>
      <c r="X437" s="589"/>
      <c r="Y437" s="589"/>
      <c r="Z437" s="589"/>
      <c r="AA437" s="589"/>
      <c r="AB437" s="589"/>
      <c r="AC437" s="589"/>
      <c r="AD437" s="589"/>
      <c r="AE437" s="589"/>
      <c r="AF437" s="589"/>
      <c r="AG437" s="589"/>
      <c r="AH437" s="589"/>
      <c r="AI437" s="589"/>
      <c r="AJ437" s="589"/>
      <c r="AK437" s="589"/>
      <c r="AL437" s="589"/>
      <c r="AM437" s="589"/>
      <c r="AN437" s="589"/>
      <c r="AO437" s="589"/>
      <c r="AP437" s="589"/>
      <c r="AQ437" s="589"/>
      <c r="AR437" s="589"/>
      <c r="AS437" s="589"/>
    </row>
    <row r="438" spans="1:45" ht="15">
      <c r="A438" s="587" t="s">
        <v>141</v>
      </c>
      <c r="B438" s="587" t="s">
        <v>141</v>
      </c>
      <c r="C438" s="587" t="s">
        <v>177</v>
      </c>
      <c r="D438" s="588">
        <v>2015</v>
      </c>
      <c r="E438" s="587" t="s">
        <v>775</v>
      </c>
      <c r="F438" s="588">
        <v>5666</v>
      </c>
      <c r="G438" s="588">
        <v>290</v>
      </c>
      <c r="H438" s="588">
        <v>290</v>
      </c>
      <c r="I438" s="588">
        <v>0</v>
      </c>
      <c r="J438" s="588">
        <v>3289</v>
      </c>
      <c r="K438" s="588">
        <v>268</v>
      </c>
      <c r="L438" s="588">
        <v>268</v>
      </c>
      <c r="M438" s="588">
        <v>0</v>
      </c>
      <c r="N438" s="588">
        <v>3571</v>
      </c>
      <c r="O438" s="588">
        <v>384</v>
      </c>
      <c r="P438" s="588">
        <v>11039</v>
      </c>
      <c r="Q438" s="588">
        <v>2328</v>
      </c>
      <c r="R438" s="588">
        <v>23565</v>
      </c>
      <c r="S438" s="588">
        <v>3270</v>
      </c>
      <c r="T438" s="588">
        <v>2016</v>
      </c>
      <c r="U438" s="588">
        <v>2016</v>
      </c>
      <c r="V438" s="589"/>
      <c r="W438" s="589"/>
      <c r="X438" s="589"/>
      <c r="Y438" s="589"/>
      <c r="Z438" s="589"/>
      <c r="AA438" s="589"/>
      <c r="AB438" s="589"/>
      <c r="AC438" s="589"/>
      <c r="AD438" s="589"/>
      <c r="AE438" s="589"/>
      <c r="AF438" s="589"/>
      <c r="AG438" s="589"/>
      <c r="AH438" s="589"/>
      <c r="AI438" s="589"/>
      <c r="AJ438" s="589"/>
      <c r="AK438" s="589"/>
      <c r="AL438" s="589"/>
      <c r="AM438" s="589"/>
      <c r="AN438" s="589"/>
      <c r="AO438" s="589"/>
      <c r="AP438" s="589"/>
      <c r="AQ438" s="589"/>
      <c r="AR438" s="589"/>
      <c r="AS438" s="589"/>
    </row>
    <row r="439" spans="1:45" ht="15">
      <c r="A439" s="590" t="s">
        <v>141</v>
      </c>
      <c r="B439" s="591" t="s">
        <v>294</v>
      </c>
      <c r="C439" s="591" t="s">
        <v>177</v>
      </c>
      <c r="D439" s="592">
        <v>2015</v>
      </c>
      <c r="E439" s="591" t="s">
        <v>775</v>
      </c>
      <c r="F439" s="592">
        <v>460</v>
      </c>
      <c r="G439" s="592">
        <v>0</v>
      </c>
      <c r="H439" s="592">
        <v>0</v>
      </c>
      <c r="I439" s="592">
        <v>0</v>
      </c>
      <c r="J439" s="592">
        <v>527</v>
      </c>
      <c r="K439" s="592">
        <v>0</v>
      </c>
      <c r="L439" s="592">
        <v>0</v>
      </c>
      <c r="M439" s="592">
        <v>0</v>
      </c>
      <c r="N439" s="593">
        <v>589</v>
      </c>
      <c r="O439" s="593">
        <v>102</v>
      </c>
      <c r="P439" s="593">
        <v>1146</v>
      </c>
      <c r="Q439" s="593">
        <v>162</v>
      </c>
      <c r="R439" s="593">
        <v>2722</v>
      </c>
      <c r="S439" s="593">
        <v>264</v>
      </c>
      <c r="T439" s="593">
        <v>2016</v>
      </c>
      <c r="U439" s="593">
        <v>2016</v>
      </c>
      <c r="V439" s="589"/>
      <c r="W439" s="589"/>
      <c r="X439" s="589"/>
      <c r="Y439" s="589"/>
      <c r="Z439" s="589"/>
      <c r="AA439" s="589"/>
      <c r="AB439" s="589"/>
      <c r="AC439" s="589"/>
      <c r="AD439" s="589"/>
      <c r="AE439" s="589"/>
      <c r="AF439" s="589"/>
      <c r="AG439" s="589"/>
      <c r="AH439" s="589"/>
      <c r="AI439" s="589"/>
      <c r="AJ439" s="589"/>
      <c r="AK439" s="589"/>
      <c r="AL439" s="589"/>
      <c r="AM439" s="589"/>
      <c r="AN439" s="589"/>
      <c r="AO439" s="589"/>
      <c r="AP439" s="589"/>
      <c r="AQ439" s="589"/>
      <c r="AR439" s="589"/>
      <c r="AS439" s="589"/>
    </row>
    <row r="440" spans="1:45" ht="15">
      <c r="A440" s="587" t="s">
        <v>169</v>
      </c>
      <c r="B440" s="587" t="s">
        <v>493</v>
      </c>
      <c r="C440" s="587" t="s">
        <v>812</v>
      </c>
      <c r="D440" s="588">
        <v>2015</v>
      </c>
      <c r="E440" s="587" t="s">
        <v>775</v>
      </c>
      <c r="F440" s="588">
        <v>411</v>
      </c>
      <c r="G440" s="588">
        <v>0</v>
      </c>
      <c r="H440" s="588">
        <v>0</v>
      </c>
      <c r="I440" s="588">
        <v>0</v>
      </c>
      <c r="J440" s="588">
        <v>299</v>
      </c>
      <c r="K440" s="588">
        <v>0</v>
      </c>
      <c r="L440" s="588">
        <v>0</v>
      </c>
      <c r="M440" s="588">
        <v>0</v>
      </c>
      <c r="N440" s="588">
        <v>337</v>
      </c>
      <c r="O440" s="588">
        <v>0</v>
      </c>
      <c r="P440" s="588">
        <v>794</v>
      </c>
      <c r="Q440" s="588">
        <v>131</v>
      </c>
      <c r="R440" s="588">
        <v>1841</v>
      </c>
      <c r="S440" s="588">
        <v>131</v>
      </c>
      <c r="T440" s="588">
        <v>2015</v>
      </c>
      <c r="U440" s="588">
        <v>2014</v>
      </c>
      <c r="V440" s="589"/>
      <c r="W440" s="589"/>
      <c r="X440" s="589"/>
      <c r="Y440" s="589"/>
      <c r="Z440" s="589"/>
      <c r="AA440" s="589"/>
      <c r="AB440" s="589"/>
      <c r="AC440" s="589"/>
      <c r="AD440" s="589"/>
      <c r="AE440" s="589"/>
      <c r="AF440" s="589"/>
      <c r="AG440" s="589"/>
      <c r="AH440" s="589"/>
      <c r="AI440" s="589"/>
      <c r="AJ440" s="589"/>
      <c r="AK440" s="589"/>
      <c r="AL440" s="589"/>
      <c r="AM440" s="589"/>
      <c r="AN440" s="589"/>
      <c r="AO440" s="589"/>
      <c r="AP440" s="589"/>
      <c r="AQ440" s="589"/>
      <c r="AR440" s="589"/>
      <c r="AS440" s="589"/>
    </row>
    <row r="441" spans="1:45" ht="15">
      <c r="A441" s="590" t="s">
        <v>174</v>
      </c>
      <c r="B441" s="591" t="s">
        <v>559</v>
      </c>
      <c r="C441" s="591" t="s">
        <v>799</v>
      </c>
      <c r="D441" s="592">
        <v>2015</v>
      </c>
      <c r="E441" s="591" t="s">
        <v>775</v>
      </c>
      <c r="F441" s="592">
        <v>131</v>
      </c>
      <c r="G441" s="592">
        <v>0</v>
      </c>
      <c r="H441" s="592">
        <v>0</v>
      </c>
      <c r="I441" s="592">
        <v>0</v>
      </c>
      <c r="J441" s="592">
        <v>91</v>
      </c>
      <c r="K441" s="592">
        <v>0</v>
      </c>
      <c r="L441" s="592">
        <v>0</v>
      </c>
      <c r="M441" s="592">
        <v>0</v>
      </c>
      <c r="N441" s="593">
        <v>126</v>
      </c>
      <c r="O441" s="593">
        <v>0</v>
      </c>
      <c r="P441" s="593">
        <v>331</v>
      </c>
      <c r="Q441" s="593">
        <v>45</v>
      </c>
      <c r="R441" s="593">
        <v>679</v>
      </c>
      <c r="S441" s="593">
        <v>45</v>
      </c>
      <c r="T441" s="593">
        <v>2015</v>
      </c>
      <c r="U441" s="593">
        <v>2014</v>
      </c>
      <c r="V441" s="589"/>
      <c r="W441" s="589"/>
      <c r="X441" s="589"/>
      <c r="Y441" s="589"/>
      <c r="Z441" s="589"/>
      <c r="AA441" s="589"/>
      <c r="AB441" s="589"/>
      <c r="AC441" s="589"/>
      <c r="AD441" s="589"/>
      <c r="AE441" s="589"/>
      <c r="AF441" s="589"/>
      <c r="AG441" s="589"/>
      <c r="AH441" s="589"/>
      <c r="AI441" s="589"/>
      <c r="AJ441" s="589"/>
      <c r="AK441" s="589"/>
      <c r="AL441" s="589"/>
      <c r="AM441" s="589"/>
      <c r="AN441" s="589"/>
      <c r="AO441" s="589"/>
      <c r="AP441" s="589"/>
      <c r="AQ441" s="589"/>
      <c r="AR441" s="589"/>
      <c r="AS441" s="589"/>
    </row>
    <row r="442" spans="1:45" ht="15">
      <c r="A442" s="587" t="s">
        <v>169</v>
      </c>
      <c r="B442" s="587" t="s">
        <v>494</v>
      </c>
      <c r="C442" s="587" t="s">
        <v>812</v>
      </c>
      <c r="D442" s="588">
        <v>2015</v>
      </c>
      <c r="E442" s="587" t="s">
        <v>775</v>
      </c>
      <c r="F442" s="588">
        <v>164</v>
      </c>
      <c r="G442" s="588">
        <v>0</v>
      </c>
      <c r="H442" s="588">
        <v>0</v>
      </c>
      <c r="I442" s="588">
        <v>0</v>
      </c>
      <c r="J442" s="588">
        <v>120</v>
      </c>
      <c r="K442" s="588">
        <v>0</v>
      </c>
      <c r="L442" s="588">
        <v>0</v>
      </c>
      <c r="M442" s="588">
        <v>0</v>
      </c>
      <c r="N442" s="588">
        <v>135</v>
      </c>
      <c r="O442" s="588">
        <v>7</v>
      </c>
      <c r="P442" s="588">
        <v>328</v>
      </c>
      <c r="Q442" s="588">
        <v>46</v>
      </c>
      <c r="R442" s="588">
        <v>747</v>
      </c>
      <c r="S442" s="588">
        <v>53</v>
      </c>
      <c r="T442" s="588">
        <v>2015</v>
      </c>
      <c r="U442" s="588">
        <v>2014</v>
      </c>
      <c r="V442" s="589"/>
      <c r="W442" s="589"/>
      <c r="X442" s="589"/>
      <c r="Y442" s="589"/>
      <c r="Z442" s="589"/>
      <c r="AA442" s="589"/>
      <c r="AB442" s="589"/>
      <c r="AC442" s="589"/>
      <c r="AD442" s="589"/>
      <c r="AE442" s="589"/>
      <c r="AF442" s="589"/>
      <c r="AG442" s="589"/>
      <c r="AH442" s="589"/>
      <c r="AI442" s="589"/>
      <c r="AJ442" s="589"/>
      <c r="AK442" s="589"/>
      <c r="AL442" s="589"/>
      <c r="AM442" s="589"/>
      <c r="AN442" s="589"/>
      <c r="AO442" s="589"/>
      <c r="AP442" s="589"/>
      <c r="AQ442" s="589"/>
      <c r="AR442" s="589"/>
      <c r="AS442" s="589"/>
    </row>
    <row r="443" spans="1:45" ht="15">
      <c r="A443" s="590" t="s">
        <v>153</v>
      </c>
      <c r="B443" s="591" t="s">
        <v>373</v>
      </c>
      <c r="C443" s="591" t="s">
        <v>812</v>
      </c>
      <c r="D443" s="592">
        <v>2015</v>
      </c>
      <c r="E443" s="591" t="s">
        <v>775</v>
      </c>
      <c r="F443" s="592">
        <v>98</v>
      </c>
      <c r="G443" s="592">
        <v>0</v>
      </c>
      <c r="H443" s="592">
        <v>0</v>
      </c>
      <c r="I443" s="592">
        <v>0</v>
      </c>
      <c r="J443" s="592">
        <v>60</v>
      </c>
      <c r="K443" s="592">
        <v>0</v>
      </c>
      <c r="L443" s="592">
        <v>0</v>
      </c>
      <c r="M443" s="592">
        <v>0</v>
      </c>
      <c r="N443" s="593">
        <v>66</v>
      </c>
      <c r="O443" s="593">
        <v>14</v>
      </c>
      <c r="P443" s="593">
        <v>173</v>
      </c>
      <c r="Q443" s="593">
        <v>42</v>
      </c>
      <c r="R443" s="593">
        <v>397</v>
      </c>
      <c r="S443" s="593">
        <v>56</v>
      </c>
      <c r="T443" s="593">
        <v>2015</v>
      </c>
      <c r="U443" s="593">
        <v>2014</v>
      </c>
      <c r="V443" s="589"/>
      <c r="W443" s="589"/>
      <c r="X443" s="589"/>
      <c r="Y443" s="589"/>
      <c r="Z443" s="589"/>
      <c r="AA443" s="589"/>
      <c r="AB443" s="589"/>
      <c r="AC443" s="589"/>
      <c r="AD443" s="589"/>
      <c r="AE443" s="589"/>
      <c r="AF443" s="589"/>
      <c r="AG443" s="589"/>
      <c r="AH443" s="589"/>
      <c r="AI443" s="589"/>
      <c r="AJ443" s="589"/>
      <c r="AK443" s="589"/>
      <c r="AL443" s="589"/>
      <c r="AM443" s="589"/>
      <c r="AN443" s="589"/>
      <c r="AO443" s="589"/>
      <c r="AP443" s="589"/>
      <c r="AQ443" s="589"/>
      <c r="AR443" s="589"/>
      <c r="AS443" s="589"/>
    </row>
    <row r="444" spans="1:45" ht="15">
      <c r="A444" s="587" t="s">
        <v>187</v>
      </c>
      <c r="B444" s="587" t="s">
        <v>653</v>
      </c>
      <c r="C444" s="587" t="s">
        <v>774</v>
      </c>
      <c r="D444" s="588">
        <v>2015</v>
      </c>
      <c r="E444" s="587" t="s">
        <v>775</v>
      </c>
      <c r="F444" s="588">
        <v>236</v>
      </c>
      <c r="G444" s="588">
        <v>26</v>
      </c>
      <c r="H444" s="588">
        <v>26</v>
      </c>
      <c r="I444" s="588">
        <v>0</v>
      </c>
      <c r="J444" s="588">
        <v>160</v>
      </c>
      <c r="K444" s="588">
        <v>247</v>
      </c>
      <c r="L444" s="588">
        <v>247</v>
      </c>
      <c r="M444" s="588">
        <v>0</v>
      </c>
      <c r="N444" s="588">
        <v>217</v>
      </c>
      <c r="O444" s="588">
        <v>14</v>
      </c>
      <c r="P444" s="588">
        <v>475</v>
      </c>
      <c r="Q444" s="588">
        <v>406</v>
      </c>
      <c r="R444" s="588">
        <v>1088</v>
      </c>
      <c r="S444" s="588">
        <v>693</v>
      </c>
      <c r="T444" s="588">
        <v>2015</v>
      </c>
      <c r="U444" s="588">
        <v>2015</v>
      </c>
      <c r="V444" s="589"/>
      <c r="W444" s="589"/>
      <c r="X444" s="589"/>
      <c r="Y444" s="589"/>
      <c r="Z444" s="589"/>
      <c r="AA444" s="589"/>
      <c r="AB444" s="589"/>
      <c r="AC444" s="589"/>
      <c r="AD444" s="589"/>
      <c r="AE444" s="589"/>
      <c r="AF444" s="589"/>
      <c r="AG444" s="589"/>
      <c r="AH444" s="589"/>
      <c r="AI444" s="589"/>
      <c r="AJ444" s="589"/>
      <c r="AK444" s="589"/>
      <c r="AL444" s="589"/>
      <c r="AM444" s="589"/>
      <c r="AN444" s="589"/>
      <c r="AO444" s="589"/>
      <c r="AP444" s="589"/>
      <c r="AQ444" s="589"/>
      <c r="AR444" s="589"/>
      <c r="AS444" s="589"/>
    </row>
    <row r="445" spans="1:45" ht="15">
      <c r="A445" s="590" t="s">
        <v>153</v>
      </c>
      <c r="B445" s="591" t="s">
        <v>374</v>
      </c>
      <c r="C445" s="591" t="s">
        <v>812</v>
      </c>
      <c r="D445" s="592">
        <v>2015</v>
      </c>
      <c r="E445" s="591" t="s">
        <v>775</v>
      </c>
      <c r="F445" s="592">
        <v>508</v>
      </c>
      <c r="G445" s="592">
        <v>0</v>
      </c>
      <c r="H445" s="592">
        <v>0</v>
      </c>
      <c r="I445" s="592">
        <v>0</v>
      </c>
      <c r="J445" s="592">
        <v>310</v>
      </c>
      <c r="K445" s="592">
        <v>0</v>
      </c>
      <c r="L445" s="592">
        <v>0</v>
      </c>
      <c r="M445" s="592">
        <v>0</v>
      </c>
      <c r="N445" s="593">
        <v>337</v>
      </c>
      <c r="O445" s="593">
        <v>1</v>
      </c>
      <c r="P445" s="593">
        <v>862</v>
      </c>
      <c r="Q445" s="593">
        <v>776</v>
      </c>
      <c r="R445" s="593">
        <v>2017</v>
      </c>
      <c r="S445" s="593">
        <v>777</v>
      </c>
      <c r="T445" s="593">
        <v>2015</v>
      </c>
      <c r="U445" s="593">
        <v>2014</v>
      </c>
      <c r="V445" s="589"/>
      <c r="W445" s="589"/>
      <c r="X445" s="589"/>
      <c r="Y445" s="589"/>
      <c r="Z445" s="589"/>
      <c r="AA445" s="589"/>
      <c r="AB445" s="589"/>
      <c r="AC445" s="589"/>
      <c r="AD445" s="589"/>
      <c r="AE445" s="589"/>
      <c r="AF445" s="589"/>
      <c r="AG445" s="589"/>
      <c r="AH445" s="589"/>
      <c r="AI445" s="589"/>
      <c r="AJ445" s="589"/>
      <c r="AK445" s="589"/>
      <c r="AL445" s="589"/>
      <c r="AM445" s="589"/>
      <c r="AN445" s="589"/>
      <c r="AO445" s="589"/>
      <c r="AP445" s="589"/>
      <c r="AQ445" s="589"/>
      <c r="AR445" s="589"/>
      <c r="AS445" s="589"/>
    </row>
    <row r="446" spans="1:45" ht="15">
      <c r="A446" s="587" t="s">
        <v>153</v>
      </c>
      <c r="B446" s="587" t="s">
        <v>375</v>
      </c>
      <c r="C446" s="587" t="s">
        <v>812</v>
      </c>
      <c r="D446" s="588">
        <v>2015</v>
      </c>
      <c r="E446" s="587" t="s">
        <v>775</v>
      </c>
      <c r="F446" s="588">
        <v>181</v>
      </c>
      <c r="G446" s="588">
        <v>0</v>
      </c>
      <c r="H446" s="588">
        <v>0</v>
      </c>
      <c r="I446" s="588">
        <v>0</v>
      </c>
      <c r="J446" s="588">
        <v>106</v>
      </c>
      <c r="K446" s="588">
        <v>0</v>
      </c>
      <c r="L446" s="588">
        <v>0</v>
      </c>
      <c r="M446" s="588">
        <v>0</v>
      </c>
      <c r="N446" s="588">
        <v>115</v>
      </c>
      <c r="O446" s="588">
        <v>0</v>
      </c>
      <c r="P446" s="588">
        <v>284</v>
      </c>
      <c r="Q446" s="588">
        <v>22</v>
      </c>
      <c r="R446" s="588">
        <v>686</v>
      </c>
      <c r="S446" s="588">
        <v>22</v>
      </c>
      <c r="T446" s="588">
        <v>2015</v>
      </c>
      <c r="U446" s="588">
        <v>2014</v>
      </c>
      <c r="V446" s="589"/>
      <c r="W446" s="589"/>
      <c r="X446" s="589"/>
      <c r="Y446" s="589"/>
      <c r="Z446" s="589"/>
      <c r="AA446" s="589"/>
      <c r="AB446" s="589"/>
      <c r="AC446" s="589"/>
      <c r="AD446" s="589"/>
      <c r="AE446" s="589"/>
      <c r="AF446" s="589"/>
      <c r="AG446" s="589"/>
      <c r="AH446" s="589"/>
      <c r="AI446" s="589"/>
      <c r="AJ446" s="589"/>
      <c r="AK446" s="589"/>
      <c r="AL446" s="589"/>
      <c r="AM446" s="589"/>
      <c r="AN446" s="589"/>
      <c r="AO446" s="589"/>
      <c r="AP446" s="589"/>
      <c r="AQ446" s="589"/>
      <c r="AR446" s="589"/>
      <c r="AS446" s="589"/>
    </row>
    <row r="447" spans="1:45" ht="15">
      <c r="A447" s="590" t="s">
        <v>144</v>
      </c>
      <c r="B447" s="591" t="s">
        <v>304</v>
      </c>
      <c r="C447" s="591" t="s">
        <v>784</v>
      </c>
      <c r="D447" s="592">
        <v>2015</v>
      </c>
      <c r="E447" s="591" t="s">
        <v>775</v>
      </c>
      <c r="F447" s="592">
        <v>25</v>
      </c>
      <c r="G447" s="592">
        <v>4</v>
      </c>
      <c r="H447" s="592">
        <v>4</v>
      </c>
      <c r="I447" s="592">
        <v>0</v>
      </c>
      <c r="J447" s="592">
        <v>19</v>
      </c>
      <c r="K447" s="592">
        <v>1</v>
      </c>
      <c r="L447" s="592">
        <v>0</v>
      </c>
      <c r="M447" s="592">
        <v>1</v>
      </c>
      <c r="N447" s="593">
        <v>25</v>
      </c>
      <c r="O447" s="593">
        <v>1</v>
      </c>
      <c r="P447" s="593">
        <v>48</v>
      </c>
      <c r="Q447" s="593">
        <v>6</v>
      </c>
      <c r="R447" s="593">
        <v>117</v>
      </c>
      <c r="S447" s="593">
        <v>12</v>
      </c>
      <c r="T447" s="593">
        <v>2015</v>
      </c>
      <c r="U447" s="593">
        <v>2014</v>
      </c>
      <c r="V447" s="589"/>
      <c r="W447" s="589"/>
      <c r="X447" s="589"/>
      <c r="Y447" s="589"/>
      <c r="Z447" s="589"/>
      <c r="AA447" s="589"/>
      <c r="AB447" s="589"/>
      <c r="AC447" s="589"/>
      <c r="AD447" s="589"/>
      <c r="AE447" s="589"/>
      <c r="AF447" s="589"/>
      <c r="AG447" s="589"/>
      <c r="AH447" s="589"/>
      <c r="AI447" s="589"/>
      <c r="AJ447" s="589"/>
      <c r="AK447" s="589"/>
      <c r="AL447" s="589"/>
      <c r="AM447" s="589"/>
      <c r="AN447" s="589"/>
      <c r="AO447" s="589"/>
      <c r="AP447" s="589"/>
      <c r="AQ447" s="589"/>
      <c r="AR447" s="589"/>
      <c r="AS447" s="589"/>
    </row>
    <row r="448" spans="1:45" ht="15">
      <c r="A448" s="587" t="s">
        <v>185</v>
      </c>
      <c r="B448" s="587" t="s">
        <v>645</v>
      </c>
      <c r="C448" s="587" t="s">
        <v>868</v>
      </c>
      <c r="D448" s="588">
        <v>2015</v>
      </c>
      <c r="E448" s="587" t="s">
        <v>775</v>
      </c>
      <c r="F448" s="588">
        <v>235</v>
      </c>
      <c r="G448" s="588">
        <v>0</v>
      </c>
      <c r="H448" s="588">
        <v>0</v>
      </c>
      <c r="I448" s="588">
        <v>0</v>
      </c>
      <c r="J448" s="588">
        <v>157</v>
      </c>
      <c r="K448" s="588">
        <v>0</v>
      </c>
      <c r="L448" s="588">
        <v>0</v>
      </c>
      <c r="M448" s="588">
        <v>0</v>
      </c>
      <c r="N448" s="588">
        <v>174</v>
      </c>
      <c r="O448" s="588">
        <v>5</v>
      </c>
      <c r="P448" s="588">
        <v>413</v>
      </c>
      <c r="Q448" s="588">
        <v>346</v>
      </c>
      <c r="R448" s="588">
        <v>979</v>
      </c>
      <c r="S448" s="588">
        <v>351</v>
      </c>
      <c r="T448" s="588">
        <v>2015</v>
      </c>
      <c r="U448" s="588">
        <v>2015</v>
      </c>
      <c r="V448" s="589"/>
      <c r="W448" s="589"/>
      <c r="X448" s="589"/>
      <c r="Y448" s="589"/>
      <c r="Z448" s="589"/>
      <c r="AA448" s="589"/>
      <c r="AB448" s="589"/>
      <c r="AC448" s="589"/>
      <c r="AD448" s="589"/>
      <c r="AE448" s="589"/>
      <c r="AF448" s="589"/>
      <c r="AG448" s="589"/>
      <c r="AH448" s="589"/>
      <c r="AI448" s="589"/>
      <c r="AJ448" s="589"/>
      <c r="AK448" s="589"/>
      <c r="AL448" s="589"/>
      <c r="AM448" s="589"/>
      <c r="AN448" s="589"/>
      <c r="AO448" s="589"/>
      <c r="AP448" s="589"/>
      <c r="AQ448" s="589"/>
      <c r="AR448" s="589"/>
      <c r="AS448" s="589"/>
    </row>
    <row r="449" spans="1:45" ht="15">
      <c r="A449" s="590" t="s">
        <v>164</v>
      </c>
      <c r="B449" s="591" t="s">
        <v>466</v>
      </c>
      <c r="C449" s="591" t="s">
        <v>177</v>
      </c>
      <c r="D449" s="592">
        <v>2015</v>
      </c>
      <c r="E449" s="591" t="s">
        <v>775</v>
      </c>
      <c r="F449" s="592">
        <v>71</v>
      </c>
      <c r="G449" s="592">
        <v>0</v>
      </c>
      <c r="H449" s="592">
        <v>0</v>
      </c>
      <c r="I449" s="592">
        <v>0</v>
      </c>
      <c r="J449" s="592">
        <v>46</v>
      </c>
      <c r="K449" s="592">
        <v>0</v>
      </c>
      <c r="L449" s="592">
        <v>0</v>
      </c>
      <c r="M449" s="592">
        <v>0</v>
      </c>
      <c r="N449" s="593">
        <v>53</v>
      </c>
      <c r="O449" s="593">
        <v>0</v>
      </c>
      <c r="P449" s="593">
        <v>123</v>
      </c>
      <c r="Q449" s="593">
        <v>0</v>
      </c>
      <c r="R449" s="593">
        <v>293</v>
      </c>
      <c r="S449" s="593">
        <v>0</v>
      </c>
      <c r="T449" s="593">
        <v>2016</v>
      </c>
      <c r="U449" s="593">
        <v>2016</v>
      </c>
      <c r="V449" s="589"/>
      <c r="W449" s="589"/>
      <c r="X449" s="589"/>
      <c r="Y449" s="589"/>
      <c r="Z449" s="589"/>
      <c r="AA449" s="589"/>
      <c r="AB449" s="589"/>
      <c r="AC449" s="589"/>
      <c r="AD449" s="589"/>
      <c r="AE449" s="589"/>
      <c r="AF449" s="589"/>
      <c r="AG449" s="589"/>
      <c r="AH449" s="589"/>
      <c r="AI449" s="589"/>
      <c r="AJ449" s="589"/>
      <c r="AK449" s="589"/>
      <c r="AL449" s="589"/>
      <c r="AM449" s="589"/>
      <c r="AN449" s="589"/>
      <c r="AO449" s="589"/>
      <c r="AP449" s="589"/>
      <c r="AQ449" s="589"/>
      <c r="AR449" s="589"/>
      <c r="AS449" s="589"/>
    </row>
    <row r="450" spans="1:45" ht="15">
      <c r="A450" s="587" t="s">
        <v>178</v>
      </c>
      <c r="B450" s="587" t="s">
        <v>574</v>
      </c>
      <c r="C450" s="587" t="s">
        <v>812</v>
      </c>
      <c r="D450" s="588">
        <v>2015</v>
      </c>
      <c r="E450" s="587" t="s">
        <v>775</v>
      </c>
      <c r="F450" s="588">
        <v>28</v>
      </c>
      <c r="G450" s="588">
        <v>0</v>
      </c>
      <c r="H450" s="588">
        <v>0</v>
      </c>
      <c r="I450" s="588">
        <v>0</v>
      </c>
      <c r="J450" s="588">
        <v>19</v>
      </c>
      <c r="K450" s="588">
        <v>0</v>
      </c>
      <c r="L450" s="588">
        <v>0</v>
      </c>
      <c r="M450" s="588">
        <v>0</v>
      </c>
      <c r="N450" s="588">
        <v>22</v>
      </c>
      <c r="O450" s="588">
        <v>10</v>
      </c>
      <c r="P450" s="588">
        <v>49</v>
      </c>
      <c r="Q450" s="588">
        <v>0</v>
      </c>
      <c r="R450" s="588">
        <v>118</v>
      </c>
      <c r="S450" s="588">
        <v>10</v>
      </c>
      <c r="T450" s="588">
        <v>2015</v>
      </c>
      <c r="U450" s="588">
        <v>2014</v>
      </c>
      <c r="V450" s="589"/>
      <c r="W450" s="589"/>
      <c r="X450" s="589"/>
      <c r="Y450" s="589"/>
      <c r="Z450" s="589"/>
      <c r="AA450" s="589"/>
      <c r="AB450" s="589"/>
      <c r="AC450" s="589"/>
      <c r="AD450" s="589"/>
      <c r="AE450" s="589"/>
      <c r="AF450" s="589"/>
      <c r="AG450" s="589"/>
      <c r="AH450" s="589"/>
      <c r="AI450" s="589"/>
      <c r="AJ450" s="589"/>
      <c r="AK450" s="589"/>
      <c r="AL450" s="589"/>
      <c r="AM450" s="589"/>
      <c r="AN450" s="589"/>
      <c r="AO450" s="589"/>
      <c r="AP450" s="589"/>
      <c r="AQ450" s="589"/>
      <c r="AR450" s="589"/>
      <c r="AS450" s="589"/>
    </row>
    <row r="451" spans="1:45" ht="15">
      <c r="A451" s="590" t="s">
        <v>168</v>
      </c>
      <c r="B451" s="591" t="s">
        <v>481</v>
      </c>
      <c r="C451" s="591" t="s">
        <v>784</v>
      </c>
      <c r="D451" s="592">
        <v>2015</v>
      </c>
      <c r="E451" s="591" t="s">
        <v>775</v>
      </c>
      <c r="F451" s="592">
        <v>122</v>
      </c>
      <c r="G451" s="592">
        <v>2</v>
      </c>
      <c r="H451" s="592">
        <v>2</v>
      </c>
      <c r="I451" s="592">
        <v>0</v>
      </c>
      <c r="J451" s="592">
        <v>88</v>
      </c>
      <c r="K451" s="592">
        <v>0</v>
      </c>
      <c r="L451" s="592">
        <v>0</v>
      </c>
      <c r="M451" s="592">
        <v>0</v>
      </c>
      <c r="N451" s="593">
        <v>100</v>
      </c>
      <c r="O451" s="593">
        <v>0</v>
      </c>
      <c r="P451" s="593">
        <v>220</v>
      </c>
      <c r="Q451" s="593">
        <v>5</v>
      </c>
      <c r="R451" s="593">
        <v>530</v>
      </c>
      <c r="S451" s="593">
        <v>7</v>
      </c>
      <c r="T451" s="593">
        <v>2015</v>
      </c>
      <c r="U451" s="593">
        <v>2014</v>
      </c>
      <c r="V451" s="589"/>
      <c r="W451" s="589"/>
      <c r="X451" s="589"/>
      <c r="Y451" s="589"/>
      <c r="Z451" s="589"/>
      <c r="AA451" s="589"/>
      <c r="AB451" s="589"/>
      <c r="AC451" s="589"/>
      <c r="AD451" s="589"/>
      <c r="AE451" s="589"/>
      <c r="AF451" s="589"/>
      <c r="AG451" s="589"/>
      <c r="AH451" s="589"/>
      <c r="AI451" s="589"/>
      <c r="AJ451" s="589"/>
      <c r="AK451" s="589"/>
      <c r="AL451" s="589"/>
      <c r="AM451" s="589"/>
      <c r="AN451" s="589"/>
      <c r="AO451" s="589"/>
      <c r="AP451" s="589"/>
      <c r="AQ451" s="589"/>
      <c r="AR451" s="589"/>
      <c r="AS451" s="589"/>
    </row>
    <row r="452" spans="1:45" ht="15">
      <c r="A452" s="587" t="s">
        <v>164</v>
      </c>
      <c r="B452" s="587" t="s">
        <v>467</v>
      </c>
      <c r="C452" s="587" t="s">
        <v>177</v>
      </c>
      <c r="D452" s="588">
        <v>2015</v>
      </c>
      <c r="E452" s="587" t="s">
        <v>775</v>
      </c>
      <c r="F452" s="588">
        <v>87</v>
      </c>
      <c r="G452" s="588">
        <v>4</v>
      </c>
      <c r="H452" s="588">
        <v>4</v>
      </c>
      <c r="I452" s="588">
        <v>0</v>
      </c>
      <c r="J452" s="588">
        <v>57</v>
      </c>
      <c r="K452" s="588">
        <v>27</v>
      </c>
      <c r="L452" s="588">
        <v>27</v>
      </c>
      <c r="M452" s="588">
        <v>0</v>
      </c>
      <c r="N452" s="588">
        <v>66</v>
      </c>
      <c r="O452" s="588">
        <v>22</v>
      </c>
      <c r="P452" s="588">
        <v>153</v>
      </c>
      <c r="Q452" s="588">
        <v>3</v>
      </c>
      <c r="R452" s="588">
        <v>363</v>
      </c>
      <c r="S452" s="588">
        <v>56</v>
      </c>
      <c r="T452" s="588">
        <v>2016</v>
      </c>
      <c r="U452" s="588">
        <v>2016</v>
      </c>
      <c r="V452" s="589"/>
      <c r="W452" s="589"/>
      <c r="X452" s="589"/>
      <c r="Y452" s="589"/>
      <c r="Z452" s="589"/>
      <c r="AA452" s="589"/>
      <c r="AB452" s="589"/>
      <c r="AC452" s="589"/>
      <c r="AD452" s="589"/>
      <c r="AE452" s="589"/>
      <c r="AF452" s="589"/>
      <c r="AG452" s="589"/>
      <c r="AH452" s="589"/>
      <c r="AI452" s="589"/>
      <c r="AJ452" s="589"/>
      <c r="AK452" s="589"/>
      <c r="AL452" s="589"/>
      <c r="AM452" s="589"/>
      <c r="AN452" s="589"/>
      <c r="AO452" s="589"/>
      <c r="AP452" s="589"/>
      <c r="AQ452" s="589"/>
      <c r="AR452" s="589"/>
      <c r="AS452" s="589"/>
    </row>
    <row r="453" spans="1:45" ht="15">
      <c r="A453" s="590" t="s">
        <v>131</v>
      </c>
      <c r="B453" s="591" t="s">
        <v>258</v>
      </c>
      <c r="C453" s="591" t="s">
        <v>786</v>
      </c>
      <c r="D453" s="592">
        <v>2015</v>
      </c>
      <c r="E453" s="591" t="s">
        <v>775</v>
      </c>
      <c r="F453" s="592">
        <v>231</v>
      </c>
      <c r="G453" s="592">
        <v>0</v>
      </c>
      <c r="H453" s="592">
        <v>0</v>
      </c>
      <c r="I453" s="592">
        <v>0</v>
      </c>
      <c r="J453" s="592">
        <v>118</v>
      </c>
      <c r="K453" s="592">
        <v>0</v>
      </c>
      <c r="L453" s="592">
        <v>0</v>
      </c>
      <c r="M453" s="592">
        <v>0</v>
      </c>
      <c r="N453" s="593">
        <v>99</v>
      </c>
      <c r="O453" s="593">
        <v>0</v>
      </c>
      <c r="P453" s="593">
        <v>321</v>
      </c>
      <c r="Q453" s="593">
        <v>3</v>
      </c>
      <c r="R453" s="593">
        <v>769</v>
      </c>
      <c r="S453" s="593">
        <v>3</v>
      </c>
      <c r="T453" s="593">
        <v>2015</v>
      </c>
      <c r="U453" s="593">
        <v>2014</v>
      </c>
      <c r="V453" s="589"/>
      <c r="W453" s="589"/>
      <c r="X453" s="589"/>
      <c r="Y453" s="589"/>
      <c r="Z453" s="589"/>
      <c r="AA453" s="589"/>
      <c r="AB453" s="589"/>
      <c r="AC453" s="589"/>
      <c r="AD453" s="589"/>
      <c r="AE453" s="589"/>
      <c r="AF453" s="589"/>
      <c r="AG453" s="589"/>
      <c r="AH453" s="589"/>
      <c r="AI453" s="589"/>
      <c r="AJ453" s="589"/>
      <c r="AK453" s="589"/>
      <c r="AL453" s="589"/>
      <c r="AM453" s="589"/>
      <c r="AN453" s="589"/>
      <c r="AO453" s="589"/>
      <c r="AP453" s="589"/>
      <c r="AQ453" s="589"/>
      <c r="AR453" s="589"/>
      <c r="AS453" s="589"/>
    </row>
    <row r="454" spans="1:45" ht="15">
      <c r="A454" s="587" t="s">
        <v>183</v>
      </c>
      <c r="B454" s="587" t="s">
        <v>618</v>
      </c>
      <c r="C454" s="587" t="s">
        <v>784</v>
      </c>
      <c r="D454" s="588">
        <v>2015</v>
      </c>
      <c r="E454" s="587" t="s">
        <v>775</v>
      </c>
      <c r="F454" s="588">
        <v>41</v>
      </c>
      <c r="G454" s="588">
        <v>0</v>
      </c>
      <c r="H454" s="588">
        <v>0</v>
      </c>
      <c r="I454" s="588">
        <v>0</v>
      </c>
      <c r="J454" s="588">
        <v>26</v>
      </c>
      <c r="K454" s="588">
        <v>2</v>
      </c>
      <c r="L454" s="588">
        <v>2</v>
      </c>
      <c r="M454" s="588">
        <v>0</v>
      </c>
      <c r="N454" s="588">
        <v>29</v>
      </c>
      <c r="O454" s="588">
        <v>0</v>
      </c>
      <c r="P454" s="588">
        <v>69</v>
      </c>
      <c r="Q454" s="588">
        <v>30</v>
      </c>
      <c r="R454" s="588">
        <v>165</v>
      </c>
      <c r="S454" s="588">
        <v>32</v>
      </c>
      <c r="T454" s="588">
        <v>2015</v>
      </c>
      <c r="U454" s="588">
        <v>2014</v>
      </c>
      <c r="V454" s="589"/>
      <c r="W454" s="589"/>
      <c r="X454" s="589"/>
      <c r="Y454" s="589"/>
      <c r="Z454" s="589"/>
      <c r="AA454" s="589"/>
      <c r="AB454" s="589"/>
      <c r="AC454" s="589"/>
      <c r="AD454" s="589"/>
      <c r="AE454" s="589"/>
      <c r="AF454" s="589"/>
      <c r="AG454" s="589"/>
      <c r="AH454" s="589"/>
      <c r="AI454" s="589"/>
      <c r="AJ454" s="589"/>
      <c r="AK454" s="589"/>
      <c r="AL454" s="589"/>
      <c r="AM454" s="589"/>
      <c r="AN454" s="589"/>
      <c r="AO454" s="589"/>
      <c r="AP454" s="589"/>
      <c r="AQ454" s="589"/>
      <c r="AR454" s="589"/>
      <c r="AS454" s="589"/>
    </row>
    <row r="455" spans="1:45" ht="15">
      <c r="A455" s="590" t="s">
        <v>184</v>
      </c>
      <c r="B455" s="591" t="s">
        <v>631</v>
      </c>
      <c r="C455" s="591" t="s">
        <v>774</v>
      </c>
      <c r="D455" s="592">
        <v>2015</v>
      </c>
      <c r="E455" s="591" t="s">
        <v>775</v>
      </c>
      <c r="F455" s="592">
        <v>52</v>
      </c>
      <c r="G455" s="592">
        <v>0</v>
      </c>
      <c r="H455" s="592">
        <v>0</v>
      </c>
      <c r="I455" s="592">
        <v>0</v>
      </c>
      <c r="J455" s="592">
        <v>31</v>
      </c>
      <c r="K455" s="592">
        <v>0</v>
      </c>
      <c r="L455" s="592">
        <v>0</v>
      </c>
      <c r="M455" s="592">
        <v>0</v>
      </c>
      <c r="N455" s="593">
        <v>36</v>
      </c>
      <c r="O455" s="593">
        <v>0</v>
      </c>
      <c r="P455" s="593">
        <v>121</v>
      </c>
      <c r="Q455" s="593">
        <v>9</v>
      </c>
      <c r="R455" s="593">
        <v>240</v>
      </c>
      <c r="S455" s="593">
        <v>9</v>
      </c>
      <c r="T455" s="593">
        <v>2015</v>
      </c>
      <c r="U455" s="593">
        <v>2015</v>
      </c>
      <c r="V455" s="589"/>
      <c r="W455" s="589"/>
      <c r="X455" s="589"/>
      <c r="Y455" s="589"/>
      <c r="Z455" s="589"/>
      <c r="AA455" s="589"/>
      <c r="AB455" s="589"/>
      <c r="AC455" s="589"/>
      <c r="AD455" s="589"/>
      <c r="AE455" s="589"/>
      <c r="AF455" s="589"/>
      <c r="AG455" s="589"/>
      <c r="AH455" s="589"/>
      <c r="AI455" s="589"/>
      <c r="AJ455" s="589"/>
      <c r="AK455" s="589"/>
      <c r="AL455" s="589"/>
      <c r="AM455" s="589"/>
      <c r="AN455" s="589"/>
      <c r="AO455" s="589"/>
      <c r="AP455" s="589"/>
      <c r="AQ455" s="589"/>
      <c r="AR455" s="589"/>
      <c r="AS455" s="589"/>
    </row>
    <row r="456" spans="1:45" ht="15">
      <c r="A456" s="587" t="s">
        <v>153</v>
      </c>
      <c r="B456" s="587" t="s">
        <v>377</v>
      </c>
      <c r="C456" s="587" t="s">
        <v>812</v>
      </c>
      <c r="D456" s="588">
        <v>2015</v>
      </c>
      <c r="E456" s="587" t="s">
        <v>775</v>
      </c>
      <c r="F456" s="588">
        <v>170</v>
      </c>
      <c r="G456" s="588">
        <v>0</v>
      </c>
      <c r="H456" s="588">
        <v>0</v>
      </c>
      <c r="I456" s="588">
        <v>0</v>
      </c>
      <c r="J456" s="588">
        <v>101</v>
      </c>
      <c r="K456" s="588">
        <v>127</v>
      </c>
      <c r="L456" s="588">
        <v>127</v>
      </c>
      <c r="M456" s="588">
        <v>0</v>
      </c>
      <c r="N456" s="588">
        <v>112</v>
      </c>
      <c r="O456" s="588">
        <v>0</v>
      </c>
      <c r="P456" s="588">
        <v>300</v>
      </c>
      <c r="Q456" s="588">
        <v>0</v>
      </c>
      <c r="R456" s="588">
        <v>683</v>
      </c>
      <c r="S456" s="588">
        <v>127</v>
      </c>
      <c r="T456" s="588">
        <v>2015</v>
      </c>
      <c r="U456" s="588">
        <v>2014</v>
      </c>
      <c r="V456" s="589"/>
      <c r="W456" s="589"/>
      <c r="X456" s="589"/>
      <c r="Y456" s="589"/>
      <c r="Z456" s="589"/>
      <c r="AA456" s="589"/>
      <c r="AB456" s="589"/>
      <c r="AC456" s="589"/>
      <c r="AD456" s="589"/>
      <c r="AE456" s="589"/>
      <c r="AF456" s="589"/>
      <c r="AG456" s="589"/>
      <c r="AH456" s="589"/>
      <c r="AI456" s="589"/>
      <c r="AJ456" s="589"/>
      <c r="AK456" s="589"/>
      <c r="AL456" s="589"/>
      <c r="AM456" s="589"/>
      <c r="AN456" s="589"/>
      <c r="AO456" s="589"/>
      <c r="AP456" s="589"/>
      <c r="AQ456" s="589"/>
      <c r="AR456" s="589"/>
      <c r="AS456" s="589"/>
    </row>
    <row r="457" spans="1:45" ht="15">
      <c r="A457" s="590" t="s">
        <v>125</v>
      </c>
      <c r="B457" s="591" t="s">
        <v>239</v>
      </c>
      <c r="C457" s="591" t="s">
        <v>774</v>
      </c>
      <c r="D457" s="592">
        <v>2015</v>
      </c>
      <c r="E457" s="591" t="s">
        <v>775</v>
      </c>
      <c r="F457" s="592">
        <v>851</v>
      </c>
      <c r="G457" s="592">
        <v>0</v>
      </c>
      <c r="H457" s="592">
        <v>0</v>
      </c>
      <c r="I457" s="592">
        <v>0</v>
      </c>
      <c r="J457" s="592">
        <v>480</v>
      </c>
      <c r="K457" s="592">
        <v>0</v>
      </c>
      <c r="L457" s="592">
        <v>0</v>
      </c>
      <c r="M457" s="592">
        <v>0</v>
      </c>
      <c r="N457" s="593">
        <v>608</v>
      </c>
      <c r="O457" s="593">
        <v>0</v>
      </c>
      <c r="P457" s="593">
        <v>1981</v>
      </c>
      <c r="Q457" s="593">
        <v>108</v>
      </c>
      <c r="R457" s="593">
        <v>3920</v>
      </c>
      <c r="S457" s="593">
        <v>108</v>
      </c>
      <c r="T457" s="593">
        <v>2015</v>
      </c>
      <c r="U457" s="593">
        <v>2015</v>
      </c>
      <c r="V457" s="589"/>
      <c r="W457" s="589"/>
      <c r="X457" s="589"/>
      <c r="Y457" s="589"/>
      <c r="Z457" s="589"/>
      <c r="AA457" s="589"/>
      <c r="AB457" s="589"/>
      <c r="AC457" s="589"/>
      <c r="AD457" s="589"/>
      <c r="AE457" s="589"/>
      <c r="AF457" s="589"/>
      <c r="AG457" s="589"/>
      <c r="AH457" s="589"/>
      <c r="AI457" s="589"/>
      <c r="AJ457" s="589"/>
      <c r="AK457" s="589"/>
      <c r="AL457" s="589"/>
      <c r="AM457" s="589"/>
      <c r="AN457" s="589"/>
      <c r="AO457" s="589"/>
      <c r="AP457" s="589"/>
      <c r="AQ457" s="589"/>
      <c r="AR457" s="589"/>
      <c r="AS457" s="589"/>
    </row>
    <row r="458" spans="1:45" ht="15">
      <c r="A458" s="587" t="s">
        <v>193</v>
      </c>
      <c r="B458" s="587" t="s">
        <v>696</v>
      </c>
      <c r="C458" s="587" t="s">
        <v>774</v>
      </c>
      <c r="D458" s="588">
        <v>2015</v>
      </c>
      <c r="E458" s="587" t="s">
        <v>775</v>
      </c>
      <c r="F458" s="588">
        <v>31</v>
      </c>
      <c r="G458" s="588">
        <v>1</v>
      </c>
      <c r="H458" s="588">
        <v>1</v>
      </c>
      <c r="I458" s="588">
        <v>0</v>
      </c>
      <c r="J458" s="588">
        <v>24</v>
      </c>
      <c r="K458" s="588">
        <v>2</v>
      </c>
      <c r="L458" s="588">
        <v>2</v>
      </c>
      <c r="M458" s="588">
        <v>0</v>
      </c>
      <c r="N458" s="588">
        <v>26</v>
      </c>
      <c r="O458" s="588">
        <v>12</v>
      </c>
      <c r="P458" s="588">
        <v>76</v>
      </c>
      <c r="Q458" s="588">
        <v>44</v>
      </c>
      <c r="R458" s="588">
        <v>157</v>
      </c>
      <c r="S458" s="588">
        <v>59</v>
      </c>
      <c r="T458" s="588">
        <v>2015</v>
      </c>
      <c r="U458" s="588">
        <v>2015</v>
      </c>
      <c r="V458" s="589"/>
      <c r="W458" s="589"/>
      <c r="X458" s="589"/>
      <c r="Y458" s="589"/>
      <c r="Z458" s="589"/>
      <c r="AA458" s="589"/>
      <c r="AB458" s="589"/>
      <c r="AC458" s="589"/>
      <c r="AD458" s="589"/>
      <c r="AE458" s="589"/>
      <c r="AF458" s="589"/>
      <c r="AG458" s="589"/>
      <c r="AH458" s="589"/>
      <c r="AI458" s="589"/>
      <c r="AJ458" s="589"/>
      <c r="AK458" s="589"/>
      <c r="AL458" s="589"/>
      <c r="AM458" s="589"/>
      <c r="AN458" s="589"/>
      <c r="AO458" s="589"/>
      <c r="AP458" s="589"/>
      <c r="AQ458" s="589"/>
      <c r="AR458" s="589"/>
      <c r="AS458" s="589"/>
    </row>
    <row r="459" spans="1:45" ht="15">
      <c r="A459" s="590" t="s">
        <v>173</v>
      </c>
      <c r="B459" s="591" t="s">
        <v>538</v>
      </c>
      <c r="C459" s="591" t="s">
        <v>812</v>
      </c>
      <c r="D459" s="592">
        <v>2015</v>
      </c>
      <c r="E459" s="591" t="s">
        <v>775</v>
      </c>
      <c r="F459" s="592">
        <v>134</v>
      </c>
      <c r="G459" s="592">
        <v>0</v>
      </c>
      <c r="H459" s="592">
        <v>0</v>
      </c>
      <c r="I459" s="592">
        <v>0</v>
      </c>
      <c r="J459" s="592">
        <v>96</v>
      </c>
      <c r="K459" s="592">
        <v>14</v>
      </c>
      <c r="L459" s="592">
        <v>12</v>
      </c>
      <c r="M459" s="592">
        <v>2</v>
      </c>
      <c r="N459" s="593">
        <v>112</v>
      </c>
      <c r="O459" s="593">
        <v>76</v>
      </c>
      <c r="P459" s="593">
        <v>262</v>
      </c>
      <c r="Q459" s="593">
        <v>17</v>
      </c>
      <c r="R459" s="593">
        <v>604</v>
      </c>
      <c r="S459" s="593">
        <v>107</v>
      </c>
      <c r="T459" s="593">
        <v>2015</v>
      </c>
      <c r="U459" s="593">
        <v>2014</v>
      </c>
      <c r="V459" s="589"/>
      <c r="W459" s="589"/>
      <c r="X459" s="589"/>
      <c r="Y459" s="589"/>
      <c r="Z459" s="589"/>
      <c r="AA459" s="589"/>
      <c r="AB459" s="589"/>
      <c r="AC459" s="589"/>
      <c r="AD459" s="589"/>
      <c r="AE459" s="589"/>
      <c r="AF459" s="589"/>
      <c r="AG459" s="589"/>
      <c r="AH459" s="589"/>
      <c r="AI459" s="589"/>
      <c r="AJ459" s="589"/>
      <c r="AK459" s="589"/>
      <c r="AL459" s="589"/>
      <c r="AM459" s="589"/>
      <c r="AN459" s="589"/>
      <c r="AO459" s="589"/>
      <c r="AP459" s="589"/>
      <c r="AQ459" s="589"/>
      <c r="AR459" s="589"/>
      <c r="AS459" s="589"/>
    </row>
    <row r="460" spans="1:45" ht="15">
      <c r="A460" s="587" t="s">
        <v>136</v>
      </c>
      <c r="B460" s="587" t="s">
        <v>272</v>
      </c>
      <c r="C460" s="587" t="s">
        <v>774</v>
      </c>
      <c r="D460" s="588">
        <v>2015</v>
      </c>
      <c r="E460" s="587" t="s">
        <v>775</v>
      </c>
      <c r="F460" s="588">
        <v>220</v>
      </c>
      <c r="G460" s="588">
        <v>0</v>
      </c>
      <c r="H460" s="588">
        <v>0</v>
      </c>
      <c r="I460" s="588">
        <v>0</v>
      </c>
      <c r="J460" s="588">
        <v>118</v>
      </c>
      <c r="K460" s="588">
        <v>0</v>
      </c>
      <c r="L460" s="588">
        <v>0</v>
      </c>
      <c r="M460" s="588">
        <v>0</v>
      </c>
      <c r="N460" s="588">
        <v>100</v>
      </c>
      <c r="O460" s="588">
        <v>0</v>
      </c>
      <c r="P460" s="588">
        <v>244</v>
      </c>
      <c r="Q460" s="588">
        <v>190</v>
      </c>
      <c r="R460" s="588">
        <v>682</v>
      </c>
      <c r="S460" s="588">
        <v>190</v>
      </c>
      <c r="T460" s="588">
        <v>2015</v>
      </c>
      <c r="U460" s="588">
        <v>2015</v>
      </c>
      <c r="V460" s="589"/>
      <c r="W460" s="589"/>
      <c r="X460" s="589"/>
      <c r="Y460" s="589"/>
      <c r="Z460" s="589"/>
      <c r="AA460" s="589"/>
      <c r="AB460" s="589"/>
      <c r="AC460" s="589"/>
      <c r="AD460" s="589"/>
      <c r="AE460" s="589"/>
      <c r="AF460" s="589"/>
      <c r="AG460" s="589"/>
      <c r="AH460" s="589"/>
      <c r="AI460" s="589"/>
      <c r="AJ460" s="589"/>
      <c r="AK460" s="589"/>
      <c r="AL460" s="589"/>
      <c r="AM460" s="589"/>
      <c r="AN460" s="589"/>
      <c r="AO460" s="589"/>
      <c r="AP460" s="589"/>
      <c r="AQ460" s="589"/>
      <c r="AR460" s="589"/>
      <c r="AS460" s="589"/>
    </row>
    <row r="461" spans="1:45" ht="15">
      <c r="A461" s="590" t="s">
        <v>178</v>
      </c>
      <c r="B461" s="591" t="s">
        <v>575</v>
      </c>
      <c r="C461" s="591" t="s">
        <v>812</v>
      </c>
      <c r="D461" s="592">
        <v>2015</v>
      </c>
      <c r="E461" s="591" t="s">
        <v>775</v>
      </c>
      <c r="F461" s="592">
        <v>398</v>
      </c>
      <c r="G461" s="592">
        <v>0</v>
      </c>
      <c r="H461" s="592">
        <v>0</v>
      </c>
      <c r="I461" s="592">
        <v>0</v>
      </c>
      <c r="J461" s="592">
        <v>274</v>
      </c>
      <c r="K461" s="592">
        <v>0</v>
      </c>
      <c r="L461" s="592">
        <v>0</v>
      </c>
      <c r="M461" s="592">
        <v>0</v>
      </c>
      <c r="N461" s="593">
        <v>314</v>
      </c>
      <c r="O461" s="593">
        <v>0</v>
      </c>
      <c r="P461" s="593">
        <v>729</v>
      </c>
      <c r="Q461" s="593">
        <v>98</v>
      </c>
      <c r="R461" s="593">
        <v>1715</v>
      </c>
      <c r="S461" s="593">
        <v>98</v>
      </c>
      <c r="T461" s="593">
        <v>2015</v>
      </c>
      <c r="U461" s="593">
        <v>2014</v>
      </c>
      <c r="V461" s="589"/>
      <c r="W461" s="589"/>
      <c r="X461" s="589"/>
      <c r="Y461" s="589"/>
      <c r="Z461" s="589"/>
      <c r="AA461" s="589"/>
      <c r="AB461" s="589"/>
      <c r="AC461" s="589"/>
      <c r="AD461" s="589"/>
      <c r="AE461" s="589"/>
      <c r="AF461" s="589"/>
      <c r="AG461" s="589"/>
      <c r="AH461" s="589"/>
      <c r="AI461" s="589"/>
      <c r="AJ461" s="589"/>
      <c r="AK461" s="589"/>
      <c r="AL461" s="589"/>
      <c r="AM461" s="589"/>
      <c r="AN461" s="589"/>
      <c r="AO461" s="589"/>
      <c r="AP461" s="589"/>
      <c r="AQ461" s="589"/>
      <c r="AR461" s="589"/>
      <c r="AS461" s="589"/>
    </row>
    <row r="462" spans="1:45" ht="15">
      <c r="A462" s="587" t="s">
        <v>178</v>
      </c>
      <c r="B462" s="587" t="s">
        <v>576</v>
      </c>
      <c r="C462" s="587" t="s">
        <v>812</v>
      </c>
      <c r="D462" s="588">
        <v>2015</v>
      </c>
      <c r="E462" s="587" t="s">
        <v>775</v>
      </c>
      <c r="F462" s="588">
        <v>349</v>
      </c>
      <c r="G462" s="588">
        <v>0</v>
      </c>
      <c r="H462" s="588">
        <v>0</v>
      </c>
      <c r="I462" s="588">
        <v>0</v>
      </c>
      <c r="J462" s="588">
        <v>246</v>
      </c>
      <c r="K462" s="588">
        <v>0</v>
      </c>
      <c r="L462" s="588">
        <v>0</v>
      </c>
      <c r="M462" s="588">
        <v>0</v>
      </c>
      <c r="N462" s="588">
        <v>280</v>
      </c>
      <c r="O462" s="588">
        <v>0</v>
      </c>
      <c r="P462" s="588">
        <v>625</v>
      </c>
      <c r="Q462" s="588">
        <v>6</v>
      </c>
      <c r="R462" s="588">
        <v>1500</v>
      </c>
      <c r="S462" s="588">
        <v>6</v>
      </c>
      <c r="T462" s="588">
        <v>2015</v>
      </c>
      <c r="U462" s="588">
        <v>2014</v>
      </c>
      <c r="V462" s="589"/>
      <c r="W462" s="589"/>
      <c r="X462" s="589"/>
      <c r="Y462" s="589"/>
      <c r="Z462" s="589"/>
      <c r="AA462" s="589"/>
      <c r="AB462" s="589"/>
      <c r="AC462" s="589"/>
      <c r="AD462" s="589"/>
      <c r="AE462" s="589"/>
      <c r="AF462" s="589"/>
      <c r="AG462" s="589"/>
      <c r="AH462" s="589"/>
      <c r="AI462" s="589"/>
      <c r="AJ462" s="589"/>
      <c r="AK462" s="589"/>
      <c r="AL462" s="589"/>
      <c r="AM462" s="589"/>
      <c r="AN462" s="589"/>
      <c r="AO462" s="589"/>
      <c r="AP462" s="589"/>
      <c r="AQ462" s="589"/>
      <c r="AR462" s="589"/>
      <c r="AS462" s="589"/>
    </row>
    <row r="463" spans="1:45" ht="15">
      <c r="A463" s="590" t="s">
        <v>184</v>
      </c>
      <c r="B463" s="591" t="s">
        <v>632</v>
      </c>
      <c r="C463" s="591" t="s">
        <v>774</v>
      </c>
      <c r="D463" s="592">
        <v>2015</v>
      </c>
      <c r="E463" s="591" t="s">
        <v>775</v>
      </c>
      <c r="F463" s="592">
        <v>32</v>
      </c>
      <c r="G463" s="592">
        <v>16</v>
      </c>
      <c r="H463" s="592">
        <v>0</v>
      </c>
      <c r="I463" s="592">
        <v>16</v>
      </c>
      <c r="J463" s="592">
        <v>17</v>
      </c>
      <c r="K463" s="592">
        <v>8</v>
      </c>
      <c r="L463" s="592">
        <v>0</v>
      </c>
      <c r="M463" s="592">
        <v>8</v>
      </c>
      <c r="N463" s="593">
        <v>21</v>
      </c>
      <c r="O463" s="593">
        <v>10</v>
      </c>
      <c r="P463" s="593">
        <v>21</v>
      </c>
      <c r="Q463" s="593">
        <v>5</v>
      </c>
      <c r="R463" s="593">
        <v>91</v>
      </c>
      <c r="S463" s="593">
        <v>39</v>
      </c>
      <c r="T463" s="593">
        <v>2015</v>
      </c>
      <c r="U463" s="593">
        <v>2015</v>
      </c>
      <c r="V463" s="589"/>
      <c r="W463" s="589"/>
      <c r="X463" s="589"/>
      <c r="Y463" s="589"/>
      <c r="Z463" s="589"/>
      <c r="AA463" s="589"/>
      <c r="AB463" s="589"/>
      <c r="AC463" s="589"/>
      <c r="AD463" s="589"/>
      <c r="AE463" s="589"/>
      <c r="AF463" s="589"/>
      <c r="AG463" s="589"/>
      <c r="AH463" s="589"/>
      <c r="AI463" s="589"/>
      <c r="AJ463" s="589"/>
      <c r="AK463" s="589"/>
      <c r="AL463" s="589"/>
      <c r="AM463" s="589"/>
      <c r="AN463" s="589"/>
      <c r="AO463" s="589"/>
      <c r="AP463" s="589"/>
      <c r="AQ463" s="589"/>
      <c r="AR463" s="589"/>
      <c r="AS463" s="589"/>
    </row>
    <row r="464" spans="1:45" ht="15">
      <c r="A464" s="587" t="s">
        <v>176</v>
      </c>
      <c r="B464" s="587" t="s">
        <v>563</v>
      </c>
      <c r="C464" s="587" t="s">
        <v>177</v>
      </c>
      <c r="D464" s="588">
        <v>2015</v>
      </c>
      <c r="E464" s="587" t="s">
        <v>775</v>
      </c>
      <c r="F464" s="588">
        <v>312</v>
      </c>
      <c r="G464" s="588">
        <v>0</v>
      </c>
      <c r="H464" s="588">
        <v>0</v>
      </c>
      <c r="I464" s="588">
        <v>0</v>
      </c>
      <c r="J464" s="588">
        <v>189</v>
      </c>
      <c r="K464" s="588">
        <v>0</v>
      </c>
      <c r="L464" s="588">
        <v>0</v>
      </c>
      <c r="M464" s="588">
        <v>0</v>
      </c>
      <c r="N464" s="588">
        <v>258</v>
      </c>
      <c r="O464" s="588">
        <v>0</v>
      </c>
      <c r="P464" s="588">
        <v>557</v>
      </c>
      <c r="Q464" s="588">
        <v>68</v>
      </c>
      <c r="R464" s="588">
        <v>1316</v>
      </c>
      <c r="S464" s="588">
        <v>68</v>
      </c>
      <c r="T464" s="588">
        <v>2016</v>
      </c>
      <c r="U464" s="588">
        <v>2016</v>
      </c>
      <c r="V464" s="589"/>
      <c r="W464" s="589"/>
      <c r="X464" s="589"/>
      <c r="Y464" s="589"/>
      <c r="Z464" s="589"/>
      <c r="AA464" s="589"/>
      <c r="AB464" s="589"/>
      <c r="AC464" s="589"/>
      <c r="AD464" s="589"/>
      <c r="AE464" s="589"/>
      <c r="AF464" s="589"/>
      <c r="AG464" s="589"/>
      <c r="AH464" s="589"/>
      <c r="AI464" s="589"/>
      <c r="AJ464" s="589"/>
      <c r="AK464" s="589"/>
      <c r="AL464" s="589"/>
      <c r="AM464" s="589"/>
      <c r="AN464" s="589"/>
      <c r="AO464" s="589"/>
      <c r="AP464" s="589"/>
      <c r="AQ464" s="589"/>
      <c r="AR464" s="589"/>
      <c r="AS464" s="589"/>
    </row>
    <row r="465" spans="1:45" ht="15">
      <c r="A465" s="590" t="s">
        <v>195</v>
      </c>
      <c r="B465" s="591" t="s">
        <v>704</v>
      </c>
      <c r="C465" s="591" t="s">
        <v>177</v>
      </c>
      <c r="D465" s="592">
        <v>2015</v>
      </c>
      <c r="E465" s="591" t="s">
        <v>775</v>
      </c>
      <c r="F465" s="592">
        <v>53</v>
      </c>
      <c r="G465" s="592">
        <v>0</v>
      </c>
      <c r="H465" s="592">
        <v>0</v>
      </c>
      <c r="I465" s="592">
        <v>0</v>
      </c>
      <c r="J465" s="592">
        <v>34</v>
      </c>
      <c r="K465" s="592">
        <v>0</v>
      </c>
      <c r="L465" s="592">
        <v>0</v>
      </c>
      <c r="M465" s="592">
        <v>0</v>
      </c>
      <c r="N465" s="593">
        <v>38</v>
      </c>
      <c r="O465" s="593">
        <v>0</v>
      </c>
      <c r="P465" s="593">
        <v>93</v>
      </c>
      <c r="Q465" s="593">
        <v>32</v>
      </c>
      <c r="R465" s="593">
        <v>218</v>
      </c>
      <c r="S465" s="593">
        <v>32</v>
      </c>
      <c r="T465" s="593">
        <v>2016</v>
      </c>
      <c r="U465" s="593">
        <v>2016</v>
      </c>
      <c r="V465" s="589"/>
      <c r="W465" s="589"/>
      <c r="X465" s="589"/>
      <c r="Y465" s="589"/>
      <c r="Z465" s="589"/>
      <c r="AA465" s="589"/>
      <c r="AB465" s="589"/>
      <c r="AC465" s="589"/>
      <c r="AD465" s="589"/>
      <c r="AE465" s="589"/>
      <c r="AF465" s="589"/>
      <c r="AG465" s="589"/>
      <c r="AH465" s="589"/>
      <c r="AI465" s="589"/>
      <c r="AJ465" s="589"/>
      <c r="AK465" s="589"/>
      <c r="AL465" s="589"/>
      <c r="AM465" s="589"/>
      <c r="AN465" s="589"/>
      <c r="AO465" s="589"/>
      <c r="AP465" s="589"/>
      <c r="AQ465" s="589"/>
      <c r="AR465" s="589"/>
      <c r="AS465" s="589"/>
    </row>
    <row r="466" spans="1:45" ht="15">
      <c r="A466" s="587" t="s">
        <v>145</v>
      </c>
      <c r="B466" s="587" t="s">
        <v>312</v>
      </c>
      <c r="C466" s="587" t="s">
        <v>784</v>
      </c>
      <c r="D466" s="588">
        <v>2015</v>
      </c>
      <c r="E466" s="587" t="s">
        <v>775</v>
      </c>
      <c r="F466" s="588">
        <v>212</v>
      </c>
      <c r="G466" s="588">
        <v>5</v>
      </c>
      <c r="H466" s="588">
        <v>0</v>
      </c>
      <c r="I466" s="588">
        <v>5</v>
      </c>
      <c r="J466" s="588">
        <v>135</v>
      </c>
      <c r="K466" s="588">
        <v>4</v>
      </c>
      <c r="L466" s="588">
        <v>0</v>
      </c>
      <c r="M466" s="588">
        <v>4</v>
      </c>
      <c r="N466" s="588">
        <v>146</v>
      </c>
      <c r="O466" s="588">
        <v>53</v>
      </c>
      <c r="P466" s="588">
        <v>366</v>
      </c>
      <c r="Q466" s="588">
        <v>39</v>
      </c>
      <c r="R466" s="588">
        <v>859</v>
      </c>
      <c r="S466" s="588">
        <v>101</v>
      </c>
      <c r="T466" s="588">
        <v>2015</v>
      </c>
      <c r="U466" s="588">
        <v>2014</v>
      </c>
      <c r="V466" s="589"/>
      <c r="W466" s="589"/>
      <c r="X466" s="589"/>
      <c r="Y466" s="589"/>
      <c r="Z466" s="589"/>
      <c r="AA466" s="589"/>
      <c r="AB466" s="589"/>
      <c r="AC466" s="589"/>
      <c r="AD466" s="589"/>
      <c r="AE466" s="589"/>
      <c r="AF466" s="589"/>
      <c r="AG466" s="589"/>
      <c r="AH466" s="589"/>
      <c r="AI466" s="589"/>
      <c r="AJ466" s="589"/>
      <c r="AK466" s="589"/>
      <c r="AL466" s="589"/>
      <c r="AM466" s="589"/>
      <c r="AN466" s="589"/>
      <c r="AO466" s="589"/>
      <c r="AP466" s="589"/>
      <c r="AQ466" s="589"/>
      <c r="AR466" s="589"/>
      <c r="AS466" s="589"/>
    </row>
    <row r="467" spans="1:45" ht="15">
      <c r="A467" s="590" t="s">
        <v>141</v>
      </c>
      <c r="B467" s="591" t="s">
        <v>295</v>
      </c>
      <c r="C467" s="591" t="s">
        <v>177</v>
      </c>
      <c r="D467" s="592">
        <v>2015</v>
      </c>
      <c r="E467" s="591" t="s">
        <v>775</v>
      </c>
      <c r="F467" s="592">
        <v>87</v>
      </c>
      <c r="G467" s="592">
        <v>0</v>
      </c>
      <c r="H467" s="592">
        <v>0</v>
      </c>
      <c r="I467" s="592">
        <v>0</v>
      </c>
      <c r="J467" s="592">
        <v>107</v>
      </c>
      <c r="K467" s="592">
        <v>0</v>
      </c>
      <c r="L467" s="592">
        <v>0</v>
      </c>
      <c r="M467" s="592">
        <v>0</v>
      </c>
      <c r="N467" s="593">
        <v>106</v>
      </c>
      <c r="O467" s="593">
        <v>0</v>
      </c>
      <c r="P467" s="593">
        <v>124</v>
      </c>
      <c r="Q467" s="593">
        <v>0</v>
      </c>
      <c r="R467" s="593">
        <v>424</v>
      </c>
      <c r="S467" s="593">
        <v>0</v>
      </c>
      <c r="T467" s="593">
        <v>2016</v>
      </c>
      <c r="U467" s="593">
        <v>2016</v>
      </c>
      <c r="V467" s="589"/>
      <c r="W467" s="589"/>
      <c r="X467" s="589"/>
      <c r="Y467" s="589"/>
      <c r="Z467" s="589"/>
      <c r="AA467" s="589"/>
      <c r="AB467" s="589"/>
      <c r="AC467" s="589"/>
      <c r="AD467" s="589"/>
      <c r="AE467" s="589"/>
      <c r="AF467" s="589"/>
      <c r="AG467" s="589"/>
      <c r="AH467" s="589"/>
      <c r="AI467" s="589"/>
      <c r="AJ467" s="589"/>
      <c r="AK467" s="589"/>
      <c r="AL467" s="589"/>
      <c r="AM467" s="589"/>
      <c r="AN467" s="589"/>
      <c r="AO467" s="589"/>
      <c r="AP467" s="589"/>
      <c r="AQ467" s="589"/>
      <c r="AR467" s="589"/>
      <c r="AS467" s="589"/>
    </row>
    <row r="468" spans="1:45" ht="15">
      <c r="A468" s="587" t="s">
        <v>146</v>
      </c>
      <c r="B468" s="587" t="s">
        <v>146</v>
      </c>
      <c r="C468" s="587" t="s">
        <v>812</v>
      </c>
      <c r="D468" s="588">
        <v>2015</v>
      </c>
      <c r="E468" s="587" t="s">
        <v>775</v>
      </c>
      <c r="F468" s="588">
        <v>349</v>
      </c>
      <c r="G468" s="588">
        <v>0</v>
      </c>
      <c r="H468" s="588">
        <v>0</v>
      </c>
      <c r="I468" s="588">
        <v>0</v>
      </c>
      <c r="J468" s="588">
        <v>205</v>
      </c>
      <c r="K468" s="588">
        <v>10</v>
      </c>
      <c r="L468" s="588">
        <v>10</v>
      </c>
      <c r="M468" s="588">
        <v>0</v>
      </c>
      <c r="N468" s="588">
        <v>202</v>
      </c>
      <c r="O468" s="588">
        <v>77</v>
      </c>
      <c r="P468" s="588">
        <v>553</v>
      </c>
      <c r="Q468" s="588">
        <v>19</v>
      </c>
      <c r="R468" s="588">
        <v>1309</v>
      </c>
      <c r="S468" s="588">
        <v>106</v>
      </c>
      <c r="T468" s="588">
        <v>2015</v>
      </c>
      <c r="U468" s="588">
        <v>2014</v>
      </c>
      <c r="V468" s="589"/>
      <c r="W468" s="589"/>
      <c r="X468" s="589"/>
      <c r="Y468" s="589"/>
      <c r="Z468" s="589"/>
      <c r="AA468" s="589"/>
      <c r="AB468" s="589"/>
      <c r="AC468" s="589"/>
      <c r="AD468" s="589"/>
      <c r="AE468" s="589"/>
      <c r="AF468" s="589"/>
      <c r="AG468" s="589"/>
      <c r="AH468" s="589"/>
      <c r="AI468" s="589"/>
      <c r="AJ468" s="589"/>
      <c r="AK468" s="589"/>
      <c r="AL468" s="589"/>
      <c r="AM468" s="589"/>
      <c r="AN468" s="589"/>
      <c r="AO468" s="589"/>
      <c r="AP468" s="589"/>
      <c r="AQ468" s="589"/>
      <c r="AR468" s="589"/>
      <c r="AS468" s="589"/>
    </row>
    <row r="469" spans="1:45" ht="15">
      <c r="A469" s="590" t="s">
        <v>179</v>
      </c>
      <c r="B469" s="591" t="s">
        <v>597</v>
      </c>
      <c r="C469" s="591" t="s">
        <v>855</v>
      </c>
      <c r="D469" s="592">
        <v>2015</v>
      </c>
      <c r="E469" s="591" t="s">
        <v>775</v>
      </c>
      <c r="F469" s="592">
        <v>63</v>
      </c>
      <c r="G469" s="592">
        <v>0</v>
      </c>
      <c r="H469" s="592">
        <v>0</v>
      </c>
      <c r="I469" s="592">
        <v>0</v>
      </c>
      <c r="J469" s="592">
        <v>48</v>
      </c>
      <c r="K469" s="592">
        <v>0</v>
      </c>
      <c r="L469" s="592">
        <v>0</v>
      </c>
      <c r="M469" s="592">
        <v>0</v>
      </c>
      <c r="N469" s="593">
        <v>45</v>
      </c>
      <c r="O469" s="593">
        <v>0</v>
      </c>
      <c r="P469" s="593">
        <v>98</v>
      </c>
      <c r="Q469" s="593">
        <v>20</v>
      </c>
      <c r="R469" s="593">
        <v>254</v>
      </c>
      <c r="S469" s="593">
        <v>20</v>
      </c>
      <c r="T469" s="593">
        <v>2015</v>
      </c>
      <c r="U469" s="593">
        <v>2013</v>
      </c>
      <c r="V469" s="589"/>
      <c r="W469" s="589"/>
      <c r="X469" s="589"/>
      <c r="Y469" s="589"/>
      <c r="Z469" s="589"/>
      <c r="AA469" s="589"/>
      <c r="AB469" s="589"/>
      <c r="AC469" s="589"/>
      <c r="AD469" s="589"/>
      <c r="AE469" s="589"/>
      <c r="AF469" s="589"/>
      <c r="AG469" s="589"/>
      <c r="AH469" s="589"/>
      <c r="AI469" s="589"/>
      <c r="AJ469" s="589"/>
      <c r="AK469" s="589"/>
      <c r="AL469" s="589"/>
      <c r="AM469" s="589"/>
      <c r="AN469" s="589"/>
      <c r="AO469" s="589"/>
      <c r="AP469" s="589"/>
      <c r="AQ469" s="589"/>
      <c r="AR469" s="589"/>
      <c r="AS469" s="589"/>
    </row>
    <row r="470" spans="1:45" ht="15">
      <c r="A470" s="587" t="s">
        <v>173</v>
      </c>
      <c r="B470" s="587" t="s">
        <v>539</v>
      </c>
      <c r="C470" s="587" t="s">
        <v>812</v>
      </c>
      <c r="D470" s="588">
        <v>2015</v>
      </c>
      <c r="E470" s="587" t="s">
        <v>775</v>
      </c>
      <c r="F470" s="588">
        <v>40</v>
      </c>
      <c r="G470" s="588">
        <v>0</v>
      </c>
      <c r="H470" s="588">
        <v>0</v>
      </c>
      <c r="I470" s="588">
        <v>0</v>
      </c>
      <c r="J470" s="588">
        <v>27</v>
      </c>
      <c r="K470" s="588">
        <v>0</v>
      </c>
      <c r="L470" s="588">
        <v>0</v>
      </c>
      <c r="M470" s="588">
        <v>0</v>
      </c>
      <c r="N470" s="588">
        <v>31</v>
      </c>
      <c r="O470" s="588">
        <v>0</v>
      </c>
      <c r="P470" s="588">
        <v>62</v>
      </c>
      <c r="Q470" s="588">
        <v>43</v>
      </c>
      <c r="R470" s="588">
        <v>160</v>
      </c>
      <c r="S470" s="588">
        <v>43</v>
      </c>
      <c r="T470" s="588">
        <v>2015</v>
      </c>
      <c r="U470" s="588">
        <v>2014</v>
      </c>
      <c r="V470" s="589"/>
      <c r="W470" s="589"/>
      <c r="X470" s="589"/>
      <c r="Y470" s="589"/>
      <c r="Z470" s="589"/>
      <c r="AA470" s="589"/>
      <c r="AB470" s="589"/>
      <c r="AC470" s="589"/>
      <c r="AD470" s="589"/>
      <c r="AE470" s="589"/>
      <c r="AF470" s="589"/>
      <c r="AG470" s="589"/>
      <c r="AH470" s="589"/>
      <c r="AI470" s="589"/>
      <c r="AJ470" s="589"/>
      <c r="AK470" s="589"/>
      <c r="AL470" s="589"/>
      <c r="AM470" s="589"/>
      <c r="AN470" s="589"/>
      <c r="AO470" s="589"/>
      <c r="AP470" s="589"/>
      <c r="AQ470" s="589"/>
      <c r="AR470" s="589"/>
      <c r="AS470" s="589"/>
    </row>
    <row r="471" spans="1:45" ht="15">
      <c r="A471" s="590" t="s">
        <v>173</v>
      </c>
      <c r="B471" s="591" t="s">
        <v>540</v>
      </c>
      <c r="C471" s="591" t="s">
        <v>812</v>
      </c>
      <c r="D471" s="592">
        <v>2015</v>
      </c>
      <c r="E471" s="591" t="s">
        <v>775</v>
      </c>
      <c r="F471" s="592">
        <v>714</v>
      </c>
      <c r="G471" s="592">
        <v>0</v>
      </c>
      <c r="H471" s="592">
        <v>0</v>
      </c>
      <c r="I471" s="592">
        <v>0</v>
      </c>
      <c r="J471" s="592">
        <v>487</v>
      </c>
      <c r="K471" s="592">
        <v>0</v>
      </c>
      <c r="L471" s="592">
        <v>0</v>
      </c>
      <c r="M471" s="592">
        <v>0</v>
      </c>
      <c r="N471" s="593">
        <v>553</v>
      </c>
      <c r="O471" s="593">
        <v>0</v>
      </c>
      <c r="P471" s="593">
        <v>1271</v>
      </c>
      <c r="Q471" s="593">
        <v>319</v>
      </c>
      <c r="R471" s="593">
        <v>3025</v>
      </c>
      <c r="S471" s="593">
        <v>319</v>
      </c>
      <c r="T471" s="593">
        <v>2015</v>
      </c>
      <c r="U471" s="593">
        <v>2014</v>
      </c>
      <c r="V471" s="589"/>
      <c r="W471" s="589"/>
      <c r="X471" s="589"/>
      <c r="Y471" s="589"/>
      <c r="Z471" s="589"/>
      <c r="AA471" s="589"/>
      <c r="AB471" s="589"/>
      <c r="AC471" s="589"/>
      <c r="AD471" s="589"/>
      <c r="AE471" s="589"/>
      <c r="AF471" s="589"/>
      <c r="AG471" s="589"/>
      <c r="AH471" s="589"/>
      <c r="AI471" s="589"/>
      <c r="AJ471" s="589"/>
      <c r="AK471" s="589"/>
      <c r="AL471" s="589"/>
      <c r="AM471" s="589"/>
      <c r="AN471" s="589"/>
      <c r="AO471" s="589"/>
      <c r="AP471" s="589"/>
      <c r="AQ471" s="589"/>
      <c r="AR471" s="589"/>
      <c r="AS471" s="589"/>
    </row>
    <row r="472" spans="1:45" ht="15">
      <c r="A472" s="587" t="s">
        <v>153</v>
      </c>
      <c r="B472" s="587" t="s">
        <v>382</v>
      </c>
      <c r="C472" s="587" t="s">
        <v>812</v>
      </c>
      <c r="D472" s="588">
        <v>2015</v>
      </c>
      <c r="E472" s="587" t="s">
        <v>775</v>
      </c>
      <c r="F472" s="588">
        <v>250</v>
      </c>
      <c r="G472" s="588">
        <v>0</v>
      </c>
      <c r="H472" s="588">
        <v>0</v>
      </c>
      <c r="I472" s="588">
        <v>0</v>
      </c>
      <c r="J472" s="588">
        <v>150</v>
      </c>
      <c r="K472" s="588">
        <v>0</v>
      </c>
      <c r="L472" s="588">
        <v>0</v>
      </c>
      <c r="M472" s="588">
        <v>0</v>
      </c>
      <c r="N472" s="588">
        <v>167</v>
      </c>
      <c r="O472" s="588">
        <v>0</v>
      </c>
      <c r="P472" s="588">
        <v>446</v>
      </c>
      <c r="Q472" s="588">
        <v>5</v>
      </c>
      <c r="R472" s="588">
        <v>1013</v>
      </c>
      <c r="S472" s="588">
        <v>5</v>
      </c>
      <c r="T472" s="588">
        <v>2015</v>
      </c>
      <c r="U472" s="588">
        <v>2014</v>
      </c>
      <c r="V472" s="589"/>
      <c r="W472" s="589"/>
      <c r="X472" s="589"/>
      <c r="Y472" s="589"/>
      <c r="Z472" s="589"/>
      <c r="AA472" s="589"/>
      <c r="AB472" s="589"/>
      <c r="AC472" s="589"/>
      <c r="AD472" s="589"/>
      <c r="AE472" s="589"/>
      <c r="AF472" s="589"/>
      <c r="AG472" s="589"/>
      <c r="AH472" s="589"/>
      <c r="AI472" s="589"/>
      <c r="AJ472" s="589"/>
      <c r="AK472" s="589"/>
      <c r="AL472" s="589"/>
      <c r="AM472" s="589"/>
      <c r="AN472" s="589"/>
      <c r="AO472" s="589"/>
      <c r="AP472" s="589"/>
      <c r="AQ472" s="589"/>
      <c r="AR472" s="589"/>
      <c r="AS472" s="589"/>
    </row>
    <row r="473" spans="1:45" ht="15">
      <c r="A473" s="590" t="s">
        <v>147</v>
      </c>
      <c r="B473" s="591" t="s">
        <v>323</v>
      </c>
      <c r="C473" s="591" t="s">
        <v>784</v>
      </c>
      <c r="D473" s="592">
        <v>2015</v>
      </c>
      <c r="E473" s="591" t="s">
        <v>775</v>
      </c>
      <c r="F473" s="592">
        <v>35</v>
      </c>
      <c r="G473" s="592">
        <v>0</v>
      </c>
      <c r="H473" s="592">
        <v>0</v>
      </c>
      <c r="I473" s="592">
        <v>0</v>
      </c>
      <c r="J473" s="592">
        <v>25</v>
      </c>
      <c r="K473" s="592">
        <v>0</v>
      </c>
      <c r="L473" s="592">
        <v>0</v>
      </c>
      <c r="M473" s="592">
        <v>0</v>
      </c>
      <c r="N473" s="593">
        <v>28</v>
      </c>
      <c r="O473" s="593">
        <v>0</v>
      </c>
      <c r="P473" s="593">
        <v>72</v>
      </c>
      <c r="Q473" s="593">
        <v>2</v>
      </c>
      <c r="R473" s="593">
        <v>160</v>
      </c>
      <c r="S473" s="593">
        <v>2</v>
      </c>
      <c r="T473" s="593">
        <v>2015</v>
      </c>
      <c r="U473" s="593">
        <v>2014</v>
      </c>
      <c r="V473" s="589"/>
      <c r="W473" s="589"/>
      <c r="X473" s="589"/>
      <c r="Y473" s="589"/>
      <c r="Z473" s="589"/>
      <c r="AA473" s="589"/>
      <c r="AB473" s="589"/>
      <c r="AC473" s="589"/>
      <c r="AD473" s="589"/>
      <c r="AE473" s="589"/>
      <c r="AF473" s="589"/>
      <c r="AG473" s="589"/>
      <c r="AH473" s="589"/>
      <c r="AI473" s="589"/>
      <c r="AJ473" s="589"/>
      <c r="AK473" s="589"/>
      <c r="AL473" s="589"/>
      <c r="AM473" s="589"/>
      <c r="AN473" s="589"/>
      <c r="AO473" s="589"/>
      <c r="AP473" s="589"/>
      <c r="AQ473" s="589"/>
      <c r="AR473" s="589"/>
      <c r="AS473" s="589"/>
    </row>
    <row r="474" spans="1:45" ht="15">
      <c r="A474" s="587" t="s">
        <v>169</v>
      </c>
      <c r="B474" s="587" t="s">
        <v>496</v>
      </c>
      <c r="C474" s="587" t="s">
        <v>812</v>
      </c>
      <c r="D474" s="588">
        <v>2015</v>
      </c>
      <c r="E474" s="587" t="s">
        <v>775</v>
      </c>
      <c r="F474" s="588">
        <v>2817</v>
      </c>
      <c r="G474" s="588">
        <v>22</v>
      </c>
      <c r="H474" s="588">
        <v>22</v>
      </c>
      <c r="I474" s="588">
        <v>0</v>
      </c>
      <c r="J474" s="588">
        <v>2034</v>
      </c>
      <c r="K474" s="588">
        <v>1</v>
      </c>
      <c r="L474" s="588">
        <v>1</v>
      </c>
      <c r="M474" s="588">
        <v>0</v>
      </c>
      <c r="N474" s="588">
        <v>2239</v>
      </c>
      <c r="O474" s="588">
        <v>4531</v>
      </c>
      <c r="P474" s="588">
        <v>5059</v>
      </c>
      <c r="Q474" s="588">
        <v>1645</v>
      </c>
      <c r="R474" s="588">
        <v>12149</v>
      </c>
      <c r="S474" s="588">
        <v>6199</v>
      </c>
      <c r="T474" s="588">
        <v>2015</v>
      </c>
      <c r="U474" s="588">
        <v>2014</v>
      </c>
      <c r="V474" s="589"/>
      <c r="W474" s="589"/>
      <c r="X474" s="589"/>
      <c r="Y474" s="589"/>
      <c r="Z474" s="589"/>
      <c r="AA474" s="589"/>
      <c r="AB474" s="589"/>
      <c r="AC474" s="589"/>
      <c r="AD474" s="589"/>
      <c r="AE474" s="589"/>
      <c r="AF474" s="589"/>
      <c r="AG474" s="589"/>
      <c r="AH474" s="589"/>
      <c r="AI474" s="589"/>
      <c r="AJ474" s="589"/>
      <c r="AK474" s="589"/>
      <c r="AL474" s="589"/>
      <c r="AM474" s="589"/>
      <c r="AN474" s="589"/>
      <c r="AO474" s="589"/>
      <c r="AP474" s="589"/>
      <c r="AQ474" s="589"/>
      <c r="AR474" s="589"/>
      <c r="AS474" s="589"/>
    </row>
    <row r="475" spans="1:45" ht="15">
      <c r="A475" s="590" t="s">
        <v>130</v>
      </c>
      <c r="B475" s="591" t="s">
        <v>252</v>
      </c>
      <c r="C475" s="591" t="s">
        <v>784</v>
      </c>
      <c r="D475" s="592">
        <v>2015</v>
      </c>
      <c r="E475" s="591" t="s">
        <v>775</v>
      </c>
      <c r="F475" s="592">
        <v>4</v>
      </c>
      <c r="G475" s="592">
        <v>0</v>
      </c>
      <c r="H475" s="592">
        <v>0</v>
      </c>
      <c r="I475" s="592">
        <v>0</v>
      </c>
      <c r="J475" s="592">
        <v>3</v>
      </c>
      <c r="K475" s="592">
        <v>0</v>
      </c>
      <c r="L475" s="592">
        <v>0</v>
      </c>
      <c r="M475" s="592">
        <v>0</v>
      </c>
      <c r="N475" s="593">
        <v>4</v>
      </c>
      <c r="O475" s="593">
        <v>11</v>
      </c>
      <c r="P475" s="593">
        <v>8</v>
      </c>
      <c r="Q475" s="593">
        <v>0</v>
      </c>
      <c r="R475" s="593">
        <v>19</v>
      </c>
      <c r="S475" s="593">
        <v>11</v>
      </c>
      <c r="T475" s="593">
        <v>2015</v>
      </c>
      <c r="U475" s="593">
        <v>2014</v>
      </c>
      <c r="V475" s="589"/>
      <c r="W475" s="589"/>
      <c r="X475" s="589"/>
      <c r="Y475" s="589"/>
      <c r="Z475" s="589"/>
      <c r="AA475" s="589"/>
      <c r="AB475" s="589"/>
      <c r="AC475" s="589"/>
      <c r="AD475" s="589"/>
      <c r="AE475" s="589"/>
      <c r="AF475" s="589"/>
      <c r="AG475" s="589"/>
      <c r="AH475" s="589"/>
      <c r="AI475" s="589"/>
      <c r="AJ475" s="589"/>
      <c r="AK475" s="589"/>
      <c r="AL475" s="589"/>
      <c r="AM475" s="589"/>
      <c r="AN475" s="589"/>
      <c r="AO475" s="589"/>
      <c r="AP475" s="589"/>
      <c r="AQ475" s="589"/>
      <c r="AR475" s="589"/>
      <c r="AS475" s="589"/>
    </row>
    <row r="476" spans="1:45" ht="15">
      <c r="A476" s="587" t="s">
        <v>148</v>
      </c>
      <c r="B476" s="587" t="s">
        <v>328</v>
      </c>
      <c r="C476" s="587" t="s">
        <v>177</v>
      </c>
      <c r="D476" s="588">
        <v>2015</v>
      </c>
      <c r="E476" s="587" t="s">
        <v>775</v>
      </c>
      <c r="F476" s="588">
        <v>4888</v>
      </c>
      <c r="G476" s="588">
        <v>0</v>
      </c>
      <c r="H476" s="588">
        <v>0</v>
      </c>
      <c r="I476" s="588">
        <v>0</v>
      </c>
      <c r="J476" s="588">
        <v>3107</v>
      </c>
      <c r="K476" s="588">
        <v>0</v>
      </c>
      <c r="L476" s="588">
        <v>0</v>
      </c>
      <c r="M476" s="588">
        <v>0</v>
      </c>
      <c r="N476" s="588">
        <v>3126</v>
      </c>
      <c r="O476" s="588">
        <v>0</v>
      </c>
      <c r="P476" s="588">
        <v>10462</v>
      </c>
      <c r="Q476" s="588">
        <v>0</v>
      </c>
      <c r="R476" s="588">
        <v>21583</v>
      </c>
      <c r="S476" s="588">
        <v>0</v>
      </c>
      <c r="T476" s="588">
        <v>2016</v>
      </c>
      <c r="U476" s="588">
        <v>2016</v>
      </c>
      <c r="V476" s="589"/>
      <c r="W476" s="589"/>
      <c r="X476" s="589"/>
      <c r="Y476" s="589"/>
      <c r="Z476" s="589"/>
      <c r="AA476" s="589"/>
      <c r="AB476" s="589"/>
      <c r="AC476" s="589"/>
      <c r="AD476" s="589"/>
      <c r="AE476" s="589"/>
      <c r="AF476" s="589"/>
      <c r="AG476" s="589"/>
      <c r="AH476" s="589"/>
      <c r="AI476" s="589"/>
      <c r="AJ476" s="589"/>
      <c r="AK476" s="589"/>
      <c r="AL476" s="589"/>
      <c r="AM476" s="589"/>
      <c r="AN476" s="589"/>
      <c r="AO476" s="589"/>
      <c r="AP476" s="589"/>
      <c r="AQ476" s="589"/>
      <c r="AR476" s="589"/>
      <c r="AS476" s="589"/>
    </row>
    <row r="477" spans="1:45" ht="15">
      <c r="A477" s="590" t="s">
        <v>164</v>
      </c>
      <c r="B477" s="591" t="s">
        <v>468</v>
      </c>
      <c r="C477" s="591" t="s">
        <v>177</v>
      </c>
      <c r="D477" s="592">
        <v>2015</v>
      </c>
      <c r="E477" s="591" t="s">
        <v>775</v>
      </c>
      <c r="F477" s="592">
        <v>43</v>
      </c>
      <c r="G477" s="592">
        <v>0</v>
      </c>
      <c r="H477" s="592">
        <v>0</v>
      </c>
      <c r="I477" s="592">
        <v>0</v>
      </c>
      <c r="J477" s="592">
        <v>28</v>
      </c>
      <c r="K477" s="592">
        <v>0</v>
      </c>
      <c r="L477" s="592">
        <v>0</v>
      </c>
      <c r="M477" s="592">
        <v>0</v>
      </c>
      <c r="N477" s="593">
        <v>33</v>
      </c>
      <c r="O477" s="593">
        <v>0</v>
      </c>
      <c r="P477" s="593">
        <v>76</v>
      </c>
      <c r="Q477" s="593">
        <v>25</v>
      </c>
      <c r="R477" s="593">
        <v>180</v>
      </c>
      <c r="S477" s="593">
        <v>25</v>
      </c>
      <c r="T477" s="593">
        <v>2016</v>
      </c>
      <c r="U477" s="593">
        <v>2016</v>
      </c>
      <c r="V477" s="589"/>
      <c r="W477" s="589"/>
      <c r="X477" s="589"/>
      <c r="Y477" s="589"/>
      <c r="Z477" s="589"/>
      <c r="AA477" s="589"/>
      <c r="AB477" s="589"/>
      <c r="AC477" s="589"/>
      <c r="AD477" s="589"/>
      <c r="AE477" s="589"/>
      <c r="AF477" s="589"/>
      <c r="AG477" s="589"/>
      <c r="AH477" s="589"/>
      <c r="AI477" s="589"/>
      <c r="AJ477" s="589"/>
      <c r="AK477" s="589"/>
      <c r="AL477" s="589"/>
      <c r="AM477" s="589"/>
      <c r="AN477" s="589"/>
      <c r="AO477" s="589"/>
      <c r="AP477" s="589"/>
      <c r="AQ477" s="589"/>
      <c r="AR477" s="589"/>
      <c r="AS477" s="589"/>
    </row>
    <row r="478" spans="1:45" ht="15">
      <c r="A478" s="587" t="s">
        <v>153</v>
      </c>
      <c r="B478" s="587" t="s">
        <v>384</v>
      </c>
      <c r="C478" s="587" t="s">
        <v>812</v>
      </c>
      <c r="D478" s="588">
        <v>2015</v>
      </c>
      <c r="E478" s="587" t="s">
        <v>775</v>
      </c>
      <c r="F478" s="588">
        <v>30</v>
      </c>
      <c r="G478" s="588">
        <v>0</v>
      </c>
      <c r="H478" s="588">
        <v>0</v>
      </c>
      <c r="I478" s="588">
        <v>0</v>
      </c>
      <c r="J478" s="588">
        <v>18</v>
      </c>
      <c r="K478" s="588">
        <v>0</v>
      </c>
      <c r="L478" s="588">
        <v>0</v>
      </c>
      <c r="M478" s="588">
        <v>0</v>
      </c>
      <c r="N478" s="588">
        <v>20</v>
      </c>
      <c r="O478" s="588">
        <v>0</v>
      </c>
      <c r="P478" s="588">
        <v>44</v>
      </c>
      <c r="Q478" s="588">
        <v>18</v>
      </c>
      <c r="R478" s="588">
        <v>112</v>
      </c>
      <c r="S478" s="588">
        <v>18</v>
      </c>
      <c r="T478" s="588">
        <v>2015</v>
      </c>
      <c r="U478" s="588">
        <v>2014</v>
      </c>
      <c r="V478" s="589"/>
      <c r="W478" s="589"/>
      <c r="X478" s="589"/>
      <c r="Y478" s="589"/>
      <c r="Z478" s="589"/>
      <c r="AA478" s="589"/>
      <c r="AB478" s="589"/>
      <c r="AC478" s="589"/>
      <c r="AD478" s="589"/>
      <c r="AE478" s="589"/>
      <c r="AF478" s="589"/>
      <c r="AG478" s="589"/>
      <c r="AH478" s="589"/>
      <c r="AI478" s="589"/>
      <c r="AJ478" s="589"/>
      <c r="AK478" s="589"/>
      <c r="AL478" s="589"/>
      <c r="AM478" s="589"/>
      <c r="AN478" s="589"/>
      <c r="AO478" s="589"/>
      <c r="AP478" s="589"/>
      <c r="AQ478" s="589"/>
      <c r="AR478" s="589"/>
      <c r="AS478" s="589"/>
    </row>
    <row r="479" spans="1:45" ht="15">
      <c r="A479" s="590" t="s">
        <v>169</v>
      </c>
      <c r="B479" s="591" t="s">
        <v>497</v>
      </c>
      <c r="C479" s="591" t="s">
        <v>812</v>
      </c>
      <c r="D479" s="592">
        <v>2015</v>
      </c>
      <c r="E479" s="591" t="s">
        <v>775</v>
      </c>
      <c r="F479" s="592">
        <v>1</v>
      </c>
      <c r="G479" s="592">
        <v>0</v>
      </c>
      <c r="H479" s="592">
        <v>0</v>
      </c>
      <c r="I479" s="592">
        <v>0</v>
      </c>
      <c r="J479" s="592">
        <v>1</v>
      </c>
      <c r="K479" s="592">
        <v>3</v>
      </c>
      <c r="L479" s="592">
        <v>3</v>
      </c>
      <c r="M479" s="592">
        <v>0</v>
      </c>
      <c r="N479" s="593">
        <v>1</v>
      </c>
      <c r="O479" s="593">
        <v>4</v>
      </c>
      <c r="P479" s="593">
        <v>1</v>
      </c>
      <c r="Q479" s="593">
        <v>22</v>
      </c>
      <c r="R479" s="593">
        <v>4</v>
      </c>
      <c r="S479" s="593">
        <v>29</v>
      </c>
      <c r="T479" s="593">
        <v>2015</v>
      </c>
      <c r="U479" s="593">
        <v>2014</v>
      </c>
      <c r="V479" s="589"/>
      <c r="W479" s="589"/>
      <c r="X479" s="589"/>
      <c r="Y479" s="589"/>
      <c r="Z479" s="589"/>
      <c r="AA479" s="589"/>
      <c r="AB479" s="589"/>
      <c r="AC479" s="589"/>
      <c r="AD479" s="589"/>
      <c r="AE479" s="589"/>
      <c r="AF479" s="589"/>
      <c r="AG479" s="589"/>
      <c r="AH479" s="589"/>
      <c r="AI479" s="589"/>
      <c r="AJ479" s="589"/>
      <c r="AK479" s="589"/>
      <c r="AL479" s="589"/>
      <c r="AM479" s="589"/>
      <c r="AN479" s="589"/>
      <c r="AO479" s="589"/>
      <c r="AP479" s="589"/>
      <c r="AQ479" s="589"/>
      <c r="AR479" s="589"/>
      <c r="AS479" s="589"/>
    </row>
    <row r="480" spans="1:45" ht="15">
      <c r="A480" s="587" t="s">
        <v>179</v>
      </c>
      <c r="B480" s="587" t="s">
        <v>598</v>
      </c>
      <c r="C480" s="587" t="s">
        <v>855</v>
      </c>
      <c r="D480" s="588">
        <v>2015</v>
      </c>
      <c r="E480" s="587" t="s">
        <v>775</v>
      </c>
      <c r="F480" s="588">
        <v>430</v>
      </c>
      <c r="G480" s="588">
        <v>0</v>
      </c>
      <c r="H480" s="588">
        <v>0</v>
      </c>
      <c r="I480" s="588">
        <v>0</v>
      </c>
      <c r="J480" s="588">
        <v>326</v>
      </c>
      <c r="K480" s="588">
        <v>1</v>
      </c>
      <c r="L480" s="588">
        <v>0</v>
      </c>
      <c r="M480" s="588">
        <v>1</v>
      </c>
      <c r="N480" s="588">
        <v>302</v>
      </c>
      <c r="O480" s="588">
        <v>0</v>
      </c>
      <c r="P480" s="588">
        <v>664</v>
      </c>
      <c r="Q480" s="588">
        <v>28</v>
      </c>
      <c r="R480" s="588">
        <v>1722</v>
      </c>
      <c r="S480" s="588">
        <v>29</v>
      </c>
      <c r="T480" s="588">
        <v>2015</v>
      </c>
      <c r="U480" s="588">
        <v>2013</v>
      </c>
      <c r="V480" s="589"/>
      <c r="W480" s="589"/>
      <c r="X480" s="589"/>
      <c r="Y480" s="589"/>
      <c r="Z480" s="589"/>
      <c r="AA480" s="589"/>
      <c r="AB480" s="589"/>
      <c r="AC480" s="589"/>
      <c r="AD480" s="589"/>
      <c r="AE480" s="589"/>
      <c r="AF480" s="589"/>
      <c r="AG480" s="589"/>
      <c r="AH480" s="589"/>
      <c r="AI480" s="589"/>
      <c r="AJ480" s="589"/>
      <c r="AK480" s="589"/>
      <c r="AL480" s="589"/>
      <c r="AM480" s="589"/>
      <c r="AN480" s="589"/>
      <c r="AO480" s="589"/>
      <c r="AP480" s="589"/>
      <c r="AQ480" s="589"/>
      <c r="AR480" s="589"/>
      <c r="AS480" s="589"/>
    </row>
    <row r="481" spans="1:45" ht="15">
      <c r="A481" s="590" t="s">
        <v>169</v>
      </c>
      <c r="B481" s="591" t="s">
        <v>498</v>
      </c>
      <c r="C481" s="591" t="s">
        <v>812</v>
      </c>
      <c r="D481" s="592">
        <v>2015</v>
      </c>
      <c r="E481" s="591" t="s">
        <v>775</v>
      </c>
      <c r="F481" s="592">
        <v>2</v>
      </c>
      <c r="G481" s="592">
        <v>0</v>
      </c>
      <c r="H481" s="592">
        <v>0</v>
      </c>
      <c r="I481" s="592">
        <v>0</v>
      </c>
      <c r="J481" s="592">
        <v>2</v>
      </c>
      <c r="K481" s="592">
        <v>0</v>
      </c>
      <c r="L481" s="592">
        <v>0</v>
      </c>
      <c r="M481" s="592">
        <v>0</v>
      </c>
      <c r="N481" s="593">
        <v>2</v>
      </c>
      <c r="O481" s="593">
        <v>0</v>
      </c>
      <c r="P481" s="593">
        <v>3</v>
      </c>
      <c r="Q481" s="593">
        <v>0</v>
      </c>
      <c r="R481" s="593">
        <v>9</v>
      </c>
      <c r="S481" s="593">
        <v>0</v>
      </c>
      <c r="T481" s="593">
        <v>2015</v>
      </c>
      <c r="U481" s="593">
        <v>2014</v>
      </c>
      <c r="V481" s="589"/>
      <c r="W481" s="589"/>
      <c r="X481" s="589"/>
      <c r="Y481" s="589"/>
      <c r="Z481" s="589"/>
      <c r="AA481" s="589"/>
      <c r="AB481" s="589"/>
      <c r="AC481" s="589"/>
      <c r="AD481" s="589"/>
      <c r="AE481" s="589"/>
      <c r="AF481" s="589"/>
      <c r="AG481" s="589"/>
      <c r="AH481" s="589"/>
      <c r="AI481" s="589"/>
      <c r="AJ481" s="589"/>
      <c r="AK481" s="589"/>
      <c r="AL481" s="589"/>
      <c r="AM481" s="589"/>
      <c r="AN481" s="589"/>
      <c r="AO481" s="589"/>
      <c r="AP481" s="589"/>
      <c r="AQ481" s="589"/>
      <c r="AR481" s="589"/>
      <c r="AS481" s="589"/>
    </row>
    <row r="482" spans="1:45" ht="15">
      <c r="A482" s="587" t="s">
        <v>153</v>
      </c>
      <c r="B482" s="587" t="s">
        <v>388</v>
      </c>
      <c r="C482" s="587" t="s">
        <v>812</v>
      </c>
      <c r="D482" s="588">
        <v>2015</v>
      </c>
      <c r="E482" s="587" t="s">
        <v>775</v>
      </c>
      <c r="F482" s="588">
        <v>147</v>
      </c>
      <c r="G482" s="588">
        <v>0</v>
      </c>
      <c r="H482" s="588">
        <v>0</v>
      </c>
      <c r="I482" s="588">
        <v>0</v>
      </c>
      <c r="J482" s="588">
        <v>88</v>
      </c>
      <c r="K482" s="588">
        <v>1</v>
      </c>
      <c r="L482" s="588">
        <v>0</v>
      </c>
      <c r="M482" s="588">
        <v>1</v>
      </c>
      <c r="N482" s="588">
        <v>94</v>
      </c>
      <c r="O482" s="588">
        <v>0</v>
      </c>
      <c r="P482" s="588">
        <v>233</v>
      </c>
      <c r="Q482" s="588">
        <v>4</v>
      </c>
      <c r="R482" s="588">
        <v>562</v>
      </c>
      <c r="S482" s="588">
        <v>5</v>
      </c>
      <c r="T482" s="588">
        <v>2015</v>
      </c>
      <c r="U482" s="588">
        <v>2014</v>
      </c>
      <c r="V482" s="589"/>
      <c r="W482" s="589"/>
      <c r="X482" s="589"/>
      <c r="Y482" s="589"/>
      <c r="Z482" s="589"/>
      <c r="AA482" s="589"/>
      <c r="AB482" s="589"/>
      <c r="AC482" s="589"/>
      <c r="AD482" s="589"/>
      <c r="AE482" s="589"/>
      <c r="AF482" s="589"/>
      <c r="AG482" s="589"/>
      <c r="AH482" s="589"/>
      <c r="AI482" s="589"/>
      <c r="AJ482" s="589"/>
      <c r="AK482" s="589"/>
      <c r="AL482" s="589"/>
      <c r="AM482" s="589"/>
      <c r="AN482" s="589"/>
      <c r="AO482" s="589"/>
      <c r="AP482" s="589"/>
      <c r="AQ482" s="589"/>
      <c r="AR482" s="589"/>
      <c r="AS482" s="589"/>
    </row>
    <row r="483" spans="1:45" ht="15">
      <c r="A483" s="590" t="s">
        <v>136</v>
      </c>
      <c r="B483" s="591" t="s">
        <v>273</v>
      </c>
      <c r="C483" s="591" t="s">
        <v>774</v>
      </c>
      <c r="D483" s="592">
        <v>2015</v>
      </c>
      <c r="E483" s="591" t="s">
        <v>775</v>
      </c>
      <c r="F483" s="592">
        <v>138</v>
      </c>
      <c r="G483" s="592">
        <v>0</v>
      </c>
      <c r="H483" s="592">
        <v>0</v>
      </c>
      <c r="I483" s="592">
        <v>0</v>
      </c>
      <c r="J483" s="592">
        <v>78</v>
      </c>
      <c r="K483" s="592">
        <v>0</v>
      </c>
      <c r="L483" s="592">
        <v>0</v>
      </c>
      <c r="M483" s="592">
        <v>0</v>
      </c>
      <c r="N483" s="593">
        <v>85</v>
      </c>
      <c r="O483" s="593">
        <v>3</v>
      </c>
      <c r="P483" s="593">
        <v>99</v>
      </c>
      <c r="Q483" s="593">
        <v>13</v>
      </c>
      <c r="R483" s="593">
        <v>400</v>
      </c>
      <c r="S483" s="593">
        <v>16</v>
      </c>
      <c r="T483" s="593">
        <v>2015</v>
      </c>
      <c r="U483" s="593">
        <v>2015</v>
      </c>
      <c r="V483" s="589"/>
      <c r="W483" s="589"/>
      <c r="X483" s="589"/>
      <c r="Y483" s="589"/>
      <c r="Z483" s="589"/>
      <c r="AA483" s="589"/>
      <c r="AB483" s="589"/>
      <c r="AC483" s="589"/>
      <c r="AD483" s="589"/>
      <c r="AE483" s="589"/>
      <c r="AF483" s="589"/>
      <c r="AG483" s="589"/>
      <c r="AH483" s="589"/>
      <c r="AI483" s="589"/>
      <c r="AJ483" s="589"/>
      <c r="AK483" s="589"/>
      <c r="AL483" s="589"/>
      <c r="AM483" s="589"/>
      <c r="AN483" s="589"/>
      <c r="AO483" s="589"/>
      <c r="AP483" s="589"/>
      <c r="AQ483" s="589"/>
      <c r="AR483" s="589"/>
      <c r="AS483" s="589"/>
    </row>
    <row r="484" spans="1:45" ht="15">
      <c r="A484" s="587" t="s">
        <v>169</v>
      </c>
      <c r="B484" s="587" t="s">
        <v>499</v>
      </c>
      <c r="C484" s="587" t="s">
        <v>812</v>
      </c>
      <c r="D484" s="588">
        <v>2015</v>
      </c>
      <c r="E484" s="587" t="s">
        <v>775</v>
      </c>
      <c r="F484" s="588">
        <v>1</v>
      </c>
      <c r="G484" s="588">
        <v>0</v>
      </c>
      <c r="H484" s="588">
        <v>0</v>
      </c>
      <c r="I484" s="588">
        <v>0</v>
      </c>
      <c r="J484" s="588">
        <v>1</v>
      </c>
      <c r="K484" s="588">
        <v>0</v>
      </c>
      <c r="L484" s="588">
        <v>0</v>
      </c>
      <c r="M484" s="588">
        <v>0</v>
      </c>
      <c r="N484" s="588">
        <v>0</v>
      </c>
      <c r="O484" s="588">
        <v>0</v>
      </c>
      <c r="P484" s="588">
        <v>0</v>
      </c>
      <c r="Q484" s="588">
        <v>15</v>
      </c>
      <c r="R484" s="588">
        <v>2</v>
      </c>
      <c r="S484" s="588">
        <v>15</v>
      </c>
      <c r="T484" s="588">
        <v>2015</v>
      </c>
      <c r="U484" s="588">
        <v>2014</v>
      </c>
      <c r="V484" s="589"/>
      <c r="W484" s="589"/>
      <c r="X484" s="589"/>
      <c r="Y484" s="589"/>
      <c r="Z484" s="589"/>
      <c r="AA484" s="589"/>
      <c r="AB484" s="589"/>
      <c r="AC484" s="589"/>
      <c r="AD484" s="589"/>
      <c r="AE484" s="589"/>
      <c r="AF484" s="589"/>
      <c r="AG484" s="589"/>
      <c r="AH484" s="589"/>
      <c r="AI484" s="589"/>
      <c r="AJ484" s="589"/>
      <c r="AK484" s="589"/>
      <c r="AL484" s="589"/>
      <c r="AM484" s="589"/>
      <c r="AN484" s="589"/>
      <c r="AO484" s="589"/>
      <c r="AP484" s="589"/>
      <c r="AQ484" s="589"/>
      <c r="AR484" s="589"/>
      <c r="AS484" s="589"/>
    </row>
    <row r="485" spans="1:45" ht="15">
      <c r="A485" s="590" t="s">
        <v>169</v>
      </c>
      <c r="B485" s="591" t="s">
        <v>500</v>
      </c>
      <c r="C485" s="591" t="s">
        <v>812</v>
      </c>
      <c r="D485" s="592">
        <v>2015</v>
      </c>
      <c r="E485" s="591" t="s">
        <v>775</v>
      </c>
      <c r="F485" s="592">
        <v>1</v>
      </c>
      <c r="G485" s="592">
        <v>0</v>
      </c>
      <c r="H485" s="592">
        <v>0</v>
      </c>
      <c r="I485" s="592">
        <v>0</v>
      </c>
      <c r="J485" s="592">
        <v>1</v>
      </c>
      <c r="K485" s="592">
        <v>0</v>
      </c>
      <c r="L485" s="592">
        <v>0</v>
      </c>
      <c r="M485" s="592">
        <v>0</v>
      </c>
      <c r="N485" s="593">
        <v>0</v>
      </c>
      <c r="O485" s="593">
        <v>0</v>
      </c>
      <c r="P485" s="593">
        <v>0</v>
      </c>
      <c r="Q485" s="593">
        <v>0</v>
      </c>
      <c r="R485" s="593">
        <v>2</v>
      </c>
      <c r="S485" s="593">
        <v>0</v>
      </c>
      <c r="T485" s="593">
        <v>2015</v>
      </c>
      <c r="U485" s="593">
        <v>2014</v>
      </c>
      <c r="V485" s="589"/>
      <c r="W485" s="589"/>
      <c r="X485" s="589"/>
      <c r="Y485" s="589"/>
      <c r="Z485" s="589"/>
      <c r="AA485" s="589"/>
      <c r="AB485" s="589"/>
      <c r="AC485" s="589"/>
      <c r="AD485" s="589"/>
      <c r="AE485" s="589"/>
      <c r="AF485" s="589"/>
      <c r="AG485" s="589"/>
      <c r="AH485" s="589"/>
      <c r="AI485" s="589"/>
      <c r="AJ485" s="589"/>
      <c r="AK485" s="589"/>
      <c r="AL485" s="589"/>
      <c r="AM485" s="589"/>
      <c r="AN485" s="589"/>
      <c r="AO485" s="589"/>
      <c r="AP485" s="589"/>
      <c r="AQ485" s="589"/>
      <c r="AR485" s="589"/>
      <c r="AS485" s="589"/>
    </row>
    <row r="486" spans="1:45" ht="15">
      <c r="A486" s="587" t="s">
        <v>169</v>
      </c>
      <c r="B486" s="587" t="s">
        <v>501</v>
      </c>
      <c r="C486" s="587" t="s">
        <v>812</v>
      </c>
      <c r="D486" s="588">
        <v>2015</v>
      </c>
      <c r="E486" s="587" t="s">
        <v>775</v>
      </c>
      <c r="F486" s="588">
        <v>43</v>
      </c>
      <c r="G486" s="588">
        <v>0</v>
      </c>
      <c r="H486" s="588">
        <v>0</v>
      </c>
      <c r="I486" s="588">
        <v>0</v>
      </c>
      <c r="J486" s="588">
        <v>30</v>
      </c>
      <c r="K486" s="588">
        <v>0</v>
      </c>
      <c r="L486" s="588">
        <v>0</v>
      </c>
      <c r="M486" s="588">
        <v>0</v>
      </c>
      <c r="N486" s="588">
        <v>34</v>
      </c>
      <c r="O486" s="588">
        <v>2</v>
      </c>
      <c r="P486" s="588">
        <v>75</v>
      </c>
      <c r="Q486" s="588">
        <v>4</v>
      </c>
      <c r="R486" s="588">
        <v>182</v>
      </c>
      <c r="S486" s="588">
        <v>6</v>
      </c>
      <c r="T486" s="588">
        <v>2015</v>
      </c>
      <c r="U486" s="588">
        <v>2014</v>
      </c>
      <c r="V486" s="589"/>
      <c r="W486" s="589"/>
      <c r="X486" s="589"/>
      <c r="Y486" s="589"/>
      <c r="Z486" s="589"/>
      <c r="AA486" s="589"/>
      <c r="AB486" s="589"/>
      <c r="AC486" s="589"/>
      <c r="AD486" s="589"/>
      <c r="AE486" s="589"/>
      <c r="AF486" s="589"/>
      <c r="AG486" s="589"/>
      <c r="AH486" s="589"/>
      <c r="AI486" s="589"/>
      <c r="AJ486" s="589"/>
      <c r="AK486" s="589"/>
      <c r="AL486" s="589"/>
      <c r="AM486" s="589"/>
      <c r="AN486" s="589"/>
      <c r="AO486" s="589"/>
      <c r="AP486" s="589"/>
      <c r="AQ486" s="589"/>
      <c r="AR486" s="589"/>
      <c r="AS486" s="589"/>
    </row>
    <row r="487" spans="1:45" ht="15">
      <c r="A487" s="590" t="s">
        <v>169</v>
      </c>
      <c r="B487" s="591" t="s">
        <v>502</v>
      </c>
      <c r="C487" s="591" t="s">
        <v>812</v>
      </c>
      <c r="D487" s="592">
        <v>2015</v>
      </c>
      <c r="E487" s="591" t="s">
        <v>775</v>
      </c>
      <c r="F487" s="592">
        <v>1</v>
      </c>
      <c r="G487" s="592">
        <v>0</v>
      </c>
      <c r="H487" s="592">
        <v>0</v>
      </c>
      <c r="I487" s="592">
        <v>0</v>
      </c>
      <c r="J487" s="592">
        <v>1</v>
      </c>
      <c r="K487" s="592">
        <v>0</v>
      </c>
      <c r="L487" s="592">
        <v>0</v>
      </c>
      <c r="M487" s="592">
        <v>0</v>
      </c>
      <c r="N487" s="593">
        <v>0</v>
      </c>
      <c r="O487" s="593">
        <v>0</v>
      </c>
      <c r="P487" s="593">
        <v>0</v>
      </c>
      <c r="Q487" s="593">
        <v>0</v>
      </c>
      <c r="R487" s="593">
        <v>2</v>
      </c>
      <c r="S487" s="593">
        <v>0</v>
      </c>
      <c r="T487" s="593">
        <v>2015</v>
      </c>
      <c r="U487" s="593">
        <v>2014</v>
      </c>
      <c r="V487" s="589"/>
      <c r="W487" s="589"/>
      <c r="X487" s="589"/>
      <c r="Y487" s="589"/>
      <c r="Z487" s="589"/>
      <c r="AA487" s="589"/>
      <c r="AB487" s="589"/>
      <c r="AC487" s="589"/>
      <c r="AD487" s="589"/>
      <c r="AE487" s="589"/>
      <c r="AF487" s="589"/>
      <c r="AG487" s="589"/>
      <c r="AH487" s="589"/>
      <c r="AI487" s="589"/>
      <c r="AJ487" s="589"/>
      <c r="AK487" s="589"/>
      <c r="AL487" s="589"/>
      <c r="AM487" s="589"/>
      <c r="AN487" s="589"/>
      <c r="AO487" s="589"/>
      <c r="AP487" s="589"/>
      <c r="AQ487" s="589"/>
      <c r="AR487" s="589"/>
      <c r="AS487" s="589"/>
    </row>
    <row r="488" spans="1:45" ht="15">
      <c r="A488" s="587" t="s">
        <v>173</v>
      </c>
      <c r="B488" s="587" t="s">
        <v>543</v>
      </c>
      <c r="C488" s="587" t="s">
        <v>812</v>
      </c>
      <c r="D488" s="588">
        <v>2015</v>
      </c>
      <c r="E488" s="587" t="s">
        <v>775</v>
      </c>
      <c r="F488" s="588">
        <v>1196</v>
      </c>
      <c r="G488" s="588">
        <v>0</v>
      </c>
      <c r="H488" s="588">
        <v>0</v>
      </c>
      <c r="I488" s="588">
        <v>0</v>
      </c>
      <c r="J488" s="588">
        <v>801</v>
      </c>
      <c r="K488" s="588">
        <v>0</v>
      </c>
      <c r="L488" s="588">
        <v>0</v>
      </c>
      <c r="M488" s="588">
        <v>0</v>
      </c>
      <c r="N488" s="588">
        <v>897</v>
      </c>
      <c r="O488" s="588">
        <v>341</v>
      </c>
      <c r="P488" s="588">
        <v>2035</v>
      </c>
      <c r="Q488" s="588">
        <v>2</v>
      </c>
      <c r="R488" s="588">
        <v>4929</v>
      </c>
      <c r="S488" s="588">
        <v>343</v>
      </c>
      <c r="T488" s="588">
        <v>2015</v>
      </c>
      <c r="U488" s="588">
        <v>2014</v>
      </c>
      <c r="V488" s="589"/>
      <c r="W488" s="589"/>
      <c r="X488" s="589"/>
      <c r="Y488" s="589"/>
      <c r="Z488" s="589"/>
      <c r="AA488" s="589"/>
      <c r="AB488" s="589"/>
      <c r="AC488" s="589"/>
      <c r="AD488" s="589"/>
      <c r="AE488" s="589"/>
      <c r="AF488" s="589"/>
      <c r="AG488" s="589"/>
      <c r="AH488" s="589"/>
      <c r="AI488" s="589"/>
      <c r="AJ488" s="589"/>
      <c r="AK488" s="589"/>
      <c r="AL488" s="589"/>
      <c r="AM488" s="589"/>
      <c r="AN488" s="589"/>
      <c r="AO488" s="589"/>
      <c r="AP488" s="589"/>
      <c r="AQ488" s="589"/>
      <c r="AR488" s="589"/>
      <c r="AS488" s="589"/>
    </row>
    <row r="489" spans="1:45" ht="15">
      <c r="A489" s="590" t="s">
        <v>169</v>
      </c>
      <c r="B489" s="591" t="s">
        <v>503</v>
      </c>
      <c r="C489" s="591" t="s">
        <v>812</v>
      </c>
      <c r="D489" s="592">
        <v>2015</v>
      </c>
      <c r="E489" s="591" t="s">
        <v>775</v>
      </c>
      <c r="F489" s="592">
        <v>647</v>
      </c>
      <c r="G489" s="592">
        <v>0</v>
      </c>
      <c r="H489" s="592">
        <v>0</v>
      </c>
      <c r="I489" s="592">
        <v>0</v>
      </c>
      <c r="J489" s="592">
        <v>450</v>
      </c>
      <c r="K489" s="592">
        <v>0</v>
      </c>
      <c r="L489" s="592">
        <v>0</v>
      </c>
      <c r="M489" s="592">
        <v>0</v>
      </c>
      <c r="N489" s="593">
        <v>497</v>
      </c>
      <c r="O489" s="593">
        <v>48</v>
      </c>
      <c r="P489" s="593">
        <v>1133</v>
      </c>
      <c r="Q489" s="593">
        <v>461</v>
      </c>
      <c r="R489" s="593">
        <v>2727</v>
      </c>
      <c r="S489" s="593">
        <v>509</v>
      </c>
      <c r="T489" s="593">
        <v>2015</v>
      </c>
      <c r="U489" s="593">
        <v>2014</v>
      </c>
      <c r="V489" s="589"/>
      <c r="W489" s="589"/>
      <c r="X489" s="589"/>
      <c r="Y489" s="589"/>
      <c r="Z489" s="589"/>
      <c r="AA489" s="589"/>
      <c r="AB489" s="589"/>
      <c r="AC489" s="589"/>
      <c r="AD489" s="589"/>
      <c r="AE489" s="589"/>
      <c r="AF489" s="589"/>
      <c r="AG489" s="589"/>
      <c r="AH489" s="589"/>
      <c r="AI489" s="589"/>
      <c r="AJ489" s="589"/>
      <c r="AK489" s="589"/>
      <c r="AL489" s="589"/>
      <c r="AM489" s="589"/>
      <c r="AN489" s="589"/>
      <c r="AO489" s="589"/>
      <c r="AP489" s="589"/>
      <c r="AQ489" s="589"/>
      <c r="AR489" s="589"/>
      <c r="AS489" s="589"/>
    </row>
    <row r="490" spans="1:45" ht="15">
      <c r="A490" s="587" t="s">
        <v>153</v>
      </c>
      <c r="B490" s="587" t="s">
        <v>389</v>
      </c>
      <c r="C490" s="587" t="s">
        <v>812</v>
      </c>
      <c r="D490" s="588">
        <v>2015</v>
      </c>
      <c r="E490" s="587" t="s">
        <v>775</v>
      </c>
      <c r="F490" s="588">
        <v>107</v>
      </c>
      <c r="G490" s="588">
        <v>0</v>
      </c>
      <c r="H490" s="588">
        <v>0</v>
      </c>
      <c r="I490" s="588">
        <v>0</v>
      </c>
      <c r="J490" s="588">
        <v>63</v>
      </c>
      <c r="K490" s="588">
        <v>0</v>
      </c>
      <c r="L490" s="588">
        <v>0</v>
      </c>
      <c r="M490" s="588">
        <v>0</v>
      </c>
      <c r="N490" s="588">
        <v>67</v>
      </c>
      <c r="O490" s="588">
        <v>0</v>
      </c>
      <c r="P490" s="588">
        <v>166</v>
      </c>
      <c r="Q490" s="588">
        <v>52</v>
      </c>
      <c r="R490" s="588">
        <v>403</v>
      </c>
      <c r="S490" s="588">
        <v>52</v>
      </c>
      <c r="T490" s="588">
        <v>2015</v>
      </c>
      <c r="U490" s="588">
        <v>2014</v>
      </c>
      <c r="V490" s="589"/>
      <c r="W490" s="589"/>
      <c r="X490" s="589"/>
      <c r="Y490" s="589"/>
      <c r="Z490" s="589"/>
      <c r="AA490" s="589"/>
      <c r="AB490" s="589"/>
      <c r="AC490" s="589"/>
      <c r="AD490" s="589"/>
      <c r="AE490" s="589"/>
      <c r="AF490" s="589"/>
      <c r="AG490" s="589"/>
      <c r="AH490" s="589"/>
      <c r="AI490" s="589"/>
      <c r="AJ490" s="589"/>
      <c r="AK490" s="589"/>
      <c r="AL490" s="589"/>
      <c r="AM490" s="589"/>
      <c r="AN490" s="589"/>
      <c r="AO490" s="589"/>
      <c r="AP490" s="589"/>
      <c r="AQ490" s="589"/>
      <c r="AR490" s="589"/>
      <c r="AS490" s="589"/>
    </row>
    <row r="491" spans="1:45" ht="15">
      <c r="A491" s="590" t="s">
        <v>157</v>
      </c>
      <c r="B491" s="591" t="s">
        <v>439</v>
      </c>
      <c r="C491" s="591" t="s">
        <v>774</v>
      </c>
      <c r="D491" s="592">
        <v>2015</v>
      </c>
      <c r="E491" s="591" t="s">
        <v>775</v>
      </c>
      <c r="F491" s="592">
        <v>40</v>
      </c>
      <c r="G491" s="592">
        <v>0</v>
      </c>
      <c r="H491" s="592">
        <v>0</v>
      </c>
      <c r="I491" s="592">
        <v>0</v>
      </c>
      <c r="J491" s="592">
        <v>20</v>
      </c>
      <c r="K491" s="592">
        <v>0</v>
      </c>
      <c r="L491" s="592">
        <v>0</v>
      </c>
      <c r="M491" s="592">
        <v>0</v>
      </c>
      <c r="N491" s="593">
        <v>21</v>
      </c>
      <c r="O491" s="593">
        <v>0</v>
      </c>
      <c r="P491" s="593">
        <v>51</v>
      </c>
      <c r="Q491" s="593">
        <v>7</v>
      </c>
      <c r="R491" s="593">
        <v>132</v>
      </c>
      <c r="S491" s="593">
        <v>7</v>
      </c>
      <c r="T491" s="593">
        <v>2015</v>
      </c>
      <c r="U491" s="593">
        <v>2015</v>
      </c>
      <c r="V491" s="589"/>
      <c r="W491" s="589"/>
      <c r="X491" s="589"/>
      <c r="Y491" s="589"/>
      <c r="Z491" s="589"/>
      <c r="AA491" s="589"/>
      <c r="AB491" s="589"/>
      <c r="AC491" s="589"/>
      <c r="AD491" s="589"/>
      <c r="AE491" s="589"/>
      <c r="AF491" s="589"/>
      <c r="AG491" s="589"/>
      <c r="AH491" s="589"/>
      <c r="AI491" s="589"/>
      <c r="AJ491" s="589"/>
      <c r="AK491" s="589"/>
      <c r="AL491" s="589"/>
      <c r="AM491" s="589"/>
      <c r="AN491" s="589"/>
      <c r="AO491" s="589"/>
      <c r="AP491" s="589"/>
      <c r="AQ491" s="589"/>
      <c r="AR491" s="589"/>
      <c r="AS491" s="589"/>
    </row>
    <row r="492" spans="1:45" ht="15">
      <c r="A492" s="587" t="s">
        <v>182</v>
      </c>
      <c r="B492" s="587" t="s">
        <v>609</v>
      </c>
      <c r="C492" s="587" t="s">
        <v>177</v>
      </c>
      <c r="D492" s="588">
        <v>2015</v>
      </c>
      <c r="E492" s="587" t="s">
        <v>775</v>
      </c>
      <c r="F492" s="588">
        <v>1019</v>
      </c>
      <c r="G492" s="588">
        <v>0</v>
      </c>
      <c r="H492" s="588">
        <v>0</v>
      </c>
      <c r="I492" s="588">
        <v>0</v>
      </c>
      <c r="J492" s="588">
        <v>759</v>
      </c>
      <c r="K492" s="588">
        <v>0</v>
      </c>
      <c r="L492" s="588">
        <v>0</v>
      </c>
      <c r="M492" s="588">
        <v>0</v>
      </c>
      <c r="N492" s="588">
        <v>957</v>
      </c>
      <c r="O492" s="588">
        <v>0</v>
      </c>
      <c r="P492" s="588">
        <v>2421</v>
      </c>
      <c r="Q492" s="588">
        <v>343</v>
      </c>
      <c r="R492" s="588">
        <v>5156</v>
      </c>
      <c r="S492" s="588">
        <v>343</v>
      </c>
      <c r="T492" s="588">
        <v>2016</v>
      </c>
      <c r="U492" s="588">
        <v>2016</v>
      </c>
      <c r="V492" s="589"/>
      <c r="W492" s="589"/>
      <c r="X492" s="589"/>
      <c r="Y492" s="589"/>
      <c r="Z492" s="589"/>
      <c r="AA492" s="589"/>
      <c r="AB492" s="589"/>
      <c r="AC492" s="589"/>
      <c r="AD492" s="589"/>
      <c r="AE492" s="589"/>
      <c r="AF492" s="589"/>
      <c r="AG492" s="589"/>
      <c r="AH492" s="589"/>
      <c r="AI492" s="589"/>
      <c r="AJ492" s="589"/>
      <c r="AK492" s="589"/>
      <c r="AL492" s="589"/>
      <c r="AM492" s="589"/>
      <c r="AN492" s="589"/>
      <c r="AO492" s="589"/>
      <c r="AP492" s="589"/>
      <c r="AQ492" s="589"/>
      <c r="AR492" s="589"/>
      <c r="AS492" s="589"/>
    </row>
    <row r="493" spans="1:45" ht="15">
      <c r="A493" s="590" t="s">
        <v>179</v>
      </c>
      <c r="B493" s="591" t="s">
        <v>599</v>
      </c>
      <c r="C493" s="591" t="s">
        <v>855</v>
      </c>
      <c r="D493" s="592">
        <v>2015</v>
      </c>
      <c r="E493" s="591" t="s">
        <v>775</v>
      </c>
      <c r="F493" s="592">
        <v>77</v>
      </c>
      <c r="G493" s="592">
        <v>0</v>
      </c>
      <c r="H493" s="592">
        <v>0</v>
      </c>
      <c r="I493" s="592">
        <v>0</v>
      </c>
      <c r="J493" s="592">
        <v>59</v>
      </c>
      <c r="K493" s="592">
        <v>5</v>
      </c>
      <c r="L493" s="592">
        <v>5</v>
      </c>
      <c r="M493" s="592">
        <v>0</v>
      </c>
      <c r="N493" s="593">
        <v>54</v>
      </c>
      <c r="O493" s="593">
        <v>0</v>
      </c>
      <c r="P493" s="593">
        <v>119</v>
      </c>
      <c r="Q493" s="593">
        <v>72</v>
      </c>
      <c r="R493" s="593">
        <v>309</v>
      </c>
      <c r="S493" s="593">
        <v>77</v>
      </c>
      <c r="T493" s="593">
        <v>2015</v>
      </c>
      <c r="U493" s="593">
        <v>2013</v>
      </c>
      <c r="V493" s="589"/>
      <c r="W493" s="589"/>
      <c r="X493" s="589"/>
      <c r="Y493" s="589"/>
      <c r="Z493" s="589"/>
      <c r="AA493" s="589"/>
      <c r="AB493" s="589"/>
      <c r="AC493" s="589"/>
      <c r="AD493" s="589"/>
      <c r="AE493" s="589"/>
      <c r="AF493" s="589"/>
      <c r="AG493" s="589"/>
      <c r="AH493" s="589"/>
      <c r="AI493" s="589"/>
      <c r="AJ493" s="589"/>
      <c r="AK493" s="589"/>
      <c r="AL493" s="589"/>
      <c r="AM493" s="589"/>
      <c r="AN493" s="589"/>
      <c r="AO493" s="589"/>
      <c r="AP493" s="589"/>
      <c r="AQ493" s="589"/>
      <c r="AR493" s="589"/>
      <c r="AS493" s="589"/>
    </row>
    <row r="494" spans="1:45" ht="15">
      <c r="A494" s="587" t="s">
        <v>170</v>
      </c>
      <c r="B494" s="587" t="s">
        <v>521</v>
      </c>
      <c r="C494" s="587" t="s">
        <v>799</v>
      </c>
      <c r="D494" s="588">
        <v>2015</v>
      </c>
      <c r="E494" s="587" t="s">
        <v>775</v>
      </c>
      <c r="F494" s="588">
        <v>953</v>
      </c>
      <c r="G494" s="588">
        <v>0</v>
      </c>
      <c r="H494" s="588">
        <v>0</v>
      </c>
      <c r="I494" s="588">
        <v>0</v>
      </c>
      <c r="J494" s="588">
        <v>668</v>
      </c>
      <c r="K494" s="588">
        <v>0</v>
      </c>
      <c r="L494" s="588">
        <v>0</v>
      </c>
      <c r="M494" s="588">
        <v>0</v>
      </c>
      <c r="N494" s="588">
        <v>705</v>
      </c>
      <c r="O494" s="588">
        <v>0</v>
      </c>
      <c r="P494" s="588">
        <v>1464</v>
      </c>
      <c r="Q494" s="588">
        <v>234</v>
      </c>
      <c r="R494" s="588">
        <v>3790</v>
      </c>
      <c r="S494" s="588">
        <v>234</v>
      </c>
      <c r="T494" s="588">
        <v>2015</v>
      </c>
      <c r="U494" s="588">
        <v>2014</v>
      </c>
      <c r="V494" s="589"/>
      <c r="W494" s="589"/>
      <c r="X494" s="589"/>
      <c r="Y494" s="589"/>
      <c r="Z494" s="589"/>
      <c r="AA494" s="589"/>
      <c r="AB494" s="589"/>
      <c r="AC494" s="589"/>
      <c r="AD494" s="589"/>
      <c r="AE494" s="589"/>
      <c r="AF494" s="589"/>
      <c r="AG494" s="589"/>
      <c r="AH494" s="589"/>
      <c r="AI494" s="589"/>
      <c r="AJ494" s="589"/>
      <c r="AK494" s="589"/>
      <c r="AL494" s="589"/>
      <c r="AM494" s="589"/>
      <c r="AN494" s="589"/>
      <c r="AO494" s="589"/>
      <c r="AP494" s="589"/>
      <c r="AQ494" s="589"/>
      <c r="AR494" s="589"/>
      <c r="AS494" s="589"/>
    </row>
    <row r="495" spans="1:45" ht="15">
      <c r="A495" s="590" t="s">
        <v>199</v>
      </c>
      <c r="B495" s="591" t="s">
        <v>723</v>
      </c>
      <c r="C495" s="591" t="s">
        <v>177</v>
      </c>
      <c r="D495" s="592">
        <v>2015</v>
      </c>
      <c r="E495" s="591" t="s">
        <v>775</v>
      </c>
      <c r="F495" s="592">
        <v>80</v>
      </c>
      <c r="G495" s="592">
        <v>4</v>
      </c>
      <c r="H495" s="592">
        <v>4</v>
      </c>
      <c r="I495" s="592">
        <v>0</v>
      </c>
      <c r="J495" s="592">
        <v>80</v>
      </c>
      <c r="K495" s="592">
        <v>28</v>
      </c>
      <c r="L495" s="592">
        <v>27</v>
      </c>
      <c r="M495" s="592">
        <v>1</v>
      </c>
      <c r="N495" s="593">
        <v>82</v>
      </c>
      <c r="O495" s="593">
        <v>7</v>
      </c>
      <c r="P495" s="593">
        <v>348</v>
      </c>
      <c r="Q495" s="593">
        <v>9</v>
      </c>
      <c r="R495" s="593">
        <v>590</v>
      </c>
      <c r="S495" s="593">
        <v>48</v>
      </c>
      <c r="T495" s="593">
        <v>2016</v>
      </c>
      <c r="U495" s="593">
        <v>2016</v>
      </c>
      <c r="V495" s="589"/>
      <c r="W495" s="589"/>
      <c r="X495" s="589"/>
      <c r="Y495" s="589"/>
      <c r="Z495" s="589"/>
      <c r="AA495" s="589"/>
      <c r="AB495" s="589"/>
      <c r="AC495" s="589"/>
      <c r="AD495" s="589"/>
      <c r="AE495" s="589"/>
      <c r="AF495" s="589"/>
      <c r="AG495" s="589"/>
      <c r="AH495" s="589"/>
      <c r="AI495" s="589"/>
      <c r="AJ495" s="589"/>
      <c r="AK495" s="589"/>
      <c r="AL495" s="589"/>
      <c r="AM495" s="589"/>
      <c r="AN495" s="589"/>
      <c r="AO495" s="589"/>
      <c r="AP495" s="589"/>
      <c r="AQ495" s="589"/>
      <c r="AR495" s="589"/>
      <c r="AS495" s="589"/>
    </row>
    <row r="496" spans="1:45" ht="15">
      <c r="A496" s="587" t="s">
        <v>196</v>
      </c>
      <c r="B496" s="587" t="s">
        <v>713</v>
      </c>
      <c r="C496" s="587" t="s">
        <v>799</v>
      </c>
      <c r="D496" s="588">
        <v>2015</v>
      </c>
      <c r="E496" s="587" t="s">
        <v>775</v>
      </c>
      <c r="F496" s="588">
        <v>104</v>
      </c>
      <c r="G496" s="588">
        <v>46</v>
      </c>
      <c r="H496" s="588">
        <v>46</v>
      </c>
      <c r="I496" s="588">
        <v>0</v>
      </c>
      <c r="J496" s="588">
        <v>72</v>
      </c>
      <c r="K496" s="588">
        <v>37</v>
      </c>
      <c r="L496" s="588">
        <v>37</v>
      </c>
      <c r="M496" s="588">
        <v>0</v>
      </c>
      <c r="N496" s="588">
        <v>83</v>
      </c>
      <c r="O496" s="588">
        <v>2</v>
      </c>
      <c r="P496" s="588">
        <v>190</v>
      </c>
      <c r="Q496" s="588">
        <v>2</v>
      </c>
      <c r="R496" s="588">
        <v>449</v>
      </c>
      <c r="S496" s="588">
        <v>87</v>
      </c>
      <c r="T496" s="588">
        <v>2015</v>
      </c>
      <c r="U496" s="588">
        <v>2014</v>
      </c>
      <c r="V496" s="589"/>
      <c r="W496" s="589"/>
      <c r="X496" s="589"/>
      <c r="Y496" s="589"/>
      <c r="Z496" s="589"/>
      <c r="AA496" s="589"/>
      <c r="AB496" s="589"/>
      <c r="AC496" s="589"/>
      <c r="AD496" s="589"/>
      <c r="AE496" s="589"/>
      <c r="AF496" s="589"/>
      <c r="AG496" s="589"/>
      <c r="AH496" s="589"/>
      <c r="AI496" s="589"/>
      <c r="AJ496" s="589"/>
      <c r="AK496" s="589"/>
      <c r="AL496" s="589"/>
      <c r="AM496" s="589"/>
      <c r="AN496" s="589"/>
      <c r="AO496" s="589"/>
      <c r="AP496" s="589"/>
      <c r="AQ496" s="589"/>
      <c r="AR496" s="589"/>
      <c r="AS496" s="589"/>
    </row>
    <row r="497" spans="1:45" ht="15">
      <c r="A497" s="590" t="s">
        <v>125</v>
      </c>
      <c r="B497" s="591" t="s">
        <v>240</v>
      </c>
      <c r="C497" s="591" t="s">
        <v>774</v>
      </c>
      <c r="D497" s="592">
        <v>2015</v>
      </c>
      <c r="E497" s="591" t="s">
        <v>775</v>
      </c>
      <c r="F497" s="592">
        <v>839</v>
      </c>
      <c r="G497" s="592">
        <v>0</v>
      </c>
      <c r="H497" s="592">
        <v>0</v>
      </c>
      <c r="I497" s="592">
        <v>0</v>
      </c>
      <c r="J497" s="592">
        <v>474</v>
      </c>
      <c r="K497" s="592">
        <v>2</v>
      </c>
      <c r="L497" s="592">
        <v>2</v>
      </c>
      <c r="M497" s="592">
        <v>0</v>
      </c>
      <c r="N497" s="593">
        <v>496</v>
      </c>
      <c r="O497" s="593">
        <v>14</v>
      </c>
      <c r="P497" s="593">
        <v>920</v>
      </c>
      <c r="Q497" s="593">
        <v>420</v>
      </c>
      <c r="R497" s="593">
        <v>2729</v>
      </c>
      <c r="S497" s="593">
        <v>436</v>
      </c>
      <c r="T497" s="593">
        <v>2015</v>
      </c>
      <c r="U497" s="593">
        <v>2015</v>
      </c>
      <c r="V497" s="589"/>
      <c r="W497" s="589"/>
      <c r="X497" s="589"/>
      <c r="Y497" s="589"/>
      <c r="Z497" s="589"/>
      <c r="AA497" s="589"/>
      <c r="AB497" s="589"/>
      <c r="AC497" s="589"/>
      <c r="AD497" s="589"/>
      <c r="AE497" s="589"/>
      <c r="AF497" s="589"/>
      <c r="AG497" s="589"/>
      <c r="AH497" s="589"/>
      <c r="AI497" s="589"/>
      <c r="AJ497" s="589"/>
      <c r="AK497" s="589"/>
      <c r="AL497" s="589"/>
      <c r="AM497" s="589"/>
      <c r="AN497" s="589"/>
      <c r="AO497" s="589"/>
      <c r="AP497" s="589"/>
      <c r="AQ497" s="589"/>
      <c r="AR497" s="589"/>
      <c r="AS497" s="589"/>
    </row>
    <row r="498" spans="1:45" ht="15">
      <c r="A498" s="587" t="s">
        <v>153</v>
      </c>
      <c r="B498" s="587" t="s">
        <v>392</v>
      </c>
      <c r="C498" s="587" t="s">
        <v>812</v>
      </c>
      <c r="D498" s="588">
        <v>2015</v>
      </c>
      <c r="E498" s="587" t="s">
        <v>775</v>
      </c>
      <c r="F498" s="588">
        <v>12</v>
      </c>
      <c r="G498" s="588">
        <v>0</v>
      </c>
      <c r="H498" s="588">
        <v>0</v>
      </c>
      <c r="I498" s="588">
        <v>0</v>
      </c>
      <c r="J498" s="588">
        <v>7</v>
      </c>
      <c r="K498" s="588">
        <v>2</v>
      </c>
      <c r="L498" s="588">
        <v>0</v>
      </c>
      <c r="M498" s="588">
        <v>2</v>
      </c>
      <c r="N498" s="588">
        <v>8</v>
      </c>
      <c r="O498" s="588">
        <v>0</v>
      </c>
      <c r="P498" s="588">
        <v>20</v>
      </c>
      <c r="Q498" s="588">
        <v>0</v>
      </c>
      <c r="R498" s="588">
        <v>47</v>
      </c>
      <c r="S498" s="588">
        <v>2</v>
      </c>
      <c r="T498" s="588">
        <v>2015</v>
      </c>
      <c r="U498" s="588">
        <v>2014</v>
      </c>
      <c r="V498" s="589"/>
      <c r="W498" s="589"/>
      <c r="X498" s="589"/>
      <c r="Y498" s="589"/>
      <c r="Z498" s="589"/>
      <c r="AA498" s="589"/>
      <c r="AB498" s="589"/>
      <c r="AC498" s="589"/>
      <c r="AD498" s="589"/>
      <c r="AE498" s="589"/>
      <c r="AF498" s="589"/>
      <c r="AG498" s="589"/>
      <c r="AH498" s="589"/>
      <c r="AI498" s="589"/>
      <c r="AJ498" s="589"/>
      <c r="AK498" s="589"/>
      <c r="AL498" s="589"/>
      <c r="AM498" s="589"/>
      <c r="AN498" s="589"/>
      <c r="AO498" s="589"/>
      <c r="AP498" s="589"/>
      <c r="AQ498" s="589"/>
      <c r="AR498" s="589"/>
      <c r="AS498" s="589"/>
    </row>
    <row r="499" spans="1:45" ht="15">
      <c r="A499" s="590" t="s">
        <v>185</v>
      </c>
      <c r="B499" s="591" t="s">
        <v>647</v>
      </c>
      <c r="C499" s="591" t="s">
        <v>868</v>
      </c>
      <c r="D499" s="592">
        <v>2015</v>
      </c>
      <c r="E499" s="591" t="s">
        <v>775</v>
      </c>
      <c r="F499" s="592">
        <v>126</v>
      </c>
      <c r="G499" s="592">
        <v>0</v>
      </c>
      <c r="H499" s="592">
        <v>0</v>
      </c>
      <c r="I499" s="592">
        <v>0</v>
      </c>
      <c r="J499" s="592">
        <v>84</v>
      </c>
      <c r="K499" s="592">
        <v>0</v>
      </c>
      <c r="L499" s="592">
        <v>0</v>
      </c>
      <c r="M499" s="592">
        <v>0</v>
      </c>
      <c r="N499" s="593">
        <v>95</v>
      </c>
      <c r="O499" s="593">
        <v>44</v>
      </c>
      <c r="P499" s="593">
        <v>221</v>
      </c>
      <c r="Q499" s="593">
        <v>0</v>
      </c>
      <c r="R499" s="593">
        <v>526</v>
      </c>
      <c r="S499" s="593">
        <v>44</v>
      </c>
      <c r="T499" s="593">
        <v>2015</v>
      </c>
      <c r="U499" s="593">
        <v>2015</v>
      </c>
      <c r="V499" s="589"/>
      <c r="W499" s="589"/>
      <c r="X499" s="589"/>
      <c r="Y499" s="589"/>
      <c r="Z499" s="589"/>
      <c r="AA499" s="589"/>
      <c r="AB499" s="589"/>
      <c r="AC499" s="589"/>
      <c r="AD499" s="589"/>
      <c r="AE499" s="589"/>
      <c r="AF499" s="589"/>
      <c r="AG499" s="589"/>
      <c r="AH499" s="589"/>
      <c r="AI499" s="589"/>
      <c r="AJ499" s="589"/>
      <c r="AK499" s="589"/>
      <c r="AL499" s="589"/>
      <c r="AM499" s="589"/>
      <c r="AN499" s="589"/>
      <c r="AO499" s="589"/>
      <c r="AP499" s="589"/>
      <c r="AQ499" s="589"/>
      <c r="AR499" s="589"/>
      <c r="AS499" s="589"/>
    </row>
    <row r="500" spans="1:45" ht="15">
      <c r="A500" s="587" t="s">
        <v>153</v>
      </c>
      <c r="B500" s="587" t="s">
        <v>393</v>
      </c>
      <c r="C500" s="587" t="s">
        <v>812</v>
      </c>
      <c r="D500" s="588">
        <v>2015</v>
      </c>
      <c r="E500" s="587" t="s">
        <v>775</v>
      </c>
      <c r="F500" s="588">
        <v>1773</v>
      </c>
      <c r="G500" s="588">
        <v>111</v>
      </c>
      <c r="H500" s="588">
        <v>111</v>
      </c>
      <c r="I500" s="588">
        <v>0</v>
      </c>
      <c r="J500" s="588">
        <v>1066</v>
      </c>
      <c r="K500" s="588">
        <v>8</v>
      </c>
      <c r="L500" s="588">
        <v>8</v>
      </c>
      <c r="M500" s="588">
        <v>0</v>
      </c>
      <c r="N500" s="588">
        <v>1170</v>
      </c>
      <c r="O500" s="588">
        <v>0</v>
      </c>
      <c r="P500" s="588">
        <v>3039</v>
      </c>
      <c r="Q500" s="588">
        <v>31</v>
      </c>
      <c r="R500" s="588">
        <v>7048</v>
      </c>
      <c r="S500" s="588">
        <v>150</v>
      </c>
      <c r="T500" s="588">
        <v>2015</v>
      </c>
      <c r="U500" s="588">
        <v>2014</v>
      </c>
      <c r="V500" s="589"/>
      <c r="W500" s="589"/>
      <c r="X500" s="589"/>
      <c r="Y500" s="589"/>
      <c r="Z500" s="589"/>
      <c r="AA500" s="589"/>
      <c r="AB500" s="589"/>
      <c r="AC500" s="589"/>
      <c r="AD500" s="589"/>
      <c r="AE500" s="589"/>
      <c r="AF500" s="589"/>
      <c r="AG500" s="589"/>
      <c r="AH500" s="589"/>
      <c r="AI500" s="589"/>
      <c r="AJ500" s="589"/>
      <c r="AK500" s="589"/>
      <c r="AL500" s="589"/>
      <c r="AM500" s="589"/>
      <c r="AN500" s="589"/>
      <c r="AO500" s="589"/>
      <c r="AP500" s="589"/>
      <c r="AQ500" s="589"/>
      <c r="AR500" s="589"/>
      <c r="AS500" s="589"/>
    </row>
    <row r="501" spans="1:45" ht="15">
      <c r="A501" s="590" t="s">
        <v>187</v>
      </c>
      <c r="B501" s="591" t="s">
        <v>654</v>
      </c>
      <c r="C501" s="591" t="s">
        <v>774</v>
      </c>
      <c r="D501" s="592">
        <v>2015</v>
      </c>
      <c r="E501" s="591" t="s">
        <v>775</v>
      </c>
      <c r="F501" s="592">
        <v>169</v>
      </c>
      <c r="G501" s="592">
        <v>1</v>
      </c>
      <c r="H501" s="592">
        <v>1</v>
      </c>
      <c r="I501" s="592">
        <v>0</v>
      </c>
      <c r="J501" s="592">
        <v>99</v>
      </c>
      <c r="K501" s="592">
        <v>17</v>
      </c>
      <c r="L501" s="592">
        <v>17</v>
      </c>
      <c r="M501" s="592">
        <v>0</v>
      </c>
      <c r="N501" s="593">
        <v>112</v>
      </c>
      <c r="O501" s="593">
        <v>1</v>
      </c>
      <c r="P501" s="593">
        <v>97</v>
      </c>
      <c r="Q501" s="593">
        <v>267</v>
      </c>
      <c r="R501" s="593">
        <v>477</v>
      </c>
      <c r="S501" s="593">
        <v>286</v>
      </c>
      <c r="T501" s="593">
        <v>2015</v>
      </c>
      <c r="U501" s="593">
        <v>2015</v>
      </c>
      <c r="V501" s="589"/>
      <c r="W501" s="589"/>
      <c r="X501" s="589"/>
      <c r="Y501" s="589"/>
      <c r="Z501" s="589"/>
      <c r="AA501" s="589"/>
      <c r="AB501" s="589"/>
      <c r="AC501" s="589"/>
      <c r="AD501" s="589"/>
      <c r="AE501" s="589"/>
      <c r="AF501" s="589"/>
      <c r="AG501" s="589"/>
      <c r="AH501" s="589"/>
      <c r="AI501" s="589"/>
      <c r="AJ501" s="589"/>
      <c r="AK501" s="589"/>
      <c r="AL501" s="589"/>
      <c r="AM501" s="589"/>
      <c r="AN501" s="589"/>
      <c r="AO501" s="589"/>
      <c r="AP501" s="589"/>
      <c r="AQ501" s="589"/>
      <c r="AR501" s="589"/>
      <c r="AS501" s="589"/>
    </row>
    <row r="502" spans="1:45" ht="15">
      <c r="A502" s="587" t="s">
        <v>153</v>
      </c>
      <c r="B502" s="587" t="s">
        <v>153</v>
      </c>
      <c r="C502" s="587" t="s">
        <v>812</v>
      </c>
      <c r="D502" s="588">
        <v>2015</v>
      </c>
      <c r="E502" s="587" t="s">
        <v>775</v>
      </c>
      <c r="F502" s="588">
        <v>20427</v>
      </c>
      <c r="G502" s="588">
        <v>893</v>
      </c>
      <c r="H502" s="588">
        <v>893</v>
      </c>
      <c r="I502" s="588">
        <v>0</v>
      </c>
      <c r="J502" s="588">
        <v>12435</v>
      </c>
      <c r="K502" s="588">
        <v>536</v>
      </c>
      <c r="L502" s="588">
        <v>536</v>
      </c>
      <c r="M502" s="588">
        <v>0</v>
      </c>
      <c r="N502" s="588">
        <v>13728</v>
      </c>
      <c r="O502" s="588">
        <v>45</v>
      </c>
      <c r="P502" s="588">
        <v>35412</v>
      </c>
      <c r="Q502" s="588">
        <v>15833</v>
      </c>
      <c r="R502" s="588">
        <v>82002</v>
      </c>
      <c r="S502" s="588">
        <v>17307</v>
      </c>
      <c r="T502" s="588">
        <v>2015</v>
      </c>
      <c r="U502" s="588">
        <v>2014</v>
      </c>
      <c r="V502" s="589"/>
      <c r="W502" s="589"/>
      <c r="X502" s="589"/>
      <c r="Y502" s="589"/>
      <c r="Z502" s="589"/>
      <c r="AA502" s="589"/>
      <c r="AB502" s="589"/>
      <c r="AC502" s="589"/>
      <c r="AD502" s="589"/>
      <c r="AE502" s="589"/>
      <c r="AF502" s="589"/>
      <c r="AG502" s="589"/>
      <c r="AH502" s="589"/>
      <c r="AI502" s="589"/>
      <c r="AJ502" s="589"/>
      <c r="AK502" s="589"/>
      <c r="AL502" s="589"/>
      <c r="AM502" s="589"/>
      <c r="AN502" s="589"/>
      <c r="AO502" s="589"/>
      <c r="AP502" s="589"/>
      <c r="AQ502" s="589"/>
      <c r="AR502" s="589"/>
      <c r="AS502" s="589"/>
    </row>
    <row r="503" spans="1:45" ht="15">
      <c r="A503" s="590" t="s">
        <v>153</v>
      </c>
      <c r="B503" s="591" t="s">
        <v>394</v>
      </c>
      <c r="C503" s="591" t="s">
        <v>812</v>
      </c>
      <c r="D503" s="592">
        <v>2015</v>
      </c>
      <c r="E503" s="591" t="s">
        <v>775</v>
      </c>
      <c r="F503" s="592">
        <v>7359</v>
      </c>
      <c r="G503" s="592">
        <v>32</v>
      </c>
      <c r="H503" s="592">
        <v>32</v>
      </c>
      <c r="I503" s="592">
        <v>0</v>
      </c>
      <c r="J503" s="592">
        <v>4251</v>
      </c>
      <c r="K503" s="592">
        <v>0</v>
      </c>
      <c r="L503" s="592">
        <v>0</v>
      </c>
      <c r="M503" s="592">
        <v>0</v>
      </c>
      <c r="N503" s="593">
        <v>4898</v>
      </c>
      <c r="O503" s="593">
        <v>0</v>
      </c>
      <c r="P503" s="593">
        <v>10749</v>
      </c>
      <c r="Q503" s="593">
        <v>1790</v>
      </c>
      <c r="R503" s="593">
        <v>27257</v>
      </c>
      <c r="S503" s="593">
        <v>1822</v>
      </c>
      <c r="T503" s="593">
        <v>2015</v>
      </c>
      <c r="U503" s="593">
        <v>2014</v>
      </c>
      <c r="V503" s="589"/>
      <c r="W503" s="589"/>
      <c r="X503" s="589"/>
      <c r="Y503" s="589"/>
      <c r="Z503" s="589"/>
      <c r="AA503" s="589"/>
      <c r="AB503" s="589"/>
      <c r="AC503" s="589"/>
      <c r="AD503" s="589"/>
      <c r="AE503" s="589"/>
      <c r="AF503" s="589"/>
      <c r="AG503" s="589"/>
      <c r="AH503" s="589"/>
      <c r="AI503" s="589"/>
      <c r="AJ503" s="589"/>
      <c r="AK503" s="589"/>
      <c r="AL503" s="589"/>
      <c r="AM503" s="589"/>
      <c r="AN503" s="589"/>
      <c r="AO503" s="589"/>
      <c r="AP503" s="589"/>
      <c r="AQ503" s="589"/>
      <c r="AR503" s="589"/>
      <c r="AS503" s="589"/>
    </row>
    <row r="504" spans="1:45" ht="15">
      <c r="A504" s="587" t="s">
        <v>187</v>
      </c>
      <c r="B504" s="587" t="s">
        <v>656</v>
      </c>
      <c r="C504" s="587" t="s">
        <v>774</v>
      </c>
      <c r="D504" s="588">
        <v>2015</v>
      </c>
      <c r="E504" s="587" t="s">
        <v>775</v>
      </c>
      <c r="F504" s="588">
        <v>201</v>
      </c>
      <c r="G504" s="588">
        <v>0</v>
      </c>
      <c r="H504" s="588">
        <v>0</v>
      </c>
      <c r="I504" s="588">
        <v>0</v>
      </c>
      <c r="J504" s="588">
        <v>112</v>
      </c>
      <c r="K504" s="588">
        <v>0</v>
      </c>
      <c r="L504" s="588">
        <v>0</v>
      </c>
      <c r="M504" s="588">
        <v>0</v>
      </c>
      <c r="N504" s="588">
        <v>132</v>
      </c>
      <c r="O504" s="588">
        <v>2</v>
      </c>
      <c r="P504" s="588">
        <v>174</v>
      </c>
      <c r="Q504" s="588">
        <v>13</v>
      </c>
      <c r="R504" s="588">
        <v>619</v>
      </c>
      <c r="S504" s="588">
        <v>15</v>
      </c>
      <c r="T504" s="588">
        <v>2015</v>
      </c>
      <c r="U504" s="588">
        <v>2015</v>
      </c>
      <c r="V504" s="589"/>
      <c r="W504" s="589"/>
      <c r="X504" s="589"/>
      <c r="Y504" s="589"/>
      <c r="Z504" s="589"/>
      <c r="AA504" s="589"/>
      <c r="AB504" s="589"/>
      <c r="AC504" s="589"/>
      <c r="AD504" s="589"/>
      <c r="AE504" s="589"/>
      <c r="AF504" s="589"/>
      <c r="AG504" s="589"/>
      <c r="AH504" s="589"/>
      <c r="AI504" s="589"/>
      <c r="AJ504" s="589"/>
      <c r="AK504" s="589"/>
      <c r="AL504" s="589"/>
      <c r="AM504" s="589"/>
      <c r="AN504" s="589"/>
      <c r="AO504" s="589"/>
      <c r="AP504" s="589"/>
      <c r="AQ504" s="589"/>
      <c r="AR504" s="589"/>
      <c r="AS504" s="589"/>
    </row>
    <row r="505" spans="1:45" ht="15">
      <c r="A505" s="590" t="s">
        <v>156</v>
      </c>
      <c r="B505" s="591" t="s">
        <v>156</v>
      </c>
      <c r="C505" s="591" t="s">
        <v>784</v>
      </c>
      <c r="D505" s="592">
        <v>2015</v>
      </c>
      <c r="E505" s="591" t="s">
        <v>775</v>
      </c>
      <c r="F505" s="592">
        <v>1352</v>
      </c>
      <c r="G505" s="592">
        <v>2</v>
      </c>
      <c r="H505" s="592">
        <v>2</v>
      </c>
      <c r="I505" s="592">
        <v>0</v>
      </c>
      <c r="J505" s="592">
        <v>1056</v>
      </c>
      <c r="K505" s="592">
        <v>140</v>
      </c>
      <c r="L505" s="592">
        <v>140</v>
      </c>
      <c r="M505" s="592">
        <v>0</v>
      </c>
      <c r="N505" s="593">
        <v>1091</v>
      </c>
      <c r="O505" s="593">
        <v>17</v>
      </c>
      <c r="P505" s="593">
        <v>2600</v>
      </c>
      <c r="Q505" s="593">
        <v>1</v>
      </c>
      <c r="R505" s="593">
        <v>6099</v>
      </c>
      <c r="S505" s="593">
        <v>160</v>
      </c>
      <c r="T505" s="593">
        <v>2016</v>
      </c>
      <c r="U505" s="593">
        <v>2016</v>
      </c>
      <c r="V505" s="589"/>
      <c r="W505" s="589"/>
      <c r="X505" s="589"/>
      <c r="Y505" s="589"/>
      <c r="Z505" s="589"/>
      <c r="AA505" s="589"/>
      <c r="AB505" s="589"/>
      <c r="AC505" s="589"/>
      <c r="AD505" s="589"/>
      <c r="AE505" s="589"/>
      <c r="AF505" s="589"/>
      <c r="AG505" s="589"/>
      <c r="AH505" s="589"/>
      <c r="AI505" s="589"/>
      <c r="AJ505" s="589"/>
      <c r="AK505" s="589"/>
      <c r="AL505" s="589"/>
      <c r="AM505" s="589"/>
      <c r="AN505" s="589"/>
      <c r="AO505" s="589"/>
      <c r="AP505" s="589"/>
      <c r="AQ505" s="589"/>
      <c r="AR505" s="589"/>
      <c r="AS505" s="589"/>
    </row>
    <row r="506" spans="1:45" ht="15">
      <c r="A506" s="587" t="s">
        <v>156</v>
      </c>
      <c r="B506" s="587" t="s">
        <v>435</v>
      </c>
      <c r="C506" s="587" t="s">
        <v>784</v>
      </c>
      <c r="D506" s="588">
        <v>2015</v>
      </c>
      <c r="E506" s="587" t="s">
        <v>775</v>
      </c>
      <c r="F506" s="588">
        <v>1285</v>
      </c>
      <c r="G506" s="588">
        <v>0</v>
      </c>
      <c r="H506" s="588">
        <v>0</v>
      </c>
      <c r="I506" s="588">
        <v>0</v>
      </c>
      <c r="J506" s="588">
        <v>984</v>
      </c>
      <c r="K506" s="588">
        <v>0</v>
      </c>
      <c r="L506" s="588">
        <v>0</v>
      </c>
      <c r="M506" s="588">
        <v>0</v>
      </c>
      <c r="N506" s="588">
        <v>1015</v>
      </c>
      <c r="O506" s="588">
        <v>0</v>
      </c>
      <c r="P506" s="588">
        <v>2398</v>
      </c>
      <c r="Q506" s="588">
        <v>0</v>
      </c>
      <c r="R506" s="588">
        <v>5682</v>
      </c>
      <c r="S506" s="588">
        <v>0</v>
      </c>
      <c r="T506" s="588">
        <v>2016</v>
      </c>
      <c r="U506" s="588">
        <v>2016</v>
      </c>
      <c r="V506" s="589"/>
      <c r="W506" s="589"/>
      <c r="X506" s="589"/>
      <c r="Y506" s="589"/>
      <c r="Z506" s="589"/>
      <c r="AA506" s="589"/>
      <c r="AB506" s="589"/>
      <c r="AC506" s="589"/>
      <c r="AD506" s="589"/>
      <c r="AE506" s="589"/>
      <c r="AF506" s="589"/>
      <c r="AG506" s="589"/>
      <c r="AH506" s="589"/>
      <c r="AI506" s="589"/>
      <c r="AJ506" s="589"/>
      <c r="AK506" s="589"/>
      <c r="AL506" s="589"/>
      <c r="AM506" s="589"/>
      <c r="AN506" s="589"/>
      <c r="AO506" s="589"/>
      <c r="AP506" s="589"/>
      <c r="AQ506" s="589"/>
      <c r="AR506" s="589"/>
      <c r="AS506" s="589"/>
    </row>
    <row r="507" spans="1:45" ht="15">
      <c r="A507" s="590" t="s">
        <v>153</v>
      </c>
      <c r="B507" s="591" t="s">
        <v>396</v>
      </c>
      <c r="C507" s="591" t="s">
        <v>812</v>
      </c>
      <c r="D507" s="592">
        <v>2015</v>
      </c>
      <c r="E507" s="591" t="s">
        <v>775</v>
      </c>
      <c r="F507" s="592">
        <v>1</v>
      </c>
      <c r="G507" s="592">
        <v>0</v>
      </c>
      <c r="H507" s="592">
        <v>0</v>
      </c>
      <c r="I507" s="592">
        <v>0</v>
      </c>
      <c r="J507" s="592">
        <v>1</v>
      </c>
      <c r="K507" s="592">
        <v>0</v>
      </c>
      <c r="L507" s="592">
        <v>0</v>
      </c>
      <c r="M507" s="592">
        <v>0</v>
      </c>
      <c r="N507" s="593">
        <v>0</v>
      </c>
      <c r="O507" s="593">
        <v>0</v>
      </c>
      <c r="P507" s="593">
        <v>0</v>
      </c>
      <c r="Q507" s="593">
        <v>16</v>
      </c>
      <c r="R507" s="593">
        <v>2</v>
      </c>
      <c r="S507" s="593">
        <v>16</v>
      </c>
      <c r="T507" s="593">
        <v>2015</v>
      </c>
      <c r="U507" s="593">
        <v>2014</v>
      </c>
      <c r="V507" s="589"/>
      <c r="W507" s="589"/>
      <c r="X507" s="589"/>
      <c r="Y507" s="589"/>
      <c r="Z507" s="589"/>
      <c r="AA507" s="589"/>
      <c r="AB507" s="589"/>
      <c r="AC507" s="589"/>
      <c r="AD507" s="589"/>
      <c r="AE507" s="589"/>
      <c r="AF507" s="589"/>
      <c r="AG507" s="589"/>
      <c r="AH507" s="589"/>
      <c r="AI507" s="589"/>
      <c r="AJ507" s="589"/>
      <c r="AK507" s="589"/>
      <c r="AL507" s="589"/>
      <c r="AM507" s="589"/>
      <c r="AN507" s="589"/>
      <c r="AO507" s="589"/>
      <c r="AP507" s="589"/>
      <c r="AQ507" s="589"/>
      <c r="AR507" s="589"/>
      <c r="AS507" s="589"/>
    </row>
    <row r="508" spans="1:45" ht="15">
      <c r="A508" s="587" t="s">
        <v>163</v>
      </c>
      <c r="B508" s="587" t="s">
        <v>462</v>
      </c>
      <c r="C508" s="587" t="s">
        <v>784</v>
      </c>
      <c r="D508" s="588">
        <v>2015</v>
      </c>
      <c r="E508" s="587" t="s">
        <v>775</v>
      </c>
      <c r="F508" s="588">
        <v>17</v>
      </c>
      <c r="G508" s="588">
        <v>0</v>
      </c>
      <c r="H508" s="588">
        <v>0</v>
      </c>
      <c r="I508" s="588">
        <v>0</v>
      </c>
      <c r="J508" s="588">
        <v>12</v>
      </c>
      <c r="K508" s="588">
        <v>0</v>
      </c>
      <c r="L508" s="588">
        <v>0</v>
      </c>
      <c r="M508" s="588">
        <v>0</v>
      </c>
      <c r="N508" s="588">
        <v>14</v>
      </c>
      <c r="O508" s="588">
        <v>0</v>
      </c>
      <c r="P508" s="588">
        <v>31</v>
      </c>
      <c r="Q508" s="588">
        <v>22</v>
      </c>
      <c r="R508" s="588">
        <v>74</v>
      </c>
      <c r="S508" s="588">
        <v>22</v>
      </c>
      <c r="T508" s="588">
        <v>2015</v>
      </c>
      <c r="U508" s="588">
        <v>2014</v>
      </c>
      <c r="V508" s="589"/>
      <c r="W508" s="589"/>
      <c r="X508" s="589"/>
      <c r="Y508" s="589"/>
      <c r="Z508" s="589"/>
      <c r="AA508" s="589"/>
      <c r="AB508" s="589"/>
      <c r="AC508" s="589"/>
      <c r="AD508" s="589"/>
      <c r="AE508" s="589"/>
      <c r="AF508" s="589"/>
      <c r="AG508" s="589"/>
      <c r="AH508" s="589"/>
      <c r="AI508" s="589"/>
      <c r="AJ508" s="589"/>
      <c r="AK508" s="589"/>
      <c r="AL508" s="589"/>
      <c r="AM508" s="589"/>
      <c r="AN508" s="589"/>
      <c r="AO508" s="589"/>
      <c r="AP508" s="589"/>
      <c r="AQ508" s="589"/>
      <c r="AR508" s="589"/>
      <c r="AS508" s="589"/>
    </row>
    <row r="509" spans="1:45" ht="15">
      <c r="A509" s="590" t="s">
        <v>153</v>
      </c>
      <c r="B509" s="591" t="s">
        <v>397</v>
      </c>
      <c r="C509" s="591" t="s">
        <v>812</v>
      </c>
      <c r="D509" s="592">
        <v>2015</v>
      </c>
      <c r="E509" s="591" t="s">
        <v>775</v>
      </c>
      <c r="F509" s="592">
        <v>10</v>
      </c>
      <c r="G509" s="592">
        <v>0</v>
      </c>
      <c r="H509" s="592">
        <v>0</v>
      </c>
      <c r="I509" s="592">
        <v>0</v>
      </c>
      <c r="J509" s="592">
        <v>6</v>
      </c>
      <c r="K509" s="592">
        <v>0</v>
      </c>
      <c r="L509" s="592">
        <v>0</v>
      </c>
      <c r="M509" s="592">
        <v>0</v>
      </c>
      <c r="N509" s="593">
        <v>7</v>
      </c>
      <c r="O509" s="593">
        <v>0</v>
      </c>
      <c r="P509" s="593">
        <v>15</v>
      </c>
      <c r="Q509" s="593">
        <v>86</v>
      </c>
      <c r="R509" s="593">
        <v>38</v>
      </c>
      <c r="S509" s="593">
        <v>86</v>
      </c>
      <c r="T509" s="593">
        <v>2015</v>
      </c>
      <c r="U509" s="593">
        <v>2014</v>
      </c>
      <c r="V509" s="589"/>
      <c r="W509" s="589"/>
      <c r="X509" s="589"/>
      <c r="Y509" s="589"/>
      <c r="Z509" s="589"/>
      <c r="AA509" s="589"/>
      <c r="AB509" s="589"/>
      <c r="AC509" s="589"/>
      <c r="AD509" s="589"/>
      <c r="AE509" s="589"/>
      <c r="AF509" s="589"/>
      <c r="AG509" s="589"/>
      <c r="AH509" s="589"/>
      <c r="AI509" s="589"/>
      <c r="AJ509" s="589"/>
      <c r="AK509" s="589"/>
      <c r="AL509" s="589"/>
      <c r="AM509" s="589"/>
      <c r="AN509" s="589"/>
      <c r="AO509" s="589"/>
      <c r="AP509" s="589"/>
      <c r="AQ509" s="589"/>
      <c r="AR509" s="589"/>
      <c r="AS509" s="589"/>
    </row>
    <row r="510" spans="1:45" ht="15">
      <c r="A510" s="587" t="s">
        <v>157</v>
      </c>
      <c r="B510" s="587" t="s">
        <v>440</v>
      </c>
      <c r="C510" s="587" t="s">
        <v>774</v>
      </c>
      <c r="D510" s="588">
        <v>2015</v>
      </c>
      <c r="E510" s="587" t="s">
        <v>775</v>
      </c>
      <c r="F510" s="588">
        <v>55</v>
      </c>
      <c r="G510" s="588">
        <v>7</v>
      </c>
      <c r="H510" s="588">
        <v>6</v>
      </c>
      <c r="I510" s="588">
        <v>1</v>
      </c>
      <c r="J510" s="588">
        <v>32</v>
      </c>
      <c r="K510" s="588">
        <v>6</v>
      </c>
      <c r="L510" s="588">
        <v>3</v>
      </c>
      <c r="M510" s="588">
        <v>3</v>
      </c>
      <c r="N510" s="588">
        <v>37</v>
      </c>
      <c r="O510" s="588">
        <v>3</v>
      </c>
      <c r="P510" s="588">
        <v>61</v>
      </c>
      <c r="Q510" s="588">
        <v>23</v>
      </c>
      <c r="R510" s="588">
        <v>185</v>
      </c>
      <c r="S510" s="588">
        <v>39</v>
      </c>
      <c r="T510" s="588">
        <v>2015</v>
      </c>
      <c r="U510" s="588">
        <v>2015</v>
      </c>
      <c r="V510" s="589"/>
      <c r="W510" s="589"/>
      <c r="X510" s="589"/>
      <c r="Y510" s="589"/>
      <c r="Z510" s="589"/>
      <c r="AA510" s="589"/>
      <c r="AB510" s="589"/>
      <c r="AC510" s="589"/>
      <c r="AD510" s="589"/>
      <c r="AE510" s="589"/>
      <c r="AF510" s="589"/>
      <c r="AG510" s="589"/>
      <c r="AH510" s="589"/>
      <c r="AI510" s="589"/>
      <c r="AJ510" s="589"/>
      <c r="AK510" s="589"/>
      <c r="AL510" s="589"/>
      <c r="AM510" s="589"/>
      <c r="AN510" s="589"/>
      <c r="AO510" s="589"/>
      <c r="AP510" s="589"/>
      <c r="AQ510" s="589"/>
      <c r="AR510" s="589"/>
      <c r="AS510" s="589"/>
    </row>
    <row r="511" spans="1:45" ht="15">
      <c r="A511" s="590" t="s">
        <v>164</v>
      </c>
      <c r="B511" s="591" t="s">
        <v>469</v>
      </c>
      <c r="C511" s="591" t="s">
        <v>177</v>
      </c>
      <c r="D511" s="592">
        <v>2015</v>
      </c>
      <c r="E511" s="591" t="s">
        <v>775</v>
      </c>
      <c r="F511" s="592">
        <v>315</v>
      </c>
      <c r="G511" s="592">
        <v>0</v>
      </c>
      <c r="H511" s="592">
        <v>0</v>
      </c>
      <c r="I511" s="592">
        <v>0</v>
      </c>
      <c r="J511" s="592">
        <v>206</v>
      </c>
      <c r="K511" s="592">
        <v>0</v>
      </c>
      <c r="L511" s="592">
        <v>0</v>
      </c>
      <c r="M511" s="592">
        <v>0</v>
      </c>
      <c r="N511" s="593">
        <v>239</v>
      </c>
      <c r="O511" s="593">
        <v>0</v>
      </c>
      <c r="P511" s="593">
        <v>548</v>
      </c>
      <c r="Q511" s="593">
        <v>61</v>
      </c>
      <c r="R511" s="593">
        <v>1308</v>
      </c>
      <c r="S511" s="593">
        <v>61</v>
      </c>
      <c r="T511" s="593">
        <v>2016</v>
      </c>
      <c r="U511" s="593">
        <v>2016</v>
      </c>
      <c r="V511" s="589"/>
      <c r="W511" s="589"/>
      <c r="X511" s="589"/>
      <c r="Y511" s="589"/>
      <c r="Z511" s="589"/>
      <c r="AA511" s="589"/>
      <c r="AB511" s="589"/>
      <c r="AC511" s="589"/>
      <c r="AD511" s="589"/>
      <c r="AE511" s="589"/>
      <c r="AF511" s="589"/>
      <c r="AG511" s="589"/>
      <c r="AH511" s="589"/>
      <c r="AI511" s="589"/>
      <c r="AJ511" s="589"/>
      <c r="AK511" s="589"/>
      <c r="AL511" s="589"/>
      <c r="AM511" s="589"/>
      <c r="AN511" s="589"/>
      <c r="AO511" s="589"/>
      <c r="AP511" s="589"/>
      <c r="AQ511" s="589"/>
      <c r="AR511" s="589"/>
      <c r="AS511" s="589"/>
    </row>
    <row r="512" spans="1:45" ht="15">
      <c r="A512" s="587" t="s">
        <v>158</v>
      </c>
      <c r="B512" s="587" t="s">
        <v>448</v>
      </c>
      <c r="C512" s="587" t="s">
        <v>784</v>
      </c>
      <c r="D512" s="588">
        <v>2015</v>
      </c>
      <c r="E512" s="587" t="s">
        <v>775</v>
      </c>
      <c r="F512" s="588">
        <v>265</v>
      </c>
      <c r="G512" s="588">
        <v>0</v>
      </c>
      <c r="H512" s="588">
        <v>0</v>
      </c>
      <c r="I512" s="588">
        <v>0</v>
      </c>
      <c r="J512" s="588">
        <v>130</v>
      </c>
      <c r="K512" s="588">
        <v>0</v>
      </c>
      <c r="L512" s="588">
        <v>0</v>
      </c>
      <c r="M512" s="588">
        <v>0</v>
      </c>
      <c r="N512" s="588">
        <v>180</v>
      </c>
      <c r="O512" s="588">
        <v>44</v>
      </c>
      <c r="P512" s="588">
        <v>420</v>
      </c>
      <c r="Q512" s="588">
        <v>10</v>
      </c>
      <c r="R512" s="588">
        <v>995</v>
      </c>
      <c r="S512" s="588">
        <v>54</v>
      </c>
      <c r="T512" s="588">
        <v>2015</v>
      </c>
      <c r="U512" s="588">
        <v>2014</v>
      </c>
      <c r="V512" s="589"/>
      <c r="W512" s="589"/>
      <c r="X512" s="589"/>
      <c r="Y512" s="589"/>
      <c r="Z512" s="589"/>
      <c r="AA512" s="589"/>
      <c r="AB512" s="589"/>
      <c r="AC512" s="589"/>
      <c r="AD512" s="589"/>
      <c r="AE512" s="589"/>
      <c r="AF512" s="589"/>
      <c r="AG512" s="589"/>
      <c r="AH512" s="589"/>
      <c r="AI512" s="589"/>
      <c r="AJ512" s="589"/>
      <c r="AK512" s="589"/>
      <c r="AL512" s="589"/>
      <c r="AM512" s="589"/>
      <c r="AN512" s="589"/>
      <c r="AO512" s="589"/>
      <c r="AP512" s="589"/>
      <c r="AQ512" s="589"/>
      <c r="AR512" s="589"/>
      <c r="AS512" s="589"/>
    </row>
    <row r="513" spans="1:45" ht="15">
      <c r="A513" s="590" t="s">
        <v>159</v>
      </c>
      <c r="B513" s="591" t="s">
        <v>450</v>
      </c>
      <c r="C513" s="591" t="s">
        <v>784</v>
      </c>
      <c r="D513" s="592">
        <v>2015</v>
      </c>
      <c r="E513" s="591" t="s">
        <v>775</v>
      </c>
      <c r="F513" s="592">
        <v>40</v>
      </c>
      <c r="G513" s="592">
        <v>0</v>
      </c>
      <c r="H513" s="592">
        <v>0</v>
      </c>
      <c r="I513" s="592">
        <v>0</v>
      </c>
      <c r="J513" s="592">
        <v>27</v>
      </c>
      <c r="K513" s="592">
        <v>0</v>
      </c>
      <c r="L513" s="592">
        <v>0</v>
      </c>
      <c r="M513" s="592">
        <v>0</v>
      </c>
      <c r="N513" s="593">
        <v>27</v>
      </c>
      <c r="O513" s="593">
        <v>56</v>
      </c>
      <c r="P513" s="593">
        <v>74</v>
      </c>
      <c r="Q513" s="593">
        <v>52</v>
      </c>
      <c r="R513" s="593">
        <v>168</v>
      </c>
      <c r="S513" s="593">
        <v>108</v>
      </c>
      <c r="T513" s="593">
        <v>2015</v>
      </c>
      <c r="U513" s="593">
        <v>2014</v>
      </c>
      <c r="V513" s="589"/>
      <c r="W513" s="589"/>
      <c r="X513" s="589"/>
      <c r="Y513" s="589"/>
      <c r="Z513" s="589"/>
      <c r="AA513" s="589"/>
      <c r="AB513" s="589"/>
      <c r="AC513" s="589"/>
      <c r="AD513" s="589"/>
      <c r="AE513" s="589"/>
      <c r="AF513" s="589"/>
      <c r="AG513" s="589"/>
      <c r="AH513" s="589"/>
      <c r="AI513" s="589"/>
      <c r="AJ513" s="589"/>
      <c r="AK513" s="589"/>
      <c r="AL513" s="589"/>
      <c r="AM513" s="589"/>
      <c r="AN513" s="589"/>
      <c r="AO513" s="589"/>
      <c r="AP513" s="589"/>
      <c r="AQ513" s="589"/>
      <c r="AR513" s="589"/>
      <c r="AS513" s="589"/>
    </row>
    <row r="514" spans="1:45" ht="15">
      <c r="A514" s="587" t="s">
        <v>173</v>
      </c>
      <c r="B514" s="587" t="s">
        <v>544</v>
      </c>
      <c r="C514" s="587" t="s">
        <v>812</v>
      </c>
      <c r="D514" s="588">
        <v>2015</v>
      </c>
      <c r="E514" s="587" t="s">
        <v>775</v>
      </c>
      <c r="F514" s="588">
        <v>1488</v>
      </c>
      <c r="G514" s="588">
        <v>4</v>
      </c>
      <c r="H514" s="588">
        <v>0</v>
      </c>
      <c r="I514" s="588">
        <v>4</v>
      </c>
      <c r="J514" s="588">
        <v>1007</v>
      </c>
      <c r="K514" s="588">
        <v>0</v>
      </c>
      <c r="L514" s="588">
        <v>0</v>
      </c>
      <c r="M514" s="588">
        <v>0</v>
      </c>
      <c r="N514" s="588">
        <v>1140</v>
      </c>
      <c r="O514" s="588">
        <v>193</v>
      </c>
      <c r="P514" s="588">
        <v>2610</v>
      </c>
      <c r="Q514" s="588">
        <v>215</v>
      </c>
      <c r="R514" s="588">
        <v>6245</v>
      </c>
      <c r="S514" s="588">
        <v>412</v>
      </c>
      <c r="T514" s="588">
        <v>2015</v>
      </c>
      <c r="U514" s="588">
        <v>2014</v>
      </c>
      <c r="V514" s="589"/>
      <c r="W514" s="589"/>
      <c r="X514" s="589"/>
      <c r="Y514" s="589"/>
      <c r="Z514" s="589"/>
      <c r="AA514" s="589"/>
      <c r="AB514" s="589"/>
      <c r="AC514" s="589"/>
      <c r="AD514" s="589"/>
      <c r="AE514" s="589"/>
      <c r="AF514" s="589"/>
      <c r="AG514" s="589"/>
      <c r="AH514" s="589"/>
      <c r="AI514" s="589"/>
      <c r="AJ514" s="589"/>
      <c r="AK514" s="589"/>
      <c r="AL514" s="589"/>
      <c r="AM514" s="589"/>
      <c r="AN514" s="589"/>
      <c r="AO514" s="589"/>
      <c r="AP514" s="589"/>
      <c r="AQ514" s="589"/>
      <c r="AR514" s="589"/>
      <c r="AS514" s="589"/>
    </row>
    <row r="515" spans="1:45" ht="15">
      <c r="A515" s="590" t="s">
        <v>184</v>
      </c>
      <c r="B515" s="591" t="s">
        <v>633</v>
      </c>
      <c r="C515" s="591" t="s">
        <v>774</v>
      </c>
      <c r="D515" s="592">
        <v>2015</v>
      </c>
      <c r="E515" s="591" t="s">
        <v>775</v>
      </c>
      <c r="F515" s="592">
        <v>233</v>
      </c>
      <c r="G515" s="592">
        <v>85</v>
      </c>
      <c r="H515" s="592">
        <v>84</v>
      </c>
      <c r="I515" s="592">
        <v>1</v>
      </c>
      <c r="J515" s="592">
        <v>129</v>
      </c>
      <c r="K515" s="592">
        <v>22</v>
      </c>
      <c r="L515" s="592">
        <v>20</v>
      </c>
      <c r="M515" s="592">
        <v>2</v>
      </c>
      <c r="N515" s="593">
        <v>143</v>
      </c>
      <c r="O515" s="593">
        <v>0</v>
      </c>
      <c r="P515" s="593">
        <v>150</v>
      </c>
      <c r="Q515" s="593">
        <v>712</v>
      </c>
      <c r="R515" s="593">
        <v>655</v>
      </c>
      <c r="S515" s="593">
        <v>819</v>
      </c>
      <c r="T515" s="593">
        <v>2015</v>
      </c>
      <c r="U515" s="593">
        <v>2015</v>
      </c>
      <c r="V515" s="589"/>
      <c r="W515" s="589"/>
      <c r="X515" s="589"/>
      <c r="Y515" s="589"/>
      <c r="Z515" s="589"/>
      <c r="AA515" s="589"/>
      <c r="AB515" s="589"/>
      <c r="AC515" s="589"/>
      <c r="AD515" s="589"/>
      <c r="AE515" s="589"/>
      <c r="AF515" s="589"/>
      <c r="AG515" s="589"/>
      <c r="AH515" s="589"/>
      <c r="AI515" s="589"/>
      <c r="AJ515" s="589"/>
      <c r="AK515" s="589"/>
      <c r="AL515" s="589"/>
      <c r="AM515" s="589"/>
      <c r="AN515" s="589"/>
      <c r="AO515" s="589"/>
      <c r="AP515" s="589"/>
      <c r="AQ515" s="589"/>
      <c r="AR515" s="589"/>
      <c r="AS515" s="589"/>
    </row>
    <row r="516" spans="1:45" ht="15">
      <c r="A516" s="587" t="s">
        <v>157</v>
      </c>
      <c r="B516" s="587" t="s">
        <v>441</v>
      </c>
      <c r="C516" s="587" t="s">
        <v>774</v>
      </c>
      <c r="D516" s="588">
        <v>2015</v>
      </c>
      <c r="E516" s="587" t="s">
        <v>775</v>
      </c>
      <c r="F516" s="588">
        <v>41</v>
      </c>
      <c r="G516" s="588">
        <v>6</v>
      </c>
      <c r="H516" s="588">
        <v>0</v>
      </c>
      <c r="I516" s="588">
        <v>6</v>
      </c>
      <c r="J516" s="588">
        <v>24</v>
      </c>
      <c r="K516" s="588">
        <v>8</v>
      </c>
      <c r="L516" s="588">
        <v>0</v>
      </c>
      <c r="M516" s="588">
        <v>8</v>
      </c>
      <c r="N516" s="588">
        <v>26</v>
      </c>
      <c r="O516" s="588">
        <v>3</v>
      </c>
      <c r="P516" s="588">
        <v>38</v>
      </c>
      <c r="Q516" s="588">
        <v>9</v>
      </c>
      <c r="R516" s="588">
        <v>129</v>
      </c>
      <c r="S516" s="588">
        <v>26</v>
      </c>
      <c r="T516" s="588">
        <v>2015</v>
      </c>
      <c r="U516" s="588">
        <v>2015</v>
      </c>
      <c r="V516" s="589"/>
      <c r="W516" s="589"/>
      <c r="X516" s="589"/>
      <c r="Y516" s="589"/>
      <c r="Z516" s="589"/>
      <c r="AA516" s="589"/>
      <c r="AB516" s="589"/>
      <c r="AC516" s="589"/>
      <c r="AD516" s="589"/>
      <c r="AE516" s="589"/>
      <c r="AF516" s="589"/>
      <c r="AG516" s="589"/>
      <c r="AH516" s="589"/>
      <c r="AI516" s="589"/>
      <c r="AJ516" s="589"/>
      <c r="AK516" s="589"/>
      <c r="AL516" s="589"/>
      <c r="AM516" s="589"/>
      <c r="AN516" s="589"/>
      <c r="AO516" s="589"/>
      <c r="AP516" s="589"/>
      <c r="AQ516" s="589"/>
      <c r="AR516" s="589"/>
      <c r="AS516" s="589"/>
    </row>
    <row r="517" spans="1:45" ht="15">
      <c r="A517" s="590" t="s">
        <v>187</v>
      </c>
      <c r="B517" s="591" t="s">
        <v>657</v>
      </c>
      <c r="C517" s="591" t="s">
        <v>774</v>
      </c>
      <c r="D517" s="592">
        <v>2015</v>
      </c>
      <c r="E517" s="591" t="s">
        <v>775</v>
      </c>
      <c r="F517" s="592">
        <v>1004</v>
      </c>
      <c r="G517" s="592">
        <v>0</v>
      </c>
      <c r="H517" s="592">
        <v>0</v>
      </c>
      <c r="I517" s="592">
        <v>0</v>
      </c>
      <c r="J517" s="592">
        <v>570</v>
      </c>
      <c r="K517" s="592">
        <v>0</v>
      </c>
      <c r="L517" s="592">
        <v>0</v>
      </c>
      <c r="M517" s="592">
        <v>0</v>
      </c>
      <c r="N517" s="593">
        <v>565</v>
      </c>
      <c r="O517" s="593">
        <v>0</v>
      </c>
      <c r="P517" s="593">
        <v>1151</v>
      </c>
      <c r="Q517" s="593">
        <v>270</v>
      </c>
      <c r="R517" s="593">
        <v>3290</v>
      </c>
      <c r="S517" s="593">
        <v>270</v>
      </c>
      <c r="T517" s="593">
        <v>2015</v>
      </c>
      <c r="U517" s="593">
        <v>2015</v>
      </c>
      <c r="V517" s="589"/>
      <c r="W517" s="589"/>
      <c r="X517" s="589"/>
      <c r="Y517" s="589"/>
      <c r="Z517" s="589"/>
      <c r="AA517" s="589"/>
      <c r="AB517" s="589"/>
      <c r="AC517" s="589"/>
      <c r="AD517" s="589"/>
      <c r="AE517" s="589"/>
      <c r="AF517" s="589"/>
      <c r="AG517" s="589"/>
      <c r="AH517" s="589"/>
      <c r="AI517" s="589"/>
      <c r="AJ517" s="589"/>
      <c r="AK517" s="589"/>
      <c r="AL517" s="589"/>
      <c r="AM517" s="589"/>
      <c r="AN517" s="589"/>
      <c r="AO517" s="589"/>
      <c r="AP517" s="589"/>
      <c r="AQ517" s="589"/>
      <c r="AR517" s="589"/>
      <c r="AS517" s="589"/>
    </row>
    <row r="518" spans="1:45" ht="15">
      <c r="A518" s="587" t="s">
        <v>169</v>
      </c>
      <c r="B518" s="587" t="s">
        <v>505</v>
      </c>
      <c r="C518" s="587" t="s">
        <v>812</v>
      </c>
      <c r="D518" s="588">
        <v>2015</v>
      </c>
      <c r="E518" s="587" t="s">
        <v>775</v>
      </c>
      <c r="F518" s="588">
        <v>42</v>
      </c>
      <c r="G518" s="588">
        <v>3</v>
      </c>
      <c r="H518" s="588">
        <v>3</v>
      </c>
      <c r="I518" s="588">
        <v>0</v>
      </c>
      <c r="J518" s="588">
        <v>29</v>
      </c>
      <c r="K518" s="588">
        <v>22</v>
      </c>
      <c r="L518" s="588">
        <v>22</v>
      </c>
      <c r="M518" s="588">
        <v>0</v>
      </c>
      <c r="N518" s="588">
        <v>33</v>
      </c>
      <c r="O518" s="588">
        <v>0</v>
      </c>
      <c r="P518" s="588">
        <v>73</v>
      </c>
      <c r="Q518" s="588">
        <v>468</v>
      </c>
      <c r="R518" s="588">
        <v>177</v>
      </c>
      <c r="S518" s="588">
        <v>493</v>
      </c>
      <c r="T518" s="588">
        <v>2015</v>
      </c>
      <c r="U518" s="588">
        <v>2014</v>
      </c>
      <c r="V518" s="589"/>
      <c r="W518" s="589"/>
      <c r="X518" s="589"/>
      <c r="Y518" s="589"/>
      <c r="Z518" s="589"/>
      <c r="AA518" s="589"/>
      <c r="AB518" s="589"/>
      <c r="AC518" s="589"/>
      <c r="AD518" s="589"/>
      <c r="AE518" s="589"/>
      <c r="AF518" s="589"/>
      <c r="AG518" s="589"/>
      <c r="AH518" s="589"/>
      <c r="AI518" s="589"/>
      <c r="AJ518" s="589"/>
      <c r="AK518" s="589"/>
      <c r="AL518" s="589"/>
      <c r="AM518" s="589"/>
      <c r="AN518" s="589"/>
      <c r="AO518" s="589"/>
      <c r="AP518" s="589"/>
      <c r="AQ518" s="589"/>
      <c r="AR518" s="589"/>
      <c r="AS518" s="589"/>
    </row>
    <row r="519" spans="1:45" ht="15">
      <c r="A519" s="590" t="s">
        <v>195</v>
      </c>
      <c r="B519" s="591" t="s">
        <v>705</v>
      </c>
      <c r="C519" s="591" t="s">
        <v>177</v>
      </c>
      <c r="D519" s="592">
        <v>2015</v>
      </c>
      <c r="E519" s="591" t="s">
        <v>775</v>
      </c>
      <c r="F519" s="592">
        <v>1546</v>
      </c>
      <c r="G519" s="592">
        <v>0</v>
      </c>
      <c r="H519" s="592">
        <v>0</v>
      </c>
      <c r="I519" s="592">
        <v>0</v>
      </c>
      <c r="J519" s="592">
        <v>991</v>
      </c>
      <c r="K519" s="592">
        <v>0</v>
      </c>
      <c r="L519" s="592">
        <v>0</v>
      </c>
      <c r="M519" s="592">
        <v>0</v>
      </c>
      <c r="N519" s="593">
        <v>1100</v>
      </c>
      <c r="O519" s="593">
        <v>0</v>
      </c>
      <c r="P519" s="593">
        <v>2724</v>
      </c>
      <c r="Q519" s="593">
        <v>18</v>
      </c>
      <c r="R519" s="593">
        <v>6361</v>
      </c>
      <c r="S519" s="593">
        <v>18</v>
      </c>
      <c r="T519" s="593">
        <v>2016</v>
      </c>
      <c r="U519" s="593">
        <v>2016</v>
      </c>
      <c r="V519" s="589"/>
      <c r="W519" s="589"/>
      <c r="X519" s="589"/>
      <c r="Y519" s="589"/>
      <c r="Z519" s="589"/>
      <c r="AA519" s="589"/>
      <c r="AB519" s="589"/>
      <c r="AC519" s="589"/>
      <c r="AD519" s="589"/>
      <c r="AE519" s="589"/>
      <c r="AF519" s="589"/>
      <c r="AG519" s="589"/>
      <c r="AH519" s="589"/>
      <c r="AI519" s="589"/>
      <c r="AJ519" s="589"/>
      <c r="AK519" s="589"/>
      <c r="AL519" s="589"/>
      <c r="AM519" s="589"/>
      <c r="AN519" s="589"/>
      <c r="AO519" s="589"/>
      <c r="AP519" s="589"/>
      <c r="AQ519" s="589"/>
      <c r="AR519" s="589"/>
      <c r="AS519" s="589"/>
    </row>
    <row r="520" spans="1:45" ht="15">
      <c r="A520" s="587" t="s">
        <v>162</v>
      </c>
      <c r="B520" s="587" t="s">
        <v>461</v>
      </c>
      <c r="C520" s="587" t="s">
        <v>784</v>
      </c>
      <c r="D520" s="588">
        <v>2015</v>
      </c>
      <c r="E520" s="587" t="s">
        <v>775</v>
      </c>
      <c r="F520" s="588">
        <v>2</v>
      </c>
      <c r="G520" s="588">
        <v>2</v>
      </c>
      <c r="H520" s="588">
        <v>0</v>
      </c>
      <c r="I520" s="588">
        <v>2</v>
      </c>
      <c r="J520" s="588">
        <v>2</v>
      </c>
      <c r="K520" s="588">
        <v>1</v>
      </c>
      <c r="L520" s="588">
        <v>0</v>
      </c>
      <c r="M520" s="588">
        <v>1</v>
      </c>
      <c r="N520" s="588">
        <v>1</v>
      </c>
      <c r="O520" s="588">
        <v>9</v>
      </c>
      <c r="P520" s="588">
        <v>5</v>
      </c>
      <c r="Q520" s="588">
        <v>0</v>
      </c>
      <c r="R520" s="588">
        <v>10</v>
      </c>
      <c r="S520" s="588">
        <v>12</v>
      </c>
      <c r="T520" s="588">
        <v>2015</v>
      </c>
      <c r="U520" s="588">
        <v>2014</v>
      </c>
      <c r="V520" s="589"/>
      <c r="W520" s="589"/>
      <c r="X520" s="589"/>
      <c r="Y520" s="589"/>
      <c r="Z520" s="589"/>
      <c r="AA520" s="589"/>
      <c r="AB520" s="589"/>
      <c r="AC520" s="589"/>
      <c r="AD520" s="589"/>
      <c r="AE520" s="589"/>
      <c r="AF520" s="589"/>
      <c r="AG520" s="589"/>
      <c r="AH520" s="589"/>
      <c r="AI520" s="589"/>
      <c r="AJ520" s="589"/>
      <c r="AK520" s="589"/>
      <c r="AL520" s="589"/>
      <c r="AM520" s="589"/>
      <c r="AN520" s="589"/>
      <c r="AO520" s="589"/>
      <c r="AP520" s="589"/>
      <c r="AQ520" s="589"/>
      <c r="AR520" s="589"/>
      <c r="AS520" s="589"/>
    </row>
    <row r="521" spans="1:45" ht="15">
      <c r="A521" s="590" t="s">
        <v>163</v>
      </c>
      <c r="B521" s="591" t="s">
        <v>463</v>
      </c>
      <c r="C521" s="591" t="s">
        <v>784</v>
      </c>
      <c r="D521" s="592">
        <v>2015</v>
      </c>
      <c r="E521" s="591" t="s">
        <v>775</v>
      </c>
      <c r="F521" s="592">
        <v>11</v>
      </c>
      <c r="G521" s="592">
        <v>0</v>
      </c>
      <c r="H521" s="592">
        <v>0</v>
      </c>
      <c r="I521" s="592">
        <v>0</v>
      </c>
      <c r="J521" s="592">
        <v>7</v>
      </c>
      <c r="K521" s="592">
        <v>2</v>
      </c>
      <c r="L521" s="592">
        <v>0</v>
      </c>
      <c r="M521" s="592">
        <v>2</v>
      </c>
      <c r="N521" s="593">
        <v>9</v>
      </c>
      <c r="O521" s="593">
        <v>10</v>
      </c>
      <c r="P521" s="593">
        <v>19</v>
      </c>
      <c r="Q521" s="593">
        <v>14</v>
      </c>
      <c r="R521" s="593">
        <v>46</v>
      </c>
      <c r="S521" s="593">
        <v>26</v>
      </c>
      <c r="T521" s="593">
        <v>2015</v>
      </c>
      <c r="U521" s="593">
        <v>2014</v>
      </c>
      <c r="V521" s="589"/>
      <c r="W521" s="589"/>
      <c r="X521" s="589"/>
      <c r="Y521" s="589"/>
      <c r="Z521" s="589"/>
      <c r="AA521" s="589"/>
      <c r="AB521" s="589"/>
      <c r="AC521" s="589"/>
      <c r="AD521" s="589"/>
      <c r="AE521" s="589"/>
      <c r="AF521" s="589"/>
      <c r="AG521" s="589"/>
      <c r="AH521" s="589"/>
      <c r="AI521" s="589"/>
      <c r="AJ521" s="589"/>
      <c r="AK521" s="589"/>
      <c r="AL521" s="589"/>
      <c r="AM521" s="589"/>
      <c r="AN521" s="589"/>
      <c r="AO521" s="589"/>
      <c r="AP521" s="589"/>
      <c r="AQ521" s="589"/>
      <c r="AR521" s="589"/>
      <c r="AS521" s="589"/>
    </row>
    <row r="522" spans="1:45" ht="15">
      <c r="A522" s="587" t="s">
        <v>153</v>
      </c>
      <c r="B522" s="587" t="s">
        <v>399</v>
      </c>
      <c r="C522" s="587" t="s">
        <v>812</v>
      </c>
      <c r="D522" s="588">
        <v>2015</v>
      </c>
      <c r="E522" s="587" t="s">
        <v>775</v>
      </c>
      <c r="F522" s="588">
        <v>101</v>
      </c>
      <c r="G522" s="588">
        <v>0</v>
      </c>
      <c r="H522" s="588">
        <v>0</v>
      </c>
      <c r="I522" s="588">
        <v>0</v>
      </c>
      <c r="J522" s="588">
        <v>61</v>
      </c>
      <c r="K522" s="588">
        <v>0</v>
      </c>
      <c r="L522" s="588">
        <v>0</v>
      </c>
      <c r="M522" s="588">
        <v>0</v>
      </c>
      <c r="N522" s="588">
        <v>65</v>
      </c>
      <c r="O522" s="588">
        <v>0</v>
      </c>
      <c r="P522" s="588">
        <v>162</v>
      </c>
      <c r="Q522" s="588">
        <v>9</v>
      </c>
      <c r="R522" s="588">
        <v>389</v>
      </c>
      <c r="S522" s="588">
        <v>9</v>
      </c>
      <c r="T522" s="588">
        <v>2015</v>
      </c>
      <c r="U522" s="588">
        <v>2014</v>
      </c>
      <c r="V522" s="589"/>
      <c r="W522" s="589"/>
      <c r="X522" s="589"/>
      <c r="Y522" s="589"/>
      <c r="Z522" s="589"/>
      <c r="AA522" s="589"/>
      <c r="AB522" s="589"/>
      <c r="AC522" s="589"/>
      <c r="AD522" s="589"/>
      <c r="AE522" s="589"/>
      <c r="AF522" s="589"/>
      <c r="AG522" s="589"/>
      <c r="AH522" s="589"/>
      <c r="AI522" s="589"/>
      <c r="AJ522" s="589"/>
      <c r="AK522" s="589"/>
      <c r="AL522" s="589"/>
      <c r="AM522" s="589"/>
      <c r="AN522" s="589"/>
      <c r="AO522" s="589"/>
      <c r="AP522" s="589"/>
      <c r="AQ522" s="589"/>
      <c r="AR522" s="589"/>
      <c r="AS522" s="589"/>
    </row>
    <row r="523" spans="1:45" ht="15">
      <c r="A523" s="590" t="s">
        <v>178</v>
      </c>
      <c r="B523" s="591" t="s">
        <v>578</v>
      </c>
      <c r="C523" s="591" t="s">
        <v>812</v>
      </c>
      <c r="D523" s="592">
        <v>2015</v>
      </c>
      <c r="E523" s="591" t="s">
        <v>775</v>
      </c>
      <c r="F523" s="592">
        <v>164</v>
      </c>
      <c r="G523" s="592">
        <v>0</v>
      </c>
      <c r="H523" s="592">
        <v>0</v>
      </c>
      <c r="I523" s="592">
        <v>0</v>
      </c>
      <c r="J523" s="592">
        <v>114</v>
      </c>
      <c r="K523" s="592">
        <v>0</v>
      </c>
      <c r="L523" s="592">
        <v>0</v>
      </c>
      <c r="M523" s="592">
        <v>0</v>
      </c>
      <c r="N523" s="593">
        <v>125</v>
      </c>
      <c r="O523" s="593">
        <v>0</v>
      </c>
      <c r="P523" s="593">
        <v>294</v>
      </c>
      <c r="Q523" s="593">
        <v>20</v>
      </c>
      <c r="R523" s="593">
        <v>697</v>
      </c>
      <c r="S523" s="593">
        <v>20</v>
      </c>
      <c r="T523" s="593">
        <v>2015</v>
      </c>
      <c r="U523" s="593">
        <v>2014</v>
      </c>
      <c r="V523" s="589"/>
      <c r="W523" s="589"/>
      <c r="X523" s="589"/>
      <c r="Y523" s="589"/>
      <c r="Z523" s="589"/>
      <c r="AA523" s="589"/>
      <c r="AB523" s="589"/>
      <c r="AC523" s="589"/>
      <c r="AD523" s="589"/>
      <c r="AE523" s="589"/>
      <c r="AF523" s="589"/>
      <c r="AG523" s="589"/>
      <c r="AH523" s="589"/>
      <c r="AI523" s="589"/>
      <c r="AJ523" s="589"/>
      <c r="AK523" s="589"/>
      <c r="AL523" s="589"/>
      <c r="AM523" s="589"/>
      <c r="AN523" s="589"/>
      <c r="AO523" s="589"/>
      <c r="AP523" s="589"/>
      <c r="AQ523" s="589"/>
      <c r="AR523" s="589"/>
      <c r="AS523" s="589"/>
    </row>
    <row r="524" spans="1:45" ht="15">
      <c r="A524" s="587" t="s">
        <v>187</v>
      </c>
      <c r="B524" s="587" t="s">
        <v>658</v>
      </c>
      <c r="C524" s="587" t="s">
        <v>774</v>
      </c>
      <c r="D524" s="588">
        <v>2015</v>
      </c>
      <c r="E524" s="587" t="s">
        <v>775</v>
      </c>
      <c r="F524" s="588">
        <v>23</v>
      </c>
      <c r="G524" s="588">
        <v>4</v>
      </c>
      <c r="H524" s="588">
        <v>0</v>
      </c>
      <c r="I524" s="588">
        <v>4</v>
      </c>
      <c r="J524" s="588">
        <v>13</v>
      </c>
      <c r="K524" s="588">
        <v>0</v>
      </c>
      <c r="L524" s="588">
        <v>0</v>
      </c>
      <c r="M524" s="588">
        <v>0</v>
      </c>
      <c r="N524" s="588">
        <v>13</v>
      </c>
      <c r="O524" s="588">
        <v>1</v>
      </c>
      <c r="P524" s="588">
        <v>12</v>
      </c>
      <c r="Q524" s="588">
        <v>2</v>
      </c>
      <c r="R524" s="588">
        <v>61</v>
      </c>
      <c r="S524" s="588">
        <v>7</v>
      </c>
      <c r="T524" s="588">
        <v>2015</v>
      </c>
      <c r="U524" s="588">
        <v>2015</v>
      </c>
      <c r="V524" s="589"/>
      <c r="W524" s="589"/>
      <c r="X524" s="589"/>
      <c r="Y524" s="589"/>
      <c r="Z524" s="589"/>
      <c r="AA524" s="589"/>
      <c r="AB524" s="589"/>
      <c r="AC524" s="589"/>
      <c r="AD524" s="589"/>
      <c r="AE524" s="589"/>
      <c r="AF524" s="589"/>
      <c r="AG524" s="589"/>
      <c r="AH524" s="589"/>
      <c r="AI524" s="589"/>
      <c r="AJ524" s="589"/>
      <c r="AK524" s="589"/>
      <c r="AL524" s="589"/>
      <c r="AM524" s="589"/>
      <c r="AN524" s="589"/>
      <c r="AO524" s="589"/>
      <c r="AP524" s="589"/>
      <c r="AQ524" s="589"/>
      <c r="AR524" s="589"/>
      <c r="AS524" s="589"/>
    </row>
    <row r="525" spans="1:45" ht="15">
      <c r="A525" s="590" t="s">
        <v>164</v>
      </c>
      <c r="B525" s="591" t="s">
        <v>164</v>
      </c>
      <c r="C525" s="591" t="s">
        <v>177</v>
      </c>
      <c r="D525" s="592">
        <v>2015</v>
      </c>
      <c r="E525" s="591" t="s">
        <v>775</v>
      </c>
      <c r="F525" s="592">
        <v>157</v>
      </c>
      <c r="G525" s="592">
        <v>0</v>
      </c>
      <c r="H525" s="592">
        <v>0</v>
      </c>
      <c r="I525" s="592">
        <v>0</v>
      </c>
      <c r="J525" s="592">
        <v>102</v>
      </c>
      <c r="K525" s="592">
        <v>0</v>
      </c>
      <c r="L525" s="592">
        <v>0</v>
      </c>
      <c r="M525" s="592">
        <v>0</v>
      </c>
      <c r="N525" s="593">
        <v>119</v>
      </c>
      <c r="O525" s="593">
        <v>2</v>
      </c>
      <c r="P525" s="593">
        <v>272</v>
      </c>
      <c r="Q525" s="593">
        <v>55</v>
      </c>
      <c r="R525" s="593">
        <v>650</v>
      </c>
      <c r="S525" s="593">
        <v>57</v>
      </c>
      <c r="T525" s="593">
        <v>2016</v>
      </c>
      <c r="U525" s="593">
        <v>2016</v>
      </c>
      <c r="V525" s="589"/>
      <c r="W525" s="589"/>
      <c r="X525" s="589"/>
      <c r="Y525" s="589"/>
      <c r="Z525" s="589"/>
      <c r="AA525" s="589"/>
      <c r="AB525" s="589"/>
      <c r="AC525" s="589"/>
      <c r="AD525" s="589"/>
      <c r="AE525" s="589"/>
      <c r="AF525" s="589"/>
      <c r="AG525" s="589"/>
      <c r="AH525" s="589"/>
      <c r="AI525" s="589"/>
      <c r="AJ525" s="589"/>
      <c r="AK525" s="589"/>
      <c r="AL525" s="589"/>
      <c r="AM525" s="589"/>
      <c r="AN525" s="589"/>
      <c r="AO525" s="589"/>
      <c r="AP525" s="589"/>
      <c r="AQ525" s="589"/>
      <c r="AR525" s="589"/>
      <c r="AS525" s="589"/>
    </row>
    <row r="526" spans="1:45" ht="15">
      <c r="A526" s="587" t="s">
        <v>164</v>
      </c>
      <c r="B526" s="587" t="s">
        <v>470</v>
      </c>
      <c r="C526" s="587" t="s">
        <v>177</v>
      </c>
      <c r="D526" s="588">
        <v>2015</v>
      </c>
      <c r="E526" s="587" t="s">
        <v>775</v>
      </c>
      <c r="F526" s="588">
        <v>374</v>
      </c>
      <c r="G526" s="588">
        <v>137</v>
      </c>
      <c r="H526" s="588">
        <v>37</v>
      </c>
      <c r="I526" s="588">
        <v>100</v>
      </c>
      <c r="J526" s="588">
        <v>244</v>
      </c>
      <c r="K526" s="588">
        <v>6</v>
      </c>
      <c r="L526" s="588">
        <v>6</v>
      </c>
      <c r="M526" s="588">
        <v>0</v>
      </c>
      <c r="N526" s="588">
        <v>282</v>
      </c>
      <c r="O526" s="588">
        <v>0</v>
      </c>
      <c r="P526" s="588">
        <v>651</v>
      </c>
      <c r="Q526" s="588">
        <v>189</v>
      </c>
      <c r="R526" s="588">
        <v>1551</v>
      </c>
      <c r="S526" s="588">
        <v>332</v>
      </c>
      <c r="T526" s="588">
        <v>2016</v>
      </c>
      <c r="U526" s="588">
        <v>2016</v>
      </c>
      <c r="V526" s="589"/>
      <c r="W526" s="589"/>
      <c r="X526" s="589"/>
      <c r="Y526" s="589"/>
      <c r="Z526" s="589"/>
      <c r="AA526" s="589"/>
      <c r="AB526" s="589"/>
      <c r="AC526" s="589"/>
      <c r="AD526" s="589"/>
      <c r="AE526" s="589"/>
      <c r="AF526" s="589"/>
      <c r="AG526" s="589"/>
      <c r="AH526" s="589"/>
      <c r="AI526" s="589"/>
      <c r="AJ526" s="589"/>
      <c r="AK526" s="589"/>
      <c r="AL526" s="589"/>
      <c r="AM526" s="589"/>
      <c r="AN526" s="589"/>
      <c r="AO526" s="589"/>
      <c r="AP526" s="589"/>
      <c r="AQ526" s="589"/>
      <c r="AR526" s="589"/>
      <c r="AS526" s="589"/>
    </row>
    <row r="527" spans="1:45" ht="15">
      <c r="A527" s="590" t="s">
        <v>201</v>
      </c>
      <c r="B527" s="591" t="s">
        <v>732</v>
      </c>
      <c r="C527" s="591" t="s">
        <v>812</v>
      </c>
      <c r="D527" s="592">
        <v>2015</v>
      </c>
      <c r="E527" s="591" t="s">
        <v>775</v>
      </c>
      <c r="F527" s="592">
        <v>289</v>
      </c>
      <c r="G527" s="592">
        <v>5</v>
      </c>
      <c r="H527" s="592">
        <v>5</v>
      </c>
      <c r="I527" s="592">
        <v>0</v>
      </c>
      <c r="J527" s="592">
        <v>197</v>
      </c>
      <c r="K527" s="592">
        <v>15</v>
      </c>
      <c r="L527" s="592">
        <v>15</v>
      </c>
      <c r="M527" s="592">
        <v>0</v>
      </c>
      <c r="N527" s="593">
        <v>216</v>
      </c>
      <c r="O527" s="593">
        <v>9</v>
      </c>
      <c r="P527" s="593">
        <v>462</v>
      </c>
      <c r="Q527" s="593">
        <v>144</v>
      </c>
      <c r="R527" s="593">
        <v>1164</v>
      </c>
      <c r="S527" s="593">
        <v>173</v>
      </c>
      <c r="T527" s="593">
        <v>2015</v>
      </c>
      <c r="U527" s="593">
        <v>2014</v>
      </c>
      <c r="V527" s="589"/>
      <c r="W527" s="589"/>
      <c r="X527" s="589"/>
      <c r="Y527" s="589"/>
      <c r="Z527" s="589"/>
      <c r="AA527" s="589"/>
      <c r="AB527" s="589"/>
      <c r="AC527" s="589"/>
      <c r="AD527" s="589"/>
      <c r="AE527" s="589"/>
      <c r="AF527" s="589"/>
      <c r="AG527" s="589"/>
      <c r="AH527" s="589"/>
      <c r="AI527" s="589"/>
      <c r="AJ527" s="589"/>
      <c r="AK527" s="589"/>
      <c r="AL527" s="589"/>
      <c r="AM527" s="589"/>
      <c r="AN527" s="589"/>
      <c r="AO527" s="589"/>
      <c r="AP527" s="589"/>
      <c r="AQ527" s="589"/>
      <c r="AR527" s="589"/>
      <c r="AS527" s="589"/>
    </row>
    <row r="528" spans="1:45" ht="15">
      <c r="A528" s="587" t="s">
        <v>136</v>
      </c>
      <c r="B528" s="587" t="s">
        <v>275</v>
      </c>
      <c r="C528" s="587" t="s">
        <v>774</v>
      </c>
      <c r="D528" s="588">
        <v>2015</v>
      </c>
      <c r="E528" s="587" t="s">
        <v>775</v>
      </c>
      <c r="F528" s="588">
        <v>75</v>
      </c>
      <c r="G528" s="588">
        <v>0</v>
      </c>
      <c r="H528" s="588">
        <v>0</v>
      </c>
      <c r="I528" s="588">
        <v>0</v>
      </c>
      <c r="J528" s="588">
        <v>44</v>
      </c>
      <c r="K528" s="588">
        <v>0</v>
      </c>
      <c r="L528" s="588">
        <v>0</v>
      </c>
      <c r="M528" s="588">
        <v>0</v>
      </c>
      <c r="N528" s="588">
        <v>50</v>
      </c>
      <c r="O528" s="588">
        <v>0</v>
      </c>
      <c r="P528" s="588">
        <v>60</v>
      </c>
      <c r="Q528" s="588">
        <v>8</v>
      </c>
      <c r="R528" s="588">
        <v>229</v>
      </c>
      <c r="S528" s="588">
        <v>8</v>
      </c>
      <c r="T528" s="588">
        <v>2015</v>
      </c>
      <c r="U528" s="588">
        <v>2015</v>
      </c>
      <c r="V528" s="589"/>
      <c r="W528" s="589"/>
      <c r="X528" s="589"/>
      <c r="Y528" s="589"/>
      <c r="Z528" s="589"/>
      <c r="AA528" s="589"/>
      <c r="AB528" s="589"/>
      <c r="AC528" s="589"/>
      <c r="AD528" s="589"/>
      <c r="AE528" s="589"/>
      <c r="AF528" s="589"/>
      <c r="AG528" s="589"/>
      <c r="AH528" s="589"/>
      <c r="AI528" s="589"/>
      <c r="AJ528" s="589"/>
      <c r="AK528" s="589"/>
      <c r="AL528" s="589"/>
      <c r="AM528" s="589"/>
      <c r="AN528" s="589"/>
      <c r="AO528" s="589"/>
      <c r="AP528" s="589"/>
      <c r="AQ528" s="589"/>
      <c r="AR528" s="589"/>
      <c r="AS528" s="589"/>
    </row>
    <row r="529" spans="1:45" ht="15">
      <c r="A529" s="590" t="s">
        <v>173</v>
      </c>
      <c r="B529" s="591" t="s">
        <v>545</v>
      </c>
      <c r="C529" s="591" t="s">
        <v>812</v>
      </c>
      <c r="D529" s="592">
        <v>2015</v>
      </c>
      <c r="E529" s="591" t="s">
        <v>775</v>
      </c>
      <c r="F529" s="592">
        <v>1500</v>
      </c>
      <c r="G529" s="592">
        <v>0</v>
      </c>
      <c r="H529" s="592">
        <v>0</v>
      </c>
      <c r="I529" s="592">
        <v>0</v>
      </c>
      <c r="J529" s="592">
        <v>993</v>
      </c>
      <c r="K529" s="592">
        <v>0</v>
      </c>
      <c r="L529" s="592">
        <v>0</v>
      </c>
      <c r="M529" s="592">
        <v>0</v>
      </c>
      <c r="N529" s="593">
        <v>1112</v>
      </c>
      <c r="O529" s="593">
        <v>0</v>
      </c>
      <c r="P529" s="593">
        <v>2564</v>
      </c>
      <c r="Q529" s="593">
        <v>103</v>
      </c>
      <c r="R529" s="593">
        <v>6169</v>
      </c>
      <c r="S529" s="593">
        <v>103</v>
      </c>
      <c r="T529" s="593">
        <v>2015</v>
      </c>
      <c r="U529" s="593">
        <v>2014</v>
      </c>
      <c r="V529" s="589"/>
      <c r="W529" s="589"/>
      <c r="X529" s="589"/>
      <c r="Y529" s="589"/>
      <c r="Z529" s="589"/>
      <c r="AA529" s="589"/>
      <c r="AB529" s="589"/>
      <c r="AC529" s="589"/>
      <c r="AD529" s="589"/>
      <c r="AE529" s="589"/>
      <c r="AF529" s="589"/>
      <c r="AG529" s="589"/>
      <c r="AH529" s="589"/>
      <c r="AI529" s="589"/>
      <c r="AJ529" s="589"/>
      <c r="AK529" s="589"/>
      <c r="AL529" s="589"/>
      <c r="AM529" s="589"/>
      <c r="AN529" s="589"/>
      <c r="AO529" s="589"/>
      <c r="AP529" s="589"/>
      <c r="AQ529" s="589"/>
      <c r="AR529" s="589"/>
      <c r="AS529" s="589"/>
    </row>
    <row r="530" spans="1:45" ht="15">
      <c r="A530" s="587" t="s">
        <v>187</v>
      </c>
      <c r="B530" s="587" t="s">
        <v>659</v>
      </c>
      <c r="C530" s="587" t="s">
        <v>774</v>
      </c>
      <c r="D530" s="588">
        <v>2015</v>
      </c>
      <c r="E530" s="587" t="s">
        <v>775</v>
      </c>
      <c r="F530" s="588">
        <v>273</v>
      </c>
      <c r="G530" s="588">
        <v>12</v>
      </c>
      <c r="H530" s="588">
        <v>12</v>
      </c>
      <c r="I530" s="588">
        <v>0</v>
      </c>
      <c r="J530" s="588">
        <v>154</v>
      </c>
      <c r="K530" s="588">
        <v>118</v>
      </c>
      <c r="L530" s="588">
        <v>118</v>
      </c>
      <c r="M530" s="588">
        <v>0</v>
      </c>
      <c r="N530" s="588">
        <v>185</v>
      </c>
      <c r="O530" s="588">
        <v>107</v>
      </c>
      <c r="P530" s="588">
        <v>316</v>
      </c>
      <c r="Q530" s="588">
        <v>647</v>
      </c>
      <c r="R530" s="588">
        <v>928</v>
      </c>
      <c r="S530" s="588">
        <v>884</v>
      </c>
      <c r="T530" s="588">
        <v>2015</v>
      </c>
      <c r="U530" s="588">
        <v>2015</v>
      </c>
      <c r="V530" s="589"/>
      <c r="W530" s="589"/>
      <c r="X530" s="589"/>
      <c r="Y530" s="589"/>
      <c r="Z530" s="589"/>
      <c r="AA530" s="589"/>
      <c r="AB530" s="589"/>
      <c r="AC530" s="589"/>
      <c r="AD530" s="589"/>
      <c r="AE530" s="589"/>
      <c r="AF530" s="589"/>
      <c r="AG530" s="589"/>
      <c r="AH530" s="589"/>
      <c r="AI530" s="589"/>
      <c r="AJ530" s="589"/>
      <c r="AK530" s="589"/>
      <c r="AL530" s="589"/>
      <c r="AM530" s="589"/>
      <c r="AN530" s="589"/>
      <c r="AO530" s="589"/>
      <c r="AP530" s="589"/>
      <c r="AQ530" s="589"/>
      <c r="AR530" s="589"/>
      <c r="AS530" s="589"/>
    </row>
    <row r="531" spans="1:45" ht="15">
      <c r="A531" s="590" t="s">
        <v>187</v>
      </c>
      <c r="B531" s="591" t="s">
        <v>660</v>
      </c>
      <c r="C531" s="591" t="s">
        <v>774</v>
      </c>
      <c r="D531" s="592">
        <v>2015</v>
      </c>
      <c r="E531" s="591" t="s">
        <v>775</v>
      </c>
      <c r="F531" s="592">
        <v>814</v>
      </c>
      <c r="G531" s="592">
        <v>0</v>
      </c>
      <c r="H531" s="592">
        <v>0</v>
      </c>
      <c r="I531" s="592">
        <v>0</v>
      </c>
      <c r="J531" s="592">
        <v>492</v>
      </c>
      <c r="K531" s="592">
        <v>9</v>
      </c>
      <c r="L531" s="592">
        <v>9</v>
      </c>
      <c r="M531" s="592">
        <v>0</v>
      </c>
      <c r="N531" s="593">
        <v>527</v>
      </c>
      <c r="O531" s="593">
        <v>0</v>
      </c>
      <c r="P531" s="593">
        <v>1093</v>
      </c>
      <c r="Q531" s="593">
        <v>278</v>
      </c>
      <c r="R531" s="593">
        <v>2926</v>
      </c>
      <c r="S531" s="593">
        <v>287</v>
      </c>
      <c r="T531" s="593">
        <v>2015</v>
      </c>
      <c r="U531" s="593">
        <v>2015</v>
      </c>
      <c r="V531" s="589"/>
      <c r="W531" s="589"/>
      <c r="X531" s="589"/>
      <c r="Y531" s="589"/>
      <c r="Z531" s="589"/>
      <c r="AA531" s="589"/>
      <c r="AB531" s="589"/>
      <c r="AC531" s="589"/>
      <c r="AD531" s="589"/>
      <c r="AE531" s="589"/>
      <c r="AF531" s="589"/>
      <c r="AG531" s="589"/>
      <c r="AH531" s="589"/>
      <c r="AI531" s="589"/>
      <c r="AJ531" s="589"/>
      <c r="AK531" s="589"/>
      <c r="AL531" s="589"/>
      <c r="AM531" s="589"/>
      <c r="AN531" s="589"/>
      <c r="AO531" s="589"/>
      <c r="AP531" s="589"/>
      <c r="AQ531" s="589"/>
      <c r="AR531" s="589"/>
      <c r="AS531" s="589"/>
    </row>
    <row r="532" spans="1:45" ht="15">
      <c r="A532" s="587" t="s">
        <v>173</v>
      </c>
      <c r="B532" s="587" t="s">
        <v>546</v>
      </c>
      <c r="C532" s="587" t="s">
        <v>812</v>
      </c>
      <c r="D532" s="588">
        <v>2015</v>
      </c>
      <c r="E532" s="587" t="s">
        <v>775</v>
      </c>
      <c r="F532" s="588">
        <v>395</v>
      </c>
      <c r="G532" s="588">
        <v>0</v>
      </c>
      <c r="H532" s="588">
        <v>0</v>
      </c>
      <c r="I532" s="588">
        <v>0</v>
      </c>
      <c r="J532" s="588">
        <v>262</v>
      </c>
      <c r="K532" s="588">
        <v>0</v>
      </c>
      <c r="L532" s="588">
        <v>0</v>
      </c>
      <c r="M532" s="588">
        <v>0</v>
      </c>
      <c r="N532" s="588">
        <v>289</v>
      </c>
      <c r="O532" s="588">
        <v>0</v>
      </c>
      <c r="P532" s="588">
        <v>627</v>
      </c>
      <c r="Q532" s="588">
        <v>93</v>
      </c>
      <c r="R532" s="588">
        <v>1573</v>
      </c>
      <c r="S532" s="588">
        <v>93</v>
      </c>
      <c r="T532" s="588">
        <v>2015</v>
      </c>
      <c r="U532" s="588">
        <v>2014</v>
      </c>
      <c r="V532" s="589"/>
      <c r="W532" s="589"/>
      <c r="X532" s="589"/>
      <c r="Y532" s="589"/>
      <c r="Z532" s="589"/>
      <c r="AA532" s="589"/>
      <c r="AB532" s="589"/>
      <c r="AC532" s="589"/>
      <c r="AD532" s="589"/>
      <c r="AE532" s="589"/>
      <c r="AF532" s="589"/>
      <c r="AG532" s="589"/>
      <c r="AH532" s="589"/>
      <c r="AI532" s="589"/>
      <c r="AJ532" s="589"/>
      <c r="AK532" s="589"/>
      <c r="AL532" s="589"/>
      <c r="AM532" s="589"/>
      <c r="AN532" s="589"/>
      <c r="AO532" s="589"/>
      <c r="AP532" s="589"/>
      <c r="AQ532" s="589"/>
      <c r="AR532" s="589"/>
      <c r="AS532" s="589"/>
    </row>
    <row r="533" spans="1:45" ht="15">
      <c r="A533" s="590" t="s">
        <v>166</v>
      </c>
      <c r="B533" s="591" t="s">
        <v>166</v>
      </c>
      <c r="C533" s="591" t="s">
        <v>774</v>
      </c>
      <c r="D533" s="592">
        <v>2015</v>
      </c>
      <c r="E533" s="591" t="s">
        <v>775</v>
      </c>
      <c r="F533" s="592">
        <v>185</v>
      </c>
      <c r="G533" s="592">
        <v>0</v>
      </c>
      <c r="H533" s="592">
        <v>0</v>
      </c>
      <c r="I533" s="592">
        <v>0</v>
      </c>
      <c r="J533" s="592">
        <v>106</v>
      </c>
      <c r="K533" s="592">
        <v>0</v>
      </c>
      <c r="L533" s="592">
        <v>0</v>
      </c>
      <c r="M533" s="592">
        <v>0</v>
      </c>
      <c r="N533" s="593">
        <v>141</v>
      </c>
      <c r="O533" s="593">
        <v>0</v>
      </c>
      <c r="P533" s="593">
        <v>403</v>
      </c>
      <c r="Q533" s="593">
        <v>0</v>
      </c>
      <c r="R533" s="593">
        <v>835</v>
      </c>
      <c r="S533" s="593">
        <v>0</v>
      </c>
      <c r="T533" s="593">
        <v>2015</v>
      </c>
      <c r="U533" s="593">
        <v>2015</v>
      </c>
      <c r="V533" s="589"/>
      <c r="W533" s="589"/>
      <c r="X533" s="589"/>
      <c r="Y533" s="589"/>
      <c r="Z533" s="589"/>
      <c r="AA533" s="589"/>
      <c r="AB533" s="589"/>
      <c r="AC533" s="589"/>
      <c r="AD533" s="589"/>
      <c r="AE533" s="589"/>
      <c r="AF533" s="589"/>
      <c r="AG533" s="589"/>
      <c r="AH533" s="589"/>
      <c r="AI533" s="589"/>
      <c r="AJ533" s="589"/>
      <c r="AK533" s="589"/>
      <c r="AL533" s="589"/>
      <c r="AM533" s="589"/>
      <c r="AN533" s="589"/>
      <c r="AO533" s="589"/>
      <c r="AP533" s="589"/>
      <c r="AQ533" s="589"/>
      <c r="AR533" s="589"/>
      <c r="AS533" s="589"/>
    </row>
    <row r="534" spans="1:45" ht="15">
      <c r="A534" s="587" t="s">
        <v>166</v>
      </c>
      <c r="B534" s="587" t="s">
        <v>478</v>
      </c>
      <c r="C534" s="587" t="s">
        <v>774</v>
      </c>
      <c r="D534" s="588">
        <v>2015</v>
      </c>
      <c r="E534" s="587" t="s">
        <v>775</v>
      </c>
      <c r="F534" s="588">
        <v>51</v>
      </c>
      <c r="G534" s="588">
        <v>0</v>
      </c>
      <c r="H534" s="588">
        <v>0</v>
      </c>
      <c r="I534" s="588">
        <v>0</v>
      </c>
      <c r="J534" s="588">
        <v>30</v>
      </c>
      <c r="K534" s="588">
        <v>0</v>
      </c>
      <c r="L534" s="588">
        <v>0</v>
      </c>
      <c r="M534" s="588">
        <v>0</v>
      </c>
      <c r="N534" s="588">
        <v>32</v>
      </c>
      <c r="O534" s="588">
        <v>8</v>
      </c>
      <c r="P534" s="588">
        <v>67</v>
      </c>
      <c r="Q534" s="588">
        <v>11</v>
      </c>
      <c r="R534" s="588">
        <v>180</v>
      </c>
      <c r="S534" s="588">
        <v>19</v>
      </c>
      <c r="T534" s="588">
        <v>2015</v>
      </c>
      <c r="U534" s="588">
        <v>2015</v>
      </c>
      <c r="V534" s="589"/>
      <c r="W534" s="589"/>
      <c r="X534" s="589"/>
      <c r="Y534" s="589"/>
      <c r="Z534" s="589"/>
      <c r="AA534" s="589"/>
      <c r="AB534" s="589"/>
      <c r="AC534" s="589"/>
      <c r="AD534" s="589"/>
      <c r="AE534" s="589"/>
      <c r="AF534" s="589"/>
      <c r="AG534" s="589"/>
      <c r="AH534" s="589"/>
      <c r="AI534" s="589"/>
      <c r="AJ534" s="589"/>
      <c r="AK534" s="589"/>
      <c r="AL534" s="589"/>
      <c r="AM534" s="589"/>
      <c r="AN534" s="589"/>
      <c r="AO534" s="589"/>
      <c r="AP534" s="589"/>
      <c r="AQ534" s="589"/>
      <c r="AR534" s="589"/>
      <c r="AS534" s="589"/>
    </row>
    <row r="535" spans="1:45" ht="15">
      <c r="A535" s="590" t="s">
        <v>179</v>
      </c>
      <c r="B535" s="591" t="s">
        <v>600</v>
      </c>
      <c r="C535" s="591" t="s">
        <v>855</v>
      </c>
      <c r="D535" s="592">
        <v>2015</v>
      </c>
      <c r="E535" s="591" t="s">
        <v>775</v>
      </c>
      <c r="F535" s="592">
        <v>465</v>
      </c>
      <c r="G535" s="592">
        <v>0</v>
      </c>
      <c r="H535" s="592">
        <v>0</v>
      </c>
      <c r="I535" s="592">
        <v>0</v>
      </c>
      <c r="J535" s="592">
        <v>353</v>
      </c>
      <c r="K535" s="592">
        <v>0</v>
      </c>
      <c r="L535" s="592">
        <v>0</v>
      </c>
      <c r="M535" s="592">
        <v>0</v>
      </c>
      <c r="N535" s="593">
        <v>327</v>
      </c>
      <c r="O535" s="593">
        <v>0</v>
      </c>
      <c r="P535" s="593">
        <v>718</v>
      </c>
      <c r="Q535" s="593">
        <v>143</v>
      </c>
      <c r="R535" s="593">
        <v>1863</v>
      </c>
      <c r="S535" s="593">
        <v>143</v>
      </c>
      <c r="T535" s="593">
        <v>2015</v>
      </c>
      <c r="U535" s="593">
        <v>2013</v>
      </c>
      <c r="V535" s="589"/>
      <c r="W535" s="589"/>
      <c r="X535" s="589"/>
      <c r="Y535" s="589"/>
      <c r="Z535" s="589"/>
      <c r="AA535" s="589"/>
      <c r="AB535" s="589"/>
      <c r="AC535" s="589"/>
      <c r="AD535" s="589"/>
      <c r="AE535" s="589"/>
      <c r="AF535" s="589"/>
      <c r="AG535" s="589"/>
      <c r="AH535" s="589"/>
      <c r="AI535" s="589"/>
      <c r="AJ535" s="589"/>
      <c r="AK535" s="589"/>
      <c r="AL535" s="589"/>
      <c r="AM535" s="589"/>
      <c r="AN535" s="589"/>
      <c r="AO535" s="589"/>
      <c r="AP535" s="589"/>
      <c r="AQ535" s="589"/>
      <c r="AR535" s="589"/>
      <c r="AS535" s="589"/>
    </row>
    <row r="536" spans="1:45" ht="15">
      <c r="A536" s="587" t="s">
        <v>178</v>
      </c>
      <c r="B536" s="587" t="s">
        <v>579</v>
      </c>
      <c r="C536" s="587" t="s">
        <v>812</v>
      </c>
      <c r="D536" s="588">
        <v>2015</v>
      </c>
      <c r="E536" s="587" t="s">
        <v>775</v>
      </c>
      <c r="F536" s="588">
        <v>38</v>
      </c>
      <c r="G536" s="588">
        <v>0</v>
      </c>
      <c r="H536" s="588">
        <v>0</v>
      </c>
      <c r="I536" s="588">
        <v>0</v>
      </c>
      <c r="J536" s="588">
        <v>29</v>
      </c>
      <c r="K536" s="588">
        <v>0</v>
      </c>
      <c r="L536" s="588">
        <v>0</v>
      </c>
      <c r="M536" s="588">
        <v>0</v>
      </c>
      <c r="N536" s="588">
        <v>34</v>
      </c>
      <c r="O536" s="588">
        <v>0</v>
      </c>
      <c r="P536" s="588">
        <v>80</v>
      </c>
      <c r="Q536" s="588">
        <v>6</v>
      </c>
      <c r="R536" s="588">
        <v>181</v>
      </c>
      <c r="S536" s="588">
        <v>6</v>
      </c>
      <c r="T536" s="588">
        <v>2015</v>
      </c>
      <c r="U536" s="588">
        <v>2014</v>
      </c>
      <c r="V536" s="589"/>
      <c r="W536" s="589"/>
      <c r="X536" s="589"/>
      <c r="Y536" s="589"/>
      <c r="Z536" s="589"/>
      <c r="AA536" s="589"/>
      <c r="AB536" s="589"/>
      <c r="AC536" s="589"/>
      <c r="AD536" s="589"/>
      <c r="AE536" s="589"/>
      <c r="AF536" s="589"/>
      <c r="AG536" s="589"/>
      <c r="AH536" s="589"/>
      <c r="AI536" s="589"/>
      <c r="AJ536" s="589"/>
      <c r="AK536" s="589"/>
      <c r="AL536" s="589"/>
      <c r="AM536" s="589"/>
      <c r="AN536" s="589"/>
      <c r="AO536" s="589"/>
      <c r="AP536" s="589"/>
      <c r="AQ536" s="589"/>
      <c r="AR536" s="589"/>
      <c r="AS536" s="589"/>
    </row>
    <row r="537" spans="1:45" ht="15">
      <c r="A537" s="590" t="s">
        <v>168</v>
      </c>
      <c r="B537" s="591" t="s">
        <v>482</v>
      </c>
      <c r="C537" s="591" t="s">
        <v>784</v>
      </c>
      <c r="D537" s="592">
        <v>2015</v>
      </c>
      <c r="E537" s="591" t="s">
        <v>775</v>
      </c>
      <c r="F537" s="592">
        <v>19</v>
      </c>
      <c r="G537" s="592">
        <v>0</v>
      </c>
      <c r="H537" s="592">
        <v>0</v>
      </c>
      <c r="I537" s="592">
        <v>0</v>
      </c>
      <c r="J537" s="592">
        <v>14</v>
      </c>
      <c r="K537" s="592">
        <v>1</v>
      </c>
      <c r="L537" s="592">
        <v>0</v>
      </c>
      <c r="M537" s="592">
        <v>1</v>
      </c>
      <c r="N537" s="593">
        <v>16</v>
      </c>
      <c r="O537" s="593">
        <v>1</v>
      </c>
      <c r="P537" s="593">
        <v>36</v>
      </c>
      <c r="Q537" s="593">
        <v>0</v>
      </c>
      <c r="R537" s="593">
        <v>85</v>
      </c>
      <c r="S537" s="593">
        <v>2</v>
      </c>
      <c r="T537" s="593">
        <v>2015</v>
      </c>
      <c r="U537" s="593">
        <v>2014</v>
      </c>
      <c r="V537" s="589"/>
      <c r="W537" s="589"/>
      <c r="X537" s="589"/>
      <c r="Y537" s="589"/>
      <c r="Z537" s="589"/>
      <c r="AA537" s="589"/>
      <c r="AB537" s="589"/>
      <c r="AC537" s="589"/>
      <c r="AD537" s="589"/>
      <c r="AE537" s="589"/>
      <c r="AF537" s="589"/>
      <c r="AG537" s="589"/>
      <c r="AH537" s="589"/>
      <c r="AI537" s="589"/>
      <c r="AJ537" s="589"/>
      <c r="AK537" s="589"/>
      <c r="AL537" s="589"/>
      <c r="AM537" s="589"/>
      <c r="AN537" s="589"/>
      <c r="AO537" s="589"/>
      <c r="AP537" s="589"/>
      <c r="AQ537" s="589"/>
      <c r="AR537" s="589"/>
      <c r="AS537" s="589"/>
    </row>
    <row r="538" spans="1:45" ht="15">
      <c r="A538" s="587" t="s">
        <v>168</v>
      </c>
      <c r="B538" s="587" t="s">
        <v>483</v>
      </c>
      <c r="C538" s="587" t="s">
        <v>784</v>
      </c>
      <c r="D538" s="588">
        <v>2015</v>
      </c>
      <c r="E538" s="587" t="s">
        <v>775</v>
      </c>
      <c r="F538" s="588">
        <v>174</v>
      </c>
      <c r="G538" s="588">
        <v>27</v>
      </c>
      <c r="H538" s="588">
        <v>0</v>
      </c>
      <c r="I538" s="588">
        <v>27</v>
      </c>
      <c r="J538" s="588">
        <v>126</v>
      </c>
      <c r="K538" s="588">
        <v>20</v>
      </c>
      <c r="L538" s="588">
        <v>20</v>
      </c>
      <c r="M538" s="588">
        <v>0</v>
      </c>
      <c r="N538" s="588">
        <v>150</v>
      </c>
      <c r="O538" s="588">
        <v>29</v>
      </c>
      <c r="P538" s="588">
        <v>314</v>
      </c>
      <c r="Q538" s="588">
        <v>70</v>
      </c>
      <c r="R538" s="588">
        <v>764</v>
      </c>
      <c r="S538" s="588">
        <v>146</v>
      </c>
      <c r="T538" s="588">
        <v>2015</v>
      </c>
      <c r="U538" s="588">
        <v>2014</v>
      </c>
      <c r="V538" s="589"/>
      <c r="W538" s="589"/>
      <c r="X538" s="589"/>
      <c r="Y538" s="589"/>
      <c r="Z538" s="589"/>
      <c r="AA538" s="589"/>
      <c r="AB538" s="589"/>
      <c r="AC538" s="589"/>
      <c r="AD538" s="589"/>
      <c r="AE538" s="589"/>
      <c r="AF538" s="589"/>
      <c r="AG538" s="589"/>
      <c r="AH538" s="589"/>
      <c r="AI538" s="589"/>
      <c r="AJ538" s="589"/>
      <c r="AK538" s="589"/>
      <c r="AL538" s="589"/>
      <c r="AM538" s="589"/>
      <c r="AN538" s="589"/>
      <c r="AO538" s="589"/>
      <c r="AP538" s="589"/>
      <c r="AQ538" s="589"/>
      <c r="AR538" s="589"/>
      <c r="AS538" s="589"/>
    </row>
    <row r="539" spans="1:45" ht="15">
      <c r="A539" s="590" t="s">
        <v>125</v>
      </c>
      <c r="B539" s="591" t="s">
        <v>241</v>
      </c>
      <c r="C539" s="591" t="s">
        <v>774</v>
      </c>
      <c r="D539" s="592">
        <v>2015</v>
      </c>
      <c r="E539" s="591" t="s">
        <v>775</v>
      </c>
      <c r="F539" s="592">
        <v>330</v>
      </c>
      <c r="G539" s="592">
        <v>0</v>
      </c>
      <c r="H539" s="592">
        <v>0</v>
      </c>
      <c r="I539" s="592">
        <v>0</v>
      </c>
      <c r="J539" s="592">
        <v>167</v>
      </c>
      <c r="K539" s="592">
        <v>0</v>
      </c>
      <c r="L539" s="592">
        <v>0</v>
      </c>
      <c r="M539" s="592">
        <v>0</v>
      </c>
      <c r="N539" s="593">
        <v>158</v>
      </c>
      <c r="O539" s="593">
        <v>36</v>
      </c>
      <c r="P539" s="593">
        <v>423</v>
      </c>
      <c r="Q539" s="593">
        <v>40</v>
      </c>
      <c r="R539" s="593">
        <v>1078</v>
      </c>
      <c r="S539" s="593">
        <v>76</v>
      </c>
      <c r="T539" s="593">
        <v>2015</v>
      </c>
      <c r="U539" s="593">
        <v>2015</v>
      </c>
      <c r="V539" s="589"/>
      <c r="W539" s="589"/>
      <c r="X539" s="589"/>
      <c r="Y539" s="589"/>
      <c r="Z539" s="589"/>
      <c r="AA539" s="589"/>
      <c r="AB539" s="589"/>
      <c r="AC539" s="589"/>
      <c r="AD539" s="589"/>
      <c r="AE539" s="589"/>
      <c r="AF539" s="589"/>
      <c r="AG539" s="589"/>
      <c r="AH539" s="589"/>
      <c r="AI539" s="589"/>
      <c r="AJ539" s="589"/>
      <c r="AK539" s="589"/>
      <c r="AL539" s="589"/>
      <c r="AM539" s="589"/>
      <c r="AN539" s="589"/>
      <c r="AO539" s="589"/>
      <c r="AP539" s="589"/>
      <c r="AQ539" s="589"/>
      <c r="AR539" s="589"/>
      <c r="AS539" s="589"/>
    </row>
    <row r="540" spans="1:45" ht="15">
      <c r="A540" s="587" t="s">
        <v>169</v>
      </c>
      <c r="B540" s="587" t="s">
        <v>506</v>
      </c>
      <c r="C540" s="587" t="s">
        <v>812</v>
      </c>
      <c r="D540" s="588">
        <v>2015</v>
      </c>
      <c r="E540" s="587" t="s">
        <v>775</v>
      </c>
      <c r="F540" s="588">
        <v>1</v>
      </c>
      <c r="G540" s="588">
        <v>0</v>
      </c>
      <c r="H540" s="588">
        <v>0</v>
      </c>
      <c r="I540" s="588">
        <v>0</v>
      </c>
      <c r="J540" s="588">
        <v>1</v>
      </c>
      <c r="K540" s="588">
        <v>0</v>
      </c>
      <c r="L540" s="588">
        <v>0</v>
      </c>
      <c r="M540" s="588">
        <v>0</v>
      </c>
      <c r="N540" s="588">
        <v>1</v>
      </c>
      <c r="O540" s="588">
        <v>0</v>
      </c>
      <c r="P540" s="588">
        <v>2</v>
      </c>
      <c r="Q540" s="588">
        <v>197</v>
      </c>
      <c r="R540" s="588">
        <v>5</v>
      </c>
      <c r="S540" s="588">
        <v>197</v>
      </c>
      <c r="T540" s="588">
        <v>2015</v>
      </c>
      <c r="U540" s="588">
        <v>2014</v>
      </c>
      <c r="V540" s="589"/>
      <c r="W540" s="589"/>
      <c r="X540" s="589"/>
      <c r="Y540" s="589"/>
      <c r="Z540" s="589"/>
      <c r="AA540" s="589"/>
      <c r="AB540" s="589"/>
      <c r="AC540" s="589"/>
      <c r="AD540" s="589"/>
      <c r="AE540" s="589"/>
      <c r="AF540" s="589"/>
      <c r="AG540" s="589"/>
      <c r="AH540" s="589"/>
      <c r="AI540" s="589"/>
      <c r="AJ540" s="589"/>
      <c r="AK540" s="589"/>
      <c r="AL540" s="589"/>
      <c r="AM540" s="589"/>
      <c r="AN540" s="589"/>
      <c r="AO540" s="589"/>
      <c r="AP540" s="589"/>
      <c r="AQ540" s="589"/>
      <c r="AR540" s="589"/>
      <c r="AS540" s="589"/>
    </row>
    <row r="541" spans="1:45" ht="15">
      <c r="A541" s="590" t="s">
        <v>153</v>
      </c>
      <c r="B541" s="591" t="s">
        <v>402</v>
      </c>
      <c r="C541" s="591" t="s">
        <v>812</v>
      </c>
      <c r="D541" s="592">
        <v>2015</v>
      </c>
      <c r="E541" s="591" t="s">
        <v>775</v>
      </c>
      <c r="F541" s="592">
        <v>52</v>
      </c>
      <c r="G541" s="592">
        <v>0</v>
      </c>
      <c r="H541" s="592">
        <v>0</v>
      </c>
      <c r="I541" s="592">
        <v>0</v>
      </c>
      <c r="J541" s="592">
        <v>31</v>
      </c>
      <c r="K541" s="592">
        <v>0</v>
      </c>
      <c r="L541" s="592">
        <v>0</v>
      </c>
      <c r="M541" s="592">
        <v>0</v>
      </c>
      <c r="N541" s="593">
        <v>33</v>
      </c>
      <c r="O541" s="593">
        <v>0</v>
      </c>
      <c r="P541" s="593">
        <v>85</v>
      </c>
      <c r="Q541" s="593">
        <v>4</v>
      </c>
      <c r="R541" s="593">
        <v>201</v>
      </c>
      <c r="S541" s="593">
        <v>4</v>
      </c>
      <c r="T541" s="593">
        <v>2015</v>
      </c>
      <c r="U541" s="593">
        <v>2014</v>
      </c>
      <c r="V541" s="589"/>
      <c r="W541" s="589"/>
      <c r="X541" s="589"/>
      <c r="Y541" s="589"/>
      <c r="Z541" s="589"/>
      <c r="AA541" s="589"/>
      <c r="AB541" s="589"/>
      <c r="AC541" s="589"/>
      <c r="AD541" s="589"/>
      <c r="AE541" s="589"/>
      <c r="AF541" s="589"/>
      <c r="AG541" s="589"/>
      <c r="AH541" s="589"/>
      <c r="AI541" s="589"/>
      <c r="AJ541" s="589"/>
      <c r="AK541" s="589"/>
      <c r="AL541" s="589"/>
      <c r="AM541" s="589"/>
      <c r="AN541" s="589"/>
      <c r="AO541" s="589"/>
      <c r="AP541" s="589"/>
      <c r="AQ541" s="589"/>
      <c r="AR541" s="589"/>
      <c r="AS541" s="589"/>
    </row>
    <row r="542" spans="1:45" ht="15">
      <c r="A542" s="587" t="s">
        <v>157</v>
      </c>
      <c r="B542" s="587" t="s">
        <v>442</v>
      </c>
      <c r="C542" s="587" t="s">
        <v>774</v>
      </c>
      <c r="D542" s="588">
        <v>2015</v>
      </c>
      <c r="E542" s="587" t="s">
        <v>775</v>
      </c>
      <c r="F542" s="588">
        <v>111</v>
      </c>
      <c r="G542" s="588">
        <v>16</v>
      </c>
      <c r="H542" s="588">
        <v>16</v>
      </c>
      <c r="I542" s="588">
        <v>0</v>
      </c>
      <c r="J542" s="588">
        <v>65</v>
      </c>
      <c r="K542" s="588">
        <v>0</v>
      </c>
      <c r="L542" s="588">
        <v>0</v>
      </c>
      <c r="M542" s="588">
        <v>0</v>
      </c>
      <c r="N542" s="588">
        <v>72</v>
      </c>
      <c r="O542" s="588">
        <v>1</v>
      </c>
      <c r="P542" s="588">
        <v>167</v>
      </c>
      <c r="Q542" s="588">
        <v>15</v>
      </c>
      <c r="R542" s="588">
        <v>415</v>
      </c>
      <c r="S542" s="588">
        <v>32</v>
      </c>
      <c r="T542" s="588">
        <v>2015</v>
      </c>
      <c r="U542" s="588">
        <v>2015</v>
      </c>
      <c r="V542" s="589"/>
      <c r="W542" s="589"/>
      <c r="X542" s="589"/>
      <c r="Y542" s="589"/>
      <c r="Z542" s="589"/>
      <c r="AA542" s="589"/>
      <c r="AB542" s="589"/>
      <c r="AC542" s="589"/>
      <c r="AD542" s="589"/>
      <c r="AE542" s="589"/>
      <c r="AF542" s="589"/>
      <c r="AG542" s="589"/>
      <c r="AH542" s="589"/>
      <c r="AI542" s="589"/>
      <c r="AJ542" s="589"/>
      <c r="AK542" s="589"/>
      <c r="AL542" s="589"/>
      <c r="AM542" s="589"/>
      <c r="AN542" s="589"/>
      <c r="AO542" s="589"/>
      <c r="AP542" s="589"/>
      <c r="AQ542" s="589"/>
      <c r="AR542" s="589"/>
      <c r="AS542" s="589"/>
    </row>
    <row r="543" spans="1:45" ht="15">
      <c r="A543" s="590" t="s">
        <v>125</v>
      </c>
      <c r="B543" s="591" t="s">
        <v>242</v>
      </c>
      <c r="C543" s="591" t="s">
        <v>774</v>
      </c>
      <c r="D543" s="592">
        <v>2015</v>
      </c>
      <c r="E543" s="591" t="s">
        <v>775</v>
      </c>
      <c r="F543" s="592">
        <v>2059</v>
      </c>
      <c r="G543" s="592">
        <v>98</v>
      </c>
      <c r="H543" s="592">
        <v>98</v>
      </c>
      <c r="I543" s="592">
        <v>0</v>
      </c>
      <c r="J543" s="592">
        <v>2075</v>
      </c>
      <c r="K543" s="592">
        <v>30</v>
      </c>
      <c r="L543" s="592">
        <v>30</v>
      </c>
      <c r="M543" s="592">
        <v>0</v>
      </c>
      <c r="N543" s="593">
        <v>2815</v>
      </c>
      <c r="O543" s="593">
        <v>0</v>
      </c>
      <c r="P543" s="593">
        <v>7816</v>
      </c>
      <c r="Q543" s="593">
        <v>643</v>
      </c>
      <c r="R543" s="593">
        <v>14765</v>
      </c>
      <c r="S543" s="593">
        <v>771</v>
      </c>
      <c r="T543" s="593">
        <v>2015</v>
      </c>
      <c r="U543" s="593">
        <v>2015</v>
      </c>
      <c r="V543" s="589"/>
      <c r="W543" s="589"/>
      <c r="X543" s="589"/>
      <c r="Y543" s="589"/>
      <c r="Z543" s="589"/>
      <c r="AA543" s="589"/>
      <c r="AB543" s="589"/>
      <c r="AC543" s="589"/>
      <c r="AD543" s="589"/>
      <c r="AE543" s="589"/>
      <c r="AF543" s="589"/>
      <c r="AG543" s="589"/>
      <c r="AH543" s="589"/>
      <c r="AI543" s="589"/>
      <c r="AJ543" s="589"/>
      <c r="AK543" s="589"/>
      <c r="AL543" s="589"/>
      <c r="AM543" s="589"/>
      <c r="AN543" s="589"/>
      <c r="AO543" s="589"/>
      <c r="AP543" s="589"/>
      <c r="AQ543" s="589"/>
      <c r="AR543" s="589"/>
      <c r="AS543" s="589"/>
    </row>
    <row r="544" spans="1:45" ht="15">
      <c r="A544" s="587" t="s">
        <v>136</v>
      </c>
      <c r="B544" s="587" t="s">
        <v>276</v>
      </c>
      <c r="C544" s="587" t="s">
        <v>774</v>
      </c>
      <c r="D544" s="588">
        <v>2015</v>
      </c>
      <c r="E544" s="587" t="s">
        <v>775</v>
      </c>
      <c r="F544" s="588">
        <v>317</v>
      </c>
      <c r="G544" s="588">
        <v>0</v>
      </c>
      <c r="H544" s="588">
        <v>0</v>
      </c>
      <c r="I544" s="588">
        <v>0</v>
      </c>
      <c r="J544" s="588">
        <v>174</v>
      </c>
      <c r="K544" s="588">
        <v>0</v>
      </c>
      <c r="L544" s="588">
        <v>0</v>
      </c>
      <c r="M544" s="588">
        <v>0</v>
      </c>
      <c r="N544" s="588">
        <v>175</v>
      </c>
      <c r="O544" s="588">
        <v>70</v>
      </c>
      <c r="P544" s="588">
        <v>502</v>
      </c>
      <c r="Q544" s="588">
        <v>164</v>
      </c>
      <c r="R544" s="588">
        <v>1168</v>
      </c>
      <c r="S544" s="588">
        <v>234</v>
      </c>
      <c r="T544" s="588">
        <v>2015</v>
      </c>
      <c r="U544" s="588">
        <v>2015</v>
      </c>
      <c r="V544" s="589"/>
      <c r="W544" s="589"/>
      <c r="X544" s="589"/>
      <c r="Y544" s="589"/>
      <c r="Z544" s="589"/>
      <c r="AA544" s="589"/>
      <c r="AB544" s="589"/>
      <c r="AC544" s="589"/>
      <c r="AD544" s="589"/>
      <c r="AE544" s="589"/>
      <c r="AF544" s="589"/>
      <c r="AG544" s="589"/>
      <c r="AH544" s="589"/>
      <c r="AI544" s="589"/>
      <c r="AJ544" s="589"/>
      <c r="AK544" s="589"/>
      <c r="AL544" s="589"/>
      <c r="AM544" s="589"/>
      <c r="AN544" s="589"/>
      <c r="AO544" s="589"/>
      <c r="AP544" s="589"/>
      <c r="AQ544" s="589"/>
      <c r="AR544" s="589"/>
      <c r="AS544" s="589"/>
    </row>
    <row r="545" spans="1:45" ht="15">
      <c r="A545" s="590" t="s">
        <v>179</v>
      </c>
      <c r="B545" s="591" t="s">
        <v>601</v>
      </c>
      <c r="C545" s="591" t="s">
        <v>855</v>
      </c>
      <c r="D545" s="592">
        <v>2015</v>
      </c>
      <c r="E545" s="591" t="s">
        <v>775</v>
      </c>
      <c r="F545" s="592">
        <v>1549</v>
      </c>
      <c r="G545" s="592">
        <v>0</v>
      </c>
      <c r="H545" s="592">
        <v>0</v>
      </c>
      <c r="I545" s="592">
        <v>0</v>
      </c>
      <c r="J545" s="592">
        <v>1178</v>
      </c>
      <c r="K545" s="592">
        <v>0</v>
      </c>
      <c r="L545" s="592">
        <v>0</v>
      </c>
      <c r="M545" s="592">
        <v>0</v>
      </c>
      <c r="N545" s="593">
        <v>1090</v>
      </c>
      <c r="O545" s="593">
        <v>27</v>
      </c>
      <c r="P545" s="593">
        <v>2393</v>
      </c>
      <c r="Q545" s="593">
        <v>73</v>
      </c>
      <c r="R545" s="593">
        <v>6210</v>
      </c>
      <c r="S545" s="593">
        <v>100</v>
      </c>
      <c r="T545" s="593">
        <v>2015</v>
      </c>
      <c r="U545" s="593">
        <v>2013</v>
      </c>
      <c r="V545" s="589"/>
      <c r="W545" s="589"/>
      <c r="X545" s="589"/>
      <c r="Y545" s="589"/>
      <c r="Z545" s="589"/>
      <c r="AA545" s="589"/>
      <c r="AB545" s="589"/>
      <c r="AC545" s="589"/>
      <c r="AD545" s="589"/>
      <c r="AE545" s="589"/>
      <c r="AF545" s="589"/>
      <c r="AG545" s="589"/>
      <c r="AH545" s="589"/>
      <c r="AI545" s="589"/>
      <c r="AJ545" s="589"/>
      <c r="AK545" s="589"/>
      <c r="AL545" s="589"/>
      <c r="AM545" s="589"/>
      <c r="AN545" s="589"/>
      <c r="AO545" s="589"/>
      <c r="AP545" s="589"/>
      <c r="AQ545" s="589"/>
      <c r="AR545" s="589"/>
      <c r="AS545" s="589"/>
    </row>
    <row r="546" spans="1:45" ht="15">
      <c r="A546" s="587" t="s">
        <v>201</v>
      </c>
      <c r="B546" s="587" t="s">
        <v>733</v>
      </c>
      <c r="C546" s="587" t="s">
        <v>812</v>
      </c>
      <c r="D546" s="588">
        <v>2015</v>
      </c>
      <c r="E546" s="587" t="s">
        <v>775</v>
      </c>
      <c r="F546" s="588">
        <v>87</v>
      </c>
      <c r="G546" s="588">
        <v>0</v>
      </c>
      <c r="H546" s="588">
        <v>0</v>
      </c>
      <c r="I546" s="588">
        <v>0</v>
      </c>
      <c r="J546" s="588">
        <v>59</v>
      </c>
      <c r="K546" s="588">
        <v>0</v>
      </c>
      <c r="L546" s="588">
        <v>0</v>
      </c>
      <c r="M546" s="588">
        <v>0</v>
      </c>
      <c r="N546" s="588">
        <v>70</v>
      </c>
      <c r="O546" s="588">
        <v>3</v>
      </c>
      <c r="P546" s="588">
        <v>155</v>
      </c>
      <c r="Q546" s="588">
        <v>1</v>
      </c>
      <c r="R546" s="588">
        <v>371</v>
      </c>
      <c r="S546" s="588">
        <v>4</v>
      </c>
      <c r="T546" s="588">
        <v>2015</v>
      </c>
      <c r="U546" s="588">
        <v>2014</v>
      </c>
      <c r="V546" s="589"/>
      <c r="W546" s="589"/>
      <c r="X546" s="589"/>
      <c r="Y546" s="589"/>
      <c r="Z546" s="589"/>
      <c r="AA546" s="589"/>
      <c r="AB546" s="589"/>
      <c r="AC546" s="589"/>
      <c r="AD546" s="589"/>
      <c r="AE546" s="589"/>
      <c r="AF546" s="589"/>
      <c r="AG546" s="589"/>
      <c r="AH546" s="589"/>
      <c r="AI546" s="589"/>
      <c r="AJ546" s="589"/>
      <c r="AK546" s="589"/>
      <c r="AL546" s="589"/>
      <c r="AM546" s="589"/>
      <c r="AN546" s="589"/>
      <c r="AO546" s="589"/>
      <c r="AP546" s="589"/>
      <c r="AQ546" s="589"/>
      <c r="AR546" s="589"/>
      <c r="AS546" s="589"/>
    </row>
    <row r="547" spans="1:45" ht="15">
      <c r="A547" s="590" t="s">
        <v>178</v>
      </c>
      <c r="B547" s="591" t="s">
        <v>580</v>
      </c>
      <c r="C547" s="591" t="s">
        <v>812</v>
      </c>
      <c r="D547" s="592">
        <v>2015</v>
      </c>
      <c r="E547" s="591" t="s">
        <v>775</v>
      </c>
      <c r="F547" s="592">
        <v>2592</v>
      </c>
      <c r="G547" s="592">
        <v>0</v>
      </c>
      <c r="H547" s="592">
        <v>0</v>
      </c>
      <c r="I547" s="592">
        <v>0</v>
      </c>
      <c r="J547" s="592">
        <v>1745</v>
      </c>
      <c r="K547" s="592">
        <v>0</v>
      </c>
      <c r="L547" s="592">
        <v>0</v>
      </c>
      <c r="M547" s="592">
        <v>0</v>
      </c>
      <c r="N547" s="593">
        <v>1977</v>
      </c>
      <c r="O547" s="593">
        <v>138</v>
      </c>
      <c r="P547" s="593">
        <v>4547</v>
      </c>
      <c r="Q547" s="593">
        <v>420</v>
      </c>
      <c r="R547" s="593">
        <v>10861</v>
      </c>
      <c r="S547" s="593">
        <v>558</v>
      </c>
      <c r="T547" s="593">
        <v>2015</v>
      </c>
      <c r="U547" s="593">
        <v>2014</v>
      </c>
      <c r="V547" s="589"/>
      <c r="W547" s="589"/>
      <c r="X547" s="589"/>
      <c r="Y547" s="589"/>
      <c r="Z547" s="589"/>
      <c r="AA547" s="589"/>
      <c r="AB547" s="589"/>
      <c r="AC547" s="589"/>
      <c r="AD547" s="589"/>
      <c r="AE547" s="589"/>
      <c r="AF547" s="589"/>
      <c r="AG547" s="589"/>
      <c r="AH547" s="589"/>
      <c r="AI547" s="589"/>
      <c r="AJ547" s="589"/>
      <c r="AK547" s="589"/>
      <c r="AL547" s="589"/>
      <c r="AM547" s="589"/>
      <c r="AN547" s="589"/>
      <c r="AO547" s="589"/>
      <c r="AP547" s="589"/>
      <c r="AQ547" s="589"/>
      <c r="AR547" s="589"/>
      <c r="AS547" s="589"/>
    </row>
    <row r="548" spans="1:45" ht="15">
      <c r="A548" s="587" t="s">
        <v>169</v>
      </c>
      <c r="B548" s="587" t="s">
        <v>169</v>
      </c>
      <c r="C548" s="587" t="s">
        <v>812</v>
      </c>
      <c r="D548" s="588">
        <v>2015</v>
      </c>
      <c r="E548" s="587" t="s">
        <v>775</v>
      </c>
      <c r="F548" s="588">
        <v>83</v>
      </c>
      <c r="G548" s="588">
        <v>0</v>
      </c>
      <c r="H548" s="588">
        <v>0</v>
      </c>
      <c r="I548" s="588">
        <v>0</v>
      </c>
      <c r="J548" s="588">
        <v>59</v>
      </c>
      <c r="K548" s="588">
        <v>0</v>
      </c>
      <c r="L548" s="588">
        <v>0</v>
      </c>
      <c r="M548" s="588">
        <v>0</v>
      </c>
      <c r="N548" s="588">
        <v>66</v>
      </c>
      <c r="O548" s="588">
        <v>264</v>
      </c>
      <c r="P548" s="588">
        <v>155</v>
      </c>
      <c r="Q548" s="588">
        <v>3</v>
      </c>
      <c r="R548" s="588">
        <v>363</v>
      </c>
      <c r="S548" s="588">
        <v>267</v>
      </c>
      <c r="T548" s="588">
        <v>2015</v>
      </c>
      <c r="U548" s="588">
        <v>2014</v>
      </c>
      <c r="V548" s="589"/>
      <c r="W548" s="589"/>
      <c r="X548" s="589"/>
      <c r="Y548" s="589"/>
      <c r="Z548" s="589"/>
      <c r="AA548" s="589"/>
      <c r="AB548" s="589"/>
      <c r="AC548" s="589"/>
      <c r="AD548" s="589"/>
      <c r="AE548" s="589"/>
      <c r="AF548" s="589"/>
      <c r="AG548" s="589"/>
      <c r="AH548" s="589"/>
      <c r="AI548" s="589"/>
      <c r="AJ548" s="589"/>
      <c r="AK548" s="589"/>
      <c r="AL548" s="589"/>
      <c r="AM548" s="589"/>
      <c r="AN548" s="589"/>
      <c r="AO548" s="589"/>
      <c r="AP548" s="589"/>
      <c r="AQ548" s="589"/>
      <c r="AR548" s="589"/>
      <c r="AS548" s="589"/>
    </row>
    <row r="549" spans="1:45" ht="15">
      <c r="A549" s="590" t="s">
        <v>169</v>
      </c>
      <c r="B549" s="591" t="s">
        <v>507</v>
      </c>
      <c r="C549" s="591" t="s">
        <v>812</v>
      </c>
      <c r="D549" s="592">
        <v>2015</v>
      </c>
      <c r="E549" s="591" t="s">
        <v>775</v>
      </c>
      <c r="F549" s="592">
        <v>1240</v>
      </c>
      <c r="G549" s="592">
        <v>0</v>
      </c>
      <c r="H549" s="592">
        <v>0</v>
      </c>
      <c r="I549" s="592">
        <v>0</v>
      </c>
      <c r="J549" s="592">
        <v>879</v>
      </c>
      <c r="K549" s="592">
        <v>0</v>
      </c>
      <c r="L549" s="592">
        <v>0</v>
      </c>
      <c r="M549" s="592">
        <v>0</v>
      </c>
      <c r="N549" s="593">
        <v>979</v>
      </c>
      <c r="O549" s="593">
        <v>0</v>
      </c>
      <c r="P549" s="593">
        <v>2174</v>
      </c>
      <c r="Q549" s="593">
        <v>513</v>
      </c>
      <c r="R549" s="593">
        <v>5272</v>
      </c>
      <c r="S549" s="593">
        <v>513</v>
      </c>
      <c r="T549" s="593">
        <v>2015</v>
      </c>
      <c r="U549" s="593">
        <v>2014</v>
      </c>
      <c r="V549" s="589"/>
      <c r="W549" s="589"/>
      <c r="X549" s="589"/>
      <c r="Y549" s="589"/>
      <c r="Z549" s="589"/>
      <c r="AA549" s="589"/>
      <c r="AB549" s="589"/>
      <c r="AC549" s="589"/>
      <c r="AD549" s="589"/>
      <c r="AE549" s="589"/>
      <c r="AF549" s="589"/>
      <c r="AG549" s="589"/>
      <c r="AH549" s="589"/>
      <c r="AI549" s="589"/>
      <c r="AJ549" s="589"/>
      <c r="AK549" s="589"/>
      <c r="AL549" s="589"/>
      <c r="AM549" s="589"/>
      <c r="AN549" s="589"/>
      <c r="AO549" s="589"/>
      <c r="AP549" s="589"/>
      <c r="AQ549" s="589"/>
      <c r="AR549" s="589"/>
      <c r="AS549" s="589"/>
    </row>
    <row r="550" spans="1:45" ht="15">
      <c r="A550" s="587" t="s">
        <v>136</v>
      </c>
      <c r="B550" s="587" t="s">
        <v>277</v>
      </c>
      <c r="C550" s="587" t="s">
        <v>774</v>
      </c>
      <c r="D550" s="588">
        <v>2015</v>
      </c>
      <c r="E550" s="587" t="s">
        <v>775</v>
      </c>
      <c r="F550" s="588">
        <v>84</v>
      </c>
      <c r="G550" s="588">
        <v>0</v>
      </c>
      <c r="H550" s="588">
        <v>0</v>
      </c>
      <c r="I550" s="588">
        <v>0</v>
      </c>
      <c r="J550" s="588">
        <v>47</v>
      </c>
      <c r="K550" s="588">
        <v>0</v>
      </c>
      <c r="L550" s="588">
        <v>0</v>
      </c>
      <c r="M550" s="588">
        <v>0</v>
      </c>
      <c r="N550" s="588">
        <v>54</v>
      </c>
      <c r="O550" s="588">
        <v>0</v>
      </c>
      <c r="P550" s="588">
        <v>42</v>
      </c>
      <c r="Q550" s="588">
        <v>44</v>
      </c>
      <c r="R550" s="588">
        <v>227</v>
      </c>
      <c r="S550" s="588">
        <v>44</v>
      </c>
      <c r="T550" s="588">
        <v>2015</v>
      </c>
      <c r="U550" s="588">
        <v>2015</v>
      </c>
      <c r="V550" s="589"/>
      <c r="W550" s="589"/>
      <c r="X550" s="589"/>
      <c r="Y550" s="589"/>
      <c r="Z550" s="589"/>
      <c r="AA550" s="589"/>
      <c r="AB550" s="589"/>
      <c r="AC550" s="589"/>
      <c r="AD550" s="589"/>
      <c r="AE550" s="589"/>
      <c r="AF550" s="589"/>
      <c r="AG550" s="589"/>
      <c r="AH550" s="589"/>
      <c r="AI550" s="589"/>
      <c r="AJ550" s="589"/>
      <c r="AK550" s="589"/>
      <c r="AL550" s="589"/>
      <c r="AM550" s="589"/>
      <c r="AN550" s="589"/>
      <c r="AO550" s="589"/>
      <c r="AP550" s="589"/>
      <c r="AQ550" s="589"/>
      <c r="AR550" s="589"/>
      <c r="AS550" s="589"/>
    </row>
    <row r="551" spans="1:45" ht="15">
      <c r="A551" s="590" t="s">
        <v>144</v>
      </c>
      <c r="B551" s="591" t="s">
        <v>305</v>
      </c>
      <c r="C551" s="591" t="s">
        <v>784</v>
      </c>
      <c r="D551" s="592">
        <v>2015</v>
      </c>
      <c r="E551" s="591" t="s">
        <v>775</v>
      </c>
      <c r="F551" s="592">
        <v>20</v>
      </c>
      <c r="G551" s="592">
        <v>0</v>
      </c>
      <c r="H551" s="592">
        <v>0</v>
      </c>
      <c r="I551" s="592">
        <v>0</v>
      </c>
      <c r="J551" s="592">
        <v>10</v>
      </c>
      <c r="K551" s="592">
        <v>0</v>
      </c>
      <c r="L551" s="592">
        <v>0</v>
      </c>
      <c r="M551" s="592">
        <v>0</v>
      </c>
      <c r="N551" s="593">
        <v>14</v>
      </c>
      <c r="O551" s="593">
        <v>10</v>
      </c>
      <c r="P551" s="593">
        <v>36</v>
      </c>
      <c r="Q551" s="593">
        <v>0</v>
      </c>
      <c r="R551" s="593">
        <v>80</v>
      </c>
      <c r="S551" s="593">
        <v>10</v>
      </c>
      <c r="T551" s="593">
        <v>2015</v>
      </c>
      <c r="U551" s="593">
        <v>2014</v>
      </c>
      <c r="V551" s="589"/>
      <c r="W551" s="589"/>
      <c r="X551" s="589"/>
      <c r="Y551" s="589"/>
      <c r="Z551" s="589"/>
      <c r="AA551" s="589"/>
      <c r="AB551" s="589"/>
      <c r="AC551" s="589"/>
      <c r="AD551" s="589"/>
      <c r="AE551" s="589"/>
      <c r="AF551" s="589"/>
      <c r="AG551" s="589"/>
      <c r="AH551" s="589"/>
      <c r="AI551" s="589"/>
      <c r="AJ551" s="589"/>
      <c r="AK551" s="589"/>
      <c r="AL551" s="589"/>
      <c r="AM551" s="589"/>
      <c r="AN551" s="589"/>
      <c r="AO551" s="589"/>
      <c r="AP551" s="589"/>
      <c r="AQ551" s="589"/>
      <c r="AR551" s="589"/>
      <c r="AS551" s="589"/>
    </row>
    <row r="552" spans="1:45" ht="15">
      <c r="A552" s="587" t="s">
        <v>131</v>
      </c>
      <c r="B552" s="587" t="s">
        <v>259</v>
      </c>
      <c r="C552" s="587" t="s">
        <v>786</v>
      </c>
      <c r="D552" s="588">
        <v>2015</v>
      </c>
      <c r="E552" s="587" t="s">
        <v>775</v>
      </c>
      <c r="F552" s="588">
        <v>419</v>
      </c>
      <c r="G552" s="588">
        <v>2</v>
      </c>
      <c r="H552" s="588">
        <v>0</v>
      </c>
      <c r="I552" s="588">
        <v>2</v>
      </c>
      <c r="J552" s="588">
        <v>284</v>
      </c>
      <c r="K552" s="588">
        <v>4</v>
      </c>
      <c r="L552" s="588">
        <v>0</v>
      </c>
      <c r="M552" s="588">
        <v>4</v>
      </c>
      <c r="N552" s="588">
        <v>306</v>
      </c>
      <c r="O552" s="588">
        <v>0</v>
      </c>
      <c r="P552" s="588">
        <v>784</v>
      </c>
      <c r="Q552" s="588">
        <v>11</v>
      </c>
      <c r="R552" s="588">
        <v>1793</v>
      </c>
      <c r="S552" s="588">
        <v>17</v>
      </c>
      <c r="T552" s="588">
        <v>2015</v>
      </c>
      <c r="U552" s="588">
        <v>2014</v>
      </c>
      <c r="V552" s="589"/>
      <c r="W552" s="589"/>
      <c r="X552" s="589"/>
      <c r="Y552" s="589"/>
      <c r="Z552" s="589"/>
      <c r="AA552" s="589"/>
      <c r="AB552" s="589"/>
      <c r="AC552" s="589"/>
      <c r="AD552" s="589"/>
      <c r="AE552" s="589"/>
      <c r="AF552" s="589"/>
      <c r="AG552" s="589"/>
      <c r="AH552" s="589"/>
      <c r="AI552" s="589"/>
      <c r="AJ552" s="589"/>
      <c r="AK552" s="589"/>
      <c r="AL552" s="589"/>
      <c r="AM552" s="589"/>
      <c r="AN552" s="589"/>
      <c r="AO552" s="589"/>
      <c r="AP552" s="589"/>
      <c r="AQ552" s="589"/>
      <c r="AR552" s="589"/>
      <c r="AS552" s="589"/>
    </row>
    <row r="553" spans="1:45" ht="15">
      <c r="A553" s="590" t="s">
        <v>201</v>
      </c>
      <c r="B553" s="591" t="s">
        <v>734</v>
      </c>
      <c r="C553" s="591" t="s">
        <v>812</v>
      </c>
      <c r="D553" s="592">
        <v>2015</v>
      </c>
      <c r="E553" s="591" t="s">
        <v>775</v>
      </c>
      <c r="F553" s="592">
        <v>1688</v>
      </c>
      <c r="G553" s="592">
        <v>0</v>
      </c>
      <c r="H553" s="592">
        <v>0</v>
      </c>
      <c r="I553" s="592">
        <v>0</v>
      </c>
      <c r="J553" s="592">
        <v>1160</v>
      </c>
      <c r="K553" s="592">
        <v>0</v>
      </c>
      <c r="L553" s="592">
        <v>0</v>
      </c>
      <c r="M553" s="592">
        <v>0</v>
      </c>
      <c r="N553" s="593">
        <v>1351</v>
      </c>
      <c r="O553" s="593">
        <v>0</v>
      </c>
      <c r="P553" s="593">
        <v>3102</v>
      </c>
      <c r="Q553" s="593">
        <v>5</v>
      </c>
      <c r="R553" s="593">
        <v>7301</v>
      </c>
      <c r="S553" s="593">
        <v>5</v>
      </c>
      <c r="T553" s="593">
        <v>2015</v>
      </c>
      <c r="U553" s="593">
        <v>2014</v>
      </c>
      <c r="V553" s="589"/>
      <c r="W553" s="589"/>
      <c r="X553" s="589"/>
      <c r="Y553" s="589"/>
      <c r="Z553" s="589"/>
      <c r="AA553" s="589"/>
      <c r="AB553" s="589"/>
      <c r="AC553" s="589"/>
      <c r="AD553" s="589"/>
      <c r="AE553" s="589"/>
      <c r="AF553" s="589"/>
      <c r="AG553" s="589"/>
      <c r="AH553" s="589"/>
      <c r="AI553" s="589"/>
      <c r="AJ553" s="589"/>
      <c r="AK553" s="589"/>
      <c r="AL553" s="589"/>
      <c r="AM553" s="589"/>
      <c r="AN553" s="589"/>
      <c r="AO553" s="589"/>
      <c r="AP553" s="589"/>
      <c r="AQ553" s="589"/>
      <c r="AR553" s="589"/>
      <c r="AS553" s="589"/>
    </row>
    <row r="554" spans="1:45" ht="15">
      <c r="A554" s="587" t="s">
        <v>164</v>
      </c>
      <c r="B554" s="587" t="s">
        <v>471</v>
      </c>
      <c r="C554" s="587" t="s">
        <v>177</v>
      </c>
      <c r="D554" s="588">
        <v>2015</v>
      </c>
      <c r="E554" s="587" t="s">
        <v>775</v>
      </c>
      <c r="F554" s="588">
        <v>28</v>
      </c>
      <c r="G554" s="588">
        <v>0</v>
      </c>
      <c r="H554" s="588">
        <v>0</v>
      </c>
      <c r="I554" s="588">
        <v>0</v>
      </c>
      <c r="J554" s="588">
        <v>18</v>
      </c>
      <c r="K554" s="588">
        <v>0</v>
      </c>
      <c r="L554" s="588">
        <v>0</v>
      </c>
      <c r="M554" s="588">
        <v>0</v>
      </c>
      <c r="N554" s="588">
        <v>21</v>
      </c>
      <c r="O554" s="588">
        <v>0</v>
      </c>
      <c r="P554" s="588">
        <v>48</v>
      </c>
      <c r="Q554" s="588">
        <v>0</v>
      </c>
      <c r="R554" s="588">
        <v>115</v>
      </c>
      <c r="S554" s="588">
        <v>0</v>
      </c>
      <c r="T554" s="588">
        <v>2016</v>
      </c>
      <c r="U554" s="588">
        <v>2016</v>
      </c>
      <c r="V554" s="589"/>
      <c r="W554" s="589"/>
      <c r="X554" s="589"/>
      <c r="Y554" s="589"/>
      <c r="Z554" s="589"/>
      <c r="AA554" s="589"/>
      <c r="AB554" s="589"/>
      <c r="AC554" s="589"/>
      <c r="AD554" s="589"/>
      <c r="AE554" s="589"/>
      <c r="AF554" s="589"/>
      <c r="AG554" s="589"/>
      <c r="AH554" s="589"/>
      <c r="AI554" s="589"/>
      <c r="AJ554" s="589"/>
      <c r="AK554" s="589"/>
      <c r="AL554" s="589"/>
      <c r="AM554" s="589"/>
      <c r="AN554" s="589"/>
      <c r="AO554" s="589"/>
      <c r="AP554" s="589"/>
      <c r="AQ554" s="589"/>
      <c r="AR554" s="589"/>
      <c r="AS554" s="589"/>
    </row>
    <row r="555" spans="1:45" ht="15">
      <c r="A555" s="590" t="s">
        <v>184</v>
      </c>
      <c r="B555" s="591" t="s">
        <v>635</v>
      </c>
      <c r="C555" s="591" t="s">
        <v>774</v>
      </c>
      <c r="D555" s="592">
        <v>2015</v>
      </c>
      <c r="E555" s="591" t="s">
        <v>775</v>
      </c>
      <c r="F555" s="592">
        <v>121</v>
      </c>
      <c r="G555" s="592">
        <v>0</v>
      </c>
      <c r="H555" s="592">
        <v>0</v>
      </c>
      <c r="I555" s="592">
        <v>0</v>
      </c>
      <c r="J555" s="592">
        <v>68</v>
      </c>
      <c r="K555" s="592">
        <v>0</v>
      </c>
      <c r="L555" s="592">
        <v>0</v>
      </c>
      <c r="M555" s="592">
        <v>0</v>
      </c>
      <c r="N555" s="593">
        <v>70</v>
      </c>
      <c r="O555" s="593">
        <v>1</v>
      </c>
      <c r="P555" s="593">
        <v>154</v>
      </c>
      <c r="Q555" s="593">
        <v>7</v>
      </c>
      <c r="R555" s="593">
        <v>413</v>
      </c>
      <c r="S555" s="593">
        <v>8</v>
      </c>
      <c r="T555" s="593">
        <v>2015</v>
      </c>
      <c r="U555" s="593">
        <v>2015</v>
      </c>
      <c r="V555" s="589"/>
      <c r="W555" s="589"/>
      <c r="X555" s="589"/>
      <c r="Y555" s="589"/>
      <c r="Z555" s="589"/>
      <c r="AA555" s="589"/>
      <c r="AB555" s="589"/>
      <c r="AC555" s="589"/>
      <c r="AD555" s="589"/>
      <c r="AE555" s="589"/>
      <c r="AF555" s="589"/>
      <c r="AG555" s="589"/>
      <c r="AH555" s="589"/>
      <c r="AI555" s="589"/>
      <c r="AJ555" s="589"/>
      <c r="AK555" s="589"/>
      <c r="AL555" s="589"/>
      <c r="AM555" s="589"/>
      <c r="AN555" s="589"/>
      <c r="AO555" s="589"/>
      <c r="AP555" s="589"/>
      <c r="AQ555" s="589"/>
      <c r="AR555" s="589"/>
      <c r="AS555" s="589"/>
    </row>
    <row r="556" spans="1:45" ht="15">
      <c r="A556" s="587" t="s">
        <v>173</v>
      </c>
      <c r="B556" s="587" t="s">
        <v>548</v>
      </c>
      <c r="C556" s="587" t="s">
        <v>812</v>
      </c>
      <c r="D556" s="588">
        <v>2015</v>
      </c>
      <c r="E556" s="587" t="s">
        <v>775</v>
      </c>
      <c r="F556" s="588">
        <v>98</v>
      </c>
      <c r="G556" s="588">
        <v>38</v>
      </c>
      <c r="H556" s="588">
        <v>38</v>
      </c>
      <c r="I556" s="588">
        <v>0</v>
      </c>
      <c r="J556" s="588">
        <v>67</v>
      </c>
      <c r="K556" s="588">
        <v>36</v>
      </c>
      <c r="L556" s="588">
        <v>36</v>
      </c>
      <c r="M556" s="588">
        <v>0</v>
      </c>
      <c r="N556" s="588">
        <v>76</v>
      </c>
      <c r="O556" s="588">
        <v>0</v>
      </c>
      <c r="P556" s="588">
        <v>172</v>
      </c>
      <c r="Q556" s="588">
        <v>0</v>
      </c>
      <c r="R556" s="588">
        <v>413</v>
      </c>
      <c r="S556" s="588">
        <v>74</v>
      </c>
      <c r="T556" s="588">
        <v>2015</v>
      </c>
      <c r="U556" s="588">
        <v>2014</v>
      </c>
      <c r="V556" s="589"/>
      <c r="W556" s="589"/>
      <c r="X556" s="589"/>
      <c r="Y556" s="589"/>
      <c r="Z556" s="589"/>
      <c r="AA556" s="589"/>
      <c r="AB556" s="589"/>
      <c r="AC556" s="589"/>
      <c r="AD556" s="589"/>
      <c r="AE556" s="589"/>
      <c r="AF556" s="589"/>
      <c r="AG556" s="589"/>
      <c r="AH556" s="589"/>
      <c r="AI556" s="589"/>
      <c r="AJ556" s="589"/>
      <c r="AK556" s="589"/>
      <c r="AL556" s="589"/>
      <c r="AM556" s="589"/>
      <c r="AN556" s="589"/>
      <c r="AO556" s="589"/>
      <c r="AP556" s="589"/>
      <c r="AQ556" s="589"/>
      <c r="AR556" s="589"/>
      <c r="AS556" s="589"/>
    </row>
    <row r="557" spans="1:45" ht="15">
      <c r="A557" s="590" t="s">
        <v>173</v>
      </c>
      <c r="B557" s="591" t="s">
        <v>549</v>
      </c>
      <c r="C557" s="591" t="s">
        <v>812</v>
      </c>
      <c r="D557" s="592">
        <v>2015</v>
      </c>
      <c r="E557" s="591" t="s">
        <v>775</v>
      </c>
      <c r="F557" s="592">
        <v>63</v>
      </c>
      <c r="G557" s="592">
        <v>0</v>
      </c>
      <c r="H557" s="592">
        <v>0</v>
      </c>
      <c r="I557" s="592">
        <v>0</v>
      </c>
      <c r="J557" s="592">
        <v>43</v>
      </c>
      <c r="K557" s="592">
        <v>0</v>
      </c>
      <c r="L557" s="592">
        <v>0</v>
      </c>
      <c r="M557" s="592">
        <v>0</v>
      </c>
      <c r="N557" s="593">
        <v>50</v>
      </c>
      <c r="O557" s="593">
        <v>0</v>
      </c>
      <c r="P557" s="593">
        <v>116</v>
      </c>
      <c r="Q557" s="593">
        <v>188</v>
      </c>
      <c r="R557" s="593">
        <v>272</v>
      </c>
      <c r="S557" s="593">
        <v>188</v>
      </c>
      <c r="T557" s="593">
        <v>2015</v>
      </c>
      <c r="U557" s="593">
        <v>2014</v>
      </c>
      <c r="V557" s="589"/>
      <c r="W557" s="589"/>
      <c r="X557" s="589"/>
      <c r="Y557" s="589"/>
      <c r="Z557" s="589"/>
      <c r="AA557" s="589"/>
      <c r="AB557" s="589"/>
      <c r="AC557" s="589"/>
      <c r="AD557" s="589"/>
      <c r="AE557" s="589"/>
      <c r="AF557" s="589"/>
      <c r="AG557" s="589"/>
      <c r="AH557" s="589"/>
      <c r="AI557" s="589"/>
      <c r="AJ557" s="589"/>
      <c r="AK557" s="589"/>
      <c r="AL557" s="589"/>
      <c r="AM557" s="589"/>
      <c r="AN557" s="589"/>
      <c r="AO557" s="589"/>
      <c r="AP557" s="589"/>
      <c r="AQ557" s="589"/>
      <c r="AR557" s="589"/>
      <c r="AS557" s="589"/>
    </row>
    <row r="558" spans="1:45" ht="15">
      <c r="A558" s="587" t="s">
        <v>153</v>
      </c>
      <c r="B558" s="587" t="s">
        <v>403</v>
      </c>
      <c r="C558" s="587" t="s">
        <v>812</v>
      </c>
      <c r="D558" s="588">
        <v>2015</v>
      </c>
      <c r="E558" s="587" t="s">
        <v>775</v>
      </c>
      <c r="F558" s="588">
        <v>1397</v>
      </c>
      <c r="G558" s="588">
        <v>0</v>
      </c>
      <c r="H558" s="588">
        <v>0</v>
      </c>
      <c r="I558" s="588">
        <v>0</v>
      </c>
      <c r="J558" s="588">
        <v>828</v>
      </c>
      <c r="K558" s="588">
        <v>0</v>
      </c>
      <c r="L558" s="588">
        <v>0</v>
      </c>
      <c r="M558" s="588">
        <v>0</v>
      </c>
      <c r="N558" s="588">
        <v>899</v>
      </c>
      <c r="O558" s="588">
        <v>0</v>
      </c>
      <c r="P558" s="588">
        <v>2334</v>
      </c>
      <c r="Q558" s="588">
        <v>95</v>
      </c>
      <c r="R558" s="588">
        <v>5458</v>
      </c>
      <c r="S558" s="588">
        <v>95</v>
      </c>
      <c r="T558" s="588">
        <v>2015</v>
      </c>
      <c r="U558" s="588">
        <v>2014</v>
      </c>
      <c r="V558" s="589"/>
      <c r="W558" s="589"/>
      <c r="X558" s="589"/>
      <c r="Y558" s="589"/>
      <c r="Z558" s="589"/>
      <c r="AA558" s="589"/>
      <c r="AB558" s="589"/>
      <c r="AC558" s="589"/>
      <c r="AD558" s="589"/>
      <c r="AE558" s="589"/>
      <c r="AF558" s="589"/>
      <c r="AG558" s="589"/>
      <c r="AH558" s="589"/>
      <c r="AI558" s="589"/>
      <c r="AJ558" s="589"/>
      <c r="AK558" s="589"/>
      <c r="AL558" s="589"/>
      <c r="AM558" s="589"/>
      <c r="AN558" s="589"/>
      <c r="AO558" s="589"/>
      <c r="AP558" s="589"/>
      <c r="AQ558" s="589"/>
      <c r="AR558" s="589"/>
      <c r="AS558" s="589"/>
    </row>
    <row r="559" spans="1:45" ht="15">
      <c r="A559" s="590" t="s">
        <v>187</v>
      </c>
      <c r="B559" s="591" t="s">
        <v>661</v>
      </c>
      <c r="C559" s="591" t="s">
        <v>774</v>
      </c>
      <c r="D559" s="592">
        <v>2015</v>
      </c>
      <c r="E559" s="591" t="s">
        <v>775</v>
      </c>
      <c r="F559" s="592">
        <v>691</v>
      </c>
      <c r="G559" s="592">
        <v>43</v>
      </c>
      <c r="H559" s="592">
        <v>43</v>
      </c>
      <c r="I559" s="592">
        <v>0</v>
      </c>
      <c r="J559" s="592">
        <v>432</v>
      </c>
      <c r="K559" s="592">
        <v>58</v>
      </c>
      <c r="L559" s="592">
        <v>58</v>
      </c>
      <c r="M559" s="592">
        <v>0</v>
      </c>
      <c r="N559" s="593">
        <v>278</v>
      </c>
      <c r="O559" s="593">
        <v>11</v>
      </c>
      <c r="P559" s="593">
        <v>587</v>
      </c>
      <c r="Q559" s="593">
        <v>174</v>
      </c>
      <c r="R559" s="593">
        <v>1988</v>
      </c>
      <c r="S559" s="593">
        <v>286</v>
      </c>
      <c r="T559" s="593">
        <v>2015</v>
      </c>
      <c r="U559" s="593">
        <v>2015</v>
      </c>
      <c r="V559" s="589"/>
      <c r="W559" s="589"/>
      <c r="X559" s="589"/>
      <c r="Y559" s="589"/>
      <c r="Z559" s="589"/>
      <c r="AA559" s="589"/>
      <c r="AB559" s="589"/>
      <c r="AC559" s="589"/>
      <c r="AD559" s="589"/>
      <c r="AE559" s="589"/>
      <c r="AF559" s="589"/>
      <c r="AG559" s="589"/>
      <c r="AH559" s="589"/>
      <c r="AI559" s="589"/>
      <c r="AJ559" s="589"/>
      <c r="AK559" s="589"/>
      <c r="AL559" s="589"/>
      <c r="AM559" s="589"/>
      <c r="AN559" s="589"/>
      <c r="AO559" s="589"/>
      <c r="AP559" s="589"/>
      <c r="AQ559" s="589"/>
      <c r="AR559" s="589"/>
      <c r="AS559" s="589"/>
    </row>
    <row r="560" spans="1:45" ht="15">
      <c r="A560" s="587" t="s">
        <v>153</v>
      </c>
      <c r="B560" s="587" t="s">
        <v>405</v>
      </c>
      <c r="C560" s="587" t="s">
        <v>812</v>
      </c>
      <c r="D560" s="588">
        <v>2015</v>
      </c>
      <c r="E560" s="587" t="s">
        <v>775</v>
      </c>
      <c r="F560" s="588">
        <v>26</v>
      </c>
      <c r="G560" s="588">
        <v>0</v>
      </c>
      <c r="H560" s="588">
        <v>0</v>
      </c>
      <c r="I560" s="588">
        <v>0</v>
      </c>
      <c r="J560" s="588">
        <v>16</v>
      </c>
      <c r="K560" s="588">
        <v>0</v>
      </c>
      <c r="L560" s="588">
        <v>0</v>
      </c>
      <c r="M560" s="588">
        <v>0</v>
      </c>
      <c r="N560" s="588">
        <v>17</v>
      </c>
      <c r="O560" s="588">
        <v>0</v>
      </c>
      <c r="P560" s="588">
        <v>46</v>
      </c>
      <c r="Q560" s="588">
        <v>4</v>
      </c>
      <c r="R560" s="588">
        <v>105</v>
      </c>
      <c r="S560" s="588">
        <v>4</v>
      </c>
      <c r="T560" s="588">
        <v>2015</v>
      </c>
      <c r="U560" s="588">
        <v>2014</v>
      </c>
      <c r="V560" s="589"/>
      <c r="W560" s="589"/>
      <c r="X560" s="589"/>
      <c r="Y560" s="589"/>
      <c r="Z560" s="589"/>
      <c r="AA560" s="589"/>
      <c r="AB560" s="589"/>
      <c r="AC560" s="589"/>
      <c r="AD560" s="589"/>
      <c r="AE560" s="589"/>
      <c r="AF560" s="589"/>
      <c r="AG560" s="589"/>
      <c r="AH560" s="589"/>
      <c r="AI560" s="589"/>
      <c r="AJ560" s="589"/>
      <c r="AK560" s="589"/>
      <c r="AL560" s="589"/>
      <c r="AM560" s="589"/>
      <c r="AN560" s="589"/>
      <c r="AO560" s="589"/>
      <c r="AP560" s="589"/>
      <c r="AQ560" s="589"/>
      <c r="AR560" s="589"/>
      <c r="AS560" s="589"/>
    </row>
    <row r="561" spans="1:45" ht="15">
      <c r="A561" s="590" t="s">
        <v>141</v>
      </c>
      <c r="B561" s="591" t="s">
        <v>300</v>
      </c>
      <c r="C561" s="591" t="s">
        <v>177</v>
      </c>
      <c r="D561" s="592">
        <v>2015</v>
      </c>
      <c r="E561" s="591" t="s">
        <v>775</v>
      </c>
      <c r="F561" s="592">
        <v>110</v>
      </c>
      <c r="G561" s="592">
        <v>53</v>
      </c>
      <c r="H561" s="592">
        <v>43</v>
      </c>
      <c r="I561" s="592">
        <v>10</v>
      </c>
      <c r="J561" s="592">
        <v>82</v>
      </c>
      <c r="K561" s="592">
        <v>2</v>
      </c>
      <c r="L561" s="592">
        <v>0</v>
      </c>
      <c r="M561" s="592">
        <v>2</v>
      </c>
      <c r="N561" s="593">
        <v>77</v>
      </c>
      <c r="O561" s="593">
        <v>0</v>
      </c>
      <c r="P561" s="593">
        <v>319</v>
      </c>
      <c r="Q561" s="593">
        <v>0</v>
      </c>
      <c r="R561" s="593">
        <v>588</v>
      </c>
      <c r="S561" s="593">
        <v>55</v>
      </c>
      <c r="T561" s="593">
        <v>2016</v>
      </c>
      <c r="U561" s="593">
        <v>2016</v>
      </c>
      <c r="V561" s="589"/>
      <c r="W561" s="589"/>
      <c r="X561" s="589"/>
      <c r="Y561" s="589"/>
      <c r="Z561" s="589"/>
      <c r="AA561" s="589"/>
      <c r="AB561" s="589"/>
      <c r="AC561" s="589"/>
      <c r="AD561" s="589"/>
      <c r="AE561" s="589"/>
      <c r="AF561" s="589"/>
      <c r="AG561" s="589"/>
      <c r="AH561" s="589"/>
      <c r="AI561" s="589"/>
      <c r="AJ561" s="589"/>
      <c r="AK561" s="589"/>
      <c r="AL561" s="589"/>
      <c r="AM561" s="589"/>
      <c r="AN561" s="589"/>
      <c r="AO561" s="589"/>
      <c r="AP561" s="589"/>
      <c r="AQ561" s="589"/>
      <c r="AR561" s="589"/>
      <c r="AS561" s="589"/>
    </row>
    <row r="562" spans="1:45" ht="15">
      <c r="A562" s="587" t="s">
        <v>153</v>
      </c>
      <c r="B562" s="587" t="s">
        <v>406</v>
      </c>
      <c r="C562" s="587" t="s">
        <v>812</v>
      </c>
      <c r="D562" s="588">
        <v>2015</v>
      </c>
      <c r="E562" s="587" t="s">
        <v>775</v>
      </c>
      <c r="F562" s="588">
        <v>340</v>
      </c>
      <c r="G562" s="588">
        <v>104</v>
      </c>
      <c r="H562" s="588">
        <v>104</v>
      </c>
      <c r="I562" s="588">
        <v>0</v>
      </c>
      <c r="J562" s="588">
        <v>207</v>
      </c>
      <c r="K562" s="588">
        <v>0</v>
      </c>
      <c r="L562" s="588">
        <v>0</v>
      </c>
      <c r="M562" s="588">
        <v>0</v>
      </c>
      <c r="N562" s="588">
        <v>224</v>
      </c>
      <c r="O562" s="588">
        <v>10</v>
      </c>
      <c r="P562" s="588">
        <v>561</v>
      </c>
      <c r="Q562" s="588">
        <v>508</v>
      </c>
      <c r="R562" s="588">
        <v>1332</v>
      </c>
      <c r="S562" s="588">
        <v>622</v>
      </c>
      <c r="T562" s="588">
        <v>2015</v>
      </c>
      <c r="U562" s="588">
        <v>2014</v>
      </c>
      <c r="V562" s="589"/>
      <c r="W562" s="589"/>
      <c r="X562" s="589"/>
      <c r="Y562" s="589"/>
      <c r="Z562" s="589"/>
      <c r="AA562" s="589"/>
      <c r="AB562" s="589"/>
      <c r="AC562" s="589"/>
      <c r="AD562" s="589"/>
      <c r="AE562" s="589"/>
      <c r="AF562" s="589"/>
      <c r="AG562" s="589"/>
      <c r="AH562" s="589"/>
      <c r="AI562" s="589"/>
      <c r="AJ562" s="589"/>
      <c r="AK562" s="589"/>
      <c r="AL562" s="589"/>
      <c r="AM562" s="589"/>
      <c r="AN562" s="589"/>
      <c r="AO562" s="589"/>
      <c r="AP562" s="589"/>
      <c r="AQ562" s="589"/>
      <c r="AR562" s="589"/>
      <c r="AS562" s="589"/>
    </row>
    <row r="563" spans="1:45" ht="15">
      <c r="A563" s="590" t="s">
        <v>183</v>
      </c>
      <c r="B563" s="591" t="s">
        <v>620</v>
      </c>
      <c r="C563" s="591" t="s">
        <v>784</v>
      </c>
      <c r="D563" s="592">
        <v>2015</v>
      </c>
      <c r="E563" s="591" t="s">
        <v>775</v>
      </c>
      <c r="F563" s="592">
        <v>123</v>
      </c>
      <c r="G563" s="592">
        <v>49</v>
      </c>
      <c r="H563" s="592">
        <v>49</v>
      </c>
      <c r="I563" s="592">
        <v>0</v>
      </c>
      <c r="J563" s="592">
        <v>77</v>
      </c>
      <c r="K563" s="592">
        <v>20</v>
      </c>
      <c r="L563" s="592">
        <v>20</v>
      </c>
      <c r="M563" s="592">
        <v>0</v>
      </c>
      <c r="N563" s="593">
        <v>87</v>
      </c>
      <c r="O563" s="593">
        <v>23</v>
      </c>
      <c r="P563" s="593">
        <v>206</v>
      </c>
      <c r="Q563" s="593">
        <v>61</v>
      </c>
      <c r="R563" s="593">
        <v>493</v>
      </c>
      <c r="S563" s="593">
        <v>153</v>
      </c>
      <c r="T563" s="593">
        <v>2015</v>
      </c>
      <c r="U563" s="593">
        <v>2014</v>
      </c>
      <c r="V563" s="589"/>
      <c r="W563" s="589"/>
      <c r="X563" s="589"/>
      <c r="Y563" s="589"/>
      <c r="Z563" s="589"/>
      <c r="AA563" s="589"/>
      <c r="AB563" s="589"/>
      <c r="AC563" s="589"/>
      <c r="AD563" s="589"/>
      <c r="AE563" s="589"/>
      <c r="AF563" s="589"/>
      <c r="AG563" s="589"/>
      <c r="AH563" s="589"/>
      <c r="AI563" s="589"/>
      <c r="AJ563" s="589"/>
      <c r="AK563" s="589"/>
      <c r="AL563" s="589"/>
      <c r="AM563" s="589"/>
      <c r="AN563" s="589"/>
      <c r="AO563" s="589"/>
      <c r="AP563" s="589"/>
      <c r="AQ563" s="589"/>
      <c r="AR563" s="589"/>
      <c r="AS563" s="589"/>
    </row>
    <row r="564" spans="1:45" ht="15">
      <c r="A564" s="587" t="s">
        <v>173</v>
      </c>
      <c r="B564" s="587" t="s">
        <v>550</v>
      </c>
      <c r="C564" s="587" t="s">
        <v>812</v>
      </c>
      <c r="D564" s="588">
        <v>2015</v>
      </c>
      <c r="E564" s="587" t="s">
        <v>775</v>
      </c>
      <c r="F564" s="588">
        <v>1026</v>
      </c>
      <c r="G564" s="588">
        <v>0</v>
      </c>
      <c r="H564" s="588">
        <v>0</v>
      </c>
      <c r="I564" s="588">
        <v>0</v>
      </c>
      <c r="J564" s="588">
        <v>681</v>
      </c>
      <c r="K564" s="588">
        <v>0</v>
      </c>
      <c r="L564" s="588">
        <v>0</v>
      </c>
      <c r="M564" s="588">
        <v>0</v>
      </c>
      <c r="N564" s="588">
        <v>759</v>
      </c>
      <c r="O564" s="588">
        <v>0</v>
      </c>
      <c r="P564" s="588">
        <v>1814</v>
      </c>
      <c r="Q564" s="588">
        <v>222</v>
      </c>
      <c r="R564" s="588">
        <v>4280</v>
      </c>
      <c r="S564" s="588">
        <v>222</v>
      </c>
      <c r="T564" s="588">
        <v>2015</v>
      </c>
      <c r="U564" s="588">
        <v>2014</v>
      </c>
      <c r="V564" s="589"/>
      <c r="W564" s="589"/>
      <c r="X564" s="589"/>
      <c r="Y564" s="589"/>
      <c r="Z564" s="589"/>
      <c r="AA564" s="589"/>
      <c r="AB564" s="589"/>
      <c r="AC564" s="589"/>
      <c r="AD564" s="589"/>
      <c r="AE564" s="589"/>
      <c r="AF564" s="589"/>
      <c r="AG564" s="589"/>
      <c r="AH564" s="589"/>
      <c r="AI564" s="589"/>
      <c r="AJ564" s="589"/>
      <c r="AK564" s="589"/>
      <c r="AL564" s="589"/>
      <c r="AM564" s="589"/>
      <c r="AN564" s="589"/>
      <c r="AO564" s="589"/>
      <c r="AP564" s="589"/>
      <c r="AQ564" s="589"/>
      <c r="AR564" s="589"/>
      <c r="AS564" s="589"/>
    </row>
    <row r="565" spans="1:45" ht="15">
      <c r="A565" s="590" t="s">
        <v>193</v>
      </c>
      <c r="B565" s="591" t="s">
        <v>697</v>
      </c>
      <c r="C565" s="591" t="s">
        <v>774</v>
      </c>
      <c r="D565" s="592">
        <v>2015</v>
      </c>
      <c r="E565" s="591" t="s">
        <v>775</v>
      </c>
      <c r="F565" s="592">
        <v>199</v>
      </c>
      <c r="G565" s="592">
        <v>0</v>
      </c>
      <c r="H565" s="592">
        <v>0</v>
      </c>
      <c r="I565" s="592">
        <v>0</v>
      </c>
      <c r="J565" s="592">
        <v>103</v>
      </c>
      <c r="K565" s="592">
        <v>0</v>
      </c>
      <c r="L565" s="592">
        <v>0</v>
      </c>
      <c r="M565" s="592">
        <v>0</v>
      </c>
      <c r="N565" s="593">
        <v>121</v>
      </c>
      <c r="O565" s="593">
        <v>7</v>
      </c>
      <c r="P565" s="593">
        <v>322</v>
      </c>
      <c r="Q565" s="593">
        <v>235</v>
      </c>
      <c r="R565" s="593">
        <v>745</v>
      </c>
      <c r="S565" s="593">
        <v>242</v>
      </c>
      <c r="T565" s="593">
        <v>2015</v>
      </c>
      <c r="U565" s="593">
        <v>2015</v>
      </c>
      <c r="V565" s="589"/>
      <c r="W565" s="589"/>
      <c r="X565" s="589"/>
      <c r="Y565" s="589"/>
      <c r="Z565" s="589"/>
      <c r="AA565" s="589"/>
      <c r="AB565" s="589"/>
      <c r="AC565" s="589"/>
      <c r="AD565" s="589"/>
      <c r="AE565" s="589"/>
      <c r="AF565" s="589"/>
      <c r="AG565" s="589"/>
      <c r="AH565" s="589"/>
      <c r="AI565" s="589"/>
      <c r="AJ565" s="589"/>
      <c r="AK565" s="589"/>
      <c r="AL565" s="589"/>
      <c r="AM565" s="589"/>
      <c r="AN565" s="589"/>
      <c r="AO565" s="589"/>
      <c r="AP565" s="589"/>
      <c r="AQ565" s="589"/>
      <c r="AR565" s="589"/>
      <c r="AS565" s="589"/>
    </row>
    <row r="566" spans="1:45" ht="15">
      <c r="A566" s="587" t="s">
        <v>136</v>
      </c>
      <c r="B566" s="587" t="s">
        <v>278</v>
      </c>
      <c r="C566" s="587" t="s">
        <v>774</v>
      </c>
      <c r="D566" s="588">
        <v>2015</v>
      </c>
      <c r="E566" s="587" t="s">
        <v>775</v>
      </c>
      <c r="F566" s="588">
        <v>80</v>
      </c>
      <c r="G566" s="588">
        <v>0</v>
      </c>
      <c r="H566" s="588">
        <v>0</v>
      </c>
      <c r="I566" s="588">
        <v>0</v>
      </c>
      <c r="J566" s="588">
        <v>48</v>
      </c>
      <c r="K566" s="588">
        <v>0</v>
      </c>
      <c r="L566" s="588">
        <v>0</v>
      </c>
      <c r="M566" s="588">
        <v>0</v>
      </c>
      <c r="N566" s="588">
        <v>43</v>
      </c>
      <c r="O566" s="588">
        <v>0</v>
      </c>
      <c r="P566" s="588">
        <v>126</v>
      </c>
      <c r="Q566" s="588">
        <v>0</v>
      </c>
      <c r="R566" s="588">
        <v>297</v>
      </c>
      <c r="S566" s="588">
        <v>0</v>
      </c>
      <c r="T566" s="588">
        <v>2015</v>
      </c>
      <c r="U566" s="588">
        <v>2015</v>
      </c>
      <c r="V566" s="589"/>
      <c r="W566" s="589"/>
      <c r="X566" s="589"/>
      <c r="Y566" s="589"/>
      <c r="Z566" s="589"/>
      <c r="AA566" s="589"/>
      <c r="AB566" s="589"/>
      <c r="AC566" s="589"/>
      <c r="AD566" s="589"/>
      <c r="AE566" s="589"/>
      <c r="AF566" s="589"/>
      <c r="AG566" s="589"/>
      <c r="AH566" s="589"/>
      <c r="AI566" s="589"/>
      <c r="AJ566" s="589"/>
      <c r="AK566" s="589"/>
      <c r="AL566" s="589"/>
      <c r="AM566" s="589"/>
      <c r="AN566" s="589"/>
      <c r="AO566" s="589"/>
      <c r="AP566" s="589"/>
      <c r="AQ566" s="589"/>
      <c r="AR566" s="589"/>
      <c r="AS566" s="589"/>
    </row>
    <row r="567" spans="1:45" ht="15">
      <c r="A567" s="590" t="s">
        <v>183</v>
      </c>
      <c r="B567" s="591" t="s">
        <v>621</v>
      </c>
      <c r="C567" s="591" t="s">
        <v>784</v>
      </c>
      <c r="D567" s="592">
        <v>2015</v>
      </c>
      <c r="E567" s="591" t="s">
        <v>775</v>
      </c>
      <c r="F567" s="592">
        <v>38</v>
      </c>
      <c r="G567" s="592">
        <v>0</v>
      </c>
      <c r="H567" s="592">
        <v>0</v>
      </c>
      <c r="I567" s="592">
        <v>0</v>
      </c>
      <c r="J567" s="592">
        <v>24</v>
      </c>
      <c r="K567" s="592">
        <v>0</v>
      </c>
      <c r="L567" s="592">
        <v>0</v>
      </c>
      <c r="M567" s="592">
        <v>0</v>
      </c>
      <c r="N567" s="593">
        <v>27</v>
      </c>
      <c r="O567" s="593">
        <v>0</v>
      </c>
      <c r="P567" s="593">
        <v>64</v>
      </c>
      <c r="Q567" s="593">
        <v>55</v>
      </c>
      <c r="R567" s="593">
        <v>153</v>
      </c>
      <c r="S567" s="593">
        <v>55</v>
      </c>
      <c r="T567" s="593">
        <v>2015</v>
      </c>
      <c r="U567" s="593">
        <v>2014</v>
      </c>
      <c r="V567" s="589"/>
      <c r="W567" s="589"/>
      <c r="X567" s="589"/>
      <c r="Y567" s="589"/>
      <c r="Z567" s="589"/>
      <c r="AA567" s="589"/>
      <c r="AB567" s="589"/>
      <c r="AC567" s="589"/>
      <c r="AD567" s="589"/>
      <c r="AE567" s="589"/>
      <c r="AF567" s="589"/>
      <c r="AG567" s="589"/>
      <c r="AH567" s="589"/>
      <c r="AI567" s="589"/>
      <c r="AJ567" s="589"/>
      <c r="AK567" s="589"/>
      <c r="AL567" s="589"/>
      <c r="AM567" s="589"/>
      <c r="AN567" s="589"/>
      <c r="AO567" s="589"/>
      <c r="AP567" s="589"/>
      <c r="AQ567" s="589"/>
      <c r="AR567" s="589"/>
      <c r="AS567" s="589"/>
    </row>
    <row r="568" spans="1:45" ht="15">
      <c r="A568" s="587" t="s">
        <v>136</v>
      </c>
      <c r="B568" s="587" t="s">
        <v>279</v>
      </c>
      <c r="C568" s="587" t="s">
        <v>774</v>
      </c>
      <c r="D568" s="588">
        <v>2015</v>
      </c>
      <c r="E568" s="587" t="s">
        <v>775</v>
      </c>
      <c r="F568" s="588">
        <v>392</v>
      </c>
      <c r="G568" s="588">
        <v>0</v>
      </c>
      <c r="H568" s="588">
        <v>0</v>
      </c>
      <c r="I568" s="588">
        <v>0</v>
      </c>
      <c r="J568" s="588">
        <v>254</v>
      </c>
      <c r="K568" s="588">
        <v>2</v>
      </c>
      <c r="L568" s="588">
        <v>2</v>
      </c>
      <c r="M568" s="588">
        <v>0</v>
      </c>
      <c r="N568" s="588">
        <v>316</v>
      </c>
      <c r="O568" s="588">
        <v>150</v>
      </c>
      <c r="P568" s="588">
        <v>1063</v>
      </c>
      <c r="Q568" s="588">
        <v>252</v>
      </c>
      <c r="R568" s="588">
        <v>2025</v>
      </c>
      <c r="S568" s="588">
        <v>404</v>
      </c>
      <c r="T568" s="588">
        <v>2015</v>
      </c>
      <c r="U568" s="588">
        <v>2015</v>
      </c>
      <c r="V568" s="589"/>
      <c r="W568" s="589"/>
      <c r="X568" s="589"/>
      <c r="Y568" s="589"/>
      <c r="Z568" s="589"/>
      <c r="AA568" s="589"/>
      <c r="AB568" s="589"/>
      <c r="AC568" s="589"/>
      <c r="AD568" s="589"/>
      <c r="AE568" s="589"/>
      <c r="AF568" s="589"/>
      <c r="AG568" s="589"/>
      <c r="AH568" s="589"/>
      <c r="AI568" s="589"/>
      <c r="AJ568" s="589"/>
      <c r="AK568" s="589"/>
      <c r="AL568" s="589"/>
      <c r="AM568" s="589"/>
      <c r="AN568" s="589"/>
      <c r="AO568" s="589"/>
      <c r="AP568" s="589"/>
      <c r="AQ568" s="589"/>
      <c r="AR568" s="589"/>
      <c r="AS568" s="589"/>
    </row>
    <row r="569" spans="1:45" ht="15">
      <c r="A569" s="590" t="s">
        <v>169</v>
      </c>
      <c r="B569" s="591" t="s">
        <v>508</v>
      </c>
      <c r="C569" s="591" t="s">
        <v>812</v>
      </c>
      <c r="D569" s="592">
        <v>2015</v>
      </c>
      <c r="E569" s="591" t="s">
        <v>775</v>
      </c>
      <c r="F569" s="592">
        <v>112</v>
      </c>
      <c r="G569" s="592">
        <v>0</v>
      </c>
      <c r="H569" s="592">
        <v>0</v>
      </c>
      <c r="I569" s="592">
        <v>0</v>
      </c>
      <c r="J569" s="592">
        <v>81</v>
      </c>
      <c r="K569" s="592">
        <v>0</v>
      </c>
      <c r="L569" s="592">
        <v>0</v>
      </c>
      <c r="M569" s="592">
        <v>0</v>
      </c>
      <c r="N569" s="593">
        <v>90</v>
      </c>
      <c r="O569" s="593">
        <v>10</v>
      </c>
      <c r="P569" s="593">
        <v>209</v>
      </c>
      <c r="Q569" s="593">
        <v>45</v>
      </c>
      <c r="R569" s="593">
        <v>492</v>
      </c>
      <c r="S569" s="593">
        <v>55</v>
      </c>
      <c r="T569" s="593">
        <v>2015</v>
      </c>
      <c r="U569" s="593">
        <v>2014</v>
      </c>
      <c r="V569" s="589"/>
      <c r="W569" s="589"/>
      <c r="X569" s="589"/>
      <c r="Y569" s="589"/>
      <c r="Z569" s="589"/>
      <c r="AA569" s="589"/>
      <c r="AB569" s="589"/>
      <c r="AC569" s="589"/>
      <c r="AD569" s="589"/>
      <c r="AE569" s="589"/>
      <c r="AF569" s="589"/>
      <c r="AG569" s="589"/>
      <c r="AH569" s="589"/>
      <c r="AI569" s="589"/>
      <c r="AJ569" s="589"/>
      <c r="AK569" s="589"/>
      <c r="AL569" s="589"/>
      <c r="AM569" s="589"/>
      <c r="AN569" s="589"/>
      <c r="AO569" s="589"/>
      <c r="AP569" s="589"/>
      <c r="AQ569" s="589"/>
      <c r="AR569" s="589"/>
      <c r="AS569" s="589"/>
    </row>
    <row r="570" spans="1:45" ht="15">
      <c r="A570" s="587" t="s">
        <v>170</v>
      </c>
      <c r="B570" s="587" t="s">
        <v>523</v>
      </c>
      <c r="C570" s="587" t="s">
        <v>799</v>
      </c>
      <c r="D570" s="588">
        <v>2015</v>
      </c>
      <c r="E570" s="587" t="s">
        <v>775</v>
      </c>
      <c r="F570" s="588">
        <v>1365</v>
      </c>
      <c r="G570" s="588">
        <v>0</v>
      </c>
      <c r="H570" s="588">
        <v>0</v>
      </c>
      <c r="I570" s="588">
        <v>0</v>
      </c>
      <c r="J570" s="588">
        <v>957</v>
      </c>
      <c r="K570" s="588">
        <v>16</v>
      </c>
      <c r="L570" s="588">
        <v>1</v>
      </c>
      <c r="M570" s="588">
        <v>15</v>
      </c>
      <c r="N570" s="588">
        <v>936</v>
      </c>
      <c r="O570" s="588">
        <v>0</v>
      </c>
      <c r="P570" s="588">
        <v>1773</v>
      </c>
      <c r="Q570" s="588">
        <v>282</v>
      </c>
      <c r="R570" s="588">
        <v>5031</v>
      </c>
      <c r="S570" s="588">
        <v>298</v>
      </c>
      <c r="T570" s="588">
        <v>2015</v>
      </c>
      <c r="U570" s="588">
        <v>2014</v>
      </c>
      <c r="V570" s="589"/>
      <c r="W570" s="589"/>
      <c r="X570" s="589"/>
      <c r="Y570" s="589"/>
      <c r="Z570" s="589"/>
      <c r="AA570" s="589"/>
      <c r="AB570" s="589"/>
      <c r="AC570" s="589"/>
      <c r="AD570" s="589"/>
      <c r="AE570" s="589"/>
      <c r="AF570" s="589"/>
      <c r="AG570" s="589"/>
      <c r="AH570" s="589"/>
      <c r="AI570" s="589"/>
      <c r="AJ570" s="589"/>
      <c r="AK570" s="589"/>
      <c r="AL570" s="589"/>
      <c r="AM570" s="589"/>
      <c r="AN570" s="589"/>
      <c r="AO570" s="589"/>
      <c r="AP570" s="589"/>
      <c r="AQ570" s="589"/>
      <c r="AR570" s="589"/>
      <c r="AS570" s="589"/>
    </row>
    <row r="571" spans="1:45" ht="15">
      <c r="A571" s="590" t="s">
        <v>139</v>
      </c>
      <c r="B571" s="591" t="s">
        <v>288</v>
      </c>
      <c r="C571" s="591" t="s">
        <v>799</v>
      </c>
      <c r="D571" s="592">
        <v>2015</v>
      </c>
      <c r="E571" s="591" t="s">
        <v>775</v>
      </c>
      <c r="F571" s="592">
        <v>78</v>
      </c>
      <c r="G571" s="592">
        <v>0</v>
      </c>
      <c r="H571" s="592">
        <v>0</v>
      </c>
      <c r="I571" s="592">
        <v>0</v>
      </c>
      <c r="J571" s="592">
        <v>55</v>
      </c>
      <c r="K571" s="592">
        <v>0</v>
      </c>
      <c r="L571" s="592">
        <v>0</v>
      </c>
      <c r="M571" s="592">
        <v>0</v>
      </c>
      <c r="N571" s="593">
        <v>69</v>
      </c>
      <c r="O571" s="593">
        <v>4</v>
      </c>
      <c r="P571" s="593">
        <v>170</v>
      </c>
      <c r="Q571" s="593">
        <v>20</v>
      </c>
      <c r="R571" s="593">
        <v>372</v>
      </c>
      <c r="S571" s="593">
        <v>24</v>
      </c>
      <c r="T571" s="593">
        <v>2015</v>
      </c>
      <c r="U571" s="593">
        <v>2014</v>
      </c>
      <c r="V571" s="589"/>
      <c r="W571" s="589"/>
      <c r="X571" s="589"/>
      <c r="Y571" s="589"/>
      <c r="Z571" s="589"/>
      <c r="AA571" s="589"/>
      <c r="AB571" s="589"/>
      <c r="AC571" s="589"/>
      <c r="AD571" s="589"/>
      <c r="AE571" s="589"/>
      <c r="AF571" s="589"/>
      <c r="AG571" s="589"/>
      <c r="AH571" s="589"/>
      <c r="AI571" s="589"/>
      <c r="AJ571" s="589"/>
      <c r="AK571" s="589"/>
      <c r="AL571" s="589"/>
      <c r="AM571" s="589"/>
      <c r="AN571" s="589"/>
      <c r="AO571" s="589"/>
      <c r="AP571" s="589"/>
      <c r="AQ571" s="589"/>
      <c r="AR571" s="589"/>
      <c r="AS571" s="589"/>
    </row>
    <row r="572" spans="1:45" ht="15">
      <c r="A572" s="587" t="s">
        <v>136</v>
      </c>
      <c r="B572" s="587" t="s">
        <v>280</v>
      </c>
      <c r="C572" s="587" t="s">
        <v>774</v>
      </c>
      <c r="D572" s="588">
        <v>2015</v>
      </c>
      <c r="E572" s="587" t="s">
        <v>775</v>
      </c>
      <c r="F572" s="588">
        <v>118</v>
      </c>
      <c r="G572" s="588">
        <v>0</v>
      </c>
      <c r="H572" s="588">
        <v>0</v>
      </c>
      <c r="I572" s="588">
        <v>0</v>
      </c>
      <c r="J572" s="588">
        <v>69</v>
      </c>
      <c r="K572" s="588">
        <v>0</v>
      </c>
      <c r="L572" s="588">
        <v>0</v>
      </c>
      <c r="M572" s="588">
        <v>0</v>
      </c>
      <c r="N572" s="588">
        <v>84</v>
      </c>
      <c r="O572" s="588">
        <v>2</v>
      </c>
      <c r="P572" s="588">
        <v>177</v>
      </c>
      <c r="Q572" s="588">
        <v>6</v>
      </c>
      <c r="R572" s="588">
        <v>448</v>
      </c>
      <c r="S572" s="588">
        <v>8</v>
      </c>
      <c r="T572" s="588">
        <v>2015</v>
      </c>
      <c r="U572" s="588">
        <v>2015</v>
      </c>
      <c r="V572" s="589"/>
      <c r="W572" s="589"/>
      <c r="X572" s="589"/>
      <c r="Y572" s="589"/>
      <c r="Z572" s="589"/>
      <c r="AA572" s="589"/>
      <c r="AB572" s="589"/>
      <c r="AC572" s="589"/>
      <c r="AD572" s="589"/>
      <c r="AE572" s="589"/>
      <c r="AF572" s="589"/>
      <c r="AG572" s="589"/>
      <c r="AH572" s="589"/>
      <c r="AI572" s="589"/>
      <c r="AJ572" s="589"/>
      <c r="AK572" s="589"/>
      <c r="AL572" s="589"/>
      <c r="AM572" s="589"/>
      <c r="AN572" s="589"/>
      <c r="AO572" s="589"/>
      <c r="AP572" s="589"/>
      <c r="AQ572" s="589"/>
      <c r="AR572" s="589"/>
      <c r="AS572" s="589"/>
    </row>
    <row r="573" spans="1:45" ht="15">
      <c r="A573" s="590" t="s">
        <v>125</v>
      </c>
      <c r="B573" s="591" t="s">
        <v>244</v>
      </c>
      <c r="C573" s="591" t="s">
        <v>774</v>
      </c>
      <c r="D573" s="592">
        <v>2015</v>
      </c>
      <c r="E573" s="591" t="s">
        <v>775</v>
      </c>
      <c r="F573" s="592">
        <v>716</v>
      </c>
      <c r="G573" s="592">
        <v>54</v>
      </c>
      <c r="H573" s="592">
        <v>54</v>
      </c>
      <c r="I573" s="592">
        <v>0</v>
      </c>
      <c r="J573" s="592">
        <v>391</v>
      </c>
      <c r="K573" s="592">
        <v>16</v>
      </c>
      <c r="L573" s="592">
        <v>16</v>
      </c>
      <c r="M573" s="592">
        <v>0</v>
      </c>
      <c r="N573" s="593">
        <v>407</v>
      </c>
      <c r="O573" s="593">
        <v>2</v>
      </c>
      <c r="P573" s="593">
        <v>553</v>
      </c>
      <c r="Q573" s="593">
        <v>819</v>
      </c>
      <c r="R573" s="593">
        <v>2067</v>
      </c>
      <c r="S573" s="593">
        <v>891</v>
      </c>
      <c r="T573" s="593">
        <v>2015</v>
      </c>
      <c r="U573" s="593">
        <v>2015</v>
      </c>
      <c r="V573" s="589"/>
      <c r="W573" s="589"/>
      <c r="X573" s="589"/>
      <c r="Y573" s="589"/>
      <c r="Z573" s="589"/>
      <c r="AA573" s="589"/>
      <c r="AB573" s="589"/>
      <c r="AC573" s="589"/>
      <c r="AD573" s="589"/>
      <c r="AE573" s="589"/>
      <c r="AF573" s="589"/>
      <c r="AG573" s="589"/>
      <c r="AH573" s="589"/>
      <c r="AI573" s="589"/>
      <c r="AJ573" s="589"/>
      <c r="AK573" s="589"/>
      <c r="AL573" s="589"/>
      <c r="AM573" s="589"/>
      <c r="AN573" s="589"/>
      <c r="AO573" s="589"/>
      <c r="AP573" s="589"/>
      <c r="AQ573" s="589"/>
      <c r="AR573" s="589"/>
      <c r="AS573" s="589"/>
    </row>
    <row r="574" spans="1:45" ht="15">
      <c r="A574" s="587" t="s">
        <v>159</v>
      </c>
      <c r="B574" s="587" t="s">
        <v>451</v>
      </c>
      <c r="C574" s="587" t="s">
        <v>784</v>
      </c>
      <c r="D574" s="588">
        <v>2015</v>
      </c>
      <c r="E574" s="587" t="s">
        <v>775</v>
      </c>
      <c r="F574" s="588">
        <v>1</v>
      </c>
      <c r="G574" s="588">
        <v>0</v>
      </c>
      <c r="H574" s="588">
        <v>0</v>
      </c>
      <c r="I574" s="588">
        <v>0</v>
      </c>
      <c r="J574" s="588">
        <v>1</v>
      </c>
      <c r="K574" s="588">
        <v>0</v>
      </c>
      <c r="L574" s="588">
        <v>0</v>
      </c>
      <c r="M574" s="588">
        <v>0</v>
      </c>
      <c r="N574" s="588">
        <v>1</v>
      </c>
      <c r="O574" s="588">
        <v>1</v>
      </c>
      <c r="P574" s="588">
        <v>1</v>
      </c>
      <c r="Q574" s="588">
        <v>0</v>
      </c>
      <c r="R574" s="588">
        <v>4</v>
      </c>
      <c r="S574" s="588">
        <v>1</v>
      </c>
      <c r="T574" s="588">
        <v>2015</v>
      </c>
      <c r="U574" s="588">
        <v>2014</v>
      </c>
      <c r="V574" s="589"/>
      <c r="W574" s="589"/>
      <c r="X574" s="589"/>
      <c r="Y574" s="589"/>
      <c r="Z574" s="589"/>
      <c r="AA574" s="589"/>
      <c r="AB574" s="589"/>
      <c r="AC574" s="589"/>
      <c r="AD574" s="589"/>
      <c r="AE574" s="589"/>
      <c r="AF574" s="589"/>
      <c r="AG574" s="589"/>
      <c r="AH574" s="589"/>
      <c r="AI574" s="589"/>
      <c r="AJ574" s="589"/>
      <c r="AK574" s="589"/>
      <c r="AL574" s="589"/>
      <c r="AM574" s="589"/>
      <c r="AN574" s="589"/>
      <c r="AO574" s="589"/>
      <c r="AP574" s="589"/>
      <c r="AQ574" s="589"/>
      <c r="AR574" s="589"/>
      <c r="AS574" s="589"/>
    </row>
    <row r="575" spans="1:45" ht="15">
      <c r="A575" s="590" t="s">
        <v>199</v>
      </c>
      <c r="B575" s="591" t="s">
        <v>724</v>
      </c>
      <c r="C575" s="591" t="s">
        <v>177</v>
      </c>
      <c r="D575" s="592">
        <v>2015</v>
      </c>
      <c r="E575" s="591" t="s">
        <v>775</v>
      </c>
      <c r="F575" s="592">
        <v>623</v>
      </c>
      <c r="G575" s="592">
        <v>0</v>
      </c>
      <c r="H575" s="592">
        <v>0</v>
      </c>
      <c r="I575" s="592">
        <v>0</v>
      </c>
      <c r="J575" s="592">
        <v>576</v>
      </c>
      <c r="K575" s="592">
        <v>3</v>
      </c>
      <c r="L575" s="592">
        <v>3</v>
      </c>
      <c r="M575" s="592">
        <v>0</v>
      </c>
      <c r="N575" s="593">
        <v>566</v>
      </c>
      <c r="O575" s="593">
        <v>97</v>
      </c>
      <c r="P575" s="593">
        <v>1431</v>
      </c>
      <c r="Q575" s="593">
        <v>8</v>
      </c>
      <c r="R575" s="593">
        <v>3196</v>
      </c>
      <c r="S575" s="593">
        <v>108</v>
      </c>
      <c r="T575" s="593">
        <v>2016</v>
      </c>
      <c r="U575" s="593">
        <v>2016</v>
      </c>
      <c r="V575" s="589"/>
      <c r="W575" s="589"/>
      <c r="X575" s="589"/>
      <c r="Y575" s="589"/>
      <c r="Z575" s="589"/>
      <c r="AA575" s="589"/>
      <c r="AB575" s="589"/>
      <c r="AC575" s="589"/>
      <c r="AD575" s="589"/>
      <c r="AE575" s="589"/>
      <c r="AF575" s="589"/>
      <c r="AG575" s="589"/>
      <c r="AH575" s="589"/>
      <c r="AI575" s="589"/>
      <c r="AJ575" s="589"/>
      <c r="AK575" s="589"/>
      <c r="AL575" s="589"/>
      <c r="AM575" s="589"/>
      <c r="AN575" s="589"/>
      <c r="AO575" s="589"/>
      <c r="AP575" s="589"/>
      <c r="AQ575" s="589"/>
      <c r="AR575" s="589"/>
      <c r="AS575" s="589"/>
    </row>
    <row r="576" spans="1:45" ht="15">
      <c r="A576" s="587" t="s">
        <v>184</v>
      </c>
      <c r="B576" s="587" t="s">
        <v>636</v>
      </c>
      <c r="C576" s="587" t="s">
        <v>774</v>
      </c>
      <c r="D576" s="588">
        <v>2015</v>
      </c>
      <c r="E576" s="587" t="s">
        <v>775</v>
      </c>
      <c r="F576" s="588">
        <v>21</v>
      </c>
      <c r="G576" s="588">
        <v>0</v>
      </c>
      <c r="H576" s="588">
        <v>0</v>
      </c>
      <c r="I576" s="588">
        <v>0</v>
      </c>
      <c r="J576" s="588">
        <v>15</v>
      </c>
      <c r="K576" s="588">
        <v>0</v>
      </c>
      <c r="L576" s="588">
        <v>0</v>
      </c>
      <c r="M576" s="588">
        <v>0</v>
      </c>
      <c r="N576" s="588">
        <v>15</v>
      </c>
      <c r="O576" s="588">
        <v>0</v>
      </c>
      <c r="P576" s="588">
        <v>13</v>
      </c>
      <c r="Q576" s="588">
        <v>8</v>
      </c>
      <c r="R576" s="588">
        <v>64</v>
      </c>
      <c r="S576" s="588">
        <v>8</v>
      </c>
      <c r="T576" s="588">
        <v>2015</v>
      </c>
      <c r="U576" s="588">
        <v>2015</v>
      </c>
      <c r="V576" s="589"/>
      <c r="W576" s="589"/>
      <c r="X576" s="589"/>
      <c r="Y576" s="589"/>
      <c r="Z576" s="589"/>
      <c r="AA576" s="589"/>
      <c r="AB576" s="589"/>
      <c r="AC576" s="589"/>
      <c r="AD576" s="589"/>
      <c r="AE576" s="589"/>
      <c r="AF576" s="589"/>
      <c r="AG576" s="589"/>
      <c r="AH576" s="589"/>
      <c r="AI576" s="589"/>
      <c r="AJ576" s="589"/>
      <c r="AK576" s="589"/>
      <c r="AL576" s="589"/>
      <c r="AM576" s="589"/>
      <c r="AN576" s="589"/>
      <c r="AO576" s="589"/>
      <c r="AP576" s="589"/>
      <c r="AQ576" s="589"/>
      <c r="AR576" s="589"/>
      <c r="AS576" s="589"/>
    </row>
    <row r="577" spans="1:45" ht="15">
      <c r="A577" s="590" t="s">
        <v>179</v>
      </c>
      <c r="B577" s="590" t="s">
        <v>602</v>
      </c>
      <c r="C577" s="590" t="s">
        <v>855</v>
      </c>
      <c r="D577" s="593">
        <v>2015</v>
      </c>
      <c r="E577" s="590" t="s">
        <v>775</v>
      </c>
      <c r="F577" s="593">
        <v>201</v>
      </c>
      <c r="G577" s="593">
        <v>0</v>
      </c>
      <c r="H577" s="593">
        <v>0</v>
      </c>
      <c r="I577" s="593">
        <v>0</v>
      </c>
      <c r="J577" s="593">
        <v>152</v>
      </c>
      <c r="K577" s="593">
        <v>0</v>
      </c>
      <c r="L577" s="593">
        <v>0</v>
      </c>
      <c r="M577" s="593">
        <v>0</v>
      </c>
      <c r="N577" s="593">
        <v>282</v>
      </c>
      <c r="O577" s="593">
        <v>0</v>
      </c>
      <c r="P577" s="593">
        <v>618</v>
      </c>
      <c r="Q577" s="593">
        <v>11</v>
      </c>
      <c r="R577" s="593">
        <v>1253</v>
      </c>
      <c r="S577" s="593">
        <v>11</v>
      </c>
      <c r="T577" s="593">
        <v>2015</v>
      </c>
      <c r="U577" s="593">
        <v>2013</v>
      </c>
      <c r="V577" s="589"/>
      <c r="W577" s="589"/>
      <c r="X577" s="589"/>
      <c r="Y577" s="589"/>
      <c r="Z577" s="589"/>
      <c r="AA577" s="589"/>
      <c r="AB577" s="589"/>
      <c r="AC577" s="589"/>
      <c r="AD577" s="589"/>
      <c r="AE577" s="589"/>
      <c r="AF577" s="589"/>
      <c r="AG577" s="589"/>
      <c r="AH577" s="589"/>
      <c r="AI577" s="589"/>
      <c r="AJ577" s="589"/>
      <c r="AK577" s="589"/>
      <c r="AL577" s="589"/>
      <c r="AM577" s="589"/>
      <c r="AN577" s="589"/>
      <c r="AO577" s="589"/>
      <c r="AP577" s="589"/>
      <c r="AQ577" s="589"/>
      <c r="AR577" s="589"/>
      <c r="AS577" s="589"/>
    </row>
    <row r="578" spans="1:45" ht="15">
      <c r="A578" s="587" t="s">
        <v>174</v>
      </c>
      <c r="B578" s="587" t="s">
        <v>561</v>
      </c>
      <c r="C578" s="587" t="s">
        <v>799</v>
      </c>
      <c r="D578" s="588">
        <v>2015</v>
      </c>
      <c r="E578" s="587" t="s">
        <v>775</v>
      </c>
      <c r="F578" s="588">
        <v>1539</v>
      </c>
      <c r="G578" s="588">
        <v>50</v>
      </c>
      <c r="H578" s="588">
        <v>50</v>
      </c>
      <c r="I578" s="588">
        <v>0</v>
      </c>
      <c r="J578" s="588">
        <v>1079</v>
      </c>
      <c r="K578" s="588">
        <v>0</v>
      </c>
      <c r="L578" s="588">
        <v>0</v>
      </c>
      <c r="M578" s="588">
        <v>0</v>
      </c>
      <c r="N578" s="588">
        <v>1303</v>
      </c>
      <c r="O578" s="588">
        <v>0</v>
      </c>
      <c r="P578" s="588">
        <v>3087</v>
      </c>
      <c r="Q578" s="588">
        <v>402</v>
      </c>
      <c r="R578" s="588">
        <v>7008</v>
      </c>
      <c r="S578" s="588">
        <v>452</v>
      </c>
      <c r="T578" s="588">
        <v>2015</v>
      </c>
      <c r="U578" s="588">
        <v>2014</v>
      </c>
      <c r="V578" s="589"/>
      <c r="W578" s="589"/>
      <c r="X578" s="589"/>
      <c r="Y578" s="589"/>
      <c r="Z578" s="589"/>
      <c r="AA578" s="589"/>
      <c r="AB578" s="589"/>
      <c r="AC578" s="589"/>
      <c r="AD578" s="589"/>
      <c r="AE578" s="589"/>
      <c r="AF578" s="589"/>
      <c r="AG578" s="589"/>
      <c r="AH578" s="589"/>
      <c r="AI578" s="589"/>
      <c r="AJ578" s="589"/>
      <c r="AK578" s="589"/>
      <c r="AL578" s="589"/>
      <c r="AM578" s="589"/>
      <c r="AN578" s="589"/>
      <c r="AO578" s="589"/>
      <c r="AP578" s="589"/>
      <c r="AQ578" s="589"/>
      <c r="AR578" s="589"/>
      <c r="AS578" s="589"/>
    </row>
    <row r="579" spans="1:45" ht="15">
      <c r="A579" s="590" t="s">
        <v>178</v>
      </c>
      <c r="B579" s="590" t="s">
        <v>581</v>
      </c>
      <c r="C579" s="590" t="s">
        <v>812</v>
      </c>
      <c r="D579" s="593">
        <v>2015</v>
      </c>
      <c r="E579" s="590" t="s">
        <v>775</v>
      </c>
      <c r="F579" s="593">
        <v>209</v>
      </c>
      <c r="G579" s="593">
        <v>0</v>
      </c>
      <c r="H579" s="593">
        <v>0</v>
      </c>
      <c r="I579" s="593">
        <v>0</v>
      </c>
      <c r="J579" s="593">
        <v>141</v>
      </c>
      <c r="K579" s="593">
        <v>0</v>
      </c>
      <c r="L579" s="593">
        <v>0</v>
      </c>
      <c r="M579" s="593">
        <v>0</v>
      </c>
      <c r="N579" s="593">
        <v>158</v>
      </c>
      <c r="O579" s="593">
        <v>0</v>
      </c>
      <c r="P579" s="593">
        <v>340</v>
      </c>
      <c r="Q579" s="593">
        <v>425</v>
      </c>
      <c r="R579" s="593">
        <v>848</v>
      </c>
      <c r="S579" s="593">
        <v>425</v>
      </c>
      <c r="T579" s="593">
        <v>2015</v>
      </c>
      <c r="U579" s="593">
        <v>2014</v>
      </c>
      <c r="V579" s="589"/>
      <c r="W579" s="589"/>
      <c r="X579" s="589"/>
      <c r="Y579" s="589"/>
      <c r="Z579" s="589"/>
      <c r="AA579" s="589"/>
      <c r="AB579" s="589"/>
      <c r="AC579" s="589"/>
      <c r="AD579" s="589"/>
      <c r="AE579" s="589"/>
      <c r="AF579" s="589"/>
      <c r="AG579" s="589"/>
      <c r="AH579" s="589"/>
      <c r="AI579" s="589"/>
      <c r="AJ579" s="589"/>
      <c r="AK579" s="589"/>
      <c r="AL579" s="589"/>
      <c r="AM579" s="589"/>
      <c r="AN579" s="589"/>
      <c r="AO579" s="589"/>
      <c r="AP579" s="589"/>
      <c r="AQ579" s="589"/>
      <c r="AR579" s="589"/>
      <c r="AS579" s="589"/>
    </row>
    <row r="580" spans="1:45" ht="15">
      <c r="A580" s="587" t="s">
        <v>153</v>
      </c>
      <c r="B580" s="587" t="s">
        <v>409</v>
      </c>
      <c r="C580" s="587" t="s">
        <v>812</v>
      </c>
      <c r="D580" s="588">
        <v>2015</v>
      </c>
      <c r="E580" s="587" t="s">
        <v>775</v>
      </c>
      <c r="F580" s="588">
        <v>8</v>
      </c>
      <c r="G580" s="588">
        <v>0</v>
      </c>
      <c r="H580" s="588">
        <v>0</v>
      </c>
      <c r="I580" s="588">
        <v>0</v>
      </c>
      <c r="J580" s="588">
        <v>5</v>
      </c>
      <c r="K580" s="588">
        <v>0</v>
      </c>
      <c r="L580" s="588">
        <v>0</v>
      </c>
      <c r="M580" s="588">
        <v>0</v>
      </c>
      <c r="N580" s="588">
        <v>5</v>
      </c>
      <c r="O580" s="588">
        <v>0</v>
      </c>
      <c r="P580" s="588">
        <v>13</v>
      </c>
      <c r="Q580" s="588">
        <v>4</v>
      </c>
      <c r="R580" s="588">
        <v>31</v>
      </c>
      <c r="S580" s="588">
        <v>4</v>
      </c>
      <c r="T580" s="588">
        <v>2015</v>
      </c>
      <c r="U580" s="588">
        <v>2014</v>
      </c>
      <c r="V580" s="589"/>
      <c r="W580" s="589"/>
      <c r="X580" s="589"/>
      <c r="Y580" s="589"/>
      <c r="Z580" s="589"/>
      <c r="AA580" s="589"/>
      <c r="AB580" s="589"/>
      <c r="AC580" s="589"/>
      <c r="AD580" s="589"/>
      <c r="AE580" s="589"/>
      <c r="AF580" s="589"/>
      <c r="AG580" s="589"/>
      <c r="AH580" s="589"/>
      <c r="AI580" s="589"/>
      <c r="AJ580" s="589"/>
      <c r="AK580" s="589"/>
      <c r="AL580" s="589"/>
      <c r="AM580" s="589"/>
      <c r="AN580" s="589"/>
      <c r="AO580" s="589"/>
      <c r="AP580" s="589"/>
      <c r="AQ580" s="589"/>
      <c r="AR580" s="589"/>
      <c r="AS580" s="589"/>
    </row>
    <row r="581" spans="1:45" ht="15">
      <c r="A581" s="590" t="s">
        <v>169</v>
      </c>
      <c r="B581" s="590" t="s">
        <v>509</v>
      </c>
      <c r="C581" s="590" t="s">
        <v>812</v>
      </c>
      <c r="D581" s="593">
        <v>2015</v>
      </c>
      <c r="E581" s="590" t="s">
        <v>775</v>
      </c>
      <c r="F581" s="593">
        <v>1</v>
      </c>
      <c r="G581" s="593">
        <v>0</v>
      </c>
      <c r="H581" s="593">
        <v>0</v>
      </c>
      <c r="I581" s="593">
        <v>0</v>
      </c>
      <c r="J581" s="593">
        <v>1</v>
      </c>
      <c r="K581" s="593">
        <v>0</v>
      </c>
      <c r="L581" s="593">
        <v>0</v>
      </c>
      <c r="M581" s="593">
        <v>0</v>
      </c>
      <c r="N581" s="593">
        <v>0</v>
      </c>
      <c r="O581" s="593">
        <v>0</v>
      </c>
      <c r="P581" s="593">
        <v>0</v>
      </c>
      <c r="Q581" s="593">
        <v>0</v>
      </c>
      <c r="R581" s="593">
        <v>2</v>
      </c>
      <c r="S581" s="593">
        <v>0</v>
      </c>
      <c r="T581" s="593">
        <v>2015</v>
      </c>
      <c r="U581" s="593">
        <v>2014</v>
      </c>
      <c r="V581" s="589"/>
      <c r="W581" s="589"/>
      <c r="X581" s="589"/>
      <c r="Y581" s="589"/>
      <c r="Z581" s="589"/>
      <c r="AA581" s="589"/>
      <c r="AB581" s="589"/>
      <c r="AC581" s="589"/>
      <c r="AD581" s="589"/>
      <c r="AE581" s="589"/>
      <c r="AF581" s="589"/>
      <c r="AG581" s="589"/>
      <c r="AH581" s="589"/>
      <c r="AI581" s="589"/>
      <c r="AJ581" s="589"/>
      <c r="AK581" s="589"/>
      <c r="AL581" s="589"/>
      <c r="AM581" s="589"/>
      <c r="AN581" s="589"/>
      <c r="AO581" s="589"/>
      <c r="AP581" s="589"/>
      <c r="AQ581" s="589"/>
      <c r="AR581" s="589"/>
      <c r="AS581" s="589"/>
    </row>
    <row r="582" spans="1:45" ht="15">
      <c r="A582" s="587" t="s">
        <v>197</v>
      </c>
      <c r="B582" s="587" t="s">
        <v>717</v>
      </c>
      <c r="C582" s="587" t="s">
        <v>784</v>
      </c>
      <c r="D582" s="588">
        <v>2015</v>
      </c>
      <c r="E582" s="587" t="s">
        <v>775</v>
      </c>
      <c r="F582" s="588">
        <v>73</v>
      </c>
      <c r="G582" s="588">
        <v>0</v>
      </c>
      <c r="H582" s="588">
        <v>0</v>
      </c>
      <c r="I582" s="588">
        <v>0</v>
      </c>
      <c r="J582" s="588">
        <v>52</v>
      </c>
      <c r="K582" s="588">
        <v>0</v>
      </c>
      <c r="L582" s="588">
        <v>0</v>
      </c>
      <c r="M582" s="588">
        <v>0</v>
      </c>
      <c r="N582" s="588">
        <v>61</v>
      </c>
      <c r="O582" s="588">
        <v>1</v>
      </c>
      <c r="P582" s="588">
        <v>137</v>
      </c>
      <c r="Q582" s="588">
        <v>0</v>
      </c>
      <c r="R582" s="588">
        <v>323</v>
      </c>
      <c r="S582" s="588">
        <v>1</v>
      </c>
      <c r="T582" s="588">
        <v>2015</v>
      </c>
      <c r="U582" s="588">
        <v>2014</v>
      </c>
      <c r="V582" s="589"/>
      <c r="W582" s="589"/>
      <c r="X582" s="589"/>
      <c r="Y582" s="589"/>
      <c r="Z582" s="589"/>
      <c r="AA582" s="589"/>
      <c r="AB582" s="589"/>
      <c r="AC582" s="589"/>
      <c r="AD582" s="589"/>
      <c r="AE582" s="589"/>
      <c r="AF582" s="589"/>
      <c r="AG582" s="589"/>
      <c r="AH582" s="589"/>
      <c r="AI582" s="589"/>
      <c r="AJ582" s="589"/>
      <c r="AK582" s="589"/>
      <c r="AL582" s="589"/>
      <c r="AM582" s="589"/>
      <c r="AN582" s="589"/>
      <c r="AO582" s="589"/>
      <c r="AP582" s="589"/>
      <c r="AQ582" s="589"/>
      <c r="AR582" s="589"/>
      <c r="AS582" s="589"/>
    </row>
    <row r="583" spans="1:45" ht="15">
      <c r="A583" s="590" t="s">
        <v>189</v>
      </c>
      <c r="B583" s="590" t="s">
        <v>671</v>
      </c>
      <c r="C583" s="590" t="s">
        <v>784</v>
      </c>
      <c r="D583" s="593">
        <v>2015</v>
      </c>
      <c r="E583" s="590" t="s">
        <v>775</v>
      </c>
      <c r="F583" s="593">
        <v>287</v>
      </c>
      <c r="G583" s="593">
        <v>35</v>
      </c>
      <c r="H583" s="593">
        <v>35</v>
      </c>
      <c r="I583" s="593">
        <v>0</v>
      </c>
      <c r="J583" s="593">
        <v>181</v>
      </c>
      <c r="K583" s="593">
        <v>48</v>
      </c>
      <c r="L583" s="593">
        <v>48</v>
      </c>
      <c r="M583" s="593">
        <v>0</v>
      </c>
      <c r="N583" s="593">
        <v>205</v>
      </c>
      <c r="O583" s="593">
        <v>63</v>
      </c>
      <c r="P583" s="593">
        <v>502</v>
      </c>
      <c r="Q583" s="593">
        <v>174</v>
      </c>
      <c r="R583" s="593">
        <v>1175</v>
      </c>
      <c r="S583" s="593">
        <v>320</v>
      </c>
      <c r="T583" s="593">
        <v>2015</v>
      </c>
      <c r="U583" s="593">
        <v>2014</v>
      </c>
      <c r="V583" s="589"/>
      <c r="W583" s="589"/>
      <c r="X583" s="589"/>
      <c r="Y583" s="589"/>
      <c r="Z583" s="589"/>
      <c r="AA583" s="589"/>
      <c r="AB583" s="589"/>
      <c r="AC583" s="589"/>
      <c r="AD583" s="589"/>
      <c r="AE583" s="589"/>
      <c r="AF583" s="589"/>
      <c r="AG583" s="589"/>
      <c r="AH583" s="589"/>
      <c r="AI583" s="589"/>
      <c r="AJ583" s="589"/>
      <c r="AK583" s="589"/>
      <c r="AL583" s="589"/>
      <c r="AM583" s="589"/>
      <c r="AN583" s="589"/>
      <c r="AO583" s="589"/>
      <c r="AP583" s="589"/>
      <c r="AQ583" s="589"/>
      <c r="AR583" s="589"/>
      <c r="AS583" s="589"/>
    </row>
    <row r="584" spans="1:45" ht="15">
      <c r="A584" s="587" t="s">
        <v>178</v>
      </c>
      <c r="B584" s="587" t="s">
        <v>582</v>
      </c>
      <c r="C584" s="587" t="s">
        <v>812</v>
      </c>
      <c r="D584" s="588">
        <v>2015</v>
      </c>
      <c r="E584" s="587" t="s">
        <v>775</v>
      </c>
      <c r="F584" s="588">
        <v>579</v>
      </c>
      <c r="G584" s="588">
        <v>0</v>
      </c>
      <c r="H584" s="588">
        <v>0</v>
      </c>
      <c r="I584" s="588">
        <v>0</v>
      </c>
      <c r="J584" s="588">
        <v>396</v>
      </c>
      <c r="K584" s="588">
        <v>0</v>
      </c>
      <c r="L584" s="588">
        <v>0</v>
      </c>
      <c r="M584" s="588">
        <v>0</v>
      </c>
      <c r="N584" s="588">
        <v>453</v>
      </c>
      <c r="O584" s="588">
        <v>2</v>
      </c>
      <c r="P584" s="588">
        <v>1001</v>
      </c>
      <c r="Q584" s="588">
        <v>68</v>
      </c>
      <c r="R584" s="588">
        <v>2429</v>
      </c>
      <c r="S584" s="588">
        <v>70</v>
      </c>
      <c r="T584" s="588">
        <v>2015</v>
      </c>
      <c r="U584" s="588">
        <v>2014</v>
      </c>
      <c r="V584" s="589"/>
      <c r="W584" s="589"/>
      <c r="X584" s="589"/>
      <c r="Y584" s="589"/>
      <c r="Z584" s="589"/>
      <c r="AA584" s="589"/>
      <c r="AB584" s="589"/>
      <c r="AC584" s="589"/>
      <c r="AD584" s="589"/>
      <c r="AE584" s="589"/>
      <c r="AF584" s="589"/>
      <c r="AG584" s="589"/>
      <c r="AH584" s="589"/>
      <c r="AI584" s="589"/>
      <c r="AJ584" s="589"/>
      <c r="AK584" s="589"/>
      <c r="AL584" s="589"/>
      <c r="AM584" s="589"/>
      <c r="AN584" s="589"/>
      <c r="AO584" s="589"/>
      <c r="AP584" s="589"/>
      <c r="AQ584" s="589"/>
      <c r="AR584" s="589"/>
      <c r="AS584" s="589"/>
    </row>
    <row r="585" spans="1:45" ht="15">
      <c r="A585" s="590" t="s">
        <v>153</v>
      </c>
      <c r="B585" s="590" t="s">
        <v>410</v>
      </c>
      <c r="C585" s="590" t="s">
        <v>812</v>
      </c>
      <c r="D585" s="593">
        <v>2015</v>
      </c>
      <c r="E585" s="590" t="s">
        <v>775</v>
      </c>
      <c r="F585" s="593">
        <v>372</v>
      </c>
      <c r="G585" s="593">
        <v>0</v>
      </c>
      <c r="H585" s="593">
        <v>0</v>
      </c>
      <c r="I585" s="593">
        <v>0</v>
      </c>
      <c r="J585" s="593">
        <v>223</v>
      </c>
      <c r="K585" s="593">
        <v>0</v>
      </c>
      <c r="L585" s="593">
        <v>0</v>
      </c>
      <c r="M585" s="593">
        <v>0</v>
      </c>
      <c r="N585" s="593">
        <v>238</v>
      </c>
      <c r="O585" s="593">
        <v>0</v>
      </c>
      <c r="P585" s="593">
        <v>564</v>
      </c>
      <c r="Q585" s="593">
        <v>68</v>
      </c>
      <c r="R585" s="593">
        <v>1397</v>
      </c>
      <c r="S585" s="593">
        <v>68</v>
      </c>
      <c r="T585" s="593">
        <v>2015</v>
      </c>
      <c r="U585" s="593">
        <v>2014</v>
      </c>
      <c r="V585" s="589"/>
      <c r="W585" s="589"/>
      <c r="X585" s="589"/>
      <c r="Y585" s="589"/>
      <c r="Z585" s="589"/>
      <c r="AA585" s="589"/>
      <c r="AB585" s="589"/>
      <c r="AC585" s="589"/>
      <c r="AD585" s="589"/>
      <c r="AE585" s="589"/>
      <c r="AF585" s="589"/>
      <c r="AG585" s="589"/>
      <c r="AH585" s="589"/>
      <c r="AI585" s="589"/>
      <c r="AJ585" s="589"/>
      <c r="AK585" s="589"/>
      <c r="AL585" s="589"/>
      <c r="AM585" s="589"/>
      <c r="AN585" s="589"/>
      <c r="AO585" s="589"/>
      <c r="AP585" s="589"/>
      <c r="AQ585" s="589"/>
      <c r="AR585" s="589"/>
      <c r="AS585" s="589"/>
    </row>
    <row r="586" spans="1:45" ht="15">
      <c r="A586" s="587" t="s">
        <v>184</v>
      </c>
      <c r="B586" s="587" t="s">
        <v>637</v>
      </c>
      <c r="C586" s="587" t="s">
        <v>774</v>
      </c>
      <c r="D586" s="588">
        <v>2015</v>
      </c>
      <c r="E586" s="587" t="s">
        <v>775</v>
      </c>
      <c r="F586" s="588">
        <v>706</v>
      </c>
      <c r="G586" s="588">
        <v>0</v>
      </c>
      <c r="H586" s="588">
        <v>0</v>
      </c>
      <c r="I586" s="588">
        <v>0</v>
      </c>
      <c r="J586" s="588">
        <v>429</v>
      </c>
      <c r="K586" s="588">
        <v>2</v>
      </c>
      <c r="L586" s="588">
        <v>0</v>
      </c>
      <c r="M586" s="588">
        <v>2</v>
      </c>
      <c r="N586" s="588">
        <v>502</v>
      </c>
      <c r="O586" s="588">
        <v>0</v>
      </c>
      <c r="P586" s="588">
        <v>1152</v>
      </c>
      <c r="Q586" s="588">
        <v>1126</v>
      </c>
      <c r="R586" s="588">
        <v>2789</v>
      </c>
      <c r="S586" s="588">
        <v>1128</v>
      </c>
      <c r="T586" s="588">
        <v>2015</v>
      </c>
      <c r="U586" s="588">
        <v>2015</v>
      </c>
      <c r="V586" s="589"/>
      <c r="W586" s="589"/>
      <c r="X586" s="589"/>
      <c r="Y586" s="589"/>
      <c r="Z586" s="589"/>
      <c r="AA586" s="589"/>
      <c r="AB586" s="589"/>
      <c r="AC586" s="589"/>
      <c r="AD586" s="589"/>
      <c r="AE586" s="589"/>
      <c r="AF586" s="589"/>
      <c r="AG586" s="589"/>
      <c r="AH586" s="589"/>
      <c r="AI586" s="589"/>
      <c r="AJ586" s="589"/>
      <c r="AK586" s="589"/>
      <c r="AL586" s="589"/>
      <c r="AM586" s="589"/>
      <c r="AN586" s="589"/>
      <c r="AO586" s="589"/>
      <c r="AP586" s="589"/>
      <c r="AQ586" s="589"/>
      <c r="AR586" s="589"/>
      <c r="AS586" s="589"/>
    </row>
    <row r="587" spans="1:45" ht="15">
      <c r="A587" s="590" t="s">
        <v>141</v>
      </c>
      <c r="B587" s="590" t="s">
        <v>301</v>
      </c>
      <c r="C587" s="590" t="s">
        <v>177</v>
      </c>
      <c r="D587" s="593">
        <v>2015</v>
      </c>
      <c r="E587" s="590" t="s">
        <v>775</v>
      </c>
      <c r="F587" s="593">
        <v>393</v>
      </c>
      <c r="G587" s="593">
        <v>55</v>
      </c>
      <c r="H587" s="593">
        <v>55</v>
      </c>
      <c r="I587" s="593">
        <v>0</v>
      </c>
      <c r="J587" s="593">
        <v>204</v>
      </c>
      <c r="K587" s="593">
        <v>0</v>
      </c>
      <c r="L587" s="593">
        <v>0</v>
      </c>
      <c r="M587" s="593">
        <v>0</v>
      </c>
      <c r="N587" s="593">
        <v>161</v>
      </c>
      <c r="O587" s="593">
        <v>3</v>
      </c>
      <c r="P587" s="593">
        <v>553</v>
      </c>
      <c r="Q587" s="593">
        <v>5</v>
      </c>
      <c r="R587" s="593">
        <v>1311</v>
      </c>
      <c r="S587" s="593">
        <v>63</v>
      </c>
      <c r="T587" s="593">
        <v>2016</v>
      </c>
      <c r="U587" s="593">
        <v>2016</v>
      </c>
      <c r="V587" s="589"/>
      <c r="W587" s="589"/>
      <c r="X587" s="589"/>
      <c r="Y587" s="589"/>
      <c r="Z587" s="589"/>
      <c r="AA587" s="589"/>
      <c r="AB587" s="589"/>
      <c r="AC587" s="589"/>
      <c r="AD587" s="589"/>
      <c r="AE587" s="589"/>
      <c r="AF587" s="589"/>
      <c r="AG587" s="589"/>
      <c r="AH587" s="589"/>
      <c r="AI587" s="589"/>
      <c r="AJ587" s="589"/>
      <c r="AK587" s="589"/>
      <c r="AL587" s="589"/>
      <c r="AM587" s="589"/>
      <c r="AN587" s="589"/>
      <c r="AO587" s="589"/>
      <c r="AP587" s="589"/>
      <c r="AQ587" s="589"/>
      <c r="AR587" s="589"/>
      <c r="AS587" s="589"/>
    </row>
    <row r="588" spans="1:45" ht="15">
      <c r="A588" s="587" t="s">
        <v>178</v>
      </c>
      <c r="B588" s="587" t="s">
        <v>583</v>
      </c>
      <c r="C588" s="587" t="s">
        <v>812</v>
      </c>
      <c r="D588" s="588">
        <v>2015</v>
      </c>
      <c r="E588" s="587" t="s">
        <v>775</v>
      </c>
      <c r="F588" s="588">
        <v>636</v>
      </c>
      <c r="G588" s="588">
        <v>0</v>
      </c>
      <c r="H588" s="588">
        <v>0</v>
      </c>
      <c r="I588" s="588">
        <v>0</v>
      </c>
      <c r="J588" s="588">
        <v>432</v>
      </c>
      <c r="K588" s="588">
        <v>0</v>
      </c>
      <c r="L588" s="588">
        <v>0</v>
      </c>
      <c r="M588" s="588">
        <v>0</v>
      </c>
      <c r="N588" s="588">
        <v>496</v>
      </c>
      <c r="O588" s="588">
        <v>0</v>
      </c>
      <c r="P588" s="588">
        <v>1151</v>
      </c>
      <c r="Q588" s="588">
        <v>8</v>
      </c>
      <c r="R588" s="588">
        <v>2715</v>
      </c>
      <c r="S588" s="588">
        <v>8</v>
      </c>
      <c r="T588" s="588">
        <v>2015</v>
      </c>
      <c r="U588" s="588">
        <v>2014</v>
      </c>
      <c r="V588" s="589"/>
      <c r="W588" s="589"/>
      <c r="X588" s="589"/>
      <c r="Y588" s="589"/>
      <c r="Z588" s="589"/>
      <c r="AA588" s="589"/>
      <c r="AB588" s="589"/>
      <c r="AC588" s="589"/>
      <c r="AD588" s="589"/>
      <c r="AE588" s="589"/>
      <c r="AF588" s="589"/>
      <c r="AG588" s="589"/>
      <c r="AH588" s="589"/>
      <c r="AI588" s="589"/>
      <c r="AJ588" s="589"/>
      <c r="AK588" s="589"/>
      <c r="AL588" s="589"/>
      <c r="AM588" s="589"/>
      <c r="AN588" s="589"/>
      <c r="AO588" s="589"/>
      <c r="AP588" s="589"/>
      <c r="AQ588" s="589"/>
      <c r="AR588" s="589"/>
      <c r="AS588" s="589"/>
    </row>
    <row r="589" spans="1:45" ht="15">
      <c r="A589" s="590" t="s">
        <v>136</v>
      </c>
      <c r="B589" s="590" t="s">
        <v>281</v>
      </c>
      <c r="C589" s="590" t="s">
        <v>774</v>
      </c>
      <c r="D589" s="593">
        <v>2015</v>
      </c>
      <c r="E589" s="590" t="s">
        <v>775</v>
      </c>
      <c r="F589" s="593">
        <v>438</v>
      </c>
      <c r="G589" s="593">
        <v>0</v>
      </c>
      <c r="H589" s="593">
        <v>0</v>
      </c>
      <c r="I589" s="593">
        <v>0</v>
      </c>
      <c r="J589" s="593">
        <v>305</v>
      </c>
      <c r="K589" s="593">
        <v>79</v>
      </c>
      <c r="L589" s="593">
        <v>79</v>
      </c>
      <c r="M589" s="593">
        <v>0</v>
      </c>
      <c r="N589" s="593">
        <v>410</v>
      </c>
      <c r="O589" s="593">
        <v>0</v>
      </c>
      <c r="P589" s="593">
        <v>1282</v>
      </c>
      <c r="Q589" s="593">
        <v>112</v>
      </c>
      <c r="R589" s="593">
        <v>2435</v>
      </c>
      <c r="S589" s="593">
        <v>191</v>
      </c>
      <c r="T589" s="593">
        <v>2015</v>
      </c>
      <c r="U589" s="593">
        <v>2015</v>
      </c>
      <c r="V589" s="589"/>
      <c r="W589" s="589"/>
      <c r="X589" s="589"/>
      <c r="Y589" s="589"/>
      <c r="Z589" s="589"/>
      <c r="AA589" s="589"/>
      <c r="AB589" s="589"/>
      <c r="AC589" s="589"/>
      <c r="AD589" s="589"/>
      <c r="AE589" s="589"/>
      <c r="AF589" s="589"/>
      <c r="AG589" s="589"/>
      <c r="AH589" s="589"/>
      <c r="AI589" s="589"/>
      <c r="AJ589" s="589"/>
      <c r="AK589" s="589"/>
      <c r="AL589" s="589"/>
      <c r="AM589" s="589"/>
      <c r="AN589" s="589"/>
      <c r="AO589" s="589"/>
      <c r="AP589" s="589"/>
      <c r="AQ589" s="589"/>
      <c r="AR589" s="589"/>
      <c r="AS589" s="589"/>
    </row>
    <row r="590" spans="1:45" ht="15">
      <c r="A590" s="587" t="s">
        <v>192</v>
      </c>
      <c r="B590" s="587" t="s">
        <v>689</v>
      </c>
      <c r="C590" s="587" t="s">
        <v>774</v>
      </c>
      <c r="D590" s="588">
        <v>2015</v>
      </c>
      <c r="E590" s="587" t="s">
        <v>775</v>
      </c>
      <c r="F590" s="588">
        <v>45</v>
      </c>
      <c r="G590" s="588">
        <v>0</v>
      </c>
      <c r="H590" s="588">
        <v>0</v>
      </c>
      <c r="I590" s="588">
        <v>0</v>
      </c>
      <c r="J590" s="588">
        <v>36</v>
      </c>
      <c r="K590" s="588">
        <v>0</v>
      </c>
      <c r="L590" s="588">
        <v>0</v>
      </c>
      <c r="M590" s="588">
        <v>0</v>
      </c>
      <c r="N590" s="588">
        <v>48</v>
      </c>
      <c r="O590" s="588">
        <v>67</v>
      </c>
      <c r="P590" s="588">
        <v>170</v>
      </c>
      <c r="Q590" s="588">
        <v>80</v>
      </c>
      <c r="R590" s="588">
        <v>299</v>
      </c>
      <c r="S590" s="588">
        <v>147</v>
      </c>
      <c r="T590" s="588">
        <v>2015</v>
      </c>
      <c r="U590" s="588">
        <v>2015</v>
      </c>
      <c r="V590" s="589"/>
      <c r="W590" s="589"/>
      <c r="X590" s="589"/>
      <c r="Y590" s="589"/>
      <c r="Z590" s="589"/>
      <c r="AA590" s="589"/>
      <c r="AB590" s="589"/>
      <c r="AC590" s="589"/>
      <c r="AD590" s="589"/>
      <c r="AE590" s="589"/>
      <c r="AF590" s="589"/>
      <c r="AG590" s="589"/>
      <c r="AH590" s="589"/>
      <c r="AI590" s="589"/>
      <c r="AJ590" s="589"/>
      <c r="AK590" s="589"/>
      <c r="AL590" s="589"/>
      <c r="AM590" s="589"/>
      <c r="AN590" s="589"/>
      <c r="AO590" s="589"/>
      <c r="AP590" s="589"/>
      <c r="AQ590" s="589"/>
      <c r="AR590" s="589"/>
      <c r="AS590" s="589"/>
    </row>
    <row r="591" spans="1:45" ht="15">
      <c r="A591" s="590" t="s">
        <v>195</v>
      </c>
      <c r="B591" s="590" t="s">
        <v>709</v>
      </c>
      <c r="C591" s="590" t="s">
        <v>177</v>
      </c>
      <c r="D591" s="593">
        <v>2015</v>
      </c>
      <c r="E591" s="590" t="s">
        <v>775</v>
      </c>
      <c r="F591" s="593">
        <v>321</v>
      </c>
      <c r="G591" s="593">
        <v>0</v>
      </c>
      <c r="H591" s="593">
        <v>0</v>
      </c>
      <c r="I591" s="593">
        <v>0</v>
      </c>
      <c r="J591" s="593">
        <v>206</v>
      </c>
      <c r="K591" s="593">
        <v>0</v>
      </c>
      <c r="L591" s="593">
        <v>0</v>
      </c>
      <c r="M591" s="593">
        <v>0</v>
      </c>
      <c r="N591" s="593">
        <v>217</v>
      </c>
      <c r="O591" s="593">
        <v>0</v>
      </c>
      <c r="P591" s="593">
        <v>536</v>
      </c>
      <c r="Q591" s="593">
        <v>52</v>
      </c>
      <c r="R591" s="593">
        <v>1280</v>
      </c>
      <c r="S591" s="593">
        <v>52</v>
      </c>
      <c r="T591" s="593">
        <v>2016</v>
      </c>
      <c r="U591" s="593">
        <v>2016</v>
      </c>
      <c r="V591" s="589"/>
      <c r="W591" s="589"/>
      <c r="X591" s="589"/>
      <c r="Y591" s="589"/>
      <c r="Z591" s="589"/>
      <c r="AA591" s="589"/>
      <c r="AB591" s="589"/>
      <c r="AC591" s="589"/>
      <c r="AD591" s="589"/>
      <c r="AE591" s="589"/>
      <c r="AF591" s="589"/>
      <c r="AG591" s="589"/>
      <c r="AH591" s="589"/>
      <c r="AI591" s="589"/>
      <c r="AJ591" s="589"/>
      <c r="AK591" s="589"/>
      <c r="AL591" s="589"/>
      <c r="AM591" s="589"/>
      <c r="AN591" s="589"/>
      <c r="AO591" s="589"/>
      <c r="AP591" s="589"/>
      <c r="AQ591" s="589"/>
      <c r="AR591" s="589"/>
      <c r="AS591" s="589"/>
    </row>
    <row r="592" spans="1:45" ht="15">
      <c r="A592" s="587" t="s">
        <v>173</v>
      </c>
      <c r="B592" s="587" t="s">
        <v>552</v>
      </c>
      <c r="C592" s="587" t="s">
        <v>812</v>
      </c>
      <c r="D592" s="588">
        <v>2015</v>
      </c>
      <c r="E592" s="587" t="s">
        <v>775</v>
      </c>
      <c r="F592" s="588">
        <v>7173</v>
      </c>
      <c r="G592" s="588">
        <v>12</v>
      </c>
      <c r="H592" s="588">
        <v>3</v>
      </c>
      <c r="I592" s="588">
        <v>9</v>
      </c>
      <c r="J592" s="588">
        <v>4871</v>
      </c>
      <c r="K592" s="588">
        <v>8</v>
      </c>
      <c r="L592" s="588">
        <v>8</v>
      </c>
      <c r="M592" s="588">
        <v>0</v>
      </c>
      <c r="N592" s="588">
        <v>5534</v>
      </c>
      <c r="O592" s="588">
        <v>98</v>
      </c>
      <c r="P592" s="588">
        <v>12725</v>
      </c>
      <c r="Q592" s="588">
        <v>914</v>
      </c>
      <c r="R592" s="588">
        <v>30303</v>
      </c>
      <c r="S592" s="588">
        <v>1032</v>
      </c>
      <c r="T592" s="588">
        <v>2015</v>
      </c>
      <c r="U592" s="588">
        <v>2014</v>
      </c>
      <c r="V592" s="589"/>
      <c r="W592" s="589"/>
      <c r="X592" s="589"/>
      <c r="Y592" s="589"/>
      <c r="Z592" s="589"/>
      <c r="AA592" s="589"/>
      <c r="AB592" s="589"/>
      <c r="AC592" s="589"/>
      <c r="AD592" s="589"/>
      <c r="AE592" s="589"/>
      <c r="AF592" s="589"/>
      <c r="AG592" s="589"/>
      <c r="AH592" s="589"/>
      <c r="AI592" s="589"/>
      <c r="AJ592" s="589"/>
      <c r="AK592" s="589"/>
      <c r="AL592" s="589"/>
      <c r="AM592" s="589"/>
      <c r="AN592" s="589"/>
      <c r="AO592" s="589"/>
      <c r="AP592" s="589"/>
      <c r="AQ592" s="589"/>
      <c r="AR592" s="589"/>
      <c r="AS592" s="589"/>
    </row>
    <row r="593" spans="1:45" ht="15">
      <c r="A593" s="590" t="s">
        <v>170</v>
      </c>
      <c r="B593" s="590" t="s">
        <v>524</v>
      </c>
      <c r="C593" s="590" t="s">
        <v>799</v>
      </c>
      <c r="D593" s="593">
        <v>2015</v>
      </c>
      <c r="E593" s="590" t="s">
        <v>775</v>
      </c>
      <c r="F593" s="593">
        <v>1040</v>
      </c>
      <c r="G593" s="593">
        <v>0</v>
      </c>
      <c r="H593" s="593">
        <v>0</v>
      </c>
      <c r="I593" s="593">
        <v>0</v>
      </c>
      <c r="J593" s="593">
        <v>729</v>
      </c>
      <c r="K593" s="593">
        <v>0</v>
      </c>
      <c r="L593" s="593">
        <v>0</v>
      </c>
      <c r="M593" s="593">
        <v>0</v>
      </c>
      <c r="N593" s="593">
        <v>709</v>
      </c>
      <c r="O593" s="593">
        <v>385</v>
      </c>
      <c r="P593" s="593">
        <v>1335</v>
      </c>
      <c r="Q593" s="593">
        <v>312</v>
      </c>
      <c r="R593" s="593">
        <v>3813</v>
      </c>
      <c r="S593" s="593">
        <v>697</v>
      </c>
      <c r="T593" s="593">
        <v>2015</v>
      </c>
      <c r="U593" s="593">
        <v>2014</v>
      </c>
      <c r="V593" s="589"/>
      <c r="W593" s="589"/>
      <c r="X593" s="589"/>
      <c r="Y593" s="589"/>
      <c r="Z593" s="589"/>
      <c r="AA593" s="589"/>
      <c r="AB593" s="589"/>
      <c r="AC593" s="589"/>
      <c r="AD593" s="589"/>
      <c r="AE593" s="589"/>
      <c r="AF593" s="589"/>
      <c r="AG593" s="589"/>
      <c r="AH593" s="589"/>
      <c r="AI593" s="589"/>
      <c r="AJ593" s="589"/>
      <c r="AK593" s="589"/>
      <c r="AL593" s="589"/>
      <c r="AM593" s="589"/>
      <c r="AN593" s="589"/>
      <c r="AO593" s="589"/>
      <c r="AP593" s="589"/>
      <c r="AQ593" s="589"/>
      <c r="AR593" s="589"/>
      <c r="AS593" s="589"/>
    </row>
    <row r="594" spans="1:45" ht="15">
      <c r="A594" s="587" t="s">
        <v>193</v>
      </c>
      <c r="B594" s="587" t="s">
        <v>698</v>
      </c>
      <c r="C594" s="587" t="s">
        <v>774</v>
      </c>
      <c r="D594" s="588">
        <v>2015</v>
      </c>
      <c r="E594" s="587" t="s">
        <v>775</v>
      </c>
      <c r="F594" s="588">
        <v>181</v>
      </c>
      <c r="G594" s="588">
        <v>0</v>
      </c>
      <c r="H594" s="588">
        <v>0</v>
      </c>
      <c r="I594" s="588">
        <v>0</v>
      </c>
      <c r="J594" s="588">
        <v>107</v>
      </c>
      <c r="K594" s="588">
        <v>0</v>
      </c>
      <c r="L594" s="588">
        <v>0</v>
      </c>
      <c r="M594" s="588">
        <v>0</v>
      </c>
      <c r="N594" s="588">
        <v>127</v>
      </c>
      <c r="O594" s="588">
        <v>0</v>
      </c>
      <c r="P594" s="588">
        <v>484</v>
      </c>
      <c r="Q594" s="588">
        <v>244</v>
      </c>
      <c r="R594" s="588">
        <v>899</v>
      </c>
      <c r="S594" s="588">
        <v>244</v>
      </c>
      <c r="T594" s="588">
        <v>2015</v>
      </c>
      <c r="U594" s="588">
        <v>2015</v>
      </c>
      <c r="V594" s="589"/>
      <c r="W594" s="589"/>
      <c r="X594" s="589"/>
      <c r="Y594" s="589"/>
      <c r="Z594" s="589"/>
      <c r="AA594" s="589"/>
      <c r="AB594" s="589"/>
      <c r="AC594" s="589"/>
      <c r="AD594" s="589"/>
      <c r="AE594" s="589"/>
      <c r="AF594" s="589"/>
      <c r="AG594" s="589"/>
      <c r="AH594" s="589"/>
      <c r="AI594" s="589"/>
      <c r="AJ594" s="589"/>
      <c r="AK594" s="589"/>
      <c r="AL594" s="589"/>
      <c r="AM594" s="589"/>
      <c r="AN594" s="589"/>
      <c r="AO594" s="589"/>
      <c r="AP594" s="589"/>
      <c r="AQ594" s="589"/>
      <c r="AR594" s="589"/>
      <c r="AS594" s="589"/>
    </row>
    <row r="595" spans="1:45" ht="15">
      <c r="A595" s="590" t="s">
        <v>153</v>
      </c>
      <c r="B595" s="590" t="s">
        <v>413</v>
      </c>
      <c r="C595" s="590" t="s">
        <v>812</v>
      </c>
      <c r="D595" s="593">
        <v>2015</v>
      </c>
      <c r="E595" s="590" t="s">
        <v>775</v>
      </c>
      <c r="F595" s="593">
        <v>153</v>
      </c>
      <c r="G595" s="593">
        <v>0</v>
      </c>
      <c r="H595" s="593">
        <v>0</v>
      </c>
      <c r="I595" s="593">
        <v>0</v>
      </c>
      <c r="J595" s="593">
        <v>88</v>
      </c>
      <c r="K595" s="593">
        <v>0</v>
      </c>
      <c r="L595" s="593">
        <v>0</v>
      </c>
      <c r="M595" s="593">
        <v>0</v>
      </c>
      <c r="N595" s="593">
        <v>99</v>
      </c>
      <c r="O595" s="593">
        <v>0</v>
      </c>
      <c r="P595" s="593">
        <v>262</v>
      </c>
      <c r="Q595" s="593">
        <v>0</v>
      </c>
      <c r="R595" s="593">
        <v>602</v>
      </c>
      <c r="S595" s="593">
        <v>0</v>
      </c>
      <c r="T595" s="593">
        <v>2015</v>
      </c>
      <c r="U595" s="593">
        <v>2014</v>
      </c>
      <c r="V595" s="589"/>
      <c r="W595" s="589"/>
      <c r="X595" s="589"/>
      <c r="Y595" s="589"/>
      <c r="Z595" s="589"/>
      <c r="AA595" s="589"/>
      <c r="AB595" s="589"/>
      <c r="AC595" s="589"/>
      <c r="AD595" s="589"/>
      <c r="AE595" s="589"/>
      <c r="AF595" s="589"/>
      <c r="AG595" s="589"/>
      <c r="AH595" s="589"/>
      <c r="AI595" s="589"/>
      <c r="AJ595" s="589"/>
      <c r="AK595" s="589"/>
      <c r="AL595" s="589"/>
      <c r="AM595" s="589"/>
      <c r="AN595" s="589"/>
      <c r="AO595" s="589"/>
      <c r="AP595" s="589"/>
      <c r="AQ595" s="589"/>
      <c r="AR595" s="589"/>
      <c r="AS595" s="589"/>
    </row>
    <row r="596" spans="1:45" ht="15">
      <c r="A596" s="587" t="s">
        <v>170</v>
      </c>
      <c r="B596" s="587" t="s">
        <v>525</v>
      </c>
      <c r="C596" s="587" t="s">
        <v>799</v>
      </c>
      <c r="D596" s="588">
        <v>2015</v>
      </c>
      <c r="E596" s="587" t="s">
        <v>775</v>
      </c>
      <c r="F596" s="588">
        <v>2268</v>
      </c>
      <c r="G596" s="588">
        <v>0</v>
      </c>
      <c r="H596" s="588">
        <v>0</v>
      </c>
      <c r="I596" s="588">
        <v>0</v>
      </c>
      <c r="J596" s="588">
        <v>1590</v>
      </c>
      <c r="K596" s="588">
        <v>0</v>
      </c>
      <c r="L596" s="588">
        <v>0</v>
      </c>
      <c r="M596" s="588">
        <v>0</v>
      </c>
      <c r="N596" s="588">
        <v>1577</v>
      </c>
      <c r="O596" s="588">
        <v>378</v>
      </c>
      <c r="P596" s="588">
        <v>3043</v>
      </c>
      <c r="Q596" s="588">
        <v>544</v>
      </c>
      <c r="R596" s="588">
        <v>8478</v>
      </c>
      <c r="S596" s="588">
        <v>922</v>
      </c>
      <c r="T596" s="588">
        <v>2015</v>
      </c>
      <c r="U596" s="588">
        <v>2014</v>
      </c>
      <c r="V596" s="589"/>
      <c r="W596" s="589"/>
      <c r="X596" s="589"/>
      <c r="Y596" s="589"/>
      <c r="Z596" s="589"/>
      <c r="AA596" s="589"/>
      <c r="AB596" s="589"/>
      <c r="AC596" s="589"/>
      <c r="AD596" s="589"/>
      <c r="AE596" s="589"/>
      <c r="AF596" s="589"/>
      <c r="AG596" s="589"/>
      <c r="AH596" s="589"/>
      <c r="AI596" s="589"/>
      <c r="AJ596" s="589"/>
      <c r="AK596" s="589"/>
      <c r="AL596" s="589"/>
      <c r="AM596" s="589"/>
      <c r="AN596" s="589"/>
      <c r="AO596" s="589"/>
      <c r="AP596" s="589"/>
      <c r="AQ596" s="589"/>
      <c r="AR596" s="589"/>
      <c r="AS596" s="589"/>
    </row>
    <row r="597" spans="1:45" ht="15">
      <c r="A597" s="590" t="s">
        <v>157</v>
      </c>
      <c r="B597" s="590" t="s">
        <v>443</v>
      </c>
      <c r="C597" s="590" t="s">
        <v>774</v>
      </c>
      <c r="D597" s="593">
        <v>2015</v>
      </c>
      <c r="E597" s="590" t="s">
        <v>775</v>
      </c>
      <c r="F597" s="593">
        <v>6</v>
      </c>
      <c r="G597" s="593">
        <v>1</v>
      </c>
      <c r="H597" s="593">
        <v>1</v>
      </c>
      <c r="I597" s="593">
        <v>0</v>
      </c>
      <c r="J597" s="593">
        <v>4</v>
      </c>
      <c r="K597" s="593">
        <v>0</v>
      </c>
      <c r="L597" s="593">
        <v>0</v>
      </c>
      <c r="M597" s="593">
        <v>0</v>
      </c>
      <c r="N597" s="593">
        <v>4</v>
      </c>
      <c r="O597" s="593">
        <v>1</v>
      </c>
      <c r="P597" s="593">
        <v>4</v>
      </c>
      <c r="Q597" s="593">
        <v>0</v>
      </c>
      <c r="R597" s="593">
        <v>18</v>
      </c>
      <c r="S597" s="593">
        <v>2</v>
      </c>
      <c r="T597" s="593">
        <v>2015</v>
      </c>
      <c r="U597" s="593">
        <v>2015</v>
      </c>
      <c r="V597" s="589"/>
      <c r="W597" s="589"/>
      <c r="X597" s="589"/>
      <c r="Y597" s="589"/>
      <c r="Z597" s="589"/>
      <c r="AA597" s="589"/>
      <c r="AB597" s="589"/>
      <c r="AC597" s="589"/>
      <c r="AD597" s="589"/>
      <c r="AE597" s="589"/>
      <c r="AF597" s="589"/>
      <c r="AG597" s="589"/>
      <c r="AH597" s="589"/>
      <c r="AI597" s="589"/>
      <c r="AJ597" s="589"/>
      <c r="AK597" s="589"/>
      <c r="AL597" s="589"/>
      <c r="AM597" s="589"/>
      <c r="AN597" s="589"/>
      <c r="AO597" s="589"/>
      <c r="AP597" s="589"/>
      <c r="AQ597" s="589"/>
      <c r="AR597" s="589"/>
      <c r="AS597" s="589"/>
    </row>
    <row r="598" spans="1:45" ht="15">
      <c r="A598" s="587" t="s">
        <v>174</v>
      </c>
      <c r="B598" s="587" t="s">
        <v>174</v>
      </c>
      <c r="C598" s="587" t="s">
        <v>799</v>
      </c>
      <c r="D598" s="588">
        <v>2015</v>
      </c>
      <c r="E598" s="587" t="s">
        <v>775</v>
      </c>
      <c r="F598" s="588">
        <v>4944</v>
      </c>
      <c r="G598" s="588">
        <v>0</v>
      </c>
      <c r="H598" s="588">
        <v>0</v>
      </c>
      <c r="I598" s="588">
        <v>0</v>
      </c>
      <c r="J598" s="588">
        <v>3467</v>
      </c>
      <c r="K598" s="588">
        <v>68</v>
      </c>
      <c r="L598" s="588">
        <v>0</v>
      </c>
      <c r="M598" s="588">
        <v>68</v>
      </c>
      <c r="N598" s="588">
        <v>4482</v>
      </c>
      <c r="O598" s="588">
        <v>851</v>
      </c>
      <c r="P598" s="588">
        <v>11208</v>
      </c>
      <c r="Q598" s="588">
        <v>104</v>
      </c>
      <c r="R598" s="588">
        <v>24101</v>
      </c>
      <c r="S598" s="588">
        <v>1023</v>
      </c>
      <c r="T598" s="588">
        <v>2015</v>
      </c>
      <c r="U598" s="588">
        <v>2014</v>
      </c>
      <c r="V598" s="589"/>
      <c r="W598" s="589"/>
      <c r="X598" s="589"/>
      <c r="Y598" s="589"/>
      <c r="Z598" s="589"/>
      <c r="AA598" s="589"/>
      <c r="AB598" s="589"/>
      <c r="AC598" s="589"/>
      <c r="AD598" s="589"/>
      <c r="AE598" s="589"/>
      <c r="AF598" s="589"/>
      <c r="AG598" s="589"/>
      <c r="AH598" s="589"/>
      <c r="AI598" s="589"/>
      <c r="AJ598" s="589"/>
      <c r="AK598" s="589"/>
      <c r="AL598" s="589"/>
      <c r="AM598" s="589"/>
      <c r="AN598" s="589"/>
      <c r="AO598" s="589"/>
      <c r="AP598" s="589"/>
      <c r="AQ598" s="589"/>
      <c r="AR598" s="589"/>
      <c r="AS598" s="589"/>
    </row>
    <row r="599" spans="1:45" ht="15">
      <c r="A599" s="590" t="s">
        <v>174</v>
      </c>
      <c r="B599" s="590" t="s">
        <v>562</v>
      </c>
      <c r="C599" s="590" t="s">
        <v>799</v>
      </c>
      <c r="D599" s="593">
        <v>2015</v>
      </c>
      <c r="E599" s="590" t="s">
        <v>775</v>
      </c>
      <c r="F599" s="593">
        <v>3149</v>
      </c>
      <c r="G599" s="593">
        <v>30</v>
      </c>
      <c r="H599" s="593">
        <v>30</v>
      </c>
      <c r="I599" s="593">
        <v>0</v>
      </c>
      <c r="J599" s="593">
        <v>2208</v>
      </c>
      <c r="K599" s="593">
        <v>117</v>
      </c>
      <c r="L599" s="593">
        <v>117</v>
      </c>
      <c r="M599" s="593">
        <v>0</v>
      </c>
      <c r="N599" s="593">
        <v>2574</v>
      </c>
      <c r="O599" s="593">
        <v>135</v>
      </c>
      <c r="P599" s="593">
        <v>5913</v>
      </c>
      <c r="Q599" s="593">
        <v>264</v>
      </c>
      <c r="R599" s="593">
        <v>13844</v>
      </c>
      <c r="S599" s="593">
        <v>546</v>
      </c>
      <c r="T599" s="593">
        <v>2015</v>
      </c>
      <c r="U599" s="593">
        <v>2014</v>
      </c>
      <c r="V599" s="589"/>
      <c r="W599" s="589"/>
      <c r="X599" s="589"/>
      <c r="Y599" s="589"/>
      <c r="Z599" s="589"/>
      <c r="AA599" s="589"/>
      <c r="AB599" s="589"/>
      <c r="AC599" s="589"/>
      <c r="AD599" s="589"/>
      <c r="AE599" s="589"/>
      <c r="AF599" s="589"/>
      <c r="AG599" s="589"/>
      <c r="AH599" s="589"/>
      <c r="AI599" s="589"/>
      <c r="AJ599" s="589"/>
      <c r="AK599" s="589"/>
      <c r="AL599" s="589"/>
      <c r="AM599" s="589"/>
      <c r="AN599" s="589"/>
      <c r="AO599" s="589"/>
      <c r="AP599" s="589"/>
      <c r="AQ599" s="589"/>
      <c r="AR599" s="589"/>
      <c r="AS599" s="589"/>
    </row>
    <row r="600" spans="1:45" ht="15">
      <c r="A600" s="587" t="s">
        <v>166</v>
      </c>
      <c r="B600" s="587" t="s">
        <v>479</v>
      </c>
      <c r="C600" s="587" t="s">
        <v>774</v>
      </c>
      <c r="D600" s="588">
        <v>2015</v>
      </c>
      <c r="E600" s="587" t="s">
        <v>775</v>
      </c>
      <c r="F600" s="588">
        <v>8</v>
      </c>
      <c r="G600" s="588">
        <v>0</v>
      </c>
      <c r="H600" s="588">
        <v>0</v>
      </c>
      <c r="I600" s="588">
        <v>0</v>
      </c>
      <c r="J600" s="588">
        <v>5</v>
      </c>
      <c r="K600" s="588">
        <v>0</v>
      </c>
      <c r="L600" s="588">
        <v>0</v>
      </c>
      <c r="M600" s="588">
        <v>0</v>
      </c>
      <c r="N600" s="588">
        <v>5</v>
      </c>
      <c r="O600" s="588">
        <v>4</v>
      </c>
      <c r="P600" s="588">
        <v>13</v>
      </c>
      <c r="Q600" s="588">
        <v>23</v>
      </c>
      <c r="R600" s="588">
        <v>31</v>
      </c>
      <c r="S600" s="588">
        <v>27</v>
      </c>
      <c r="T600" s="588">
        <v>2015</v>
      </c>
      <c r="U600" s="588">
        <v>2015</v>
      </c>
      <c r="V600" s="589"/>
      <c r="W600" s="589"/>
      <c r="X600" s="589"/>
      <c r="Y600" s="589"/>
      <c r="Z600" s="589"/>
      <c r="AA600" s="589"/>
      <c r="AB600" s="589"/>
      <c r="AC600" s="589"/>
      <c r="AD600" s="589"/>
      <c r="AE600" s="589"/>
      <c r="AF600" s="589"/>
      <c r="AG600" s="589"/>
      <c r="AH600" s="589"/>
      <c r="AI600" s="589"/>
      <c r="AJ600" s="589"/>
      <c r="AK600" s="589"/>
      <c r="AL600" s="589"/>
      <c r="AM600" s="589"/>
      <c r="AN600" s="589"/>
      <c r="AO600" s="589"/>
      <c r="AP600" s="589"/>
      <c r="AQ600" s="589"/>
      <c r="AR600" s="589"/>
      <c r="AS600" s="589"/>
    </row>
    <row r="601" spans="1:45" ht="15">
      <c r="A601" s="590" t="s">
        <v>164</v>
      </c>
      <c r="B601" s="590" t="s">
        <v>472</v>
      </c>
      <c r="C601" s="590" t="s">
        <v>177</v>
      </c>
      <c r="D601" s="593">
        <v>2015</v>
      </c>
      <c r="E601" s="590" t="s">
        <v>775</v>
      </c>
      <c r="F601" s="593">
        <v>537</v>
      </c>
      <c r="G601" s="593">
        <v>0</v>
      </c>
      <c r="H601" s="593">
        <v>0</v>
      </c>
      <c r="I601" s="593">
        <v>0</v>
      </c>
      <c r="J601" s="593">
        <v>351</v>
      </c>
      <c r="K601" s="593">
        <v>0</v>
      </c>
      <c r="L601" s="593">
        <v>0</v>
      </c>
      <c r="M601" s="593">
        <v>0</v>
      </c>
      <c r="N601" s="593">
        <v>407</v>
      </c>
      <c r="O601" s="593">
        <v>0</v>
      </c>
      <c r="P601" s="593">
        <v>934</v>
      </c>
      <c r="Q601" s="593">
        <v>53</v>
      </c>
      <c r="R601" s="593">
        <v>2229</v>
      </c>
      <c r="S601" s="593">
        <v>53</v>
      </c>
      <c r="T601" s="593">
        <v>2016</v>
      </c>
      <c r="U601" s="593">
        <v>2016</v>
      </c>
      <c r="V601" s="589"/>
      <c r="W601" s="589"/>
      <c r="X601" s="589"/>
      <c r="Y601" s="589"/>
      <c r="Z601" s="589"/>
      <c r="AA601" s="589"/>
      <c r="AB601" s="589"/>
      <c r="AC601" s="589"/>
      <c r="AD601" s="589"/>
      <c r="AE601" s="589"/>
      <c r="AF601" s="589"/>
      <c r="AG601" s="589"/>
      <c r="AH601" s="589"/>
      <c r="AI601" s="589"/>
      <c r="AJ601" s="589"/>
      <c r="AK601" s="589"/>
      <c r="AL601" s="589"/>
      <c r="AM601" s="589"/>
      <c r="AN601" s="589"/>
      <c r="AO601" s="589"/>
      <c r="AP601" s="589"/>
      <c r="AQ601" s="589"/>
      <c r="AR601" s="589"/>
      <c r="AS601" s="589"/>
    </row>
    <row r="602" spans="1:45" ht="15">
      <c r="A602" s="587" t="s">
        <v>157</v>
      </c>
      <c r="B602" s="587" t="s">
        <v>444</v>
      </c>
      <c r="C602" s="587" t="s">
        <v>774</v>
      </c>
      <c r="D602" s="588">
        <v>2015</v>
      </c>
      <c r="E602" s="587" t="s">
        <v>775</v>
      </c>
      <c r="F602" s="588">
        <v>33</v>
      </c>
      <c r="G602" s="588">
        <v>2</v>
      </c>
      <c r="H602" s="588">
        <v>0</v>
      </c>
      <c r="I602" s="588">
        <v>2</v>
      </c>
      <c r="J602" s="588">
        <v>17</v>
      </c>
      <c r="K602" s="588">
        <v>0</v>
      </c>
      <c r="L602" s="588">
        <v>0</v>
      </c>
      <c r="M602" s="588">
        <v>0</v>
      </c>
      <c r="N602" s="588">
        <v>19</v>
      </c>
      <c r="O602" s="588">
        <v>2</v>
      </c>
      <c r="P602" s="588">
        <v>37</v>
      </c>
      <c r="Q602" s="588">
        <v>1</v>
      </c>
      <c r="R602" s="588">
        <v>106</v>
      </c>
      <c r="S602" s="588">
        <v>5</v>
      </c>
      <c r="T602" s="588">
        <v>2015</v>
      </c>
      <c r="U602" s="588">
        <v>2015</v>
      </c>
      <c r="V602" s="589"/>
      <c r="W602" s="589"/>
      <c r="X602" s="589"/>
      <c r="Y602" s="589"/>
      <c r="Z602" s="589"/>
      <c r="AA602" s="589"/>
      <c r="AB602" s="589"/>
      <c r="AC602" s="589"/>
      <c r="AD602" s="589"/>
      <c r="AE602" s="589"/>
      <c r="AF602" s="589"/>
      <c r="AG602" s="589"/>
      <c r="AH602" s="589"/>
      <c r="AI602" s="589"/>
      <c r="AJ602" s="589"/>
      <c r="AK602" s="589"/>
      <c r="AL602" s="589"/>
      <c r="AM602" s="589"/>
      <c r="AN602" s="589"/>
      <c r="AO602" s="589"/>
      <c r="AP602" s="589"/>
      <c r="AQ602" s="589"/>
      <c r="AR602" s="589"/>
      <c r="AS602" s="589"/>
    </row>
    <row r="603" spans="1:45" ht="15">
      <c r="A603" s="590" t="s">
        <v>176</v>
      </c>
      <c r="B603" s="590" t="s">
        <v>564</v>
      </c>
      <c r="C603" s="590" t="s">
        <v>177</v>
      </c>
      <c r="D603" s="593">
        <v>2015</v>
      </c>
      <c r="E603" s="590" t="s">
        <v>775</v>
      </c>
      <c r="F603" s="593">
        <v>198</v>
      </c>
      <c r="G603" s="593">
        <v>0</v>
      </c>
      <c r="H603" s="593">
        <v>0</v>
      </c>
      <c r="I603" s="593">
        <v>0</v>
      </c>
      <c r="J603" s="593">
        <v>120</v>
      </c>
      <c r="K603" s="593">
        <v>0</v>
      </c>
      <c r="L603" s="593">
        <v>0</v>
      </c>
      <c r="M603" s="593">
        <v>0</v>
      </c>
      <c r="N603" s="593">
        <v>164</v>
      </c>
      <c r="O603" s="593">
        <v>2</v>
      </c>
      <c r="P603" s="593">
        <v>355</v>
      </c>
      <c r="Q603" s="593">
        <v>17</v>
      </c>
      <c r="R603" s="593">
        <v>837</v>
      </c>
      <c r="S603" s="593">
        <v>19</v>
      </c>
      <c r="T603" s="593">
        <v>2016</v>
      </c>
      <c r="U603" s="593">
        <v>2016</v>
      </c>
      <c r="V603" s="589"/>
      <c r="W603" s="589"/>
      <c r="X603" s="589"/>
      <c r="Y603" s="589"/>
      <c r="Z603" s="589"/>
      <c r="AA603" s="589"/>
      <c r="AB603" s="589"/>
      <c r="AC603" s="589"/>
      <c r="AD603" s="589"/>
      <c r="AE603" s="589"/>
      <c r="AF603" s="589"/>
      <c r="AG603" s="589"/>
      <c r="AH603" s="589"/>
      <c r="AI603" s="589"/>
      <c r="AJ603" s="589"/>
      <c r="AK603" s="589"/>
      <c r="AL603" s="589"/>
      <c r="AM603" s="589"/>
      <c r="AN603" s="589"/>
      <c r="AO603" s="589"/>
      <c r="AP603" s="589"/>
      <c r="AQ603" s="589"/>
      <c r="AR603" s="589"/>
      <c r="AS603" s="589"/>
    </row>
    <row r="604" spans="1:45" ht="15">
      <c r="A604" s="587" t="s">
        <v>178</v>
      </c>
      <c r="B604" s="587" t="s">
        <v>584</v>
      </c>
      <c r="C604" s="587" t="s">
        <v>812</v>
      </c>
      <c r="D604" s="588">
        <v>2015</v>
      </c>
      <c r="E604" s="587" t="s">
        <v>775</v>
      </c>
      <c r="F604" s="588">
        <v>9</v>
      </c>
      <c r="G604" s="588">
        <v>16</v>
      </c>
      <c r="H604" s="588">
        <v>0</v>
      </c>
      <c r="I604" s="588">
        <v>16</v>
      </c>
      <c r="J604" s="588">
        <v>6</v>
      </c>
      <c r="K604" s="588">
        <v>236</v>
      </c>
      <c r="L604" s="588">
        <v>0</v>
      </c>
      <c r="M604" s="588">
        <v>236</v>
      </c>
      <c r="N604" s="588">
        <v>7</v>
      </c>
      <c r="O604" s="588">
        <v>86</v>
      </c>
      <c r="P604" s="588">
        <v>17</v>
      </c>
      <c r="Q604" s="588">
        <v>126</v>
      </c>
      <c r="R604" s="588">
        <v>39</v>
      </c>
      <c r="S604" s="588">
        <v>464</v>
      </c>
      <c r="T604" s="588">
        <v>2015</v>
      </c>
      <c r="U604" s="588">
        <v>2014</v>
      </c>
      <c r="V604" s="589"/>
      <c r="W604" s="589"/>
      <c r="X604" s="589"/>
      <c r="Y604" s="589"/>
      <c r="Z604" s="589"/>
      <c r="AA604" s="589"/>
      <c r="AB604" s="589"/>
      <c r="AC604" s="589"/>
      <c r="AD604" s="589"/>
      <c r="AE604" s="589"/>
      <c r="AF604" s="589"/>
      <c r="AG604" s="589"/>
      <c r="AH604" s="589"/>
      <c r="AI604" s="589"/>
      <c r="AJ604" s="589"/>
      <c r="AK604" s="589"/>
      <c r="AL604" s="589"/>
      <c r="AM604" s="589"/>
      <c r="AN604" s="589"/>
      <c r="AO604" s="589"/>
      <c r="AP604" s="589"/>
      <c r="AQ604" s="589"/>
      <c r="AR604" s="589"/>
      <c r="AS604" s="589"/>
    </row>
    <row r="605" spans="1:45" ht="15">
      <c r="A605" s="590" t="s">
        <v>184</v>
      </c>
      <c r="B605" s="591" t="s">
        <v>638</v>
      </c>
      <c r="C605" s="591" t="s">
        <v>774</v>
      </c>
      <c r="D605" s="592">
        <v>2015</v>
      </c>
      <c r="E605" s="591" t="s">
        <v>775</v>
      </c>
      <c r="F605" s="592">
        <v>358</v>
      </c>
      <c r="G605" s="592">
        <v>0</v>
      </c>
      <c r="H605" s="592">
        <v>0</v>
      </c>
      <c r="I605" s="592">
        <v>0</v>
      </c>
      <c r="J605" s="592">
        <v>161</v>
      </c>
      <c r="K605" s="592">
        <v>0</v>
      </c>
      <c r="L605" s="592">
        <v>0</v>
      </c>
      <c r="M605" s="592">
        <v>0</v>
      </c>
      <c r="N605" s="593">
        <v>205</v>
      </c>
      <c r="O605" s="593">
        <v>1</v>
      </c>
      <c r="P605" s="593">
        <v>431</v>
      </c>
      <c r="Q605" s="593">
        <v>9</v>
      </c>
      <c r="R605" s="593">
        <v>1155</v>
      </c>
      <c r="S605" s="593">
        <v>10</v>
      </c>
      <c r="T605" s="593">
        <v>2015</v>
      </c>
      <c r="U605" s="593">
        <v>2015</v>
      </c>
      <c r="V605" s="589"/>
      <c r="W605" s="589"/>
      <c r="X605" s="589"/>
      <c r="Y605" s="589"/>
      <c r="Z605" s="589"/>
      <c r="AA605" s="589"/>
      <c r="AB605" s="589"/>
      <c r="AC605" s="589"/>
      <c r="AD605" s="589"/>
      <c r="AE605" s="589"/>
      <c r="AF605" s="589"/>
      <c r="AG605" s="589"/>
      <c r="AH605" s="589"/>
      <c r="AI605" s="589"/>
      <c r="AJ605" s="589"/>
      <c r="AK605" s="589"/>
      <c r="AL605" s="589"/>
      <c r="AM605" s="589"/>
      <c r="AN605" s="589"/>
      <c r="AO605" s="589"/>
      <c r="AP605" s="589"/>
      <c r="AQ605" s="589"/>
      <c r="AR605" s="589"/>
      <c r="AS605" s="589"/>
    </row>
    <row r="606" spans="1:45" ht="15">
      <c r="A606" s="587" t="s">
        <v>201</v>
      </c>
      <c r="B606" s="587" t="s">
        <v>736</v>
      </c>
      <c r="C606" s="587" t="s">
        <v>812</v>
      </c>
      <c r="D606" s="588">
        <v>2015</v>
      </c>
      <c r="E606" s="587" t="s">
        <v>775</v>
      </c>
      <c r="F606" s="588">
        <v>861</v>
      </c>
      <c r="G606" s="588">
        <v>49</v>
      </c>
      <c r="H606" s="588">
        <v>49</v>
      </c>
      <c r="I606" s="588">
        <v>0</v>
      </c>
      <c r="J606" s="588">
        <v>591</v>
      </c>
      <c r="K606" s="588">
        <v>0</v>
      </c>
      <c r="L606" s="588">
        <v>0</v>
      </c>
      <c r="M606" s="588">
        <v>0</v>
      </c>
      <c r="N606" s="588">
        <v>673</v>
      </c>
      <c r="O606" s="588">
        <v>41</v>
      </c>
      <c r="P606" s="588">
        <v>1529</v>
      </c>
      <c r="Q606" s="588">
        <v>55</v>
      </c>
      <c r="R606" s="588">
        <v>3654</v>
      </c>
      <c r="S606" s="588">
        <v>145</v>
      </c>
      <c r="T606" s="588">
        <v>2015</v>
      </c>
      <c r="U606" s="588">
        <v>2014</v>
      </c>
      <c r="V606" s="589"/>
      <c r="W606" s="589"/>
      <c r="X606" s="589"/>
      <c r="Y606" s="589"/>
      <c r="Z606" s="589"/>
      <c r="AA606" s="589"/>
      <c r="AB606" s="589"/>
      <c r="AC606" s="589"/>
      <c r="AD606" s="589"/>
      <c r="AE606" s="589"/>
      <c r="AF606" s="589"/>
      <c r="AG606" s="589"/>
      <c r="AH606" s="589"/>
      <c r="AI606" s="589"/>
      <c r="AJ606" s="589"/>
      <c r="AK606" s="589"/>
      <c r="AL606" s="589"/>
      <c r="AM606" s="589"/>
      <c r="AN606" s="589"/>
      <c r="AO606" s="589"/>
      <c r="AP606" s="589"/>
      <c r="AQ606" s="589"/>
      <c r="AR606" s="589"/>
      <c r="AS606" s="589"/>
    </row>
    <row r="607" spans="1:45" ht="15">
      <c r="A607" s="590" t="s">
        <v>169</v>
      </c>
      <c r="B607" s="591" t="s">
        <v>510</v>
      </c>
      <c r="C607" s="591" t="s">
        <v>812</v>
      </c>
      <c r="D607" s="592">
        <v>2015</v>
      </c>
      <c r="E607" s="591" t="s">
        <v>775</v>
      </c>
      <c r="F607" s="592">
        <v>134</v>
      </c>
      <c r="G607" s="592">
        <v>0</v>
      </c>
      <c r="H607" s="592">
        <v>0</v>
      </c>
      <c r="I607" s="592">
        <v>0</v>
      </c>
      <c r="J607" s="592">
        <v>95</v>
      </c>
      <c r="K607" s="592">
        <v>0</v>
      </c>
      <c r="L607" s="592">
        <v>0</v>
      </c>
      <c r="M607" s="592">
        <v>0</v>
      </c>
      <c r="N607" s="593">
        <v>108</v>
      </c>
      <c r="O607" s="593">
        <v>1</v>
      </c>
      <c r="P607" s="593">
        <v>244</v>
      </c>
      <c r="Q607" s="593">
        <v>129</v>
      </c>
      <c r="R607" s="593">
        <v>581</v>
      </c>
      <c r="S607" s="593">
        <v>130</v>
      </c>
      <c r="T607" s="593">
        <v>2015</v>
      </c>
      <c r="U607" s="593">
        <v>2014</v>
      </c>
      <c r="V607" s="589"/>
      <c r="W607" s="589"/>
      <c r="X607" s="589"/>
      <c r="Y607" s="589"/>
      <c r="Z607" s="589"/>
      <c r="AA607" s="589"/>
      <c r="AB607" s="589"/>
      <c r="AC607" s="589"/>
      <c r="AD607" s="589"/>
      <c r="AE607" s="589"/>
      <c r="AF607" s="589"/>
      <c r="AG607" s="589"/>
      <c r="AH607" s="589"/>
      <c r="AI607" s="589"/>
      <c r="AJ607" s="589"/>
      <c r="AK607" s="589"/>
      <c r="AL607" s="589"/>
      <c r="AM607" s="589"/>
      <c r="AN607" s="589"/>
      <c r="AO607" s="589"/>
      <c r="AP607" s="589"/>
      <c r="AQ607" s="589"/>
      <c r="AR607" s="589"/>
      <c r="AS607" s="589"/>
    </row>
    <row r="608" spans="1:45" ht="15">
      <c r="A608" s="587" t="s">
        <v>179</v>
      </c>
      <c r="B608" s="587" t="s">
        <v>179</v>
      </c>
      <c r="C608" s="587" t="s">
        <v>855</v>
      </c>
      <c r="D608" s="588">
        <v>2015</v>
      </c>
      <c r="E608" s="587" t="s">
        <v>775</v>
      </c>
      <c r="F608" s="588">
        <v>21977</v>
      </c>
      <c r="G608" s="588">
        <v>265</v>
      </c>
      <c r="H608" s="588">
        <v>265</v>
      </c>
      <c r="I608" s="588">
        <v>0</v>
      </c>
      <c r="J608" s="588">
        <v>16703</v>
      </c>
      <c r="K608" s="588">
        <v>446</v>
      </c>
      <c r="L608" s="588">
        <v>446</v>
      </c>
      <c r="M608" s="588">
        <v>0</v>
      </c>
      <c r="N608" s="588">
        <v>15462</v>
      </c>
      <c r="O608" s="588">
        <v>0</v>
      </c>
      <c r="P608" s="588">
        <v>33954</v>
      </c>
      <c r="Q608" s="588">
        <v>4221</v>
      </c>
      <c r="R608" s="588">
        <v>88096</v>
      </c>
      <c r="S608" s="588">
        <v>4932</v>
      </c>
      <c r="T608" s="588">
        <v>2015</v>
      </c>
      <c r="U608" s="588">
        <v>2013</v>
      </c>
      <c r="V608" s="589"/>
      <c r="W608" s="589"/>
      <c r="X608" s="589"/>
      <c r="Y608" s="589"/>
      <c r="Z608" s="589"/>
      <c r="AA608" s="589"/>
      <c r="AB608" s="589"/>
      <c r="AC608" s="589"/>
      <c r="AD608" s="589"/>
      <c r="AE608" s="589"/>
      <c r="AF608" s="589"/>
      <c r="AG608" s="589"/>
      <c r="AH608" s="589"/>
      <c r="AI608" s="589"/>
      <c r="AJ608" s="589"/>
      <c r="AK608" s="589"/>
      <c r="AL608" s="589"/>
      <c r="AM608" s="589"/>
      <c r="AN608" s="589"/>
      <c r="AO608" s="589"/>
      <c r="AP608" s="589"/>
      <c r="AQ608" s="589"/>
      <c r="AR608" s="589"/>
      <c r="AS608" s="589"/>
    </row>
    <row r="609" spans="1:45" ht="15">
      <c r="A609" s="590" t="s">
        <v>179</v>
      </c>
      <c r="B609" s="591" t="s">
        <v>603</v>
      </c>
      <c r="C609" s="591" t="s">
        <v>855</v>
      </c>
      <c r="D609" s="592">
        <v>2015</v>
      </c>
      <c r="E609" s="591" t="s">
        <v>775</v>
      </c>
      <c r="F609" s="592">
        <v>2085</v>
      </c>
      <c r="G609" s="592">
        <v>2</v>
      </c>
      <c r="H609" s="592">
        <v>2</v>
      </c>
      <c r="I609" s="592">
        <v>0</v>
      </c>
      <c r="J609" s="592">
        <v>1585</v>
      </c>
      <c r="K609" s="592">
        <v>24</v>
      </c>
      <c r="L609" s="592">
        <v>24</v>
      </c>
      <c r="M609" s="592">
        <v>0</v>
      </c>
      <c r="N609" s="593">
        <v>5864</v>
      </c>
      <c r="O609" s="593">
        <v>228</v>
      </c>
      <c r="P609" s="593">
        <v>12878</v>
      </c>
      <c r="Q609" s="593">
        <v>613</v>
      </c>
      <c r="R609" s="593">
        <v>22412</v>
      </c>
      <c r="S609" s="593">
        <v>867</v>
      </c>
      <c r="T609" s="593">
        <v>2015</v>
      </c>
      <c r="U609" s="593">
        <v>2013</v>
      </c>
      <c r="V609" s="589"/>
      <c r="W609" s="589"/>
      <c r="X609" s="589"/>
      <c r="Y609" s="589"/>
      <c r="Z609" s="589"/>
      <c r="AA609" s="589"/>
      <c r="AB609" s="589"/>
      <c r="AC609" s="589"/>
      <c r="AD609" s="589"/>
      <c r="AE609" s="589"/>
      <c r="AF609" s="589"/>
      <c r="AG609" s="589"/>
      <c r="AH609" s="589"/>
      <c r="AI609" s="589"/>
      <c r="AJ609" s="589"/>
      <c r="AK609" s="589"/>
      <c r="AL609" s="589"/>
      <c r="AM609" s="589"/>
      <c r="AN609" s="589"/>
      <c r="AO609" s="589"/>
      <c r="AP609" s="589"/>
      <c r="AQ609" s="589"/>
      <c r="AR609" s="589"/>
      <c r="AS609" s="589"/>
    </row>
    <row r="610" spans="1:45" ht="15">
      <c r="A610" s="587" t="s">
        <v>153</v>
      </c>
      <c r="B610" s="587" t="s">
        <v>414</v>
      </c>
      <c r="C610" s="587" t="s">
        <v>812</v>
      </c>
      <c r="D610" s="588">
        <v>2015</v>
      </c>
      <c r="E610" s="587" t="s">
        <v>775</v>
      </c>
      <c r="F610" s="588">
        <v>121</v>
      </c>
      <c r="G610" s="588">
        <v>0</v>
      </c>
      <c r="H610" s="588">
        <v>0</v>
      </c>
      <c r="I610" s="588">
        <v>0</v>
      </c>
      <c r="J610" s="588">
        <v>72</v>
      </c>
      <c r="K610" s="588">
        <v>0</v>
      </c>
      <c r="L610" s="588">
        <v>0</v>
      </c>
      <c r="M610" s="588">
        <v>0</v>
      </c>
      <c r="N610" s="588">
        <v>77</v>
      </c>
      <c r="O610" s="588">
        <v>0</v>
      </c>
      <c r="P610" s="588">
        <v>193</v>
      </c>
      <c r="Q610" s="588">
        <v>7</v>
      </c>
      <c r="R610" s="588">
        <v>463</v>
      </c>
      <c r="S610" s="588">
        <v>7</v>
      </c>
      <c r="T610" s="588">
        <v>2015</v>
      </c>
      <c r="U610" s="588">
        <v>2014</v>
      </c>
      <c r="V610" s="589"/>
      <c r="W610" s="589"/>
      <c r="X610" s="589"/>
      <c r="Y610" s="589"/>
      <c r="Z610" s="589"/>
      <c r="AA610" s="589"/>
      <c r="AB610" s="589"/>
      <c r="AC610" s="589"/>
      <c r="AD610" s="589"/>
      <c r="AE610" s="589"/>
      <c r="AF610" s="589"/>
      <c r="AG610" s="589"/>
      <c r="AH610" s="589"/>
      <c r="AI610" s="589"/>
      <c r="AJ610" s="589"/>
      <c r="AK610" s="589"/>
      <c r="AL610" s="589"/>
      <c r="AM610" s="589"/>
      <c r="AN610" s="589"/>
      <c r="AO610" s="589"/>
      <c r="AP610" s="589"/>
      <c r="AQ610" s="589"/>
      <c r="AR610" s="589"/>
      <c r="AS610" s="589"/>
    </row>
    <row r="611" spans="1:45" ht="15">
      <c r="A611" s="590" t="s">
        <v>153</v>
      </c>
      <c r="B611" s="591" t="s">
        <v>415</v>
      </c>
      <c r="C611" s="591" t="s">
        <v>812</v>
      </c>
      <c r="D611" s="592">
        <v>2015</v>
      </c>
      <c r="E611" s="591" t="s">
        <v>775</v>
      </c>
      <c r="F611" s="592">
        <v>55</v>
      </c>
      <c r="G611" s="592">
        <v>0</v>
      </c>
      <c r="H611" s="592">
        <v>0</v>
      </c>
      <c r="I611" s="592">
        <v>0</v>
      </c>
      <c r="J611" s="592">
        <v>32</v>
      </c>
      <c r="K611" s="592">
        <v>5</v>
      </c>
      <c r="L611" s="592">
        <v>0</v>
      </c>
      <c r="M611" s="592">
        <v>5</v>
      </c>
      <c r="N611" s="593">
        <v>35</v>
      </c>
      <c r="O611" s="593">
        <v>0</v>
      </c>
      <c r="P611" s="593">
        <v>95</v>
      </c>
      <c r="Q611" s="593">
        <v>0</v>
      </c>
      <c r="R611" s="593">
        <v>217</v>
      </c>
      <c r="S611" s="593">
        <v>5</v>
      </c>
      <c r="T611" s="593">
        <v>2015</v>
      </c>
      <c r="U611" s="593">
        <v>2014</v>
      </c>
      <c r="V611" s="589"/>
      <c r="W611" s="589"/>
      <c r="X611" s="589"/>
      <c r="Y611" s="589"/>
      <c r="Z611" s="589"/>
      <c r="AA611" s="589"/>
      <c r="AB611" s="589"/>
      <c r="AC611" s="589"/>
      <c r="AD611" s="589"/>
      <c r="AE611" s="589"/>
      <c r="AF611" s="589"/>
      <c r="AG611" s="589"/>
      <c r="AH611" s="589"/>
      <c r="AI611" s="589"/>
      <c r="AJ611" s="589"/>
      <c r="AK611" s="589"/>
      <c r="AL611" s="589"/>
      <c r="AM611" s="589"/>
      <c r="AN611" s="589"/>
      <c r="AO611" s="589"/>
      <c r="AP611" s="589"/>
      <c r="AQ611" s="589"/>
      <c r="AR611" s="589"/>
      <c r="AS611" s="589"/>
    </row>
    <row r="612" spans="1:45" ht="15">
      <c r="A612" s="587" t="s">
        <v>181</v>
      </c>
      <c r="B612" s="587" t="s">
        <v>181</v>
      </c>
      <c r="C612" s="587" t="s">
        <v>774</v>
      </c>
      <c r="D612" s="588">
        <v>2015</v>
      </c>
      <c r="E612" s="587" t="s">
        <v>775</v>
      </c>
      <c r="F612" s="588">
        <v>6234</v>
      </c>
      <c r="G612" s="588">
        <v>429</v>
      </c>
      <c r="H612" s="588">
        <v>429</v>
      </c>
      <c r="I612" s="588">
        <v>0</v>
      </c>
      <c r="J612" s="588">
        <v>4639</v>
      </c>
      <c r="K612" s="588">
        <v>179</v>
      </c>
      <c r="L612" s="588">
        <v>179</v>
      </c>
      <c r="M612" s="588">
        <v>0</v>
      </c>
      <c r="N612" s="588">
        <v>5460</v>
      </c>
      <c r="O612" s="588">
        <v>113</v>
      </c>
      <c r="P612" s="588">
        <v>12536</v>
      </c>
      <c r="Q612" s="588">
        <v>2874</v>
      </c>
      <c r="R612" s="588">
        <v>28869</v>
      </c>
      <c r="S612" s="588">
        <v>3595</v>
      </c>
      <c r="T612" s="588">
        <v>2015</v>
      </c>
      <c r="U612" s="588">
        <v>2015</v>
      </c>
      <c r="V612" s="589"/>
      <c r="W612" s="589"/>
      <c r="X612" s="589"/>
      <c r="Y612" s="589"/>
      <c r="Z612" s="589"/>
      <c r="AA612" s="589"/>
      <c r="AB612" s="589"/>
      <c r="AC612" s="589"/>
      <c r="AD612" s="589"/>
      <c r="AE612" s="589"/>
      <c r="AF612" s="589"/>
      <c r="AG612" s="589"/>
      <c r="AH612" s="589"/>
      <c r="AI612" s="589"/>
      <c r="AJ612" s="589"/>
      <c r="AK612" s="589"/>
      <c r="AL612" s="589"/>
      <c r="AM612" s="589"/>
      <c r="AN612" s="589"/>
      <c r="AO612" s="589"/>
      <c r="AP612" s="589"/>
      <c r="AQ612" s="589"/>
      <c r="AR612" s="589"/>
      <c r="AS612" s="589"/>
    </row>
    <row r="613" spans="1:45" ht="15">
      <c r="A613" s="590" t="s">
        <v>153</v>
      </c>
      <c r="B613" s="591" t="s">
        <v>416</v>
      </c>
      <c r="C613" s="591" t="s">
        <v>812</v>
      </c>
      <c r="D613" s="592">
        <v>2015</v>
      </c>
      <c r="E613" s="591" t="s">
        <v>775</v>
      </c>
      <c r="F613" s="592">
        <v>236</v>
      </c>
      <c r="G613" s="592">
        <v>1</v>
      </c>
      <c r="H613" s="592">
        <v>0</v>
      </c>
      <c r="I613" s="592">
        <v>1</v>
      </c>
      <c r="J613" s="592">
        <v>142</v>
      </c>
      <c r="K613" s="592">
        <v>0</v>
      </c>
      <c r="L613" s="592">
        <v>0</v>
      </c>
      <c r="M613" s="592">
        <v>0</v>
      </c>
      <c r="N613" s="593">
        <v>154</v>
      </c>
      <c r="O613" s="593">
        <v>54</v>
      </c>
      <c r="P613" s="593">
        <v>398</v>
      </c>
      <c r="Q613" s="593">
        <v>63</v>
      </c>
      <c r="R613" s="593">
        <v>930</v>
      </c>
      <c r="S613" s="593">
        <v>118</v>
      </c>
      <c r="T613" s="593">
        <v>2015</v>
      </c>
      <c r="U613" s="593">
        <v>2014</v>
      </c>
      <c r="V613" s="589"/>
      <c r="W613" s="589"/>
      <c r="X613" s="589"/>
      <c r="Y613" s="589"/>
      <c r="Z613" s="589"/>
      <c r="AA613" s="589"/>
      <c r="AB613" s="589"/>
      <c r="AC613" s="589"/>
      <c r="AD613" s="589"/>
      <c r="AE613" s="589"/>
      <c r="AF613" s="589"/>
      <c r="AG613" s="589"/>
      <c r="AH613" s="589"/>
      <c r="AI613" s="589"/>
      <c r="AJ613" s="589"/>
      <c r="AK613" s="589"/>
      <c r="AL613" s="589"/>
      <c r="AM613" s="589"/>
      <c r="AN613" s="589"/>
      <c r="AO613" s="589"/>
      <c r="AP613" s="589"/>
      <c r="AQ613" s="589"/>
      <c r="AR613" s="589"/>
      <c r="AS613" s="589"/>
    </row>
    <row r="614" spans="1:45" ht="15">
      <c r="A614" s="587" t="s">
        <v>182</v>
      </c>
      <c r="B614" s="587" t="s">
        <v>613</v>
      </c>
      <c r="C614" s="587" t="s">
        <v>177</v>
      </c>
      <c r="D614" s="588">
        <v>2015</v>
      </c>
      <c r="E614" s="587" t="s">
        <v>775</v>
      </c>
      <c r="F614" s="588">
        <v>2496</v>
      </c>
      <c r="G614" s="588">
        <v>10</v>
      </c>
      <c r="H614" s="588">
        <v>0</v>
      </c>
      <c r="I614" s="588">
        <v>10</v>
      </c>
      <c r="J614" s="588">
        <v>1727</v>
      </c>
      <c r="K614" s="588">
        <v>56</v>
      </c>
      <c r="L614" s="588">
        <v>10</v>
      </c>
      <c r="M614" s="588">
        <v>46</v>
      </c>
      <c r="N614" s="588">
        <v>1724</v>
      </c>
      <c r="O614" s="588">
        <v>90</v>
      </c>
      <c r="P614" s="588">
        <v>4220</v>
      </c>
      <c r="Q614" s="588">
        <v>183</v>
      </c>
      <c r="R614" s="588">
        <v>10167</v>
      </c>
      <c r="S614" s="588">
        <v>339</v>
      </c>
      <c r="T614" s="588">
        <v>2016</v>
      </c>
      <c r="U614" s="588">
        <v>2016</v>
      </c>
      <c r="V614" s="589"/>
      <c r="W614" s="589"/>
      <c r="X614" s="589"/>
      <c r="Y614" s="589"/>
      <c r="Z614" s="589"/>
      <c r="AA614" s="589"/>
      <c r="AB614" s="589"/>
      <c r="AC614" s="589"/>
      <c r="AD614" s="589"/>
      <c r="AE614" s="589"/>
      <c r="AF614" s="589"/>
      <c r="AG614" s="589"/>
      <c r="AH614" s="589"/>
      <c r="AI614" s="589"/>
      <c r="AJ614" s="589"/>
      <c r="AK614" s="589"/>
      <c r="AL614" s="589"/>
      <c r="AM614" s="589"/>
      <c r="AN614" s="589"/>
      <c r="AO614" s="589"/>
      <c r="AP614" s="589"/>
      <c r="AQ614" s="589"/>
      <c r="AR614" s="589"/>
      <c r="AS614" s="589"/>
    </row>
    <row r="615" spans="1:45" ht="15">
      <c r="A615" s="590" t="s">
        <v>187</v>
      </c>
      <c r="B615" s="591" t="s">
        <v>662</v>
      </c>
      <c r="C615" s="591" t="s">
        <v>774</v>
      </c>
      <c r="D615" s="592">
        <v>2015</v>
      </c>
      <c r="E615" s="591" t="s">
        <v>775</v>
      </c>
      <c r="F615" s="592">
        <v>9233</v>
      </c>
      <c r="G615" s="592">
        <v>70</v>
      </c>
      <c r="H615" s="592">
        <v>70</v>
      </c>
      <c r="I615" s="592">
        <v>0</v>
      </c>
      <c r="J615" s="592">
        <v>5428</v>
      </c>
      <c r="K615" s="592">
        <v>0</v>
      </c>
      <c r="L615" s="592">
        <v>0</v>
      </c>
      <c r="M615" s="592">
        <v>0</v>
      </c>
      <c r="N615" s="593">
        <v>6188</v>
      </c>
      <c r="O615" s="593">
        <v>0</v>
      </c>
      <c r="P615" s="593">
        <v>14231</v>
      </c>
      <c r="Q615" s="593">
        <v>1951</v>
      </c>
      <c r="R615" s="593">
        <v>35080</v>
      </c>
      <c r="S615" s="593">
        <v>2021</v>
      </c>
      <c r="T615" s="593">
        <v>2015</v>
      </c>
      <c r="U615" s="593">
        <v>2015</v>
      </c>
      <c r="V615" s="589"/>
      <c r="W615" s="589"/>
      <c r="X615" s="589"/>
      <c r="Y615" s="589"/>
      <c r="Z615" s="589"/>
      <c r="AA615" s="589"/>
      <c r="AB615" s="589"/>
      <c r="AC615" s="589"/>
      <c r="AD615" s="589"/>
      <c r="AE615" s="589"/>
      <c r="AF615" s="589"/>
      <c r="AG615" s="589"/>
      <c r="AH615" s="589"/>
      <c r="AI615" s="589"/>
      <c r="AJ615" s="589"/>
      <c r="AK615" s="589"/>
      <c r="AL615" s="589"/>
      <c r="AM615" s="589"/>
      <c r="AN615" s="589"/>
      <c r="AO615" s="589"/>
      <c r="AP615" s="589"/>
      <c r="AQ615" s="589"/>
      <c r="AR615" s="589"/>
      <c r="AS615" s="589"/>
    </row>
    <row r="616" spans="1:45" ht="15">
      <c r="A616" s="587" t="s">
        <v>169</v>
      </c>
      <c r="B616" s="587" t="s">
        <v>511</v>
      </c>
      <c r="C616" s="587" t="s">
        <v>812</v>
      </c>
      <c r="D616" s="588">
        <v>2015</v>
      </c>
      <c r="E616" s="587" t="s">
        <v>775</v>
      </c>
      <c r="F616" s="588">
        <v>147</v>
      </c>
      <c r="G616" s="588">
        <v>0</v>
      </c>
      <c r="H616" s="588">
        <v>0</v>
      </c>
      <c r="I616" s="588">
        <v>0</v>
      </c>
      <c r="J616" s="588">
        <v>104</v>
      </c>
      <c r="K616" s="588">
        <v>0</v>
      </c>
      <c r="L616" s="588">
        <v>0</v>
      </c>
      <c r="M616" s="588">
        <v>0</v>
      </c>
      <c r="N616" s="588">
        <v>120</v>
      </c>
      <c r="O616" s="588">
        <v>0</v>
      </c>
      <c r="P616" s="588">
        <v>267</v>
      </c>
      <c r="Q616" s="588">
        <v>96</v>
      </c>
      <c r="R616" s="588">
        <v>638</v>
      </c>
      <c r="S616" s="588">
        <v>96</v>
      </c>
      <c r="T616" s="588">
        <v>2015</v>
      </c>
      <c r="U616" s="588">
        <v>2014</v>
      </c>
      <c r="V616" s="589"/>
      <c r="W616" s="589"/>
      <c r="X616" s="589"/>
      <c r="Y616" s="589"/>
      <c r="Z616" s="589"/>
      <c r="AA616" s="589"/>
      <c r="AB616" s="589"/>
      <c r="AC616" s="589"/>
      <c r="AD616" s="589"/>
      <c r="AE616" s="589"/>
      <c r="AF616" s="589"/>
      <c r="AG616" s="589"/>
      <c r="AH616" s="589"/>
      <c r="AI616" s="589"/>
      <c r="AJ616" s="589"/>
      <c r="AK616" s="589"/>
      <c r="AL616" s="589"/>
      <c r="AM616" s="589"/>
      <c r="AN616" s="589"/>
      <c r="AO616" s="589"/>
      <c r="AP616" s="589"/>
      <c r="AQ616" s="589"/>
      <c r="AR616" s="589"/>
      <c r="AS616" s="589"/>
    </row>
    <row r="617" spans="1:45" ht="15">
      <c r="A617" s="590" t="s">
        <v>125</v>
      </c>
      <c r="B617" s="591" t="s">
        <v>245</v>
      </c>
      <c r="C617" s="591" t="s">
        <v>774</v>
      </c>
      <c r="D617" s="592">
        <v>2015</v>
      </c>
      <c r="E617" s="591" t="s">
        <v>775</v>
      </c>
      <c r="F617" s="592">
        <v>504</v>
      </c>
      <c r="G617" s="592">
        <v>82</v>
      </c>
      <c r="H617" s="592">
        <v>82</v>
      </c>
      <c r="I617" s="592">
        <v>0</v>
      </c>
      <c r="J617" s="592">
        <v>270</v>
      </c>
      <c r="K617" s="592">
        <v>31</v>
      </c>
      <c r="L617" s="592">
        <v>31</v>
      </c>
      <c r="M617" s="592">
        <v>0</v>
      </c>
      <c r="N617" s="593">
        <v>352</v>
      </c>
      <c r="O617" s="593">
        <v>0</v>
      </c>
      <c r="P617" s="593">
        <v>1161</v>
      </c>
      <c r="Q617" s="593">
        <v>5</v>
      </c>
      <c r="R617" s="593">
        <v>2287</v>
      </c>
      <c r="S617" s="593">
        <v>118</v>
      </c>
      <c r="T617" s="593">
        <v>2015</v>
      </c>
      <c r="U617" s="593">
        <v>2015</v>
      </c>
      <c r="V617" s="589"/>
      <c r="W617" s="589"/>
      <c r="X617" s="589"/>
      <c r="Y617" s="589"/>
      <c r="Z617" s="589"/>
      <c r="AA617" s="589"/>
      <c r="AB617" s="589"/>
      <c r="AC617" s="589"/>
      <c r="AD617" s="589"/>
      <c r="AE617" s="589"/>
      <c r="AF617" s="589"/>
      <c r="AG617" s="589"/>
      <c r="AH617" s="589"/>
      <c r="AI617" s="589"/>
      <c r="AJ617" s="589"/>
      <c r="AK617" s="589"/>
      <c r="AL617" s="589"/>
      <c r="AM617" s="589"/>
      <c r="AN617" s="589"/>
      <c r="AO617" s="589"/>
      <c r="AP617" s="589"/>
      <c r="AQ617" s="589"/>
      <c r="AR617" s="589"/>
      <c r="AS617" s="589"/>
    </row>
    <row r="618" spans="1:45" ht="15">
      <c r="A618" s="587" t="s">
        <v>183</v>
      </c>
      <c r="B618" s="587" t="s">
        <v>183</v>
      </c>
      <c r="C618" s="587" t="s">
        <v>784</v>
      </c>
      <c r="D618" s="588">
        <v>2015</v>
      </c>
      <c r="E618" s="587" t="s">
        <v>775</v>
      </c>
      <c r="F618" s="588">
        <v>285</v>
      </c>
      <c r="G618" s="588">
        <v>1</v>
      </c>
      <c r="H618" s="588">
        <v>1</v>
      </c>
      <c r="I618" s="588">
        <v>0</v>
      </c>
      <c r="J618" s="588">
        <v>179</v>
      </c>
      <c r="K618" s="588">
        <v>1</v>
      </c>
      <c r="L618" s="588">
        <v>1</v>
      </c>
      <c r="M618" s="588">
        <v>0</v>
      </c>
      <c r="N618" s="588">
        <v>201</v>
      </c>
      <c r="O618" s="588">
        <v>2</v>
      </c>
      <c r="P618" s="588">
        <v>478</v>
      </c>
      <c r="Q618" s="588">
        <v>168</v>
      </c>
      <c r="R618" s="588">
        <v>1143</v>
      </c>
      <c r="S618" s="588">
        <v>172</v>
      </c>
      <c r="T618" s="588">
        <v>2015</v>
      </c>
      <c r="U618" s="588">
        <v>2014</v>
      </c>
      <c r="V618" s="589"/>
      <c r="W618" s="589"/>
      <c r="X618" s="589"/>
      <c r="Y618" s="589"/>
      <c r="Z618" s="589"/>
      <c r="AA618" s="589"/>
      <c r="AB618" s="589"/>
      <c r="AC618" s="589"/>
      <c r="AD618" s="589"/>
      <c r="AE618" s="589"/>
      <c r="AF618" s="589"/>
      <c r="AG618" s="589"/>
      <c r="AH618" s="589"/>
      <c r="AI618" s="589"/>
      <c r="AJ618" s="589"/>
      <c r="AK618" s="589"/>
      <c r="AL618" s="589"/>
      <c r="AM618" s="589"/>
      <c r="AN618" s="589"/>
      <c r="AO618" s="589"/>
      <c r="AP618" s="589"/>
      <c r="AQ618" s="589"/>
      <c r="AR618" s="589"/>
      <c r="AS618" s="589"/>
    </row>
    <row r="619" spans="1:45" ht="15">
      <c r="A619" s="590" t="s">
        <v>183</v>
      </c>
      <c r="B619" s="591" t="s">
        <v>622</v>
      </c>
      <c r="C619" s="591" t="s">
        <v>784</v>
      </c>
      <c r="D619" s="592">
        <v>2015</v>
      </c>
      <c r="E619" s="591" t="s">
        <v>775</v>
      </c>
      <c r="F619" s="592">
        <v>336</v>
      </c>
      <c r="G619" s="592">
        <v>7</v>
      </c>
      <c r="H619" s="592">
        <v>2</v>
      </c>
      <c r="I619" s="592">
        <v>5</v>
      </c>
      <c r="J619" s="592">
        <v>211</v>
      </c>
      <c r="K619" s="592">
        <v>10</v>
      </c>
      <c r="L619" s="592">
        <v>3</v>
      </c>
      <c r="M619" s="592">
        <v>7</v>
      </c>
      <c r="N619" s="593">
        <v>237</v>
      </c>
      <c r="O619" s="593">
        <v>27</v>
      </c>
      <c r="P619" s="593">
        <v>563</v>
      </c>
      <c r="Q619" s="593">
        <v>282</v>
      </c>
      <c r="R619" s="593">
        <v>1347</v>
      </c>
      <c r="S619" s="593">
        <v>326</v>
      </c>
      <c r="T619" s="593">
        <v>2015</v>
      </c>
      <c r="U619" s="593">
        <v>2014</v>
      </c>
      <c r="V619" s="589"/>
      <c r="W619" s="589"/>
      <c r="X619" s="589"/>
      <c r="Y619" s="589"/>
      <c r="Z619" s="589"/>
      <c r="AA619" s="589"/>
      <c r="AB619" s="589"/>
      <c r="AC619" s="589"/>
      <c r="AD619" s="589"/>
      <c r="AE619" s="589"/>
      <c r="AF619" s="589"/>
      <c r="AG619" s="589"/>
      <c r="AH619" s="589"/>
      <c r="AI619" s="589"/>
      <c r="AJ619" s="589"/>
      <c r="AK619" s="589"/>
      <c r="AL619" s="589"/>
      <c r="AM619" s="589"/>
      <c r="AN619" s="589"/>
      <c r="AO619" s="589"/>
      <c r="AP619" s="589"/>
      <c r="AQ619" s="589"/>
      <c r="AR619" s="589"/>
      <c r="AS619" s="589"/>
    </row>
    <row r="620" spans="1:45" ht="15">
      <c r="A620" s="587" t="s">
        <v>179</v>
      </c>
      <c r="B620" s="587" t="s">
        <v>604</v>
      </c>
      <c r="C620" s="587" t="s">
        <v>855</v>
      </c>
      <c r="D620" s="588">
        <v>2015</v>
      </c>
      <c r="E620" s="587" t="s">
        <v>775</v>
      </c>
      <c r="F620" s="588">
        <v>1043</v>
      </c>
      <c r="G620" s="588">
        <v>51</v>
      </c>
      <c r="H620" s="588">
        <v>51</v>
      </c>
      <c r="I620" s="588">
        <v>0</v>
      </c>
      <c r="J620" s="588">
        <v>793</v>
      </c>
      <c r="K620" s="588">
        <v>54</v>
      </c>
      <c r="L620" s="588">
        <v>54</v>
      </c>
      <c r="M620" s="588">
        <v>0</v>
      </c>
      <c r="N620" s="588">
        <v>734</v>
      </c>
      <c r="O620" s="588">
        <v>1</v>
      </c>
      <c r="P620" s="588">
        <v>1613</v>
      </c>
      <c r="Q620" s="588">
        <v>487</v>
      </c>
      <c r="R620" s="588">
        <v>4183</v>
      </c>
      <c r="S620" s="588">
        <v>593</v>
      </c>
      <c r="T620" s="588">
        <v>2015</v>
      </c>
      <c r="U620" s="588">
        <v>2013</v>
      </c>
      <c r="V620" s="589"/>
      <c r="W620" s="589"/>
      <c r="X620" s="589"/>
      <c r="Y620" s="589"/>
      <c r="Z620" s="589"/>
      <c r="AA620" s="589"/>
      <c r="AB620" s="589"/>
      <c r="AC620" s="589"/>
      <c r="AD620" s="589"/>
      <c r="AE620" s="589"/>
      <c r="AF620" s="589"/>
      <c r="AG620" s="589"/>
      <c r="AH620" s="589"/>
      <c r="AI620" s="589"/>
      <c r="AJ620" s="589"/>
      <c r="AK620" s="589"/>
      <c r="AL620" s="589"/>
      <c r="AM620" s="589"/>
      <c r="AN620" s="589"/>
      <c r="AO620" s="589"/>
      <c r="AP620" s="589"/>
      <c r="AQ620" s="589"/>
      <c r="AR620" s="589"/>
      <c r="AS620" s="589"/>
    </row>
    <row r="621" spans="1:45" ht="15">
      <c r="A621" s="590" t="s">
        <v>153</v>
      </c>
      <c r="B621" s="591" t="s">
        <v>417</v>
      </c>
      <c r="C621" s="591" t="s">
        <v>812</v>
      </c>
      <c r="D621" s="592">
        <v>2015</v>
      </c>
      <c r="E621" s="591" t="s">
        <v>775</v>
      </c>
      <c r="F621" s="592">
        <v>1</v>
      </c>
      <c r="G621" s="592">
        <v>0</v>
      </c>
      <c r="H621" s="592">
        <v>0</v>
      </c>
      <c r="I621" s="592">
        <v>0</v>
      </c>
      <c r="J621" s="592">
        <v>1</v>
      </c>
      <c r="K621" s="592">
        <v>0</v>
      </c>
      <c r="L621" s="592">
        <v>0</v>
      </c>
      <c r="M621" s="592">
        <v>0</v>
      </c>
      <c r="N621" s="593">
        <v>0</v>
      </c>
      <c r="O621" s="593">
        <v>0</v>
      </c>
      <c r="P621" s="593">
        <v>0</v>
      </c>
      <c r="Q621" s="593">
        <v>9</v>
      </c>
      <c r="R621" s="593">
        <v>2</v>
      </c>
      <c r="S621" s="593">
        <v>9</v>
      </c>
      <c r="T621" s="593">
        <v>2015</v>
      </c>
      <c r="U621" s="593">
        <v>2014</v>
      </c>
      <c r="V621" s="589"/>
      <c r="W621" s="589"/>
      <c r="X621" s="589"/>
      <c r="Y621" s="589"/>
      <c r="Z621" s="589"/>
      <c r="AA621" s="589"/>
      <c r="AB621" s="589"/>
      <c r="AC621" s="589"/>
      <c r="AD621" s="589"/>
      <c r="AE621" s="589"/>
      <c r="AF621" s="589"/>
      <c r="AG621" s="589"/>
      <c r="AH621" s="589"/>
      <c r="AI621" s="589"/>
      <c r="AJ621" s="589"/>
      <c r="AK621" s="589"/>
      <c r="AL621" s="589"/>
      <c r="AM621" s="589"/>
      <c r="AN621" s="589"/>
      <c r="AO621" s="589"/>
      <c r="AP621" s="589"/>
      <c r="AQ621" s="589"/>
      <c r="AR621" s="589"/>
      <c r="AS621" s="589"/>
    </row>
    <row r="622" spans="1:45" ht="15">
      <c r="A622" s="587" t="s">
        <v>184</v>
      </c>
      <c r="B622" s="587" t="s">
        <v>184</v>
      </c>
      <c r="C622" s="587" t="s">
        <v>774</v>
      </c>
      <c r="D622" s="588">
        <v>2015</v>
      </c>
      <c r="E622" s="587" t="s">
        <v>775</v>
      </c>
      <c r="F622" s="588">
        <v>859</v>
      </c>
      <c r="G622" s="588">
        <v>0</v>
      </c>
      <c r="H622" s="588">
        <v>0</v>
      </c>
      <c r="I622" s="588">
        <v>0</v>
      </c>
      <c r="J622" s="588">
        <v>469</v>
      </c>
      <c r="K622" s="588">
        <v>23</v>
      </c>
      <c r="L622" s="588">
        <v>23</v>
      </c>
      <c r="M622" s="588">
        <v>0</v>
      </c>
      <c r="N622" s="588">
        <v>530</v>
      </c>
      <c r="O622" s="588">
        <v>88</v>
      </c>
      <c r="P622" s="588">
        <v>1242</v>
      </c>
      <c r="Q622" s="588">
        <v>480</v>
      </c>
      <c r="R622" s="588">
        <v>3100</v>
      </c>
      <c r="S622" s="588">
        <v>591</v>
      </c>
      <c r="T622" s="588">
        <v>2015</v>
      </c>
      <c r="U622" s="588">
        <v>2015</v>
      </c>
      <c r="V622" s="589"/>
      <c r="W622" s="589"/>
      <c r="X622" s="589"/>
      <c r="Y622" s="589"/>
      <c r="Z622" s="589"/>
      <c r="AA622" s="589"/>
      <c r="AB622" s="589"/>
      <c r="AC622" s="589"/>
      <c r="AD622" s="589"/>
      <c r="AE622" s="589"/>
      <c r="AF622" s="589"/>
      <c r="AG622" s="589"/>
      <c r="AH622" s="589"/>
      <c r="AI622" s="589"/>
      <c r="AJ622" s="589"/>
      <c r="AK622" s="589"/>
      <c r="AL622" s="589"/>
      <c r="AM622" s="589"/>
      <c r="AN622" s="589"/>
      <c r="AO622" s="589"/>
      <c r="AP622" s="589"/>
      <c r="AQ622" s="589"/>
      <c r="AR622" s="589"/>
      <c r="AS622" s="589"/>
    </row>
    <row r="623" spans="1:45" ht="15">
      <c r="A623" s="590" t="s">
        <v>184</v>
      </c>
      <c r="B623" s="591" t="s">
        <v>640</v>
      </c>
      <c r="C623" s="591" t="s">
        <v>774</v>
      </c>
      <c r="D623" s="592">
        <v>2015</v>
      </c>
      <c r="E623" s="591" t="s">
        <v>775</v>
      </c>
      <c r="F623" s="592">
        <v>153</v>
      </c>
      <c r="G623" s="592">
        <v>0</v>
      </c>
      <c r="H623" s="592">
        <v>0</v>
      </c>
      <c r="I623" s="592">
        <v>0</v>
      </c>
      <c r="J623" s="592">
        <v>103</v>
      </c>
      <c r="K623" s="592">
        <v>1</v>
      </c>
      <c r="L623" s="592">
        <v>0</v>
      </c>
      <c r="M623" s="592">
        <v>1</v>
      </c>
      <c r="N623" s="593">
        <v>102</v>
      </c>
      <c r="O623" s="593">
        <v>6</v>
      </c>
      <c r="P623" s="593">
        <v>555</v>
      </c>
      <c r="Q623" s="593">
        <v>53</v>
      </c>
      <c r="R623" s="593">
        <v>913</v>
      </c>
      <c r="S623" s="593">
        <v>60</v>
      </c>
      <c r="T623" s="593">
        <v>2015</v>
      </c>
      <c r="U623" s="593">
        <v>2015</v>
      </c>
      <c r="V623" s="589"/>
      <c r="W623" s="589"/>
      <c r="X623" s="589"/>
      <c r="Y623" s="589"/>
      <c r="Z623" s="589"/>
      <c r="AA623" s="589"/>
      <c r="AB623" s="589"/>
      <c r="AC623" s="589"/>
      <c r="AD623" s="589"/>
      <c r="AE623" s="589"/>
      <c r="AF623" s="589"/>
      <c r="AG623" s="589"/>
      <c r="AH623" s="589"/>
      <c r="AI623" s="589"/>
      <c r="AJ623" s="589"/>
      <c r="AK623" s="589"/>
      <c r="AL623" s="589"/>
      <c r="AM623" s="589"/>
      <c r="AN623" s="589"/>
      <c r="AO623" s="589"/>
      <c r="AP623" s="589"/>
      <c r="AQ623" s="589"/>
      <c r="AR623" s="589"/>
      <c r="AS623" s="589"/>
    </row>
    <row r="624" spans="1:45" ht="15">
      <c r="A624" s="587" t="s">
        <v>136</v>
      </c>
      <c r="B624" s="587" t="s">
        <v>282</v>
      </c>
      <c r="C624" s="587" t="s">
        <v>774</v>
      </c>
      <c r="D624" s="588">
        <v>2015</v>
      </c>
      <c r="E624" s="587" t="s">
        <v>775</v>
      </c>
      <c r="F624" s="588">
        <v>56</v>
      </c>
      <c r="G624" s="588">
        <v>0</v>
      </c>
      <c r="H624" s="588">
        <v>0</v>
      </c>
      <c r="I624" s="588">
        <v>0</v>
      </c>
      <c r="J624" s="588">
        <v>53</v>
      </c>
      <c r="K624" s="588">
        <v>0</v>
      </c>
      <c r="L624" s="588">
        <v>0</v>
      </c>
      <c r="M624" s="588">
        <v>0</v>
      </c>
      <c r="N624" s="588">
        <v>75</v>
      </c>
      <c r="O624" s="588">
        <v>1</v>
      </c>
      <c r="P624" s="588">
        <v>265</v>
      </c>
      <c r="Q624" s="588">
        <v>29</v>
      </c>
      <c r="R624" s="588">
        <v>449</v>
      </c>
      <c r="S624" s="588">
        <v>30</v>
      </c>
      <c r="T624" s="588">
        <v>2015</v>
      </c>
      <c r="U624" s="588">
        <v>2015</v>
      </c>
      <c r="V624" s="589"/>
      <c r="W624" s="589"/>
      <c r="X624" s="589"/>
      <c r="Y624" s="589"/>
      <c r="Z624" s="589"/>
      <c r="AA624" s="589"/>
      <c r="AB624" s="589"/>
      <c r="AC624" s="589"/>
      <c r="AD624" s="589"/>
      <c r="AE624" s="589"/>
      <c r="AF624" s="589"/>
      <c r="AG624" s="589"/>
      <c r="AH624" s="589"/>
      <c r="AI624" s="589"/>
      <c r="AJ624" s="589"/>
      <c r="AK624" s="589"/>
      <c r="AL624" s="589"/>
      <c r="AM624" s="589"/>
      <c r="AN624" s="589"/>
      <c r="AO624" s="589"/>
      <c r="AP624" s="589"/>
      <c r="AQ624" s="589"/>
      <c r="AR624" s="589"/>
      <c r="AS624" s="589"/>
    </row>
    <row r="625" spans="1:45" ht="15">
      <c r="A625" s="590" t="s">
        <v>157</v>
      </c>
      <c r="B625" s="591" t="s">
        <v>445</v>
      </c>
      <c r="C625" s="591" t="s">
        <v>774</v>
      </c>
      <c r="D625" s="592">
        <v>2015</v>
      </c>
      <c r="E625" s="591" t="s">
        <v>775</v>
      </c>
      <c r="F625" s="592">
        <v>240</v>
      </c>
      <c r="G625" s="592">
        <v>2</v>
      </c>
      <c r="H625" s="592">
        <v>2</v>
      </c>
      <c r="I625" s="592">
        <v>0</v>
      </c>
      <c r="J625" s="592">
        <v>148</v>
      </c>
      <c r="K625" s="592">
        <v>14</v>
      </c>
      <c r="L625" s="592">
        <v>10</v>
      </c>
      <c r="M625" s="592">
        <v>4</v>
      </c>
      <c r="N625" s="593">
        <v>181</v>
      </c>
      <c r="O625" s="593">
        <v>10</v>
      </c>
      <c r="P625" s="593">
        <v>438</v>
      </c>
      <c r="Q625" s="593">
        <v>94</v>
      </c>
      <c r="R625" s="593">
        <v>1007</v>
      </c>
      <c r="S625" s="593">
        <v>120</v>
      </c>
      <c r="T625" s="593">
        <v>2015</v>
      </c>
      <c r="U625" s="593">
        <v>2015</v>
      </c>
      <c r="V625" s="589"/>
      <c r="W625" s="589"/>
      <c r="X625" s="589"/>
      <c r="Y625" s="589"/>
      <c r="Z625" s="589"/>
      <c r="AA625" s="589"/>
      <c r="AB625" s="589"/>
      <c r="AC625" s="589"/>
      <c r="AD625" s="589"/>
      <c r="AE625" s="589"/>
      <c r="AF625" s="589"/>
      <c r="AG625" s="589"/>
      <c r="AH625" s="589"/>
      <c r="AI625" s="589"/>
      <c r="AJ625" s="589"/>
      <c r="AK625" s="589"/>
      <c r="AL625" s="589"/>
      <c r="AM625" s="589"/>
      <c r="AN625" s="589"/>
      <c r="AO625" s="589"/>
      <c r="AP625" s="589"/>
      <c r="AQ625" s="589"/>
      <c r="AR625" s="589"/>
      <c r="AS625" s="589"/>
    </row>
    <row r="626" spans="1:45" ht="15">
      <c r="A626" s="587" t="s">
        <v>136</v>
      </c>
      <c r="B626" s="587" t="s">
        <v>283</v>
      </c>
      <c r="C626" s="587" t="s">
        <v>774</v>
      </c>
      <c r="D626" s="588">
        <v>2015</v>
      </c>
      <c r="E626" s="587" t="s">
        <v>775</v>
      </c>
      <c r="F626" s="588">
        <v>516</v>
      </c>
      <c r="G626" s="588">
        <v>0</v>
      </c>
      <c r="H626" s="588">
        <v>0</v>
      </c>
      <c r="I626" s="588">
        <v>0</v>
      </c>
      <c r="J626" s="588">
        <v>279</v>
      </c>
      <c r="K626" s="588">
        <v>0</v>
      </c>
      <c r="L626" s="588">
        <v>0</v>
      </c>
      <c r="M626" s="588">
        <v>0</v>
      </c>
      <c r="N626" s="588">
        <v>282</v>
      </c>
      <c r="O626" s="588">
        <v>2</v>
      </c>
      <c r="P626" s="588">
        <v>340</v>
      </c>
      <c r="Q626" s="588">
        <v>386</v>
      </c>
      <c r="R626" s="588">
        <v>1417</v>
      </c>
      <c r="S626" s="588">
        <v>388</v>
      </c>
      <c r="T626" s="588">
        <v>2015</v>
      </c>
      <c r="U626" s="588">
        <v>2015</v>
      </c>
      <c r="V626" s="589"/>
      <c r="W626" s="589"/>
      <c r="X626" s="589"/>
      <c r="Y626" s="589"/>
      <c r="Z626" s="589"/>
      <c r="AA626" s="589"/>
      <c r="AB626" s="589"/>
      <c r="AC626" s="589"/>
      <c r="AD626" s="589"/>
      <c r="AE626" s="589"/>
      <c r="AF626" s="589"/>
      <c r="AG626" s="589"/>
      <c r="AH626" s="589"/>
      <c r="AI626" s="589"/>
      <c r="AJ626" s="589"/>
      <c r="AK626" s="589"/>
      <c r="AL626" s="589"/>
      <c r="AM626" s="589"/>
      <c r="AN626" s="589"/>
      <c r="AO626" s="589"/>
      <c r="AP626" s="589"/>
      <c r="AQ626" s="589"/>
      <c r="AR626" s="589"/>
      <c r="AS626" s="589"/>
    </row>
    <row r="627" spans="1:45" ht="15">
      <c r="A627" s="590" t="s">
        <v>169</v>
      </c>
      <c r="B627" s="591" t="s">
        <v>512</v>
      </c>
      <c r="C627" s="591" t="s">
        <v>812</v>
      </c>
      <c r="D627" s="592">
        <v>2015</v>
      </c>
      <c r="E627" s="591" t="s">
        <v>775</v>
      </c>
      <c r="F627" s="592">
        <v>45</v>
      </c>
      <c r="G627" s="592">
        <v>0</v>
      </c>
      <c r="H627" s="592">
        <v>0</v>
      </c>
      <c r="I627" s="592">
        <v>0</v>
      </c>
      <c r="J627" s="592">
        <v>32</v>
      </c>
      <c r="K627" s="592">
        <v>0</v>
      </c>
      <c r="L627" s="592">
        <v>0</v>
      </c>
      <c r="M627" s="592">
        <v>0</v>
      </c>
      <c r="N627" s="593">
        <v>37</v>
      </c>
      <c r="O627" s="593">
        <v>11</v>
      </c>
      <c r="P627" s="593">
        <v>90</v>
      </c>
      <c r="Q627" s="593">
        <v>127</v>
      </c>
      <c r="R627" s="593">
        <v>204</v>
      </c>
      <c r="S627" s="593">
        <v>138</v>
      </c>
      <c r="T627" s="593">
        <v>2015</v>
      </c>
      <c r="U627" s="593">
        <v>2014</v>
      </c>
      <c r="V627" s="589"/>
      <c r="W627" s="589"/>
      <c r="X627" s="589"/>
      <c r="Y627" s="589"/>
      <c r="Z627" s="589"/>
      <c r="AA627" s="589"/>
      <c r="AB627" s="589"/>
      <c r="AC627" s="589"/>
      <c r="AD627" s="589"/>
      <c r="AE627" s="589"/>
      <c r="AF627" s="589"/>
      <c r="AG627" s="589"/>
      <c r="AH627" s="589"/>
      <c r="AI627" s="589"/>
      <c r="AJ627" s="589"/>
      <c r="AK627" s="589"/>
      <c r="AL627" s="589"/>
      <c r="AM627" s="589"/>
      <c r="AN627" s="589"/>
      <c r="AO627" s="589"/>
      <c r="AP627" s="589"/>
      <c r="AQ627" s="589"/>
      <c r="AR627" s="589"/>
      <c r="AS627" s="589"/>
    </row>
    <row r="628" spans="1:45" ht="15">
      <c r="A628" s="587" t="s">
        <v>185</v>
      </c>
      <c r="B628" s="587" t="s">
        <v>185</v>
      </c>
      <c r="C628" s="587" t="s">
        <v>868</v>
      </c>
      <c r="D628" s="588">
        <v>2015</v>
      </c>
      <c r="E628" s="587" t="s">
        <v>775</v>
      </c>
      <c r="F628" s="588">
        <v>962</v>
      </c>
      <c r="G628" s="588">
        <v>0</v>
      </c>
      <c r="H628" s="588">
        <v>0</v>
      </c>
      <c r="I628" s="588">
        <v>0</v>
      </c>
      <c r="J628" s="588">
        <v>701</v>
      </c>
      <c r="K628" s="588">
        <v>0</v>
      </c>
      <c r="L628" s="588">
        <v>0</v>
      </c>
      <c r="M628" s="588">
        <v>0</v>
      </c>
      <c r="N628" s="588">
        <v>820</v>
      </c>
      <c r="O628" s="588">
        <v>4</v>
      </c>
      <c r="P628" s="588">
        <v>1617</v>
      </c>
      <c r="Q628" s="588">
        <v>290</v>
      </c>
      <c r="R628" s="588">
        <v>4100</v>
      </c>
      <c r="S628" s="588">
        <v>294</v>
      </c>
      <c r="T628" s="588">
        <v>2015</v>
      </c>
      <c r="U628" s="588">
        <v>2015</v>
      </c>
      <c r="V628" s="589"/>
      <c r="W628" s="589"/>
      <c r="X628" s="589"/>
      <c r="Y628" s="589"/>
      <c r="Z628" s="589"/>
      <c r="AA628" s="589"/>
      <c r="AB628" s="589"/>
      <c r="AC628" s="589"/>
      <c r="AD628" s="589"/>
      <c r="AE628" s="589"/>
      <c r="AF628" s="589"/>
      <c r="AG628" s="589"/>
      <c r="AH628" s="589"/>
      <c r="AI628" s="589"/>
      <c r="AJ628" s="589"/>
      <c r="AK628" s="589"/>
      <c r="AL628" s="589"/>
      <c r="AM628" s="589"/>
      <c r="AN628" s="589"/>
      <c r="AO628" s="589"/>
      <c r="AP628" s="589"/>
      <c r="AQ628" s="589"/>
      <c r="AR628" s="589"/>
      <c r="AS628" s="589"/>
    </row>
    <row r="629" spans="1:45" ht="15">
      <c r="A629" s="590" t="s">
        <v>185</v>
      </c>
      <c r="B629" s="591" t="s">
        <v>648</v>
      </c>
      <c r="C629" s="591" t="s">
        <v>868</v>
      </c>
      <c r="D629" s="592">
        <v>2015</v>
      </c>
      <c r="E629" s="591" t="s">
        <v>775</v>
      </c>
      <c r="F629" s="592">
        <v>159</v>
      </c>
      <c r="G629" s="592">
        <v>49</v>
      </c>
      <c r="H629" s="592">
        <v>49</v>
      </c>
      <c r="I629" s="592">
        <v>0</v>
      </c>
      <c r="J629" s="592">
        <v>106</v>
      </c>
      <c r="K629" s="592">
        <v>41</v>
      </c>
      <c r="L629" s="592">
        <v>36</v>
      </c>
      <c r="M629" s="592">
        <v>5</v>
      </c>
      <c r="N629" s="593">
        <v>112</v>
      </c>
      <c r="O629" s="593">
        <v>44</v>
      </c>
      <c r="P629" s="593">
        <v>284</v>
      </c>
      <c r="Q629" s="593">
        <v>94</v>
      </c>
      <c r="R629" s="593">
        <v>661</v>
      </c>
      <c r="S629" s="593">
        <v>228</v>
      </c>
      <c r="T629" s="593">
        <v>2015</v>
      </c>
      <c r="U629" s="593">
        <v>2015</v>
      </c>
      <c r="V629" s="589"/>
      <c r="W629" s="589"/>
      <c r="X629" s="589"/>
      <c r="Y629" s="589"/>
      <c r="Z629" s="589"/>
      <c r="AA629" s="589"/>
      <c r="AB629" s="589"/>
      <c r="AC629" s="589"/>
      <c r="AD629" s="589"/>
      <c r="AE629" s="589"/>
      <c r="AF629" s="589"/>
      <c r="AG629" s="589"/>
      <c r="AH629" s="589"/>
      <c r="AI629" s="589"/>
      <c r="AJ629" s="589"/>
      <c r="AK629" s="589"/>
      <c r="AL629" s="589"/>
      <c r="AM629" s="589"/>
      <c r="AN629" s="589"/>
      <c r="AO629" s="589"/>
      <c r="AP629" s="589"/>
      <c r="AQ629" s="589"/>
      <c r="AR629" s="589"/>
      <c r="AS629" s="589"/>
    </row>
    <row r="630" spans="1:45" ht="15">
      <c r="A630" s="587" t="s">
        <v>187</v>
      </c>
      <c r="B630" s="587" t="s">
        <v>187</v>
      </c>
      <c r="C630" s="587" t="s">
        <v>774</v>
      </c>
      <c r="D630" s="588">
        <v>2015</v>
      </c>
      <c r="E630" s="587" t="s">
        <v>775</v>
      </c>
      <c r="F630" s="588">
        <v>1050</v>
      </c>
      <c r="G630" s="588">
        <v>0</v>
      </c>
      <c r="H630" s="588">
        <v>0</v>
      </c>
      <c r="I630" s="588">
        <v>0</v>
      </c>
      <c r="J630" s="588">
        <v>695</v>
      </c>
      <c r="K630" s="588">
        <v>0</v>
      </c>
      <c r="L630" s="588">
        <v>0</v>
      </c>
      <c r="M630" s="588">
        <v>0</v>
      </c>
      <c r="N630" s="588">
        <v>755</v>
      </c>
      <c r="O630" s="588">
        <v>19</v>
      </c>
      <c r="P630" s="588">
        <v>1593</v>
      </c>
      <c r="Q630" s="588">
        <v>212</v>
      </c>
      <c r="R630" s="588">
        <v>4093</v>
      </c>
      <c r="S630" s="588">
        <v>231</v>
      </c>
      <c r="T630" s="588">
        <v>2015</v>
      </c>
      <c r="U630" s="588">
        <v>2015</v>
      </c>
      <c r="V630" s="589"/>
      <c r="W630" s="589"/>
      <c r="X630" s="589"/>
      <c r="Y630" s="589"/>
      <c r="Z630" s="589"/>
      <c r="AA630" s="589"/>
      <c r="AB630" s="589"/>
      <c r="AC630" s="589"/>
      <c r="AD630" s="589"/>
      <c r="AE630" s="589"/>
      <c r="AF630" s="589"/>
      <c r="AG630" s="589"/>
      <c r="AH630" s="589"/>
      <c r="AI630" s="589"/>
      <c r="AJ630" s="589"/>
      <c r="AK630" s="589"/>
      <c r="AL630" s="589"/>
      <c r="AM630" s="589"/>
      <c r="AN630" s="589"/>
      <c r="AO630" s="589"/>
      <c r="AP630" s="589"/>
      <c r="AQ630" s="589"/>
      <c r="AR630" s="589"/>
      <c r="AS630" s="589"/>
    </row>
    <row r="631" spans="1:45" ht="15">
      <c r="A631" s="590" t="s">
        <v>187</v>
      </c>
      <c r="B631" s="591" t="s">
        <v>663</v>
      </c>
      <c r="C631" s="591" t="s">
        <v>774</v>
      </c>
      <c r="D631" s="592">
        <v>2015</v>
      </c>
      <c r="E631" s="591" t="s">
        <v>775</v>
      </c>
      <c r="F631" s="592">
        <v>22</v>
      </c>
      <c r="G631" s="592">
        <v>5</v>
      </c>
      <c r="H631" s="592">
        <v>5</v>
      </c>
      <c r="I631" s="592">
        <v>0</v>
      </c>
      <c r="J631" s="592">
        <v>13</v>
      </c>
      <c r="K631" s="592">
        <v>0</v>
      </c>
      <c r="L631" s="592">
        <v>0</v>
      </c>
      <c r="M631" s="592">
        <v>0</v>
      </c>
      <c r="N631" s="593">
        <v>214</v>
      </c>
      <c r="O631" s="593">
        <v>0</v>
      </c>
      <c r="P631" s="593">
        <v>28</v>
      </c>
      <c r="Q631" s="593">
        <v>60</v>
      </c>
      <c r="R631" s="593">
        <v>277</v>
      </c>
      <c r="S631" s="593">
        <v>65</v>
      </c>
      <c r="T631" s="593">
        <v>2015</v>
      </c>
      <c r="U631" s="593">
        <v>2015</v>
      </c>
      <c r="V631" s="589"/>
      <c r="W631" s="589"/>
      <c r="X631" s="589"/>
      <c r="Y631" s="589"/>
      <c r="Z631" s="589"/>
      <c r="AA631" s="589"/>
      <c r="AB631" s="589"/>
      <c r="AC631" s="589"/>
      <c r="AD631" s="589"/>
      <c r="AE631" s="589"/>
      <c r="AF631" s="589"/>
      <c r="AG631" s="589"/>
      <c r="AH631" s="589"/>
      <c r="AI631" s="589"/>
      <c r="AJ631" s="589"/>
      <c r="AK631" s="589"/>
      <c r="AL631" s="589"/>
      <c r="AM631" s="589"/>
      <c r="AN631" s="589"/>
      <c r="AO631" s="589"/>
      <c r="AP631" s="589"/>
      <c r="AQ631" s="589"/>
      <c r="AR631" s="589"/>
      <c r="AS631" s="589"/>
    </row>
    <row r="632" spans="1:45" ht="15">
      <c r="A632" s="587" t="s">
        <v>153</v>
      </c>
      <c r="B632" s="587" t="s">
        <v>418</v>
      </c>
      <c r="C632" s="587" t="s">
        <v>812</v>
      </c>
      <c r="D632" s="588">
        <v>2015</v>
      </c>
      <c r="E632" s="587" t="s">
        <v>775</v>
      </c>
      <c r="F632" s="588">
        <v>2645</v>
      </c>
      <c r="G632" s="588">
        <v>0</v>
      </c>
      <c r="H632" s="588">
        <v>0</v>
      </c>
      <c r="I632" s="588">
        <v>0</v>
      </c>
      <c r="J632" s="588">
        <v>1678</v>
      </c>
      <c r="K632" s="588">
        <v>73</v>
      </c>
      <c r="L632" s="588">
        <v>73</v>
      </c>
      <c r="M632" s="588">
        <v>0</v>
      </c>
      <c r="N632" s="588">
        <v>1532</v>
      </c>
      <c r="O632" s="588">
        <v>11</v>
      </c>
      <c r="P632" s="588">
        <v>5126</v>
      </c>
      <c r="Q632" s="588">
        <v>306</v>
      </c>
      <c r="R632" s="588">
        <v>10981</v>
      </c>
      <c r="S632" s="588">
        <v>390</v>
      </c>
      <c r="T632" s="588">
        <v>2015</v>
      </c>
      <c r="U632" s="588">
        <v>2014</v>
      </c>
      <c r="V632" s="589"/>
      <c r="W632" s="589"/>
      <c r="X632" s="589"/>
      <c r="Y632" s="589"/>
      <c r="Z632" s="589"/>
      <c r="AA632" s="589"/>
      <c r="AB632" s="589"/>
      <c r="AC632" s="589"/>
      <c r="AD632" s="589"/>
      <c r="AE632" s="589"/>
      <c r="AF632" s="589"/>
      <c r="AG632" s="589"/>
      <c r="AH632" s="589"/>
      <c r="AI632" s="589"/>
      <c r="AJ632" s="589"/>
      <c r="AK632" s="589"/>
      <c r="AL632" s="589"/>
      <c r="AM632" s="589"/>
      <c r="AN632" s="589"/>
      <c r="AO632" s="589"/>
      <c r="AP632" s="589"/>
      <c r="AQ632" s="589"/>
      <c r="AR632" s="589"/>
      <c r="AS632" s="589"/>
    </row>
    <row r="633" spans="1:45" ht="15">
      <c r="A633" s="590" t="s">
        <v>188</v>
      </c>
      <c r="B633" s="591" t="s">
        <v>188</v>
      </c>
      <c r="C633" s="591" t="s">
        <v>177</v>
      </c>
      <c r="D633" s="592">
        <v>2015</v>
      </c>
      <c r="E633" s="591" t="s">
        <v>775</v>
      </c>
      <c r="F633" s="592">
        <v>180</v>
      </c>
      <c r="G633" s="592">
        <v>5</v>
      </c>
      <c r="H633" s="592">
        <v>5</v>
      </c>
      <c r="I633" s="592">
        <v>0</v>
      </c>
      <c r="J633" s="592">
        <v>118</v>
      </c>
      <c r="K633" s="592">
        <v>7</v>
      </c>
      <c r="L633" s="592">
        <v>7</v>
      </c>
      <c r="M633" s="592">
        <v>0</v>
      </c>
      <c r="N633" s="593">
        <v>136</v>
      </c>
      <c r="O633" s="593">
        <v>39</v>
      </c>
      <c r="P633" s="593">
        <v>313</v>
      </c>
      <c r="Q633" s="593">
        <v>94</v>
      </c>
      <c r="R633" s="593">
        <v>747</v>
      </c>
      <c r="S633" s="593">
        <v>145</v>
      </c>
      <c r="T633" s="593">
        <v>2016</v>
      </c>
      <c r="U633" s="593">
        <v>2016</v>
      </c>
      <c r="V633" s="589"/>
      <c r="W633" s="589"/>
      <c r="X633" s="589"/>
      <c r="Y633" s="589"/>
      <c r="Z633" s="589"/>
      <c r="AA633" s="589"/>
      <c r="AB633" s="589"/>
      <c r="AC633" s="589"/>
      <c r="AD633" s="589"/>
      <c r="AE633" s="589"/>
      <c r="AF633" s="589"/>
      <c r="AG633" s="589"/>
      <c r="AH633" s="589"/>
      <c r="AI633" s="589"/>
      <c r="AJ633" s="589"/>
      <c r="AK633" s="589"/>
      <c r="AL633" s="589"/>
      <c r="AM633" s="589"/>
      <c r="AN633" s="589"/>
      <c r="AO633" s="589"/>
      <c r="AP633" s="589"/>
      <c r="AQ633" s="589"/>
      <c r="AR633" s="589"/>
      <c r="AS633" s="589"/>
    </row>
    <row r="634" spans="1:45" ht="15">
      <c r="A634" s="587" t="s">
        <v>188</v>
      </c>
      <c r="B634" s="587" t="s">
        <v>667</v>
      </c>
      <c r="C634" s="587" t="s">
        <v>177</v>
      </c>
      <c r="D634" s="588">
        <v>2015</v>
      </c>
      <c r="E634" s="587" t="s">
        <v>775</v>
      </c>
      <c r="F634" s="588">
        <v>317</v>
      </c>
      <c r="G634" s="588">
        <v>1</v>
      </c>
      <c r="H634" s="588">
        <v>1</v>
      </c>
      <c r="I634" s="588">
        <v>0</v>
      </c>
      <c r="J634" s="588">
        <v>207</v>
      </c>
      <c r="K634" s="588">
        <v>2</v>
      </c>
      <c r="L634" s="588">
        <v>2</v>
      </c>
      <c r="M634" s="588">
        <v>0</v>
      </c>
      <c r="N634" s="588">
        <v>239</v>
      </c>
      <c r="O634" s="588">
        <v>84</v>
      </c>
      <c r="P634" s="588">
        <v>551</v>
      </c>
      <c r="Q634" s="588">
        <v>33</v>
      </c>
      <c r="R634" s="588">
        <v>1314</v>
      </c>
      <c r="S634" s="588">
        <v>120</v>
      </c>
      <c r="T634" s="588">
        <v>2016</v>
      </c>
      <c r="U634" s="588">
        <v>2016</v>
      </c>
      <c r="V634" s="589"/>
      <c r="W634" s="589"/>
      <c r="X634" s="589"/>
      <c r="Y634" s="589"/>
      <c r="Z634" s="589"/>
      <c r="AA634" s="589"/>
      <c r="AB634" s="589"/>
      <c r="AC634" s="589"/>
      <c r="AD634" s="589"/>
      <c r="AE634" s="589"/>
      <c r="AF634" s="589"/>
      <c r="AG634" s="589"/>
      <c r="AH634" s="589"/>
      <c r="AI634" s="589"/>
      <c r="AJ634" s="589"/>
      <c r="AK634" s="589"/>
      <c r="AL634" s="589"/>
      <c r="AM634" s="589"/>
      <c r="AN634" s="589"/>
      <c r="AO634" s="589"/>
      <c r="AP634" s="589"/>
      <c r="AQ634" s="589"/>
      <c r="AR634" s="589"/>
      <c r="AS634" s="589"/>
    </row>
    <row r="635" spans="1:45" ht="15">
      <c r="A635" s="590" t="s">
        <v>153</v>
      </c>
      <c r="B635" s="591" t="s">
        <v>419</v>
      </c>
      <c r="C635" s="591" t="s">
        <v>812</v>
      </c>
      <c r="D635" s="592">
        <v>2015</v>
      </c>
      <c r="E635" s="591" t="s">
        <v>775</v>
      </c>
      <c r="F635" s="592">
        <v>82</v>
      </c>
      <c r="G635" s="592">
        <v>0</v>
      </c>
      <c r="H635" s="592">
        <v>0</v>
      </c>
      <c r="I635" s="592">
        <v>0</v>
      </c>
      <c r="J635" s="592">
        <v>50</v>
      </c>
      <c r="K635" s="592">
        <v>0</v>
      </c>
      <c r="L635" s="592">
        <v>0</v>
      </c>
      <c r="M635" s="592">
        <v>0</v>
      </c>
      <c r="N635" s="593">
        <v>53</v>
      </c>
      <c r="O635" s="593">
        <v>0</v>
      </c>
      <c r="P635" s="593">
        <v>139</v>
      </c>
      <c r="Q635" s="593">
        <v>51</v>
      </c>
      <c r="R635" s="593">
        <v>324</v>
      </c>
      <c r="S635" s="593">
        <v>51</v>
      </c>
      <c r="T635" s="593">
        <v>2015</v>
      </c>
      <c r="U635" s="593">
        <v>2014</v>
      </c>
      <c r="V635" s="589"/>
      <c r="W635" s="589"/>
      <c r="X635" s="589"/>
      <c r="Y635" s="589"/>
      <c r="Z635" s="589"/>
      <c r="AA635" s="589"/>
      <c r="AB635" s="589"/>
      <c r="AC635" s="589"/>
      <c r="AD635" s="589"/>
      <c r="AE635" s="589"/>
      <c r="AF635" s="589"/>
      <c r="AG635" s="589"/>
      <c r="AH635" s="589"/>
      <c r="AI635" s="589"/>
      <c r="AJ635" s="589"/>
      <c r="AK635" s="589"/>
      <c r="AL635" s="589"/>
      <c r="AM635" s="589"/>
      <c r="AN635" s="589"/>
      <c r="AO635" s="589"/>
      <c r="AP635" s="589"/>
      <c r="AQ635" s="589"/>
      <c r="AR635" s="589"/>
      <c r="AS635" s="589"/>
    </row>
    <row r="636" spans="1:45" ht="15">
      <c r="A636" s="587" t="s">
        <v>185</v>
      </c>
      <c r="B636" s="587" t="s">
        <v>649</v>
      </c>
      <c r="C636" s="587" t="s">
        <v>868</v>
      </c>
      <c r="D636" s="588">
        <v>2015</v>
      </c>
      <c r="E636" s="587" t="s">
        <v>775</v>
      </c>
      <c r="F636" s="588">
        <v>985</v>
      </c>
      <c r="G636" s="588">
        <v>0</v>
      </c>
      <c r="H636" s="588">
        <v>0</v>
      </c>
      <c r="I636" s="588">
        <v>0</v>
      </c>
      <c r="J636" s="588">
        <v>656</v>
      </c>
      <c r="K636" s="588">
        <v>0</v>
      </c>
      <c r="L636" s="588">
        <v>0</v>
      </c>
      <c r="M636" s="588">
        <v>0</v>
      </c>
      <c r="N636" s="588">
        <v>730</v>
      </c>
      <c r="O636" s="588">
        <v>286</v>
      </c>
      <c r="P636" s="588">
        <v>1731</v>
      </c>
      <c r="Q636" s="588">
        <v>150</v>
      </c>
      <c r="R636" s="588">
        <v>4102</v>
      </c>
      <c r="S636" s="588">
        <v>436</v>
      </c>
      <c r="T636" s="588">
        <v>2015</v>
      </c>
      <c r="U636" s="588">
        <v>2015</v>
      </c>
      <c r="V636" s="589"/>
      <c r="W636" s="589"/>
      <c r="X636" s="589"/>
      <c r="Y636" s="589"/>
      <c r="Z636" s="589"/>
      <c r="AA636" s="589"/>
      <c r="AB636" s="589"/>
      <c r="AC636" s="589"/>
      <c r="AD636" s="589"/>
      <c r="AE636" s="589"/>
      <c r="AF636" s="589"/>
      <c r="AG636" s="589"/>
      <c r="AH636" s="589"/>
      <c r="AI636" s="589"/>
      <c r="AJ636" s="589"/>
      <c r="AK636" s="589"/>
      <c r="AL636" s="589"/>
      <c r="AM636" s="589"/>
      <c r="AN636" s="589"/>
      <c r="AO636" s="589"/>
      <c r="AP636" s="589"/>
      <c r="AQ636" s="589"/>
      <c r="AR636" s="589"/>
      <c r="AS636" s="589"/>
    </row>
    <row r="637" spans="1:45" ht="15">
      <c r="A637" s="590" t="s">
        <v>153</v>
      </c>
      <c r="B637" s="591" t="s">
        <v>420</v>
      </c>
      <c r="C637" s="591" t="s">
        <v>812</v>
      </c>
      <c r="D637" s="592">
        <v>2015</v>
      </c>
      <c r="E637" s="591" t="s">
        <v>775</v>
      </c>
      <c r="F637" s="592">
        <v>428</v>
      </c>
      <c r="G637" s="592">
        <v>37</v>
      </c>
      <c r="H637" s="592">
        <v>37</v>
      </c>
      <c r="I637" s="592">
        <v>0</v>
      </c>
      <c r="J637" s="592">
        <v>263</v>
      </c>
      <c r="K637" s="592">
        <v>0</v>
      </c>
      <c r="L637" s="592">
        <v>0</v>
      </c>
      <c r="M637" s="592">
        <v>0</v>
      </c>
      <c r="N637" s="593">
        <v>283</v>
      </c>
      <c r="O637" s="593">
        <v>1</v>
      </c>
      <c r="P637" s="593">
        <v>700</v>
      </c>
      <c r="Q637" s="593">
        <v>108</v>
      </c>
      <c r="R637" s="593">
        <v>1674</v>
      </c>
      <c r="S637" s="593">
        <v>146</v>
      </c>
      <c r="T637" s="593">
        <v>2015</v>
      </c>
      <c r="U637" s="593">
        <v>2014</v>
      </c>
      <c r="V637" s="589"/>
      <c r="W637" s="589"/>
      <c r="X637" s="589"/>
      <c r="Y637" s="589"/>
      <c r="Z637" s="589"/>
      <c r="AA637" s="589"/>
      <c r="AB637" s="589"/>
      <c r="AC637" s="589"/>
      <c r="AD637" s="589"/>
      <c r="AE637" s="589"/>
      <c r="AF637" s="589"/>
      <c r="AG637" s="589"/>
      <c r="AH637" s="589"/>
      <c r="AI637" s="589"/>
      <c r="AJ637" s="589"/>
      <c r="AK637" s="589"/>
      <c r="AL637" s="589"/>
      <c r="AM637" s="589"/>
      <c r="AN637" s="589"/>
      <c r="AO637" s="589"/>
      <c r="AP637" s="589"/>
      <c r="AQ637" s="589"/>
      <c r="AR637" s="589"/>
      <c r="AS637" s="589"/>
    </row>
    <row r="638" spans="1:45" ht="15">
      <c r="A638" s="587" t="s">
        <v>193</v>
      </c>
      <c r="B638" s="587" t="s">
        <v>699</v>
      </c>
      <c r="C638" s="587" t="s">
        <v>774</v>
      </c>
      <c r="D638" s="588">
        <v>2015</v>
      </c>
      <c r="E638" s="587" t="s">
        <v>775</v>
      </c>
      <c r="F638" s="588">
        <v>1041</v>
      </c>
      <c r="G638" s="588">
        <v>0</v>
      </c>
      <c r="H638" s="588">
        <v>0</v>
      </c>
      <c r="I638" s="588">
        <v>0</v>
      </c>
      <c r="J638" s="588">
        <v>671</v>
      </c>
      <c r="K638" s="588">
        <v>24</v>
      </c>
      <c r="L638" s="588">
        <v>24</v>
      </c>
      <c r="M638" s="588">
        <v>0</v>
      </c>
      <c r="N638" s="588">
        <v>759</v>
      </c>
      <c r="O638" s="588">
        <v>8</v>
      </c>
      <c r="P638" s="588">
        <v>2612</v>
      </c>
      <c r="Q638" s="588">
        <v>94</v>
      </c>
      <c r="R638" s="588">
        <v>5083</v>
      </c>
      <c r="S638" s="588">
        <v>126</v>
      </c>
      <c r="T638" s="588">
        <v>2015</v>
      </c>
      <c r="U638" s="588">
        <v>2015</v>
      </c>
      <c r="V638" s="589"/>
      <c r="W638" s="589"/>
      <c r="X638" s="589"/>
      <c r="Y638" s="589"/>
      <c r="Z638" s="589"/>
      <c r="AA638" s="589"/>
      <c r="AB638" s="589"/>
      <c r="AC638" s="589"/>
      <c r="AD638" s="589"/>
      <c r="AE638" s="589"/>
      <c r="AF638" s="589"/>
      <c r="AG638" s="589"/>
      <c r="AH638" s="589"/>
      <c r="AI638" s="589"/>
      <c r="AJ638" s="589"/>
      <c r="AK638" s="589"/>
      <c r="AL638" s="589"/>
      <c r="AM638" s="589"/>
      <c r="AN638" s="589"/>
      <c r="AO638" s="589"/>
      <c r="AP638" s="589"/>
      <c r="AQ638" s="589"/>
      <c r="AR638" s="589"/>
      <c r="AS638" s="589"/>
    </row>
    <row r="639" spans="1:45" ht="15">
      <c r="A639" s="590" t="s">
        <v>179</v>
      </c>
      <c r="B639" s="591" t="s">
        <v>605</v>
      </c>
      <c r="C639" s="591" t="s">
        <v>855</v>
      </c>
      <c r="D639" s="592">
        <v>2015</v>
      </c>
      <c r="E639" s="591" t="s">
        <v>775</v>
      </c>
      <c r="F639" s="592">
        <v>914</v>
      </c>
      <c r="G639" s="592">
        <v>0</v>
      </c>
      <c r="H639" s="592">
        <v>0</v>
      </c>
      <c r="I639" s="592">
        <v>0</v>
      </c>
      <c r="J639" s="592">
        <v>694</v>
      </c>
      <c r="K639" s="592">
        <v>0</v>
      </c>
      <c r="L639" s="592">
        <v>0</v>
      </c>
      <c r="M639" s="592">
        <v>0</v>
      </c>
      <c r="N639" s="593">
        <v>642</v>
      </c>
      <c r="O639" s="593">
        <v>0</v>
      </c>
      <c r="P639" s="593">
        <v>1410</v>
      </c>
      <c r="Q639" s="593">
        <v>5</v>
      </c>
      <c r="R639" s="593">
        <v>3660</v>
      </c>
      <c r="S639" s="593">
        <v>5</v>
      </c>
      <c r="T639" s="593">
        <v>2015</v>
      </c>
      <c r="U639" s="593">
        <v>2013</v>
      </c>
      <c r="V639" s="589"/>
      <c r="W639" s="589"/>
      <c r="X639" s="589"/>
      <c r="Y639" s="589"/>
      <c r="Z639" s="589"/>
      <c r="AA639" s="589"/>
      <c r="AB639" s="589"/>
      <c r="AC639" s="589"/>
      <c r="AD639" s="589"/>
      <c r="AE639" s="589"/>
      <c r="AF639" s="589"/>
      <c r="AG639" s="589"/>
      <c r="AH639" s="589"/>
      <c r="AI639" s="589"/>
      <c r="AJ639" s="589"/>
      <c r="AK639" s="589"/>
      <c r="AL639" s="589"/>
      <c r="AM639" s="589"/>
      <c r="AN639" s="589"/>
      <c r="AO639" s="589"/>
      <c r="AP639" s="589"/>
      <c r="AQ639" s="589"/>
      <c r="AR639" s="589"/>
      <c r="AS639" s="589"/>
    </row>
    <row r="640" spans="1:45" ht="15">
      <c r="A640" s="587" t="s">
        <v>187</v>
      </c>
      <c r="B640" s="587" t="s">
        <v>664</v>
      </c>
      <c r="C640" s="587" t="s">
        <v>774</v>
      </c>
      <c r="D640" s="588">
        <v>2015</v>
      </c>
      <c r="E640" s="587" t="s">
        <v>775</v>
      </c>
      <c r="F640" s="588">
        <v>147</v>
      </c>
      <c r="G640" s="588">
        <v>0</v>
      </c>
      <c r="H640" s="588">
        <v>0</v>
      </c>
      <c r="I640" s="588">
        <v>0</v>
      </c>
      <c r="J640" s="588">
        <v>95</v>
      </c>
      <c r="K640" s="588">
        <v>7</v>
      </c>
      <c r="L640" s="588">
        <v>7</v>
      </c>
      <c r="M640" s="588">
        <v>0</v>
      </c>
      <c r="N640" s="588">
        <v>104</v>
      </c>
      <c r="O640" s="588">
        <v>1</v>
      </c>
      <c r="P640" s="588">
        <v>93</v>
      </c>
      <c r="Q640" s="588">
        <v>6</v>
      </c>
      <c r="R640" s="588">
        <v>439</v>
      </c>
      <c r="S640" s="588">
        <v>14</v>
      </c>
      <c r="T640" s="588">
        <v>2015</v>
      </c>
      <c r="U640" s="588">
        <v>2015</v>
      </c>
      <c r="V640" s="589"/>
      <c r="W640" s="589"/>
      <c r="X640" s="589"/>
      <c r="Y640" s="589"/>
      <c r="Z640" s="589"/>
      <c r="AA640" s="589"/>
      <c r="AB640" s="589"/>
      <c r="AC640" s="589"/>
      <c r="AD640" s="589"/>
      <c r="AE640" s="589"/>
      <c r="AF640" s="589"/>
      <c r="AG640" s="589"/>
      <c r="AH640" s="589"/>
      <c r="AI640" s="589"/>
      <c r="AJ640" s="589"/>
      <c r="AK640" s="589"/>
      <c r="AL640" s="589"/>
      <c r="AM640" s="589"/>
      <c r="AN640" s="589"/>
      <c r="AO640" s="589"/>
      <c r="AP640" s="589"/>
      <c r="AQ640" s="589"/>
      <c r="AR640" s="589"/>
      <c r="AS640" s="589"/>
    </row>
    <row r="641" spans="1:45" ht="15">
      <c r="A641" s="590" t="s">
        <v>157</v>
      </c>
      <c r="B641" s="591" t="s">
        <v>446</v>
      </c>
      <c r="C641" s="591" t="s">
        <v>774</v>
      </c>
      <c r="D641" s="592">
        <v>2015</v>
      </c>
      <c r="E641" s="591" t="s">
        <v>775</v>
      </c>
      <c r="F641" s="592">
        <v>26</v>
      </c>
      <c r="G641" s="592">
        <v>2</v>
      </c>
      <c r="H641" s="592">
        <v>0</v>
      </c>
      <c r="I641" s="592">
        <v>2</v>
      </c>
      <c r="J641" s="592">
        <v>14</v>
      </c>
      <c r="K641" s="592">
        <v>3</v>
      </c>
      <c r="L641" s="592">
        <v>0</v>
      </c>
      <c r="M641" s="592">
        <v>3</v>
      </c>
      <c r="N641" s="593">
        <v>16</v>
      </c>
      <c r="O641" s="593">
        <v>0</v>
      </c>
      <c r="P641" s="593">
        <v>23</v>
      </c>
      <c r="Q641" s="593">
        <v>0</v>
      </c>
      <c r="R641" s="593">
        <v>79</v>
      </c>
      <c r="S641" s="593">
        <v>5</v>
      </c>
      <c r="T641" s="593">
        <v>2015</v>
      </c>
      <c r="U641" s="593">
        <v>2015</v>
      </c>
      <c r="V641" s="589"/>
      <c r="W641" s="589"/>
      <c r="X641" s="589"/>
      <c r="Y641" s="589"/>
      <c r="Z641" s="589"/>
      <c r="AA641" s="589"/>
      <c r="AB641" s="589"/>
      <c r="AC641" s="589"/>
      <c r="AD641" s="589"/>
      <c r="AE641" s="589"/>
      <c r="AF641" s="589"/>
      <c r="AG641" s="589"/>
      <c r="AH641" s="589"/>
      <c r="AI641" s="589"/>
      <c r="AJ641" s="589"/>
      <c r="AK641" s="589"/>
      <c r="AL641" s="589"/>
      <c r="AM641" s="589"/>
      <c r="AN641" s="589"/>
      <c r="AO641" s="589"/>
      <c r="AP641" s="589"/>
      <c r="AQ641" s="589"/>
      <c r="AR641" s="589"/>
      <c r="AS641" s="589"/>
    </row>
    <row r="642" spans="1:45" ht="15">
      <c r="A642" s="587" t="s">
        <v>188</v>
      </c>
      <c r="B642" s="587" t="s">
        <v>668</v>
      </c>
      <c r="C642" s="587" t="s">
        <v>177</v>
      </c>
      <c r="D642" s="588">
        <v>2015</v>
      </c>
      <c r="E642" s="587" t="s">
        <v>775</v>
      </c>
      <c r="F642" s="588">
        <v>34</v>
      </c>
      <c r="G642" s="588">
        <v>0</v>
      </c>
      <c r="H642" s="588">
        <v>0</v>
      </c>
      <c r="I642" s="588">
        <v>0</v>
      </c>
      <c r="J642" s="588">
        <v>22</v>
      </c>
      <c r="K642" s="588">
        <v>0</v>
      </c>
      <c r="L642" s="588">
        <v>0</v>
      </c>
      <c r="M642" s="588">
        <v>0</v>
      </c>
      <c r="N642" s="588">
        <v>26</v>
      </c>
      <c r="O642" s="588">
        <v>0</v>
      </c>
      <c r="P642" s="588">
        <v>58</v>
      </c>
      <c r="Q642" s="588">
        <v>5</v>
      </c>
      <c r="R642" s="588">
        <v>140</v>
      </c>
      <c r="S642" s="588">
        <v>5</v>
      </c>
      <c r="T642" s="588">
        <v>2016</v>
      </c>
      <c r="U642" s="588">
        <v>2016</v>
      </c>
      <c r="V642" s="589"/>
      <c r="W642" s="589"/>
      <c r="X642" s="589"/>
      <c r="Y642" s="589"/>
      <c r="Z642" s="589"/>
      <c r="AA642" s="589"/>
      <c r="AB642" s="589"/>
      <c r="AC642" s="589"/>
      <c r="AD642" s="589"/>
      <c r="AE642" s="589"/>
      <c r="AF642" s="589"/>
      <c r="AG642" s="589"/>
      <c r="AH642" s="589"/>
      <c r="AI642" s="589"/>
      <c r="AJ642" s="589"/>
      <c r="AK642" s="589"/>
      <c r="AL642" s="589"/>
      <c r="AM642" s="589"/>
      <c r="AN642" s="589"/>
      <c r="AO642" s="589"/>
      <c r="AP642" s="589"/>
      <c r="AQ642" s="589"/>
      <c r="AR642" s="589"/>
      <c r="AS642" s="589"/>
    </row>
    <row r="643" spans="1:45" ht="15">
      <c r="A643" s="590" t="s">
        <v>164</v>
      </c>
      <c r="B643" s="591" t="s">
        <v>474</v>
      </c>
      <c r="C643" s="591" t="s">
        <v>177</v>
      </c>
      <c r="D643" s="592">
        <v>2015</v>
      </c>
      <c r="E643" s="591" t="s">
        <v>775</v>
      </c>
      <c r="F643" s="592">
        <v>95</v>
      </c>
      <c r="G643" s="592">
        <v>0</v>
      </c>
      <c r="H643" s="592">
        <v>0</v>
      </c>
      <c r="I643" s="592">
        <v>0</v>
      </c>
      <c r="J643" s="592">
        <v>62</v>
      </c>
      <c r="K643" s="592">
        <v>0</v>
      </c>
      <c r="L643" s="592">
        <v>0</v>
      </c>
      <c r="M643" s="592">
        <v>0</v>
      </c>
      <c r="N643" s="593">
        <v>72</v>
      </c>
      <c r="O643" s="593">
        <v>1</v>
      </c>
      <c r="P643" s="593">
        <v>164</v>
      </c>
      <c r="Q643" s="593">
        <v>0</v>
      </c>
      <c r="R643" s="593">
        <v>393</v>
      </c>
      <c r="S643" s="593">
        <v>1</v>
      </c>
      <c r="T643" s="593">
        <v>2016</v>
      </c>
      <c r="U643" s="593">
        <v>2016</v>
      </c>
      <c r="V643" s="589"/>
      <c r="W643" s="589"/>
      <c r="X643" s="589"/>
      <c r="Y643" s="589"/>
      <c r="Z643" s="589"/>
      <c r="AA643" s="589"/>
      <c r="AB643" s="589"/>
      <c r="AC643" s="589"/>
      <c r="AD643" s="589"/>
      <c r="AE643" s="589"/>
      <c r="AF643" s="589"/>
      <c r="AG643" s="589"/>
      <c r="AH643" s="589"/>
      <c r="AI643" s="589"/>
      <c r="AJ643" s="589"/>
      <c r="AK643" s="589"/>
      <c r="AL643" s="589"/>
      <c r="AM643" s="589"/>
      <c r="AN643" s="589"/>
      <c r="AO643" s="589"/>
      <c r="AP643" s="589"/>
      <c r="AQ643" s="589"/>
      <c r="AR643" s="589"/>
      <c r="AS643" s="589"/>
    </row>
    <row r="644" spans="1:45" ht="15">
      <c r="A644" s="587" t="s">
        <v>193</v>
      </c>
      <c r="B644" s="587" t="s">
        <v>700</v>
      </c>
      <c r="C644" s="587" t="s">
        <v>774</v>
      </c>
      <c r="D644" s="588">
        <v>2015</v>
      </c>
      <c r="E644" s="587" t="s">
        <v>775</v>
      </c>
      <c r="F644" s="588">
        <v>22</v>
      </c>
      <c r="G644" s="588">
        <v>0</v>
      </c>
      <c r="H644" s="588">
        <v>0</v>
      </c>
      <c r="I644" s="588">
        <v>0</v>
      </c>
      <c r="J644" s="588">
        <v>17</v>
      </c>
      <c r="K644" s="588">
        <v>1</v>
      </c>
      <c r="L644" s="588">
        <v>1</v>
      </c>
      <c r="M644" s="588">
        <v>0</v>
      </c>
      <c r="N644" s="588">
        <v>19</v>
      </c>
      <c r="O644" s="588">
        <v>2</v>
      </c>
      <c r="P644" s="588">
        <v>62</v>
      </c>
      <c r="Q644" s="588">
        <v>9</v>
      </c>
      <c r="R644" s="588">
        <v>120</v>
      </c>
      <c r="S644" s="588">
        <v>12</v>
      </c>
      <c r="T644" s="588">
        <v>2015</v>
      </c>
      <c r="U644" s="588">
        <v>2015</v>
      </c>
      <c r="V644" s="589"/>
      <c r="W644" s="589"/>
      <c r="X644" s="589"/>
      <c r="Y644" s="589"/>
      <c r="Z644" s="589"/>
      <c r="AA644" s="589"/>
      <c r="AB644" s="589"/>
      <c r="AC644" s="589"/>
      <c r="AD644" s="589"/>
      <c r="AE644" s="589"/>
      <c r="AF644" s="589"/>
      <c r="AG644" s="589"/>
      <c r="AH644" s="589"/>
      <c r="AI644" s="589"/>
      <c r="AJ644" s="589"/>
      <c r="AK644" s="589"/>
      <c r="AL644" s="589"/>
      <c r="AM644" s="589"/>
      <c r="AN644" s="589"/>
      <c r="AO644" s="589"/>
      <c r="AP644" s="589"/>
      <c r="AQ644" s="589"/>
      <c r="AR644" s="589"/>
      <c r="AS644" s="589"/>
    </row>
    <row r="645" spans="1:45" ht="15">
      <c r="A645" s="590" t="s">
        <v>141</v>
      </c>
      <c r="B645" s="591" t="s">
        <v>303</v>
      </c>
      <c r="C645" s="591" t="s">
        <v>177</v>
      </c>
      <c r="D645" s="592">
        <v>2015</v>
      </c>
      <c r="E645" s="591" t="s">
        <v>775</v>
      </c>
      <c r="F645" s="592">
        <v>140</v>
      </c>
      <c r="G645" s="592">
        <v>37</v>
      </c>
      <c r="H645" s="592">
        <v>37</v>
      </c>
      <c r="I645" s="592">
        <v>0</v>
      </c>
      <c r="J645" s="592">
        <v>115</v>
      </c>
      <c r="K645" s="592">
        <v>10</v>
      </c>
      <c r="L645" s="592">
        <v>10</v>
      </c>
      <c r="M645" s="592">
        <v>0</v>
      </c>
      <c r="N645" s="593">
        <v>69</v>
      </c>
      <c r="O645" s="593">
        <v>22</v>
      </c>
      <c r="P645" s="593">
        <v>281</v>
      </c>
      <c r="Q645" s="593">
        <v>0</v>
      </c>
      <c r="R645" s="593">
        <v>605</v>
      </c>
      <c r="S645" s="593">
        <v>69</v>
      </c>
      <c r="T645" s="593">
        <v>2016</v>
      </c>
      <c r="U645" s="593">
        <v>2016</v>
      </c>
      <c r="V645" s="589"/>
      <c r="W645" s="589"/>
      <c r="X645" s="589"/>
      <c r="Y645" s="589"/>
      <c r="Z645" s="589"/>
      <c r="AA645" s="589"/>
      <c r="AB645" s="589"/>
      <c r="AC645" s="589"/>
      <c r="AD645" s="589"/>
      <c r="AE645" s="589"/>
      <c r="AF645" s="589"/>
      <c r="AG645" s="589"/>
      <c r="AH645" s="589"/>
      <c r="AI645" s="589"/>
      <c r="AJ645" s="589"/>
      <c r="AK645" s="589"/>
      <c r="AL645" s="589"/>
      <c r="AM645" s="589"/>
      <c r="AN645" s="589"/>
      <c r="AO645" s="589"/>
      <c r="AP645" s="589"/>
      <c r="AQ645" s="589"/>
      <c r="AR645" s="589"/>
      <c r="AS645" s="589"/>
    </row>
    <row r="646" spans="1:45" ht="15">
      <c r="A646" s="587" t="s">
        <v>189</v>
      </c>
      <c r="B646" s="587" t="s">
        <v>673</v>
      </c>
      <c r="C646" s="587" t="s">
        <v>784</v>
      </c>
      <c r="D646" s="588">
        <v>2015</v>
      </c>
      <c r="E646" s="587" t="s">
        <v>775</v>
      </c>
      <c r="F646" s="588">
        <v>32</v>
      </c>
      <c r="G646" s="588">
        <v>7</v>
      </c>
      <c r="H646" s="588">
        <v>7</v>
      </c>
      <c r="I646" s="588">
        <v>0</v>
      </c>
      <c r="J646" s="588">
        <v>21</v>
      </c>
      <c r="K646" s="588">
        <v>13</v>
      </c>
      <c r="L646" s="588">
        <v>13</v>
      </c>
      <c r="M646" s="588">
        <v>0</v>
      </c>
      <c r="N646" s="588">
        <v>23</v>
      </c>
      <c r="O646" s="588">
        <v>0</v>
      </c>
      <c r="P646" s="588">
        <v>58</v>
      </c>
      <c r="Q646" s="588">
        <v>0</v>
      </c>
      <c r="R646" s="588">
        <v>134</v>
      </c>
      <c r="S646" s="588">
        <v>20</v>
      </c>
      <c r="T646" s="588">
        <v>2015</v>
      </c>
      <c r="U646" s="588">
        <v>2014</v>
      </c>
      <c r="V646" s="589"/>
      <c r="W646" s="589"/>
      <c r="X646" s="589"/>
      <c r="Y646" s="589"/>
      <c r="Z646" s="589"/>
      <c r="AA646" s="589"/>
      <c r="AB646" s="589"/>
      <c r="AC646" s="589"/>
      <c r="AD646" s="589"/>
      <c r="AE646" s="589"/>
      <c r="AF646" s="589"/>
      <c r="AG646" s="589"/>
      <c r="AH646" s="589"/>
      <c r="AI646" s="589"/>
      <c r="AJ646" s="589"/>
      <c r="AK646" s="589"/>
      <c r="AL646" s="589"/>
      <c r="AM646" s="589"/>
      <c r="AN646" s="589"/>
      <c r="AO646" s="589"/>
      <c r="AP646" s="589"/>
      <c r="AQ646" s="589"/>
      <c r="AR646" s="589"/>
      <c r="AS646" s="589"/>
    </row>
    <row r="647" spans="1:45" ht="15">
      <c r="A647" s="590" t="s">
        <v>153</v>
      </c>
      <c r="B647" s="591" t="s">
        <v>421</v>
      </c>
      <c r="C647" s="591" t="s">
        <v>812</v>
      </c>
      <c r="D647" s="592">
        <v>2015</v>
      </c>
      <c r="E647" s="591" t="s">
        <v>775</v>
      </c>
      <c r="F647" s="592">
        <v>14</v>
      </c>
      <c r="G647" s="592">
        <v>0</v>
      </c>
      <c r="H647" s="592">
        <v>0</v>
      </c>
      <c r="I647" s="592">
        <v>0</v>
      </c>
      <c r="J647" s="592">
        <v>9</v>
      </c>
      <c r="K647" s="592">
        <v>0</v>
      </c>
      <c r="L647" s="592">
        <v>0</v>
      </c>
      <c r="M647" s="592">
        <v>0</v>
      </c>
      <c r="N647" s="593">
        <v>9</v>
      </c>
      <c r="O647" s="593">
        <v>0</v>
      </c>
      <c r="P647" s="593">
        <v>23</v>
      </c>
      <c r="Q647" s="593">
        <v>42</v>
      </c>
      <c r="R647" s="593">
        <v>55</v>
      </c>
      <c r="S647" s="593">
        <v>42</v>
      </c>
      <c r="T647" s="593">
        <v>2015</v>
      </c>
      <c r="U647" s="593">
        <v>2014</v>
      </c>
      <c r="V647" s="589"/>
      <c r="W647" s="589"/>
      <c r="X647" s="589"/>
      <c r="Y647" s="589"/>
      <c r="Z647" s="589"/>
      <c r="AA647" s="589"/>
      <c r="AB647" s="589"/>
      <c r="AC647" s="589"/>
      <c r="AD647" s="589"/>
      <c r="AE647" s="589"/>
      <c r="AF647" s="589"/>
      <c r="AG647" s="589"/>
      <c r="AH647" s="589"/>
      <c r="AI647" s="589"/>
      <c r="AJ647" s="589"/>
      <c r="AK647" s="589"/>
      <c r="AL647" s="589"/>
      <c r="AM647" s="589"/>
      <c r="AN647" s="589"/>
      <c r="AO647" s="589"/>
      <c r="AP647" s="589"/>
      <c r="AQ647" s="589"/>
      <c r="AR647" s="589"/>
      <c r="AS647" s="589"/>
    </row>
    <row r="648" spans="1:45" ht="15">
      <c r="A648" s="587" t="s">
        <v>153</v>
      </c>
      <c r="B648" s="587" t="s">
        <v>422</v>
      </c>
      <c r="C648" s="587" t="s">
        <v>812</v>
      </c>
      <c r="D648" s="588">
        <v>2015</v>
      </c>
      <c r="E648" s="587" t="s">
        <v>775</v>
      </c>
      <c r="F648" s="588">
        <v>44</v>
      </c>
      <c r="G648" s="588">
        <v>44</v>
      </c>
      <c r="H648" s="588">
        <v>44</v>
      </c>
      <c r="I648" s="588">
        <v>0</v>
      </c>
      <c r="J648" s="588">
        <v>27</v>
      </c>
      <c r="K648" s="588">
        <v>27</v>
      </c>
      <c r="L648" s="588">
        <v>27</v>
      </c>
      <c r="M648" s="588">
        <v>0</v>
      </c>
      <c r="N648" s="588">
        <v>28</v>
      </c>
      <c r="O648" s="588">
        <v>2</v>
      </c>
      <c r="P648" s="588">
        <v>70</v>
      </c>
      <c r="Q648" s="588">
        <v>0</v>
      </c>
      <c r="R648" s="588">
        <v>169</v>
      </c>
      <c r="S648" s="588">
        <v>73</v>
      </c>
      <c r="T648" s="588">
        <v>2015</v>
      </c>
      <c r="U648" s="588">
        <v>2014</v>
      </c>
      <c r="V648" s="589"/>
      <c r="W648" s="589"/>
      <c r="X648" s="589"/>
      <c r="Y648" s="589"/>
      <c r="Z648" s="589"/>
      <c r="AA648" s="589"/>
      <c r="AB648" s="589"/>
      <c r="AC648" s="589"/>
      <c r="AD648" s="589"/>
      <c r="AE648" s="589"/>
      <c r="AF648" s="589"/>
      <c r="AG648" s="589"/>
      <c r="AH648" s="589"/>
      <c r="AI648" s="589"/>
      <c r="AJ648" s="589"/>
      <c r="AK648" s="589"/>
      <c r="AL648" s="589"/>
      <c r="AM648" s="589"/>
      <c r="AN648" s="589"/>
      <c r="AO648" s="589"/>
      <c r="AP648" s="589"/>
      <c r="AQ648" s="589"/>
      <c r="AR648" s="589"/>
      <c r="AS648" s="589"/>
    </row>
    <row r="649" spans="1:45" ht="15">
      <c r="A649" s="590" t="s">
        <v>201</v>
      </c>
      <c r="B649" s="591" t="s">
        <v>738</v>
      </c>
      <c r="C649" s="591" t="s">
        <v>812</v>
      </c>
      <c r="D649" s="592">
        <v>2015</v>
      </c>
      <c r="E649" s="591" t="s">
        <v>775</v>
      </c>
      <c r="F649" s="592">
        <v>310</v>
      </c>
      <c r="G649" s="592">
        <v>0</v>
      </c>
      <c r="H649" s="592">
        <v>0</v>
      </c>
      <c r="I649" s="592">
        <v>0</v>
      </c>
      <c r="J649" s="592">
        <v>208</v>
      </c>
      <c r="K649" s="592">
        <v>0</v>
      </c>
      <c r="L649" s="592">
        <v>0</v>
      </c>
      <c r="M649" s="592">
        <v>0</v>
      </c>
      <c r="N649" s="593">
        <v>229</v>
      </c>
      <c r="O649" s="593">
        <v>15</v>
      </c>
      <c r="P649" s="593">
        <v>509</v>
      </c>
      <c r="Q649" s="593">
        <v>11</v>
      </c>
      <c r="R649" s="593">
        <v>1256</v>
      </c>
      <c r="S649" s="593">
        <v>26</v>
      </c>
      <c r="T649" s="593">
        <v>2015</v>
      </c>
      <c r="U649" s="593">
        <v>2014</v>
      </c>
      <c r="V649" s="589"/>
      <c r="W649" s="589"/>
      <c r="X649" s="589"/>
      <c r="Y649" s="589"/>
      <c r="Z649" s="589"/>
      <c r="AA649" s="589"/>
      <c r="AB649" s="589"/>
      <c r="AC649" s="589"/>
      <c r="AD649" s="589"/>
      <c r="AE649" s="589"/>
      <c r="AF649" s="589"/>
      <c r="AG649" s="589"/>
      <c r="AH649" s="589"/>
      <c r="AI649" s="589"/>
      <c r="AJ649" s="589"/>
      <c r="AK649" s="589"/>
      <c r="AL649" s="589"/>
      <c r="AM649" s="589"/>
      <c r="AN649" s="589"/>
      <c r="AO649" s="589"/>
      <c r="AP649" s="589"/>
      <c r="AQ649" s="589"/>
      <c r="AR649" s="589"/>
      <c r="AS649" s="589"/>
    </row>
    <row r="650" spans="1:45" ht="15">
      <c r="A650" s="587" t="s">
        <v>179</v>
      </c>
      <c r="B650" s="587" t="s">
        <v>606</v>
      </c>
      <c r="C650" s="587" t="s">
        <v>855</v>
      </c>
      <c r="D650" s="588">
        <v>2015</v>
      </c>
      <c r="E650" s="587" t="s">
        <v>775</v>
      </c>
      <c r="F650" s="588">
        <v>85</v>
      </c>
      <c r="G650" s="588">
        <v>0</v>
      </c>
      <c r="H650" s="588">
        <v>0</v>
      </c>
      <c r="I650" s="588">
        <v>0</v>
      </c>
      <c r="J650" s="588">
        <v>65</v>
      </c>
      <c r="K650" s="588">
        <v>1</v>
      </c>
      <c r="L650" s="588">
        <v>1</v>
      </c>
      <c r="M650" s="588">
        <v>0</v>
      </c>
      <c r="N650" s="588">
        <v>59</v>
      </c>
      <c r="O650" s="588">
        <v>0</v>
      </c>
      <c r="P650" s="588">
        <v>131</v>
      </c>
      <c r="Q650" s="588">
        <v>3</v>
      </c>
      <c r="R650" s="588">
        <v>340</v>
      </c>
      <c r="S650" s="588">
        <v>4</v>
      </c>
      <c r="T650" s="588">
        <v>2015</v>
      </c>
      <c r="U650" s="588">
        <v>2013</v>
      </c>
      <c r="V650" s="589"/>
      <c r="W650" s="589"/>
      <c r="X650" s="589"/>
      <c r="Y650" s="589"/>
      <c r="Z650" s="589"/>
      <c r="AA650" s="589"/>
      <c r="AB650" s="589"/>
      <c r="AC650" s="589"/>
      <c r="AD650" s="589"/>
      <c r="AE650" s="589"/>
      <c r="AF650" s="589"/>
      <c r="AG650" s="589"/>
      <c r="AH650" s="589"/>
      <c r="AI650" s="589"/>
      <c r="AJ650" s="589"/>
      <c r="AK650" s="589"/>
      <c r="AL650" s="589"/>
      <c r="AM650" s="589"/>
      <c r="AN650" s="589"/>
      <c r="AO650" s="589"/>
      <c r="AP650" s="589"/>
      <c r="AQ650" s="589"/>
      <c r="AR650" s="589"/>
      <c r="AS650" s="589"/>
    </row>
    <row r="651" spans="1:45" ht="15">
      <c r="A651" s="590" t="s">
        <v>192</v>
      </c>
      <c r="B651" s="591" t="s">
        <v>690</v>
      </c>
      <c r="C651" s="591" t="s">
        <v>774</v>
      </c>
      <c r="D651" s="592">
        <v>2015</v>
      </c>
      <c r="E651" s="591" t="s">
        <v>775</v>
      </c>
      <c r="F651" s="592">
        <v>26</v>
      </c>
      <c r="G651" s="592">
        <v>0</v>
      </c>
      <c r="H651" s="592">
        <v>0</v>
      </c>
      <c r="I651" s="592">
        <v>0</v>
      </c>
      <c r="J651" s="592">
        <v>15</v>
      </c>
      <c r="K651" s="592">
        <v>11</v>
      </c>
      <c r="L651" s="592">
        <v>0</v>
      </c>
      <c r="M651" s="592">
        <v>11</v>
      </c>
      <c r="N651" s="593">
        <v>19</v>
      </c>
      <c r="O651" s="593">
        <v>7</v>
      </c>
      <c r="P651" s="593">
        <v>43</v>
      </c>
      <c r="Q651" s="593">
        <v>14</v>
      </c>
      <c r="R651" s="593">
        <v>103</v>
      </c>
      <c r="S651" s="593">
        <v>32</v>
      </c>
      <c r="T651" s="593">
        <v>2015</v>
      </c>
      <c r="U651" s="593">
        <v>2015</v>
      </c>
      <c r="V651" s="589"/>
      <c r="W651" s="589"/>
      <c r="X651" s="589"/>
      <c r="Y651" s="589"/>
      <c r="Z651" s="589"/>
      <c r="AA651" s="589"/>
      <c r="AB651" s="589"/>
      <c r="AC651" s="589"/>
      <c r="AD651" s="589"/>
      <c r="AE651" s="589"/>
      <c r="AF651" s="589"/>
      <c r="AG651" s="589"/>
      <c r="AH651" s="589"/>
      <c r="AI651" s="589"/>
      <c r="AJ651" s="589"/>
      <c r="AK651" s="589"/>
      <c r="AL651" s="589"/>
      <c r="AM651" s="589"/>
      <c r="AN651" s="589"/>
      <c r="AO651" s="589"/>
      <c r="AP651" s="589"/>
      <c r="AQ651" s="589"/>
      <c r="AR651" s="589"/>
      <c r="AS651" s="589"/>
    </row>
    <row r="652" spans="1:45" ht="15">
      <c r="A652" s="587" t="s">
        <v>164</v>
      </c>
      <c r="B652" s="587" t="s">
        <v>475</v>
      </c>
      <c r="C652" s="587" t="s">
        <v>177</v>
      </c>
      <c r="D652" s="588">
        <v>2015</v>
      </c>
      <c r="E652" s="587" t="s">
        <v>775</v>
      </c>
      <c r="F652" s="588">
        <v>46</v>
      </c>
      <c r="G652" s="588">
        <v>0</v>
      </c>
      <c r="H652" s="588">
        <v>0</v>
      </c>
      <c r="I652" s="588">
        <v>0</v>
      </c>
      <c r="J652" s="588">
        <v>30</v>
      </c>
      <c r="K652" s="588">
        <v>0</v>
      </c>
      <c r="L652" s="588">
        <v>0</v>
      </c>
      <c r="M652" s="588">
        <v>0</v>
      </c>
      <c r="N652" s="588">
        <v>35</v>
      </c>
      <c r="O652" s="588">
        <v>0</v>
      </c>
      <c r="P652" s="588">
        <v>80</v>
      </c>
      <c r="Q652" s="588">
        <v>3</v>
      </c>
      <c r="R652" s="588">
        <v>191</v>
      </c>
      <c r="S652" s="588">
        <v>3</v>
      </c>
      <c r="T652" s="588">
        <v>2016</v>
      </c>
      <c r="U652" s="588">
        <v>2016</v>
      </c>
      <c r="V652" s="589"/>
      <c r="W652" s="589"/>
      <c r="X652" s="589"/>
      <c r="Y652" s="589"/>
      <c r="Z652" s="589"/>
      <c r="AA652" s="589"/>
      <c r="AB652" s="589"/>
      <c r="AC652" s="589"/>
      <c r="AD652" s="589"/>
      <c r="AE652" s="589"/>
      <c r="AF652" s="589"/>
      <c r="AG652" s="589"/>
      <c r="AH652" s="589"/>
      <c r="AI652" s="589"/>
      <c r="AJ652" s="589"/>
      <c r="AK652" s="589"/>
      <c r="AL652" s="589"/>
      <c r="AM652" s="589"/>
      <c r="AN652" s="589"/>
      <c r="AO652" s="589"/>
      <c r="AP652" s="589"/>
      <c r="AQ652" s="589"/>
      <c r="AR652" s="589"/>
      <c r="AS652" s="589"/>
    </row>
    <row r="653" spans="1:45" ht="15">
      <c r="A653" s="590" t="s">
        <v>185</v>
      </c>
      <c r="B653" s="591" t="s">
        <v>650</v>
      </c>
      <c r="C653" s="591" t="s">
        <v>868</v>
      </c>
      <c r="D653" s="592">
        <v>2015</v>
      </c>
      <c r="E653" s="591" t="s">
        <v>775</v>
      </c>
      <c r="F653" s="592">
        <v>42</v>
      </c>
      <c r="G653" s="592">
        <v>0</v>
      </c>
      <c r="H653" s="592">
        <v>0</v>
      </c>
      <c r="I653" s="592">
        <v>0</v>
      </c>
      <c r="J653" s="592">
        <v>28</v>
      </c>
      <c r="K653" s="592">
        <v>0</v>
      </c>
      <c r="L653" s="592">
        <v>0</v>
      </c>
      <c r="M653" s="592">
        <v>0</v>
      </c>
      <c r="N653" s="593">
        <v>30</v>
      </c>
      <c r="O653" s="593">
        <v>0</v>
      </c>
      <c r="P653" s="593">
        <v>75</v>
      </c>
      <c r="Q653" s="593">
        <v>35</v>
      </c>
      <c r="R653" s="593">
        <v>175</v>
      </c>
      <c r="S653" s="593">
        <v>35</v>
      </c>
      <c r="T653" s="593">
        <v>2015</v>
      </c>
      <c r="U653" s="593">
        <v>2015</v>
      </c>
      <c r="V653" s="589"/>
      <c r="W653" s="589"/>
      <c r="X653" s="589"/>
      <c r="Y653" s="589"/>
      <c r="Z653" s="589"/>
      <c r="AA653" s="589"/>
      <c r="AB653" s="589"/>
      <c r="AC653" s="589"/>
      <c r="AD653" s="589"/>
      <c r="AE653" s="589"/>
      <c r="AF653" s="589"/>
      <c r="AG653" s="589"/>
      <c r="AH653" s="589"/>
      <c r="AI653" s="589"/>
      <c r="AJ653" s="589"/>
      <c r="AK653" s="589"/>
      <c r="AL653" s="589"/>
      <c r="AM653" s="589"/>
      <c r="AN653" s="589"/>
      <c r="AO653" s="589"/>
      <c r="AP653" s="589"/>
      <c r="AQ653" s="589"/>
      <c r="AR653" s="589"/>
      <c r="AS653" s="589"/>
    </row>
    <row r="654" spans="1:45" ht="15">
      <c r="A654" s="587" t="s">
        <v>193</v>
      </c>
      <c r="B654" s="587" t="s">
        <v>701</v>
      </c>
      <c r="C654" s="587" t="s">
        <v>774</v>
      </c>
      <c r="D654" s="588">
        <v>2015</v>
      </c>
      <c r="E654" s="587" t="s">
        <v>775</v>
      </c>
      <c r="F654" s="588">
        <v>126</v>
      </c>
      <c r="G654" s="588">
        <v>24</v>
      </c>
      <c r="H654" s="588">
        <v>24</v>
      </c>
      <c r="I654" s="588">
        <v>0</v>
      </c>
      <c r="J654" s="588">
        <v>37</v>
      </c>
      <c r="K654" s="588">
        <v>46</v>
      </c>
      <c r="L654" s="588">
        <v>46</v>
      </c>
      <c r="M654" s="588">
        <v>0</v>
      </c>
      <c r="N654" s="588">
        <v>160</v>
      </c>
      <c r="O654" s="588">
        <v>44</v>
      </c>
      <c r="P654" s="588">
        <v>192</v>
      </c>
      <c r="Q654" s="588">
        <v>79</v>
      </c>
      <c r="R654" s="588">
        <v>515</v>
      </c>
      <c r="S654" s="588">
        <v>193</v>
      </c>
      <c r="T654" s="588">
        <v>2015</v>
      </c>
      <c r="U654" s="588">
        <v>2015</v>
      </c>
      <c r="V654" s="589"/>
      <c r="W654" s="589"/>
      <c r="X654" s="589"/>
      <c r="Y654" s="589"/>
      <c r="Z654" s="589"/>
      <c r="AA654" s="589"/>
      <c r="AB654" s="589"/>
      <c r="AC654" s="589"/>
      <c r="AD654" s="589"/>
      <c r="AE654" s="589"/>
      <c r="AF654" s="589"/>
      <c r="AG654" s="589"/>
      <c r="AH654" s="589"/>
      <c r="AI654" s="589"/>
      <c r="AJ654" s="589"/>
      <c r="AK654" s="589"/>
      <c r="AL654" s="589"/>
      <c r="AM654" s="589"/>
      <c r="AN654" s="589"/>
      <c r="AO654" s="589"/>
      <c r="AP654" s="589"/>
      <c r="AQ654" s="589"/>
      <c r="AR654" s="589"/>
      <c r="AS654" s="589"/>
    </row>
    <row r="655" spans="1:45" ht="15">
      <c r="A655" s="590" t="s">
        <v>200</v>
      </c>
      <c r="B655" s="591" t="s">
        <v>728</v>
      </c>
      <c r="C655" s="591" t="s">
        <v>784</v>
      </c>
      <c r="D655" s="592">
        <v>2015</v>
      </c>
      <c r="E655" s="591" t="s">
        <v>775</v>
      </c>
      <c r="F655" s="592">
        <v>23</v>
      </c>
      <c r="G655" s="592">
        <v>0</v>
      </c>
      <c r="H655" s="592">
        <v>0</v>
      </c>
      <c r="I655" s="592">
        <v>0</v>
      </c>
      <c r="J655" s="592">
        <v>16</v>
      </c>
      <c r="K655" s="592">
        <v>1</v>
      </c>
      <c r="L655" s="592">
        <v>0</v>
      </c>
      <c r="M655" s="592">
        <v>1</v>
      </c>
      <c r="N655" s="593">
        <v>19</v>
      </c>
      <c r="O655" s="593">
        <v>2</v>
      </c>
      <c r="P655" s="593">
        <v>42</v>
      </c>
      <c r="Q655" s="593">
        <v>0</v>
      </c>
      <c r="R655" s="593">
        <v>100</v>
      </c>
      <c r="S655" s="593">
        <v>3</v>
      </c>
      <c r="T655" s="593">
        <v>2015</v>
      </c>
      <c r="U655" s="593">
        <v>2014</v>
      </c>
      <c r="V655" s="589"/>
      <c r="W655" s="589"/>
      <c r="X655" s="589"/>
      <c r="Y655" s="589"/>
      <c r="Z655" s="589"/>
      <c r="AA655" s="589"/>
      <c r="AB655" s="589"/>
      <c r="AC655" s="589"/>
      <c r="AD655" s="589"/>
      <c r="AE655" s="589"/>
      <c r="AF655" s="589"/>
      <c r="AG655" s="589"/>
      <c r="AH655" s="589"/>
      <c r="AI655" s="589"/>
      <c r="AJ655" s="589"/>
      <c r="AK655" s="589"/>
      <c r="AL655" s="589"/>
      <c r="AM655" s="589"/>
      <c r="AN655" s="589"/>
      <c r="AO655" s="589"/>
      <c r="AP655" s="589"/>
      <c r="AQ655" s="589"/>
      <c r="AR655" s="589"/>
      <c r="AS655" s="589"/>
    </row>
    <row r="656" spans="1:45" ht="15">
      <c r="A656" s="587" t="s">
        <v>153</v>
      </c>
      <c r="B656" s="587" t="s">
        <v>423</v>
      </c>
      <c r="C656" s="587" t="s">
        <v>812</v>
      </c>
      <c r="D656" s="588">
        <v>2015</v>
      </c>
      <c r="E656" s="587" t="s">
        <v>775</v>
      </c>
      <c r="F656" s="588">
        <v>43</v>
      </c>
      <c r="G656" s="588">
        <v>0</v>
      </c>
      <c r="H656" s="588">
        <v>0</v>
      </c>
      <c r="I656" s="588">
        <v>0</v>
      </c>
      <c r="J656" s="588">
        <v>25</v>
      </c>
      <c r="K656" s="588">
        <v>2</v>
      </c>
      <c r="L656" s="588">
        <v>0</v>
      </c>
      <c r="M656" s="588">
        <v>2</v>
      </c>
      <c r="N656" s="588">
        <v>28</v>
      </c>
      <c r="O656" s="588">
        <v>0</v>
      </c>
      <c r="P656" s="588">
        <v>76</v>
      </c>
      <c r="Q656" s="588">
        <v>33</v>
      </c>
      <c r="R656" s="588">
        <v>172</v>
      </c>
      <c r="S656" s="588">
        <v>35</v>
      </c>
      <c r="T656" s="588">
        <v>2015</v>
      </c>
      <c r="U656" s="588">
        <v>2014</v>
      </c>
      <c r="V656" s="589"/>
      <c r="W656" s="589"/>
      <c r="X656" s="589"/>
      <c r="Y656" s="589"/>
      <c r="Z656" s="589"/>
      <c r="AA656" s="589"/>
      <c r="AB656" s="589"/>
      <c r="AC656" s="589"/>
      <c r="AD656" s="589"/>
      <c r="AE656" s="589"/>
      <c r="AF656" s="589"/>
      <c r="AG656" s="589"/>
      <c r="AH656" s="589"/>
      <c r="AI656" s="589"/>
      <c r="AJ656" s="589"/>
      <c r="AK656" s="589"/>
      <c r="AL656" s="589"/>
      <c r="AM656" s="589"/>
      <c r="AN656" s="589"/>
      <c r="AO656" s="589"/>
      <c r="AP656" s="589"/>
      <c r="AQ656" s="589"/>
      <c r="AR656" s="589"/>
      <c r="AS656" s="589"/>
    </row>
    <row r="657" spans="1:45" ht="15">
      <c r="A657" s="590" t="s">
        <v>153</v>
      </c>
      <c r="B657" s="591" t="s">
        <v>424</v>
      </c>
      <c r="C657" s="591" t="s">
        <v>812</v>
      </c>
      <c r="D657" s="592">
        <v>2015</v>
      </c>
      <c r="E657" s="591" t="s">
        <v>775</v>
      </c>
      <c r="F657" s="592">
        <v>314</v>
      </c>
      <c r="G657" s="592">
        <v>0</v>
      </c>
      <c r="H657" s="592">
        <v>0</v>
      </c>
      <c r="I657" s="592">
        <v>0</v>
      </c>
      <c r="J657" s="592">
        <v>185</v>
      </c>
      <c r="K657" s="592">
        <v>0</v>
      </c>
      <c r="L657" s="592">
        <v>0</v>
      </c>
      <c r="M657" s="592">
        <v>0</v>
      </c>
      <c r="N657" s="593">
        <v>205</v>
      </c>
      <c r="O657" s="593">
        <v>12</v>
      </c>
      <c r="P657" s="593">
        <v>558</v>
      </c>
      <c r="Q657" s="593">
        <v>3</v>
      </c>
      <c r="R657" s="593">
        <v>1262</v>
      </c>
      <c r="S657" s="593">
        <v>15</v>
      </c>
      <c r="T657" s="593">
        <v>2015</v>
      </c>
      <c r="U657" s="593">
        <v>2014</v>
      </c>
      <c r="V657" s="589"/>
      <c r="W657" s="589"/>
      <c r="X657" s="589"/>
      <c r="Y657" s="589"/>
      <c r="Z657" s="589"/>
      <c r="AA657" s="589"/>
      <c r="AB657" s="589"/>
      <c r="AC657" s="589"/>
      <c r="AD657" s="589"/>
      <c r="AE657" s="589"/>
      <c r="AF657" s="589"/>
      <c r="AG657" s="589"/>
      <c r="AH657" s="589"/>
      <c r="AI657" s="589"/>
      <c r="AJ657" s="589"/>
      <c r="AK657" s="589"/>
      <c r="AL657" s="589"/>
      <c r="AM657" s="589"/>
      <c r="AN657" s="589"/>
      <c r="AO657" s="589"/>
      <c r="AP657" s="589"/>
      <c r="AQ657" s="589"/>
      <c r="AR657" s="589"/>
      <c r="AS657" s="589"/>
    </row>
    <row r="658" spans="1:45" ht="15">
      <c r="A658" s="587" t="s">
        <v>153</v>
      </c>
      <c r="B658" s="587" t="s">
        <v>425</v>
      </c>
      <c r="C658" s="587" t="s">
        <v>812</v>
      </c>
      <c r="D658" s="588">
        <v>2015</v>
      </c>
      <c r="E658" s="587" t="s">
        <v>775</v>
      </c>
      <c r="F658" s="588">
        <v>17</v>
      </c>
      <c r="G658" s="588">
        <v>0</v>
      </c>
      <c r="H658" s="588">
        <v>0</v>
      </c>
      <c r="I658" s="588">
        <v>0</v>
      </c>
      <c r="J658" s="588">
        <v>10</v>
      </c>
      <c r="K658" s="588">
        <v>0</v>
      </c>
      <c r="L658" s="588">
        <v>0</v>
      </c>
      <c r="M658" s="588">
        <v>0</v>
      </c>
      <c r="N658" s="588">
        <v>11</v>
      </c>
      <c r="O658" s="588">
        <v>0</v>
      </c>
      <c r="P658" s="588">
        <v>25</v>
      </c>
      <c r="Q658" s="588">
        <v>6</v>
      </c>
      <c r="R658" s="588">
        <v>63</v>
      </c>
      <c r="S658" s="588">
        <v>6</v>
      </c>
      <c r="T658" s="588">
        <v>2015</v>
      </c>
      <c r="U658" s="588">
        <v>2014</v>
      </c>
      <c r="V658" s="589"/>
      <c r="W658" s="589"/>
      <c r="X658" s="589"/>
      <c r="Y658" s="589"/>
      <c r="Z658" s="589"/>
      <c r="AA658" s="589"/>
      <c r="AB658" s="589"/>
      <c r="AC658" s="589"/>
      <c r="AD658" s="589"/>
      <c r="AE658" s="589"/>
      <c r="AF658" s="589"/>
      <c r="AG658" s="589"/>
      <c r="AH658" s="589"/>
      <c r="AI658" s="589"/>
      <c r="AJ658" s="589"/>
      <c r="AK658" s="589"/>
      <c r="AL658" s="589"/>
      <c r="AM658" s="589"/>
      <c r="AN658" s="589"/>
      <c r="AO658" s="589"/>
      <c r="AP658" s="589"/>
      <c r="AQ658" s="589"/>
      <c r="AR658" s="589"/>
      <c r="AS658" s="589"/>
    </row>
    <row r="659" spans="1:45" ht="15">
      <c r="A659" s="590" t="s">
        <v>184</v>
      </c>
      <c r="B659" s="591" t="s">
        <v>641</v>
      </c>
      <c r="C659" s="591" t="s">
        <v>774</v>
      </c>
      <c r="D659" s="592">
        <v>2015</v>
      </c>
      <c r="E659" s="591" t="s">
        <v>775</v>
      </c>
      <c r="F659" s="592">
        <v>565</v>
      </c>
      <c r="G659" s="592">
        <v>0</v>
      </c>
      <c r="H659" s="592">
        <v>0</v>
      </c>
      <c r="I659" s="592">
        <v>0</v>
      </c>
      <c r="J659" s="592">
        <v>281</v>
      </c>
      <c r="K659" s="592">
        <v>3</v>
      </c>
      <c r="L659" s="592">
        <v>3</v>
      </c>
      <c r="M659" s="592">
        <v>0</v>
      </c>
      <c r="N659" s="593">
        <v>313</v>
      </c>
      <c r="O659" s="593">
        <v>10</v>
      </c>
      <c r="P659" s="593">
        <v>705</v>
      </c>
      <c r="Q659" s="593">
        <v>28</v>
      </c>
      <c r="R659" s="593">
        <v>1864</v>
      </c>
      <c r="S659" s="593">
        <v>41</v>
      </c>
      <c r="T659" s="593">
        <v>2015</v>
      </c>
      <c r="U659" s="593">
        <v>2015</v>
      </c>
      <c r="V659" s="589"/>
      <c r="W659" s="589"/>
      <c r="X659" s="589"/>
      <c r="Y659" s="589"/>
      <c r="Z659" s="589"/>
      <c r="AA659" s="589"/>
      <c r="AB659" s="589"/>
      <c r="AC659" s="589"/>
      <c r="AD659" s="589"/>
      <c r="AE659" s="589"/>
      <c r="AF659" s="589"/>
      <c r="AG659" s="589"/>
      <c r="AH659" s="589"/>
      <c r="AI659" s="589"/>
      <c r="AJ659" s="589"/>
      <c r="AK659" s="589"/>
      <c r="AL659" s="589"/>
      <c r="AM659" s="589"/>
      <c r="AN659" s="589"/>
      <c r="AO659" s="589"/>
      <c r="AP659" s="589"/>
      <c r="AQ659" s="589"/>
      <c r="AR659" s="589"/>
      <c r="AS659" s="589"/>
    </row>
    <row r="660" spans="1:45" ht="15">
      <c r="A660" s="587" t="s">
        <v>195</v>
      </c>
      <c r="B660" s="587" t="s">
        <v>710</v>
      </c>
      <c r="C660" s="587" t="s">
        <v>177</v>
      </c>
      <c r="D660" s="588">
        <v>2015</v>
      </c>
      <c r="E660" s="587" t="s">
        <v>775</v>
      </c>
      <c r="F660" s="588">
        <v>538</v>
      </c>
      <c r="G660" s="588">
        <v>0</v>
      </c>
      <c r="H660" s="588">
        <v>0</v>
      </c>
      <c r="I660" s="588">
        <v>0</v>
      </c>
      <c r="J660" s="588">
        <v>345</v>
      </c>
      <c r="K660" s="588">
        <v>0</v>
      </c>
      <c r="L660" s="588">
        <v>0</v>
      </c>
      <c r="M660" s="588">
        <v>0</v>
      </c>
      <c r="N660" s="588">
        <v>391</v>
      </c>
      <c r="O660" s="588">
        <v>30</v>
      </c>
      <c r="P660" s="588">
        <v>967</v>
      </c>
      <c r="Q660" s="588">
        <v>76</v>
      </c>
      <c r="R660" s="588">
        <v>2241</v>
      </c>
      <c r="S660" s="588">
        <v>106</v>
      </c>
      <c r="T660" s="588">
        <v>2016</v>
      </c>
      <c r="U660" s="588">
        <v>2016</v>
      </c>
      <c r="V660" s="589"/>
      <c r="W660" s="589"/>
      <c r="X660" s="589"/>
      <c r="Y660" s="589"/>
      <c r="Z660" s="589"/>
      <c r="AA660" s="589"/>
      <c r="AB660" s="589"/>
      <c r="AC660" s="589"/>
      <c r="AD660" s="589"/>
      <c r="AE660" s="589"/>
      <c r="AF660" s="589"/>
      <c r="AG660" s="589"/>
      <c r="AH660" s="589"/>
      <c r="AI660" s="589"/>
      <c r="AJ660" s="589"/>
      <c r="AK660" s="589"/>
      <c r="AL660" s="589"/>
      <c r="AM660" s="589"/>
      <c r="AN660" s="589"/>
      <c r="AO660" s="589"/>
      <c r="AP660" s="589"/>
      <c r="AQ660" s="589"/>
      <c r="AR660" s="589"/>
      <c r="AS660" s="589"/>
    </row>
    <row r="661" spans="1:45" ht="15">
      <c r="A661" s="590" t="s">
        <v>169</v>
      </c>
      <c r="B661" s="591" t="s">
        <v>514</v>
      </c>
      <c r="C661" s="591" t="s">
        <v>812</v>
      </c>
      <c r="D661" s="592">
        <v>2015</v>
      </c>
      <c r="E661" s="591" t="s">
        <v>775</v>
      </c>
      <c r="F661" s="592">
        <v>68</v>
      </c>
      <c r="G661" s="592">
        <v>0</v>
      </c>
      <c r="H661" s="592">
        <v>0</v>
      </c>
      <c r="I661" s="592">
        <v>0</v>
      </c>
      <c r="J661" s="592">
        <v>49</v>
      </c>
      <c r="K661" s="592">
        <v>0</v>
      </c>
      <c r="L661" s="592">
        <v>0</v>
      </c>
      <c r="M661" s="592">
        <v>0</v>
      </c>
      <c r="N661" s="593">
        <v>56</v>
      </c>
      <c r="O661" s="593">
        <v>0</v>
      </c>
      <c r="P661" s="593">
        <v>140</v>
      </c>
      <c r="Q661" s="593">
        <v>37</v>
      </c>
      <c r="R661" s="593">
        <v>313</v>
      </c>
      <c r="S661" s="593">
        <v>37</v>
      </c>
      <c r="T661" s="593">
        <v>2015</v>
      </c>
      <c r="U661" s="593">
        <v>2014</v>
      </c>
      <c r="V661" s="589"/>
      <c r="W661" s="589"/>
      <c r="X661" s="589"/>
      <c r="Y661" s="589"/>
      <c r="Z661" s="589"/>
      <c r="AA661" s="589"/>
      <c r="AB661" s="589"/>
      <c r="AC661" s="589"/>
      <c r="AD661" s="589"/>
      <c r="AE661" s="589"/>
      <c r="AF661" s="589"/>
      <c r="AG661" s="589"/>
      <c r="AH661" s="589"/>
      <c r="AI661" s="589"/>
      <c r="AJ661" s="589"/>
      <c r="AK661" s="589"/>
      <c r="AL661" s="589"/>
      <c r="AM661" s="589"/>
      <c r="AN661" s="589"/>
      <c r="AO661" s="589"/>
      <c r="AP661" s="589"/>
      <c r="AQ661" s="589"/>
      <c r="AR661" s="589"/>
      <c r="AS661" s="589"/>
    </row>
    <row r="662" spans="1:45" ht="15">
      <c r="A662" s="587" t="s">
        <v>192</v>
      </c>
      <c r="B662" s="587" t="s">
        <v>691</v>
      </c>
      <c r="C662" s="587" t="s">
        <v>774</v>
      </c>
      <c r="D662" s="588">
        <v>2015</v>
      </c>
      <c r="E662" s="587" t="s">
        <v>775</v>
      </c>
      <c r="F662" s="588">
        <v>147</v>
      </c>
      <c r="G662" s="588">
        <v>0</v>
      </c>
      <c r="H662" s="588">
        <v>0</v>
      </c>
      <c r="I662" s="588">
        <v>0</v>
      </c>
      <c r="J662" s="588">
        <v>57</v>
      </c>
      <c r="K662" s="588">
        <v>0</v>
      </c>
      <c r="L662" s="588">
        <v>0</v>
      </c>
      <c r="M662" s="588">
        <v>0</v>
      </c>
      <c r="N662" s="588">
        <v>60</v>
      </c>
      <c r="O662" s="588">
        <v>0</v>
      </c>
      <c r="P662" s="588">
        <v>241</v>
      </c>
      <c r="Q662" s="588">
        <v>8</v>
      </c>
      <c r="R662" s="588">
        <v>505</v>
      </c>
      <c r="S662" s="588">
        <v>8</v>
      </c>
      <c r="T662" s="588">
        <v>2015</v>
      </c>
      <c r="U662" s="588">
        <v>2015</v>
      </c>
      <c r="V662" s="589"/>
      <c r="W662" s="589"/>
      <c r="X662" s="589"/>
      <c r="Y662" s="589"/>
      <c r="Z662" s="589"/>
      <c r="AA662" s="589"/>
      <c r="AB662" s="589"/>
      <c r="AC662" s="589"/>
      <c r="AD662" s="589"/>
      <c r="AE662" s="589"/>
      <c r="AF662" s="589"/>
      <c r="AG662" s="589"/>
      <c r="AH662" s="589"/>
      <c r="AI662" s="589"/>
      <c r="AJ662" s="589"/>
      <c r="AK662" s="589"/>
      <c r="AL662" s="589"/>
      <c r="AM662" s="589"/>
      <c r="AN662" s="589"/>
      <c r="AO662" s="589"/>
      <c r="AP662" s="589"/>
      <c r="AQ662" s="589"/>
      <c r="AR662" s="589"/>
      <c r="AS662" s="589"/>
    </row>
    <row r="663" spans="1:45" ht="15">
      <c r="A663" s="590" t="s">
        <v>187</v>
      </c>
      <c r="B663" s="591" t="s">
        <v>665</v>
      </c>
      <c r="C663" s="591" t="s">
        <v>774</v>
      </c>
      <c r="D663" s="592">
        <v>2015</v>
      </c>
      <c r="E663" s="591" t="s">
        <v>775</v>
      </c>
      <c r="F663" s="592">
        <v>1640</v>
      </c>
      <c r="G663" s="592">
        <v>43</v>
      </c>
      <c r="H663" s="592">
        <v>43</v>
      </c>
      <c r="I663" s="592">
        <v>0</v>
      </c>
      <c r="J663" s="592">
        <v>906</v>
      </c>
      <c r="K663" s="592">
        <v>0</v>
      </c>
      <c r="L663" s="592">
        <v>0</v>
      </c>
      <c r="M663" s="592">
        <v>0</v>
      </c>
      <c r="N663" s="593">
        <v>932</v>
      </c>
      <c r="O663" s="593">
        <v>26</v>
      </c>
      <c r="P663" s="593">
        <v>1974</v>
      </c>
      <c r="Q663" s="593">
        <v>796</v>
      </c>
      <c r="R663" s="593">
        <v>5452</v>
      </c>
      <c r="S663" s="593">
        <v>865</v>
      </c>
      <c r="T663" s="593">
        <v>2015</v>
      </c>
      <c r="U663" s="593">
        <v>2015</v>
      </c>
      <c r="V663" s="589"/>
      <c r="W663" s="589"/>
      <c r="X663" s="589"/>
      <c r="Y663" s="589"/>
      <c r="Z663" s="589"/>
      <c r="AA663" s="589"/>
      <c r="AB663" s="589"/>
      <c r="AC663" s="589"/>
      <c r="AD663" s="589"/>
      <c r="AE663" s="589"/>
      <c r="AF663" s="589"/>
      <c r="AG663" s="589"/>
      <c r="AH663" s="589"/>
      <c r="AI663" s="589"/>
      <c r="AJ663" s="589"/>
      <c r="AK663" s="589"/>
      <c r="AL663" s="589"/>
      <c r="AM663" s="589"/>
      <c r="AN663" s="589"/>
      <c r="AO663" s="589"/>
      <c r="AP663" s="589"/>
      <c r="AQ663" s="589"/>
      <c r="AR663" s="589"/>
      <c r="AS663" s="589"/>
    </row>
    <row r="664" spans="1:45" ht="15">
      <c r="A664" s="587" t="s">
        <v>196</v>
      </c>
      <c r="B664" s="587" t="s">
        <v>714</v>
      </c>
      <c r="C664" s="587" t="s">
        <v>799</v>
      </c>
      <c r="D664" s="588">
        <v>2015</v>
      </c>
      <c r="E664" s="587" t="s">
        <v>775</v>
      </c>
      <c r="F664" s="588">
        <v>85</v>
      </c>
      <c r="G664" s="588">
        <v>0</v>
      </c>
      <c r="H664" s="588">
        <v>0</v>
      </c>
      <c r="I664" s="588">
        <v>0</v>
      </c>
      <c r="J664" s="588">
        <v>60</v>
      </c>
      <c r="K664" s="588">
        <v>0</v>
      </c>
      <c r="L664" s="588">
        <v>0</v>
      </c>
      <c r="M664" s="588">
        <v>0</v>
      </c>
      <c r="N664" s="588">
        <v>62</v>
      </c>
      <c r="O664" s="588">
        <v>7</v>
      </c>
      <c r="P664" s="588">
        <v>128</v>
      </c>
      <c r="Q664" s="588">
        <v>19</v>
      </c>
      <c r="R664" s="588">
        <v>335</v>
      </c>
      <c r="S664" s="588">
        <v>26</v>
      </c>
      <c r="T664" s="588">
        <v>2015</v>
      </c>
      <c r="U664" s="588">
        <v>2014</v>
      </c>
      <c r="V664" s="589"/>
      <c r="W664" s="589"/>
      <c r="X664" s="589"/>
      <c r="Y664" s="589"/>
      <c r="Z664" s="589"/>
      <c r="AA664" s="589"/>
      <c r="AB664" s="589"/>
      <c r="AC664" s="589"/>
      <c r="AD664" s="589"/>
      <c r="AE664" s="589"/>
      <c r="AF664" s="589"/>
      <c r="AG664" s="589"/>
      <c r="AH664" s="589"/>
      <c r="AI664" s="589"/>
      <c r="AJ664" s="589"/>
      <c r="AK664" s="589"/>
      <c r="AL664" s="589"/>
      <c r="AM664" s="589"/>
      <c r="AN664" s="589"/>
      <c r="AO664" s="589"/>
      <c r="AP664" s="589"/>
      <c r="AQ664" s="589"/>
      <c r="AR664" s="589"/>
      <c r="AS664" s="589"/>
    </row>
    <row r="665" spans="1:45" ht="15">
      <c r="A665" s="590" t="s">
        <v>130</v>
      </c>
      <c r="B665" s="591" t="s">
        <v>254</v>
      </c>
      <c r="C665" s="591" t="s">
        <v>784</v>
      </c>
      <c r="D665" s="592">
        <v>2015</v>
      </c>
      <c r="E665" s="591" t="s">
        <v>775</v>
      </c>
      <c r="F665" s="592">
        <v>2</v>
      </c>
      <c r="G665" s="592">
        <v>0</v>
      </c>
      <c r="H665" s="592">
        <v>0</v>
      </c>
      <c r="I665" s="592">
        <v>0</v>
      </c>
      <c r="J665" s="592">
        <v>2</v>
      </c>
      <c r="K665" s="592">
        <v>0</v>
      </c>
      <c r="L665" s="592">
        <v>0</v>
      </c>
      <c r="M665" s="592">
        <v>0</v>
      </c>
      <c r="N665" s="593">
        <v>2</v>
      </c>
      <c r="O665" s="593">
        <v>1</v>
      </c>
      <c r="P665" s="593">
        <v>4</v>
      </c>
      <c r="Q665" s="593">
        <v>0</v>
      </c>
      <c r="R665" s="593">
        <v>10</v>
      </c>
      <c r="S665" s="593">
        <v>1</v>
      </c>
      <c r="T665" s="593">
        <v>2015</v>
      </c>
      <c r="U665" s="593">
        <v>2014</v>
      </c>
      <c r="V665" s="589"/>
      <c r="W665" s="589"/>
      <c r="X665" s="589"/>
      <c r="Y665" s="589"/>
      <c r="Z665" s="589"/>
      <c r="AA665" s="589"/>
      <c r="AB665" s="589"/>
      <c r="AC665" s="589"/>
      <c r="AD665" s="589"/>
      <c r="AE665" s="589"/>
      <c r="AF665" s="589"/>
      <c r="AG665" s="589"/>
      <c r="AH665" s="589"/>
      <c r="AI665" s="589"/>
      <c r="AJ665" s="589"/>
      <c r="AK665" s="589"/>
      <c r="AL665" s="589"/>
      <c r="AM665" s="589"/>
      <c r="AN665" s="589"/>
      <c r="AO665" s="589"/>
      <c r="AP665" s="589"/>
      <c r="AQ665" s="589"/>
      <c r="AR665" s="589"/>
      <c r="AS665" s="589"/>
    </row>
    <row r="666" spans="1:45" ht="15">
      <c r="A666" s="587" t="s">
        <v>148</v>
      </c>
      <c r="B666" s="587" t="s">
        <v>333</v>
      </c>
      <c r="C666" s="587" t="s">
        <v>177</v>
      </c>
      <c r="D666" s="588">
        <v>2015</v>
      </c>
      <c r="E666" s="587" t="s">
        <v>775</v>
      </c>
      <c r="F666" s="588">
        <v>52</v>
      </c>
      <c r="G666" s="588">
        <v>0</v>
      </c>
      <c r="H666" s="588">
        <v>0</v>
      </c>
      <c r="I666" s="588">
        <v>0</v>
      </c>
      <c r="J666" s="588">
        <v>26</v>
      </c>
      <c r="K666" s="588">
        <v>0</v>
      </c>
      <c r="L666" s="588">
        <v>0</v>
      </c>
      <c r="M666" s="588">
        <v>0</v>
      </c>
      <c r="N666" s="588">
        <v>30</v>
      </c>
      <c r="O666" s="588">
        <v>0</v>
      </c>
      <c r="P666" s="588">
        <v>146</v>
      </c>
      <c r="Q666" s="588">
        <v>11</v>
      </c>
      <c r="R666" s="588">
        <v>254</v>
      </c>
      <c r="S666" s="588">
        <v>11</v>
      </c>
      <c r="T666" s="588">
        <v>2016</v>
      </c>
      <c r="U666" s="588">
        <v>2016</v>
      </c>
      <c r="V666" s="589"/>
      <c r="W666" s="589"/>
      <c r="X666" s="589"/>
      <c r="Y666" s="589"/>
      <c r="Z666" s="589"/>
      <c r="AA666" s="589"/>
      <c r="AB666" s="589"/>
      <c r="AC666" s="589"/>
      <c r="AD666" s="589"/>
      <c r="AE666" s="589"/>
      <c r="AF666" s="589"/>
      <c r="AG666" s="589"/>
      <c r="AH666" s="589"/>
      <c r="AI666" s="589"/>
      <c r="AJ666" s="589"/>
      <c r="AK666" s="589"/>
      <c r="AL666" s="589"/>
      <c r="AM666" s="589"/>
      <c r="AN666" s="589"/>
      <c r="AO666" s="589"/>
      <c r="AP666" s="589"/>
      <c r="AQ666" s="589"/>
      <c r="AR666" s="589"/>
      <c r="AS666" s="589"/>
    </row>
    <row r="667" spans="1:45" ht="15">
      <c r="A667" s="590" t="s">
        <v>197</v>
      </c>
      <c r="B667" s="591" t="s">
        <v>718</v>
      </c>
      <c r="C667" s="591" t="s">
        <v>784</v>
      </c>
      <c r="D667" s="592">
        <v>2015</v>
      </c>
      <c r="E667" s="591" t="s">
        <v>775</v>
      </c>
      <c r="F667" s="592">
        <v>112</v>
      </c>
      <c r="G667" s="592">
        <v>0</v>
      </c>
      <c r="H667" s="592">
        <v>0</v>
      </c>
      <c r="I667" s="592">
        <v>0</v>
      </c>
      <c r="J667" s="592">
        <v>76</v>
      </c>
      <c r="K667" s="592">
        <v>28</v>
      </c>
      <c r="L667" s="592">
        <v>0</v>
      </c>
      <c r="M667" s="592">
        <v>28</v>
      </c>
      <c r="N667" s="593">
        <v>89</v>
      </c>
      <c r="O667" s="593">
        <v>33</v>
      </c>
      <c r="P667" s="593">
        <v>209</v>
      </c>
      <c r="Q667" s="593">
        <v>4</v>
      </c>
      <c r="R667" s="593">
        <v>486</v>
      </c>
      <c r="S667" s="593">
        <v>65</v>
      </c>
      <c r="T667" s="593">
        <v>2015</v>
      </c>
      <c r="U667" s="593">
        <v>2014</v>
      </c>
      <c r="V667" s="589"/>
      <c r="W667" s="589"/>
      <c r="X667" s="589"/>
      <c r="Y667" s="589"/>
      <c r="Z667" s="589"/>
      <c r="AA667" s="589"/>
      <c r="AB667" s="589"/>
      <c r="AC667" s="589"/>
      <c r="AD667" s="589"/>
      <c r="AE667" s="589"/>
      <c r="AF667" s="589"/>
      <c r="AG667" s="589"/>
      <c r="AH667" s="589"/>
      <c r="AI667" s="589"/>
      <c r="AJ667" s="589"/>
      <c r="AK667" s="589"/>
      <c r="AL667" s="589"/>
      <c r="AM667" s="589"/>
      <c r="AN667" s="589"/>
      <c r="AO667" s="589"/>
      <c r="AP667" s="589"/>
      <c r="AQ667" s="589"/>
      <c r="AR667" s="589"/>
      <c r="AS667" s="589"/>
    </row>
    <row r="668" spans="1:45" ht="15">
      <c r="A668" s="587" t="s">
        <v>173</v>
      </c>
      <c r="B668" s="587" t="s">
        <v>554</v>
      </c>
      <c r="C668" s="587" t="s">
        <v>812</v>
      </c>
      <c r="D668" s="588">
        <v>2015</v>
      </c>
      <c r="E668" s="587" t="s">
        <v>775</v>
      </c>
      <c r="F668" s="588">
        <v>375</v>
      </c>
      <c r="G668" s="588">
        <v>0</v>
      </c>
      <c r="H668" s="588">
        <v>0</v>
      </c>
      <c r="I668" s="588">
        <v>0</v>
      </c>
      <c r="J668" s="588">
        <v>251</v>
      </c>
      <c r="K668" s="588">
        <v>0</v>
      </c>
      <c r="L668" s="588">
        <v>0</v>
      </c>
      <c r="M668" s="588">
        <v>0</v>
      </c>
      <c r="N668" s="588">
        <v>271</v>
      </c>
      <c r="O668" s="588">
        <v>0</v>
      </c>
      <c r="P668" s="588">
        <v>596</v>
      </c>
      <c r="Q668" s="588">
        <v>223</v>
      </c>
      <c r="R668" s="588">
        <v>1493</v>
      </c>
      <c r="S668" s="588">
        <v>223</v>
      </c>
      <c r="T668" s="588">
        <v>2015</v>
      </c>
      <c r="U668" s="588">
        <v>2014</v>
      </c>
      <c r="V668" s="589"/>
      <c r="W668" s="589"/>
      <c r="X668" s="589"/>
      <c r="Y668" s="589"/>
      <c r="Z668" s="589"/>
      <c r="AA668" s="589"/>
      <c r="AB668" s="589"/>
      <c r="AC668" s="589"/>
      <c r="AD668" s="589"/>
      <c r="AE668" s="589"/>
      <c r="AF668" s="589"/>
      <c r="AG668" s="589"/>
      <c r="AH668" s="589"/>
      <c r="AI668" s="589"/>
      <c r="AJ668" s="589"/>
      <c r="AK668" s="589"/>
      <c r="AL668" s="589"/>
      <c r="AM668" s="589"/>
      <c r="AN668" s="589"/>
      <c r="AO668" s="589"/>
      <c r="AP668" s="589"/>
      <c r="AQ668" s="589"/>
      <c r="AR668" s="589"/>
      <c r="AS668" s="589"/>
    </row>
    <row r="669" spans="1:45" ht="15">
      <c r="A669" s="590" t="s">
        <v>153</v>
      </c>
      <c r="B669" s="591" t="s">
        <v>426</v>
      </c>
      <c r="C669" s="591" t="s">
        <v>812</v>
      </c>
      <c r="D669" s="592">
        <v>2015</v>
      </c>
      <c r="E669" s="591" t="s">
        <v>775</v>
      </c>
      <c r="F669" s="592">
        <v>159</v>
      </c>
      <c r="G669" s="592">
        <v>0</v>
      </c>
      <c r="H669" s="592">
        <v>0</v>
      </c>
      <c r="I669" s="592">
        <v>0</v>
      </c>
      <c r="J669" s="592">
        <v>93</v>
      </c>
      <c r="K669" s="592">
        <v>1</v>
      </c>
      <c r="L669" s="592">
        <v>1</v>
      </c>
      <c r="M669" s="592">
        <v>0</v>
      </c>
      <c r="N669" s="593">
        <v>99</v>
      </c>
      <c r="O669" s="593">
        <v>0</v>
      </c>
      <c r="P669" s="593">
        <v>252</v>
      </c>
      <c r="Q669" s="593">
        <v>119</v>
      </c>
      <c r="R669" s="593">
        <v>603</v>
      </c>
      <c r="S669" s="593">
        <v>120</v>
      </c>
      <c r="T669" s="593">
        <v>2015</v>
      </c>
      <c r="U669" s="593">
        <v>2014</v>
      </c>
      <c r="V669" s="589"/>
      <c r="W669" s="589"/>
      <c r="X669" s="589"/>
      <c r="Y669" s="589"/>
      <c r="Z669" s="589"/>
      <c r="AA669" s="589"/>
      <c r="AB669" s="589"/>
      <c r="AC669" s="589"/>
      <c r="AD669" s="589"/>
      <c r="AE669" s="589"/>
      <c r="AF669" s="589"/>
      <c r="AG669" s="589"/>
      <c r="AH669" s="589"/>
      <c r="AI669" s="589"/>
      <c r="AJ669" s="589"/>
      <c r="AK669" s="589"/>
      <c r="AL669" s="589"/>
      <c r="AM669" s="589"/>
      <c r="AN669" s="589"/>
      <c r="AO669" s="589"/>
      <c r="AP669" s="589"/>
      <c r="AQ669" s="589"/>
      <c r="AR669" s="589"/>
      <c r="AS669" s="589"/>
    </row>
    <row r="670" spans="1:45" ht="15">
      <c r="A670" s="587" t="s">
        <v>201</v>
      </c>
      <c r="B670" s="587" t="s">
        <v>739</v>
      </c>
      <c r="C670" s="587" t="s">
        <v>812</v>
      </c>
      <c r="D670" s="588">
        <v>2015</v>
      </c>
      <c r="E670" s="587" t="s">
        <v>775</v>
      </c>
      <c r="F670" s="588">
        <v>47</v>
      </c>
      <c r="G670" s="588">
        <v>0</v>
      </c>
      <c r="H670" s="588">
        <v>0</v>
      </c>
      <c r="I670" s="588">
        <v>0</v>
      </c>
      <c r="J670" s="588">
        <v>32</v>
      </c>
      <c r="K670" s="588">
        <v>0</v>
      </c>
      <c r="L670" s="588">
        <v>0</v>
      </c>
      <c r="M670" s="588">
        <v>0</v>
      </c>
      <c r="N670" s="588">
        <v>36</v>
      </c>
      <c r="O670" s="588">
        <v>0</v>
      </c>
      <c r="P670" s="588">
        <v>77</v>
      </c>
      <c r="Q670" s="588">
        <v>115</v>
      </c>
      <c r="R670" s="588">
        <v>192</v>
      </c>
      <c r="S670" s="588">
        <v>115</v>
      </c>
      <c r="T670" s="588">
        <v>2015</v>
      </c>
      <c r="U670" s="588">
        <v>2014</v>
      </c>
      <c r="V670" s="589"/>
      <c r="W670" s="589"/>
      <c r="X670" s="589"/>
      <c r="Y670" s="589"/>
      <c r="Z670" s="589"/>
      <c r="AA670" s="589"/>
      <c r="AB670" s="589"/>
      <c r="AC670" s="589"/>
      <c r="AD670" s="589"/>
      <c r="AE670" s="589"/>
      <c r="AF670" s="589"/>
      <c r="AG670" s="589"/>
      <c r="AH670" s="589"/>
      <c r="AI670" s="589"/>
      <c r="AJ670" s="589"/>
      <c r="AK670" s="589"/>
      <c r="AL670" s="589"/>
      <c r="AM670" s="589"/>
      <c r="AN670" s="589"/>
      <c r="AO670" s="589"/>
      <c r="AP670" s="589"/>
      <c r="AQ670" s="589"/>
      <c r="AR670" s="589"/>
      <c r="AS670" s="589"/>
    </row>
    <row r="671" spans="1:45" ht="15">
      <c r="A671" s="590" t="s">
        <v>157</v>
      </c>
      <c r="B671" s="591" t="s">
        <v>447</v>
      </c>
      <c r="C671" s="591" t="s">
        <v>774</v>
      </c>
      <c r="D671" s="592">
        <v>2015</v>
      </c>
      <c r="E671" s="591" t="s">
        <v>775</v>
      </c>
      <c r="F671" s="592">
        <v>24</v>
      </c>
      <c r="G671" s="592">
        <v>0</v>
      </c>
      <c r="H671" s="592">
        <v>0</v>
      </c>
      <c r="I671" s="592">
        <v>0</v>
      </c>
      <c r="J671" s="592">
        <v>16</v>
      </c>
      <c r="K671" s="592">
        <v>0</v>
      </c>
      <c r="L671" s="592">
        <v>0</v>
      </c>
      <c r="M671" s="592">
        <v>0</v>
      </c>
      <c r="N671" s="593">
        <v>19</v>
      </c>
      <c r="O671" s="593">
        <v>0</v>
      </c>
      <c r="P671" s="593">
        <v>19</v>
      </c>
      <c r="Q671" s="593">
        <v>0</v>
      </c>
      <c r="R671" s="593">
        <v>78</v>
      </c>
      <c r="S671" s="593">
        <v>0</v>
      </c>
      <c r="T671" s="593">
        <v>2015</v>
      </c>
      <c r="U671" s="593">
        <v>2015</v>
      </c>
      <c r="V671" s="589"/>
      <c r="W671" s="589"/>
      <c r="X671" s="589"/>
      <c r="Y671" s="589"/>
      <c r="Z671" s="589"/>
      <c r="AA671" s="589"/>
      <c r="AB671" s="589"/>
      <c r="AC671" s="589"/>
      <c r="AD671" s="589"/>
      <c r="AE671" s="589"/>
      <c r="AF671" s="589"/>
      <c r="AG671" s="589"/>
      <c r="AH671" s="589"/>
      <c r="AI671" s="589"/>
      <c r="AJ671" s="589"/>
      <c r="AK671" s="589"/>
      <c r="AL671" s="589"/>
      <c r="AM671" s="589"/>
      <c r="AN671" s="589"/>
      <c r="AO671" s="589"/>
      <c r="AP671" s="589"/>
      <c r="AQ671" s="589"/>
      <c r="AR671" s="589"/>
      <c r="AS671" s="589"/>
    </row>
    <row r="672" spans="1:45" ht="15">
      <c r="A672" s="587" t="s">
        <v>153</v>
      </c>
      <c r="B672" s="587" t="s">
        <v>427</v>
      </c>
      <c r="C672" s="587" t="s">
        <v>812</v>
      </c>
      <c r="D672" s="588">
        <v>2015</v>
      </c>
      <c r="E672" s="587" t="s">
        <v>775</v>
      </c>
      <c r="F672" s="588">
        <v>380</v>
      </c>
      <c r="G672" s="588">
        <v>0</v>
      </c>
      <c r="H672" s="588">
        <v>0</v>
      </c>
      <c r="I672" s="588">
        <v>0</v>
      </c>
      <c r="J672" s="588">
        <v>227</v>
      </c>
      <c r="K672" s="588">
        <v>0</v>
      </c>
      <c r="L672" s="588">
        <v>0</v>
      </c>
      <c r="M672" s="588">
        <v>0</v>
      </c>
      <c r="N672" s="588">
        <v>243</v>
      </c>
      <c r="O672" s="588">
        <v>0</v>
      </c>
      <c r="P672" s="588">
        <v>600</v>
      </c>
      <c r="Q672" s="588">
        <v>21</v>
      </c>
      <c r="R672" s="588">
        <v>1450</v>
      </c>
      <c r="S672" s="588">
        <v>21</v>
      </c>
      <c r="T672" s="588">
        <v>2015</v>
      </c>
      <c r="U672" s="588">
        <v>2014</v>
      </c>
      <c r="V672" s="589"/>
      <c r="W672" s="589"/>
      <c r="X672" s="589"/>
      <c r="Y672" s="589"/>
      <c r="Z672" s="589"/>
      <c r="AA672" s="589"/>
      <c r="AB672" s="589"/>
      <c r="AC672" s="589"/>
      <c r="AD672" s="589"/>
      <c r="AE672" s="589"/>
      <c r="AF672" s="589"/>
      <c r="AG672" s="589"/>
      <c r="AH672" s="589"/>
      <c r="AI672" s="589"/>
      <c r="AJ672" s="589"/>
      <c r="AK672" s="589"/>
      <c r="AL672" s="589"/>
      <c r="AM672" s="589"/>
      <c r="AN672" s="589"/>
      <c r="AO672" s="589"/>
      <c r="AP672" s="589"/>
      <c r="AQ672" s="589"/>
      <c r="AR672" s="589"/>
      <c r="AS672" s="589"/>
    </row>
    <row r="673" spans="1:45" ht="15">
      <c r="A673" s="590" t="s">
        <v>182</v>
      </c>
      <c r="B673" s="591" t="s">
        <v>615</v>
      </c>
      <c r="C673" s="591" t="s">
        <v>177</v>
      </c>
      <c r="D673" s="592">
        <v>2015</v>
      </c>
      <c r="E673" s="591" t="s">
        <v>775</v>
      </c>
      <c r="F673" s="592">
        <v>980</v>
      </c>
      <c r="G673" s="592">
        <v>0</v>
      </c>
      <c r="H673" s="592">
        <v>0</v>
      </c>
      <c r="I673" s="592">
        <v>0</v>
      </c>
      <c r="J673" s="592">
        <v>705</v>
      </c>
      <c r="K673" s="592">
        <v>0</v>
      </c>
      <c r="L673" s="592">
        <v>0</v>
      </c>
      <c r="M673" s="592">
        <v>0</v>
      </c>
      <c r="N673" s="593">
        <v>828</v>
      </c>
      <c r="O673" s="593">
        <v>0</v>
      </c>
      <c r="P673" s="593">
        <v>2463</v>
      </c>
      <c r="Q673" s="593">
        <v>0</v>
      </c>
      <c r="R673" s="593">
        <v>4976</v>
      </c>
      <c r="S673" s="593">
        <v>0</v>
      </c>
      <c r="T673" s="593">
        <v>2016</v>
      </c>
      <c r="U673" s="593">
        <v>2016</v>
      </c>
      <c r="V673" s="589"/>
      <c r="W673" s="589"/>
      <c r="X673" s="589"/>
      <c r="Y673" s="589"/>
      <c r="Z673" s="589"/>
      <c r="AA673" s="589"/>
      <c r="AB673" s="589"/>
      <c r="AC673" s="589"/>
      <c r="AD673" s="589"/>
      <c r="AE673" s="589"/>
      <c r="AF673" s="589"/>
      <c r="AG673" s="589"/>
      <c r="AH673" s="589"/>
      <c r="AI673" s="589"/>
      <c r="AJ673" s="589"/>
      <c r="AK673" s="589"/>
      <c r="AL673" s="589"/>
      <c r="AM673" s="589"/>
      <c r="AN673" s="589"/>
      <c r="AO673" s="589"/>
      <c r="AP673" s="589"/>
      <c r="AQ673" s="589"/>
      <c r="AR673" s="589"/>
      <c r="AS673" s="589"/>
    </row>
    <row r="674" spans="1:45" ht="15">
      <c r="A674" s="587" t="s">
        <v>168</v>
      </c>
      <c r="B674" s="587" t="s">
        <v>484</v>
      </c>
      <c r="C674" s="587" t="s">
        <v>784</v>
      </c>
      <c r="D674" s="588">
        <v>2015</v>
      </c>
      <c r="E674" s="587" t="s">
        <v>775</v>
      </c>
      <c r="F674" s="588">
        <v>108</v>
      </c>
      <c r="G674" s="588">
        <v>0</v>
      </c>
      <c r="H674" s="588">
        <v>0</v>
      </c>
      <c r="I674" s="588">
        <v>0</v>
      </c>
      <c r="J674" s="588">
        <v>75</v>
      </c>
      <c r="K674" s="588">
        <v>0</v>
      </c>
      <c r="L674" s="588">
        <v>0</v>
      </c>
      <c r="M674" s="588">
        <v>0</v>
      </c>
      <c r="N674" s="588">
        <v>78</v>
      </c>
      <c r="O674" s="588">
        <v>0</v>
      </c>
      <c r="P674" s="588">
        <v>199</v>
      </c>
      <c r="Q674" s="588">
        <v>87</v>
      </c>
      <c r="R674" s="588">
        <v>460</v>
      </c>
      <c r="S674" s="588">
        <v>87</v>
      </c>
      <c r="T674" s="588">
        <v>2015</v>
      </c>
      <c r="U674" s="588">
        <v>2014</v>
      </c>
      <c r="V674" s="589"/>
      <c r="W674" s="589"/>
      <c r="X674" s="589"/>
      <c r="Y674" s="589"/>
      <c r="Z674" s="589"/>
      <c r="AA674" s="589"/>
      <c r="AB674" s="589"/>
      <c r="AC674" s="589"/>
      <c r="AD674" s="589"/>
      <c r="AE674" s="589"/>
      <c r="AF674" s="589"/>
      <c r="AG674" s="589"/>
      <c r="AH674" s="589"/>
      <c r="AI674" s="589"/>
      <c r="AJ674" s="589"/>
      <c r="AK674" s="589"/>
      <c r="AL674" s="589"/>
      <c r="AM674" s="589"/>
      <c r="AN674" s="589"/>
      <c r="AO674" s="589"/>
      <c r="AP674" s="589"/>
      <c r="AQ674" s="589"/>
      <c r="AR674" s="589"/>
      <c r="AS674" s="589"/>
    </row>
    <row r="675" spans="1:45" ht="15">
      <c r="A675" s="590" t="s">
        <v>199</v>
      </c>
      <c r="B675" s="591" t="s">
        <v>199</v>
      </c>
      <c r="C675" s="591" t="s">
        <v>177</v>
      </c>
      <c r="D675" s="592">
        <v>2015</v>
      </c>
      <c r="E675" s="591" t="s">
        <v>775</v>
      </c>
      <c r="F675" s="592">
        <v>920</v>
      </c>
      <c r="G675" s="592">
        <v>0</v>
      </c>
      <c r="H675" s="592">
        <v>0</v>
      </c>
      <c r="I675" s="592">
        <v>0</v>
      </c>
      <c r="J675" s="592">
        <v>609</v>
      </c>
      <c r="K675" s="592">
        <v>0</v>
      </c>
      <c r="L675" s="592">
        <v>0</v>
      </c>
      <c r="M675" s="592">
        <v>0</v>
      </c>
      <c r="N675" s="593">
        <v>613</v>
      </c>
      <c r="O675" s="593">
        <v>0</v>
      </c>
      <c r="P675" s="593">
        <v>1452</v>
      </c>
      <c r="Q675" s="593">
        <v>485</v>
      </c>
      <c r="R675" s="593">
        <v>3594</v>
      </c>
      <c r="S675" s="593">
        <v>485</v>
      </c>
      <c r="T675" s="593">
        <v>2016</v>
      </c>
      <c r="U675" s="593">
        <v>2016</v>
      </c>
      <c r="V675" s="589"/>
      <c r="W675" s="589"/>
      <c r="X675" s="589"/>
      <c r="Y675" s="589"/>
      <c r="Z675" s="589"/>
      <c r="AA675" s="589"/>
      <c r="AB675" s="589"/>
      <c r="AC675" s="589"/>
      <c r="AD675" s="589"/>
      <c r="AE675" s="589"/>
      <c r="AF675" s="589"/>
      <c r="AG675" s="589"/>
      <c r="AH675" s="589"/>
      <c r="AI675" s="589"/>
      <c r="AJ675" s="589"/>
      <c r="AK675" s="589"/>
      <c r="AL675" s="589"/>
      <c r="AM675" s="589"/>
      <c r="AN675" s="589"/>
      <c r="AO675" s="589"/>
      <c r="AP675" s="589"/>
      <c r="AQ675" s="589"/>
      <c r="AR675" s="589"/>
      <c r="AS675" s="589"/>
    </row>
    <row r="676" spans="1:45" ht="15">
      <c r="A676" s="587" t="s">
        <v>199</v>
      </c>
      <c r="B676" s="587" t="s">
        <v>725</v>
      </c>
      <c r="C676" s="587" t="s">
        <v>177</v>
      </c>
      <c r="D676" s="588">
        <v>2015</v>
      </c>
      <c r="E676" s="587" t="s">
        <v>775</v>
      </c>
      <c r="F676" s="588">
        <v>1477</v>
      </c>
      <c r="G676" s="588">
        <v>55</v>
      </c>
      <c r="H676" s="588">
        <v>0</v>
      </c>
      <c r="I676" s="588">
        <v>55</v>
      </c>
      <c r="J676" s="588">
        <v>1065</v>
      </c>
      <c r="K676" s="588">
        <v>63</v>
      </c>
      <c r="L676" s="588">
        <v>0</v>
      </c>
      <c r="M676" s="588">
        <v>63</v>
      </c>
      <c r="N676" s="588">
        <v>1169</v>
      </c>
      <c r="O676" s="588">
        <v>25</v>
      </c>
      <c r="P676" s="588">
        <v>3370</v>
      </c>
      <c r="Q676" s="588">
        <v>23</v>
      </c>
      <c r="R676" s="588">
        <v>7081</v>
      </c>
      <c r="S676" s="588">
        <v>166</v>
      </c>
      <c r="T676" s="588">
        <v>2016</v>
      </c>
      <c r="U676" s="588">
        <v>2016</v>
      </c>
      <c r="V676" s="589"/>
      <c r="W676" s="589"/>
      <c r="X676" s="589"/>
      <c r="Y676" s="589"/>
      <c r="Z676" s="589"/>
      <c r="AA676" s="589"/>
      <c r="AB676" s="589"/>
      <c r="AC676" s="589"/>
      <c r="AD676" s="589"/>
      <c r="AE676" s="589"/>
      <c r="AF676" s="589"/>
      <c r="AG676" s="589"/>
      <c r="AH676" s="589"/>
      <c r="AI676" s="589"/>
      <c r="AJ676" s="589"/>
      <c r="AK676" s="589"/>
      <c r="AL676" s="589"/>
      <c r="AM676" s="589"/>
      <c r="AN676" s="589"/>
      <c r="AO676" s="589"/>
      <c r="AP676" s="589"/>
      <c r="AQ676" s="589"/>
      <c r="AR676" s="589"/>
      <c r="AS676" s="589"/>
    </row>
    <row r="677" spans="1:45" ht="15">
      <c r="A677" s="590" t="s">
        <v>200</v>
      </c>
      <c r="B677" s="591" t="s">
        <v>729</v>
      </c>
      <c r="C677" s="591" t="s">
        <v>784</v>
      </c>
      <c r="D677" s="592">
        <v>2015</v>
      </c>
      <c r="E677" s="591" t="s">
        <v>775</v>
      </c>
      <c r="F677" s="592">
        <v>102</v>
      </c>
      <c r="G677" s="592">
        <v>0</v>
      </c>
      <c r="H677" s="592">
        <v>0</v>
      </c>
      <c r="I677" s="592">
        <v>0</v>
      </c>
      <c r="J677" s="592">
        <v>74</v>
      </c>
      <c r="K677" s="592">
        <v>0</v>
      </c>
      <c r="L677" s="592">
        <v>0</v>
      </c>
      <c r="M677" s="592">
        <v>0</v>
      </c>
      <c r="N677" s="593">
        <v>81</v>
      </c>
      <c r="O677" s="593">
        <v>0</v>
      </c>
      <c r="P677" s="593">
        <v>193</v>
      </c>
      <c r="Q677" s="593">
        <v>33</v>
      </c>
      <c r="R677" s="593">
        <v>450</v>
      </c>
      <c r="S677" s="593">
        <v>33</v>
      </c>
      <c r="T677" s="593">
        <v>2015</v>
      </c>
      <c r="U677" s="593">
        <v>2014</v>
      </c>
      <c r="V677" s="589"/>
      <c r="W677" s="589"/>
      <c r="X677" s="589"/>
      <c r="Y677" s="589"/>
      <c r="Z677" s="589"/>
      <c r="AA677" s="589"/>
      <c r="AB677" s="589"/>
      <c r="AC677" s="589"/>
      <c r="AD677" s="589"/>
      <c r="AE677" s="589"/>
      <c r="AF677" s="589"/>
      <c r="AG677" s="589"/>
      <c r="AH677" s="589"/>
      <c r="AI677" s="589"/>
      <c r="AJ677" s="589"/>
      <c r="AK677" s="589"/>
      <c r="AL677" s="589"/>
      <c r="AM677" s="589"/>
      <c r="AN677" s="589"/>
      <c r="AO677" s="589"/>
      <c r="AP677" s="589"/>
      <c r="AQ677" s="589"/>
      <c r="AR677" s="589"/>
      <c r="AS677" s="589"/>
    </row>
    <row r="678" spans="1:45" ht="15">
      <c r="A678" s="587" t="s">
        <v>195</v>
      </c>
      <c r="B678" s="587" t="s">
        <v>711</v>
      </c>
      <c r="C678" s="587" t="s">
        <v>177</v>
      </c>
      <c r="D678" s="588">
        <v>2015</v>
      </c>
      <c r="E678" s="587" t="s">
        <v>775</v>
      </c>
      <c r="F678" s="588">
        <v>877</v>
      </c>
      <c r="G678" s="588">
        <v>1</v>
      </c>
      <c r="H678" s="588">
        <v>1</v>
      </c>
      <c r="I678" s="588">
        <v>0</v>
      </c>
      <c r="J678" s="588">
        <v>562</v>
      </c>
      <c r="K678" s="588">
        <v>3</v>
      </c>
      <c r="L678" s="588">
        <v>3</v>
      </c>
      <c r="M678" s="588">
        <v>0</v>
      </c>
      <c r="N678" s="588">
        <v>627</v>
      </c>
      <c r="O678" s="588">
        <v>41</v>
      </c>
      <c r="P678" s="588">
        <v>1552</v>
      </c>
      <c r="Q678" s="588">
        <v>15</v>
      </c>
      <c r="R678" s="588">
        <v>3618</v>
      </c>
      <c r="S678" s="588">
        <v>60</v>
      </c>
      <c r="T678" s="588">
        <v>2016</v>
      </c>
      <c r="U678" s="588">
        <v>2016</v>
      </c>
      <c r="V678" s="589"/>
      <c r="W678" s="589"/>
      <c r="X678" s="589"/>
      <c r="Y678" s="589"/>
      <c r="Z678" s="589"/>
      <c r="AA678" s="589"/>
      <c r="AB678" s="589"/>
      <c r="AC678" s="589"/>
      <c r="AD678" s="589"/>
      <c r="AE678" s="589"/>
      <c r="AF678" s="589"/>
      <c r="AG678" s="589"/>
      <c r="AH678" s="589"/>
      <c r="AI678" s="589"/>
      <c r="AJ678" s="589"/>
      <c r="AK678" s="589"/>
      <c r="AL678" s="589"/>
      <c r="AM678" s="589"/>
      <c r="AN678" s="589"/>
      <c r="AO678" s="589"/>
      <c r="AP678" s="589"/>
      <c r="AQ678" s="589"/>
      <c r="AR678" s="589"/>
      <c r="AS678" s="589"/>
    </row>
    <row r="679" spans="1:45" ht="15">
      <c r="A679" s="590" t="s">
        <v>169</v>
      </c>
      <c r="B679" s="591" t="s">
        <v>515</v>
      </c>
      <c r="C679" s="591" t="s">
        <v>812</v>
      </c>
      <c r="D679" s="592">
        <v>2015</v>
      </c>
      <c r="E679" s="591" t="s">
        <v>775</v>
      </c>
      <c r="F679" s="592">
        <v>283</v>
      </c>
      <c r="G679" s="592">
        <v>0</v>
      </c>
      <c r="H679" s="592">
        <v>0</v>
      </c>
      <c r="I679" s="592">
        <v>0</v>
      </c>
      <c r="J679" s="592">
        <v>195</v>
      </c>
      <c r="K679" s="592">
        <v>0</v>
      </c>
      <c r="L679" s="592">
        <v>0</v>
      </c>
      <c r="M679" s="592">
        <v>0</v>
      </c>
      <c r="N679" s="593">
        <v>224</v>
      </c>
      <c r="O679" s="593">
        <v>0</v>
      </c>
      <c r="P679" s="593">
        <v>525</v>
      </c>
      <c r="Q679" s="593">
        <v>240</v>
      </c>
      <c r="R679" s="593">
        <v>1227</v>
      </c>
      <c r="S679" s="593">
        <v>240</v>
      </c>
      <c r="T679" s="593">
        <v>2015</v>
      </c>
      <c r="U679" s="593">
        <v>2014</v>
      </c>
      <c r="V679" s="589"/>
      <c r="W679" s="589"/>
      <c r="X679" s="589"/>
      <c r="Y679" s="589"/>
      <c r="Z679" s="589"/>
      <c r="AA679" s="589"/>
      <c r="AB679" s="589"/>
      <c r="AC679" s="589"/>
      <c r="AD679" s="589"/>
      <c r="AE679" s="589"/>
      <c r="AF679" s="589"/>
      <c r="AG679" s="589"/>
      <c r="AH679" s="589"/>
      <c r="AI679" s="589"/>
      <c r="AJ679" s="589"/>
      <c r="AK679" s="589"/>
      <c r="AL679" s="589"/>
      <c r="AM679" s="589"/>
      <c r="AN679" s="589"/>
      <c r="AO679" s="589"/>
      <c r="AP679" s="589"/>
      <c r="AQ679" s="589"/>
      <c r="AR679" s="589"/>
      <c r="AS679" s="589"/>
    </row>
    <row r="680" spans="1:45" ht="15">
      <c r="A680" s="587" t="s">
        <v>178</v>
      </c>
      <c r="B680" s="587" t="s">
        <v>585</v>
      </c>
      <c r="C680" s="587" t="s">
        <v>812</v>
      </c>
      <c r="D680" s="588">
        <v>2015</v>
      </c>
      <c r="E680" s="587" t="s">
        <v>775</v>
      </c>
      <c r="F680" s="588">
        <v>103</v>
      </c>
      <c r="G680" s="588">
        <v>0</v>
      </c>
      <c r="H680" s="588">
        <v>0</v>
      </c>
      <c r="I680" s="588">
        <v>0</v>
      </c>
      <c r="J680" s="588">
        <v>72</v>
      </c>
      <c r="K680" s="588">
        <v>0</v>
      </c>
      <c r="L680" s="588">
        <v>0</v>
      </c>
      <c r="M680" s="588">
        <v>0</v>
      </c>
      <c r="N680" s="588">
        <v>84</v>
      </c>
      <c r="O680" s="588">
        <v>5</v>
      </c>
      <c r="P680" s="588">
        <v>195</v>
      </c>
      <c r="Q680" s="588">
        <v>0</v>
      </c>
      <c r="R680" s="588">
        <v>454</v>
      </c>
      <c r="S680" s="588">
        <v>5</v>
      </c>
      <c r="T680" s="588">
        <v>2015</v>
      </c>
      <c r="U680" s="588">
        <v>2014</v>
      </c>
      <c r="V680" s="589"/>
      <c r="W680" s="589"/>
      <c r="X680" s="589"/>
      <c r="Y680" s="589"/>
      <c r="Z680" s="589"/>
      <c r="AA680" s="589"/>
      <c r="AB680" s="589"/>
      <c r="AC680" s="589"/>
      <c r="AD680" s="589"/>
      <c r="AE680" s="589"/>
      <c r="AF680" s="589"/>
      <c r="AG680" s="589"/>
      <c r="AH680" s="589"/>
      <c r="AI680" s="589"/>
      <c r="AJ680" s="589"/>
      <c r="AK680" s="589"/>
      <c r="AL680" s="589"/>
      <c r="AM680" s="589"/>
      <c r="AN680" s="589"/>
      <c r="AO680" s="589"/>
      <c r="AP680" s="589"/>
      <c r="AQ680" s="589"/>
      <c r="AR680" s="589"/>
      <c r="AS680" s="589"/>
    </row>
    <row r="681" spans="1:45" ht="15">
      <c r="A681" s="590" t="s">
        <v>159</v>
      </c>
      <c r="B681" s="591" t="s">
        <v>452</v>
      </c>
      <c r="C681" s="591" t="s">
        <v>784</v>
      </c>
      <c r="D681" s="592">
        <v>2015</v>
      </c>
      <c r="E681" s="591" t="s">
        <v>775</v>
      </c>
      <c r="F681" s="592">
        <v>11</v>
      </c>
      <c r="G681" s="592">
        <v>31</v>
      </c>
      <c r="H681" s="592">
        <v>31</v>
      </c>
      <c r="I681" s="592">
        <v>0</v>
      </c>
      <c r="J681" s="592">
        <v>7</v>
      </c>
      <c r="K681" s="592">
        <v>10</v>
      </c>
      <c r="L681" s="592">
        <v>10</v>
      </c>
      <c r="M681" s="592">
        <v>0</v>
      </c>
      <c r="N681" s="593">
        <v>7</v>
      </c>
      <c r="O681" s="593">
        <v>0</v>
      </c>
      <c r="P681" s="593">
        <v>20</v>
      </c>
      <c r="Q681" s="593">
        <v>5</v>
      </c>
      <c r="R681" s="593">
        <v>45</v>
      </c>
      <c r="S681" s="593">
        <v>46</v>
      </c>
      <c r="T681" s="593">
        <v>2015</v>
      </c>
      <c r="U681" s="593">
        <v>2014</v>
      </c>
      <c r="V681" s="589"/>
      <c r="W681" s="589"/>
      <c r="X681" s="589"/>
      <c r="Y681" s="589"/>
      <c r="Z681" s="589"/>
      <c r="AA681" s="589"/>
      <c r="AB681" s="589"/>
      <c r="AC681" s="589"/>
      <c r="AD681" s="589"/>
      <c r="AE681" s="589"/>
      <c r="AF681" s="589"/>
      <c r="AG681" s="589"/>
      <c r="AH681" s="589"/>
      <c r="AI681" s="589"/>
      <c r="AJ681" s="589"/>
      <c r="AK681" s="589"/>
      <c r="AL681" s="589"/>
      <c r="AM681" s="589"/>
      <c r="AN681" s="589"/>
      <c r="AO681" s="589"/>
      <c r="AP681" s="589"/>
      <c r="AQ681" s="589"/>
      <c r="AR681" s="589"/>
      <c r="AS681" s="589"/>
    </row>
    <row r="682" spans="1:45" ht="15">
      <c r="A682" s="587" t="s">
        <v>125</v>
      </c>
      <c r="B682" s="587" t="s">
        <v>246</v>
      </c>
      <c r="C682" s="587" t="s">
        <v>774</v>
      </c>
      <c r="D682" s="588">
        <v>2015</v>
      </c>
      <c r="E682" s="587" t="s">
        <v>775</v>
      </c>
      <c r="F682" s="588">
        <v>317</v>
      </c>
      <c r="G682" s="588">
        <v>0</v>
      </c>
      <c r="H682" s="588">
        <v>0</v>
      </c>
      <c r="I682" s="588">
        <v>0</v>
      </c>
      <c r="J682" s="588">
        <v>180</v>
      </c>
      <c r="K682" s="588">
        <v>0</v>
      </c>
      <c r="L682" s="588">
        <v>0</v>
      </c>
      <c r="M682" s="588">
        <v>0</v>
      </c>
      <c r="N682" s="588">
        <v>192</v>
      </c>
      <c r="O682" s="588">
        <v>2</v>
      </c>
      <c r="P682" s="588">
        <v>417</v>
      </c>
      <c r="Q682" s="588">
        <v>288</v>
      </c>
      <c r="R682" s="588">
        <v>1106</v>
      </c>
      <c r="S682" s="588">
        <v>290</v>
      </c>
      <c r="T682" s="588">
        <v>2015</v>
      </c>
      <c r="U682" s="588">
        <v>2015</v>
      </c>
      <c r="V682" s="589"/>
      <c r="W682" s="589"/>
      <c r="X682" s="589"/>
      <c r="Y682" s="589"/>
      <c r="Z682" s="589"/>
      <c r="AA682" s="589"/>
      <c r="AB682" s="589"/>
      <c r="AC682" s="589"/>
      <c r="AD682" s="589"/>
      <c r="AE682" s="589"/>
      <c r="AF682" s="589"/>
      <c r="AG682" s="589"/>
      <c r="AH682" s="589"/>
      <c r="AI682" s="589"/>
      <c r="AJ682" s="589"/>
      <c r="AK682" s="589"/>
      <c r="AL682" s="589"/>
      <c r="AM682" s="589"/>
      <c r="AN682" s="589"/>
      <c r="AO682" s="589"/>
      <c r="AP682" s="589"/>
      <c r="AQ682" s="589"/>
      <c r="AR682" s="589"/>
      <c r="AS682" s="589"/>
    </row>
    <row r="683" spans="1:45" ht="15">
      <c r="A683" s="590" t="s">
        <v>178</v>
      </c>
      <c r="B683" s="591" t="s">
        <v>586</v>
      </c>
      <c r="C683" s="591" t="s">
        <v>812</v>
      </c>
      <c r="D683" s="592">
        <v>2015</v>
      </c>
      <c r="E683" s="591" t="s">
        <v>775</v>
      </c>
      <c r="F683" s="592">
        <v>382</v>
      </c>
      <c r="G683" s="592">
        <v>0</v>
      </c>
      <c r="H683" s="592">
        <v>0</v>
      </c>
      <c r="I683" s="592">
        <v>0</v>
      </c>
      <c r="J683" s="592">
        <v>260</v>
      </c>
      <c r="K683" s="592">
        <v>0</v>
      </c>
      <c r="L683" s="592">
        <v>0</v>
      </c>
      <c r="M683" s="592">
        <v>0</v>
      </c>
      <c r="N683" s="593">
        <v>294</v>
      </c>
      <c r="O683" s="593">
        <v>0</v>
      </c>
      <c r="P683" s="593">
        <v>653</v>
      </c>
      <c r="Q683" s="593">
        <v>100</v>
      </c>
      <c r="R683" s="593">
        <v>1589</v>
      </c>
      <c r="S683" s="593">
        <v>100</v>
      </c>
      <c r="T683" s="593">
        <v>2015</v>
      </c>
      <c r="U683" s="593">
        <v>2014</v>
      </c>
      <c r="V683" s="589"/>
      <c r="W683" s="589"/>
      <c r="X683" s="589"/>
      <c r="Y683" s="589"/>
      <c r="Z683" s="589"/>
      <c r="AA683" s="589"/>
      <c r="AB683" s="589"/>
      <c r="AC683" s="589"/>
      <c r="AD683" s="589"/>
      <c r="AE683" s="589"/>
      <c r="AF683" s="589"/>
      <c r="AG683" s="589"/>
      <c r="AH683" s="589"/>
      <c r="AI683" s="589"/>
      <c r="AJ683" s="589"/>
      <c r="AK683" s="589"/>
      <c r="AL683" s="589"/>
      <c r="AM683" s="589"/>
      <c r="AN683" s="589"/>
      <c r="AO683" s="589"/>
      <c r="AP683" s="589"/>
      <c r="AQ683" s="589"/>
      <c r="AR683" s="589"/>
      <c r="AS683" s="589"/>
    </row>
    <row r="684" spans="1:45" ht="15">
      <c r="A684" s="587" t="s">
        <v>192</v>
      </c>
      <c r="B684" s="587" t="s">
        <v>692</v>
      </c>
      <c r="C684" s="587" t="s">
        <v>774</v>
      </c>
      <c r="D684" s="588">
        <v>2015</v>
      </c>
      <c r="E684" s="587" t="s">
        <v>775</v>
      </c>
      <c r="F684" s="588">
        <v>287</v>
      </c>
      <c r="G684" s="588">
        <v>20</v>
      </c>
      <c r="H684" s="588">
        <v>20</v>
      </c>
      <c r="I684" s="588">
        <v>0</v>
      </c>
      <c r="J684" s="588">
        <v>134</v>
      </c>
      <c r="K684" s="588">
        <v>46</v>
      </c>
      <c r="L684" s="588">
        <v>46</v>
      </c>
      <c r="M684" s="588">
        <v>0</v>
      </c>
      <c r="N684" s="588">
        <v>173</v>
      </c>
      <c r="O684" s="588">
        <v>158</v>
      </c>
      <c r="P684" s="588">
        <v>490</v>
      </c>
      <c r="Q684" s="588">
        <v>212</v>
      </c>
      <c r="R684" s="588">
        <v>1084</v>
      </c>
      <c r="S684" s="588">
        <v>436</v>
      </c>
      <c r="T684" s="588">
        <v>2015</v>
      </c>
      <c r="U684" s="588">
        <v>2015</v>
      </c>
      <c r="V684" s="589"/>
      <c r="W684" s="589"/>
      <c r="X684" s="589"/>
      <c r="Y684" s="589"/>
      <c r="Z684" s="589"/>
      <c r="AA684" s="589"/>
      <c r="AB684" s="589"/>
      <c r="AC684" s="589"/>
      <c r="AD684" s="589"/>
      <c r="AE684" s="589"/>
      <c r="AF684" s="589"/>
      <c r="AG684" s="589"/>
      <c r="AH684" s="589"/>
      <c r="AI684" s="589"/>
      <c r="AJ684" s="589"/>
      <c r="AK684" s="589"/>
      <c r="AL684" s="589"/>
      <c r="AM684" s="589"/>
      <c r="AN684" s="589"/>
      <c r="AO684" s="589"/>
      <c r="AP684" s="589"/>
      <c r="AQ684" s="589"/>
      <c r="AR684" s="589"/>
      <c r="AS684" s="589"/>
    </row>
    <row r="685" spans="1:45" ht="15">
      <c r="A685" s="590" t="s">
        <v>201</v>
      </c>
      <c r="B685" s="591" t="s">
        <v>740</v>
      </c>
      <c r="C685" s="591" t="s">
        <v>812</v>
      </c>
      <c r="D685" s="592">
        <v>2015</v>
      </c>
      <c r="E685" s="591" t="s">
        <v>775</v>
      </c>
      <c r="F685" s="592">
        <v>246</v>
      </c>
      <c r="G685" s="592">
        <v>8</v>
      </c>
      <c r="H685" s="592">
        <v>0</v>
      </c>
      <c r="I685" s="592">
        <v>8</v>
      </c>
      <c r="J685" s="592">
        <v>168</v>
      </c>
      <c r="K685" s="592">
        <v>12</v>
      </c>
      <c r="L685" s="592">
        <v>0</v>
      </c>
      <c r="M685" s="592">
        <v>12</v>
      </c>
      <c r="N685" s="593">
        <v>189</v>
      </c>
      <c r="O685" s="593">
        <v>13</v>
      </c>
      <c r="P685" s="593">
        <v>412</v>
      </c>
      <c r="Q685" s="593">
        <v>46</v>
      </c>
      <c r="R685" s="593">
        <v>1015</v>
      </c>
      <c r="S685" s="593">
        <v>79</v>
      </c>
      <c r="T685" s="593">
        <v>2015</v>
      </c>
      <c r="U685" s="593">
        <v>2014</v>
      </c>
      <c r="V685" s="589"/>
      <c r="W685" s="589"/>
      <c r="X685" s="589"/>
      <c r="Y685" s="589"/>
      <c r="Z685" s="589"/>
      <c r="AA685" s="589"/>
      <c r="AB685" s="589"/>
      <c r="AC685" s="589"/>
      <c r="AD685" s="589"/>
      <c r="AE685" s="589"/>
      <c r="AF685" s="589"/>
      <c r="AG685" s="589"/>
      <c r="AH685" s="589"/>
      <c r="AI685" s="589"/>
      <c r="AJ685" s="589"/>
      <c r="AK685" s="589"/>
      <c r="AL685" s="589"/>
      <c r="AM685" s="589"/>
      <c r="AN685" s="589"/>
      <c r="AO685" s="589"/>
      <c r="AP685" s="589"/>
      <c r="AQ685" s="589"/>
      <c r="AR685" s="589"/>
      <c r="AS685" s="589"/>
    </row>
    <row r="686" spans="1:45" ht="15">
      <c r="A686" s="587" t="s">
        <v>199</v>
      </c>
      <c r="B686" s="587" t="s">
        <v>726</v>
      </c>
      <c r="C686" s="587" t="s">
        <v>177</v>
      </c>
      <c r="D686" s="588">
        <v>2015</v>
      </c>
      <c r="E686" s="587" t="s">
        <v>775</v>
      </c>
      <c r="F686" s="588">
        <v>2616</v>
      </c>
      <c r="G686" s="588">
        <v>9</v>
      </c>
      <c r="H686" s="588">
        <v>9</v>
      </c>
      <c r="I686" s="588">
        <v>0</v>
      </c>
      <c r="J686" s="588">
        <v>1931</v>
      </c>
      <c r="K686" s="588">
        <v>106</v>
      </c>
      <c r="L686" s="588">
        <v>106</v>
      </c>
      <c r="M686" s="588">
        <v>0</v>
      </c>
      <c r="N686" s="588">
        <v>1802</v>
      </c>
      <c r="O686" s="588">
        <v>132</v>
      </c>
      <c r="P686" s="588">
        <v>3672</v>
      </c>
      <c r="Q686" s="588">
        <v>367</v>
      </c>
      <c r="R686" s="588">
        <v>10021</v>
      </c>
      <c r="S686" s="588">
        <v>614</v>
      </c>
      <c r="T686" s="588">
        <v>2016</v>
      </c>
      <c r="U686" s="588">
        <v>2016</v>
      </c>
      <c r="V686" s="589"/>
      <c r="W686" s="589"/>
      <c r="X686" s="589"/>
      <c r="Y686" s="589"/>
      <c r="Z686" s="589"/>
      <c r="AA686" s="589"/>
      <c r="AB686" s="589"/>
      <c r="AC686" s="589"/>
      <c r="AD686" s="589"/>
      <c r="AE686" s="589"/>
      <c r="AF686" s="589"/>
      <c r="AG686" s="589"/>
      <c r="AH686" s="589"/>
      <c r="AI686" s="589"/>
      <c r="AJ686" s="589"/>
      <c r="AK686" s="589"/>
      <c r="AL686" s="589"/>
      <c r="AM686" s="589"/>
      <c r="AN686" s="589"/>
      <c r="AO686" s="589"/>
      <c r="AP686" s="589"/>
      <c r="AQ686" s="589"/>
      <c r="AR686" s="589"/>
      <c r="AS686" s="589"/>
    </row>
    <row r="687" spans="1:45" ht="15">
      <c r="A687" s="590" t="s">
        <v>179</v>
      </c>
      <c r="B687" s="591" t="s">
        <v>607</v>
      </c>
      <c r="C687" s="591" t="s">
        <v>855</v>
      </c>
      <c r="D687" s="592">
        <v>2015</v>
      </c>
      <c r="E687" s="591" t="s">
        <v>775</v>
      </c>
      <c r="F687" s="592">
        <v>343</v>
      </c>
      <c r="G687" s="592">
        <v>0</v>
      </c>
      <c r="H687" s="592">
        <v>0</v>
      </c>
      <c r="I687" s="592">
        <v>0</v>
      </c>
      <c r="J687" s="592">
        <v>260</v>
      </c>
      <c r="K687" s="592">
        <v>0</v>
      </c>
      <c r="L687" s="592">
        <v>0</v>
      </c>
      <c r="M687" s="592">
        <v>0</v>
      </c>
      <c r="N687" s="593">
        <v>241</v>
      </c>
      <c r="O687" s="593">
        <v>0</v>
      </c>
      <c r="P687" s="593">
        <v>530</v>
      </c>
      <c r="Q687" s="593">
        <v>415</v>
      </c>
      <c r="R687" s="593">
        <v>1374</v>
      </c>
      <c r="S687" s="593">
        <v>415</v>
      </c>
      <c r="T687" s="593">
        <v>2015</v>
      </c>
      <c r="U687" s="593">
        <v>2013</v>
      </c>
      <c r="V687" s="589"/>
      <c r="W687" s="589"/>
      <c r="X687" s="589"/>
      <c r="Y687" s="589"/>
      <c r="Z687" s="589"/>
      <c r="AA687" s="589"/>
      <c r="AB687" s="589"/>
      <c r="AC687" s="589"/>
      <c r="AD687" s="589"/>
      <c r="AE687" s="589"/>
      <c r="AF687" s="589"/>
      <c r="AG687" s="589"/>
      <c r="AH687" s="589"/>
      <c r="AI687" s="589"/>
      <c r="AJ687" s="589"/>
      <c r="AK687" s="589"/>
      <c r="AL687" s="589"/>
      <c r="AM687" s="589"/>
      <c r="AN687" s="589"/>
      <c r="AO687" s="589"/>
      <c r="AP687" s="589"/>
      <c r="AQ687" s="589"/>
      <c r="AR687" s="589"/>
      <c r="AS687" s="589"/>
    </row>
    <row r="688" spans="1:45" ht="15">
      <c r="A688" s="587" t="s">
        <v>136</v>
      </c>
      <c r="B688" s="587" t="s">
        <v>284</v>
      </c>
      <c r="C688" s="587" t="s">
        <v>774</v>
      </c>
      <c r="D688" s="588">
        <v>2015</v>
      </c>
      <c r="E688" s="587" t="s">
        <v>775</v>
      </c>
      <c r="F688" s="588">
        <v>604</v>
      </c>
      <c r="G688" s="588">
        <v>0</v>
      </c>
      <c r="H688" s="588">
        <v>0</v>
      </c>
      <c r="I688" s="588">
        <v>0</v>
      </c>
      <c r="J688" s="588">
        <v>355</v>
      </c>
      <c r="K688" s="588">
        <v>0</v>
      </c>
      <c r="L688" s="588">
        <v>0</v>
      </c>
      <c r="M688" s="588">
        <v>0</v>
      </c>
      <c r="N688" s="588">
        <v>381</v>
      </c>
      <c r="O688" s="588">
        <v>3</v>
      </c>
      <c r="P688" s="588">
        <v>895</v>
      </c>
      <c r="Q688" s="588">
        <v>562</v>
      </c>
      <c r="R688" s="588">
        <v>2235</v>
      </c>
      <c r="S688" s="588">
        <v>565</v>
      </c>
      <c r="T688" s="588">
        <v>2015</v>
      </c>
      <c r="U688" s="588">
        <v>2015</v>
      </c>
      <c r="V688" s="589"/>
      <c r="W688" s="589"/>
      <c r="X688" s="589"/>
      <c r="Y688" s="589"/>
      <c r="Z688" s="589"/>
      <c r="AA688" s="589"/>
      <c r="AB688" s="589"/>
      <c r="AC688" s="589"/>
      <c r="AD688" s="589"/>
      <c r="AE688" s="589"/>
      <c r="AF688" s="589"/>
      <c r="AG688" s="589"/>
      <c r="AH688" s="589"/>
      <c r="AI688" s="589"/>
      <c r="AJ688" s="589"/>
      <c r="AK688" s="589"/>
      <c r="AL688" s="589"/>
      <c r="AM688" s="589"/>
      <c r="AN688" s="589"/>
      <c r="AO688" s="589"/>
      <c r="AP688" s="589"/>
      <c r="AQ688" s="589"/>
      <c r="AR688" s="589"/>
      <c r="AS688" s="589"/>
    </row>
    <row r="689" spans="1:45" ht="15">
      <c r="A689" s="590" t="s">
        <v>148</v>
      </c>
      <c r="B689" s="590" t="s">
        <v>335</v>
      </c>
      <c r="C689" s="590" t="s">
        <v>177</v>
      </c>
      <c r="D689" s="593">
        <v>2015</v>
      </c>
      <c r="E689" s="590" t="s">
        <v>775</v>
      </c>
      <c r="F689" s="593">
        <v>350</v>
      </c>
      <c r="G689" s="593">
        <v>0</v>
      </c>
      <c r="H689" s="593">
        <v>0</v>
      </c>
      <c r="I689" s="593">
        <v>0</v>
      </c>
      <c r="J689" s="593">
        <v>275</v>
      </c>
      <c r="K689" s="593">
        <v>8</v>
      </c>
      <c r="L689" s="593">
        <v>0</v>
      </c>
      <c r="M689" s="593">
        <v>8</v>
      </c>
      <c r="N689" s="593">
        <v>280</v>
      </c>
      <c r="O689" s="593">
        <v>0</v>
      </c>
      <c r="P689" s="593">
        <v>521</v>
      </c>
      <c r="Q689" s="593">
        <v>37</v>
      </c>
      <c r="R689" s="593">
        <v>1426</v>
      </c>
      <c r="S689" s="593">
        <v>45</v>
      </c>
      <c r="T689" s="593">
        <v>2016</v>
      </c>
      <c r="U689" s="593">
        <v>2016</v>
      </c>
      <c r="V689" s="589"/>
      <c r="W689" s="589"/>
      <c r="X689" s="589"/>
      <c r="Y689" s="589"/>
      <c r="Z689" s="589"/>
      <c r="AA689" s="589"/>
      <c r="AB689" s="589"/>
      <c r="AC689" s="589"/>
      <c r="AD689" s="589"/>
      <c r="AE689" s="589"/>
      <c r="AF689" s="589"/>
      <c r="AG689" s="589"/>
      <c r="AH689" s="589"/>
      <c r="AI689" s="589"/>
      <c r="AJ689" s="589"/>
      <c r="AK689" s="589"/>
      <c r="AL689" s="589"/>
      <c r="AM689" s="589"/>
      <c r="AN689" s="589"/>
      <c r="AO689" s="589"/>
      <c r="AP689" s="589"/>
      <c r="AQ689" s="589"/>
      <c r="AR689" s="589"/>
      <c r="AS689" s="589"/>
    </row>
    <row r="690" spans="1:45" ht="15">
      <c r="A690" s="587" t="s">
        <v>195</v>
      </c>
      <c r="B690" s="587" t="s">
        <v>712</v>
      </c>
      <c r="C690" s="587" t="s">
        <v>177</v>
      </c>
      <c r="D690" s="588">
        <v>2015</v>
      </c>
      <c r="E690" s="587" t="s">
        <v>775</v>
      </c>
      <c r="F690" s="588">
        <v>131</v>
      </c>
      <c r="G690" s="588">
        <v>0</v>
      </c>
      <c r="H690" s="588">
        <v>0</v>
      </c>
      <c r="I690" s="588">
        <v>0</v>
      </c>
      <c r="J690" s="588">
        <v>84</v>
      </c>
      <c r="K690" s="588">
        <v>0</v>
      </c>
      <c r="L690" s="588">
        <v>0</v>
      </c>
      <c r="M690" s="588">
        <v>0</v>
      </c>
      <c r="N690" s="588">
        <v>89</v>
      </c>
      <c r="O690" s="588">
        <v>0</v>
      </c>
      <c r="P690" s="588">
        <v>221</v>
      </c>
      <c r="Q690" s="588">
        <v>1</v>
      </c>
      <c r="R690" s="588">
        <v>525</v>
      </c>
      <c r="S690" s="588">
        <v>1</v>
      </c>
      <c r="T690" s="588">
        <v>2016</v>
      </c>
      <c r="U690" s="588">
        <v>2016</v>
      </c>
      <c r="V690" s="589"/>
      <c r="W690" s="589"/>
      <c r="X690" s="589"/>
      <c r="Y690" s="589"/>
      <c r="Z690" s="589"/>
      <c r="AA690" s="589"/>
      <c r="AB690" s="589"/>
      <c r="AC690" s="589"/>
      <c r="AD690" s="589"/>
      <c r="AE690" s="589"/>
      <c r="AF690" s="589"/>
      <c r="AG690" s="589"/>
      <c r="AH690" s="589"/>
      <c r="AI690" s="589"/>
      <c r="AJ690" s="589"/>
      <c r="AK690" s="589"/>
      <c r="AL690" s="589"/>
      <c r="AM690" s="589"/>
      <c r="AN690" s="589"/>
      <c r="AO690" s="589"/>
      <c r="AP690" s="589"/>
      <c r="AQ690" s="589"/>
      <c r="AR690" s="589"/>
      <c r="AS690" s="589"/>
    </row>
    <row r="691" spans="1:45" ht="15">
      <c r="A691" s="590" t="s">
        <v>191</v>
      </c>
      <c r="B691" s="590" t="s">
        <v>684</v>
      </c>
      <c r="C691" s="590" t="s">
        <v>784</v>
      </c>
      <c r="D691" s="593">
        <v>2015</v>
      </c>
      <c r="E691" s="590" t="s">
        <v>775</v>
      </c>
      <c r="F691" s="593">
        <v>10</v>
      </c>
      <c r="G691" s="593">
        <v>0</v>
      </c>
      <c r="H691" s="593">
        <v>0</v>
      </c>
      <c r="I691" s="593">
        <v>0</v>
      </c>
      <c r="J691" s="593">
        <v>6</v>
      </c>
      <c r="K691" s="593">
        <v>0</v>
      </c>
      <c r="L691" s="593">
        <v>0</v>
      </c>
      <c r="M691" s="593">
        <v>0</v>
      </c>
      <c r="N691" s="593">
        <v>6</v>
      </c>
      <c r="O691" s="593">
        <v>0</v>
      </c>
      <c r="P691" s="593">
        <v>16</v>
      </c>
      <c r="Q691" s="593">
        <v>42</v>
      </c>
      <c r="R691" s="593">
        <v>38</v>
      </c>
      <c r="S691" s="593">
        <v>42</v>
      </c>
      <c r="T691" s="593">
        <v>2015</v>
      </c>
      <c r="U691" s="593">
        <v>2014</v>
      </c>
      <c r="V691" s="589"/>
      <c r="W691" s="589"/>
      <c r="X691" s="589"/>
      <c r="Y691" s="589"/>
      <c r="Z691" s="589"/>
      <c r="AA691" s="589"/>
      <c r="AB691" s="589"/>
      <c r="AC691" s="589"/>
      <c r="AD691" s="589"/>
      <c r="AE691" s="589"/>
      <c r="AF691" s="589"/>
      <c r="AG691" s="589"/>
      <c r="AH691" s="589"/>
      <c r="AI691" s="589"/>
      <c r="AJ691" s="589"/>
      <c r="AK691" s="589"/>
      <c r="AL691" s="589"/>
      <c r="AM691" s="589"/>
      <c r="AN691" s="589"/>
      <c r="AO691" s="589"/>
      <c r="AP691" s="589"/>
      <c r="AQ691" s="589"/>
      <c r="AR691" s="589"/>
      <c r="AS691" s="589"/>
    </row>
    <row r="692" spans="1:45" ht="15">
      <c r="A692" s="587" t="s">
        <v>153</v>
      </c>
      <c r="B692" s="587" t="s">
        <v>430</v>
      </c>
      <c r="C692" s="587" t="s">
        <v>812</v>
      </c>
      <c r="D692" s="588">
        <v>2015</v>
      </c>
      <c r="E692" s="587" t="s">
        <v>775</v>
      </c>
      <c r="F692" s="588">
        <v>217</v>
      </c>
      <c r="G692" s="588">
        <v>0</v>
      </c>
      <c r="H692" s="588">
        <v>0</v>
      </c>
      <c r="I692" s="588">
        <v>0</v>
      </c>
      <c r="J692" s="588">
        <v>129</v>
      </c>
      <c r="K692" s="588">
        <v>0</v>
      </c>
      <c r="L692" s="588">
        <v>0</v>
      </c>
      <c r="M692" s="588">
        <v>0</v>
      </c>
      <c r="N692" s="588">
        <v>138</v>
      </c>
      <c r="O692" s="588">
        <v>0</v>
      </c>
      <c r="P692" s="588">
        <v>347</v>
      </c>
      <c r="Q692" s="588">
        <v>140</v>
      </c>
      <c r="R692" s="588">
        <v>831</v>
      </c>
      <c r="S692" s="588">
        <v>140</v>
      </c>
      <c r="T692" s="588">
        <v>2015</v>
      </c>
      <c r="U692" s="588">
        <v>2014</v>
      </c>
      <c r="V692" s="589"/>
      <c r="W692" s="589"/>
      <c r="X692" s="589"/>
      <c r="Y692" s="589"/>
      <c r="Z692" s="589"/>
      <c r="AA692" s="589"/>
      <c r="AB692" s="589"/>
      <c r="AC692" s="589"/>
      <c r="AD692" s="589"/>
      <c r="AE692" s="589"/>
      <c r="AF692" s="589"/>
      <c r="AG692" s="589"/>
      <c r="AH692" s="589"/>
      <c r="AI692" s="589"/>
      <c r="AJ692" s="589"/>
      <c r="AK692" s="589"/>
      <c r="AL692" s="589"/>
      <c r="AM692" s="589"/>
      <c r="AN692" s="589"/>
      <c r="AO692" s="589"/>
      <c r="AP692" s="589"/>
      <c r="AQ692" s="589"/>
      <c r="AR692" s="589"/>
      <c r="AS692" s="589"/>
    </row>
    <row r="693" spans="1:45" ht="15">
      <c r="A693" s="590" t="s">
        <v>153</v>
      </c>
      <c r="B693" s="590" t="s">
        <v>431</v>
      </c>
      <c r="C693" s="590" t="s">
        <v>812</v>
      </c>
      <c r="D693" s="593">
        <v>2015</v>
      </c>
      <c r="E693" s="590" t="s">
        <v>775</v>
      </c>
      <c r="F693" s="593">
        <v>19</v>
      </c>
      <c r="G693" s="593">
        <v>42</v>
      </c>
      <c r="H693" s="593">
        <v>42</v>
      </c>
      <c r="I693" s="593">
        <v>0</v>
      </c>
      <c r="J693" s="593">
        <v>12</v>
      </c>
      <c r="K693" s="593">
        <v>43</v>
      </c>
      <c r="L693" s="593">
        <v>43</v>
      </c>
      <c r="M693" s="593">
        <v>0</v>
      </c>
      <c r="N693" s="593">
        <v>13</v>
      </c>
      <c r="O693" s="593">
        <v>0</v>
      </c>
      <c r="P693" s="593">
        <v>33</v>
      </c>
      <c r="Q693" s="593">
        <v>390</v>
      </c>
      <c r="R693" s="593">
        <v>77</v>
      </c>
      <c r="S693" s="593">
        <v>475</v>
      </c>
      <c r="T693" s="593">
        <v>2015</v>
      </c>
      <c r="U693" s="593">
        <v>2014</v>
      </c>
      <c r="V693" s="589"/>
      <c r="W693" s="589"/>
      <c r="X693" s="589"/>
      <c r="Y693" s="589"/>
      <c r="Z693" s="589"/>
      <c r="AA693" s="589"/>
      <c r="AB693" s="589"/>
      <c r="AC693" s="589"/>
      <c r="AD693" s="589"/>
      <c r="AE693" s="589"/>
      <c r="AF693" s="589"/>
      <c r="AG693" s="589"/>
      <c r="AH693" s="589"/>
      <c r="AI693" s="589"/>
      <c r="AJ693" s="589"/>
      <c r="AK693" s="589"/>
      <c r="AL693" s="589"/>
      <c r="AM693" s="589"/>
      <c r="AN693" s="589"/>
      <c r="AO693" s="589"/>
      <c r="AP693" s="589"/>
      <c r="AQ693" s="589"/>
      <c r="AR693" s="589"/>
      <c r="AS693" s="589"/>
    </row>
    <row r="694" spans="1:45" ht="15">
      <c r="A694" s="587" t="s">
        <v>202</v>
      </c>
      <c r="B694" s="587" t="s">
        <v>742</v>
      </c>
      <c r="C694" s="587" t="s">
        <v>799</v>
      </c>
      <c r="D694" s="588">
        <v>2015</v>
      </c>
      <c r="E694" s="587" t="s">
        <v>775</v>
      </c>
      <c r="F694" s="588">
        <v>1316</v>
      </c>
      <c r="G694" s="588">
        <v>58</v>
      </c>
      <c r="H694" s="588">
        <v>58</v>
      </c>
      <c r="I694" s="588">
        <v>0</v>
      </c>
      <c r="J694" s="588">
        <v>923</v>
      </c>
      <c r="K694" s="588">
        <v>18</v>
      </c>
      <c r="L694" s="588">
        <v>18</v>
      </c>
      <c r="M694" s="588">
        <v>0</v>
      </c>
      <c r="N694" s="588">
        <v>1111</v>
      </c>
      <c r="O694" s="588">
        <v>42</v>
      </c>
      <c r="P694" s="588">
        <v>2627</v>
      </c>
      <c r="Q694" s="588">
        <v>19</v>
      </c>
      <c r="R694" s="588">
        <v>5977</v>
      </c>
      <c r="S694" s="588">
        <v>137</v>
      </c>
      <c r="T694" s="588">
        <v>2015</v>
      </c>
      <c r="U694" s="588">
        <v>2014</v>
      </c>
      <c r="V694" s="589"/>
      <c r="W694" s="589"/>
      <c r="X694" s="589"/>
      <c r="Y694" s="589"/>
      <c r="Z694" s="589"/>
      <c r="AA694" s="589"/>
      <c r="AB694" s="589"/>
      <c r="AC694" s="589"/>
      <c r="AD694" s="589"/>
      <c r="AE694" s="589"/>
      <c r="AF694" s="589"/>
      <c r="AG694" s="589"/>
      <c r="AH694" s="589"/>
      <c r="AI694" s="589"/>
      <c r="AJ694" s="589"/>
      <c r="AK694" s="589"/>
      <c r="AL694" s="589"/>
      <c r="AM694" s="589"/>
      <c r="AN694" s="589"/>
      <c r="AO694" s="589"/>
      <c r="AP694" s="589"/>
      <c r="AQ694" s="589"/>
      <c r="AR694" s="589"/>
      <c r="AS694" s="589"/>
    </row>
    <row r="695" spans="1:45" ht="15">
      <c r="A695" s="590" t="s">
        <v>169</v>
      </c>
      <c r="B695" s="590" t="s">
        <v>517</v>
      </c>
      <c r="C695" s="590" t="s">
        <v>812</v>
      </c>
      <c r="D695" s="593">
        <v>2015</v>
      </c>
      <c r="E695" s="590" t="s">
        <v>775</v>
      </c>
      <c r="F695" s="593">
        <v>1</v>
      </c>
      <c r="G695" s="593">
        <v>0</v>
      </c>
      <c r="H695" s="593">
        <v>0</v>
      </c>
      <c r="I695" s="593">
        <v>0</v>
      </c>
      <c r="J695" s="593">
        <v>1</v>
      </c>
      <c r="K695" s="593">
        <v>0</v>
      </c>
      <c r="L695" s="593">
        <v>0</v>
      </c>
      <c r="M695" s="593">
        <v>0</v>
      </c>
      <c r="N695" s="593">
        <v>0</v>
      </c>
      <c r="O695" s="593">
        <v>0</v>
      </c>
      <c r="P695" s="593">
        <v>0</v>
      </c>
      <c r="Q695" s="593">
        <v>81</v>
      </c>
      <c r="R695" s="593">
        <v>2</v>
      </c>
      <c r="S695" s="593">
        <v>81</v>
      </c>
      <c r="T695" s="593">
        <v>2015</v>
      </c>
      <c r="U695" s="593">
        <v>2014</v>
      </c>
      <c r="V695" s="589"/>
      <c r="W695" s="589"/>
      <c r="X695" s="589"/>
      <c r="Y695" s="589"/>
      <c r="Z695" s="589"/>
      <c r="AA695" s="589"/>
      <c r="AB695" s="589"/>
      <c r="AC695" s="589"/>
      <c r="AD695" s="589"/>
      <c r="AE695" s="589"/>
      <c r="AF695" s="589"/>
      <c r="AG695" s="589"/>
      <c r="AH695" s="589"/>
      <c r="AI695" s="589"/>
      <c r="AJ695" s="589"/>
      <c r="AK695" s="589"/>
      <c r="AL695" s="589"/>
      <c r="AM695" s="589"/>
      <c r="AN695" s="589"/>
      <c r="AO695" s="589"/>
      <c r="AP695" s="589"/>
      <c r="AQ695" s="589"/>
      <c r="AR695" s="589"/>
      <c r="AS695" s="589"/>
    </row>
    <row r="696" spans="1:45" ht="15">
      <c r="A696" s="587" t="s">
        <v>146</v>
      </c>
      <c r="B696" s="587" t="s">
        <v>321</v>
      </c>
      <c r="C696" s="587" t="s">
        <v>812</v>
      </c>
      <c r="D696" s="588">
        <v>2015</v>
      </c>
      <c r="E696" s="587" t="s">
        <v>775</v>
      </c>
      <c r="F696" s="588">
        <v>57</v>
      </c>
      <c r="G696" s="588">
        <v>0</v>
      </c>
      <c r="H696" s="588">
        <v>0</v>
      </c>
      <c r="I696" s="588">
        <v>0</v>
      </c>
      <c r="J696" s="588">
        <v>35</v>
      </c>
      <c r="K696" s="588">
        <v>0</v>
      </c>
      <c r="L696" s="588">
        <v>0</v>
      </c>
      <c r="M696" s="588">
        <v>0</v>
      </c>
      <c r="N696" s="588">
        <v>36</v>
      </c>
      <c r="O696" s="588">
        <v>0</v>
      </c>
      <c r="P696" s="588">
        <v>105</v>
      </c>
      <c r="Q696" s="588">
        <v>0</v>
      </c>
      <c r="R696" s="588">
        <v>233</v>
      </c>
      <c r="S696" s="588">
        <v>0</v>
      </c>
      <c r="T696" s="588">
        <v>2015</v>
      </c>
      <c r="U696" s="588">
        <v>2014</v>
      </c>
      <c r="V696" s="589"/>
      <c r="W696" s="589"/>
      <c r="X696" s="589"/>
      <c r="Y696" s="589"/>
      <c r="Z696" s="589"/>
      <c r="AA696" s="589"/>
      <c r="AB696" s="589"/>
      <c r="AC696" s="589"/>
      <c r="AD696" s="589"/>
      <c r="AE696" s="589"/>
      <c r="AF696" s="589"/>
      <c r="AG696" s="589"/>
      <c r="AH696" s="589"/>
      <c r="AI696" s="589"/>
      <c r="AJ696" s="589"/>
      <c r="AK696" s="589"/>
      <c r="AL696" s="589"/>
      <c r="AM696" s="589"/>
      <c r="AN696" s="589"/>
      <c r="AO696" s="589"/>
      <c r="AP696" s="589"/>
      <c r="AQ696" s="589"/>
      <c r="AR696" s="589"/>
      <c r="AS696" s="589"/>
    </row>
    <row r="697" spans="1:45" ht="15">
      <c r="A697" s="590" t="s">
        <v>153</v>
      </c>
      <c r="B697" s="590" t="s">
        <v>433</v>
      </c>
      <c r="C697" s="590" t="s">
        <v>812</v>
      </c>
      <c r="D697" s="593">
        <v>2015</v>
      </c>
      <c r="E697" s="590" t="s">
        <v>775</v>
      </c>
      <c r="F697" s="593">
        <v>228</v>
      </c>
      <c r="G697" s="593">
        <v>0</v>
      </c>
      <c r="H697" s="593">
        <v>0</v>
      </c>
      <c r="I697" s="593">
        <v>0</v>
      </c>
      <c r="J697" s="593">
        <v>135</v>
      </c>
      <c r="K697" s="593">
        <v>0</v>
      </c>
      <c r="L697" s="593">
        <v>0</v>
      </c>
      <c r="M697" s="593">
        <v>0</v>
      </c>
      <c r="N697" s="593">
        <v>146</v>
      </c>
      <c r="O697" s="593">
        <v>78</v>
      </c>
      <c r="P697" s="593">
        <v>369</v>
      </c>
      <c r="Q697" s="593">
        <v>0</v>
      </c>
      <c r="R697" s="593">
        <v>878</v>
      </c>
      <c r="S697" s="593">
        <v>78</v>
      </c>
      <c r="T697" s="593">
        <v>2015</v>
      </c>
      <c r="U697" s="593">
        <v>2014</v>
      </c>
      <c r="V697" s="589"/>
      <c r="W697" s="589"/>
      <c r="X697" s="589"/>
      <c r="Y697" s="589"/>
      <c r="Z697" s="589"/>
      <c r="AA697" s="589"/>
      <c r="AB697" s="589"/>
      <c r="AC697" s="589"/>
      <c r="AD697" s="589"/>
      <c r="AE697" s="589"/>
      <c r="AF697" s="589"/>
      <c r="AG697" s="589"/>
      <c r="AH697" s="589"/>
      <c r="AI697" s="589"/>
      <c r="AJ697" s="589"/>
      <c r="AK697" s="589"/>
      <c r="AL697" s="589"/>
      <c r="AM697" s="589"/>
      <c r="AN697" s="589"/>
      <c r="AO697" s="589"/>
      <c r="AP697" s="589"/>
      <c r="AQ697" s="589"/>
      <c r="AR697" s="589"/>
      <c r="AS697" s="589"/>
    </row>
    <row r="698" spans="1:45" ht="15">
      <c r="A698" s="587" t="s">
        <v>173</v>
      </c>
      <c r="B698" s="587" t="s">
        <v>555</v>
      </c>
      <c r="C698" s="587" t="s">
        <v>812</v>
      </c>
      <c r="D698" s="588">
        <v>2015</v>
      </c>
      <c r="E698" s="587" t="s">
        <v>775</v>
      </c>
      <c r="F698" s="588">
        <v>621</v>
      </c>
      <c r="G698" s="588">
        <v>0</v>
      </c>
      <c r="H698" s="588">
        <v>0</v>
      </c>
      <c r="I698" s="588">
        <v>0</v>
      </c>
      <c r="J698" s="588">
        <v>415</v>
      </c>
      <c r="K698" s="588">
        <v>0</v>
      </c>
      <c r="L698" s="588">
        <v>0</v>
      </c>
      <c r="M698" s="588">
        <v>0</v>
      </c>
      <c r="N698" s="588">
        <v>461</v>
      </c>
      <c r="O698" s="588">
        <v>2</v>
      </c>
      <c r="P698" s="588">
        <v>1038</v>
      </c>
      <c r="Q698" s="588">
        <v>12</v>
      </c>
      <c r="R698" s="588">
        <v>2535</v>
      </c>
      <c r="S698" s="588">
        <v>14</v>
      </c>
      <c r="T698" s="588">
        <v>2015</v>
      </c>
      <c r="U698" s="588">
        <v>2014</v>
      </c>
      <c r="V698" s="589"/>
      <c r="W698" s="589"/>
      <c r="X698" s="589"/>
      <c r="Y698" s="589"/>
      <c r="Z698" s="589"/>
      <c r="AA698" s="589"/>
      <c r="AB698" s="589"/>
      <c r="AC698" s="589"/>
      <c r="AD698" s="589"/>
      <c r="AE698" s="589"/>
      <c r="AF698" s="589"/>
      <c r="AG698" s="589"/>
      <c r="AH698" s="589"/>
      <c r="AI698" s="589"/>
      <c r="AJ698" s="589"/>
      <c r="AK698" s="589"/>
      <c r="AL698" s="589"/>
      <c r="AM698" s="589"/>
      <c r="AN698" s="589"/>
      <c r="AO698" s="589"/>
      <c r="AP698" s="589"/>
      <c r="AQ698" s="589"/>
      <c r="AR698" s="589"/>
      <c r="AS698" s="589"/>
    </row>
    <row r="699" spans="1:45" ht="15">
      <c r="A699" s="590" t="s">
        <v>144</v>
      </c>
      <c r="B699" s="590" t="s">
        <v>306</v>
      </c>
      <c r="C699" s="590" t="s">
        <v>784</v>
      </c>
      <c r="D699" s="593">
        <v>2015</v>
      </c>
      <c r="E699" s="590" t="s">
        <v>775</v>
      </c>
      <c r="F699" s="593">
        <v>15</v>
      </c>
      <c r="G699" s="593">
        <v>49</v>
      </c>
      <c r="H699" s="593">
        <v>49</v>
      </c>
      <c r="I699" s="593">
        <v>0</v>
      </c>
      <c r="J699" s="593">
        <v>11</v>
      </c>
      <c r="K699" s="593">
        <v>0</v>
      </c>
      <c r="L699" s="593">
        <v>0</v>
      </c>
      <c r="M699" s="593">
        <v>0</v>
      </c>
      <c r="N699" s="593">
        <v>11</v>
      </c>
      <c r="O699" s="593">
        <v>0</v>
      </c>
      <c r="P699" s="593">
        <v>26</v>
      </c>
      <c r="Q699" s="593">
        <v>0</v>
      </c>
      <c r="R699" s="593">
        <v>63</v>
      </c>
      <c r="S699" s="593">
        <v>49</v>
      </c>
      <c r="T699" s="593">
        <v>2015</v>
      </c>
      <c r="U699" s="593">
        <v>2014</v>
      </c>
      <c r="V699" s="589"/>
      <c r="W699" s="589"/>
      <c r="X699" s="589"/>
      <c r="Y699" s="589"/>
      <c r="Z699" s="589"/>
      <c r="AA699" s="589"/>
      <c r="AB699" s="589"/>
      <c r="AC699" s="589"/>
      <c r="AD699" s="589"/>
      <c r="AE699" s="589"/>
      <c r="AF699" s="589"/>
      <c r="AG699" s="589"/>
      <c r="AH699" s="589"/>
      <c r="AI699" s="589"/>
      <c r="AJ699" s="589"/>
      <c r="AK699" s="589"/>
      <c r="AL699" s="589"/>
      <c r="AM699" s="589"/>
      <c r="AN699" s="589"/>
      <c r="AO699" s="589"/>
      <c r="AP699" s="589"/>
      <c r="AQ699" s="589"/>
      <c r="AR699" s="589"/>
      <c r="AS699" s="589"/>
    </row>
    <row r="700" spans="1:45" ht="15">
      <c r="A700" s="587" t="s">
        <v>193</v>
      </c>
      <c r="B700" s="587" t="s">
        <v>702</v>
      </c>
      <c r="C700" s="587" t="s">
        <v>774</v>
      </c>
      <c r="D700" s="588">
        <v>2015</v>
      </c>
      <c r="E700" s="587" t="s">
        <v>775</v>
      </c>
      <c r="F700" s="588">
        <v>120</v>
      </c>
      <c r="G700" s="588">
        <v>0</v>
      </c>
      <c r="H700" s="588">
        <v>0</v>
      </c>
      <c r="I700" s="588">
        <v>0</v>
      </c>
      <c r="J700" s="588">
        <v>65</v>
      </c>
      <c r="K700" s="588">
        <v>0</v>
      </c>
      <c r="L700" s="588">
        <v>0</v>
      </c>
      <c r="M700" s="588">
        <v>0</v>
      </c>
      <c r="N700" s="588">
        <v>67</v>
      </c>
      <c r="O700" s="588">
        <v>0</v>
      </c>
      <c r="P700" s="588">
        <v>188</v>
      </c>
      <c r="Q700" s="588">
        <v>55</v>
      </c>
      <c r="R700" s="588">
        <v>440</v>
      </c>
      <c r="S700" s="588">
        <v>55</v>
      </c>
      <c r="T700" s="588">
        <v>2015</v>
      </c>
      <c r="U700" s="588">
        <v>2015</v>
      </c>
      <c r="V700" s="589"/>
      <c r="W700" s="589"/>
      <c r="X700" s="589"/>
      <c r="Y700" s="589"/>
      <c r="Z700" s="589"/>
      <c r="AA700" s="589"/>
      <c r="AB700" s="589"/>
      <c r="AC700" s="589"/>
      <c r="AD700" s="589"/>
      <c r="AE700" s="589"/>
      <c r="AF700" s="589"/>
      <c r="AG700" s="589"/>
      <c r="AH700" s="589"/>
      <c r="AI700" s="589"/>
      <c r="AJ700" s="589"/>
      <c r="AK700" s="589"/>
      <c r="AL700" s="589"/>
      <c r="AM700" s="589"/>
      <c r="AN700" s="589"/>
      <c r="AO700" s="589"/>
      <c r="AP700" s="589"/>
      <c r="AQ700" s="589"/>
      <c r="AR700" s="589"/>
      <c r="AS700" s="589"/>
    </row>
    <row r="701" spans="1:45" ht="15">
      <c r="A701" s="590" t="s">
        <v>202</v>
      </c>
      <c r="B701" s="590" t="s">
        <v>743</v>
      </c>
      <c r="C701" s="590" t="s">
        <v>799</v>
      </c>
      <c r="D701" s="593">
        <v>2015</v>
      </c>
      <c r="E701" s="590" t="s">
        <v>775</v>
      </c>
      <c r="F701" s="593">
        <v>76</v>
      </c>
      <c r="G701" s="593">
        <v>0</v>
      </c>
      <c r="H701" s="593">
        <v>0</v>
      </c>
      <c r="I701" s="593">
        <v>0</v>
      </c>
      <c r="J701" s="593">
        <v>54</v>
      </c>
      <c r="K701" s="593">
        <v>0</v>
      </c>
      <c r="L701" s="593">
        <v>0</v>
      </c>
      <c r="M701" s="593">
        <v>0</v>
      </c>
      <c r="N701" s="593">
        <v>59</v>
      </c>
      <c r="O701" s="593">
        <v>0</v>
      </c>
      <c r="P701" s="593">
        <v>130</v>
      </c>
      <c r="Q701" s="593">
        <v>32</v>
      </c>
      <c r="R701" s="593">
        <v>319</v>
      </c>
      <c r="S701" s="593">
        <v>32</v>
      </c>
      <c r="T701" s="593">
        <v>2015</v>
      </c>
      <c r="U701" s="593">
        <v>2014</v>
      </c>
      <c r="V701" s="589"/>
      <c r="W701" s="589"/>
      <c r="X701" s="589"/>
      <c r="Y701" s="589"/>
      <c r="Z701" s="589"/>
      <c r="AA701" s="589"/>
      <c r="AB701" s="589"/>
      <c r="AC701" s="589"/>
      <c r="AD701" s="589"/>
      <c r="AE701" s="589"/>
      <c r="AF701" s="589"/>
      <c r="AG701" s="589"/>
      <c r="AH701" s="589"/>
      <c r="AI701" s="589"/>
      <c r="AJ701" s="589"/>
      <c r="AK701" s="589"/>
      <c r="AL701" s="589"/>
      <c r="AM701" s="589"/>
      <c r="AN701" s="589"/>
      <c r="AO701" s="589"/>
      <c r="AP701" s="589"/>
      <c r="AQ701" s="589"/>
      <c r="AR701" s="589"/>
      <c r="AS701" s="589"/>
    </row>
    <row r="702" spans="1:45" ht="15">
      <c r="A702" s="587" t="s">
        <v>199</v>
      </c>
      <c r="B702" s="587" t="s">
        <v>727</v>
      </c>
      <c r="C702" s="587" t="s">
        <v>177</v>
      </c>
      <c r="D702" s="588">
        <v>2015</v>
      </c>
      <c r="E702" s="587" t="s">
        <v>775</v>
      </c>
      <c r="F702" s="588">
        <v>71</v>
      </c>
      <c r="G702" s="588">
        <v>0</v>
      </c>
      <c r="H702" s="588">
        <v>0</v>
      </c>
      <c r="I702" s="588">
        <v>0</v>
      </c>
      <c r="J702" s="588">
        <v>41</v>
      </c>
      <c r="K702" s="588">
        <v>0</v>
      </c>
      <c r="L702" s="588">
        <v>0</v>
      </c>
      <c r="M702" s="588">
        <v>0</v>
      </c>
      <c r="N702" s="588">
        <v>69</v>
      </c>
      <c r="O702" s="588">
        <v>6</v>
      </c>
      <c r="P702" s="588">
        <v>191</v>
      </c>
      <c r="Q702" s="588">
        <v>0</v>
      </c>
      <c r="R702" s="588">
        <v>372</v>
      </c>
      <c r="S702" s="588">
        <v>6</v>
      </c>
      <c r="T702" s="588">
        <v>2016</v>
      </c>
      <c r="U702" s="588">
        <v>2016</v>
      </c>
      <c r="V702" s="589"/>
      <c r="W702" s="589"/>
      <c r="X702" s="589"/>
      <c r="Y702" s="589"/>
      <c r="Z702" s="589"/>
      <c r="AA702" s="589"/>
      <c r="AB702" s="589"/>
      <c r="AC702" s="589"/>
      <c r="AD702" s="589"/>
      <c r="AE702" s="589"/>
      <c r="AF702" s="589"/>
      <c r="AG702" s="589"/>
      <c r="AH702" s="589"/>
      <c r="AI702" s="589"/>
      <c r="AJ702" s="589"/>
      <c r="AK702" s="589"/>
      <c r="AL702" s="589"/>
      <c r="AM702" s="589"/>
      <c r="AN702" s="589"/>
      <c r="AO702" s="589"/>
      <c r="AP702" s="589"/>
      <c r="AQ702" s="589"/>
      <c r="AR702" s="589"/>
      <c r="AS702" s="589"/>
    </row>
    <row r="703" spans="1:45" ht="15">
      <c r="A703" s="590" t="s">
        <v>202</v>
      </c>
      <c r="B703" s="590" t="s">
        <v>744</v>
      </c>
      <c r="C703" s="590" t="s">
        <v>799</v>
      </c>
      <c r="D703" s="593">
        <v>2015</v>
      </c>
      <c r="E703" s="590" t="s">
        <v>775</v>
      </c>
      <c r="F703" s="593">
        <v>390</v>
      </c>
      <c r="G703" s="593">
        <v>0</v>
      </c>
      <c r="H703" s="593">
        <v>0</v>
      </c>
      <c r="I703" s="593">
        <v>0</v>
      </c>
      <c r="J703" s="593">
        <v>274</v>
      </c>
      <c r="K703" s="593">
        <v>1</v>
      </c>
      <c r="L703" s="593">
        <v>1</v>
      </c>
      <c r="M703" s="593">
        <v>0</v>
      </c>
      <c r="N703" s="593">
        <v>349</v>
      </c>
      <c r="O703" s="593">
        <v>37</v>
      </c>
      <c r="P703" s="593">
        <v>864</v>
      </c>
      <c r="Q703" s="593">
        <v>114</v>
      </c>
      <c r="R703" s="593">
        <v>1877</v>
      </c>
      <c r="S703" s="593">
        <v>152</v>
      </c>
      <c r="T703" s="593">
        <v>2015</v>
      </c>
      <c r="U703" s="593">
        <v>2014</v>
      </c>
      <c r="V703" s="589"/>
      <c r="W703" s="589"/>
      <c r="X703" s="589"/>
      <c r="Y703" s="589"/>
      <c r="Z703" s="589"/>
      <c r="AA703" s="589"/>
      <c r="AB703" s="589"/>
      <c r="AC703" s="589"/>
      <c r="AD703" s="589"/>
      <c r="AE703" s="589"/>
      <c r="AF703" s="589"/>
      <c r="AG703" s="589"/>
      <c r="AH703" s="589"/>
      <c r="AI703" s="589"/>
      <c r="AJ703" s="589"/>
      <c r="AK703" s="589"/>
      <c r="AL703" s="589"/>
      <c r="AM703" s="589"/>
      <c r="AN703" s="589"/>
      <c r="AO703" s="589"/>
      <c r="AP703" s="589"/>
      <c r="AQ703" s="589"/>
      <c r="AR703" s="589"/>
      <c r="AS703" s="589"/>
    </row>
    <row r="704" spans="1:45" ht="15">
      <c r="A704" s="587" t="s">
        <v>184</v>
      </c>
      <c r="B704" s="587" t="s">
        <v>642</v>
      </c>
      <c r="C704" s="587" t="s">
        <v>774</v>
      </c>
      <c r="D704" s="588">
        <v>2015</v>
      </c>
      <c r="E704" s="587" t="s">
        <v>775</v>
      </c>
      <c r="F704" s="588">
        <v>23</v>
      </c>
      <c r="G704" s="588">
        <v>1</v>
      </c>
      <c r="H704" s="588">
        <v>0</v>
      </c>
      <c r="I704" s="588">
        <v>1</v>
      </c>
      <c r="J704" s="588">
        <v>13</v>
      </c>
      <c r="K704" s="588">
        <v>0</v>
      </c>
      <c r="L704" s="588">
        <v>0</v>
      </c>
      <c r="M704" s="588">
        <v>0</v>
      </c>
      <c r="N704" s="588">
        <v>15</v>
      </c>
      <c r="O704" s="588">
        <v>0</v>
      </c>
      <c r="P704" s="588">
        <v>11</v>
      </c>
      <c r="Q704" s="588">
        <v>4</v>
      </c>
      <c r="R704" s="588">
        <v>62</v>
      </c>
      <c r="S704" s="588">
        <v>5</v>
      </c>
      <c r="T704" s="588">
        <v>2015</v>
      </c>
      <c r="U704" s="588">
        <v>2015</v>
      </c>
      <c r="V704" s="589"/>
      <c r="W704" s="589"/>
      <c r="X704" s="589"/>
      <c r="Y704" s="589"/>
      <c r="Z704" s="589"/>
      <c r="AA704" s="589"/>
      <c r="AB704" s="589"/>
      <c r="AC704" s="589"/>
      <c r="AD704" s="589"/>
      <c r="AE704" s="589"/>
      <c r="AF704" s="589"/>
      <c r="AG704" s="589"/>
      <c r="AH704" s="589"/>
      <c r="AI704" s="589"/>
      <c r="AJ704" s="589"/>
      <c r="AK704" s="589"/>
      <c r="AL704" s="589"/>
      <c r="AM704" s="589"/>
      <c r="AN704" s="589"/>
      <c r="AO704" s="589"/>
      <c r="AP704" s="589"/>
      <c r="AQ704" s="589"/>
      <c r="AR704" s="589"/>
      <c r="AS704" s="589"/>
    </row>
    <row r="705" spans="1:45" ht="15">
      <c r="A705" s="590" t="s">
        <v>202</v>
      </c>
      <c r="B705" s="590" t="s">
        <v>745</v>
      </c>
      <c r="C705" s="590" t="s">
        <v>799</v>
      </c>
      <c r="D705" s="593">
        <v>2015</v>
      </c>
      <c r="E705" s="590" t="s">
        <v>775</v>
      </c>
      <c r="F705" s="593">
        <v>427</v>
      </c>
      <c r="G705" s="593">
        <v>0</v>
      </c>
      <c r="H705" s="593">
        <v>0</v>
      </c>
      <c r="I705" s="593">
        <v>0</v>
      </c>
      <c r="J705" s="593">
        <v>299</v>
      </c>
      <c r="K705" s="593">
        <v>1</v>
      </c>
      <c r="L705" s="593">
        <v>0</v>
      </c>
      <c r="M705" s="593">
        <v>1</v>
      </c>
      <c r="N705" s="593">
        <v>351</v>
      </c>
      <c r="O705" s="593">
        <v>2</v>
      </c>
      <c r="P705" s="593">
        <v>813</v>
      </c>
      <c r="Q705" s="593">
        <v>8</v>
      </c>
      <c r="R705" s="593">
        <v>1890</v>
      </c>
      <c r="S705" s="593">
        <v>11</v>
      </c>
      <c r="T705" s="593">
        <v>2015</v>
      </c>
      <c r="U705" s="593">
        <v>2014</v>
      </c>
      <c r="V705" s="589"/>
      <c r="W705" s="589"/>
      <c r="X705" s="589"/>
      <c r="Y705" s="589"/>
      <c r="Z705" s="589"/>
      <c r="AA705" s="589"/>
      <c r="AB705" s="589"/>
      <c r="AC705" s="589"/>
      <c r="AD705" s="589"/>
      <c r="AE705" s="589"/>
      <c r="AF705" s="589"/>
      <c r="AG705" s="589"/>
      <c r="AH705" s="589"/>
      <c r="AI705" s="589"/>
      <c r="AJ705" s="589"/>
      <c r="AK705" s="589"/>
      <c r="AL705" s="589"/>
      <c r="AM705" s="589"/>
      <c r="AN705" s="589"/>
      <c r="AO705" s="589"/>
      <c r="AP705" s="589"/>
      <c r="AQ705" s="589"/>
      <c r="AR705" s="589"/>
      <c r="AS705" s="589"/>
    </row>
    <row r="706" spans="1:45" ht="15">
      <c r="A706" s="587" t="s">
        <v>169</v>
      </c>
      <c r="B706" s="587" t="s">
        <v>518</v>
      </c>
      <c r="C706" s="587" t="s">
        <v>812</v>
      </c>
      <c r="D706" s="588">
        <v>2015</v>
      </c>
      <c r="E706" s="587" t="s">
        <v>775</v>
      </c>
      <c r="F706" s="588">
        <v>160</v>
      </c>
      <c r="G706" s="588">
        <v>57</v>
      </c>
      <c r="H706" s="588">
        <v>54</v>
      </c>
      <c r="I706" s="588">
        <v>3</v>
      </c>
      <c r="J706" s="588">
        <v>113</v>
      </c>
      <c r="K706" s="588">
        <v>14</v>
      </c>
      <c r="L706" s="588">
        <v>14</v>
      </c>
      <c r="M706" s="588">
        <v>0</v>
      </c>
      <c r="N706" s="588">
        <v>126</v>
      </c>
      <c r="O706" s="588">
        <v>14</v>
      </c>
      <c r="P706" s="588">
        <v>270</v>
      </c>
      <c r="Q706" s="588">
        <v>285</v>
      </c>
      <c r="R706" s="588">
        <v>669</v>
      </c>
      <c r="S706" s="588">
        <v>370</v>
      </c>
      <c r="T706" s="588">
        <v>2015</v>
      </c>
      <c r="U706" s="588">
        <v>2014</v>
      </c>
      <c r="V706" s="589"/>
      <c r="W706" s="589"/>
      <c r="X706" s="589"/>
      <c r="Y706" s="589"/>
      <c r="Z706" s="589"/>
      <c r="AA706" s="589"/>
      <c r="AB706" s="589"/>
      <c r="AC706" s="589"/>
      <c r="AD706" s="589"/>
      <c r="AE706" s="589"/>
      <c r="AF706" s="589"/>
      <c r="AG706" s="589"/>
      <c r="AH706" s="589"/>
      <c r="AI706" s="589"/>
      <c r="AJ706" s="589"/>
      <c r="AK706" s="589"/>
      <c r="AL706" s="589"/>
      <c r="AM706" s="589"/>
      <c r="AN706" s="589"/>
      <c r="AO706" s="589"/>
      <c r="AP706" s="589"/>
      <c r="AQ706" s="589"/>
      <c r="AR706" s="589"/>
      <c r="AS706" s="589"/>
    </row>
    <row r="707" spans="1:45" ht="15">
      <c r="A707" s="590" t="s">
        <v>166</v>
      </c>
      <c r="B707" s="590" t="s">
        <v>480</v>
      </c>
      <c r="C707" s="590" t="s">
        <v>774</v>
      </c>
      <c r="D707" s="593">
        <v>2015</v>
      </c>
      <c r="E707" s="590" t="s">
        <v>775</v>
      </c>
      <c r="F707" s="593">
        <v>4</v>
      </c>
      <c r="G707" s="593">
        <v>1</v>
      </c>
      <c r="H707" s="593">
        <v>1</v>
      </c>
      <c r="I707" s="593">
        <v>0</v>
      </c>
      <c r="J707" s="593">
        <v>2</v>
      </c>
      <c r="K707" s="593">
        <v>1</v>
      </c>
      <c r="L707" s="593">
        <v>1</v>
      </c>
      <c r="M707" s="593">
        <v>0</v>
      </c>
      <c r="N707" s="593">
        <v>3</v>
      </c>
      <c r="O707" s="593">
        <v>6</v>
      </c>
      <c r="P707" s="593">
        <v>8</v>
      </c>
      <c r="Q707" s="593">
        <v>11</v>
      </c>
      <c r="R707" s="593">
        <v>17</v>
      </c>
      <c r="S707" s="593">
        <v>19</v>
      </c>
      <c r="T707" s="593">
        <v>2015</v>
      </c>
      <c r="U707" s="593">
        <v>2015</v>
      </c>
      <c r="V707" s="589"/>
      <c r="W707" s="589"/>
      <c r="X707" s="589"/>
      <c r="Y707" s="589"/>
      <c r="Z707" s="589"/>
      <c r="AA707" s="589"/>
      <c r="AB707" s="589"/>
      <c r="AC707" s="589"/>
      <c r="AD707" s="589"/>
      <c r="AE707" s="589"/>
      <c r="AF707" s="589"/>
      <c r="AG707" s="589"/>
      <c r="AH707" s="589"/>
      <c r="AI707" s="589"/>
      <c r="AJ707" s="589"/>
      <c r="AK707" s="589"/>
      <c r="AL707" s="589"/>
      <c r="AM707" s="589"/>
      <c r="AN707" s="589"/>
      <c r="AO707" s="589"/>
      <c r="AP707" s="589"/>
      <c r="AQ707" s="589"/>
      <c r="AR707" s="589"/>
      <c r="AS707" s="589"/>
    </row>
    <row r="708" spans="1:45" ht="15">
      <c r="A708" s="587" t="s">
        <v>191</v>
      </c>
      <c r="B708" s="587" t="s">
        <v>685</v>
      </c>
      <c r="C708" s="587" t="s">
        <v>784</v>
      </c>
      <c r="D708" s="588">
        <v>2015</v>
      </c>
      <c r="E708" s="587" t="s">
        <v>775</v>
      </c>
      <c r="F708" s="588">
        <v>25</v>
      </c>
      <c r="G708" s="588">
        <v>0</v>
      </c>
      <c r="H708" s="588">
        <v>0</v>
      </c>
      <c r="I708" s="588">
        <v>0</v>
      </c>
      <c r="J708" s="588">
        <v>17</v>
      </c>
      <c r="K708" s="588">
        <v>0</v>
      </c>
      <c r="L708" s="588">
        <v>0</v>
      </c>
      <c r="M708" s="588">
        <v>0</v>
      </c>
      <c r="N708" s="588">
        <v>18</v>
      </c>
      <c r="O708" s="588">
        <v>2</v>
      </c>
      <c r="P708" s="588">
        <v>43</v>
      </c>
      <c r="Q708" s="588">
        <v>0</v>
      </c>
      <c r="R708" s="588">
        <v>103</v>
      </c>
      <c r="S708" s="588">
        <v>2</v>
      </c>
      <c r="T708" s="588">
        <v>2015</v>
      </c>
      <c r="U708" s="588">
        <v>2014</v>
      </c>
      <c r="V708" s="589"/>
      <c r="W708" s="589"/>
      <c r="X708" s="589"/>
      <c r="Y708" s="589"/>
      <c r="Z708" s="589"/>
      <c r="AA708" s="589"/>
      <c r="AB708" s="589"/>
      <c r="AC708" s="589"/>
      <c r="AD708" s="589"/>
      <c r="AE708" s="589"/>
      <c r="AF708" s="589"/>
      <c r="AG708" s="589"/>
      <c r="AH708" s="589"/>
      <c r="AI708" s="589"/>
      <c r="AJ708" s="589"/>
      <c r="AK708" s="589"/>
      <c r="AL708" s="589"/>
      <c r="AM708" s="589"/>
      <c r="AN708" s="589"/>
      <c r="AO708" s="589"/>
      <c r="AP708" s="589"/>
      <c r="AQ708" s="589"/>
      <c r="AR708" s="589"/>
      <c r="AS708" s="589"/>
    </row>
    <row r="709" spans="1:45" ht="15">
      <c r="A709" s="590" t="s">
        <v>196</v>
      </c>
      <c r="B709" s="590" t="s">
        <v>715</v>
      </c>
      <c r="C709" s="590" t="s">
        <v>799</v>
      </c>
      <c r="D709" s="593">
        <v>2015</v>
      </c>
      <c r="E709" s="590" t="s">
        <v>775</v>
      </c>
      <c r="F709" s="593">
        <v>624</v>
      </c>
      <c r="G709" s="593">
        <v>0</v>
      </c>
      <c r="H709" s="593">
        <v>0</v>
      </c>
      <c r="I709" s="593">
        <v>0</v>
      </c>
      <c r="J709" s="593">
        <v>437</v>
      </c>
      <c r="K709" s="593">
        <v>2</v>
      </c>
      <c r="L709" s="593">
        <v>2</v>
      </c>
      <c r="M709" s="593">
        <v>0</v>
      </c>
      <c r="N709" s="593">
        <v>498</v>
      </c>
      <c r="O709" s="593">
        <v>45</v>
      </c>
      <c r="P709" s="593">
        <v>1120</v>
      </c>
      <c r="Q709" s="593">
        <v>0</v>
      </c>
      <c r="R709" s="593">
        <v>2679</v>
      </c>
      <c r="S709" s="593">
        <v>47</v>
      </c>
      <c r="T709" s="593">
        <v>2015</v>
      </c>
      <c r="U709" s="593">
        <v>2014</v>
      </c>
      <c r="V709" s="589"/>
      <c r="W709" s="589"/>
      <c r="X709" s="589"/>
      <c r="Y709" s="589"/>
      <c r="Z709" s="589"/>
      <c r="AA709" s="589"/>
      <c r="AB709" s="589"/>
      <c r="AC709" s="589"/>
      <c r="AD709" s="589"/>
      <c r="AE709" s="589"/>
      <c r="AF709" s="589"/>
      <c r="AG709" s="589"/>
      <c r="AH709" s="589"/>
      <c r="AI709" s="589"/>
      <c r="AJ709" s="589"/>
      <c r="AK709" s="589"/>
      <c r="AL709" s="589"/>
      <c r="AM709" s="589"/>
      <c r="AN709" s="589"/>
      <c r="AO709" s="589"/>
      <c r="AP709" s="589"/>
      <c r="AQ709" s="589"/>
      <c r="AR709" s="589"/>
      <c r="AS709" s="589"/>
    </row>
    <row r="710" spans="1:45" ht="15">
      <c r="A710" s="587" t="s">
        <v>204</v>
      </c>
      <c r="B710" s="587" t="s">
        <v>748</v>
      </c>
      <c r="C710" s="587" t="s">
        <v>799</v>
      </c>
      <c r="D710" s="588">
        <v>2015</v>
      </c>
      <c r="E710" s="587" t="s">
        <v>775</v>
      </c>
      <c r="F710" s="588">
        <v>1036</v>
      </c>
      <c r="G710" s="588">
        <v>22</v>
      </c>
      <c r="H710" s="588">
        <v>22</v>
      </c>
      <c r="I710" s="588">
        <v>0</v>
      </c>
      <c r="J710" s="588">
        <v>727</v>
      </c>
      <c r="K710" s="588">
        <v>0</v>
      </c>
      <c r="L710" s="588">
        <v>0</v>
      </c>
      <c r="M710" s="588">
        <v>0</v>
      </c>
      <c r="N710" s="588">
        <v>870</v>
      </c>
      <c r="O710" s="588">
        <v>0</v>
      </c>
      <c r="P710" s="588">
        <v>2043</v>
      </c>
      <c r="Q710" s="588">
        <v>197</v>
      </c>
      <c r="R710" s="588">
        <v>4676</v>
      </c>
      <c r="S710" s="588">
        <v>219</v>
      </c>
      <c r="T710" s="588">
        <v>2015</v>
      </c>
      <c r="U710" s="588">
        <v>2014</v>
      </c>
      <c r="V710" s="589"/>
      <c r="W710" s="589"/>
      <c r="X710" s="589"/>
      <c r="Y710" s="589"/>
      <c r="Z710" s="589"/>
      <c r="AA710" s="589"/>
      <c r="AB710" s="589"/>
      <c r="AC710" s="589"/>
      <c r="AD710" s="589"/>
      <c r="AE710" s="589"/>
      <c r="AF710" s="589"/>
      <c r="AG710" s="589"/>
      <c r="AH710" s="589"/>
      <c r="AI710" s="589"/>
      <c r="AJ710" s="589"/>
      <c r="AK710" s="589"/>
      <c r="AL710" s="589"/>
      <c r="AM710" s="589"/>
      <c r="AN710" s="589"/>
      <c r="AO710" s="589"/>
      <c r="AP710" s="589"/>
      <c r="AQ710" s="589"/>
      <c r="AR710" s="589"/>
      <c r="AS710" s="589"/>
    </row>
    <row r="711" spans="1:45" ht="15">
      <c r="A711" s="590" t="s">
        <v>178</v>
      </c>
      <c r="B711" s="590" t="s">
        <v>588</v>
      </c>
      <c r="C711" s="590" t="s">
        <v>812</v>
      </c>
      <c r="D711" s="593">
        <v>2015</v>
      </c>
      <c r="E711" s="590" t="s">
        <v>775</v>
      </c>
      <c r="F711" s="593">
        <v>376</v>
      </c>
      <c r="G711" s="593">
        <v>42</v>
      </c>
      <c r="H711" s="593">
        <v>42</v>
      </c>
      <c r="I711" s="593">
        <v>0</v>
      </c>
      <c r="J711" s="593">
        <v>261</v>
      </c>
      <c r="K711" s="593">
        <v>38</v>
      </c>
      <c r="L711" s="593">
        <v>7</v>
      </c>
      <c r="M711" s="593">
        <v>31</v>
      </c>
      <c r="N711" s="593">
        <v>299</v>
      </c>
      <c r="O711" s="593">
        <v>0</v>
      </c>
      <c r="P711" s="593">
        <v>669</v>
      </c>
      <c r="Q711" s="593">
        <v>111</v>
      </c>
      <c r="R711" s="593">
        <v>1605</v>
      </c>
      <c r="S711" s="593">
        <v>191</v>
      </c>
      <c r="T711" s="593">
        <v>2015</v>
      </c>
      <c r="U711" s="593">
        <v>2014</v>
      </c>
      <c r="V711" s="589"/>
      <c r="W711" s="589"/>
      <c r="X711" s="589"/>
      <c r="Y711" s="589"/>
      <c r="Z711" s="589"/>
      <c r="AA711" s="589"/>
      <c r="AB711" s="589"/>
      <c r="AC711" s="589"/>
      <c r="AD711" s="589"/>
      <c r="AE711" s="589"/>
      <c r="AF711" s="589"/>
      <c r="AG711" s="589"/>
      <c r="AH711" s="589"/>
      <c r="AI711" s="589"/>
      <c r="AJ711" s="589"/>
      <c r="AK711" s="589"/>
      <c r="AL711" s="589"/>
      <c r="AM711" s="589"/>
      <c r="AN711" s="589"/>
      <c r="AO711" s="589"/>
      <c r="AP711" s="589"/>
      <c r="AQ711" s="589"/>
      <c r="AR711" s="589"/>
      <c r="AS711" s="589"/>
    </row>
    <row r="712" spans="1:45" ht="15">
      <c r="A712" s="587" t="s">
        <v>178</v>
      </c>
      <c r="B712" s="587" t="s">
        <v>589</v>
      </c>
      <c r="C712" s="587" t="s">
        <v>812</v>
      </c>
      <c r="D712" s="588">
        <v>2015</v>
      </c>
      <c r="E712" s="587" t="s">
        <v>775</v>
      </c>
      <c r="F712" s="588">
        <v>209</v>
      </c>
      <c r="G712" s="588">
        <v>0</v>
      </c>
      <c r="H712" s="588">
        <v>0</v>
      </c>
      <c r="I712" s="588">
        <v>0</v>
      </c>
      <c r="J712" s="588">
        <v>149</v>
      </c>
      <c r="K712" s="588">
        <v>0</v>
      </c>
      <c r="L712" s="588">
        <v>0</v>
      </c>
      <c r="M712" s="588">
        <v>0</v>
      </c>
      <c r="N712" s="588">
        <v>172</v>
      </c>
      <c r="O712" s="588">
        <v>0</v>
      </c>
      <c r="P712" s="588">
        <v>400</v>
      </c>
      <c r="Q712" s="588">
        <v>17</v>
      </c>
      <c r="R712" s="588">
        <v>930</v>
      </c>
      <c r="S712" s="588">
        <v>17</v>
      </c>
      <c r="T712" s="588">
        <v>2015</v>
      </c>
      <c r="U712" s="588">
        <v>2014</v>
      </c>
      <c r="V712" s="589"/>
      <c r="W712" s="589"/>
      <c r="X712" s="589"/>
      <c r="Y712" s="589"/>
      <c r="Z712" s="589"/>
      <c r="AA712" s="589"/>
      <c r="AB712" s="589"/>
      <c r="AC712" s="589"/>
      <c r="AD712" s="589"/>
      <c r="AE712" s="589"/>
      <c r="AF712" s="589"/>
      <c r="AG712" s="589"/>
      <c r="AH712" s="589"/>
      <c r="AI712" s="589"/>
      <c r="AJ712" s="589"/>
      <c r="AK712" s="589"/>
      <c r="AL712" s="589"/>
      <c r="AM712" s="589"/>
      <c r="AN712" s="589"/>
      <c r="AO712" s="589"/>
      <c r="AP712" s="589"/>
      <c r="AQ712" s="589"/>
      <c r="AR712" s="589"/>
      <c r="AS712" s="589"/>
    </row>
    <row r="713" spans="1:45" ht="15">
      <c r="A713" s="590" t="s">
        <v>153</v>
      </c>
      <c r="B713" s="590" t="s">
        <v>346</v>
      </c>
      <c r="C713" s="590" t="s">
        <v>812</v>
      </c>
      <c r="D713" s="593">
        <v>2016</v>
      </c>
      <c r="E713" s="590" t="s">
        <v>775</v>
      </c>
      <c r="F713" s="593">
        <v>31</v>
      </c>
      <c r="G713" s="593">
        <v>0</v>
      </c>
      <c r="H713" s="593">
        <v>0</v>
      </c>
      <c r="I713" s="593">
        <v>0</v>
      </c>
      <c r="J713" s="593">
        <v>19</v>
      </c>
      <c r="K713" s="593">
        <v>0</v>
      </c>
      <c r="L713" s="593">
        <v>0</v>
      </c>
      <c r="M713" s="593">
        <v>0</v>
      </c>
      <c r="N713" s="593">
        <v>20</v>
      </c>
      <c r="O713" s="593">
        <v>0</v>
      </c>
      <c r="P713" s="593">
        <v>45</v>
      </c>
      <c r="Q713" s="593">
        <v>2</v>
      </c>
      <c r="R713" s="593">
        <v>115</v>
      </c>
      <c r="S713" s="593">
        <v>2</v>
      </c>
      <c r="T713" s="593">
        <v>2016</v>
      </c>
      <c r="U713" s="593">
        <v>2014</v>
      </c>
      <c r="V713" s="589"/>
      <c r="W713" s="589"/>
      <c r="X713" s="589"/>
      <c r="Y713" s="589"/>
      <c r="Z713" s="589"/>
      <c r="AA713" s="589"/>
      <c r="AB713" s="589"/>
      <c r="AC713" s="589"/>
      <c r="AD713" s="589"/>
      <c r="AE713" s="589"/>
      <c r="AF713" s="589"/>
      <c r="AG713" s="589"/>
      <c r="AH713" s="589"/>
      <c r="AI713" s="589"/>
      <c r="AJ713" s="589"/>
      <c r="AK713" s="589"/>
      <c r="AL713" s="589"/>
      <c r="AM713" s="589"/>
      <c r="AN713" s="589"/>
      <c r="AO713" s="589"/>
      <c r="AP713" s="589"/>
      <c r="AQ713" s="589"/>
      <c r="AR713" s="589"/>
      <c r="AS713" s="589"/>
    </row>
    <row r="714" spans="1:45" ht="15">
      <c r="A714" s="587" t="s">
        <v>125</v>
      </c>
      <c r="B714" s="587" t="s">
        <v>125</v>
      </c>
      <c r="C714" s="587" t="s">
        <v>774</v>
      </c>
      <c r="D714" s="588">
        <v>2016</v>
      </c>
      <c r="E714" s="587" t="s">
        <v>775</v>
      </c>
      <c r="F714" s="588">
        <v>444</v>
      </c>
      <c r="G714" s="588">
        <v>17</v>
      </c>
      <c r="H714" s="588">
        <v>17</v>
      </c>
      <c r="I714" s="588">
        <v>0</v>
      </c>
      <c r="J714" s="588">
        <v>248</v>
      </c>
      <c r="K714" s="588">
        <v>14</v>
      </c>
      <c r="L714" s="588">
        <v>14</v>
      </c>
      <c r="M714" s="588">
        <v>0</v>
      </c>
      <c r="N714" s="588">
        <v>283</v>
      </c>
      <c r="O714" s="588">
        <v>7</v>
      </c>
      <c r="P714" s="588">
        <v>748</v>
      </c>
      <c r="Q714" s="588">
        <v>61</v>
      </c>
      <c r="R714" s="588">
        <v>1723</v>
      </c>
      <c r="S714" s="588">
        <v>99</v>
      </c>
      <c r="T714" s="588">
        <v>2016</v>
      </c>
      <c r="U714" s="588">
        <v>2015</v>
      </c>
      <c r="V714" s="589"/>
      <c r="W714" s="589"/>
      <c r="X714" s="589"/>
      <c r="Y714" s="589"/>
      <c r="Z714" s="589"/>
      <c r="AA714" s="589"/>
      <c r="AB714" s="589"/>
      <c r="AC714" s="589"/>
      <c r="AD714" s="589"/>
      <c r="AE714" s="589"/>
      <c r="AF714" s="589"/>
      <c r="AG714" s="589"/>
      <c r="AH714" s="589"/>
      <c r="AI714" s="589"/>
      <c r="AJ714" s="589"/>
      <c r="AK714" s="589"/>
      <c r="AL714" s="589"/>
      <c r="AM714" s="589"/>
      <c r="AN714" s="589"/>
      <c r="AO714" s="589"/>
      <c r="AP714" s="589"/>
      <c r="AQ714" s="589"/>
      <c r="AR714" s="589"/>
      <c r="AS714" s="589"/>
    </row>
    <row r="715" spans="1:45" ht="15">
      <c r="A715" s="590" t="s">
        <v>125</v>
      </c>
      <c r="B715" s="590" t="s">
        <v>233</v>
      </c>
      <c r="C715" s="590" t="s">
        <v>774</v>
      </c>
      <c r="D715" s="593">
        <v>2016</v>
      </c>
      <c r="E715" s="590" t="s">
        <v>775</v>
      </c>
      <c r="F715" s="593">
        <v>430</v>
      </c>
      <c r="G715" s="593">
        <v>85</v>
      </c>
      <c r="H715" s="593">
        <v>85</v>
      </c>
      <c r="I715" s="593">
        <v>0</v>
      </c>
      <c r="J715" s="593">
        <v>227</v>
      </c>
      <c r="K715" s="593">
        <v>8</v>
      </c>
      <c r="L715" s="593">
        <v>8</v>
      </c>
      <c r="M715" s="593">
        <v>0</v>
      </c>
      <c r="N715" s="593">
        <v>295</v>
      </c>
      <c r="O715" s="593">
        <v>0</v>
      </c>
      <c r="P715" s="593">
        <v>817</v>
      </c>
      <c r="Q715" s="593">
        <v>9</v>
      </c>
      <c r="R715" s="593">
        <v>1769</v>
      </c>
      <c r="S715" s="593">
        <v>102</v>
      </c>
      <c r="T715" s="593">
        <v>2016</v>
      </c>
      <c r="U715" s="593">
        <v>2015</v>
      </c>
      <c r="V715" s="589"/>
      <c r="W715" s="589"/>
      <c r="X715" s="589"/>
      <c r="Y715" s="589"/>
      <c r="Z715" s="589"/>
      <c r="AA715" s="589"/>
      <c r="AB715" s="589"/>
      <c r="AC715" s="589"/>
      <c r="AD715" s="589"/>
      <c r="AE715" s="589"/>
      <c r="AF715" s="589"/>
      <c r="AG715" s="589"/>
      <c r="AH715" s="589"/>
      <c r="AI715" s="589"/>
      <c r="AJ715" s="589"/>
      <c r="AK715" s="589"/>
      <c r="AL715" s="589"/>
      <c r="AM715" s="589"/>
      <c r="AN715" s="589"/>
      <c r="AO715" s="589"/>
      <c r="AP715" s="589"/>
      <c r="AQ715" s="589"/>
      <c r="AR715" s="589"/>
      <c r="AS715" s="589"/>
    </row>
    <row r="716" spans="1:45" ht="15">
      <c r="A716" s="587" t="s">
        <v>125</v>
      </c>
      <c r="B716" s="587" t="s">
        <v>234</v>
      </c>
      <c r="C716" s="587" t="s">
        <v>774</v>
      </c>
      <c r="D716" s="588">
        <v>2016</v>
      </c>
      <c r="E716" s="587" t="s">
        <v>775</v>
      </c>
      <c r="F716" s="588">
        <v>80</v>
      </c>
      <c r="G716" s="588">
        <v>0</v>
      </c>
      <c r="H716" s="588">
        <v>0</v>
      </c>
      <c r="I716" s="588">
        <v>0</v>
      </c>
      <c r="J716" s="588">
        <v>53</v>
      </c>
      <c r="K716" s="588">
        <v>0</v>
      </c>
      <c r="L716" s="588">
        <v>0</v>
      </c>
      <c r="M716" s="588">
        <v>0</v>
      </c>
      <c r="N716" s="588">
        <v>57</v>
      </c>
      <c r="O716" s="588">
        <v>0</v>
      </c>
      <c r="P716" s="588">
        <v>145</v>
      </c>
      <c r="Q716" s="588">
        <v>186</v>
      </c>
      <c r="R716" s="588">
        <v>335</v>
      </c>
      <c r="S716" s="588">
        <v>186</v>
      </c>
      <c r="T716" s="588">
        <v>2016</v>
      </c>
      <c r="U716" s="588">
        <v>2015</v>
      </c>
      <c r="V716" s="589"/>
      <c r="W716" s="589"/>
      <c r="X716" s="589"/>
      <c r="Y716" s="589"/>
      <c r="Z716" s="589"/>
      <c r="AA716" s="589"/>
      <c r="AB716" s="589"/>
      <c r="AC716" s="589"/>
      <c r="AD716" s="589"/>
      <c r="AE716" s="589"/>
      <c r="AF716" s="589"/>
      <c r="AG716" s="589"/>
      <c r="AH716" s="589"/>
      <c r="AI716" s="589"/>
      <c r="AJ716" s="589"/>
      <c r="AK716" s="589"/>
      <c r="AL716" s="589"/>
      <c r="AM716" s="589"/>
      <c r="AN716" s="589"/>
      <c r="AO716" s="589"/>
      <c r="AP716" s="589"/>
      <c r="AQ716" s="589"/>
      <c r="AR716" s="589"/>
      <c r="AS716" s="589"/>
    </row>
    <row r="717" spans="1:45" ht="15">
      <c r="A717" s="590" t="s">
        <v>153</v>
      </c>
      <c r="B717" s="591" t="s">
        <v>347</v>
      </c>
      <c r="C717" s="591" t="s">
        <v>812</v>
      </c>
      <c r="D717" s="592">
        <v>2016</v>
      </c>
      <c r="E717" s="591" t="s">
        <v>775</v>
      </c>
      <c r="F717" s="592">
        <v>380</v>
      </c>
      <c r="G717" s="592">
        <v>0</v>
      </c>
      <c r="H717" s="592">
        <v>0</v>
      </c>
      <c r="I717" s="592">
        <v>0</v>
      </c>
      <c r="J717" s="592">
        <v>224</v>
      </c>
      <c r="K717" s="592">
        <v>0</v>
      </c>
      <c r="L717" s="592">
        <v>0</v>
      </c>
      <c r="M717" s="592">
        <v>0</v>
      </c>
      <c r="N717" s="593">
        <v>246</v>
      </c>
      <c r="O717" s="593">
        <v>0</v>
      </c>
      <c r="P717" s="593">
        <v>642</v>
      </c>
      <c r="Q717" s="593">
        <v>38</v>
      </c>
      <c r="R717" s="593">
        <v>1492</v>
      </c>
      <c r="S717" s="593">
        <v>38</v>
      </c>
      <c r="T717" s="593">
        <v>2016</v>
      </c>
      <c r="U717" s="593">
        <v>2014</v>
      </c>
      <c r="V717" s="589"/>
      <c r="W717" s="589"/>
      <c r="X717" s="589"/>
      <c r="Y717" s="589"/>
      <c r="Z717" s="589"/>
      <c r="AA717" s="589"/>
      <c r="AB717" s="589"/>
      <c r="AC717" s="589"/>
      <c r="AD717" s="589"/>
      <c r="AE717" s="589"/>
      <c r="AF717" s="589"/>
      <c r="AG717" s="589"/>
      <c r="AH717" s="589"/>
      <c r="AI717" s="589"/>
      <c r="AJ717" s="589"/>
      <c r="AK717" s="589"/>
      <c r="AL717" s="589"/>
      <c r="AM717" s="589"/>
      <c r="AN717" s="589"/>
      <c r="AO717" s="589"/>
      <c r="AP717" s="589"/>
      <c r="AQ717" s="589"/>
      <c r="AR717" s="589"/>
      <c r="AS717" s="589"/>
    </row>
    <row r="718" spans="1:45" ht="15">
      <c r="A718" s="587" t="s">
        <v>169</v>
      </c>
      <c r="B718" s="587" t="s">
        <v>485</v>
      </c>
      <c r="C718" s="587" t="s">
        <v>812</v>
      </c>
      <c r="D718" s="588">
        <v>2016</v>
      </c>
      <c r="E718" s="587" t="s">
        <v>775</v>
      </c>
      <c r="F718" s="588">
        <v>9</v>
      </c>
      <c r="G718" s="588">
        <v>50</v>
      </c>
      <c r="H718" s="588">
        <v>50</v>
      </c>
      <c r="I718" s="588">
        <v>0</v>
      </c>
      <c r="J718" s="588">
        <v>7</v>
      </c>
      <c r="K718" s="588">
        <v>148</v>
      </c>
      <c r="L718" s="588">
        <v>148</v>
      </c>
      <c r="M718" s="588">
        <v>0</v>
      </c>
      <c r="N718" s="588">
        <v>7</v>
      </c>
      <c r="O718" s="588">
        <v>4</v>
      </c>
      <c r="P718" s="588">
        <v>16</v>
      </c>
      <c r="Q718" s="588">
        <v>0</v>
      </c>
      <c r="R718" s="588">
        <v>39</v>
      </c>
      <c r="S718" s="588">
        <v>202</v>
      </c>
      <c r="T718" s="588">
        <v>2016</v>
      </c>
      <c r="U718" s="588">
        <v>2014</v>
      </c>
      <c r="V718" s="589"/>
      <c r="W718" s="589"/>
      <c r="X718" s="589"/>
      <c r="Y718" s="589"/>
      <c r="Z718" s="589"/>
      <c r="AA718" s="589"/>
      <c r="AB718" s="589"/>
      <c r="AC718" s="589"/>
      <c r="AD718" s="589"/>
      <c r="AE718" s="589"/>
      <c r="AF718" s="589"/>
      <c r="AG718" s="589"/>
      <c r="AH718" s="589"/>
      <c r="AI718" s="589"/>
      <c r="AJ718" s="589"/>
      <c r="AK718" s="589"/>
      <c r="AL718" s="589"/>
      <c r="AM718" s="589"/>
      <c r="AN718" s="589"/>
      <c r="AO718" s="589"/>
      <c r="AP718" s="589"/>
      <c r="AQ718" s="589"/>
      <c r="AR718" s="589"/>
      <c r="AS718" s="589"/>
    </row>
    <row r="719" spans="1:45" ht="15">
      <c r="A719" s="590" t="s">
        <v>127</v>
      </c>
      <c r="B719" s="591" t="s">
        <v>247</v>
      </c>
      <c r="C719" s="591" t="s">
        <v>784</v>
      </c>
      <c r="D719" s="592">
        <v>2016</v>
      </c>
      <c r="E719" s="591" t="s">
        <v>775</v>
      </c>
      <c r="F719" s="592">
        <v>7</v>
      </c>
      <c r="G719" s="592">
        <v>0</v>
      </c>
      <c r="H719" s="592">
        <v>0</v>
      </c>
      <c r="I719" s="592">
        <v>0</v>
      </c>
      <c r="J719" s="592">
        <v>6</v>
      </c>
      <c r="K719" s="592">
        <v>0</v>
      </c>
      <c r="L719" s="592">
        <v>0</v>
      </c>
      <c r="M719" s="592">
        <v>0</v>
      </c>
      <c r="N719" s="593">
        <v>6</v>
      </c>
      <c r="O719" s="593">
        <v>0</v>
      </c>
      <c r="P719" s="593">
        <v>11</v>
      </c>
      <c r="Q719" s="593">
        <v>2</v>
      </c>
      <c r="R719" s="593">
        <v>30</v>
      </c>
      <c r="S719" s="593">
        <v>2</v>
      </c>
      <c r="T719" s="593">
        <v>2016</v>
      </c>
      <c r="U719" s="593">
        <v>2014</v>
      </c>
      <c r="V719" s="589"/>
      <c r="W719" s="589"/>
      <c r="X719" s="589"/>
      <c r="Y719" s="589"/>
      <c r="Z719" s="589"/>
      <c r="AA719" s="589"/>
      <c r="AB719" s="589"/>
      <c r="AC719" s="589"/>
      <c r="AD719" s="589"/>
      <c r="AE719" s="589"/>
      <c r="AF719" s="589"/>
      <c r="AG719" s="589"/>
      <c r="AH719" s="589"/>
      <c r="AI719" s="589"/>
      <c r="AJ719" s="589"/>
      <c r="AK719" s="589"/>
      <c r="AL719" s="589"/>
      <c r="AM719" s="589"/>
      <c r="AN719" s="589"/>
      <c r="AO719" s="589"/>
      <c r="AP719" s="589"/>
      <c r="AQ719" s="589"/>
      <c r="AR719" s="589"/>
      <c r="AS719" s="589"/>
    </row>
    <row r="720" spans="1:45" ht="15">
      <c r="A720" s="587" t="s">
        <v>166</v>
      </c>
      <c r="B720" s="587" t="s">
        <v>476</v>
      </c>
      <c r="C720" s="587" t="s">
        <v>774</v>
      </c>
      <c r="D720" s="588">
        <v>2016</v>
      </c>
      <c r="E720" s="587" t="s">
        <v>775</v>
      </c>
      <c r="F720" s="588">
        <v>116</v>
      </c>
      <c r="G720" s="588">
        <v>0</v>
      </c>
      <c r="H720" s="588">
        <v>0</v>
      </c>
      <c r="I720" s="588">
        <v>0</v>
      </c>
      <c r="J720" s="588">
        <v>54</v>
      </c>
      <c r="K720" s="588">
        <v>0</v>
      </c>
      <c r="L720" s="588">
        <v>0</v>
      </c>
      <c r="M720" s="588">
        <v>0</v>
      </c>
      <c r="N720" s="588">
        <v>58</v>
      </c>
      <c r="O720" s="588">
        <v>0</v>
      </c>
      <c r="P720" s="588">
        <v>164</v>
      </c>
      <c r="Q720" s="588">
        <v>0</v>
      </c>
      <c r="R720" s="588">
        <v>392</v>
      </c>
      <c r="S720" s="588">
        <v>0</v>
      </c>
      <c r="T720" s="588">
        <v>2016</v>
      </c>
      <c r="U720" s="588">
        <v>2015</v>
      </c>
      <c r="V720" s="589"/>
      <c r="W720" s="589"/>
      <c r="X720" s="589"/>
      <c r="Y720" s="589"/>
      <c r="Z720" s="589"/>
      <c r="AA720" s="589"/>
      <c r="AB720" s="589"/>
      <c r="AC720" s="589"/>
      <c r="AD720" s="589"/>
      <c r="AE720" s="589"/>
      <c r="AF720" s="589"/>
      <c r="AG720" s="589"/>
      <c r="AH720" s="589"/>
      <c r="AI720" s="589"/>
      <c r="AJ720" s="589"/>
      <c r="AK720" s="589"/>
      <c r="AL720" s="589"/>
      <c r="AM720" s="589"/>
      <c r="AN720" s="589"/>
      <c r="AO720" s="589"/>
      <c r="AP720" s="589"/>
      <c r="AQ720" s="589"/>
      <c r="AR720" s="589"/>
      <c r="AS720" s="589"/>
    </row>
    <row r="721" spans="1:45" ht="15">
      <c r="A721" s="590" t="s">
        <v>169</v>
      </c>
      <c r="B721" s="591" t="s">
        <v>486</v>
      </c>
      <c r="C721" s="591" t="s">
        <v>812</v>
      </c>
      <c r="D721" s="592">
        <v>2016</v>
      </c>
      <c r="E721" s="591" t="s">
        <v>775</v>
      </c>
      <c r="F721" s="592">
        <v>1256</v>
      </c>
      <c r="G721" s="592">
        <v>0</v>
      </c>
      <c r="H721" s="592">
        <v>0</v>
      </c>
      <c r="I721" s="592">
        <v>0</v>
      </c>
      <c r="J721" s="592">
        <v>907</v>
      </c>
      <c r="K721" s="592">
        <v>0</v>
      </c>
      <c r="L721" s="592">
        <v>0</v>
      </c>
      <c r="M721" s="592">
        <v>0</v>
      </c>
      <c r="N721" s="593">
        <v>1038</v>
      </c>
      <c r="O721" s="593">
        <v>0</v>
      </c>
      <c r="P721" s="593">
        <v>2501</v>
      </c>
      <c r="Q721" s="593">
        <v>1317</v>
      </c>
      <c r="R721" s="593">
        <v>5702</v>
      </c>
      <c r="S721" s="593">
        <v>1317</v>
      </c>
      <c r="T721" s="593">
        <v>2016</v>
      </c>
      <c r="U721" s="593">
        <v>2014</v>
      </c>
      <c r="V721" s="589"/>
      <c r="W721" s="589"/>
      <c r="X721" s="589"/>
      <c r="Y721" s="589"/>
      <c r="Z721" s="589"/>
      <c r="AA721" s="589"/>
      <c r="AB721" s="589"/>
      <c r="AC721" s="589"/>
      <c r="AD721" s="589"/>
      <c r="AE721" s="589"/>
      <c r="AF721" s="589"/>
      <c r="AG721" s="589"/>
      <c r="AH721" s="589"/>
      <c r="AI721" s="589"/>
      <c r="AJ721" s="589"/>
      <c r="AK721" s="589"/>
      <c r="AL721" s="589"/>
      <c r="AM721" s="589"/>
      <c r="AN721" s="589"/>
      <c r="AO721" s="589"/>
      <c r="AP721" s="589"/>
      <c r="AQ721" s="589"/>
      <c r="AR721" s="589"/>
      <c r="AS721" s="589"/>
    </row>
    <row r="722" spans="1:45" ht="15">
      <c r="A722" s="587" t="s">
        <v>189</v>
      </c>
      <c r="B722" s="587" t="s">
        <v>670</v>
      </c>
      <c r="C722" s="587" t="s">
        <v>784</v>
      </c>
      <c r="D722" s="588">
        <v>2016</v>
      </c>
      <c r="E722" s="587" t="s">
        <v>775</v>
      </c>
      <c r="F722" s="588">
        <v>32</v>
      </c>
      <c r="G722" s="588">
        <v>0</v>
      </c>
      <c r="H722" s="588">
        <v>0</v>
      </c>
      <c r="I722" s="588">
        <v>0</v>
      </c>
      <c r="J722" s="588">
        <v>21</v>
      </c>
      <c r="K722" s="588">
        <v>4</v>
      </c>
      <c r="L722" s="588">
        <v>4</v>
      </c>
      <c r="M722" s="588">
        <v>0</v>
      </c>
      <c r="N722" s="588">
        <v>24</v>
      </c>
      <c r="O722" s="588">
        <v>33</v>
      </c>
      <c r="P722" s="588">
        <v>59</v>
      </c>
      <c r="Q722" s="588">
        <v>9</v>
      </c>
      <c r="R722" s="588">
        <v>136</v>
      </c>
      <c r="S722" s="588">
        <v>46</v>
      </c>
      <c r="T722" s="588">
        <v>2016</v>
      </c>
      <c r="U722" s="588">
        <v>2014</v>
      </c>
      <c r="V722" s="589"/>
      <c r="W722" s="589"/>
      <c r="X722" s="589"/>
      <c r="Y722" s="589"/>
      <c r="Z722" s="589"/>
      <c r="AA722" s="589"/>
      <c r="AB722" s="589"/>
      <c r="AC722" s="589"/>
      <c r="AD722" s="589"/>
      <c r="AE722" s="589"/>
      <c r="AF722" s="589"/>
      <c r="AG722" s="589"/>
      <c r="AH722" s="589"/>
      <c r="AI722" s="589"/>
      <c r="AJ722" s="589"/>
      <c r="AK722" s="589"/>
      <c r="AL722" s="589"/>
      <c r="AM722" s="589"/>
      <c r="AN722" s="589"/>
      <c r="AO722" s="589"/>
      <c r="AP722" s="589"/>
      <c r="AQ722" s="589"/>
      <c r="AR722" s="589"/>
      <c r="AS722" s="589"/>
    </row>
    <row r="723" spans="1:45" ht="15">
      <c r="A723" s="590" t="s">
        <v>136</v>
      </c>
      <c r="B723" s="591" t="s">
        <v>265</v>
      </c>
      <c r="C723" s="591" t="s">
        <v>774</v>
      </c>
      <c r="D723" s="592">
        <v>2016</v>
      </c>
      <c r="E723" s="591" t="s">
        <v>775</v>
      </c>
      <c r="F723" s="592">
        <v>349</v>
      </c>
      <c r="G723" s="592">
        <v>84</v>
      </c>
      <c r="H723" s="592">
        <v>84</v>
      </c>
      <c r="I723" s="592">
        <v>0</v>
      </c>
      <c r="J723" s="592">
        <v>205</v>
      </c>
      <c r="K723" s="592">
        <v>0</v>
      </c>
      <c r="L723" s="592">
        <v>0</v>
      </c>
      <c r="M723" s="592">
        <v>0</v>
      </c>
      <c r="N723" s="593">
        <v>214</v>
      </c>
      <c r="O723" s="593">
        <v>1</v>
      </c>
      <c r="P723" s="593">
        <v>680</v>
      </c>
      <c r="Q723" s="593">
        <v>42</v>
      </c>
      <c r="R723" s="593">
        <v>1448</v>
      </c>
      <c r="S723" s="593">
        <v>127</v>
      </c>
      <c r="T723" s="593">
        <v>2016</v>
      </c>
      <c r="U723" s="593">
        <v>2015</v>
      </c>
      <c r="V723" s="589"/>
      <c r="W723" s="589"/>
      <c r="X723" s="589"/>
      <c r="Y723" s="589"/>
      <c r="Z723" s="589"/>
      <c r="AA723" s="589"/>
      <c r="AB723" s="589"/>
      <c r="AC723" s="589"/>
      <c r="AD723" s="589"/>
      <c r="AE723" s="589"/>
      <c r="AF723" s="589"/>
      <c r="AG723" s="589"/>
      <c r="AH723" s="589"/>
      <c r="AI723" s="589"/>
      <c r="AJ723" s="589"/>
      <c r="AK723" s="589"/>
      <c r="AL723" s="589"/>
      <c r="AM723" s="589"/>
      <c r="AN723" s="589"/>
      <c r="AO723" s="589"/>
      <c r="AP723" s="589"/>
      <c r="AQ723" s="589"/>
      <c r="AR723" s="589"/>
      <c r="AS723" s="589"/>
    </row>
    <row r="724" spans="1:45" ht="15">
      <c r="A724" s="587" t="s">
        <v>178</v>
      </c>
      <c r="B724" s="587" t="s">
        <v>567</v>
      </c>
      <c r="C724" s="587" t="s">
        <v>812</v>
      </c>
      <c r="D724" s="588">
        <v>2016</v>
      </c>
      <c r="E724" s="587" t="s">
        <v>775</v>
      </c>
      <c r="F724" s="588">
        <v>764</v>
      </c>
      <c r="G724" s="588">
        <v>0</v>
      </c>
      <c r="H724" s="588">
        <v>0</v>
      </c>
      <c r="I724" s="588">
        <v>0</v>
      </c>
      <c r="J724" s="588">
        <v>541</v>
      </c>
      <c r="K724" s="588">
        <v>0</v>
      </c>
      <c r="L724" s="588">
        <v>0</v>
      </c>
      <c r="M724" s="588">
        <v>0</v>
      </c>
      <c r="N724" s="588">
        <v>622</v>
      </c>
      <c r="O724" s="588">
        <v>0</v>
      </c>
      <c r="P724" s="588">
        <v>1407</v>
      </c>
      <c r="Q724" s="588">
        <v>0</v>
      </c>
      <c r="R724" s="588">
        <v>3334</v>
      </c>
      <c r="S724" s="588">
        <v>0</v>
      </c>
      <c r="T724" s="588">
        <v>2016</v>
      </c>
      <c r="U724" s="588">
        <v>2014</v>
      </c>
      <c r="V724" s="589"/>
      <c r="W724" s="589"/>
      <c r="X724" s="589"/>
      <c r="Y724" s="589"/>
      <c r="Z724" s="589"/>
      <c r="AA724" s="589"/>
      <c r="AB724" s="589"/>
      <c r="AC724" s="589"/>
      <c r="AD724" s="589"/>
      <c r="AE724" s="589"/>
      <c r="AF724" s="589"/>
      <c r="AG724" s="589"/>
      <c r="AH724" s="589"/>
      <c r="AI724" s="589"/>
      <c r="AJ724" s="589"/>
      <c r="AK724" s="589"/>
      <c r="AL724" s="589"/>
      <c r="AM724" s="589"/>
      <c r="AN724" s="589"/>
      <c r="AO724" s="589"/>
      <c r="AP724" s="589"/>
      <c r="AQ724" s="589"/>
      <c r="AR724" s="589"/>
      <c r="AS724" s="589"/>
    </row>
    <row r="725" spans="1:45" ht="15">
      <c r="A725" s="590" t="s">
        <v>145</v>
      </c>
      <c r="B725" s="591" t="s">
        <v>307</v>
      </c>
      <c r="C725" s="591" t="s">
        <v>784</v>
      </c>
      <c r="D725" s="592">
        <v>2016</v>
      </c>
      <c r="E725" s="591" t="s">
        <v>775</v>
      </c>
      <c r="F725" s="592">
        <v>85</v>
      </c>
      <c r="G725" s="592">
        <v>0</v>
      </c>
      <c r="H725" s="592">
        <v>0</v>
      </c>
      <c r="I725" s="592">
        <v>0</v>
      </c>
      <c r="J725" s="592">
        <v>56</v>
      </c>
      <c r="K725" s="592">
        <v>0</v>
      </c>
      <c r="L725" s="592">
        <v>0</v>
      </c>
      <c r="M725" s="592">
        <v>0</v>
      </c>
      <c r="N725" s="593">
        <v>62</v>
      </c>
      <c r="O725" s="593">
        <v>43</v>
      </c>
      <c r="P725" s="593">
        <v>160</v>
      </c>
      <c r="Q725" s="593">
        <v>7</v>
      </c>
      <c r="R725" s="593">
        <v>363</v>
      </c>
      <c r="S725" s="593">
        <v>50</v>
      </c>
      <c r="T725" s="593">
        <v>2016</v>
      </c>
      <c r="U725" s="593">
        <v>2014</v>
      </c>
      <c r="V725" s="589"/>
      <c r="W725" s="589"/>
      <c r="X725" s="589"/>
      <c r="Y725" s="589"/>
      <c r="Z725" s="589"/>
      <c r="AA725" s="589"/>
      <c r="AB725" s="589"/>
      <c r="AC725" s="589"/>
      <c r="AD725" s="589"/>
      <c r="AE725" s="589"/>
      <c r="AF725" s="589"/>
      <c r="AG725" s="589"/>
      <c r="AH725" s="589"/>
      <c r="AI725" s="589"/>
      <c r="AJ725" s="589"/>
      <c r="AK725" s="589"/>
      <c r="AL725" s="589"/>
      <c r="AM725" s="589"/>
      <c r="AN725" s="589"/>
      <c r="AO725" s="589"/>
      <c r="AP725" s="589"/>
      <c r="AQ725" s="589"/>
      <c r="AR725" s="589"/>
      <c r="AS725" s="589"/>
    </row>
    <row r="726" spans="1:45" ht="15">
      <c r="A726" s="587" t="s">
        <v>153</v>
      </c>
      <c r="B726" s="587" t="s">
        <v>349</v>
      </c>
      <c r="C726" s="587" t="s">
        <v>812</v>
      </c>
      <c r="D726" s="588">
        <v>2016</v>
      </c>
      <c r="E726" s="587" t="s">
        <v>775</v>
      </c>
      <c r="F726" s="588">
        <v>31</v>
      </c>
      <c r="G726" s="588">
        <v>0</v>
      </c>
      <c r="H726" s="588">
        <v>0</v>
      </c>
      <c r="I726" s="588">
        <v>0</v>
      </c>
      <c r="J726" s="588">
        <v>18</v>
      </c>
      <c r="K726" s="588">
        <v>0</v>
      </c>
      <c r="L726" s="588">
        <v>0</v>
      </c>
      <c r="M726" s="588">
        <v>0</v>
      </c>
      <c r="N726" s="588">
        <v>20</v>
      </c>
      <c r="O726" s="588">
        <v>0</v>
      </c>
      <c r="P726" s="588">
        <v>51</v>
      </c>
      <c r="Q726" s="588">
        <v>22</v>
      </c>
      <c r="R726" s="588">
        <v>120</v>
      </c>
      <c r="S726" s="588">
        <v>22</v>
      </c>
      <c r="T726" s="588">
        <v>2016</v>
      </c>
      <c r="U726" s="588">
        <v>2014</v>
      </c>
      <c r="V726" s="589"/>
      <c r="W726" s="589"/>
      <c r="X726" s="589"/>
      <c r="Y726" s="589"/>
      <c r="Z726" s="589"/>
      <c r="AA726" s="589"/>
      <c r="AB726" s="589"/>
      <c r="AC726" s="589"/>
      <c r="AD726" s="589"/>
      <c r="AE726" s="589"/>
      <c r="AF726" s="589"/>
      <c r="AG726" s="589"/>
      <c r="AH726" s="589"/>
      <c r="AI726" s="589"/>
      <c r="AJ726" s="589"/>
      <c r="AK726" s="589"/>
      <c r="AL726" s="589"/>
      <c r="AM726" s="589"/>
      <c r="AN726" s="589"/>
      <c r="AO726" s="589"/>
      <c r="AP726" s="589"/>
      <c r="AQ726" s="589"/>
      <c r="AR726" s="589"/>
      <c r="AS726" s="589"/>
    </row>
    <row r="727" spans="1:45" ht="15">
      <c r="A727" s="590" t="s">
        <v>148</v>
      </c>
      <c r="B727" s="591" t="s">
        <v>324</v>
      </c>
      <c r="C727" s="591" t="s">
        <v>177</v>
      </c>
      <c r="D727" s="592">
        <v>2016</v>
      </c>
      <c r="E727" s="591" t="s">
        <v>775</v>
      </c>
      <c r="F727" s="592">
        <v>398</v>
      </c>
      <c r="G727" s="592">
        <v>0</v>
      </c>
      <c r="H727" s="592">
        <v>0</v>
      </c>
      <c r="I727" s="592">
        <v>0</v>
      </c>
      <c r="J727" s="592">
        <v>239</v>
      </c>
      <c r="K727" s="592">
        <v>24</v>
      </c>
      <c r="L727" s="592">
        <v>11</v>
      </c>
      <c r="M727" s="592">
        <v>13</v>
      </c>
      <c r="N727" s="593">
        <v>183</v>
      </c>
      <c r="O727" s="593">
        <v>29</v>
      </c>
      <c r="P727" s="593">
        <v>349</v>
      </c>
      <c r="Q727" s="593">
        <v>0</v>
      </c>
      <c r="R727" s="593">
        <v>1169</v>
      </c>
      <c r="S727" s="593">
        <v>53</v>
      </c>
      <c r="T727" s="593">
        <v>2016</v>
      </c>
      <c r="U727" s="593">
        <v>2016</v>
      </c>
      <c r="V727" s="589"/>
      <c r="W727" s="589"/>
      <c r="X727" s="589"/>
      <c r="Y727" s="589"/>
      <c r="Z727" s="589"/>
      <c r="AA727" s="589"/>
      <c r="AB727" s="589"/>
      <c r="AC727" s="589"/>
      <c r="AD727" s="589"/>
      <c r="AE727" s="589"/>
      <c r="AF727" s="589"/>
      <c r="AG727" s="589"/>
      <c r="AH727" s="589"/>
      <c r="AI727" s="589"/>
      <c r="AJ727" s="589"/>
      <c r="AK727" s="589"/>
      <c r="AL727" s="589"/>
      <c r="AM727" s="589"/>
      <c r="AN727" s="589"/>
      <c r="AO727" s="589"/>
      <c r="AP727" s="589"/>
      <c r="AQ727" s="589"/>
      <c r="AR727" s="589"/>
      <c r="AS727" s="589"/>
    </row>
    <row r="728" spans="1:45" ht="15">
      <c r="A728" s="587" t="s">
        <v>183</v>
      </c>
      <c r="B728" s="587" t="s">
        <v>617</v>
      </c>
      <c r="C728" s="587" t="s">
        <v>784</v>
      </c>
      <c r="D728" s="588">
        <v>2016</v>
      </c>
      <c r="E728" s="587" t="s">
        <v>775</v>
      </c>
      <c r="F728" s="588">
        <v>98</v>
      </c>
      <c r="G728" s="588">
        <v>45</v>
      </c>
      <c r="H728" s="588">
        <v>45</v>
      </c>
      <c r="I728" s="588">
        <v>0</v>
      </c>
      <c r="J728" s="588">
        <v>62</v>
      </c>
      <c r="K728" s="588">
        <v>25</v>
      </c>
      <c r="L728" s="588">
        <v>25</v>
      </c>
      <c r="M728" s="588">
        <v>0</v>
      </c>
      <c r="N728" s="588">
        <v>69</v>
      </c>
      <c r="O728" s="588">
        <v>29</v>
      </c>
      <c r="P728" s="588">
        <v>164</v>
      </c>
      <c r="Q728" s="588">
        <v>21</v>
      </c>
      <c r="R728" s="588">
        <v>393</v>
      </c>
      <c r="S728" s="588">
        <v>120</v>
      </c>
      <c r="T728" s="588">
        <v>2016</v>
      </c>
      <c r="U728" s="588">
        <v>2014</v>
      </c>
      <c r="V728" s="589"/>
      <c r="W728" s="589"/>
      <c r="X728" s="589"/>
      <c r="Y728" s="589"/>
      <c r="Z728" s="589"/>
      <c r="AA728" s="589"/>
      <c r="AB728" s="589"/>
      <c r="AC728" s="589"/>
      <c r="AD728" s="589"/>
      <c r="AE728" s="589"/>
      <c r="AF728" s="589"/>
      <c r="AG728" s="589"/>
      <c r="AH728" s="589"/>
      <c r="AI728" s="589"/>
      <c r="AJ728" s="589"/>
      <c r="AK728" s="589"/>
      <c r="AL728" s="589"/>
      <c r="AM728" s="589"/>
      <c r="AN728" s="589"/>
      <c r="AO728" s="589"/>
      <c r="AP728" s="589"/>
      <c r="AQ728" s="589"/>
      <c r="AR728" s="589"/>
      <c r="AS728" s="589"/>
    </row>
    <row r="729" spans="1:45" ht="15">
      <c r="A729" s="590" t="s">
        <v>184</v>
      </c>
      <c r="B729" s="591" t="s">
        <v>623</v>
      </c>
      <c r="C729" s="591" t="s">
        <v>774</v>
      </c>
      <c r="D729" s="592">
        <v>2016</v>
      </c>
      <c r="E729" s="591" t="s">
        <v>775</v>
      </c>
      <c r="F729" s="592">
        <v>35</v>
      </c>
      <c r="G729" s="592">
        <v>5</v>
      </c>
      <c r="H729" s="592">
        <v>0</v>
      </c>
      <c r="I729" s="592">
        <v>5</v>
      </c>
      <c r="J729" s="592">
        <v>26</v>
      </c>
      <c r="K729" s="592">
        <v>3</v>
      </c>
      <c r="L729" s="592">
        <v>0</v>
      </c>
      <c r="M729" s="592">
        <v>3</v>
      </c>
      <c r="N729" s="593">
        <v>29</v>
      </c>
      <c r="O729" s="593">
        <v>2</v>
      </c>
      <c r="P729" s="593">
        <v>3</v>
      </c>
      <c r="Q729" s="593">
        <v>5</v>
      </c>
      <c r="R729" s="593">
        <v>93</v>
      </c>
      <c r="S729" s="593">
        <v>15</v>
      </c>
      <c r="T729" s="593">
        <v>2016</v>
      </c>
      <c r="U729" s="593">
        <v>2015</v>
      </c>
      <c r="V729" s="589"/>
      <c r="W729" s="589"/>
      <c r="X729" s="589"/>
      <c r="Y729" s="589"/>
      <c r="Z729" s="589"/>
      <c r="AA729" s="589"/>
      <c r="AB729" s="589"/>
      <c r="AC729" s="589"/>
      <c r="AD729" s="589"/>
      <c r="AE729" s="589"/>
      <c r="AF729" s="589"/>
      <c r="AG729" s="589"/>
      <c r="AH729" s="589"/>
      <c r="AI729" s="589"/>
      <c r="AJ729" s="589"/>
      <c r="AK729" s="589"/>
      <c r="AL729" s="589"/>
      <c r="AM729" s="589"/>
      <c r="AN729" s="589"/>
      <c r="AO729" s="589"/>
      <c r="AP729" s="589"/>
      <c r="AQ729" s="589"/>
      <c r="AR729" s="589"/>
      <c r="AS729" s="589"/>
    </row>
    <row r="730" spans="1:45" ht="15">
      <c r="A730" s="587" t="s">
        <v>160</v>
      </c>
      <c r="B730" s="587" t="s">
        <v>454</v>
      </c>
      <c r="C730" s="587" t="s">
        <v>828</v>
      </c>
      <c r="D730" s="588">
        <v>2016</v>
      </c>
      <c r="E730" s="587" t="s">
        <v>775</v>
      </c>
      <c r="F730" s="588">
        <v>429</v>
      </c>
      <c r="G730" s="588">
        <v>0</v>
      </c>
      <c r="H730" s="588">
        <v>0</v>
      </c>
      <c r="I730" s="588">
        <v>0</v>
      </c>
      <c r="J730" s="588">
        <v>307</v>
      </c>
      <c r="K730" s="588">
        <v>0</v>
      </c>
      <c r="L730" s="588">
        <v>0</v>
      </c>
      <c r="M730" s="588">
        <v>0</v>
      </c>
      <c r="N730" s="588">
        <v>281</v>
      </c>
      <c r="O730" s="588">
        <v>0</v>
      </c>
      <c r="P730" s="588">
        <v>748</v>
      </c>
      <c r="Q730" s="588">
        <v>235</v>
      </c>
      <c r="R730" s="588">
        <v>1765</v>
      </c>
      <c r="S730" s="588">
        <v>235</v>
      </c>
      <c r="T730" s="588">
        <v>2016</v>
      </c>
      <c r="U730" s="588">
        <v>2016</v>
      </c>
      <c r="V730" s="589"/>
      <c r="W730" s="589"/>
      <c r="X730" s="589"/>
      <c r="Y730" s="589"/>
      <c r="Z730" s="589"/>
      <c r="AA730" s="589"/>
      <c r="AB730" s="589"/>
      <c r="AC730" s="589"/>
      <c r="AD730" s="589"/>
      <c r="AE730" s="589"/>
      <c r="AF730" s="589"/>
      <c r="AG730" s="589"/>
      <c r="AH730" s="589"/>
      <c r="AI730" s="589"/>
      <c r="AJ730" s="589"/>
      <c r="AK730" s="589"/>
      <c r="AL730" s="589"/>
      <c r="AM730" s="589"/>
      <c r="AN730" s="589"/>
      <c r="AO730" s="589"/>
      <c r="AP730" s="589"/>
      <c r="AQ730" s="589"/>
      <c r="AR730" s="589"/>
      <c r="AS730" s="589"/>
    </row>
    <row r="731" spans="1:45" ht="15">
      <c r="A731" s="590" t="s">
        <v>170</v>
      </c>
      <c r="B731" s="591" t="s">
        <v>519</v>
      </c>
      <c r="C731" s="591" t="s">
        <v>799</v>
      </c>
      <c r="D731" s="592">
        <v>2016</v>
      </c>
      <c r="E731" s="591" t="s">
        <v>775</v>
      </c>
      <c r="F731" s="592">
        <v>74</v>
      </c>
      <c r="G731" s="592">
        <v>0</v>
      </c>
      <c r="H731" s="592">
        <v>0</v>
      </c>
      <c r="I731" s="592">
        <v>0</v>
      </c>
      <c r="J731" s="592">
        <v>52</v>
      </c>
      <c r="K731" s="592">
        <v>0</v>
      </c>
      <c r="L731" s="592">
        <v>0</v>
      </c>
      <c r="M731" s="592">
        <v>0</v>
      </c>
      <c r="N731" s="593">
        <v>57</v>
      </c>
      <c r="O731" s="593">
        <v>9</v>
      </c>
      <c r="P731" s="593">
        <v>125</v>
      </c>
      <c r="Q731" s="593">
        <v>13</v>
      </c>
      <c r="R731" s="593">
        <v>308</v>
      </c>
      <c r="S731" s="593">
        <v>22</v>
      </c>
      <c r="T731" s="593">
        <v>2016</v>
      </c>
      <c r="U731" s="593">
        <v>2014</v>
      </c>
      <c r="V731" s="589"/>
      <c r="W731" s="589"/>
      <c r="X731" s="589"/>
      <c r="Y731" s="589"/>
      <c r="Z731" s="589"/>
      <c r="AA731" s="589"/>
      <c r="AB731" s="589"/>
      <c r="AC731" s="589"/>
      <c r="AD731" s="589"/>
      <c r="AE731" s="589"/>
      <c r="AF731" s="589"/>
      <c r="AG731" s="589"/>
      <c r="AH731" s="589"/>
      <c r="AI731" s="589"/>
      <c r="AJ731" s="589"/>
      <c r="AK731" s="589"/>
      <c r="AL731" s="589"/>
      <c r="AM731" s="589"/>
      <c r="AN731" s="589"/>
      <c r="AO731" s="589"/>
      <c r="AP731" s="589"/>
      <c r="AQ731" s="589"/>
      <c r="AR731" s="589"/>
      <c r="AS731" s="589"/>
    </row>
    <row r="732" spans="1:45" ht="15">
      <c r="A732" s="587" t="s">
        <v>153</v>
      </c>
      <c r="B732" s="587" t="s">
        <v>350</v>
      </c>
      <c r="C732" s="587" t="s">
        <v>812</v>
      </c>
      <c r="D732" s="588">
        <v>2016</v>
      </c>
      <c r="E732" s="587" t="s">
        <v>775</v>
      </c>
      <c r="F732" s="588">
        <v>20</v>
      </c>
      <c r="G732" s="588">
        <v>0</v>
      </c>
      <c r="H732" s="588">
        <v>0</v>
      </c>
      <c r="I732" s="588">
        <v>0</v>
      </c>
      <c r="J732" s="588">
        <v>12</v>
      </c>
      <c r="K732" s="588">
        <v>0</v>
      </c>
      <c r="L732" s="588">
        <v>0</v>
      </c>
      <c r="M732" s="588">
        <v>0</v>
      </c>
      <c r="N732" s="588">
        <v>14</v>
      </c>
      <c r="O732" s="588">
        <v>0</v>
      </c>
      <c r="P732" s="588">
        <v>34</v>
      </c>
      <c r="Q732" s="588">
        <v>0</v>
      </c>
      <c r="R732" s="588">
        <v>80</v>
      </c>
      <c r="S732" s="588">
        <v>0</v>
      </c>
      <c r="T732" s="588">
        <v>2016</v>
      </c>
      <c r="U732" s="588">
        <v>2014</v>
      </c>
      <c r="V732" s="589"/>
      <c r="W732" s="589"/>
      <c r="X732" s="589"/>
      <c r="Y732" s="589"/>
      <c r="Z732" s="589"/>
      <c r="AA732" s="589"/>
      <c r="AB732" s="589"/>
      <c r="AC732" s="589"/>
      <c r="AD732" s="589"/>
      <c r="AE732" s="589"/>
      <c r="AF732" s="589"/>
      <c r="AG732" s="589"/>
      <c r="AH732" s="589"/>
      <c r="AI732" s="589"/>
      <c r="AJ732" s="589"/>
      <c r="AK732" s="589"/>
      <c r="AL732" s="589"/>
      <c r="AM732" s="589"/>
      <c r="AN732" s="589"/>
      <c r="AO732" s="589"/>
      <c r="AP732" s="589"/>
      <c r="AQ732" s="589"/>
      <c r="AR732" s="589"/>
      <c r="AS732" s="589"/>
    </row>
    <row r="733" spans="1:45" ht="15">
      <c r="A733" s="590" t="s">
        <v>153</v>
      </c>
      <c r="B733" s="591" t="s">
        <v>351</v>
      </c>
      <c r="C733" s="591" t="s">
        <v>812</v>
      </c>
      <c r="D733" s="592">
        <v>2016</v>
      </c>
      <c r="E733" s="591" t="s">
        <v>775</v>
      </c>
      <c r="F733" s="592">
        <v>198</v>
      </c>
      <c r="G733" s="592">
        <v>0</v>
      </c>
      <c r="H733" s="592">
        <v>0</v>
      </c>
      <c r="I733" s="592">
        <v>0</v>
      </c>
      <c r="J733" s="592">
        <v>118</v>
      </c>
      <c r="K733" s="592">
        <v>0</v>
      </c>
      <c r="L733" s="592">
        <v>0</v>
      </c>
      <c r="M733" s="592">
        <v>0</v>
      </c>
      <c r="N733" s="593">
        <v>127</v>
      </c>
      <c r="O733" s="593">
        <v>110</v>
      </c>
      <c r="P733" s="593">
        <v>336</v>
      </c>
      <c r="Q733" s="593">
        <v>0</v>
      </c>
      <c r="R733" s="593">
        <v>779</v>
      </c>
      <c r="S733" s="593">
        <v>110</v>
      </c>
      <c r="T733" s="593">
        <v>2016</v>
      </c>
      <c r="U733" s="593">
        <v>2014</v>
      </c>
      <c r="V733" s="589"/>
      <c r="W733" s="589"/>
      <c r="X733" s="589"/>
      <c r="Y733" s="589"/>
      <c r="Z733" s="589"/>
      <c r="AA733" s="589"/>
      <c r="AB733" s="589"/>
      <c r="AC733" s="589"/>
      <c r="AD733" s="589"/>
      <c r="AE733" s="589"/>
      <c r="AF733" s="589"/>
      <c r="AG733" s="589"/>
      <c r="AH733" s="589"/>
      <c r="AI733" s="589"/>
      <c r="AJ733" s="589"/>
      <c r="AK733" s="589"/>
      <c r="AL733" s="589"/>
      <c r="AM733" s="589"/>
      <c r="AN733" s="589"/>
      <c r="AO733" s="589"/>
      <c r="AP733" s="589"/>
      <c r="AQ733" s="589"/>
      <c r="AR733" s="589"/>
      <c r="AS733" s="589"/>
    </row>
    <row r="734" spans="1:45" ht="15">
      <c r="A734" s="587" t="s">
        <v>153</v>
      </c>
      <c r="B734" s="587" t="s">
        <v>352</v>
      </c>
      <c r="C734" s="587" t="s">
        <v>812</v>
      </c>
      <c r="D734" s="588">
        <v>2016</v>
      </c>
      <c r="E734" s="587" t="s">
        <v>775</v>
      </c>
      <c r="F734" s="588">
        <v>142</v>
      </c>
      <c r="G734" s="588">
        <v>0</v>
      </c>
      <c r="H734" s="588">
        <v>0</v>
      </c>
      <c r="I734" s="588">
        <v>0</v>
      </c>
      <c r="J734" s="588">
        <v>83</v>
      </c>
      <c r="K734" s="588">
        <v>0</v>
      </c>
      <c r="L734" s="588">
        <v>0</v>
      </c>
      <c r="M734" s="588">
        <v>0</v>
      </c>
      <c r="N734" s="588">
        <v>90</v>
      </c>
      <c r="O734" s="588">
        <v>0</v>
      </c>
      <c r="P734" s="588">
        <v>242</v>
      </c>
      <c r="Q734" s="588">
        <v>31</v>
      </c>
      <c r="R734" s="588">
        <v>557</v>
      </c>
      <c r="S734" s="588">
        <v>31</v>
      </c>
      <c r="T734" s="588">
        <v>2016</v>
      </c>
      <c r="U734" s="588">
        <v>2014</v>
      </c>
      <c r="V734" s="589"/>
      <c r="W734" s="589"/>
      <c r="X734" s="589"/>
      <c r="Y734" s="589"/>
      <c r="Z734" s="589"/>
      <c r="AA734" s="589"/>
      <c r="AB734" s="589"/>
      <c r="AC734" s="589"/>
      <c r="AD734" s="589"/>
      <c r="AE734" s="589"/>
      <c r="AF734" s="589"/>
      <c r="AG734" s="589"/>
      <c r="AH734" s="589"/>
      <c r="AI734" s="589"/>
      <c r="AJ734" s="589"/>
      <c r="AK734" s="589"/>
      <c r="AL734" s="589"/>
      <c r="AM734" s="589"/>
      <c r="AN734" s="589"/>
      <c r="AO734" s="589"/>
      <c r="AP734" s="589"/>
      <c r="AQ734" s="589"/>
      <c r="AR734" s="589"/>
      <c r="AS734" s="589"/>
    </row>
    <row r="735" spans="1:45" ht="15">
      <c r="A735" s="590" t="s">
        <v>173</v>
      </c>
      <c r="B735" s="591" t="s">
        <v>528</v>
      </c>
      <c r="C735" s="591" t="s">
        <v>812</v>
      </c>
      <c r="D735" s="592">
        <v>2016</v>
      </c>
      <c r="E735" s="591" t="s">
        <v>775</v>
      </c>
      <c r="F735" s="592">
        <v>872</v>
      </c>
      <c r="G735" s="592">
        <v>0</v>
      </c>
      <c r="H735" s="592">
        <v>0</v>
      </c>
      <c r="I735" s="592">
        <v>0</v>
      </c>
      <c r="J735" s="592">
        <v>593</v>
      </c>
      <c r="K735" s="592">
        <v>0</v>
      </c>
      <c r="L735" s="592">
        <v>0</v>
      </c>
      <c r="M735" s="592">
        <v>0</v>
      </c>
      <c r="N735" s="593">
        <v>685</v>
      </c>
      <c r="O735" s="593">
        <v>0</v>
      </c>
      <c r="P735" s="593">
        <v>1642</v>
      </c>
      <c r="Q735" s="593">
        <v>0</v>
      </c>
      <c r="R735" s="593">
        <v>3792</v>
      </c>
      <c r="S735" s="593">
        <v>0</v>
      </c>
      <c r="T735" s="593">
        <v>2016</v>
      </c>
      <c r="U735" s="593">
        <v>2014</v>
      </c>
      <c r="V735" s="589"/>
      <c r="W735" s="589"/>
      <c r="X735" s="589"/>
      <c r="Y735" s="589"/>
      <c r="Z735" s="589"/>
      <c r="AA735" s="589"/>
      <c r="AB735" s="589"/>
      <c r="AC735" s="589"/>
      <c r="AD735" s="589"/>
      <c r="AE735" s="589"/>
      <c r="AF735" s="589"/>
      <c r="AG735" s="589"/>
      <c r="AH735" s="589"/>
      <c r="AI735" s="589"/>
      <c r="AJ735" s="589"/>
      <c r="AK735" s="589"/>
      <c r="AL735" s="589"/>
      <c r="AM735" s="589"/>
      <c r="AN735" s="589"/>
      <c r="AO735" s="589"/>
      <c r="AP735" s="589"/>
      <c r="AQ735" s="589"/>
      <c r="AR735" s="589"/>
      <c r="AS735" s="589"/>
    </row>
    <row r="736" spans="1:45" ht="15">
      <c r="A736" s="587" t="s">
        <v>178</v>
      </c>
      <c r="B736" s="587" t="s">
        <v>568</v>
      </c>
      <c r="C736" s="587" t="s">
        <v>812</v>
      </c>
      <c r="D736" s="588">
        <v>2016</v>
      </c>
      <c r="E736" s="587" t="s">
        <v>775</v>
      </c>
      <c r="F736" s="588">
        <v>188</v>
      </c>
      <c r="G736" s="588">
        <v>0</v>
      </c>
      <c r="H736" s="588">
        <v>0</v>
      </c>
      <c r="I736" s="588">
        <v>0</v>
      </c>
      <c r="J736" s="588">
        <v>138</v>
      </c>
      <c r="K736" s="588">
        <v>0</v>
      </c>
      <c r="L736" s="588">
        <v>0</v>
      </c>
      <c r="M736" s="588">
        <v>0</v>
      </c>
      <c r="N736" s="588">
        <v>154</v>
      </c>
      <c r="O736" s="588">
        <v>0</v>
      </c>
      <c r="P736" s="588">
        <v>363</v>
      </c>
      <c r="Q736" s="588">
        <v>0</v>
      </c>
      <c r="R736" s="588">
        <v>843</v>
      </c>
      <c r="S736" s="588">
        <v>0</v>
      </c>
      <c r="T736" s="588">
        <v>2016</v>
      </c>
      <c r="U736" s="588">
        <v>2014</v>
      </c>
      <c r="V736" s="589"/>
      <c r="W736" s="589"/>
      <c r="X736" s="589"/>
      <c r="Y736" s="589"/>
      <c r="Z736" s="589"/>
      <c r="AA736" s="589"/>
      <c r="AB736" s="589"/>
      <c r="AC736" s="589"/>
      <c r="AD736" s="589"/>
      <c r="AE736" s="589"/>
      <c r="AF736" s="589"/>
      <c r="AG736" s="589"/>
      <c r="AH736" s="589"/>
      <c r="AI736" s="589"/>
      <c r="AJ736" s="589"/>
      <c r="AK736" s="589"/>
      <c r="AL736" s="589"/>
      <c r="AM736" s="589"/>
      <c r="AN736" s="589"/>
      <c r="AO736" s="589"/>
      <c r="AP736" s="589"/>
      <c r="AQ736" s="589"/>
      <c r="AR736" s="589"/>
      <c r="AS736" s="589"/>
    </row>
    <row r="737" spans="1:45" ht="15">
      <c r="A737" s="590" t="s">
        <v>153</v>
      </c>
      <c r="B737" s="591" t="s">
        <v>353</v>
      </c>
      <c r="C737" s="591" t="s">
        <v>812</v>
      </c>
      <c r="D737" s="592">
        <v>2016</v>
      </c>
      <c r="E737" s="591" t="s">
        <v>775</v>
      </c>
      <c r="F737" s="592">
        <v>11</v>
      </c>
      <c r="G737" s="592">
        <v>0</v>
      </c>
      <c r="H737" s="592">
        <v>0</v>
      </c>
      <c r="I737" s="592">
        <v>0</v>
      </c>
      <c r="J737" s="592">
        <v>7</v>
      </c>
      <c r="K737" s="592">
        <v>0</v>
      </c>
      <c r="L737" s="592">
        <v>0</v>
      </c>
      <c r="M737" s="592">
        <v>0</v>
      </c>
      <c r="N737" s="593">
        <v>8</v>
      </c>
      <c r="O737" s="593">
        <v>0</v>
      </c>
      <c r="P737" s="593">
        <v>21</v>
      </c>
      <c r="Q737" s="593">
        <v>10</v>
      </c>
      <c r="R737" s="593">
        <v>47</v>
      </c>
      <c r="S737" s="593">
        <v>10</v>
      </c>
      <c r="T737" s="593">
        <v>2016</v>
      </c>
      <c r="U737" s="593">
        <v>2014</v>
      </c>
      <c r="V737" s="589"/>
      <c r="W737" s="589"/>
      <c r="X737" s="589"/>
      <c r="Y737" s="589"/>
      <c r="Z737" s="589"/>
      <c r="AA737" s="589"/>
      <c r="AB737" s="589"/>
      <c r="AC737" s="589"/>
      <c r="AD737" s="589"/>
      <c r="AE737" s="589"/>
      <c r="AF737" s="589"/>
      <c r="AG737" s="589"/>
      <c r="AH737" s="589"/>
      <c r="AI737" s="589"/>
      <c r="AJ737" s="589"/>
      <c r="AK737" s="589"/>
      <c r="AL737" s="589"/>
      <c r="AM737" s="589"/>
      <c r="AN737" s="589"/>
      <c r="AO737" s="589"/>
      <c r="AP737" s="589"/>
      <c r="AQ737" s="589"/>
      <c r="AR737" s="589"/>
      <c r="AS737" s="589"/>
    </row>
    <row r="738" spans="1:45" ht="15">
      <c r="A738" s="587" t="s">
        <v>153</v>
      </c>
      <c r="B738" s="587" t="s">
        <v>354</v>
      </c>
      <c r="C738" s="587" t="s">
        <v>812</v>
      </c>
      <c r="D738" s="588">
        <v>2016</v>
      </c>
      <c r="E738" s="587" t="s">
        <v>775</v>
      </c>
      <c r="F738" s="588">
        <v>11</v>
      </c>
      <c r="G738" s="588">
        <v>0</v>
      </c>
      <c r="H738" s="588">
        <v>0</v>
      </c>
      <c r="I738" s="588">
        <v>0</v>
      </c>
      <c r="J738" s="588">
        <v>7</v>
      </c>
      <c r="K738" s="588">
        <v>0</v>
      </c>
      <c r="L738" s="588">
        <v>0</v>
      </c>
      <c r="M738" s="588">
        <v>0</v>
      </c>
      <c r="N738" s="588">
        <v>8</v>
      </c>
      <c r="O738" s="588">
        <v>0</v>
      </c>
      <c r="P738" s="588">
        <v>20</v>
      </c>
      <c r="Q738" s="588">
        <v>5</v>
      </c>
      <c r="R738" s="588">
        <v>46</v>
      </c>
      <c r="S738" s="588">
        <v>5</v>
      </c>
      <c r="T738" s="588">
        <v>2016</v>
      </c>
      <c r="U738" s="588">
        <v>2014</v>
      </c>
      <c r="V738" s="589"/>
      <c r="W738" s="589"/>
      <c r="X738" s="589"/>
      <c r="Y738" s="589"/>
      <c r="Z738" s="589"/>
      <c r="AA738" s="589"/>
      <c r="AB738" s="589"/>
      <c r="AC738" s="589"/>
      <c r="AD738" s="589"/>
      <c r="AE738" s="589"/>
      <c r="AF738" s="589"/>
      <c r="AG738" s="589"/>
      <c r="AH738" s="589"/>
      <c r="AI738" s="589"/>
      <c r="AJ738" s="589"/>
      <c r="AK738" s="589"/>
      <c r="AL738" s="589"/>
      <c r="AM738" s="589"/>
      <c r="AN738" s="589"/>
      <c r="AO738" s="589"/>
      <c r="AP738" s="589"/>
      <c r="AQ738" s="589"/>
      <c r="AR738" s="589"/>
      <c r="AS738" s="589"/>
    </row>
    <row r="739" spans="1:45" ht="15">
      <c r="A739" s="590" t="s">
        <v>153</v>
      </c>
      <c r="B739" s="591" t="s">
        <v>355</v>
      </c>
      <c r="C739" s="591" t="s">
        <v>812</v>
      </c>
      <c r="D739" s="592">
        <v>2016</v>
      </c>
      <c r="E739" s="591" t="s">
        <v>775</v>
      </c>
      <c r="F739" s="592">
        <v>1</v>
      </c>
      <c r="G739" s="592">
        <v>0</v>
      </c>
      <c r="H739" s="592">
        <v>0</v>
      </c>
      <c r="I739" s="592">
        <v>0</v>
      </c>
      <c r="J739" s="592">
        <v>1</v>
      </c>
      <c r="K739" s="592">
        <v>6</v>
      </c>
      <c r="L739" s="592">
        <v>6</v>
      </c>
      <c r="M739" s="592">
        <v>0</v>
      </c>
      <c r="N739" s="593">
        <v>0</v>
      </c>
      <c r="O739" s="593">
        <v>6</v>
      </c>
      <c r="P739" s="593">
        <v>0</v>
      </c>
      <c r="Q739" s="593">
        <v>108</v>
      </c>
      <c r="R739" s="593">
        <v>2</v>
      </c>
      <c r="S739" s="593">
        <v>120</v>
      </c>
      <c r="T739" s="593">
        <v>2016</v>
      </c>
      <c r="U739" s="593">
        <v>2014</v>
      </c>
      <c r="V739" s="589"/>
      <c r="W739" s="589"/>
      <c r="X739" s="589"/>
      <c r="Y739" s="589"/>
      <c r="Z739" s="589"/>
      <c r="AA739" s="589"/>
      <c r="AB739" s="589"/>
      <c r="AC739" s="589"/>
      <c r="AD739" s="589"/>
      <c r="AE739" s="589"/>
      <c r="AF739" s="589"/>
      <c r="AG739" s="589"/>
      <c r="AH739" s="589"/>
      <c r="AI739" s="589"/>
      <c r="AJ739" s="589"/>
      <c r="AK739" s="589"/>
      <c r="AL739" s="589"/>
      <c r="AM739" s="589"/>
      <c r="AN739" s="589"/>
      <c r="AO739" s="589"/>
      <c r="AP739" s="589"/>
      <c r="AQ739" s="589"/>
      <c r="AR739" s="589"/>
      <c r="AS739" s="589"/>
    </row>
    <row r="740" spans="1:45" ht="15">
      <c r="A740" s="587" t="s">
        <v>184</v>
      </c>
      <c r="B740" s="587" t="s">
        <v>624</v>
      </c>
      <c r="C740" s="587" t="s">
        <v>774</v>
      </c>
      <c r="D740" s="588">
        <v>2016</v>
      </c>
      <c r="E740" s="587" t="s">
        <v>775</v>
      </c>
      <c r="F740" s="588">
        <v>116</v>
      </c>
      <c r="G740" s="588">
        <v>0</v>
      </c>
      <c r="H740" s="588">
        <v>0</v>
      </c>
      <c r="I740" s="588">
        <v>0</v>
      </c>
      <c r="J740" s="588">
        <v>63</v>
      </c>
      <c r="K740" s="588">
        <v>0</v>
      </c>
      <c r="L740" s="588">
        <v>0</v>
      </c>
      <c r="M740" s="588">
        <v>0</v>
      </c>
      <c r="N740" s="588">
        <v>67</v>
      </c>
      <c r="O740" s="588">
        <v>0</v>
      </c>
      <c r="P740" s="588">
        <v>222</v>
      </c>
      <c r="Q740" s="588">
        <v>7</v>
      </c>
      <c r="R740" s="588">
        <v>468</v>
      </c>
      <c r="S740" s="588">
        <v>7</v>
      </c>
      <c r="T740" s="588">
        <v>2016</v>
      </c>
      <c r="U740" s="588">
        <v>2015</v>
      </c>
      <c r="V740" s="589"/>
      <c r="W740" s="589"/>
      <c r="X740" s="589"/>
      <c r="Y740" s="589"/>
      <c r="Z740" s="589"/>
      <c r="AA740" s="589"/>
      <c r="AB740" s="589"/>
      <c r="AC740" s="589"/>
      <c r="AD740" s="589"/>
      <c r="AE740" s="589"/>
      <c r="AF740" s="589"/>
      <c r="AG740" s="589"/>
      <c r="AH740" s="589"/>
      <c r="AI740" s="589"/>
      <c r="AJ740" s="589"/>
      <c r="AK740" s="589"/>
      <c r="AL740" s="589"/>
      <c r="AM740" s="589"/>
      <c r="AN740" s="589"/>
      <c r="AO740" s="589"/>
      <c r="AP740" s="589"/>
      <c r="AQ740" s="589"/>
      <c r="AR740" s="589"/>
      <c r="AS740" s="589"/>
    </row>
    <row r="741" spans="1:45" ht="15">
      <c r="A741" s="590" t="s">
        <v>157</v>
      </c>
      <c r="B741" s="591" t="s">
        <v>436</v>
      </c>
      <c r="C741" s="591" t="s">
        <v>774</v>
      </c>
      <c r="D741" s="592">
        <v>2016</v>
      </c>
      <c r="E741" s="591" t="s">
        <v>775</v>
      </c>
      <c r="F741" s="592">
        <v>4</v>
      </c>
      <c r="G741" s="592">
        <v>0</v>
      </c>
      <c r="H741" s="592">
        <v>0</v>
      </c>
      <c r="I741" s="592">
        <v>0</v>
      </c>
      <c r="J741" s="592">
        <v>3</v>
      </c>
      <c r="K741" s="592">
        <v>0</v>
      </c>
      <c r="L741" s="592">
        <v>0</v>
      </c>
      <c r="M741" s="592">
        <v>0</v>
      </c>
      <c r="N741" s="593">
        <v>4</v>
      </c>
      <c r="O741" s="593">
        <v>0</v>
      </c>
      <c r="P741" s="593">
        <v>5</v>
      </c>
      <c r="Q741" s="593">
        <v>0</v>
      </c>
      <c r="R741" s="593">
        <v>16</v>
      </c>
      <c r="S741" s="593">
        <v>0</v>
      </c>
      <c r="T741" s="593">
        <v>2016</v>
      </c>
      <c r="U741" s="593">
        <v>2015</v>
      </c>
      <c r="V741" s="589"/>
      <c r="W741" s="589"/>
      <c r="X741" s="589"/>
      <c r="Y741" s="589"/>
      <c r="Z741" s="589"/>
      <c r="AA741" s="589"/>
      <c r="AB741" s="589"/>
      <c r="AC741" s="589"/>
      <c r="AD741" s="589"/>
      <c r="AE741" s="589"/>
      <c r="AF741" s="589"/>
      <c r="AG741" s="589"/>
      <c r="AH741" s="589"/>
      <c r="AI741" s="589"/>
      <c r="AJ741" s="589"/>
      <c r="AK741" s="589"/>
      <c r="AL741" s="589"/>
      <c r="AM741" s="589"/>
      <c r="AN741" s="589"/>
      <c r="AO741" s="589"/>
      <c r="AP741" s="589"/>
      <c r="AQ741" s="589"/>
      <c r="AR741" s="589"/>
      <c r="AS741" s="589"/>
    </row>
    <row r="742" spans="1:45" ht="15">
      <c r="A742" s="587" t="s">
        <v>192</v>
      </c>
      <c r="B742" s="587" t="s">
        <v>686</v>
      </c>
      <c r="C742" s="587" t="s">
        <v>774</v>
      </c>
      <c r="D742" s="588">
        <v>2016</v>
      </c>
      <c r="E742" s="587" t="s">
        <v>775</v>
      </c>
      <c r="F742" s="588">
        <v>94</v>
      </c>
      <c r="G742" s="588">
        <v>0</v>
      </c>
      <c r="H742" s="588">
        <v>0</v>
      </c>
      <c r="I742" s="588">
        <v>0</v>
      </c>
      <c r="J742" s="588">
        <v>54</v>
      </c>
      <c r="K742" s="588">
        <v>2</v>
      </c>
      <c r="L742" s="588">
        <v>2</v>
      </c>
      <c r="M742" s="588">
        <v>0</v>
      </c>
      <c r="N742" s="588">
        <v>56</v>
      </c>
      <c r="O742" s="588">
        <v>0</v>
      </c>
      <c r="P742" s="588">
        <v>123</v>
      </c>
      <c r="Q742" s="588">
        <v>1</v>
      </c>
      <c r="R742" s="588">
        <v>327</v>
      </c>
      <c r="S742" s="588">
        <v>3</v>
      </c>
      <c r="T742" s="588">
        <v>2016</v>
      </c>
      <c r="U742" s="588">
        <v>2015</v>
      </c>
      <c r="V742" s="589"/>
      <c r="W742" s="589"/>
      <c r="X742" s="589"/>
      <c r="Y742" s="589"/>
      <c r="Z742" s="589"/>
      <c r="AA742" s="589"/>
      <c r="AB742" s="589"/>
      <c r="AC742" s="589"/>
      <c r="AD742" s="589"/>
      <c r="AE742" s="589"/>
      <c r="AF742" s="589"/>
      <c r="AG742" s="589"/>
      <c r="AH742" s="589"/>
      <c r="AI742" s="589"/>
      <c r="AJ742" s="589"/>
      <c r="AK742" s="589"/>
      <c r="AL742" s="589"/>
      <c r="AM742" s="589"/>
      <c r="AN742" s="589"/>
      <c r="AO742" s="589"/>
      <c r="AP742" s="589"/>
      <c r="AQ742" s="589"/>
      <c r="AR742" s="589"/>
      <c r="AS742" s="589"/>
    </row>
    <row r="743" spans="1:45" ht="15">
      <c r="A743" s="590" t="s">
        <v>125</v>
      </c>
      <c r="B743" s="591" t="s">
        <v>235</v>
      </c>
      <c r="C743" s="591" t="s">
        <v>774</v>
      </c>
      <c r="D743" s="592">
        <v>2016</v>
      </c>
      <c r="E743" s="591" t="s">
        <v>775</v>
      </c>
      <c r="F743" s="592">
        <v>532</v>
      </c>
      <c r="G743" s="592">
        <v>16</v>
      </c>
      <c r="H743" s="592">
        <v>16</v>
      </c>
      <c r="I743" s="592">
        <v>0</v>
      </c>
      <c r="J743" s="592">
        <v>442</v>
      </c>
      <c r="K743" s="592">
        <v>0</v>
      </c>
      <c r="L743" s="592">
        <v>0</v>
      </c>
      <c r="M743" s="592">
        <v>0</v>
      </c>
      <c r="N743" s="593">
        <v>584</v>
      </c>
      <c r="O743" s="593">
        <v>0</v>
      </c>
      <c r="P743" s="593">
        <v>1401</v>
      </c>
      <c r="Q743" s="593">
        <v>212</v>
      </c>
      <c r="R743" s="593">
        <v>2959</v>
      </c>
      <c r="S743" s="593">
        <v>228</v>
      </c>
      <c r="T743" s="593">
        <v>2016</v>
      </c>
      <c r="U743" s="593">
        <v>2015</v>
      </c>
      <c r="V743" s="589"/>
      <c r="W743" s="589"/>
      <c r="X743" s="589"/>
      <c r="Y743" s="589"/>
      <c r="Z743" s="589"/>
      <c r="AA743" s="589"/>
      <c r="AB743" s="589"/>
      <c r="AC743" s="589"/>
      <c r="AD743" s="589"/>
      <c r="AE743" s="589"/>
      <c r="AF743" s="589"/>
      <c r="AG743" s="589"/>
      <c r="AH743" s="589"/>
      <c r="AI743" s="589"/>
      <c r="AJ743" s="589"/>
      <c r="AK743" s="589"/>
      <c r="AL743" s="589"/>
      <c r="AM743" s="589"/>
      <c r="AN743" s="589"/>
      <c r="AO743" s="589"/>
      <c r="AP743" s="589"/>
      <c r="AQ743" s="589"/>
      <c r="AR743" s="589"/>
      <c r="AS743" s="589"/>
    </row>
    <row r="744" spans="1:45" ht="15">
      <c r="A744" s="587" t="s">
        <v>153</v>
      </c>
      <c r="B744" s="587" t="s">
        <v>356</v>
      </c>
      <c r="C744" s="587" t="s">
        <v>812</v>
      </c>
      <c r="D744" s="588">
        <v>2016</v>
      </c>
      <c r="E744" s="587" t="s">
        <v>775</v>
      </c>
      <c r="F744" s="588">
        <v>1</v>
      </c>
      <c r="G744" s="588">
        <v>0</v>
      </c>
      <c r="H744" s="588">
        <v>0</v>
      </c>
      <c r="I744" s="588">
        <v>0</v>
      </c>
      <c r="J744" s="588">
        <v>1</v>
      </c>
      <c r="K744" s="588">
        <v>0</v>
      </c>
      <c r="L744" s="588">
        <v>0</v>
      </c>
      <c r="M744" s="588">
        <v>0</v>
      </c>
      <c r="N744" s="588">
        <v>1</v>
      </c>
      <c r="O744" s="588">
        <v>2</v>
      </c>
      <c r="P744" s="588">
        <v>0</v>
      </c>
      <c r="Q744" s="588">
        <v>16</v>
      </c>
      <c r="R744" s="588">
        <v>3</v>
      </c>
      <c r="S744" s="588">
        <v>18</v>
      </c>
      <c r="T744" s="588">
        <v>2016</v>
      </c>
      <c r="U744" s="588">
        <v>2014</v>
      </c>
      <c r="V744" s="589"/>
      <c r="W744" s="589"/>
      <c r="X744" s="589"/>
      <c r="Y744" s="589"/>
      <c r="Z744" s="589"/>
      <c r="AA744" s="589"/>
      <c r="AB744" s="589"/>
      <c r="AC744" s="589"/>
      <c r="AD744" s="589"/>
      <c r="AE744" s="589"/>
      <c r="AF744" s="589"/>
      <c r="AG744" s="589"/>
      <c r="AH744" s="589"/>
      <c r="AI744" s="589"/>
      <c r="AJ744" s="589"/>
      <c r="AK744" s="589"/>
      <c r="AL744" s="589"/>
      <c r="AM744" s="589"/>
      <c r="AN744" s="589"/>
      <c r="AO744" s="589"/>
      <c r="AP744" s="589"/>
      <c r="AQ744" s="589"/>
      <c r="AR744" s="589"/>
      <c r="AS744" s="589"/>
    </row>
    <row r="745" spans="1:45" ht="15">
      <c r="A745" s="590" t="s">
        <v>147</v>
      </c>
      <c r="B745" s="591" t="s">
        <v>322</v>
      </c>
      <c r="C745" s="591" t="s">
        <v>784</v>
      </c>
      <c r="D745" s="592">
        <v>2016</v>
      </c>
      <c r="E745" s="591" t="s">
        <v>775</v>
      </c>
      <c r="F745" s="592">
        <v>15</v>
      </c>
      <c r="G745" s="592">
        <v>0</v>
      </c>
      <c r="H745" s="592">
        <v>0</v>
      </c>
      <c r="I745" s="592">
        <v>0</v>
      </c>
      <c r="J745" s="592">
        <v>10</v>
      </c>
      <c r="K745" s="592">
        <v>0</v>
      </c>
      <c r="L745" s="592">
        <v>0</v>
      </c>
      <c r="M745" s="592">
        <v>0</v>
      </c>
      <c r="N745" s="593">
        <v>12</v>
      </c>
      <c r="O745" s="593">
        <v>6</v>
      </c>
      <c r="P745" s="593">
        <v>28</v>
      </c>
      <c r="Q745" s="593">
        <v>0</v>
      </c>
      <c r="R745" s="593">
        <v>65</v>
      </c>
      <c r="S745" s="593">
        <v>6</v>
      </c>
      <c r="T745" s="593">
        <v>2016</v>
      </c>
      <c r="U745" s="593">
        <v>2014</v>
      </c>
      <c r="V745" s="589"/>
      <c r="W745" s="589"/>
      <c r="X745" s="589"/>
      <c r="Y745" s="589"/>
      <c r="Z745" s="589"/>
      <c r="AA745" s="589"/>
      <c r="AB745" s="589"/>
      <c r="AC745" s="589"/>
      <c r="AD745" s="589"/>
      <c r="AE745" s="589"/>
      <c r="AF745" s="589"/>
      <c r="AG745" s="589"/>
      <c r="AH745" s="589"/>
      <c r="AI745" s="589"/>
      <c r="AJ745" s="589"/>
      <c r="AK745" s="589"/>
      <c r="AL745" s="589"/>
      <c r="AM745" s="589"/>
      <c r="AN745" s="589"/>
      <c r="AO745" s="589"/>
      <c r="AP745" s="589"/>
      <c r="AQ745" s="589"/>
      <c r="AR745" s="589"/>
      <c r="AS745" s="589"/>
    </row>
    <row r="746" spans="1:45" ht="15">
      <c r="A746" s="587" t="s">
        <v>146</v>
      </c>
      <c r="B746" s="587" t="s">
        <v>315</v>
      </c>
      <c r="C746" s="587" t="s">
        <v>812</v>
      </c>
      <c r="D746" s="588">
        <v>2016</v>
      </c>
      <c r="E746" s="587" t="s">
        <v>775</v>
      </c>
      <c r="F746" s="588">
        <v>760</v>
      </c>
      <c r="G746" s="588">
        <v>5</v>
      </c>
      <c r="H746" s="588">
        <v>5</v>
      </c>
      <c r="I746" s="588">
        <v>0</v>
      </c>
      <c r="J746" s="588">
        <v>470</v>
      </c>
      <c r="K746" s="588">
        <v>7</v>
      </c>
      <c r="L746" s="588">
        <v>7</v>
      </c>
      <c r="M746" s="588">
        <v>0</v>
      </c>
      <c r="N746" s="588">
        <v>466</v>
      </c>
      <c r="O746" s="588">
        <v>54</v>
      </c>
      <c r="P746" s="588">
        <v>1338</v>
      </c>
      <c r="Q746" s="588">
        <v>0</v>
      </c>
      <c r="R746" s="588">
        <v>3034</v>
      </c>
      <c r="S746" s="588">
        <v>66</v>
      </c>
      <c r="T746" s="588">
        <v>2016</v>
      </c>
      <c r="U746" s="588">
        <v>2014</v>
      </c>
      <c r="V746" s="589"/>
      <c r="W746" s="589"/>
      <c r="X746" s="589"/>
      <c r="Y746" s="589"/>
      <c r="Z746" s="589"/>
      <c r="AA746" s="589"/>
      <c r="AB746" s="589"/>
      <c r="AC746" s="589"/>
      <c r="AD746" s="589"/>
      <c r="AE746" s="589"/>
      <c r="AF746" s="589"/>
      <c r="AG746" s="589"/>
      <c r="AH746" s="589"/>
      <c r="AI746" s="589"/>
      <c r="AJ746" s="589"/>
      <c r="AK746" s="589"/>
      <c r="AL746" s="589"/>
      <c r="AM746" s="589"/>
      <c r="AN746" s="589"/>
      <c r="AO746" s="589"/>
      <c r="AP746" s="589"/>
      <c r="AQ746" s="589"/>
      <c r="AR746" s="589"/>
      <c r="AS746" s="589"/>
    </row>
    <row r="747" spans="1:45" ht="15">
      <c r="A747" s="590" t="s">
        <v>169</v>
      </c>
      <c r="B747" s="591" t="s">
        <v>487</v>
      </c>
      <c r="C747" s="591" t="s">
        <v>812</v>
      </c>
      <c r="D747" s="592">
        <v>2016</v>
      </c>
      <c r="E747" s="591" t="s">
        <v>775</v>
      </c>
      <c r="F747" s="592">
        <v>426</v>
      </c>
      <c r="G747" s="592">
        <v>0</v>
      </c>
      <c r="H747" s="592">
        <v>0</v>
      </c>
      <c r="I747" s="592">
        <v>0</v>
      </c>
      <c r="J747" s="592">
        <v>305</v>
      </c>
      <c r="K747" s="592">
        <v>0</v>
      </c>
      <c r="L747" s="592">
        <v>0</v>
      </c>
      <c r="M747" s="592">
        <v>0</v>
      </c>
      <c r="N747" s="593">
        <v>335</v>
      </c>
      <c r="O747" s="593">
        <v>0</v>
      </c>
      <c r="P747" s="593">
        <v>785</v>
      </c>
      <c r="Q747" s="593">
        <v>194</v>
      </c>
      <c r="R747" s="593">
        <v>1851</v>
      </c>
      <c r="S747" s="593">
        <v>194</v>
      </c>
      <c r="T747" s="593">
        <v>2016</v>
      </c>
      <c r="U747" s="593">
        <v>2014</v>
      </c>
      <c r="V747" s="589"/>
      <c r="W747" s="589"/>
      <c r="X747" s="589"/>
      <c r="Y747" s="589"/>
      <c r="Z747" s="589"/>
      <c r="AA747" s="589"/>
      <c r="AB747" s="589"/>
      <c r="AC747" s="589"/>
      <c r="AD747" s="589"/>
      <c r="AE747" s="589"/>
      <c r="AF747" s="589"/>
      <c r="AG747" s="589"/>
      <c r="AH747" s="589"/>
      <c r="AI747" s="589"/>
      <c r="AJ747" s="589"/>
      <c r="AK747" s="589"/>
      <c r="AL747" s="589"/>
      <c r="AM747" s="589"/>
      <c r="AN747" s="589"/>
      <c r="AO747" s="589"/>
      <c r="AP747" s="589"/>
      <c r="AQ747" s="589"/>
      <c r="AR747" s="589"/>
      <c r="AS747" s="589"/>
    </row>
    <row r="748" spans="1:45" ht="15">
      <c r="A748" s="587" t="s">
        <v>136</v>
      </c>
      <c r="B748" s="587" t="s">
        <v>266</v>
      </c>
      <c r="C748" s="587" t="s">
        <v>774</v>
      </c>
      <c r="D748" s="588">
        <v>2016</v>
      </c>
      <c r="E748" s="587" t="s">
        <v>775</v>
      </c>
      <c r="F748" s="588">
        <v>234</v>
      </c>
      <c r="G748" s="588">
        <v>0</v>
      </c>
      <c r="H748" s="588">
        <v>0</v>
      </c>
      <c r="I748" s="588">
        <v>0</v>
      </c>
      <c r="J748" s="588">
        <v>124</v>
      </c>
      <c r="K748" s="588">
        <v>3</v>
      </c>
      <c r="L748" s="588">
        <v>3</v>
      </c>
      <c r="M748" s="588">
        <v>0</v>
      </c>
      <c r="N748" s="588">
        <v>123</v>
      </c>
      <c r="O748" s="588">
        <v>0</v>
      </c>
      <c r="P748" s="588">
        <v>279</v>
      </c>
      <c r="Q748" s="588">
        <v>540</v>
      </c>
      <c r="R748" s="588">
        <v>760</v>
      </c>
      <c r="S748" s="588">
        <v>543</v>
      </c>
      <c r="T748" s="588">
        <v>2016</v>
      </c>
      <c r="U748" s="588">
        <v>2015</v>
      </c>
      <c r="V748" s="589"/>
      <c r="W748" s="589"/>
      <c r="X748" s="589"/>
      <c r="Y748" s="589"/>
      <c r="Z748" s="589"/>
      <c r="AA748" s="589"/>
      <c r="AB748" s="589"/>
      <c r="AC748" s="589"/>
      <c r="AD748" s="589"/>
      <c r="AE748" s="589"/>
      <c r="AF748" s="589"/>
      <c r="AG748" s="589"/>
      <c r="AH748" s="589"/>
      <c r="AI748" s="589"/>
      <c r="AJ748" s="589"/>
      <c r="AK748" s="589"/>
      <c r="AL748" s="589"/>
      <c r="AM748" s="589"/>
      <c r="AN748" s="589"/>
      <c r="AO748" s="589"/>
      <c r="AP748" s="589"/>
      <c r="AQ748" s="589"/>
      <c r="AR748" s="589"/>
      <c r="AS748" s="589"/>
    </row>
    <row r="749" spans="1:45" ht="15">
      <c r="A749" s="590" t="s">
        <v>184</v>
      </c>
      <c r="B749" s="591" t="s">
        <v>625</v>
      </c>
      <c r="C749" s="591" t="s">
        <v>774</v>
      </c>
      <c r="D749" s="592">
        <v>2016</v>
      </c>
      <c r="E749" s="591" t="s">
        <v>775</v>
      </c>
      <c r="F749" s="592">
        <v>25</v>
      </c>
      <c r="G749" s="592">
        <v>0</v>
      </c>
      <c r="H749" s="592">
        <v>0</v>
      </c>
      <c r="I749" s="592">
        <v>0</v>
      </c>
      <c r="J749" s="592">
        <v>13</v>
      </c>
      <c r="K749" s="592">
        <v>0</v>
      </c>
      <c r="L749" s="592">
        <v>0</v>
      </c>
      <c r="M749" s="592">
        <v>0</v>
      </c>
      <c r="N749" s="593">
        <v>15</v>
      </c>
      <c r="O749" s="593">
        <v>3</v>
      </c>
      <c r="P749" s="593">
        <v>30</v>
      </c>
      <c r="Q749" s="593">
        <v>4</v>
      </c>
      <c r="R749" s="593">
        <v>83</v>
      </c>
      <c r="S749" s="593">
        <v>7</v>
      </c>
      <c r="T749" s="593">
        <v>2016</v>
      </c>
      <c r="U749" s="593">
        <v>2015</v>
      </c>
      <c r="V749" s="589"/>
      <c r="W749" s="589"/>
      <c r="X749" s="589"/>
      <c r="Y749" s="589"/>
      <c r="Z749" s="589"/>
      <c r="AA749" s="589"/>
      <c r="AB749" s="589"/>
      <c r="AC749" s="589"/>
      <c r="AD749" s="589"/>
      <c r="AE749" s="589"/>
      <c r="AF749" s="589"/>
      <c r="AG749" s="589"/>
      <c r="AH749" s="589"/>
      <c r="AI749" s="589"/>
      <c r="AJ749" s="589"/>
      <c r="AK749" s="589"/>
      <c r="AL749" s="589"/>
      <c r="AM749" s="589"/>
      <c r="AN749" s="589"/>
      <c r="AO749" s="589"/>
      <c r="AP749" s="589"/>
      <c r="AQ749" s="589"/>
      <c r="AR749" s="589"/>
      <c r="AS749" s="589"/>
    </row>
    <row r="750" spans="1:45" ht="15">
      <c r="A750" s="587" t="s">
        <v>185</v>
      </c>
      <c r="B750" s="587" t="s">
        <v>643</v>
      </c>
      <c r="C750" s="587" t="s">
        <v>868</v>
      </c>
      <c r="D750" s="588">
        <v>2016</v>
      </c>
      <c r="E750" s="587" t="s">
        <v>775</v>
      </c>
      <c r="F750" s="588">
        <v>66</v>
      </c>
      <c r="G750" s="588">
        <v>0</v>
      </c>
      <c r="H750" s="588">
        <v>0</v>
      </c>
      <c r="I750" s="588">
        <v>0</v>
      </c>
      <c r="J750" s="588">
        <v>44</v>
      </c>
      <c r="K750" s="588">
        <v>0</v>
      </c>
      <c r="L750" s="588">
        <v>0</v>
      </c>
      <c r="M750" s="588">
        <v>0</v>
      </c>
      <c r="N750" s="588">
        <v>41</v>
      </c>
      <c r="O750" s="588">
        <v>0</v>
      </c>
      <c r="P750" s="588">
        <v>124</v>
      </c>
      <c r="Q750" s="588">
        <v>51</v>
      </c>
      <c r="R750" s="588">
        <v>275</v>
      </c>
      <c r="S750" s="588">
        <v>51</v>
      </c>
      <c r="T750" s="588">
        <v>2016</v>
      </c>
      <c r="U750" s="588">
        <v>2015</v>
      </c>
      <c r="V750" s="589"/>
      <c r="W750" s="589"/>
      <c r="X750" s="589"/>
      <c r="Y750" s="589"/>
      <c r="Z750" s="589"/>
      <c r="AA750" s="589"/>
      <c r="AB750" s="589"/>
      <c r="AC750" s="589"/>
      <c r="AD750" s="589"/>
      <c r="AE750" s="589"/>
      <c r="AF750" s="589"/>
      <c r="AG750" s="589"/>
      <c r="AH750" s="589"/>
      <c r="AI750" s="589"/>
      <c r="AJ750" s="589"/>
      <c r="AK750" s="589"/>
      <c r="AL750" s="589"/>
      <c r="AM750" s="589"/>
      <c r="AN750" s="589"/>
      <c r="AO750" s="589"/>
      <c r="AP750" s="589"/>
      <c r="AQ750" s="589"/>
      <c r="AR750" s="589"/>
      <c r="AS750" s="589"/>
    </row>
    <row r="751" spans="1:45" ht="15">
      <c r="A751" s="590" t="s">
        <v>169</v>
      </c>
      <c r="B751" s="591" t="s">
        <v>488</v>
      </c>
      <c r="C751" s="591" t="s">
        <v>812</v>
      </c>
      <c r="D751" s="592">
        <v>2016</v>
      </c>
      <c r="E751" s="591" t="s">
        <v>775</v>
      </c>
      <c r="F751" s="592">
        <v>76</v>
      </c>
      <c r="G751" s="592">
        <v>0</v>
      </c>
      <c r="H751" s="592">
        <v>0</v>
      </c>
      <c r="I751" s="592">
        <v>0</v>
      </c>
      <c r="J751" s="592">
        <v>53</v>
      </c>
      <c r="K751" s="592">
        <v>0</v>
      </c>
      <c r="L751" s="592">
        <v>0</v>
      </c>
      <c r="M751" s="592">
        <v>0</v>
      </c>
      <c r="N751" s="593">
        <v>62</v>
      </c>
      <c r="O751" s="593">
        <v>26</v>
      </c>
      <c r="P751" s="593">
        <v>148</v>
      </c>
      <c r="Q751" s="593">
        <v>116</v>
      </c>
      <c r="R751" s="593">
        <v>339</v>
      </c>
      <c r="S751" s="593">
        <v>142</v>
      </c>
      <c r="T751" s="593">
        <v>2016</v>
      </c>
      <c r="U751" s="593">
        <v>2014</v>
      </c>
      <c r="V751" s="589"/>
      <c r="W751" s="589"/>
      <c r="X751" s="589"/>
      <c r="Y751" s="589"/>
      <c r="Z751" s="589"/>
      <c r="AA751" s="589"/>
      <c r="AB751" s="589"/>
      <c r="AC751" s="589"/>
      <c r="AD751" s="589"/>
      <c r="AE751" s="589"/>
      <c r="AF751" s="589"/>
      <c r="AG751" s="589"/>
      <c r="AH751" s="589"/>
      <c r="AI751" s="589"/>
      <c r="AJ751" s="589"/>
      <c r="AK751" s="589"/>
      <c r="AL751" s="589"/>
      <c r="AM751" s="589"/>
      <c r="AN751" s="589"/>
      <c r="AO751" s="589"/>
      <c r="AP751" s="589"/>
      <c r="AQ751" s="589"/>
      <c r="AR751" s="589"/>
      <c r="AS751" s="589"/>
    </row>
    <row r="752" spans="1:45" ht="15">
      <c r="A752" s="587" t="s">
        <v>153</v>
      </c>
      <c r="B752" s="587" t="s">
        <v>358</v>
      </c>
      <c r="C752" s="587" t="s">
        <v>812</v>
      </c>
      <c r="D752" s="588">
        <v>2016</v>
      </c>
      <c r="E752" s="587" t="s">
        <v>775</v>
      </c>
      <c r="F752" s="588">
        <v>694</v>
      </c>
      <c r="G752" s="588">
        <v>0</v>
      </c>
      <c r="H752" s="588">
        <v>0</v>
      </c>
      <c r="I752" s="588">
        <v>0</v>
      </c>
      <c r="J752" s="588">
        <v>413</v>
      </c>
      <c r="K752" s="588">
        <v>0</v>
      </c>
      <c r="L752" s="588">
        <v>0</v>
      </c>
      <c r="M752" s="588">
        <v>0</v>
      </c>
      <c r="N752" s="588">
        <v>443</v>
      </c>
      <c r="O752" s="588">
        <v>0</v>
      </c>
      <c r="P752" s="588">
        <v>1134</v>
      </c>
      <c r="Q752" s="588">
        <v>275</v>
      </c>
      <c r="R752" s="588">
        <v>2684</v>
      </c>
      <c r="S752" s="588">
        <v>275</v>
      </c>
      <c r="T752" s="588">
        <v>2016</v>
      </c>
      <c r="U752" s="588">
        <v>2014</v>
      </c>
      <c r="V752" s="589"/>
      <c r="W752" s="589"/>
      <c r="X752" s="589"/>
      <c r="Y752" s="589"/>
      <c r="Z752" s="589"/>
      <c r="AA752" s="589"/>
      <c r="AB752" s="589"/>
      <c r="AC752" s="589"/>
      <c r="AD752" s="589"/>
      <c r="AE752" s="589"/>
      <c r="AF752" s="589"/>
      <c r="AG752" s="589"/>
      <c r="AH752" s="589"/>
      <c r="AI752" s="589"/>
      <c r="AJ752" s="589"/>
      <c r="AK752" s="589"/>
      <c r="AL752" s="589"/>
      <c r="AM752" s="589"/>
      <c r="AN752" s="589"/>
      <c r="AO752" s="589"/>
      <c r="AP752" s="589"/>
      <c r="AQ752" s="589"/>
      <c r="AR752" s="589"/>
      <c r="AS752" s="589"/>
    </row>
    <row r="753" spans="1:45" ht="15">
      <c r="A753" s="590" t="s">
        <v>184</v>
      </c>
      <c r="B753" s="591" t="s">
        <v>626</v>
      </c>
      <c r="C753" s="591" t="s">
        <v>774</v>
      </c>
      <c r="D753" s="592">
        <v>2016</v>
      </c>
      <c r="E753" s="591" t="s">
        <v>775</v>
      </c>
      <c r="F753" s="592">
        <v>276</v>
      </c>
      <c r="G753" s="592">
        <v>0</v>
      </c>
      <c r="H753" s="592">
        <v>0</v>
      </c>
      <c r="I753" s="592">
        <v>0</v>
      </c>
      <c r="J753" s="592">
        <v>144</v>
      </c>
      <c r="K753" s="592">
        <v>0</v>
      </c>
      <c r="L753" s="592">
        <v>0</v>
      </c>
      <c r="M753" s="592">
        <v>0</v>
      </c>
      <c r="N753" s="593">
        <v>155</v>
      </c>
      <c r="O753" s="593">
        <v>0</v>
      </c>
      <c r="P753" s="593">
        <v>288</v>
      </c>
      <c r="Q753" s="593">
        <v>133</v>
      </c>
      <c r="R753" s="593">
        <v>863</v>
      </c>
      <c r="S753" s="593">
        <v>133</v>
      </c>
      <c r="T753" s="593">
        <v>2016</v>
      </c>
      <c r="U753" s="593">
        <v>2015</v>
      </c>
      <c r="V753" s="589"/>
      <c r="W753" s="589"/>
      <c r="X753" s="589"/>
      <c r="Y753" s="589"/>
      <c r="Z753" s="589"/>
      <c r="AA753" s="589"/>
      <c r="AB753" s="589"/>
      <c r="AC753" s="589"/>
      <c r="AD753" s="589"/>
      <c r="AE753" s="589"/>
      <c r="AF753" s="589"/>
      <c r="AG753" s="589"/>
      <c r="AH753" s="589"/>
      <c r="AI753" s="589"/>
      <c r="AJ753" s="589"/>
      <c r="AK753" s="589"/>
      <c r="AL753" s="589"/>
      <c r="AM753" s="589"/>
      <c r="AN753" s="589"/>
      <c r="AO753" s="589"/>
      <c r="AP753" s="589"/>
      <c r="AQ753" s="589"/>
      <c r="AR753" s="589"/>
      <c r="AS753" s="589"/>
    </row>
    <row r="754" spans="1:45" ht="15">
      <c r="A754" s="587" t="s">
        <v>131</v>
      </c>
      <c r="B754" s="587" t="s">
        <v>256</v>
      </c>
      <c r="C754" s="587" t="s">
        <v>786</v>
      </c>
      <c r="D754" s="588">
        <v>2016</v>
      </c>
      <c r="E754" s="587" t="s">
        <v>775</v>
      </c>
      <c r="F754" s="588">
        <v>682</v>
      </c>
      <c r="G754" s="588">
        <v>0</v>
      </c>
      <c r="H754" s="588">
        <v>0</v>
      </c>
      <c r="I754" s="588">
        <v>0</v>
      </c>
      <c r="J754" s="588">
        <v>545</v>
      </c>
      <c r="K754" s="588">
        <v>0</v>
      </c>
      <c r="L754" s="588">
        <v>0</v>
      </c>
      <c r="M754" s="588">
        <v>0</v>
      </c>
      <c r="N754" s="588">
        <v>480</v>
      </c>
      <c r="O754" s="588">
        <v>8</v>
      </c>
      <c r="P754" s="588">
        <v>1267</v>
      </c>
      <c r="Q754" s="588">
        <v>90</v>
      </c>
      <c r="R754" s="588">
        <v>2974</v>
      </c>
      <c r="S754" s="588">
        <v>98</v>
      </c>
      <c r="T754" s="588">
        <v>2016</v>
      </c>
      <c r="U754" s="588">
        <v>2014</v>
      </c>
      <c r="V754" s="589"/>
      <c r="W754" s="589"/>
      <c r="X754" s="589"/>
      <c r="Y754" s="589"/>
      <c r="Z754" s="589"/>
      <c r="AA754" s="589"/>
      <c r="AB754" s="589"/>
      <c r="AC754" s="589"/>
      <c r="AD754" s="589"/>
      <c r="AE754" s="589"/>
      <c r="AF754" s="589"/>
      <c r="AG754" s="589"/>
      <c r="AH754" s="589"/>
      <c r="AI754" s="589"/>
      <c r="AJ754" s="589"/>
      <c r="AK754" s="589"/>
      <c r="AL754" s="589"/>
      <c r="AM754" s="589"/>
      <c r="AN754" s="589"/>
      <c r="AO754" s="589"/>
      <c r="AP754" s="589"/>
      <c r="AQ754" s="589"/>
      <c r="AR754" s="589"/>
      <c r="AS754" s="589"/>
    </row>
    <row r="755" spans="1:45" ht="15">
      <c r="A755" s="590" t="s">
        <v>153</v>
      </c>
      <c r="B755" s="591" t="s">
        <v>359</v>
      </c>
      <c r="C755" s="591" t="s">
        <v>812</v>
      </c>
      <c r="D755" s="592">
        <v>2016</v>
      </c>
      <c r="E755" s="591" t="s">
        <v>775</v>
      </c>
      <c r="F755" s="592">
        <v>88</v>
      </c>
      <c r="G755" s="592">
        <v>0</v>
      </c>
      <c r="H755" s="592">
        <v>0</v>
      </c>
      <c r="I755" s="592">
        <v>0</v>
      </c>
      <c r="J755" s="592">
        <v>54</v>
      </c>
      <c r="K755" s="592">
        <v>0</v>
      </c>
      <c r="L755" s="592">
        <v>0</v>
      </c>
      <c r="M755" s="592">
        <v>0</v>
      </c>
      <c r="N755" s="593">
        <v>57</v>
      </c>
      <c r="O755" s="593">
        <v>2</v>
      </c>
      <c r="P755" s="593">
        <v>131</v>
      </c>
      <c r="Q755" s="593">
        <v>43</v>
      </c>
      <c r="R755" s="593">
        <v>330</v>
      </c>
      <c r="S755" s="593">
        <v>45</v>
      </c>
      <c r="T755" s="593">
        <v>2016</v>
      </c>
      <c r="U755" s="593">
        <v>2014</v>
      </c>
      <c r="V755" s="589"/>
      <c r="W755" s="589"/>
      <c r="X755" s="589"/>
      <c r="Y755" s="589"/>
      <c r="Z755" s="589"/>
      <c r="AA755" s="589"/>
      <c r="AB755" s="589"/>
      <c r="AC755" s="589"/>
      <c r="AD755" s="589"/>
      <c r="AE755" s="589"/>
      <c r="AF755" s="589"/>
      <c r="AG755" s="589"/>
      <c r="AH755" s="589"/>
      <c r="AI755" s="589"/>
      <c r="AJ755" s="589"/>
      <c r="AK755" s="589"/>
      <c r="AL755" s="589"/>
      <c r="AM755" s="589"/>
      <c r="AN755" s="589"/>
      <c r="AO755" s="589"/>
      <c r="AP755" s="589"/>
      <c r="AQ755" s="589"/>
      <c r="AR755" s="589"/>
      <c r="AS755" s="589"/>
    </row>
    <row r="756" spans="1:45" ht="15">
      <c r="A756" s="587" t="s">
        <v>134</v>
      </c>
      <c r="B756" s="587" t="s">
        <v>262</v>
      </c>
      <c r="C756" s="587" t="s">
        <v>784</v>
      </c>
      <c r="D756" s="588">
        <v>2016</v>
      </c>
      <c r="E756" s="587" t="s">
        <v>775</v>
      </c>
      <c r="F756" s="588">
        <v>241</v>
      </c>
      <c r="G756" s="588">
        <v>60</v>
      </c>
      <c r="H756" s="588">
        <v>0</v>
      </c>
      <c r="I756" s="588">
        <v>60</v>
      </c>
      <c r="J756" s="588">
        <v>175</v>
      </c>
      <c r="K756" s="588">
        <v>36</v>
      </c>
      <c r="L756" s="588">
        <v>0</v>
      </c>
      <c r="M756" s="588">
        <v>36</v>
      </c>
      <c r="N756" s="588">
        <v>192</v>
      </c>
      <c r="O756" s="588">
        <v>104</v>
      </c>
      <c r="P756" s="588">
        <v>471</v>
      </c>
      <c r="Q756" s="588">
        <v>48</v>
      </c>
      <c r="R756" s="588">
        <v>1079</v>
      </c>
      <c r="S756" s="588">
        <v>248</v>
      </c>
      <c r="T756" s="588">
        <v>2016</v>
      </c>
      <c r="U756" s="588">
        <v>2014</v>
      </c>
      <c r="V756" s="589"/>
      <c r="W756" s="589"/>
      <c r="X756" s="589"/>
      <c r="Y756" s="589"/>
      <c r="Z756" s="589"/>
      <c r="AA756" s="589"/>
      <c r="AB756" s="589"/>
      <c r="AC756" s="589"/>
      <c r="AD756" s="589"/>
      <c r="AE756" s="589"/>
      <c r="AF756" s="589"/>
      <c r="AG756" s="589"/>
      <c r="AH756" s="589"/>
      <c r="AI756" s="589"/>
      <c r="AJ756" s="589"/>
      <c r="AK756" s="589"/>
      <c r="AL756" s="589"/>
      <c r="AM756" s="589"/>
      <c r="AN756" s="589"/>
      <c r="AO756" s="589"/>
      <c r="AP756" s="589"/>
      <c r="AQ756" s="589"/>
      <c r="AR756" s="589"/>
      <c r="AS756" s="589"/>
    </row>
    <row r="757" spans="1:45" ht="15">
      <c r="A757" s="590" t="s">
        <v>146</v>
      </c>
      <c r="B757" s="591" t="s">
        <v>316</v>
      </c>
      <c r="C757" s="591" t="s">
        <v>812</v>
      </c>
      <c r="D757" s="592">
        <v>2016</v>
      </c>
      <c r="E757" s="591" t="s">
        <v>775</v>
      </c>
      <c r="F757" s="592">
        <v>817</v>
      </c>
      <c r="G757" s="592">
        <v>0</v>
      </c>
      <c r="H757" s="592">
        <v>0</v>
      </c>
      <c r="I757" s="592">
        <v>0</v>
      </c>
      <c r="J757" s="592">
        <v>489</v>
      </c>
      <c r="K757" s="592">
        <v>0</v>
      </c>
      <c r="L757" s="592">
        <v>0</v>
      </c>
      <c r="M757" s="592">
        <v>0</v>
      </c>
      <c r="N757" s="593">
        <v>490</v>
      </c>
      <c r="O757" s="593">
        <v>2</v>
      </c>
      <c r="P757" s="593">
        <v>1428</v>
      </c>
      <c r="Q757" s="593">
        <v>0</v>
      </c>
      <c r="R757" s="593">
        <v>3224</v>
      </c>
      <c r="S757" s="593">
        <v>2</v>
      </c>
      <c r="T757" s="593">
        <v>2016</v>
      </c>
      <c r="U757" s="593">
        <v>2014</v>
      </c>
      <c r="V757" s="589"/>
      <c r="W757" s="589"/>
      <c r="X757" s="589"/>
      <c r="Y757" s="589"/>
      <c r="Z757" s="589"/>
      <c r="AA757" s="589"/>
      <c r="AB757" s="589"/>
      <c r="AC757" s="589"/>
      <c r="AD757" s="589"/>
      <c r="AE757" s="589"/>
      <c r="AF757" s="589"/>
      <c r="AG757" s="589"/>
      <c r="AH757" s="589"/>
      <c r="AI757" s="589"/>
      <c r="AJ757" s="589"/>
      <c r="AK757" s="589"/>
      <c r="AL757" s="589"/>
      <c r="AM757" s="589"/>
      <c r="AN757" s="589"/>
      <c r="AO757" s="589"/>
      <c r="AP757" s="589"/>
      <c r="AQ757" s="589"/>
      <c r="AR757" s="589"/>
      <c r="AS757" s="589"/>
    </row>
    <row r="758" spans="1:45" ht="15">
      <c r="A758" s="587" t="s">
        <v>173</v>
      </c>
      <c r="B758" s="587" t="s">
        <v>531</v>
      </c>
      <c r="C758" s="587" t="s">
        <v>812</v>
      </c>
      <c r="D758" s="588">
        <v>2016</v>
      </c>
      <c r="E758" s="587" t="s">
        <v>775</v>
      </c>
      <c r="F758" s="588">
        <v>543</v>
      </c>
      <c r="G758" s="588">
        <v>0</v>
      </c>
      <c r="H758" s="588">
        <v>0</v>
      </c>
      <c r="I758" s="588">
        <v>0</v>
      </c>
      <c r="J758" s="588">
        <v>383</v>
      </c>
      <c r="K758" s="588">
        <v>0</v>
      </c>
      <c r="L758" s="588">
        <v>0</v>
      </c>
      <c r="M758" s="588">
        <v>0</v>
      </c>
      <c r="N758" s="588">
        <v>433</v>
      </c>
      <c r="O758" s="588">
        <v>0</v>
      </c>
      <c r="P758" s="588">
        <v>982</v>
      </c>
      <c r="Q758" s="588">
        <v>116</v>
      </c>
      <c r="R758" s="588">
        <v>2341</v>
      </c>
      <c r="S758" s="588">
        <v>116</v>
      </c>
      <c r="T758" s="588">
        <v>2016</v>
      </c>
      <c r="U758" s="588">
        <v>2014</v>
      </c>
      <c r="V758" s="589"/>
      <c r="W758" s="589"/>
      <c r="X758" s="589"/>
      <c r="Y758" s="589"/>
      <c r="Z758" s="589"/>
      <c r="AA758" s="589"/>
      <c r="AB758" s="589"/>
      <c r="AC758" s="589"/>
      <c r="AD758" s="589"/>
      <c r="AE758" s="589"/>
      <c r="AF758" s="589"/>
      <c r="AG758" s="589"/>
      <c r="AH758" s="589"/>
      <c r="AI758" s="589"/>
      <c r="AJ758" s="589"/>
      <c r="AK758" s="589"/>
      <c r="AL758" s="589"/>
      <c r="AM758" s="589"/>
      <c r="AN758" s="589"/>
      <c r="AO758" s="589"/>
      <c r="AP758" s="589"/>
      <c r="AQ758" s="589"/>
      <c r="AR758" s="589"/>
      <c r="AS758" s="589"/>
    </row>
    <row r="759" spans="1:45" ht="15">
      <c r="A759" s="590" t="s">
        <v>166</v>
      </c>
      <c r="B759" s="591" t="s">
        <v>477</v>
      </c>
      <c r="C759" s="591" t="s">
        <v>774</v>
      </c>
      <c r="D759" s="592">
        <v>2016</v>
      </c>
      <c r="E759" s="591" t="s">
        <v>775</v>
      </c>
      <c r="F759" s="592">
        <v>6</v>
      </c>
      <c r="G759" s="592">
        <v>0</v>
      </c>
      <c r="H759" s="592">
        <v>0</v>
      </c>
      <c r="I759" s="592">
        <v>0</v>
      </c>
      <c r="J759" s="592">
        <v>2</v>
      </c>
      <c r="K759" s="592">
        <v>0</v>
      </c>
      <c r="L759" s="592">
        <v>0</v>
      </c>
      <c r="M759" s="592">
        <v>0</v>
      </c>
      <c r="N759" s="593">
        <v>4</v>
      </c>
      <c r="O759" s="593">
        <v>0</v>
      </c>
      <c r="P759" s="593">
        <v>15</v>
      </c>
      <c r="Q759" s="593">
        <v>4</v>
      </c>
      <c r="R759" s="593">
        <v>27</v>
      </c>
      <c r="S759" s="593">
        <v>4</v>
      </c>
      <c r="T759" s="593">
        <v>2016</v>
      </c>
      <c r="U759" s="593">
        <v>2015</v>
      </c>
      <c r="V759" s="589"/>
      <c r="W759" s="589"/>
      <c r="X759" s="589"/>
      <c r="Y759" s="589"/>
      <c r="Z759" s="589"/>
      <c r="AA759" s="589"/>
      <c r="AB759" s="589"/>
      <c r="AC759" s="589"/>
      <c r="AD759" s="589"/>
      <c r="AE759" s="589"/>
      <c r="AF759" s="589"/>
      <c r="AG759" s="589"/>
      <c r="AH759" s="589"/>
      <c r="AI759" s="589"/>
      <c r="AJ759" s="589"/>
      <c r="AK759" s="589"/>
      <c r="AL759" s="589"/>
      <c r="AM759" s="589"/>
      <c r="AN759" s="589"/>
      <c r="AO759" s="589"/>
      <c r="AP759" s="589"/>
      <c r="AQ759" s="589"/>
      <c r="AR759" s="589"/>
      <c r="AS759" s="589"/>
    </row>
    <row r="760" spans="1:45" ht="15">
      <c r="A760" s="587" t="s">
        <v>201</v>
      </c>
      <c r="B760" s="587" t="s">
        <v>730</v>
      </c>
      <c r="C760" s="587" t="s">
        <v>812</v>
      </c>
      <c r="D760" s="588">
        <v>2016</v>
      </c>
      <c r="E760" s="587" t="s">
        <v>775</v>
      </c>
      <c r="F760" s="588">
        <v>539</v>
      </c>
      <c r="G760" s="588">
        <v>34</v>
      </c>
      <c r="H760" s="588">
        <v>34</v>
      </c>
      <c r="I760" s="588">
        <v>0</v>
      </c>
      <c r="J760" s="588">
        <v>366</v>
      </c>
      <c r="K760" s="588">
        <v>30</v>
      </c>
      <c r="L760" s="588">
        <v>30</v>
      </c>
      <c r="M760" s="588">
        <v>0</v>
      </c>
      <c r="N760" s="588">
        <v>411</v>
      </c>
      <c r="O760" s="588">
        <v>52</v>
      </c>
      <c r="P760" s="588">
        <v>908</v>
      </c>
      <c r="Q760" s="588">
        <v>121</v>
      </c>
      <c r="R760" s="588">
        <v>2224</v>
      </c>
      <c r="S760" s="588">
        <v>237</v>
      </c>
      <c r="T760" s="588">
        <v>2016</v>
      </c>
      <c r="U760" s="588">
        <v>2014</v>
      </c>
      <c r="V760" s="589"/>
      <c r="W760" s="589"/>
      <c r="X760" s="589"/>
      <c r="Y760" s="589"/>
      <c r="Z760" s="589"/>
      <c r="AA760" s="589"/>
      <c r="AB760" s="589"/>
      <c r="AC760" s="589"/>
      <c r="AD760" s="589"/>
      <c r="AE760" s="589"/>
      <c r="AF760" s="589"/>
      <c r="AG760" s="589"/>
      <c r="AH760" s="589"/>
      <c r="AI760" s="589"/>
      <c r="AJ760" s="589"/>
      <c r="AK760" s="589"/>
      <c r="AL760" s="589"/>
      <c r="AM760" s="589"/>
      <c r="AN760" s="589"/>
      <c r="AO760" s="589"/>
      <c r="AP760" s="589"/>
      <c r="AQ760" s="589"/>
      <c r="AR760" s="589"/>
      <c r="AS760" s="589"/>
    </row>
    <row r="761" spans="1:45" ht="15">
      <c r="A761" s="590" t="s">
        <v>187</v>
      </c>
      <c r="B761" s="591" t="s">
        <v>651</v>
      </c>
      <c r="C761" s="591" t="s">
        <v>774</v>
      </c>
      <c r="D761" s="592">
        <v>2016</v>
      </c>
      <c r="E761" s="591" t="s">
        <v>775</v>
      </c>
      <c r="F761" s="592">
        <v>253</v>
      </c>
      <c r="G761" s="592">
        <v>9</v>
      </c>
      <c r="H761" s="592">
        <v>9</v>
      </c>
      <c r="I761" s="592">
        <v>0</v>
      </c>
      <c r="J761" s="592">
        <v>138</v>
      </c>
      <c r="K761" s="592">
        <v>1</v>
      </c>
      <c r="L761" s="592">
        <v>1</v>
      </c>
      <c r="M761" s="592">
        <v>0</v>
      </c>
      <c r="N761" s="593">
        <v>151</v>
      </c>
      <c r="O761" s="593">
        <v>9</v>
      </c>
      <c r="P761" s="593">
        <v>391</v>
      </c>
      <c r="Q761" s="593">
        <v>214</v>
      </c>
      <c r="R761" s="593">
        <v>933</v>
      </c>
      <c r="S761" s="593">
        <v>233</v>
      </c>
      <c r="T761" s="593">
        <v>2016</v>
      </c>
      <c r="U761" s="593">
        <v>2015</v>
      </c>
      <c r="V761" s="589"/>
      <c r="W761" s="589"/>
      <c r="X761" s="589"/>
      <c r="Y761" s="589"/>
      <c r="Z761" s="589"/>
      <c r="AA761" s="589"/>
      <c r="AB761" s="589"/>
      <c r="AC761" s="589"/>
      <c r="AD761" s="589"/>
      <c r="AE761" s="589"/>
      <c r="AF761" s="589"/>
      <c r="AG761" s="589"/>
      <c r="AH761" s="589"/>
      <c r="AI761" s="589"/>
      <c r="AJ761" s="589"/>
      <c r="AK761" s="589"/>
      <c r="AL761" s="589"/>
      <c r="AM761" s="589"/>
      <c r="AN761" s="589"/>
      <c r="AO761" s="589"/>
      <c r="AP761" s="589"/>
      <c r="AQ761" s="589"/>
      <c r="AR761" s="589"/>
      <c r="AS761" s="589"/>
    </row>
    <row r="762" spans="1:45" ht="15">
      <c r="A762" s="587" t="s">
        <v>173</v>
      </c>
      <c r="B762" s="587" t="s">
        <v>532</v>
      </c>
      <c r="C762" s="587" t="s">
        <v>812</v>
      </c>
      <c r="D762" s="588">
        <v>2016</v>
      </c>
      <c r="E762" s="587" t="s">
        <v>775</v>
      </c>
      <c r="F762" s="588">
        <v>21</v>
      </c>
      <c r="G762" s="588">
        <v>0</v>
      </c>
      <c r="H762" s="588">
        <v>0</v>
      </c>
      <c r="I762" s="588">
        <v>0</v>
      </c>
      <c r="J762" s="588">
        <v>14</v>
      </c>
      <c r="K762" s="588">
        <v>0</v>
      </c>
      <c r="L762" s="588">
        <v>0</v>
      </c>
      <c r="M762" s="588">
        <v>0</v>
      </c>
      <c r="N762" s="588">
        <v>16</v>
      </c>
      <c r="O762" s="588">
        <v>3</v>
      </c>
      <c r="P762" s="588">
        <v>32</v>
      </c>
      <c r="Q762" s="588">
        <v>5</v>
      </c>
      <c r="R762" s="588">
        <v>83</v>
      </c>
      <c r="S762" s="588">
        <v>8</v>
      </c>
      <c r="T762" s="588">
        <v>2016</v>
      </c>
      <c r="U762" s="588">
        <v>2014</v>
      </c>
      <c r="V762" s="589"/>
      <c r="W762" s="589"/>
      <c r="X762" s="589"/>
      <c r="Y762" s="589"/>
      <c r="Z762" s="589"/>
      <c r="AA762" s="589"/>
      <c r="AB762" s="589"/>
      <c r="AC762" s="589"/>
      <c r="AD762" s="589"/>
      <c r="AE762" s="589"/>
      <c r="AF762" s="589"/>
      <c r="AG762" s="589"/>
      <c r="AH762" s="589"/>
      <c r="AI762" s="589"/>
      <c r="AJ762" s="589"/>
      <c r="AK762" s="589"/>
      <c r="AL762" s="589"/>
      <c r="AM762" s="589"/>
      <c r="AN762" s="589"/>
      <c r="AO762" s="589"/>
      <c r="AP762" s="589"/>
      <c r="AQ762" s="589"/>
      <c r="AR762" s="589"/>
      <c r="AS762" s="589"/>
    </row>
    <row r="763" spans="1:45" ht="15">
      <c r="A763" s="590" t="s">
        <v>188</v>
      </c>
      <c r="B763" s="591" t="s">
        <v>666</v>
      </c>
      <c r="C763" s="591" t="s">
        <v>177</v>
      </c>
      <c r="D763" s="592">
        <v>2016</v>
      </c>
      <c r="E763" s="591" t="s">
        <v>775</v>
      </c>
      <c r="F763" s="592">
        <v>34</v>
      </c>
      <c r="G763" s="592">
        <v>0</v>
      </c>
      <c r="H763" s="592">
        <v>0</v>
      </c>
      <c r="I763" s="592">
        <v>0</v>
      </c>
      <c r="J763" s="592">
        <v>23</v>
      </c>
      <c r="K763" s="592">
        <v>0</v>
      </c>
      <c r="L763" s="592">
        <v>0</v>
      </c>
      <c r="M763" s="592">
        <v>0</v>
      </c>
      <c r="N763" s="593">
        <v>26</v>
      </c>
      <c r="O763" s="593">
        <v>0</v>
      </c>
      <c r="P763" s="593">
        <v>60</v>
      </c>
      <c r="Q763" s="593">
        <v>1</v>
      </c>
      <c r="R763" s="593">
        <v>143</v>
      </c>
      <c r="S763" s="593">
        <v>1</v>
      </c>
      <c r="T763" s="593">
        <v>2016</v>
      </c>
      <c r="U763" s="593">
        <v>2016</v>
      </c>
      <c r="V763" s="589"/>
      <c r="W763" s="589"/>
      <c r="X763" s="589"/>
      <c r="Y763" s="589"/>
      <c r="Z763" s="589"/>
      <c r="AA763" s="589"/>
      <c r="AB763" s="589"/>
      <c r="AC763" s="589"/>
      <c r="AD763" s="589"/>
      <c r="AE763" s="589"/>
      <c r="AF763" s="589"/>
      <c r="AG763" s="589"/>
      <c r="AH763" s="589"/>
      <c r="AI763" s="589"/>
      <c r="AJ763" s="589"/>
      <c r="AK763" s="589"/>
      <c r="AL763" s="589"/>
      <c r="AM763" s="589"/>
      <c r="AN763" s="589"/>
      <c r="AO763" s="589"/>
      <c r="AP763" s="589"/>
      <c r="AQ763" s="589"/>
      <c r="AR763" s="589"/>
      <c r="AS763" s="589"/>
    </row>
    <row r="764" spans="1:45" ht="15">
      <c r="A764" s="587" t="s">
        <v>179</v>
      </c>
      <c r="B764" s="587" t="s">
        <v>590</v>
      </c>
      <c r="C764" s="587" t="s">
        <v>855</v>
      </c>
      <c r="D764" s="588">
        <v>2016</v>
      </c>
      <c r="E764" s="587" t="s">
        <v>775</v>
      </c>
      <c r="F764" s="588">
        <v>912</v>
      </c>
      <c r="G764" s="588">
        <v>7</v>
      </c>
      <c r="H764" s="588">
        <v>7</v>
      </c>
      <c r="I764" s="588">
        <v>0</v>
      </c>
      <c r="J764" s="588">
        <v>693</v>
      </c>
      <c r="K764" s="588">
        <v>163</v>
      </c>
      <c r="L764" s="588">
        <v>163</v>
      </c>
      <c r="M764" s="588">
        <v>0</v>
      </c>
      <c r="N764" s="588">
        <v>1062</v>
      </c>
      <c r="O764" s="588">
        <v>74</v>
      </c>
      <c r="P764" s="588">
        <v>2332</v>
      </c>
      <c r="Q764" s="588">
        <v>439</v>
      </c>
      <c r="R764" s="588">
        <v>4999</v>
      </c>
      <c r="S764" s="588">
        <v>683</v>
      </c>
      <c r="T764" s="588">
        <v>2016</v>
      </c>
      <c r="U764" s="588">
        <v>2013</v>
      </c>
      <c r="V764" s="589"/>
      <c r="W764" s="589"/>
      <c r="X764" s="589"/>
      <c r="Y764" s="589"/>
      <c r="Z764" s="589"/>
      <c r="AA764" s="589"/>
      <c r="AB764" s="589"/>
      <c r="AC764" s="589"/>
      <c r="AD764" s="589"/>
      <c r="AE764" s="589"/>
      <c r="AF764" s="589"/>
      <c r="AG764" s="589"/>
      <c r="AH764" s="589"/>
      <c r="AI764" s="589"/>
      <c r="AJ764" s="589"/>
      <c r="AK764" s="589"/>
      <c r="AL764" s="589"/>
      <c r="AM764" s="589"/>
      <c r="AN764" s="589"/>
      <c r="AO764" s="589"/>
      <c r="AP764" s="589"/>
      <c r="AQ764" s="589"/>
      <c r="AR764" s="589"/>
      <c r="AS764" s="589"/>
    </row>
    <row r="765" spans="1:45" ht="15">
      <c r="A765" s="590" t="s">
        <v>185</v>
      </c>
      <c r="B765" s="591" t="s">
        <v>644</v>
      </c>
      <c r="C765" s="591" t="s">
        <v>868</v>
      </c>
      <c r="D765" s="592">
        <v>2016</v>
      </c>
      <c r="E765" s="591" t="s">
        <v>775</v>
      </c>
      <c r="F765" s="592">
        <v>39</v>
      </c>
      <c r="G765" s="592">
        <v>0</v>
      </c>
      <c r="H765" s="592">
        <v>0</v>
      </c>
      <c r="I765" s="592">
        <v>0</v>
      </c>
      <c r="J765" s="592">
        <v>26</v>
      </c>
      <c r="K765" s="592">
        <v>0</v>
      </c>
      <c r="L765" s="592">
        <v>0</v>
      </c>
      <c r="M765" s="592">
        <v>0</v>
      </c>
      <c r="N765" s="593">
        <v>34</v>
      </c>
      <c r="O765" s="593">
        <v>0</v>
      </c>
      <c r="P765" s="593">
        <v>64</v>
      </c>
      <c r="Q765" s="593">
        <v>4</v>
      </c>
      <c r="R765" s="593">
        <v>163</v>
      </c>
      <c r="S765" s="593">
        <v>4</v>
      </c>
      <c r="T765" s="593">
        <v>2016</v>
      </c>
      <c r="U765" s="593">
        <v>2015</v>
      </c>
      <c r="V765" s="589"/>
      <c r="W765" s="589"/>
      <c r="X765" s="589"/>
      <c r="Y765" s="589"/>
      <c r="Z765" s="589"/>
      <c r="AA765" s="589"/>
      <c r="AB765" s="589"/>
      <c r="AC765" s="589"/>
      <c r="AD765" s="589"/>
      <c r="AE765" s="589"/>
      <c r="AF765" s="589"/>
      <c r="AG765" s="589"/>
      <c r="AH765" s="589"/>
      <c r="AI765" s="589"/>
      <c r="AJ765" s="589"/>
      <c r="AK765" s="589"/>
      <c r="AL765" s="589"/>
      <c r="AM765" s="589"/>
      <c r="AN765" s="589"/>
      <c r="AO765" s="589"/>
      <c r="AP765" s="589"/>
      <c r="AQ765" s="589"/>
      <c r="AR765" s="589"/>
      <c r="AS765" s="589"/>
    </row>
    <row r="766" spans="1:45" ht="15">
      <c r="A766" s="587" t="s">
        <v>153</v>
      </c>
      <c r="B766" s="587" t="s">
        <v>360</v>
      </c>
      <c r="C766" s="587" t="s">
        <v>812</v>
      </c>
      <c r="D766" s="588">
        <v>2016</v>
      </c>
      <c r="E766" s="587" t="s">
        <v>775</v>
      </c>
      <c r="F766" s="588">
        <v>447</v>
      </c>
      <c r="G766" s="588">
        <v>0</v>
      </c>
      <c r="H766" s="588">
        <v>0</v>
      </c>
      <c r="I766" s="588">
        <v>0</v>
      </c>
      <c r="J766" s="588">
        <v>263</v>
      </c>
      <c r="K766" s="588">
        <v>0</v>
      </c>
      <c r="L766" s="588">
        <v>0</v>
      </c>
      <c r="M766" s="588">
        <v>0</v>
      </c>
      <c r="N766" s="588">
        <v>280</v>
      </c>
      <c r="O766" s="588">
        <v>35</v>
      </c>
      <c r="P766" s="588">
        <v>708</v>
      </c>
      <c r="Q766" s="588">
        <v>0</v>
      </c>
      <c r="R766" s="588">
        <v>1698</v>
      </c>
      <c r="S766" s="588">
        <v>35</v>
      </c>
      <c r="T766" s="588">
        <v>2016</v>
      </c>
      <c r="U766" s="588">
        <v>2014</v>
      </c>
      <c r="V766" s="589"/>
      <c r="W766" s="589"/>
      <c r="X766" s="589"/>
      <c r="Y766" s="589"/>
      <c r="Z766" s="589"/>
      <c r="AA766" s="589"/>
      <c r="AB766" s="589"/>
      <c r="AC766" s="589"/>
      <c r="AD766" s="589"/>
      <c r="AE766" s="589"/>
      <c r="AF766" s="589"/>
      <c r="AG766" s="589"/>
      <c r="AH766" s="589"/>
      <c r="AI766" s="589"/>
      <c r="AJ766" s="589"/>
      <c r="AK766" s="589"/>
      <c r="AL766" s="589"/>
      <c r="AM766" s="589"/>
      <c r="AN766" s="589"/>
      <c r="AO766" s="589"/>
      <c r="AP766" s="589"/>
      <c r="AQ766" s="589"/>
      <c r="AR766" s="589"/>
      <c r="AS766" s="589"/>
    </row>
    <row r="767" spans="1:45" ht="15">
      <c r="A767" s="590" t="s">
        <v>173</v>
      </c>
      <c r="B767" s="591" t="s">
        <v>533</v>
      </c>
      <c r="C767" s="591" t="s">
        <v>812</v>
      </c>
      <c r="D767" s="592">
        <v>2016</v>
      </c>
      <c r="E767" s="591" t="s">
        <v>775</v>
      </c>
      <c r="F767" s="592">
        <v>141</v>
      </c>
      <c r="G767" s="592">
        <v>0</v>
      </c>
      <c r="H767" s="592">
        <v>0</v>
      </c>
      <c r="I767" s="592">
        <v>0</v>
      </c>
      <c r="J767" s="592">
        <v>95</v>
      </c>
      <c r="K767" s="592">
        <v>0</v>
      </c>
      <c r="L767" s="592">
        <v>0</v>
      </c>
      <c r="M767" s="592">
        <v>0</v>
      </c>
      <c r="N767" s="593">
        <v>110</v>
      </c>
      <c r="O767" s="593">
        <v>0</v>
      </c>
      <c r="P767" s="593">
        <v>254</v>
      </c>
      <c r="Q767" s="593">
        <v>0</v>
      </c>
      <c r="R767" s="593">
        <v>600</v>
      </c>
      <c r="S767" s="593">
        <v>0</v>
      </c>
      <c r="T767" s="593">
        <v>2016</v>
      </c>
      <c r="U767" s="593">
        <v>2014</v>
      </c>
      <c r="V767" s="589"/>
      <c r="W767" s="589"/>
      <c r="X767" s="589"/>
      <c r="Y767" s="589"/>
      <c r="Z767" s="589"/>
      <c r="AA767" s="589"/>
      <c r="AB767" s="589"/>
      <c r="AC767" s="589"/>
      <c r="AD767" s="589"/>
      <c r="AE767" s="589"/>
      <c r="AF767" s="589"/>
      <c r="AG767" s="589"/>
      <c r="AH767" s="589"/>
      <c r="AI767" s="589"/>
      <c r="AJ767" s="589"/>
      <c r="AK767" s="589"/>
      <c r="AL767" s="589"/>
      <c r="AM767" s="589"/>
      <c r="AN767" s="589"/>
      <c r="AO767" s="589"/>
      <c r="AP767" s="589"/>
      <c r="AQ767" s="589"/>
      <c r="AR767" s="589"/>
      <c r="AS767" s="589"/>
    </row>
    <row r="768" spans="1:45" ht="15">
      <c r="A768" s="587" t="s">
        <v>195</v>
      </c>
      <c r="B768" s="587" t="s">
        <v>703</v>
      </c>
      <c r="C768" s="587" t="s">
        <v>177</v>
      </c>
      <c r="D768" s="588">
        <v>2016</v>
      </c>
      <c r="E768" s="587" t="s">
        <v>775</v>
      </c>
      <c r="F768" s="588">
        <v>622</v>
      </c>
      <c r="G768" s="588">
        <v>0</v>
      </c>
      <c r="H768" s="588">
        <v>0</v>
      </c>
      <c r="I768" s="588">
        <v>0</v>
      </c>
      <c r="J768" s="588">
        <v>399</v>
      </c>
      <c r="K768" s="588">
        <v>0</v>
      </c>
      <c r="L768" s="588">
        <v>0</v>
      </c>
      <c r="M768" s="588">
        <v>0</v>
      </c>
      <c r="N768" s="588">
        <v>446</v>
      </c>
      <c r="O768" s="588">
        <v>0</v>
      </c>
      <c r="P768" s="588">
        <v>1104</v>
      </c>
      <c r="Q768" s="588">
        <v>0</v>
      </c>
      <c r="R768" s="588">
        <v>2571</v>
      </c>
      <c r="S768" s="588">
        <v>0</v>
      </c>
      <c r="T768" s="588">
        <v>2016</v>
      </c>
      <c r="U768" s="588">
        <v>2016</v>
      </c>
      <c r="V768" s="589"/>
      <c r="W768" s="589"/>
      <c r="X768" s="589"/>
      <c r="Y768" s="589"/>
      <c r="Z768" s="589"/>
      <c r="AA768" s="589"/>
      <c r="AB768" s="589"/>
      <c r="AC768" s="589"/>
      <c r="AD768" s="589"/>
      <c r="AE768" s="589"/>
      <c r="AF768" s="589"/>
      <c r="AG768" s="589"/>
      <c r="AH768" s="589"/>
      <c r="AI768" s="589"/>
      <c r="AJ768" s="589"/>
      <c r="AK768" s="589"/>
      <c r="AL768" s="589"/>
      <c r="AM768" s="589"/>
      <c r="AN768" s="589"/>
      <c r="AO768" s="589"/>
      <c r="AP768" s="589"/>
      <c r="AQ768" s="589"/>
      <c r="AR768" s="589"/>
      <c r="AS768" s="589"/>
    </row>
    <row r="769" spans="1:45" ht="15">
      <c r="A769" s="590" t="s">
        <v>153</v>
      </c>
      <c r="B769" s="591" t="s">
        <v>361</v>
      </c>
      <c r="C769" s="591" t="s">
        <v>812</v>
      </c>
      <c r="D769" s="592">
        <v>2016</v>
      </c>
      <c r="E769" s="591" t="s">
        <v>775</v>
      </c>
      <c r="F769" s="592">
        <v>23</v>
      </c>
      <c r="G769" s="592">
        <v>0</v>
      </c>
      <c r="H769" s="592">
        <v>0</v>
      </c>
      <c r="I769" s="592">
        <v>0</v>
      </c>
      <c r="J769" s="592">
        <v>14</v>
      </c>
      <c r="K769" s="592">
        <v>0</v>
      </c>
      <c r="L769" s="592">
        <v>0</v>
      </c>
      <c r="M769" s="592">
        <v>0</v>
      </c>
      <c r="N769" s="593">
        <v>14</v>
      </c>
      <c r="O769" s="593">
        <v>0</v>
      </c>
      <c r="P769" s="593">
        <v>35</v>
      </c>
      <c r="Q769" s="593">
        <v>132</v>
      </c>
      <c r="R769" s="593">
        <v>86</v>
      </c>
      <c r="S769" s="593">
        <v>132</v>
      </c>
      <c r="T769" s="593">
        <v>2016</v>
      </c>
      <c r="U769" s="593">
        <v>2014</v>
      </c>
      <c r="V769" s="589"/>
      <c r="W769" s="589"/>
      <c r="X769" s="589"/>
      <c r="Y769" s="589"/>
      <c r="Z769" s="589"/>
      <c r="AA769" s="589"/>
      <c r="AB769" s="589"/>
      <c r="AC769" s="589"/>
      <c r="AD769" s="589"/>
      <c r="AE769" s="589"/>
      <c r="AF769" s="589"/>
      <c r="AG769" s="589"/>
      <c r="AH769" s="589"/>
      <c r="AI769" s="589"/>
      <c r="AJ769" s="589"/>
      <c r="AK769" s="589"/>
      <c r="AL769" s="589"/>
      <c r="AM769" s="589"/>
      <c r="AN769" s="589"/>
      <c r="AO769" s="589"/>
      <c r="AP769" s="589"/>
      <c r="AQ769" s="589"/>
      <c r="AR769" s="589"/>
      <c r="AS769" s="589"/>
    </row>
    <row r="770" spans="1:45" ht="15">
      <c r="A770" s="587" t="s">
        <v>131</v>
      </c>
      <c r="B770" s="587" t="s">
        <v>257</v>
      </c>
      <c r="C770" s="587" t="s">
        <v>786</v>
      </c>
      <c r="D770" s="588">
        <v>2016</v>
      </c>
      <c r="E770" s="587" t="s">
        <v>775</v>
      </c>
      <c r="F770" s="588">
        <v>974</v>
      </c>
      <c r="G770" s="588">
        <v>15</v>
      </c>
      <c r="H770" s="588">
        <v>15</v>
      </c>
      <c r="I770" s="588">
        <v>0</v>
      </c>
      <c r="J770" s="588">
        <v>643</v>
      </c>
      <c r="K770" s="588">
        <v>1</v>
      </c>
      <c r="L770" s="588">
        <v>1</v>
      </c>
      <c r="M770" s="588">
        <v>0</v>
      </c>
      <c r="N770" s="588">
        <v>708</v>
      </c>
      <c r="O770" s="588">
        <v>64</v>
      </c>
      <c r="P770" s="588">
        <v>1638</v>
      </c>
      <c r="Q770" s="588">
        <v>435</v>
      </c>
      <c r="R770" s="588">
        <v>3963</v>
      </c>
      <c r="S770" s="588">
        <v>515</v>
      </c>
      <c r="T770" s="588">
        <v>2016</v>
      </c>
      <c r="U770" s="588">
        <v>2014</v>
      </c>
      <c r="V770" s="589"/>
      <c r="W770" s="589"/>
      <c r="X770" s="589"/>
      <c r="Y770" s="589"/>
      <c r="Z770" s="589"/>
      <c r="AA770" s="589"/>
      <c r="AB770" s="589"/>
      <c r="AC770" s="589"/>
      <c r="AD770" s="589"/>
      <c r="AE770" s="589"/>
      <c r="AF770" s="589"/>
      <c r="AG770" s="589"/>
      <c r="AH770" s="589"/>
      <c r="AI770" s="589"/>
      <c r="AJ770" s="589"/>
      <c r="AK770" s="589"/>
      <c r="AL770" s="589"/>
      <c r="AM770" s="589"/>
      <c r="AN770" s="589"/>
      <c r="AO770" s="589"/>
      <c r="AP770" s="589"/>
      <c r="AQ770" s="589"/>
      <c r="AR770" s="589"/>
      <c r="AS770" s="589"/>
    </row>
    <row r="771" spans="1:45" ht="15">
      <c r="A771" s="590" t="s">
        <v>178</v>
      </c>
      <c r="B771" s="591" t="s">
        <v>570</v>
      </c>
      <c r="C771" s="591" t="s">
        <v>812</v>
      </c>
      <c r="D771" s="592">
        <v>2016</v>
      </c>
      <c r="E771" s="591" t="s">
        <v>775</v>
      </c>
      <c r="F771" s="592">
        <v>707</v>
      </c>
      <c r="G771" s="592">
        <v>0</v>
      </c>
      <c r="H771" s="592">
        <v>0</v>
      </c>
      <c r="I771" s="592">
        <v>0</v>
      </c>
      <c r="J771" s="592">
        <v>478</v>
      </c>
      <c r="K771" s="592">
        <v>203</v>
      </c>
      <c r="L771" s="592">
        <v>203</v>
      </c>
      <c r="M771" s="592">
        <v>0</v>
      </c>
      <c r="N771" s="593">
        <v>533</v>
      </c>
      <c r="O771" s="593">
        <v>0</v>
      </c>
      <c r="P771" s="593">
        <v>1176</v>
      </c>
      <c r="Q771" s="593">
        <v>370</v>
      </c>
      <c r="R771" s="593">
        <v>2894</v>
      </c>
      <c r="S771" s="593">
        <v>573</v>
      </c>
      <c r="T771" s="593">
        <v>2016</v>
      </c>
      <c r="U771" s="593">
        <v>2014</v>
      </c>
      <c r="V771" s="589"/>
      <c r="W771" s="589"/>
      <c r="X771" s="589"/>
      <c r="Y771" s="589"/>
      <c r="Z771" s="589"/>
      <c r="AA771" s="589"/>
      <c r="AB771" s="589"/>
      <c r="AC771" s="589"/>
      <c r="AD771" s="589"/>
      <c r="AE771" s="589"/>
      <c r="AF771" s="589"/>
      <c r="AG771" s="589"/>
      <c r="AH771" s="589"/>
      <c r="AI771" s="589"/>
      <c r="AJ771" s="589"/>
      <c r="AK771" s="589"/>
      <c r="AL771" s="589"/>
      <c r="AM771" s="589"/>
      <c r="AN771" s="589"/>
      <c r="AO771" s="589"/>
      <c r="AP771" s="589"/>
      <c r="AQ771" s="589"/>
      <c r="AR771" s="589"/>
      <c r="AS771" s="589"/>
    </row>
    <row r="772" spans="1:45" ht="15">
      <c r="A772" s="587" t="s">
        <v>178</v>
      </c>
      <c r="B772" s="587" t="s">
        <v>571</v>
      </c>
      <c r="C772" s="587" t="s">
        <v>812</v>
      </c>
      <c r="D772" s="588">
        <v>2016</v>
      </c>
      <c r="E772" s="587" t="s">
        <v>775</v>
      </c>
      <c r="F772" s="588">
        <v>217</v>
      </c>
      <c r="G772" s="588">
        <v>0</v>
      </c>
      <c r="H772" s="588">
        <v>0</v>
      </c>
      <c r="I772" s="588">
        <v>0</v>
      </c>
      <c r="J772" s="588">
        <v>148</v>
      </c>
      <c r="K772" s="588">
        <v>0</v>
      </c>
      <c r="L772" s="588">
        <v>0</v>
      </c>
      <c r="M772" s="588">
        <v>0</v>
      </c>
      <c r="N772" s="588">
        <v>164</v>
      </c>
      <c r="O772" s="588">
        <v>357</v>
      </c>
      <c r="P772" s="588">
        <v>333</v>
      </c>
      <c r="Q772" s="588">
        <v>91</v>
      </c>
      <c r="R772" s="588">
        <v>862</v>
      </c>
      <c r="S772" s="588">
        <v>448</v>
      </c>
      <c r="T772" s="588">
        <v>2016</v>
      </c>
      <c r="U772" s="588">
        <v>2014</v>
      </c>
      <c r="V772" s="589"/>
      <c r="W772" s="589"/>
      <c r="X772" s="589"/>
      <c r="Y772" s="589"/>
      <c r="Z772" s="589"/>
      <c r="AA772" s="589"/>
      <c r="AB772" s="589"/>
      <c r="AC772" s="589"/>
      <c r="AD772" s="589"/>
      <c r="AE772" s="589"/>
      <c r="AF772" s="589"/>
      <c r="AG772" s="589"/>
      <c r="AH772" s="589"/>
      <c r="AI772" s="589"/>
      <c r="AJ772" s="589"/>
      <c r="AK772" s="589"/>
      <c r="AL772" s="589"/>
      <c r="AM772" s="589"/>
      <c r="AN772" s="589"/>
      <c r="AO772" s="589"/>
      <c r="AP772" s="589"/>
      <c r="AQ772" s="589"/>
      <c r="AR772" s="589"/>
      <c r="AS772" s="589"/>
    </row>
    <row r="773" spans="1:45" ht="15">
      <c r="A773" s="590" t="s">
        <v>179</v>
      </c>
      <c r="B773" s="591" t="s">
        <v>591</v>
      </c>
      <c r="C773" s="591" t="s">
        <v>855</v>
      </c>
      <c r="D773" s="592">
        <v>2016</v>
      </c>
      <c r="E773" s="591" t="s">
        <v>775</v>
      </c>
      <c r="F773" s="592">
        <v>3209</v>
      </c>
      <c r="G773" s="592">
        <v>22</v>
      </c>
      <c r="H773" s="592">
        <v>22</v>
      </c>
      <c r="I773" s="592">
        <v>0</v>
      </c>
      <c r="J773" s="592">
        <v>2439</v>
      </c>
      <c r="K773" s="592">
        <v>186</v>
      </c>
      <c r="L773" s="592">
        <v>186</v>
      </c>
      <c r="M773" s="592">
        <v>0</v>
      </c>
      <c r="N773" s="593">
        <v>2257</v>
      </c>
      <c r="O773" s="593">
        <v>2</v>
      </c>
      <c r="P773" s="593">
        <v>4956</v>
      </c>
      <c r="Q773" s="593">
        <v>849</v>
      </c>
      <c r="R773" s="593">
        <v>12861</v>
      </c>
      <c r="S773" s="593">
        <v>1059</v>
      </c>
      <c r="T773" s="593">
        <v>2016</v>
      </c>
      <c r="U773" s="593">
        <v>2013</v>
      </c>
      <c r="V773" s="589"/>
      <c r="W773" s="589"/>
      <c r="X773" s="589"/>
      <c r="Y773" s="589"/>
      <c r="Z773" s="589"/>
      <c r="AA773" s="589"/>
      <c r="AB773" s="589"/>
      <c r="AC773" s="589"/>
      <c r="AD773" s="589"/>
      <c r="AE773" s="589"/>
      <c r="AF773" s="589"/>
      <c r="AG773" s="589"/>
      <c r="AH773" s="589"/>
      <c r="AI773" s="589"/>
      <c r="AJ773" s="589"/>
      <c r="AK773" s="589"/>
      <c r="AL773" s="589"/>
      <c r="AM773" s="589"/>
      <c r="AN773" s="589"/>
      <c r="AO773" s="589"/>
      <c r="AP773" s="589"/>
      <c r="AQ773" s="589"/>
      <c r="AR773" s="589"/>
      <c r="AS773" s="589"/>
    </row>
    <row r="774" spans="1:45" ht="15">
      <c r="A774" s="587" t="s">
        <v>174</v>
      </c>
      <c r="B774" s="587" t="s">
        <v>556</v>
      </c>
      <c r="C774" s="587" t="s">
        <v>799</v>
      </c>
      <c r="D774" s="588">
        <v>2016</v>
      </c>
      <c r="E774" s="587" t="s">
        <v>775</v>
      </c>
      <c r="F774" s="588">
        <v>146</v>
      </c>
      <c r="G774" s="588">
        <v>0</v>
      </c>
      <c r="H774" s="588">
        <v>0</v>
      </c>
      <c r="I774" s="588">
        <v>0</v>
      </c>
      <c r="J774" s="588">
        <v>102</v>
      </c>
      <c r="K774" s="588">
        <v>0</v>
      </c>
      <c r="L774" s="588">
        <v>0</v>
      </c>
      <c r="M774" s="588">
        <v>0</v>
      </c>
      <c r="N774" s="588">
        <v>130</v>
      </c>
      <c r="O774" s="588">
        <v>24</v>
      </c>
      <c r="P774" s="588">
        <v>318</v>
      </c>
      <c r="Q774" s="588">
        <v>0</v>
      </c>
      <c r="R774" s="588">
        <v>696</v>
      </c>
      <c r="S774" s="588">
        <v>24</v>
      </c>
      <c r="T774" s="588">
        <v>2016</v>
      </c>
      <c r="U774" s="588">
        <v>2014</v>
      </c>
      <c r="V774" s="589"/>
      <c r="W774" s="589"/>
      <c r="X774" s="589"/>
      <c r="Y774" s="589"/>
      <c r="Z774" s="589"/>
      <c r="AA774" s="589"/>
      <c r="AB774" s="589"/>
      <c r="AC774" s="589"/>
      <c r="AD774" s="589"/>
      <c r="AE774" s="589"/>
      <c r="AF774" s="589"/>
      <c r="AG774" s="589"/>
      <c r="AH774" s="589"/>
      <c r="AI774" s="589"/>
      <c r="AJ774" s="589"/>
      <c r="AK774" s="589"/>
      <c r="AL774" s="589"/>
      <c r="AM774" s="589"/>
      <c r="AN774" s="589"/>
      <c r="AO774" s="589"/>
      <c r="AP774" s="589"/>
      <c r="AQ774" s="589"/>
      <c r="AR774" s="589"/>
      <c r="AS774" s="589"/>
    </row>
    <row r="775" spans="1:45" ht="15">
      <c r="A775" s="590" t="s">
        <v>136</v>
      </c>
      <c r="B775" s="591" t="s">
        <v>267</v>
      </c>
      <c r="C775" s="591" t="s">
        <v>774</v>
      </c>
      <c r="D775" s="592">
        <v>2016</v>
      </c>
      <c r="E775" s="591" t="s">
        <v>775</v>
      </c>
      <c r="F775" s="592">
        <v>51</v>
      </c>
      <c r="G775" s="592">
        <v>0</v>
      </c>
      <c r="H775" s="592">
        <v>0</v>
      </c>
      <c r="I775" s="592">
        <v>0</v>
      </c>
      <c r="J775" s="592">
        <v>25</v>
      </c>
      <c r="K775" s="592">
        <v>1</v>
      </c>
      <c r="L775" s="592">
        <v>0</v>
      </c>
      <c r="M775" s="592">
        <v>1</v>
      </c>
      <c r="N775" s="593">
        <v>31</v>
      </c>
      <c r="O775" s="593">
        <v>0</v>
      </c>
      <c r="P775" s="593">
        <v>34</v>
      </c>
      <c r="Q775" s="593">
        <v>0</v>
      </c>
      <c r="R775" s="593">
        <v>141</v>
      </c>
      <c r="S775" s="593">
        <v>1</v>
      </c>
      <c r="T775" s="593">
        <v>2016</v>
      </c>
      <c r="U775" s="593">
        <v>2015</v>
      </c>
      <c r="V775" s="589"/>
      <c r="W775" s="589"/>
      <c r="X775" s="589"/>
      <c r="Y775" s="589"/>
      <c r="Z775" s="589"/>
      <c r="AA775" s="589"/>
      <c r="AB775" s="589"/>
      <c r="AC775" s="589"/>
      <c r="AD775" s="589"/>
      <c r="AE775" s="589"/>
      <c r="AF775" s="589"/>
      <c r="AG775" s="589"/>
      <c r="AH775" s="589"/>
      <c r="AI775" s="589"/>
      <c r="AJ775" s="589"/>
      <c r="AK775" s="589"/>
      <c r="AL775" s="589"/>
      <c r="AM775" s="589"/>
      <c r="AN775" s="589"/>
      <c r="AO775" s="589"/>
      <c r="AP775" s="589"/>
      <c r="AQ775" s="589"/>
      <c r="AR775" s="589"/>
      <c r="AS775" s="589"/>
    </row>
    <row r="776" spans="1:45" ht="15">
      <c r="A776" s="587" t="s">
        <v>151</v>
      </c>
      <c r="B776" s="587" t="s">
        <v>341</v>
      </c>
      <c r="C776" s="587" t="s">
        <v>784</v>
      </c>
      <c r="D776" s="588">
        <v>2016</v>
      </c>
      <c r="E776" s="587" t="s">
        <v>775</v>
      </c>
      <c r="F776" s="588">
        <v>108</v>
      </c>
      <c r="G776" s="588">
        <v>0</v>
      </c>
      <c r="H776" s="588">
        <v>0</v>
      </c>
      <c r="I776" s="588">
        <v>0</v>
      </c>
      <c r="J776" s="588">
        <v>67</v>
      </c>
      <c r="K776" s="588">
        <v>0</v>
      </c>
      <c r="L776" s="588">
        <v>0</v>
      </c>
      <c r="M776" s="588">
        <v>0</v>
      </c>
      <c r="N776" s="588">
        <v>87</v>
      </c>
      <c r="O776" s="588">
        <v>1</v>
      </c>
      <c r="P776" s="588">
        <v>205</v>
      </c>
      <c r="Q776" s="588">
        <v>0</v>
      </c>
      <c r="R776" s="588">
        <v>467</v>
      </c>
      <c r="S776" s="588">
        <v>1</v>
      </c>
      <c r="T776" s="588">
        <v>2016</v>
      </c>
      <c r="U776" s="588">
        <v>2014</v>
      </c>
      <c r="V776" s="589"/>
      <c r="W776" s="589"/>
      <c r="X776" s="589"/>
      <c r="Y776" s="589"/>
      <c r="Z776" s="589"/>
      <c r="AA776" s="589"/>
      <c r="AB776" s="589"/>
      <c r="AC776" s="589"/>
      <c r="AD776" s="589"/>
      <c r="AE776" s="589"/>
      <c r="AF776" s="589"/>
      <c r="AG776" s="589"/>
      <c r="AH776" s="589"/>
      <c r="AI776" s="589"/>
      <c r="AJ776" s="589"/>
      <c r="AK776" s="589"/>
      <c r="AL776" s="589"/>
      <c r="AM776" s="589"/>
      <c r="AN776" s="589"/>
      <c r="AO776" s="589"/>
      <c r="AP776" s="589"/>
      <c r="AQ776" s="589"/>
      <c r="AR776" s="589"/>
      <c r="AS776" s="589"/>
    </row>
    <row r="777" spans="1:45" ht="15">
      <c r="A777" s="590" t="s">
        <v>193</v>
      </c>
      <c r="B777" s="591" t="s">
        <v>694</v>
      </c>
      <c r="C777" s="591" t="s">
        <v>774</v>
      </c>
      <c r="D777" s="592">
        <v>2016</v>
      </c>
      <c r="E777" s="591" t="s">
        <v>775</v>
      </c>
      <c r="F777" s="592">
        <v>39</v>
      </c>
      <c r="G777" s="592">
        <v>0</v>
      </c>
      <c r="H777" s="592">
        <v>0</v>
      </c>
      <c r="I777" s="592">
        <v>0</v>
      </c>
      <c r="J777" s="592">
        <v>29</v>
      </c>
      <c r="K777" s="592">
        <v>0</v>
      </c>
      <c r="L777" s="592">
        <v>0</v>
      </c>
      <c r="M777" s="592">
        <v>0</v>
      </c>
      <c r="N777" s="593">
        <v>31</v>
      </c>
      <c r="O777" s="593">
        <v>2</v>
      </c>
      <c r="P777" s="593">
        <v>112</v>
      </c>
      <c r="Q777" s="593">
        <v>13</v>
      </c>
      <c r="R777" s="593">
        <v>211</v>
      </c>
      <c r="S777" s="593">
        <v>15</v>
      </c>
      <c r="T777" s="593">
        <v>2016</v>
      </c>
      <c r="U777" s="593">
        <v>2015</v>
      </c>
      <c r="V777" s="589"/>
      <c r="W777" s="589"/>
      <c r="X777" s="589"/>
      <c r="Y777" s="589"/>
      <c r="Z777" s="589"/>
      <c r="AA777" s="589"/>
      <c r="AB777" s="589"/>
      <c r="AC777" s="589"/>
      <c r="AD777" s="589"/>
      <c r="AE777" s="589"/>
      <c r="AF777" s="589"/>
      <c r="AG777" s="589"/>
      <c r="AH777" s="589"/>
      <c r="AI777" s="589"/>
      <c r="AJ777" s="589"/>
      <c r="AK777" s="589"/>
      <c r="AL777" s="589"/>
      <c r="AM777" s="589"/>
      <c r="AN777" s="589"/>
      <c r="AO777" s="589"/>
      <c r="AP777" s="589"/>
      <c r="AQ777" s="589"/>
      <c r="AR777" s="589"/>
      <c r="AS777" s="589"/>
    </row>
    <row r="778" spans="1:45" ht="15">
      <c r="A778" s="587" t="s">
        <v>141</v>
      </c>
      <c r="B778" s="587" t="s">
        <v>290</v>
      </c>
      <c r="C778" s="587" t="s">
        <v>177</v>
      </c>
      <c r="D778" s="588">
        <v>2016</v>
      </c>
      <c r="E778" s="587" t="s">
        <v>775</v>
      </c>
      <c r="F778" s="588">
        <v>2321</v>
      </c>
      <c r="G778" s="588">
        <v>0</v>
      </c>
      <c r="H778" s="588">
        <v>0</v>
      </c>
      <c r="I778" s="588">
        <v>0</v>
      </c>
      <c r="J778" s="588">
        <v>1145</v>
      </c>
      <c r="K778" s="588">
        <v>5</v>
      </c>
      <c r="L778" s="588">
        <v>5</v>
      </c>
      <c r="M778" s="588">
        <v>0</v>
      </c>
      <c r="N778" s="588">
        <v>1018</v>
      </c>
      <c r="O778" s="588">
        <v>395</v>
      </c>
      <c r="P778" s="588">
        <v>1844</v>
      </c>
      <c r="Q778" s="588">
        <v>689</v>
      </c>
      <c r="R778" s="588">
        <v>6328</v>
      </c>
      <c r="S778" s="588">
        <v>1089</v>
      </c>
      <c r="T778" s="588">
        <v>2016</v>
      </c>
      <c r="U778" s="588">
        <v>2016</v>
      </c>
      <c r="V778" s="589"/>
      <c r="W778" s="589"/>
      <c r="X778" s="589"/>
      <c r="Y778" s="589"/>
      <c r="Z778" s="589"/>
      <c r="AA778" s="589"/>
      <c r="AB778" s="589"/>
      <c r="AC778" s="589"/>
      <c r="AD778" s="589"/>
      <c r="AE778" s="589"/>
      <c r="AF778" s="589"/>
      <c r="AG778" s="589"/>
      <c r="AH778" s="589"/>
      <c r="AI778" s="589"/>
      <c r="AJ778" s="589"/>
      <c r="AK778" s="589"/>
      <c r="AL778" s="589"/>
      <c r="AM778" s="589"/>
      <c r="AN778" s="589"/>
      <c r="AO778" s="589"/>
      <c r="AP778" s="589"/>
      <c r="AQ778" s="589"/>
      <c r="AR778" s="589"/>
      <c r="AS778" s="589"/>
    </row>
    <row r="779" spans="1:45" ht="15">
      <c r="A779" s="590" t="s">
        <v>173</v>
      </c>
      <c r="B779" s="591" t="s">
        <v>534</v>
      </c>
      <c r="C779" s="591" t="s">
        <v>812</v>
      </c>
      <c r="D779" s="592">
        <v>2016</v>
      </c>
      <c r="E779" s="591" t="s">
        <v>775</v>
      </c>
      <c r="F779" s="592">
        <v>1555</v>
      </c>
      <c r="G779" s="592">
        <v>0</v>
      </c>
      <c r="H779" s="592">
        <v>0</v>
      </c>
      <c r="I779" s="592">
        <v>0</v>
      </c>
      <c r="J779" s="592">
        <v>1059</v>
      </c>
      <c r="K779" s="592">
        <v>0</v>
      </c>
      <c r="L779" s="592">
        <v>0</v>
      </c>
      <c r="M779" s="592">
        <v>0</v>
      </c>
      <c r="N779" s="593">
        <v>1212</v>
      </c>
      <c r="O779" s="593">
        <v>0</v>
      </c>
      <c r="P779" s="593">
        <v>2945</v>
      </c>
      <c r="Q779" s="593">
        <v>0</v>
      </c>
      <c r="R779" s="593">
        <v>6771</v>
      </c>
      <c r="S779" s="593">
        <v>0</v>
      </c>
      <c r="T779" s="593">
        <v>2016</v>
      </c>
      <c r="U779" s="593">
        <v>2014</v>
      </c>
      <c r="V779" s="589"/>
      <c r="W779" s="589"/>
      <c r="X779" s="589"/>
      <c r="Y779" s="589"/>
      <c r="Z779" s="589"/>
      <c r="AA779" s="589"/>
      <c r="AB779" s="589"/>
      <c r="AC779" s="589"/>
      <c r="AD779" s="589"/>
      <c r="AE779" s="589"/>
      <c r="AF779" s="589"/>
      <c r="AG779" s="589"/>
      <c r="AH779" s="589"/>
      <c r="AI779" s="589"/>
      <c r="AJ779" s="589"/>
      <c r="AK779" s="589"/>
      <c r="AL779" s="589"/>
      <c r="AM779" s="589"/>
      <c r="AN779" s="589"/>
      <c r="AO779" s="589"/>
      <c r="AP779" s="589"/>
      <c r="AQ779" s="589"/>
      <c r="AR779" s="589"/>
      <c r="AS779" s="589"/>
    </row>
    <row r="780" spans="1:45" ht="15">
      <c r="A780" s="587" t="s">
        <v>141</v>
      </c>
      <c r="B780" s="587" t="s">
        <v>291</v>
      </c>
      <c r="C780" s="587" t="s">
        <v>177</v>
      </c>
      <c r="D780" s="588">
        <v>2016</v>
      </c>
      <c r="E780" s="587" t="s">
        <v>775</v>
      </c>
      <c r="F780" s="588">
        <v>150</v>
      </c>
      <c r="G780" s="588">
        <v>0</v>
      </c>
      <c r="H780" s="588">
        <v>0</v>
      </c>
      <c r="I780" s="588">
        <v>0</v>
      </c>
      <c r="J780" s="588">
        <v>115</v>
      </c>
      <c r="K780" s="588">
        <v>0</v>
      </c>
      <c r="L780" s="588">
        <v>0</v>
      </c>
      <c r="M780" s="588">
        <v>0</v>
      </c>
      <c r="N780" s="588">
        <v>123</v>
      </c>
      <c r="O780" s="588">
        <v>0</v>
      </c>
      <c r="P780" s="588">
        <v>201</v>
      </c>
      <c r="Q780" s="588">
        <v>0</v>
      </c>
      <c r="R780" s="588">
        <v>589</v>
      </c>
      <c r="S780" s="588">
        <v>0</v>
      </c>
      <c r="T780" s="588">
        <v>2016</v>
      </c>
      <c r="U780" s="588">
        <v>2016</v>
      </c>
      <c r="V780" s="589"/>
      <c r="W780" s="589"/>
      <c r="X780" s="589"/>
      <c r="Y780" s="589"/>
      <c r="Z780" s="589"/>
      <c r="AA780" s="589"/>
      <c r="AB780" s="589"/>
      <c r="AC780" s="589"/>
      <c r="AD780" s="589"/>
      <c r="AE780" s="589"/>
      <c r="AF780" s="589"/>
      <c r="AG780" s="589"/>
      <c r="AH780" s="589"/>
      <c r="AI780" s="589"/>
      <c r="AJ780" s="589"/>
      <c r="AK780" s="589"/>
      <c r="AL780" s="589"/>
      <c r="AM780" s="589"/>
      <c r="AN780" s="589"/>
      <c r="AO780" s="589"/>
      <c r="AP780" s="589"/>
      <c r="AQ780" s="589"/>
      <c r="AR780" s="589"/>
      <c r="AS780" s="589"/>
    </row>
    <row r="781" spans="1:45" ht="15">
      <c r="A781" s="590" t="s">
        <v>184</v>
      </c>
      <c r="B781" s="591" t="s">
        <v>627</v>
      </c>
      <c r="C781" s="591" t="s">
        <v>774</v>
      </c>
      <c r="D781" s="592">
        <v>2016</v>
      </c>
      <c r="E781" s="591" t="s">
        <v>775</v>
      </c>
      <c r="F781" s="592">
        <v>20</v>
      </c>
      <c r="G781" s="592">
        <v>0</v>
      </c>
      <c r="H781" s="592">
        <v>0</v>
      </c>
      <c r="I781" s="592">
        <v>0</v>
      </c>
      <c r="J781" s="592">
        <v>8</v>
      </c>
      <c r="K781" s="592">
        <v>0</v>
      </c>
      <c r="L781" s="592">
        <v>0</v>
      </c>
      <c r="M781" s="592">
        <v>0</v>
      </c>
      <c r="N781" s="593">
        <v>9</v>
      </c>
      <c r="O781" s="593">
        <v>0</v>
      </c>
      <c r="P781" s="593">
        <v>22</v>
      </c>
      <c r="Q781" s="593">
        <v>0</v>
      </c>
      <c r="R781" s="593">
        <v>59</v>
      </c>
      <c r="S781" s="593">
        <v>0</v>
      </c>
      <c r="T781" s="593">
        <v>2016</v>
      </c>
      <c r="U781" s="593">
        <v>2015</v>
      </c>
      <c r="V781" s="589"/>
      <c r="W781" s="589"/>
      <c r="X781" s="589"/>
      <c r="Y781" s="589"/>
      <c r="Z781" s="589"/>
      <c r="AA781" s="589"/>
      <c r="AB781" s="589"/>
      <c r="AC781" s="589"/>
      <c r="AD781" s="589"/>
      <c r="AE781" s="589"/>
      <c r="AF781" s="589"/>
      <c r="AG781" s="589"/>
      <c r="AH781" s="589"/>
      <c r="AI781" s="589"/>
      <c r="AJ781" s="589"/>
      <c r="AK781" s="589"/>
      <c r="AL781" s="589"/>
      <c r="AM781" s="589"/>
      <c r="AN781" s="589"/>
      <c r="AO781" s="589"/>
      <c r="AP781" s="589"/>
      <c r="AQ781" s="589"/>
      <c r="AR781" s="589"/>
      <c r="AS781" s="589"/>
    </row>
    <row r="782" spans="1:45" ht="15">
      <c r="A782" s="587" t="s">
        <v>178</v>
      </c>
      <c r="B782" s="587" t="s">
        <v>572</v>
      </c>
      <c r="C782" s="587" t="s">
        <v>812</v>
      </c>
      <c r="D782" s="588">
        <v>2016</v>
      </c>
      <c r="E782" s="587" t="s">
        <v>775</v>
      </c>
      <c r="F782" s="588">
        <v>443</v>
      </c>
      <c r="G782" s="588">
        <v>0</v>
      </c>
      <c r="H782" s="588">
        <v>0</v>
      </c>
      <c r="I782" s="588">
        <v>0</v>
      </c>
      <c r="J782" s="588">
        <v>302</v>
      </c>
      <c r="K782" s="588">
        <v>0</v>
      </c>
      <c r="L782" s="588">
        <v>0</v>
      </c>
      <c r="M782" s="588">
        <v>0</v>
      </c>
      <c r="N782" s="588">
        <v>347</v>
      </c>
      <c r="O782" s="588">
        <v>3</v>
      </c>
      <c r="P782" s="588">
        <v>831</v>
      </c>
      <c r="Q782" s="588">
        <v>6</v>
      </c>
      <c r="R782" s="588">
        <v>1923</v>
      </c>
      <c r="S782" s="588">
        <v>9</v>
      </c>
      <c r="T782" s="588">
        <v>2016</v>
      </c>
      <c r="U782" s="588">
        <v>2014</v>
      </c>
      <c r="V782" s="589"/>
      <c r="W782" s="589"/>
      <c r="X782" s="589"/>
      <c r="Y782" s="589"/>
      <c r="Z782" s="589"/>
      <c r="AA782" s="589"/>
      <c r="AB782" s="589"/>
      <c r="AC782" s="589"/>
      <c r="AD782" s="589"/>
      <c r="AE782" s="589"/>
      <c r="AF782" s="589"/>
      <c r="AG782" s="589"/>
      <c r="AH782" s="589"/>
      <c r="AI782" s="589"/>
      <c r="AJ782" s="589"/>
      <c r="AK782" s="589"/>
      <c r="AL782" s="589"/>
      <c r="AM782" s="589"/>
      <c r="AN782" s="589"/>
      <c r="AO782" s="589"/>
      <c r="AP782" s="589"/>
      <c r="AQ782" s="589"/>
      <c r="AR782" s="589"/>
      <c r="AS782" s="589"/>
    </row>
    <row r="783" spans="1:45" ht="15">
      <c r="A783" s="590" t="s">
        <v>135</v>
      </c>
      <c r="B783" s="591" t="s">
        <v>263</v>
      </c>
      <c r="C783" s="591" t="s">
        <v>784</v>
      </c>
      <c r="D783" s="592">
        <v>2016</v>
      </c>
      <c r="E783" s="591" t="s">
        <v>775</v>
      </c>
      <c r="F783" s="592">
        <v>107</v>
      </c>
      <c r="G783" s="592">
        <v>0</v>
      </c>
      <c r="H783" s="592">
        <v>0</v>
      </c>
      <c r="I783" s="592">
        <v>0</v>
      </c>
      <c r="J783" s="592">
        <v>91</v>
      </c>
      <c r="K783" s="592">
        <v>2</v>
      </c>
      <c r="L783" s="592">
        <v>0</v>
      </c>
      <c r="M783" s="592">
        <v>2</v>
      </c>
      <c r="N783" s="593">
        <v>91</v>
      </c>
      <c r="O783" s="593">
        <v>7</v>
      </c>
      <c r="P783" s="593">
        <v>210</v>
      </c>
      <c r="Q783" s="593">
        <v>2</v>
      </c>
      <c r="R783" s="593">
        <v>499</v>
      </c>
      <c r="S783" s="593">
        <v>11</v>
      </c>
      <c r="T783" s="593">
        <v>2016</v>
      </c>
      <c r="U783" s="593">
        <v>2014</v>
      </c>
      <c r="V783" s="589"/>
      <c r="W783" s="589"/>
      <c r="X783" s="589"/>
      <c r="Y783" s="589"/>
      <c r="Z783" s="589"/>
      <c r="AA783" s="589"/>
      <c r="AB783" s="589"/>
      <c r="AC783" s="589"/>
      <c r="AD783" s="589"/>
      <c r="AE783" s="589"/>
      <c r="AF783" s="589"/>
      <c r="AG783" s="589"/>
      <c r="AH783" s="589"/>
      <c r="AI783" s="589"/>
      <c r="AJ783" s="589"/>
      <c r="AK783" s="589"/>
      <c r="AL783" s="589"/>
      <c r="AM783" s="589"/>
      <c r="AN783" s="589"/>
      <c r="AO783" s="589"/>
      <c r="AP783" s="589"/>
      <c r="AQ783" s="589"/>
      <c r="AR783" s="589"/>
      <c r="AS783" s="589"/>
    </row>
    <row r="784" spans="1:45" ht="15">
      <c r="A784" s="587" t="s">
        <v>136</v>
      </c>
      <c r="B784" s="587" t="s">
        <v>268</v>
      </c>
      <c r="C784" s="587" t="s">
        <v>774</v>
      </c>
      <c r="D784" s="588">
        <v>2016</v>
      </c>
      <c r="E784" s="587" t="s">
        <v>775</v>
      </c>
      <c r="F784" s="588">
        <v>798</v>
      </c>
      <c r="G784" s="588">
        <v>19</v>
      </c>
      <c r="H784" s="588">
        <v>19</v>
      </c>
      <c r="I784" s="588">
        <v>0</v>
      </c>
      <c r="J784" s="588">
        <v>444</v>
      </c>
      <c r="K784" s="588">
        <v>3</v>
      </c>
      <c r="L784" s="588">
        <v>3</v>
      </c>
      <c r="M784" s="588">
        <v>0</v>
      </c>
      <c r="N784" s="588">
        <v>559</v>
      </c>
      <c r="O784" s="588">
        <v>0</v>
      </c>
      <c r="P784" s="588">
        <v>1677</v>
      </c>
      <c r="Q784" s="588">
        <v>55</v>
      </c>
      <c r="R784" s="588">
        <v>3478</v>
      </c>
      <c r="S784" s="588">
        <v>77</v>
      </c>
      <c r="T784" s="588">
        <v>2016</v>
      </c>
      <c r="U784" s="588">
        <v>2015</v>
      </c>
      <c r="V784" s="589"/>
      <c r="W784" s="589"/>
      <c r="X784" s="589"/>
      <c r="Y784" s="589"/>
      <c r="Z784" s="589"/>
      <c r="AA784" s="589"/>
      <c r="AB784" s="589"/>
      <c r="AC784" s="589"/>
      <c r="AD784" s="589"/>
      <c r="AE784" s="589"/>
      <c r="AF784" s="589"/>
      <c r="AG784" s="589"/>
      <c r="AH784" s="589"/>
      <c r="AI784" s="589"/>
      <c r="AJ784" s="589"/>
      <c r="AK784" s="589"/>
      <c r="AL784" s="589"/>
      <c r="AM784" s="589"/>
      <c r="AN784" s="589"/>
      <c r="AO784" s="589"/>
      <c r="AP784" s="589"/>
      <c r="AQ784" s="589"/>
      <c r="AR784" s="589"/>
      <c r="AS784" s="589"/>
    </row>
    <row r="785" spans="1:45" ht="15">
      <c r="A785" s="590" t="s">
        <v>136</v>
      </c>
      <c r="B785" s="591" t="s">
        <v>269</v>
      </c>
      <c r="C785" s="591" t="s">
        <v>774</v>
      </c>
      <c r="D785" s="592">
        <v>2016</v>
      </c>
      <c r="E785" s="591" t="s">
        <v>775</v>
      </c>
      <c r="F785" s="592">
        <v>374</v>
      </c>
      <c r="G785" s="592">
        <v>0</v>
      </c>
      <c r="H785" s="592">
        <v>0</v>
      </c>
      <c r="I785" s="592">
        <v>0</v>
      </c>
      <c r="J785" s="592">
        <v>218</v>
      </c>
      <c r="K785" s="592">
        <v>0</v>
      </c>
      <c r="L785" s="592">
        <v>0</v>
      </c>
      <c r="M785" s="592">
        <v>0</v>
      </c>
      <c r="N785" s="593">
        <v>243</v>
      </c>
      <c r="O785" s="593">
        <v>28</v>
      </c>
      <c r="P785" s="593">
        <v>532</v>
      </c>
      <c r="Q785" s="593">
        <v>201</v>
      </c>
      <c r="R785" s="593">
        <v>1367</v>
      </c>
      <c r="S785" s="593">
        <v>229</v>
      </c>
      <c r="T785" s="593">
        <v>2016</v>
      </c>
      <c r="U785" s="593">
        <v>2015</v>
      </c>
      <c r="V785" s="589"/>
      <c r="W785" s="589"/>
      <c r="X785" s="589"/>
      <c r="Y785" s="589"/>
      <c r="Z785" s="589"/>
      <c r="AA785" s="589"/>
      <c r="AB785" s="589"/>
      <c r="AC785" s="589"/>
      <c r="AD785" s="589"/>
      <c r="AE785" s="589"/>
      <c r="AF785" s="589"/>
      <c r="AG785" s="589"/>
      <c r="AH785" s="589"/>
      <c r="AI785" s="589"/>
      <c r="AJ785" s="589"/>
      <c r="AK785" s="589"/>
      <c r="AL785" s="589"/>
      <c r="AM785" s="589"/>
      <c r="AN785" s="589"/>
      <c r="AO785" s="589"/>
      <c r="AP785" s="589"/>
      <c r="AQ785" s="589"/>
      <c r="AR785" s="589"/>
      <c r="AS785" s="589"/>
    </row>
    <row r="786" spans="1:45" ht="15">
      <c r="A786" s="587" t="s">
        <v>173</v>
      </c>
      <c r="B786" s="587" t="s">
        <v>535</v>
      </c>
      <c r="C786" s="587" t="s">
        <v>812</v>
      </c>
      <c r="D786" s="588">
        <v>2016</v>
      </c>
      <c r="E786" s="587" t="s">
        <v>775</v>
      </c>
      <c r="F786" s="588">
        <v>192</v>
      </c>
      <c r="G786" s="588">
        <v>0</v>
      </c>
      <c r="H786" s="588">
        <v>0</v>
      </c>
      <c r="I786" s="588">
        <v>0</v>
      </c>
      <c r="J786" s="588">
        <v>128</v>
      </c>
      <c r="K786" s="588">
        <v>0</v>
      </c>
      <c r="L786" s="588">
        <v>0</v>
      </c>
      <c r="M786" s="588">
        <v>0</v>
      </c>
      <c r="N786" s="588">
        <v>142</v>
      </c>
      <c r="O786" s="588">
        <v>57</v>
      </c>
      <c r="P786" s="588">
        <v>308</v>
      </c>
      <c r="Q786" s="588">
        <v>8</v>
      </c>
      <c r="R786" s="588">
        <v>770</v>
      </c>
      <c r="S786" s="588">
        <v>65</v>
      </c>
      <c r="T786" s="588">
        <v>2016</v>
      </c>
      <c r="U786" s="588">
        <v>2014</v>
      </c>
      <c r="V786" s="589"/>
      <c r="W786" s="589"/>
      <c r="X786" s="589"/>
      <c r="Y786" s="589"/>
      <c r="Z786" s="589"/>
      <c r="AA786" s="589"/>
      <c r="AB786" s="589"/>
      <c r="AC786" s="589"/>
      <c r="AD786" s="589"/>
      <c r="AE786" s="589"/>
      <c r="AF786" s="589"/>
      <c r="AG786" s="589"/>
      <c r="AH786" s="589"/>
      <c r="AI786" s="589"/>
      <c r="AJ786" s="589"/>
      <c r="AK786" s="589"/>
      <c r="AL786" s="589"/>
      <c r="AM786" s="589"/>
      <c r="AN786" s="589"/>
      <c r="AO786" s="589"/>
      <c r="AP786" s="589"/>
      <c r="AQ786" s="589"/>
      <c r="AR786" s="589"/>
      <c r="AS786" s="589"/>
    </row>
    <row r="787" spans="1:45" ht="15">
      <c r="A787" s="590" t="s">
        <v>179</v>
      </c>
      <c r="B787" s="591" t="s">
        <v>592</v>
      </c>
      <c r="C787" s="591" t="s">
        <v>855</v>
      </c>
      <c r="D787" s="592">
        <v>2016</v>
      </c>
      <c r="E787" s="591" t="s">
        <v>775</v>
      </c>
      <c r="F787" s="592">
        <v>13</v>
      </c>
      <c r="G787" s="592">
        <v>0</v>
      </c>
      <c r="H787" s="592">
        <v>0</v>
      </c>
      <c r="I787" s="592">
        <v>0</v>
      </c>
      <c r="J787" s="592">
        <v>9</v>
      </c>
      <c r="K787" s="592">
        <v>0</v>
      </c>
      <c r="L787" s="592">
        <v>0</v>
      </c>
      <c r="M787" s="592">
        <v>0</v>
      </c>
      <c r="N787" s="593">
        <v>9</v>
      </c>
      <c r="O787" s="593">
        <v>0</v>
      </c>
      <c r="P787" s="593">
        <v>19</v>
      </c>
      <c r="Q787" s="593">
        <v>63</v>
      </c>
      <c r="R787" s="593">
        <v>50</v>
      </c>
      <c r="S787" s="593">
        <v>63</v>
      </c>
      <c r="T787" s="593">
        <v>2016</v>
      </c>
      <c r="U787" s="593">
        <v>2013</v>
      </c>
      <c r="V787" s="589"/>
      <c r="W787" s="589"/>
      <c r="X787" s="589"/>
      <c r="Y787" s="589"/>
      <c r="Z787" s="589"/>
      <c r="AA787" s="589"/>
      <c r="AB787" s="589"/>
      <c r="AC787" s="589"/>
      <c r="AD787" s="589"/>
      <c r="AE787" s="589"/>
      <c r="AF787" s="589"/>
      <c r="AG787" s="589"/>
      <c r="AH787" s="589"/>
      <c r="AI787" s="589"/>
      <c r="AJ787" s="589"/>
      <c r="AK787" s="589"/>
      <c r="AL787" s="589"/>
      <c r="AM787" s="589"/>
      <c r="AN787" s="589"/>
      <c r="AO787" s="589"/>
      <c r="AP787" s="589"/>
      <c r="AQ787" s="589"/>
      <c r="AR787" s="589"/>
      <c r="AS787" s="589"/>
    </row>
    <row r="788" spans="1:45" ht="15">
      <c r="A788" s="587" t="s">
        <v>157</v>
      </c>
      <c r="B788" s="587" t="s">
        <v>437</v>
      </c>
      <c r="C788" s="587" t="s">
        <v>774</v>
      </c>
      <c r="D788" s="588">
        <v>2016</v>
      </c>
      <c r="E788" s="587" t="s">
        <v>775</v>
      </c>
      <c r="F788" s="588">
        <v>22</v>
      </c>
      <c r="G788" s="588">
        <v>2</v>
      </c>
      <c r="H788" s="588">
        <v>1</v>
      </c>
      <c r="I788" s="588">
        <v>1</v>
      </c>
      <c r="J788" s="588">
        <v>13</v>
      </c>
      <c r="K788" s="588">
        <v>1</v>
      </c>
      <c r="L788" s="588">
        <v>1</v>
      </c>
      <c r="M788" s="588">
        <v>0</v>
      </c>
      <c r="N788" s="588">
        <v>13</v>
      </c>
      <c r="O788" s="588">
        <v>1</v>
      </c>
      <c r="P788" s="588">
        <v>24</v>
      </c>
      <c r="Q788" s="588">
        <v>13</v>
      </c>
      <c r="R788" s="588">
        <v>72</v>
      </c>
      <c r="S788" s="588">
        <v>17</v>
      </c>
      <c r="T788" s="588">
        <v>2016</v>
      </c>
      <c r="U788" s="588">
        <v>2015</v>
      </c>
      <c r="V788" s="589"/>
      <c r="W788" s="589"/>
      <c r="X788" s="589"/>
      <c r="Y788" s="589"/>
      <c r="Z788" s="589"/>
      <c r="AA788" s="589"/>
      <c r="AB788" s="589"/>
      <c r="AC788" s="589"/>
      <c r="AD788" s="589"/>
      <c r="AE788" s="589"/>
      <c r="AF788" s="589"/>
      <c r="AG788" s="589"/>
      <c r="AH788" s="589"/>
      <c r="AI788" s="589"/>
      <c r="AJ788" s="589"/>
      <c r="AK788" s="589"/>
      <c r="AL788" s="589"/>
      <c r="AM788" s="589"/>
      <c r="AN788" s="589"/>
      <c r="AO788" s="589"/>
      <c r="AP788" s="589"/>
      <c r="AQ788" s="589"/>
      <c r="AR788" s="589"/>
      <c r="AS788" s="589"/>
    </row>
    <row r="789" spans="1:45" ht="15">
      <c r="A789" s="590" t="s">
        <v>169</v>
      </c>
      <c r="B789" s="591" t="s">
        <v>489</v>
      </c>
      <c r="C789" s="591" t="s">
        <v>812</v>
      </c>
      <c r="D789" s="592">
        <v>2016</v>
      </c>
      <c r="E789" s="591" t="s">
        <v>775</v>
      </c>
      <c r="F789" s="592">
        <v>1</v>
      </c>
      <c r="G789" s="592">
        <v>0</v>
      </c>
      <c r="H789" s="592">
        <v>0</v>
      </c>
      <c r="I789" s="592">
        <v>0</v>
      </c>
      <c r="J789" s="592">
        <v>1</v>
      </c>
      <c r="K789" s="592">
        <v>0</v>
      </c>
      <c r="L789" s="592">
        <v>0</v>
      </c>
      <c r="M789" s="592">
        <v>0</v>
      </c>
      <c r="N789" s="593">
        <v>0</v>
      </c>
      <c r="O789" s="593">
        <v>0</v>
      </c>
      <c r="P789" s="593">
        <v>0</v>
      </c>
      <c r="Q789" s="593">
        <v>115</v>
      </c>
      <c r="R789" s="593">
        <v>2</v>
      </c>
      <c r="S789" s="593">
        <v>115</v>
      </c>
      <c r="T789" s="593">
        <v>2016</v>
      </c>
      <c r="U789" s="593">
        <v>2014</v>
      </c>
      <c r="V789" s="589"/>
      <c r="W789" s="589"/>
      <c r="X789" s="589"/>
      <c r="Y789" s="589"/>
      <c r="Z789" s="589"/>
      <c r="AA789" s="589"/>
      <c r="AB789" s="589"/>
      <c r="AC789" s="589"/>
      <c r="AD789" s="589"/>
      <c r="AE789" s="589"/>
      <c r="AF789" s="589"/>
      <c r="AG789" s="589"/>
      <c r="AH789" s="589"/>
      <c r="AI789" s="589"/>
      <c r="AJ789" s="589"/>
      <c r="AK789" s="589"/>
      <c r="AL789" s="589"/>
      <c r="AM789" s="589"/>
      <c r="AN789" s="589"/>
      <c r="AO789" s="589"/>
      <c r="AP789" s="589"/>
      <c r="AQ789" s="589"/>
      <c r="AR789" s="589"/>
      <c r="AS789" s="589"/>
    </row>
    <row r="790" spans="1:45" ht="15">
      <c r="A790" s="587" t="s">
        <v>193</v>
      </c>
      <c r="B790" s="587" t="s">
        <v>695</v>
      </c>
      <c r="C790" s="587" t="s">
        <v>774</v>
      </c>
      <c r="D790" s="588">
        <v>2016</v>
      </c>
      <c r="E790" s="587" t="s">
        <v>775</v>
      </c>
      <c r="F790" s="588">
        <v>35</v>
      </c>
      <c r="G790" s="588">
        <v>1</v>
      </c>
      <c r="H790" s="588">
        <v>1</v>
      </c>
      <c r="I790" s="588">
        <v>0</v>
      </c>
      <c r="J790" s="588">
        <v>18</v>
      </c>
      <c r="K790" s="588">
        <v>3</v>
      </c>
      <c r="L790" s="588">
        <v>3</v>
      </c>
      <c r="M790" s="588">
        <v>0</v>
      </c>
      <c r="N790" s="588">
        <v>18</v>
      </c>
      <c r="O790" s="588">
        <v>0</v>
      </c>
      <c r="P790" s="588">
        <v>66</v>
      </c>
      <c r="Q790" s="588">
        <v>16</v>
      </c>
      <c r="R790" s="588">
        <v>137</v>
      </c>
      <c r="S790" s="588">
        <v>20</v>
      </c>
      <c r="T790" s="588">
        <v>2016</v>
      </c>
      <c r="U790" s="588">
        <v>2015</v>
      </c>
      <c r="V790" s="589"/>
      <c r="W790" s="589"/>
      <c r="X790" s="589"/>
      <c r="Y790" s="589"/>
      <c r="Z790" s="589"/>
      <c r="AA790" s="589"/>
      <c r="AB790" s="589"/>
      <c r="AC790" s="589"/>
      <c r="AD790" s="589"/>
      <c r="AE790" s="589"/>
      <c r="AF790" s="589"/>
      <c r="AG790" s="589"/>
      <c r="AH790" s="589"/>
      <c r="AI790" s="589"/>
      <c r="AJ790" s="589"/>
      <c r="AK790" s="589"/>
      <c r="AL790" s="589"/>
      <c r="AM790" s="589"/>
      <c r="AN790" s="589"/>
      <c r="AO790" s="589"/>
      <c r="AP790" s="589"/>
      <c r="AQ790" s="589"/>
      <c r="AR790" s="589"/>
      <c r="AS790" s="589"/>
    </row>
    <row r="791" spans="1:45" ht="15">
      <c r="A791" s="590" t="s">
        <v>153</v>
      </c>
      <c r="B791" s="591" t="s">
        <v>366</v>
      </c>
      <c r="C791" s="591" t="s">
        <v>812</v>
      </c>
      <c r="D791" s="592">
        <v>2016</v>
      </c>
      <c r="E791" s="591" t="s">
        <v>775</v>
      </c>
      <c r="F791" s="592">
        <v>80</v>
      </c>
      <c r="G791" s="592">
        <v>0</v>
      </c>
      <c r="H791" s="592">
        <v>0</v>
      </c>
      <c r="I791" s="592">
        <v>0</v>
      </c>
      <c r="J791" s="592">
        <v>46</v>
      </c>
      <c r="K791" s="592">
        <v>0</v>
      </c>
      <c r="L791" s="592">
        <v>0</v>
      </c>
      <c r="M791" s="592">
        <v>0</v>
      </c>
      <c r="N791" s="593">
        <v>51</v>
      </c>
      <c r="O791" s="593">
        <v>0</v>
      </c>
      <c r="P791" s="593">
        <v>141</v>
      </c>
      <c r="Q791" s="593">
        <v>0</v>
      </c>
      <c r="R791" s="593">
        <v>318</v>
      </c>
      <c r="S791" s="593">
        <v>0</v>
      </c>
      <c r="T791" s="593">
        <v>2016</v>
      </c>
      <c r="U791" s="593">
        <v>2014</v>
      </c>
      <c r="V791" s="589"/>
      <c r="W791" s="589"/>
      <c r="X791" s="589"/>
      <c r="Y791" s="589"/>
      <c r="Z791" s="589"/>
      <c r="AA791" s="589"/>
      <c r="AB791" s="589"/>
      <c r="AC791" s="589"/>
      <c r="AD791" s="589"/>
      <c r="AE791" s="589"/>
      <c r="AF791" s="589"/>
      <c r="AG791" s="589"/>
      <c r="AH791" s="589"/>
      <c r="AI791" s="589"/>
      <c r="AJ791" s="589"/>
      <c r="AK791" s="589"/>
      <c r="AL791" s="589"/>
      <c r="AM791" s="589"/>
      <c r="AN791" s="589"/>
      <c r="AO791" s="589"/>
      <c r="AP791" s="589"/>
      <c r="AQ791" s="589"/>
      <c r="AR791" s="589"/>
      <c r="AS791" s="589"/>
    </row>
    <row r="792" spans="1:45" ht="15">
      <c r="A792" s="587" t="s">
        <v>187</v>
      </c>
      <c r="B792" s="587" t="s">
        <v>652</v>
      </c>
      <c r="C792" s="587" t="s">
        <v>774</v>
      </c>
      <c r="D792" s="588">
        <v>2016</v>
      </c>
      <c r="E792" s="587" t="s">
        <v>775</v>
      </c>
      <c r="F792" s="588">
        <v>356</v>
      </c>
      <c r="G792" s="588">
        <v>0</v>
      </c>
      <c r="H792" s="588">
        <v>0</v>
      </c>
      <c r="I792" s="588">
        <v>0</v>
      </c>
      <c r="J792" s="588">
        <v>207</v>
      </c>
      <c r="K792" s="588">
        <v>0</v>
      </c>
      <c r="L792" s="588">
        <v>0</v>
      </c>
      <c r="M792" s="588">
        <v>0</v>
      </c>
      <c r="N792" s="588">
        <v>231</v>
      </c>
      <c r="O792" s="588">
        <v>18</v>
      </c>
      <c r="P792" s="588">
        <v>270</v>
      </c>
      <c r="Q792" s="588">
        <v>9</v>
      </c>
      <c r="R792" s="588">
        <v>1064</v>
      </c>
      <c r="S792" s="588">
        <v>27</v>
      </c>
      <c r="T792" s="588">
        <v>2016</v>
      </c>
      <c r="U792" s="588">
        <v>2015</v>
      </c>
      <c r="V792" s="589"/>
      <c r="W792" s="589"/>
      <c r="X792" s="589"/>
      <c r="Y792" s="589"/>
      <c r="Z792" s="589"/>
      <c r="AA792" s="589"/>
      <c r="AB792" s="589"/>
      <c r="AC792" s="589"/>
      <c r="AD792" s="589"/>
      <c r="AE792" s="589"/>
      <c r="AF792" s="589"/>
      <c r="AG792" s="589"/>
      <c r="AH792" s="589"/>
      <c r="AI792" s="589"/>
      <c r="AJ792" s="589"/>
      <c r="AK792" s="589"/>
      <c r="AL792" s="589"/>
      <c r="AM792" s="589"/>
      <c r="AN792" s="589"/>
      <c r="AO792" s="589"/>
      <c r="AP792" s="589"/>
      <c r="AQ792" s="589"/>
      <c r="AR792" s="589"/>
      <c r="AS792" s="589"/>
    </row>
    <row r="793" spans="1:45" ht="15">
      <c r="A793" s="590" t="s">
        <v>169</v>
      </c>
      <c r="B793" s="591" t="s">
        <v>490</v>
      </c>
      <c r="C793" s="591" t="s">
        <v>812</v>
      </c>
      <c r="D793" s="592">
        <v>2016</v>
      </c>
      <c r="E793" s="591" t="s">
        <v>775</v>
      </c>
      <c r="F793" s="592">
        <v>71</v>
      </c>
      <c r="G793" s="592">
        <v>0</v>
      </c>
      <c r="H793" s="592">
        <v>0</v>
      </c>
      <c r="I793" s="592">
        <v>0</v>
      </c>
      <c r="J793" s="592">
        <v>50</v>
      </c>
      <c r="K793" s="592">
        <v>3</v>
      </c>
      <c r="L793" s="592">
        <v>3</v>
      </c>
      <c r="M793" s="592">
        <v>0</v>
      </c>
      <c r="N793" s="593">
        <v>56</v>
      </c>
      <c r="O793" s="593">
        <v>4</v>
      </c>
      <c r="P793" s="593">
        <v>131</v>
      </c>
      <c r="Q793" s="593">
        <v>132</v>
      </c>
      <c r="R793" s="593">
        <v>308</v>
      </c>
      <c r="S793" s="593">
        <v>139</v>
      </c>
      <c r="T793" s="593">
        <v>2016</v>
      </c>
      <c r="U793" s="593">
        <v>2014</v>
      </c>
      <c r="V793" s="589"/>
      <c r="W793" s="589"/>
      <c r="X793" s="589"/>
      <c r="Y793" s="589"/>
      <c r="Z793" s="589"/>
      <c r="AA793" s="589"/>
      <c r="AB793" s="589"/>
      <c r="AC793" s="589"/>
      <c r="AD793" s="589"/>
      <c r="AE793" s="589"/>
      <c r="AF793" s="589"/>
      <c r="AG793" s="589"/>
      <c r="AH793" s="589"/>
      <c r="AI793" s="589"/>
      <c r="AJ793" s="589"/>
      <c r="AK793" s="589"/>
      <c r="AL793" s="589"/>
      <c r="AM793" s="589"/>
      <c r="AN793" s="589"/>
      <c r="AO793" s="589"/>
      <c r="AP793" s="589"/>
      <c r="AQ793" s="589"/>
      <c r="AR793" s="589"/>
      <c r="AS793" s="589"/>
    </row>
    <row r="794" spans="1:45" ht="15">
      <c r="A794" s="587" t="s">
        <v>184</v>
      </c>
      <c r="B794" s="587" t="s">
        <v>628</v>
      </c>
      <c r="C794" s="587" t="s">
        <v>774</v>
      </c>
      <c r="D794" s="588">
        <v>2016</v>
      </c>
      <c r="E794" s="587" t="s">
        <v>775</v>
      </c>
      <c r="F794" s="588">
        <v>400</v>
      </c>
      <c r="G794" s="588">
        <v>0</v>
      </c>
      <c r="H794" s="588">
        <v>0</v>
      </c>
      <c r="I794" s="588">
        <v>0</v>
      </c>
      <c r="J794" s="588">
        <v>188</v>
      </c>
      <c r="K794" s="588">
        <v>7</v>
      </c>
      <c r="L794" s="588">
        <v>7</v>
      </c>
      <c r="M794" s="588">
        <v>0</v>
      </c>
      <c r="N794" s="588">
        <v>221</v>
      </c>
      <c r="O794" s="588">
        <v>17</v>
      </c>
      <c r="P794" s="588">
        <v>541</v>
      </c>
      <c r="Q794" s="588">
        <v>140</v>
      </c>
      <c r="R794" s="588">
        <v>1350</v>
      </c>
      <c r="S794" s="588">
        <v>164</v>
      </c>
      <c r="T794" s="588">
        <v>2016</v>
      </c>
      <c r="U794" s="588">
        <v>2015</v>
      </c>
      <c r="V794" s="589"/>
      <c r="W794" s="589"/>
      <c r="X794" s="589"/>
      <c r="Y794" s="589"/>
      <c r="Z794" s="589"/>
      <c r="AA794" s="589"/>
      <c r="AB794" s="589"/>
      <c r="AC794" s="589"/>
      <c r="AD794" s="589"/>
      <c r="AE794" s="589"/>
      <c r="AF794" s="589"/>
      <c r="AG794" s="589"/>
      <c r="AH794" s="589"/>
      <c r="AI794" s="589"/>
      <c r="AJ794" s="589"/>
      <c r="AK794" s="589"/>
      <c r="AL794" s="589"/>
      <c r="AM794" s="589"/>
      <c r="AN794" s="589"/>
      <c r="AO794" s="589"/>
      <c r="AP794" s="589"/>
      <c r="AQ794" s="589"/>
      <c r="AR794" s="589"/>
      <c r="AS794" s="589"/>
    </row>
    <row r="795" spans="1:45" ht="15">
      <c r="A795" s="590" t="s">
        <v>169</v>
      </c>
      <c r="B795" s="591" t="s">
        <v>491</v>
      </c>
      <c r="C795" s="591" t="s">
        <v>812</v>
      </c>
      <c r="D795" s="592">
        <v>2016</v>
      </c>
      <c r="E795" s="591" t="s">
        <v>775</v>
      </c>
      <c r="F795" s="592">
        <v>76</v>
      </c>
      <c r="G795" s="592">
        <v>0</v>
      </c>
      <c r="H795" s="592">
        <v>0</v>
      </c>
      <c r="I795" s="592">
        <v>0</v>
      </c>
      <c r="J795" s="592">
        <v>53</v>
      </c>
      <c r="K795" s="592">
        <v>0</v>
      </c>
      <c r="L795" s="592">
        <v>0</v>
      </c>
      <c r="M795" s="592">
        <v>0</v>
      </c>
      <c r="N795" s="593">
        <v>61</v>
      </c>
      <c r="O795" s="593">
        <v>4</v>
      </c>
      <c r="P795" s="593">
        <v>137</v>
      </c>
      <c r="Q795" s="593">
        <v>34</v>
      </c>
      <c r="R795" s="593">
        <v>327</v>
      </c>
      <c r="S795" s="593">
        <v>38</v>
      </c>
      <c r="T795" s="593">
        <v>2016</v>
      </c>
      <c r="U795" s="593">
        <v>2014</v>
      </c>
      <c r="V795" s="589"/>
      <c r="W795" s="589"/>
      <c r="X795" s="589"/>
      <c r="Y795" s="589"/>
      <c r="Z795" s="589"/>
      <c r="AA795" s="589"/>
      <c r="AB795" s="589"/>
      <c r="AC795" s="589"/>
      <c r="AD795" s="589"/>
      <c r="AE795" s="589"/>
      <c r="AF795" s="589"/>
      <c r="AG795" s="589"/>
      <c r="AH795" s="589"/>
      <c r="AI795" s="589"/>
      <c r="AJ795" s="589"/>
      <c r="AK795" s="589"/>
      <c r="AL795" s="589"/>
      <c r="AM795" s="589"/>
      <c r="AN795" s="589"/>
      <c r="AO795" s="589"/>
      <c r="AP795" s="589"/>
      <c r="AQ795" s="589"/>
      <c r="AR795" s="589"/>
      <c r="AS795" s="589"/>
    </row>
    <row r="796" spans="1:45" ht="15">
      <c r="A796" s="587" t="s">
        <v>136</v>
      </c>
      <c r="B796" s="587" t="s">
        <v>270</v>
      </c>
      <c r="C796" s="587" t="s">
        <v>774</v>
      </c>
      <c r="D796" s="588">
        <v>2016</v>
      </c>
      <c r="E796" s="587" t="s">
        <v>775</v>
      </c>
      <c r="F796" s="588">
        <v>196</v>
      </c>
      <c r="G796" s="588">
        <v>0</v>
      </c>
      <c r="H796" s="588">
        <v>0</v>
      </c>
      <c r="I796" s="588">
        <v>0</v>
      </c>
      <c r="J796" s="588">
        <v>111</v>
      </c>
      <c r="K796" s="588">
        <v>2</v>
      </c>
      <c r="L796" s="588">
        <v>2</v>
      </c>
      <c r="M796" s="588">
        <v>0</v>
      </c>
      <c r="N796" s="588">
        <v>124</v>
      </c>
      <c r="O796" s="588">
        <v>4</v>
      </c>
      <c r="P796" s="588">
        <v>126</v>
      </c>
      <c r="Q796" s="588">
        <v>50</v>
      </c>
      <c r="R796" s="588">
        <v>557</v>
      </c>
      <c r="S796" s="588">
        <v>56</v>
      </c>
      <c r="T796" s="588">
        <v>2016</v>
      </c>
      <c r="U796" s="588">
        <v>2015</v>
      </c>
      <c r="V796" s="589"/>
      <c r="W796" s="589"/>
      <c r="X796" s="589"/>
      <c r="Y796" s="589"/>
      <c r="Z796" s="589"/>
      <c r="AA796" s="589"/>
      <c r="AB796" s="589"/>
      <c r="AC796" s="589"/>
      <c r="AD796" s="589"/>
      <c r="AE796" s="589"/>
      <c r="AF796" s="589"/>
      <c r="AG796" s="589"/>
      <c r="AH796" s="589"/>
      <c r="AI796" s="589"/>
      <c r="AJ796" s="589"/>
      <c r="AK796" s="589"/>
      <c r="AL796" s="589"/>
      <c r="AM796" s="589"/>
      <c r="AN796" s="589"/>
      <c r="AO796" s="589"/>
      <c r="AP796" s="589"/>
      <c r="AQ796" s="589"/>
      <c r="AR796" s="589"/>
      <c r="AS796" s="589"/>
    </row>
    <row r="797" spans="1:45" ht="15">
      <c r="A797" s="590" t="s">
        <v>202</v>
      </c>
      <c r="B797" s="591" t="s">
        <v>741</v>
      </c>
      <c r="C797" s="591" t="s">
        <v>799</v>
      </c>
      <c r="D797" s="592">
        <v>2016</v>
      </c>
      <c r="E797" s="591" t="s">
        <v>775</v>
      </c>
      <c r="F797" s="592">
        <v>248</v>
      </c>
      <c r="G797" s="592">
        <v>42</v>
      </c>
      <c r="H797" s="592">
        <v>42</v>
      </c>
      <c r="I797" s="592">
        <v>0</v>
      </c>
      <c r="J797" s="592">
        <v>174</v>
      </c>
      <c r="K797" s="592">
        <v>27</v>
      </c>
      <c r="L797" s="592">
        <v>19</v>
      </c>
      <c r="M797" s="592">
        <v>8</v>
      </c>
      <c r="N797" s="593">
        <v>198</v>
      </c>
      <c r="O797" s="593">
        <v>16</v>
      </c>
      <c r="P797" s="593">
        <v>446</v>
      </c>
      <c r="Q797" s="593">
        <v>183</v>
      </c>
      <c r="R797" s="593">
        <v>1066</v>
      </c>
      <c r="S797" s="593">
        <v>268</v>
      </c>
      <c r="T797" s="593">
        <v>2016</v>
      </c>
      <c r="U797" s="593">
        <v>2014</v>
      </c>
      <c r="V797" s="589"/>
      <c r="W797" s="589"/>
      <c r="X797" s="589"/>
      <c r="Y797" s="589"/>
      <c r="Z797" s="589"/>
      <c r="AA797" s="589"/>
      <c r="AB797" s="589"/>
      <c r="AC797" s="589"/>
      <c r="AD797" s="589"/>
      <c r="AE797" s="589"/>
      <c r="AF797" s="589"/>
      <c r="AG797" s="589"/>
      <c r="AH797" s="589"/>
      <c r="AI797" s="589"/>
      <c r="AJ797" s="589"/>
      <c r="AK797" s="589"/>
      <c r="AL797" s="589"/>
      <c r="AM797" s="589"/>
      <c r="AN797" s="589"/>
      <c r="AO797" s="589"/>
      <c r="AP797" s="589"/>
      <c r="AQ797" s="589"/>
      <c r="AR797" s="589"/>
      <c r="AS797" s="589"/>
    </row>
    <row r="798" spans="1:45" ht="15">
      <c r="A798" s="587" t="s">
        <v>179</v>
      </c>
      <c r="B798" s="587" t="s">
        <v>593</v>
      </c>
      <c r="C798" s="587" t="s">
        <v>855</v>
      </c>
      <c r="D798" s="588">
        <v>2016</v>
      </c>
      <c r="E798" s="587" t="s">
        <v>775</v>
      </c>
      <c r="F798" s="588">
        <v>7</v>
      </c>
      <c r="G798" s="588">
        <v>0</v>
      </c>
      <c r="H798" s="588">
        <v>0</v>
      </c>
      <c r="I798" s="588">
        <v>0</v>
      </c>
      <c r="J798" s="588">
        <v>5</v>
      </c>
      <c r="K798" s="588">
        <v>0</v>
      </c>
      <c r="L798" s="588">
        <v>0</v>
      </c>
      <c r="M798" s="588">
        <v>0</v>
      </c>
      <c r="N798" s="588">
        <v>15</v>
      </c>
      <c r="O798" s="588">
        <v>0</v>
      </c>
      <c r="P798" s="588">
        <v>34</v>
      </c>
      <c r="Q798" s="588">
        <v>11</v>
      </c>
      <c r="R798" s="588">
        <v>61</v>
      </c>
      <c r="S798" s="588">
        <v>11</v>
      </c>
      <c r="T798" s="588">
        <v>2016</v>
      </c>
      <c r="U798" s="588">
        <v>2013</v>
      </c>
      <c r="V798" s="589"/>
      <c r="W798" s="589"/>
      <c r="X798" s="589"/>
      <c r="Y798" s="589"/>
      <c r="Z798" s="589"/>
      <c r="AA798" s="589"/>
      <c r="AB798" s="589"/>
      <c r="AC798" s="589"/>
      <c r="AD798" s="589"/>
      <c r="AE798" s="589"/>
      <c r="AF798" s="589"/>
      <c r="AG798" s="589"/>
      <c r="AH798" s="589"/>
      <c r="AI798" s="589"/>
      <c r="AJ798" s="589"/>
      <c r="AK798" s="589"/>
      <c r="AL798" s="589"/>
      <c r="AM798" s="589"/>
      <c r="AN798" s="589"/>
      <c r="AO798" s="589"/>
      <c r="AP798" s="589"/>
      <c r="AQ798" s="589"/>
      <c r="AR798" s="589"/>
      <c r="AS798" s="589"/>
    </row>
    <row r="799" spans="1:45" ht="15">
      <c r="A799" s="590" t="s">
        <v>138</v>
      </c>
      <c r="B799" s="591" t="s">
        <v>286</v>
      </c>
      <c r="C799" s="591" t="s">
        <v>784</v>
      </c>
      <c r="D799" s="592">
        <v>2016</v>
      </c>
      <c r="E799" s="591" t="s">
        <v>775</v>
      </c>
      <c r="F799" s="592">
        <v>60</v>
      </c>
      <c r="G799" s="592">
        <v>3</v>
      </c>
      <c r="H799" s="592">
        <v>0</v>
      </c>
      <c r="I799" s="592">
        <v>3</v>
      </c>
      <c r="J799" s="592">
        <v>37</v>
      </c>
      <c r="K799" s="592">
        <v>0</v>
      </c>
      <c r="L799" s="592">
        <v>0</v>
      </c>
      <c r="M799" s="592">
        <v>0</v>
      </c>
      <c r="N799" s="593">
        <v>30</v>
      </c>
      <c r="O799" s="593">
        <v>4</v>
      </c>
      <c r="P799" s="593">
        <v>106</v>
      </c>
      <c r="Q799" s="593">
        <v>17</v>
      </c>
      <c r="R799" s="593">
        <v>233</v>
      </c>
      <c r="S799" s="593">
        <v>24</v>
      </c>
      <c r="T799" s="593">
        <v>2016</v>
      </c>
      <c r="U799" s="593">
        <v>2014</v>
      </c>
      <c r="V799" s="589"/>
      <c r="W799" s="589"/>
      <c r="X799" s="589"/>
      <c r="Y799" s="589"/>
      <c r="Z799" s="589"/>
      <c r="AA799" s="589"/>
      <c r="AB799" s="589"/>
      <c r="AC799" s="589"/>
      <c r="AD799" s="589"/>
      <c r="AE799" s="589"/>
      <c r="AF799" s="589"/>
      <c r="AG799" s="589"/>
      <c r="AH799" s="589"/>
      <c r="AI799" s="589"/>
      <c r="AJ799" s="589"/>
      <c r="AK799" s="589"/>
      <c r="AL799" s="589"/>
      <c r="AM799" s="589"/>
      <c r="AN799" s="589"/>
      <c r="AO799" s="589"/>
      <c r="AP799" s="589"/>
      <c r="AQ799" s="589"/>
      <c r="AR799" s="589"/>
      <c r="AS799" s="589"/>
    </row>
    <row r="800" spans="1:45" ht="15">
      <c r="A800" s="587" t="s">
        <v>148</v>
      </c>
      <c r="B800" s="587" t="s">
        <v>327</v>
      </c>
      <c r="C800" s="587" t="s">
        <v>177</v>
      </c>
      <c r="D800" s="588">
        <v>2016</v>
      </c>
      <c r="E800" s="587" t="s">
        <v>775</v>
      </c>
      <c r="F800" s="588">
        <v>396</v>
      </c>
      <c r="G800" s="588">
        <v>0</v>
      </c>
      <c r="H800" s="588">
        <v>0</v>
      </c>
      <c r="I800" s="588">
        <v>0</v>
      </c>
      <c r="J800" s="588">
        <v>277</v>
      </c>
      <c r="K800" s="588">
        <v>0</v>
      </c>
      <c r="L800" s="588">
        <v>0</v>
      </c>
      <c r="M800" s="588">
        <v>0</v>
      </c>
      <c r="N800" s="588">
        <v>243</v>
      </c>
      <c r="O800" s="588">
        <v>44</v>
      </c>
      <c r="P800" s="588">
        <v>546</v>
      </c>
      <c r="Q800" s="588">
        <v>1</v>
      </c>
      <c r="R800" s="588">
        <v>1462</v>
      </c>
      <c r="S800" s="588">
        <v>45</v>
      </c>
      <c r="T800" s="588">
        <v>2016</v>
      </c>
      <c r="U800" s="588">
        <v>2016</v>
      </c>
      <c r="V800" s="589"/>
      <c r="W800" s="589"/>
      <c r="X800" s="589"/>
      <c r="Y800" s="589"/>
      <c r="Z800" s="589"/>
      <c r="AA800" s="589"/>
      <c r="AB800" s="589"/>
      <c r="AC800" s="589"/>
      <c r="AD800" s="589"/>
      <c r="AE800" s="589"/>
      <c r="AF800" s="589"/>
      <c r="AG800" s="589"/>
      <c r="AH800" s="589"/>
      <c r="AI800" s="589"/>
      <c r="AJ800" s="589"/>
      <c r="AK800" s="589"/>
      <c r="AL800" s="589"/>
      <c r="AM800" s="589"/>
      <c r="AN800" s="589"/>
      <c r="AO800" s="589"/>
      <c r="AP800" s="589"/>
      <c r="AQ800" s="589"/>
      <c r="AR800" s="589"/>
      <c r="AS800" s="589"/>
    </row>
    <row r="801" spans="1:45" ht="15">
      <c r="A801" s="590" t="s">
        <v>153</v>
      </c>
      <c r="B801" s="591" t="s">
        <v>368</v>
      </c>
      <c r="C801" s="591" t="s">
        <v>812</v>
      </c>
      <c r="D801" s="592">
        <v>2016</v>
      </c>
      <c r="E801" s="591" t="s">
        <v>775</v>
      </c>
      <c r="F801" s="592">
        <v>308</v>
      </c>
      <c r="G801" s="592">
        <v>0</v>
      </c>
      <c r="H801" s="592">
        <v>0</v>
      </c>
      <c r="I801" s="592">
        <v>0</v>
      </c>
      <c r="J801" s="592">
        <v>182</v>
      </c>
      <c r="K801" s="592">
        <v>0</v>
      </c>
      <c r="L801" s="592">
        <v>0</v>
      </c>
      <c r="M801" s="592">
        <v>0</v>
      </c>
      <c r="N801" s="593">
        <v>190</v>
      </c>
      <c r="O801" s="593">
        <v>0</v>
      </c>
      <c r="P801" s="593">
        <v>466</v>
      </c>
      <c r="Q801" s="593">
        <v>15</v>
      </c>
      <c r="R801" s="593">
        <v>1146</v>
      </c>
      <c r="S801" s="593">
        <v>15</v>
      </c>
      <c r="T801" s="593">
        <v>2016</v>
      </c>
      <c r="U801" s="593">
        <v>2014</v>
      </c>
      <c r="V801" s="589"/>
      <c r="W801" s="589"/>
      <c r="X801" s="589"/>
      <c r="Y801" s="589"/>
      <c r="Z801" s="589"/>
      <c r="AA801" s="589"/>
      <c r="AB801" s="589"/>
      <c r="AC801" s="589"/>
      <c r="AD801" s="589"/>
      <c r="AE801" s="589"/>
      <c r="AF801" s="589"/>
      <c r="AG801" s="589"/>
      <c r="AH801" s="589"/>
      <c r="AI801" s="589"/>
      <c r="AJ801" s="589"/>
      <c r="AK801" s="589"/>
      <c r="AL801" s="589"/>
      <c r="AM801" s="589"/>
      <c r="AN801" s="589"/>
      <c r="AO801" s="589"/>
      <c r="AP801" s="589"/>
      <c r="AQ801" s="589"/>
      <c r="AR801" s="589"/>
      <c r="AS801" s="589"/>
    </row>
    <row r="802" spans="1:45" ht="15">
      <c r="A802" s="587" t="s">
        <v>199</v>
      </c>
      <c r="B802" s="587" t="s">
        <v>720</v>
      </c>
      <c r="C802" s="587" t="s">
        <v>177</v>
      </c>
      <c r="D802" s="588">
        <v>2016</v>
      </c>
      <c r="E802" s="587" t="s">
        <v>775</v>
      </c>
      <c r="F802" s="588">
        <v>211</v>
      </c>
      <c r="G802" s="588">
        <v>0</v>
      </c>
      <c r="H802" s="588">
        <v>0</v>
      </c>
      <c r="I802" s="588">
        <v>0</v>
      </c>
      <c r="J802" s="588">
        <v>163</v>
      </c>
      <c r="K802" s="588">
        <v>9</v>
      </c>
      <c r="L802" s="588">
        <v>0</v>
      </c>
      <c r="M802" s="588">
        <v>9</v>
      </c>
      <c r="N802" s="588">
        <v>121</v>
      </c>
      <c r="O802" s="588">
        <v>12</v>
      </c>
      <c r="P802" s="588">
        <v>470</v>
      </c>
      <c r="Q802" s="588">
        <v>0</v>
      </c>
      <c r="R802" s="588">
        <v>965</v>
      </c>
      <c r="S802" s="588">
        <v>21</v>
      </c>
      <c r="T802" s="588">
        <v>2016</v>
      </c>
      <c r="U802" s="588">
        <v>2016</v>
      </c>
      <c r="V802" s="589"/>
      <c r="W802" s="589"/>
      <c r="X802" s="589"/>
      <c r="Y802" s="589"/>
      <c r="Z802" s="589"/>
      <c r="AA802" s="589"/>
      <c r="AB802" s="589"/>
      <c r="AC802" s="589"/>
      <c r="AD802" s="589"/>
      <c r="AE802" s="589"/>
      <c r="AF802" s="589"/>
      <c r="AG802" s="589"/>
      <c r="AH802" s="589"/>
      <c r="AI802" s="589"/>
      <c r="AJ802" s="589"/>
      <c r="AK802" s="589"/>
      <c r="AL802" s="589"/>
      <c r="AM802" s="589"/>
      <c r="AN802" s="589"/>
      <c r="AO802" s="589"/>
      <c r="AP802" s="589"/>
      <c r="AQ802" s="589"/>
      <c r="AR802" s="589"/>
      <c r="AS802" s="589"/>
    </row>
    <row r="803" spans="1:45" ht="15">
      <c r="A803" s="590" t="s">
        <v>192</v>
      </c>
      <c r="B803" s="591" t="s">
        <v>687</v>
      </c>
      <c r="C803" s="591" t="s">
        <v>774</v>
      </c>
      <c r="D803" s="592">
        <v>2016</v>
      </c>
      <c r="E803" s="591" t="s">
        <v>775</v>
      </c>
      <c r="F803" s="592">
        <v>50</v>
      </c>
      <c r="G803" s="592">
        <v>0</v>
      </c>
      <c r="H803" s="592">
        <v>0</v>
      </c>
      <c r="I803" s="592">
        <v>0</v>
      </c>
      <c r="J803" s="592">
        <v>24</v>
      </c>
      <c r="K803" s="592">
        <v>54</v>
      </c>
      <c r="L803" s="592">
        <v>54</v>
      </c>
      <c r="M803" s="592">
        <v>0</v>
      </c>
      <c r="N803" s="593">
        <v>30</v>
      </c>
      <c r="O803" s="593">
        <v>0</v>
      </c>
      <c r="P803" s="593">
        <v>93</v>
      </c>
      <c r="Q803" s="593">
        <v>43</v>
      </c>
      <c r="R803" s="593">
        <v>197</v>
      </c>
      <c r="S803" s="593">
        <v>97</v>
      </c>
      <c r="T803" s="593">
        <v>2016</v>
      </c>
      <c r="U803" s="593">
        <v>2015</v>
      </c>
      <c r="V803" s="589"/>
      <c r="W803" s="589"/>
      <c r="X803" s="589"/>
      <c r="Y803" s="589"/>
      <c r="Z803" s="589"/>
      <c r="AA803" s="589"/>
      <c r="AB803" s="589"/>
      <c r="AC803" s="589"/>
      <c r="AD803" s="589"/>
      <c r="AE803" s="589"/>
      <c r="AF803" s="589"/>
      <c r="AG803" s="589"/>
      <c r="AH803" s="589"/>
      <c r="AI803" s="589"/>
      <c r="AJ803" s="589"/>
      <c r="AK803" s="589"/>
      <c r="AL803" s="589"/>
      <c r="AM803" s="589"/>
      <c r="AN803" s="589"/>
      <c r="AO803" s="589"/>
      <c r="AP803" s="589"/>
      <c r="AQ803" s="589"/>
      <c r="AR803" s="589"/>
      <c r="AS803" s="589"/>
    </row>
    <row r="804" spans="1:45" ht="15">
      <c r="A804" s="587" t="s">
        <v>153</v>
      </c>
      <c r="B804" s="587" t="s">
        <v>369</v>
      </c>
      <c r="C804" s="587" t="s">
        <v>812</v>
      </c>
      <c r="D804" s="588">
        <v>2016</v>
      </c>
      <c r="E804" s="587" t="s">
        <v>775</v>
      </c>
      <c r="F804" s="588">
        <v>210</v>
      </c>
      <c r="G804" s="588">
        <v>0</v>
      </c>
      <c r="H804" s="588">
        <v>0</v>
      </c>
      <c r="I804" s="588">
        <v>0</v>
      </c>
      <c r="J804" s="588">
        <v>123</v>
      </c>
      <c r="K804" s="588">
        <v>6</v>
      </c>
      <c r="L804" s="588">
        <v>6</v>
      </c>
      <c r="M804" s="588">
        <v>0</v>
      </c>
      <c r="N804" s="588">
        <v>135</v>
      </c>
      <c r="O804" s="588">
        <v>0</v>
      </c>
      <c r="P804" s="588">
        <v>346</v>
      </c>
      <c r="Q804" s="588">
        <v>44</v>
      </c>
      <c r="R804" s="588">
        <v>814</v>
      </c>
      <c r="S804" s="588">
        <v>50</v>
      </c>
      <c r="T804" s="588">
        <v>2016</v>
      </c>
      <c r="U804" s="588">
        <v>2014</v>
      </c>
      <c r="V804" s="589"/>
      <c r="W804" s="589"/>
      <c r="X804" s="589"/>
      <c r="Y804" s="589"/>
      <c r="Z804" s="589"/>
      <c r="AA804" s="589"/>
      <c r="AB804" s="589"/>
      <c r="AC804" s="589"/>
      <c r="AD804" s="589"/>
      <c r="AE804" s="589"/>
      <c r="AF804" s="589"/>
      <c r="AG804" s="589"/>
      <c r="AH804" s="589"/>
      <c r="AI804" s="589"/>
      <c r="AJ804" s="589"/>
      <c r="AK804" s="589"/>
      <c r="AL804" s="589"/>
      <c r="AM804" s="589"/>
      <c r="AN804" s="589"/>
      <c r="AO804" s="589"/>
      <c r="AP804" s="589"/>
      <c r="AQ804" s="589"/>
      <c r="AR804" s="589"/>
      <c r="AS804" s="589"/>
    </row>
    <row r="805" spans="1:45" ht="15">
      <c r="A805" s="590" t="s">
        <v>153</v>
      </c>
      <c r="B805" s="591" t="s">
        <v>370</v>
      </c>
      <c r="C805" s="591" t="s">
        <v>812</v>
      </c>
      <c r="D805" s="592">
        <v>2016</v>
      </c>
      <c r="E805" s="591" t="s">
        <v>775</v>
      </c>
      <c r="F805" s="592">
        <v>87</v>
      </c>
      <c r="G805" s="592">
        <v>0</v>
      </c>
      <c r="H805" s="592">
        <v>0</v>
      </c>
      <c r="I805" s="592">
        <v>0</v>
      </c>
      <c r="J805" s="592">
        <v>53</v>
      </c>
      <c r="K805" s="592">
        <v>0</v>
      </c>
      <c r="L805" s="592">
        <v>0</v>
      </c>
      <c r="M805" s="592">
        <v>0</v>
      </c>
      <c r="N805" s="593">
        <v>55</v>
      </c>
      <c r="O805" s="593">
        <v>2</v>
      </c>
      <c r="P805" s="593">
        <v>142</v>
      </c>
      <c r="Q805" s="593">
        <v>0</v>
      </c>
      <c r="R805" s="593">
        <v>337</v>
      </c>
      <c r="S805" s="593">
        <v>2</v>
      </c>
      <c r="T805" s="593">
        <v>2016</v>
      </c>
      <c r="U805" s="593">
        <v>2014</v>
      </c>
      <c r="V805" s="589"/>
      <c r="W805" s="589"/>
      <c r="X805" s="589"/>
      <c r="Y805" s="589"/>
      <c r="Z805" s="589"/>
      <c r="AA805" s="589"/>
      <c r="AB805" s="589"/>
      <c r="AC805" s="589"/>
      <c r="AD805" s="589"/>
      <c r="AE805" s="589"/>
      <c r="AF805" s="589"/>
      <c r="AG805" s="589"/>
      <c r="AH805" s="589"/>
      <c r="AI805" s="589"/>
      <c r="AJ805" s="589"/>
      <c r="AK805" s="589"/>
      <c r="AL805" s="589"/>
      <c r="AM805" s="589"/>
      <c r="AN805" s="589"/>
      <c r="AO805" s="589"/>
      <c r="AP805" s="589"/>
      <c r="AQ805" s="589"/>
      <c r="AR805" s="589"/>
      <c r="AS805" s="589"/>
    </row>
    <row r="806" spans="1:45" ht="15">
      <c r="A806" s="587" t="s">
        <v>125</v>
      </c>
      <c r="B806" s="587" t="s">
        <v>236</v>
      </c>
      <c r="C806" s="587" t="s">
        <v>774</v>
      </c>
      <c r="D806" s="588">
        <v>2016</v>
      </c>
      <c r="E806" s="587" t="s">
        <v>775</v>
      </c>
      <c r="F806" s="588">
        <v>796</v>
      </c>
      <c r="G806" s="588">
        <v>0</v>
      </c>
      <c r="H806" s="588">
        <v>0</v>
      </c>
      <c r="I806" s="588">
        <v>0</v>
      </c>
      <c r="J806" s="588">
        <v>446</v>
      </c>
      <c r="K806" s="588">
        <v>0</v>
      </c>
      <c r="L806" s="588">
        <v>0</v>
      </c>
      <c r="M806" s="588">
        <v>0</v>
      </c>
      <c r="N806" s="588">
        <v>425</v>
      </c>
      <c r="O806" s="588">
        <v>2</v>
      </c>
      <c r="P806" s="588">
        <v>618</v>
      </c>
      <c r="Q806" s="588">
        <v>612</v>
      </c>
      <c r="R806" s="588">
        <v>2285</v>
      </c>
      <c r="S806" s="588">
        <v>614</v>
      </c>
      <c r="T806" s="588">
        <v>2016</v>
      </c>
      <c r="U806" s="588">
        <v>2015</v>
      </c>
      <c r="V806" s="589"/>
      <c r="W806" s="589"/>
      <c r="X806" s="589"/>
      <c r="Y806" s="589"/>
      <c r="Z806" s="589"/>
      <c r="AA806" s="589"/>
      <c r="AB806" s="589"/>
      <c r="AC806" s="589"/>
      <c r="AD806" s="589"/>
      <c r="AE806" s="589"/>
      <c r="AF806" s="589"/>
      <c r="AG806" s="589"/>
      <c r="AH806" s="589"/>
      <c r="AI806" s="589"/>
      <c r="AJ806" s="589"/>
      <c r="AK806" s="589"/>
      <c r="AL806" s="589"/>
      <c r="AM806" s="589"/>
      <c r="AN806" s="589"/>
      <c r="AO806" s="589"/>
      <c r="AP806" s="589"/>
      <c r="AQ806" s="589"/>
      <c r="AR806" s="589"/>
      <c r="AS806" s="589"/>
    </row>
    <row r="807" spans="1:45" ht="15">
      <c r="A807" s="590" t="s">
        <v>191</v>
      </c>
      <c r="B807" s="591" t="s">
        <v>677</v>
      </c>
      <c r="C807" s="591" t="s">
        <v>784</v>
      </c>
      <c r="D807" s="592">
        <v>2016</v>
      </c>
      <c r="E807" s="591" t="s">
        <v>775</v>
      </c>
      <c r="F807" s="592">
        <v>6</v>
      </c>
      <c r="G807" s="592">
        <v>0</v>
      </c>
      <c r="H807" s="592">
        <v>0</v>
      </c>
      <c r="I807" s="592">
        <v>0</v>
      </c>
      <c r="J807" s="592">
        <v>4</v>
      </c>
      <c r="K807" s="592">
        <v>0</v>
      </c>
      <c r="L807" s="592">
        <v>0</v>
      </c>
      <c r="M807" s="592">
        <v>0</v>
      </c>
      <c r="N807" s="593">
        <v>4</v>
      </c>
      <c r="O807" s="593">
        <v>0</v>
      </c>
      <c r="P807" s="593">
        <v>9</v>
      </c>
      <c r="Q807" s="593">
        <v>1</v>
      </c>
      <c r="R807" s="593">
        <v>23</v>
      </c>
      <c r="S807" s="593">
        <v>1</v>
      </c>
      <c r="T807" s="593">
        <v>2016</v>
      </c>
      <c r="U807" s="593">
        <v>2014</v>
      </c>
      <c r="V807" s="589"/>
      <c r="W807" s="589"/>
      <c r="X807" s="589"/>
      <c r="Y807" s="589"/>
      <c r="Z807" s="589"/>
      <c r="AA807" s="589"/>
      <c r="AB807" s="589"/>
      <c r="AC807" s="589"/>
      <c r="AD807" s="589"/>
      <c r="AE807" s="589"/>
      <c r="AF807" s="589"/>
      <c r="AG807" s="589"/>
      <c r="AH807" s="589"/>
      <c r="AI807" s="589"/>
      <c r="AJ807" s="589"/>
      <c r="AK807" s="589"/>
      <c r="AL807" s="589"/>
      <c r="AM807" s="589"/>
      <c r="AN807" s="589"/>
      <c r="AO807" s="589"/>
      <c r="AP807" s="589"/>
      <c r="AQ807" s="589"/>
      <c r="AR807" s="589"/>
      <c r="AS807" s="589"/>
    </row>
    <row r="808" spans="1:45" ht="15">
      <c r="A808" s="587" t="s">
        <v>184</v>
      </c>
      <c r="B808" s="587" t="s">
        <v>629</v>
      </c>
      <c r="C808" s="587" t="s">
        <v>774</v>
      </c>
      <c r="D808" s="588">
        <v>2016</v>
      </c>
      <c r="E808" s="587" t="s">
        <v>775</v>
      </c>
      <c r="F808" s="588">
        <v>64</v>
      </c>
      <c r="G808" s="588">
        <v>0</v>
      </c>
      <c r="H808" s="588">
        <v>0</v>
      </c>
      <c r="I808" s="588">
        <v>0</v>
      </c>
      <c r="J808" s="588">
        <v>54</v>
      </c>
      <c r="K808" s="588">
        <v>0</v>
      </c>
      <c r="L808" s="588">
        <v>0</v>
      </c>
      <c r="M808" s="588">
        <v>0</v>
      </c>
      <c r="N808" s="588">
        <v>83</v>
      </c>
      <c r="O808" s="588">
        <v>33</v>
      </c>
      <c r="P808" s="588">
        <v>266</v>
      </c>
      <c r="Q808" s="588">
        <v>0</v>
      </c>
      <c r="R808" s="588">
        <v>467</v>
      </c>
      <c r="S808" s="588">
        <v>33</v>
      </c>
      <c r="T808" s="588">
        <v>2016</v>
      </c>
      <c r="U808" s="588">
        <v>2015</v>
      </c>
      <c r="V808" s="589"/>
      <c r="W808" s="589"/>
      <c r="X808" s="589"/>
      <c r="Y808" s="589"/>
      <c r="Z808" s="589"/>
      <c r="AA808" s="589"/>
      <c r="AB808" s="589"/>
      <c r="AC808" s="589"/>
      <c r="AD808" s="589"/>
      <c r="AE808" s="589"/>
      <c r="AF808" s="589"/>
      <c r="AG808" s="589"/>
      <c r="AH808" s="589"/>
      <c r="AI808" s="589"/>
      <c r="AJ808" s="589"/>
      <c r="AK808" s="589"/>
      <c r="AL808" s="589"/>
      <c r="AM808" s="589"/>
      <c r="AN808" s="589"/>
      <c r="AO808" s="589"/>
      <c r="AP808" s="589"/>
      <c r="AQ808" s="589"/>
      <c r="AR808" s="589"/>
      <c r="AS808" s="589"/>
    </row>
    <row r="809" spans="1:45" ht="15">
      <c r="A809" s="590" t="s">
        <v>173</v>
      </c>
      <c r="B809" s="591" t="s">
        <v>537</v>
      </c>
      <c r="C809" s="591" t="s">
        <v>812</v>
      </c>
      <c r="D809" s="592">
        <v>2016</v>
      </c>
      <c r="E809" s="591" t="s">
        <v>775</v>
      </c>
      <c r="F809" s="592">
        <v>374</v>
      </c>
      <c r="G809" s="592">
        <v>0</v>
      </c>
      <c r="H809" s="592">
        <v>0</v>
      </c>
      <c r="I809" s="592">
        <v>0</v>
      </c>
      <c r="J809" s="592">
        <v>250</v>
      </c>
      <c r="K809" s="592">
        <v>0</v>
      </c>
      <c r="L809" s="592">
        <v>0</v>
      </c>
      <c r="M809" s="592">
        <v>0</v>
      </c>
      <c r="N809" s="593">
        <v>274</v>
      </c>
      <c r="O809" s="593">
        <v>0</v>
      </c>
      <c r="P809" s="593">
        <v>565</v>
      </c>
      <c r="Q809" s="593">
        <v>515</v>
      </c>
      <c r="R809" s="593">
        <v>1463</v>
      </c>
      <c r="S809" s="593">
        <v>515</v>
      </c>
      <c r="T809" s="593">
        <v>2016</v>
      </c>
      <c r="U809" s="593">
        <v>2014</v>
      </c>
      <c r="V809" s="589"/>
      <c r="W809" s="589"/>
      <c r="X809" s="589"/>
      <c r="Y809" s="589"/>
      <c r="Z809" s="589"/>
      <c r="AA809" s="589"/>
      <c r="AB809" s="589"/>
      <c r="AC809" s="589"/>
      <c r="AD809" s="589"/>
      <c r="AE809" s="589"/>
      <c r="AF809" s="589"/>
      <c r="AG809" s="589"/>
      <c r="AH809" s="589"/>
      <c r="AI809" s="589"/>
      <c r="AJ809" s="589"/>
      <c r="AK809" s="589"/>
      <c r="AL809" s="589"/>
      <c r="AM809" s="589"/>
      <c r="AN809" s="589"/>
      <c r="AO809" s="589"/>
      <c r="AP809" s="589"/>
      <c r="AQ809" s="589"/>
      <c r="AR809" s="589"/>
      <c r="AS809" s="589"/>
    </row>
    <row r="810" spans="1:45" ht="15">
      <c r="A810" s="587" t="s">
        <v>179</v>
      </c>
      <c r="B810" s="587" t="s">
        <v>594</v>
      </c>
      <c r="C810" s="587" t="s">
        <v>855</v>
      </c>
      <c r="D810" s="588">
        <v>2016</v>
      </c>
      <c r="E810" s="587" t="s">
        <v>775</v>
      </c>
      <c r="F810" s="588">
        <v>1448</v>
      </c>
      <c r="G810" s="588">
        <v>0</v>
      </c>
      <c r="H810" s="588">
        <v>0</v>
      </c>
      <c r="I810" s="588">
        <v>0</v>
      </c>
      <c r="J810" s="588">
        <v>1101</v>
      </c>
      <c r="K810" s="588">
        <v>6</v>
      </c>
      <c r="L810" s="588">
        <v>6</v>
      </c>
      <c r="M810" s="588">
        <v>0</v>
      </c>
      <c r="N810" s="588">
        <v>1019</v>
      </c>
      <c r="O810" s="588">
        <v>0</v>
      </c>
      <c r="P810" s="588">
        <v>2237</v>
      </c>
      <c r="Q810" s="588">
        <v>78</v>
      </c>
      <c r="R810" s="588">
        <v>5805</v>
      </c>
      <c r="S810" s="588">
        <v>84</v>
      </c>
      <c r="T810" s="588">
        <v>2016</v>
      </c>
      <c r="U810" s="588">
        <v>2013</v>
      </c>
      <c r="V810" s="589"/>
      <c r="W810" s="589"/>
      <c r="X810" s="589"/>
      <c r="Y810" s="589"/>
      <c r="Z810" s="589"/>
      <c r="AA810" s="589"/>
      <c r="AB810" s="589"/>
      <c r="AC810" s="589"/>
      <c r="AD810" s="589"/>
      <c r="AE810" s="589"/>
      <c r="AF810" s="589"/>
      <c r="AG810" s="589"/>
      <c r="AH810" s="589"/>
      <c r="AI810" s="589"/>
      <c r="AJ810" s="589"/>
      <c r="AK810" s="589"/>
      <c r="AL810" s="589"/>
      <c r="AM810" s="589"/>
      <c r="AN810" s="589"/>
      <c r="AO810" s="589"/>
      <c r="AP810" s="589"/>
      <c r="AQ810" s="589"/>
      <c r="AR810" s="589"/>
      <c r="AS810" s="589"/>
    </row>
    <row r="811" spans="1:45" ht="15">
      <c r="A811" s="590" t="s">
        <v>146</v>
      </c>
      <c r="B811" s="591" t="s">
        <v>318</v>
      </c>
      <c r="C811" s="591" t="s">
        <v>812</v>
      </c>
      <c r="D811" s="592">
        <v>2016</v>
      </c>
      <c r="E811" s="591" t="s">
        <v>775</v>
      </c>
      <c r="F811" s="592">
        <v>487</v>
      </c>
      <c r="G811" s="592">
        <v>0</v>
      </c>
      <c r="H811" s="592">
        <v>0</v>
      </c>
      <c r="I811" s="592">
        <v>0</v>
      </c>
      <c r="J811" s="592">
        <v>300</v>
      </c>
      <c r="K811" s="592">
        <v>6</v>
      </c>
      <c r="L811" s="592">
        <v>6</v>
      </c>
      <c r="M811" s="592">
        <v>0</v>
      </c>
      <c r="N811" s="593">
        <v>297</v>
      </c>
      <c r="O811" s="593">
        <v>0</v>
      </c>
      <c r="P811" s="593">
        <v>840</v>
      </c>
      <c r="Q811" s="593">
        <v>4</v>
      </c>
      <c r="R811" s="593">
        <v>1924</v>
      </c>
      <c r="S811" s="593">
        <v>10</v>
      </c>
      <c r="T811" s="593">
        <v>2016</v>
      </c>
      <c r="U811" s="593">
        <v>2014</v>
      </c>
      <c r="V811" s="589"/>
      <c r="W811" s="589"/>
      <c r="X811" s="589"/>
      <c r="Y811" s="589"/>
      <c r="Z811" s="589"/>
      <c r="AA811" s="589"/>
      <c r="AB811" s="589"/>
      <c r="AC811" s="589"/>
      <c r="AD811" s="589"/>
      <c r="AE811" s="589"/>
      <c r="AF811" s="589"/>
      <c r="AG811" s="589"/>
      <c r="AH811" s="589"/>
      <c r="AI811" s="589"/>
      <c r="AJ811" s="589"/>
      <c r="AK811" s="589"/>
      <c r="AL811" s="589"/>
      <c r="AM811" s="589"/>
      <c r="AN811" s="589"/>
      <c r="AO811" s="589"/>
      <c r="AP811" s="589"/>
      <c r="AQ811" s="589"/>
      <c r="AR811" s="589"/>
      <c r="AS811" s="589"/>
    </row>
    <row r="812" spans="1:45" ht="15">
      <c r="A812" s="587" t="s">
        <v>136</v>
      </c>
      <c r="B812" s="587" t="s">
        <v>271</v>
      </c>
      <c r="C812" s="587" t="s">
        <v>774</v>
      </c>
      <c r="D812" s="588">
        <v>2016</v>
      </c>
      <c r="E812" s="587" t="s">
        <v>775</v>
      </c>
      <c r="F812" s="588">
        <v>100</v>
      </c>
      <c r="G812" s="588">
        <v>0</v>
      </c>
      <c r="H812" s="588">
        <v>0</v>
      </c>
      <c r="I812" s="588">
        <v>0</v>
      </c>
      <c r="J812" s="588">
        <v>63</v>
      </c>
      <c r="K812" s="588">
        <v>0</v>
      </c>
      <c r="L812" s="588">
        <v>0</v>
      </c>
      <c r="M812" s="588">
        <v>0</v>
      </c>
      <c r="N812" s="588">
        <v>69</v>
      </c>
      <c r="O812" s="588">
        <v>0</v>
      </c>
      <c r="P812" s="588">
        <v>166</v>
      </c>
      <c r="Q812" s="588">
        <v>7</v>
      </c>
      <c r="R812" s="588">
        <v>398</v>
      </c>
      <c r="S812" s="588">
        <v>7</v>
      </c>
      <c r="T812" s="588">
        <v>2016</v>
      </c>
      <c r="U812" s="588">
        <v>2015</v>
      </c>
      <c r="V812" s="589"/>
      <c r="W812" s="589"/>
      <c r="X812" s="589"/>
      <c r="Y812" s="589"/>
      <c r="Z812" s="589"/>
      <c r="AA812" s="589"/>
      <c r="AB812" s="589"/>
      <c r="AC812" s="589"/>
      <c r="AD812" s="589"/>
      <c r="AE812" s="589"/>
      <c r="AF812" s="589"/>
      <c r="AG812" s="589"/>
      <c r="AH812" s="589"/>
      <c r="AI812" s="589"/>
      <c r="AJ812" s="589"/>
      <c r="AK812" s="589"/>
      <c r="AL812" s="589"/>
      <c r="AM812" s="589"/>
      <c r="AN812" s="589"/>
      <c r="AO812" s="589"/>
      <c r="AP812" s="589"/>
      <c r="AQ812" s="589"/>
      <c r="AR812" s="589"/>
      <c r="AS812" s="589"/>
    </row>
    <row r="813" spans="1:45" ht="15">
      <c r="A813" s="590" t="s">
        <v>139</v>
      </c>
      <c r="B813" s="591" t="s">
        <v>287</v>
      </c>
      <c r="C813" s="591" t="s">
        <v>799</v>
      </c>
      <c r="D813" s="592">
        <v>2016</v>
      </c>
      <c r="E813" s="591" t="s">
        <v>775</v>
      </c>
      <c r="F813" s="592">
        <v>1086</v>
      </c>
      <c r="G813" s="592">
        <v>0</v>
      </c>
      <c r="H813" s="592">
        <v>0</v>
      </c>
      <c r="I813" s="592">
        <v>0</v>
      </c>
      <c r="J813" s="592">
        <v>762</v>
      </c>
      <c r="K813" s="592">
        <v>57</v>
      </c>
      <c r="L813" s="592">
        <v>57</v>
      </c>
      <c r="M813" s="592">
        <v>0</v>
      </c>
      <c r="N813" s="593">
        <v>823</v>
      </c>
      <c r="O813" s="593">
        <v>12</v>
      </c>
      <c r="P813" s="593">
        <v>1757</v>
      </c>
      <c r="Q813" s="593">
        <v>656</v>
      </c>
      <c r="R813" s="593">
        <v>4428</v>
      </c>
      <c r="S813" s="593">
        <v>725</v>
      </c>
      <c r="T813" s="593">
        <v>2016</v>
      </c>
      <c r="U813" s="593">
        <v>2014</v>
      </c>
      <c r="V813" s="589"/>
      <c r="W813" s="589"/>
      <c r="X813" s="589"/>
      <c r="Y813" s="589"/>
      <c r="Z813" s="589"/>
      <c r="AA813" s="589"/>
      <c r="AB813" s="589"/>
      <c r="AC813" s="589"/>
      <c r="AD813" s="589"/>
      <c r="AE813" s="589"/>
      <c r="AF813" s="589"/>
      <c r="AG813" s="589"/>
      <c r="AH813" s="589"/>
      <c r="AI813" s="589"/>
      <c r="AJ813" s="589"/>
      <c r="AK813" s="589"/>
      <c r="AL813" s="589"/>
      <c r="AM813" s="589"/>
      <c r="AN813" s="589"/>
      <c r="AO813" s="589"/>
      <c r="AP813" s="589"/>
      <c r="AQ813" s="589"/>
      <c r="AR813" s="589"/>
      <c r="AS813" s="589"/>
    </row>
    <row r="814" spans="1:45" ht="15">
      <c r="A814" s="587" t="s">
        <v>153</v>
      </c>
      <c r="B814" s="587" t="s">
        <v>371</v>
      </c>
      <c r="C814" s="587" t="s">
        <v>812</v>
      </c>
      <c r="D814" s="588">
        <v>2016</v>
      </c>
      <c r="E814" s="587" t="s">
        <v>775</v>
      </c>
      <c r="F814" s="588">
        <v>529</v>
      </c>
      <c r="G814" s="588">
        <v>0</v>
      </c>
      <c r="H814" s="588">
        <v>0</v>
      </c>
      <c r="I814" s="588">
        <v>0</v>
      </c>
      <c r="J814" s="588">
        <v>315</v>
      </c>
      <c r="K814" s="588">
        <v>0</v>
      </c>
      <c r="L814" s="588">
        <v>0</v>
      </c>
      <c r="M814" s="588">
        <v>0</v>
      </c>
      <c r="N814" s="588">
        <v>352</v>
      </c>
      <c r="O814" s="588">
        <v>0</v>
      </c>
      <c r="P814" s="588">
        <v>946</v>
      </c>
      <c r="Q814" s="588">
        <v>35</v>
      </c>
      <c r="R814" s="588">
        <v>2142</v>
      </c>
      <c r="S814" s="588">
        <v>35</v>
      </c>
      <c r="T814" s="588">
        <v>2016</v>
      </c>
      <c r="U814" s="588">
        <v>2014</v>
      </c>
      <c r="V814" s="589"/>
      <c r="W814" s="589"/>
      <c r="X814" s="589"/>
      <c r="Y814" s="589"/>
      <c r="Z814" s="589"/>
      <c r="AA814" s="589"/>
      <c r="AB814" s="589"/>
      <c r="AC814" s="589"/>
      <c r="AD814" s="589"/>
      <c r="AE814" s="589"/>
      <c r="AF814" s="589"/>
      <c r="AG814" s="589"/>
      <c r="AH814" s="589"/>
      <c r="AI814" s="589"/>
      <c r="AJ814" s="589"/>
      <c r="AK814" s="589"/>
      <c r="AL814" s="589"/>
      <c r="AM814" s="589"/>
      <c r="AN814" s="589"/>
      <c r="AO814" s="589"/>
      <c r="AP814" s="589"/>
      <c r="AQ814" s="589"/>
      <c r="AR814" s="589"/>
      <c r="AS814" s="589"/>
    </row>
    <row r="815" spans="1:45" ht="15">
      <c r="A815" s="590" t="s">
        <v>174</v>
      </c>
      <c r="B815" s="591" t="s">
        <v>557</v>
      </c>
      <c r="C815" s="591" t="s">
        <v>799</v>
      </c>
      <c r="D815" s="592">
        <v>2016</v>
      </c>
      <c r="E815" s="591" t="s">
        <v>775</v>
      </c>
      <c r="F815" s="592">
        <v>2035</v>
      </c>
      <c r="G815" s="592">
        <v>0</v>
      </c>
      <c r="H815" s="592">
        <v>0</v>
      </c>
      <c r="I815" s="592">
        <v>0</v>
      </c>
      <c r="J815" s="592">
        <v>1427</v>
      </c>
      <c r="K815" s="592">
        <v>0</v>
      </c>
      <c r="L815" s="592">
        <v>0</v>
      </c>
      <c r="M815" s="592">
        <v>0</v>
      </c>
      <c r="N815" s="593">
        <v>1377</v>
      </c>
      <c r="O815" s="593">
        <v>1</v>
      </c>
      <c r="P815" s="593">
        <v>2563</v>
      </c>
      <c r="Q815" s="593">
        <v>453</v>
      </c>
      <c r="R815" s="593">
        <v>7402</v>
      </c>
      <c r="S815" s="593">
        <v>454</v>
      </c>
      <c r="T815" s="593">
        <v>2016</v>
      </c>
      <c r="U815" s="593">
        <v>2014</v>
      </c>
      <c r="V815" s="589"/>
      <c r="W815" s="589"/>
      <c r="X815" s="589"/>
      <c r="Y815" s="589"/>
      <c r="Z815" s="589"/>
      <c r="AA815" s="589"/>
      <c r="AB815" s="589"/>
      <c r="AC815" s="589"/>
      <c r="AD815" s="589"/>
      <c r="AE815" s="589"/>
      <c r="AF815" s="589"/>
      <c r="AG815" s="589"/>
      <c r="AH815" s="589"/>
      <c r="AI815" s="589"/>
      <c r="AJ815" s="589"/>
      <c r="AK815" s="589"/>
      <c r="AL815" s="589"/>
      <c r="AM815" s="589"/>
      <c r="AN815" s="589"/>
      <c r="AO815" s="589"/>
      <c r="AP815" s="589"/>
      <c r="AQ815" s="589"/>
      <c r="AR815" s="589"/>
      <c r="AS815" s="589"/>
    </row>
    <row r="816" spans="1:45" ht="15">
      <c r="A816" s="587" t="s">
        <v>125</v>
      </c>
      <c r="B816" s="587" t="s">
        <v>237</v>
      </c>
      <c r="C816" s="587" t="s">
        <v>774</v>
      </c>
      <c r="D816" s="588">
        <v>2016</v>
      </c>
      <c r="E816" s="587" t="s">
        <v>775</v>
      </c>
      <c r="F816" s="588">
        <v>276</v>
      </c>
      <c r="G816" s="588">
        <v>0</v>
      </c>
      <c r="H816" s="588">
        <v>0</v>
      </c>
      <c r="I816" s="588">
        <v>0</v>
      </c>
      <c r="J816" s="588">
        <v>211</v>
      </c>
      <c r="K816" s="588">
        <v>0</v>
      </c>
      <c r="L816" s="588">
        <v>0</v>
      </c>
      <c r="M816" s="588">
        <v>0</v>
      </c>
      <c r="N816" s="588">
        <v>259</v>
      </c>
      <c r="O816" s="588">
        <v>0</v>
      </c>
      <c r="P816" s="588">
        <v>752</v>
      </c>
      <c r="Q816" s="588">
        <v>1</v>
      </c>
      <c r="R816" s="588">
        <v>1498</v>
      </c>
      <c r="S816" s="588">
        <v>1</v>
      </c>
      <c r="T816" s="588">
        <v>2016</v>
      </c>
      <c r="U816" s="588">
        <v>2015</v>
      </c>
      <c r="V816" s="589"/>
      <c r="W816" s="589"/>
      <c r="X816" s="589"/>
      <c r="Y816" s="589"/>
      <c r="Z816" s="589"/>
      <c r="AA816" s="589"/>
      <c r="AB816" s="589"/>
      <c r="AC816" s="589"/>
      <c r="AD816" s="589"/>
      <c r="AE816" s="589"/>
      <c r="AF816" s="589"/>
      <c r="AG816" s="589"/>
      <c r="AH816" s="589"/>
      <c r="AI816" s="589"/>
      <c r="AJ816" s="589"/>
      <c r="AK816" s="589"/>
      <c r="AL816" s="589"/>
      <c r="AM816" s="589"/>
      <c r="AN816" s="589"/>
      <c r="AO816" s="589"/>
      <c r="AP816" s="589"/>
      <c r="AQ816" s="589"/>
      <c r="AR816" s="589"/>
      <c r="AS816" s="589"/>
    </row>
    <row r="817" spans="1:45" ht="15">
      <c r="A817" s="590" t="s">
        <v>179</v>
      </c>
      <c r="B817" s="591" t="s">
        <v>595</v>
      </c>
      <c r="C817" s="591" t="s">
        <v>855</v>
      </c>
      <c r="D817" s="592">
        <v>2016</v>
      </c>
      <c r="E817" s="591" t="s">
        <v>775</v>
      </c>
      <c r="F817" s="592">
        <v>587</v>
      </c>
      <c r="G817" s="592">
        <v>0</v>
      </c>
      <c r="H817" s="592">
        <v>0</v>
      </c>
      <c r="I817" s="592">
        <v>0</v>
      </c>
      <c r="J817" s="592">
        <v>446</v>
      </c>
      <c r="K817" s="592">
        <v>2</v>
      </c>
      <c r="L817" s="592">
        <v>2</v>
      </c>
      <c r="M817" s="592">
        <v>0</v>
      </c>
      <c r="N817" s="593">
        <v>413</v>
      </c>
      <c r="O817" s="593">
        <v>1</v>
      </c>
      <c r="P817" s="593">
        <v>907</v>
      </c>
      <c r="Q817" s="593">
        <v>87</v>
      </c>
      <c r="R817" s="593">
        <v>2353</v>
      </c>
      <c r="S817" s="593">
        <v>90</v>
      </c>
      <c r="T817" s="593">
        <v>2016</v>
      </c>
      <c r="U817" s="593">
        <v>2013</v>
      </c>
      <c r="V817" s="589"/>
      <c r="W817" s="589"/>
      <c r="X817" s="589"/>
      <c r="Y817" s="589"/>
      <c r="Z817" s="589"/>
      <c r="AA817" s="589"/>
      <c r="AB817" s="589"/>
      <c r="AC817" s="589"/>
      <c r="AD817" s="589"/>
      <c r="AE817" s="589"/>
      <c r="AF817" s="589"/>
      <c r="AG817" s="589"/>
      <c r="AH817" s="589"/>
      <c r="AI817" s="589"/>
      <c r="AJ817" s="589"/>
      <c r="AK817" s="589"/>
      <c r="AL817" s="589"/>
      <c r="AM817" s="589"/>
      <c r="AN817" s="589"/>
      <c r="AO817" s="589"/>
      <c r="AP817" s="589"/>
      <c r="AQ817" s="589"/>
      <c r="AR817" s="589"/>
      <c r="AS817" s="589"/>
    </row>
    <row r="818" spans="1:45" ht="15">
      <c r="A818" s="587" t="s">
        <v>179</v>
      </c>
      <c r="B818" s="587" t="s">
        <v>596</v>
      </c>
      <c r="C818" s="587" t="s">
        <v>855</v>
      </c>
      <c r="D818" s="588">
        <v>2016</v>
      </c>
      <c r="E818" s="587" t="s">
        <v>775</v>
      </c>
      <c r="F818" s="588">
        <v>1042</v>
      </c>
      <c r="G818" s="588">
        <v>0</v>
      </c>
      <c r="H818" s="588">
        <v>0</v>
      </c>
      <c r="I818" s="588">
        <v>0</v>
      </c>
      <c r="J818" s="588">
        <v>791</v>
      </c>
      <c r="K818" s="588">
        <v>0</v>
      </c>
      <c r="L818" s="588">
        <v>0</v>
      </c>
      <c r="M818" s="588">
        <v>0</v>
      </c>
      <c r="N818" s="588">
        <v>733</v>
      </c>
      <c r="O818" s="588">
        <v>1</v>
      </c>
      <c r="P818" s="588">
        <v>1609</v>
      </c>
      <c r="Q818" s="588">
        <v>163</v>
      </c>
      <c r="R818" s="588">
        <v>4175</v>
      </c>
      <c r="S818" s="588">
        <v>164</v>
      </c>
      <c r="T818" s="588">
        <v>2016</v>
      </c>
      <c r="U818" s="588">
        <v>2013</v>
      </c>
      <c r="V818" s="589"/>
      <c r="W818" s="589"/>
      <c r="X818" s="589"/>
      <c r="Y818" s="589"/>
      <c r="Z818" s="589"/>
      <c r="AA818" s="589"/>
      <c r="AB818" s="589"/>
      <c r="AC818" s="589"/>
      <c r="AD818" s="589"/>
      <c r="AE818" s="589"/>
      <c r="AF818" s="589"/>
      <c r="AG818" s="589"/>
      <c r="AH818" s="589"/>
      <c r="AI818" s="589"/>
      <c r="AJ818" s="589"/>
      <c r="AK818" s="589"/>
      <c r="AL818" s="589"/>
      <c r="AM818" s="589"/>
      <c r="AN818" s="589"/>
      <c r="AO818" s="589"/>
      <c r="AP818" s="589"/>
      <c r="AQ818" s="589"/>
      <c r="AR818" s="589"/>
      <c r="AS818" s="589"/>
    </row>
    <row r="819" spans="1:45" ht="15">
      <c r="A819" s="590" t="s">
        <v>145</v>
      </c>
      <c r="B819" s="591" t="s">
        <v>309</v>
      </c>
      <c r="C819" s="591" t="s">
        <v>784</v>
      </c>
      <c r="D819" s="592">
        <v>2016</v>
      </c>
      <c r="E819" s="591" t="s">
        <v>775</v>
      </c>
      <c r="F819" s="592">
        <v>145</v>
      </c>
      <c r="G819" s="592">
        <v>0</v>
      </c>
      <c r="H819" s="592">
        <v>0</v>
      </c>
      <c r="I819" s="592">
        <v>0</v>
      </c>
      <c r="J819" s="592">
        <v>96</v>
      </c>
      <c r="K819" s="592">
        <v>0</v>
      </c>
      <c r="L819" s="592">
        <v>0</v>
      </c>
      <c r="M819" s="592">
        <v>0</v>
      </c>
      <c r="N819" s="593">
        <v>104</v>
      </c>
      <c r="O819" s="593">
        <v>0</v>
      </c>
      <c r="P819" s="593">
        <v>264</v>
      </c>
      <c r="Q819" s="593">
        <v>4</v>
      </c>
      <c r="R819" s="593">
        <v>609</v>
      </c>
      <c r="S819" s="593">
        <v>4</v>
      </c>
      <c r="T819" s="593">
        <v>2016</v>
      </c>
      <c r="U819" s="593">
        <v>2014</v>
      </c>
      <c r="V819" s="589"/>
      <c r="W819" s="589"/>
      <c r="X819" s="589"/>
      <c r="Y819" s="589"/>
      <c r="Z819" s="589"/>
      <c r="AA819" s="589"/>
      <c r="AB819" s="589"/>
      <c r="AC819" s="589"/>
      <c r="AD819" s="589"/>
      <c r="AE819" s="589"/>
      <c r="AF819" s="589"/>
      <c r="AG819" s="589"/>
      <c r="AH819" s="589"/>
      <c r="AI819" s="589"/>
      <c r="AJ819" s="589"/>
      <c r="AK819" s="589"/>
      <c r="AL819" s="589"/>
      <c r="AM819" s="589"/>
      <c r="AN819" s="589"/>
      <c r="AO819" s="589"/>
      <c r="AP819" s="589"/>
      <c r="AQ819" s="589"/>
      <c r="AR819" s="589"/>
      <c r="AS819" s="589"/>
    </row>
    <row r="820" spans="1:45" ht="15">
      <c r="A820" s="587" t="s">
        <v>157</v>
      </c>
      <c r="B820" s="587" t="s">
        <v>438</v>
      </c>
      <c r="C820" s="587" t="s">
        <v>774</v>
      </c>
      <c r="D820" s="588">
        <v>2016</v>
      </c>
      <c r="E820" s="587" t="s">
        <v>775</v>
      </c>
      <c r="F820" s="588">
        <v>16</v>
      </c>
      <c r="G820" s="588">
        <v>0</v>
      </c>
      <c r="H820" s="588">
        <v>0</v>
      </c>
      <c r="I820" s="588">
        <v>0</v>
      </c>
      <c r="J820" s="588">
        <v>11</v>
      </c>
      <c r="K820" s="588">
        <v>0</v>
      </c>
      <c r="L820" s="588">
        <v>0</v>
      </c>
      <c r="M820" s="588">
        <v>0</v>
      </c>
      <c r="N820" s="588">
        <v>11</v>
      </c>
      <c r="O820" s="588">
        <v>0</v>
      </c>
      <c r="P820" s="588">
        <v>23</v>
      </c>
      <c r="Q820" s="588">
        <v>5</v>
      </c>
      <c r="R820" s="588">
        <v>61</v>
      </c>
      <c r="S820" s="588">
        <v>5</v>
      </c>
      <c r="T820" s="588">
        <v>2016</v>
      </c>
      <c r="U820" s="588">
        <v>2015</v>
      </c>
      <c r="V820" s="589"/>
      <c r="W820" s="589"/>
      <c r="X820" s="589"/>
      <c r="Y820" s="589"/>
      <c r="Z820" s="589"/>
      <c r="AA820" s="589"/>
      <c r="AB820" s="589"/>
      <c r="AC820" s="589"/>
      <c r="AD820" s="589"/>
      <c r="AE820" s="589"/>
      <c r="AF820" s="589"/>
      <c r="AG820" s="589"/>
      <c r="AH820" s="589"/>
      <c r="AI820" s="589"/>
      <c r="AJ820" s="589"/>
      <c r="AK820" s="589"/>
      <c r="AL820" s="589"/>
      <c r="AM820" s="589"/>
      <c r="AN820" s="589"/>
      <c r="AO820" s="589"/>
      <c r="AP820" s="589"/>
      <c r="AQ820" s="589"/>
      <c r="AR820" s="589"/>
      <c r="AS820" s="589"/>
    </row>
    <row r="821" spans="1:45" ht="15">
      <c r="A821" s="590" t="s">
        <v>192</v>
      </c>
      <c r="B821" s="591" t="s">
        <v>688</v>
      </c>
      <c r="C821" s="591" t="s">
        <v>774</v>
      </c>
      <c r="D821" s="592">
        <v>2016</v>
      </c>
      <c r="E821" s="591" t="s">
        <v>775</v>
      </c>
      <c r="F821" s="592">
        <v>779</v>
      </c>
      <c r="G821" s="592">
        <v>0</v>
      </c>
      <c r="H821" s="592">
        <v>0</v>
      </c>
      <c r="I821" s="592">
        <v>0</v>
      </c>
      <c r="J821" s="592">
        <v>404</v>
      </c>
      <c r="K821" s="592">
        <v>0</v>
      </c>
      <c r="L821" s="592">
        <v>0</v>
      </c>
      <c r="M821" s="592">
        <v>0</v>
      </c>
      <c r="N821" s="593">
        <v>456</v>
      </c>
      <c r="O821" s="593">
        <v>63</v>
      </c>
      <c r="P821" s="593">
        <v>1461</v>
      </c>
      <c r="Q821" s="593">
        <v>200</v>
      </c>
      <c r="R821" s="593">
        <v>3100</v>
      </c>
      <c r="S821" s="593">
        <v>263</v>
      </c>
      <c r="T821" s="593">
        <v>2016</v>
      </c>
      <c r="U821" s="593">
        <v>2015</v>
      </c>
      <c r="V821" s="589"/>
      <c r="W821" s="589"/>
      <c r="X821" s="589"/>
      <c r="Y821" s="589"/>
      <c r="Z821" s="589"/>
      <c r="AA821" s="589"/>
      <c r="AB821" s="589"/>
      <c r="AC821" s="589"/>
      <c r="AD821" s="589"/>
      <c r="AE821" s="589"/>
      <c r="AF821" s="589"/>
      <c r="AG821" s="589"/>
      <c r="AH821" s="589"/>
      <c r="AI821" s="589"/>
      <c r="AJ821" s="589"/>
      <c r="AK821" s="589"/>
      <c r="AL821" s="589"/>
      <c r="AM821" s="589"/>
      <c r="AN821" s="589"/>
      <c r="AO821" s="589"/>
      <c r="AP821" s="589"/>
      <c r="AQ821" s="589"/>
      <c r="AR821" s="589"/>
      <c r="AS821" s="589"/>
    </row>
    <row r="822" spans="1:45" ht="15">
      <c r="A822" s="587" t="s">
        <v>199</v>
      </c>
      <c r="B822" s="587" t="s">
        <v>722</v>
      </c>
      <c r="C822" s="587" t="s">
        <v>177</v>
      </c>
      <c r="D822" s="588">
        <v>2016</v>
      </c>
      <c r="E822" s="587" t="s">
        <v>775</v>
      </c>
      <c r="F822" s="588">
        <v>74</v>
      </c>
      <c r="G822" s="588">
        <v>0</v>
      </c>
      <c r="H822" s="588">
        <v>0</v>
      </c>
      <c r="I822" s="588">
        <v>0</v>
      </c>
      <c r="J822" s="588">
        <v>65</v>
      </c>
      <c r="K822" s="588">
        <v>6</v>
      </c>
      <c r="L822" s="588">
        <v>6</v>
      </c>
      <c r="M822" s="588">
        <v>0</v>
      </c>
      <c r="N822" s="588">
        <v>68</v>
      </c>
      <c r="O822" s="588">
        <v>6</v>
      </c>
      <c r="P822" s="588">
        <v>259</v>
      </c>
      <c r="Q822" s="588">
        <v>0</v>
      </c>
      <c r="R822" s="588">
        <v>466</v>
      </c>
      <c r="S822" s="588">
        <v>12</v>
      </c>
      <c r="T822" s="588">
        <v>2016</v>
      </c>
      <c r="U822" s="588">
        <v>2016</v>
      </c>
      <c r="V822" s="589"/>
      <c r="W822" s="589"/>
      <c r="X822" s="589"/>
      <c r="Y822" s="589"/>
      <c r="Z822" s="589"/>
      <c r="AA822" s="589"/>
      <c r="AB822" s="589"/>
      <c r="AC822" s="589"/>
      <c r="AD822" s="589"/>
      <c r="AE822" s="589"/>
      <c r="AF822" s="589"/>
      <c r="AG822" s="589"/>
      <c r="AH822" s="589"/>
      <c r="AI822" s="589"/>
      <c r="AJ822" s="589"/>
      <c r="AK822" s="589"/>
      <c r="AL822" s="589"/>
      <c r="AM822" s="589"/>
      <c r="AN822" s="589"/>
      <c r="AO822" s="589"/>
      <c r="AP822" s="589"/>
      <c r="AQ822" s="589"/>
      <c r="AR822" s="589"/>
      <c r="AS822" s="589"/>
    </row>
    <row r="823" spans="1:45" ht="15">
      <c r="A823" s="590" t="s">
        <v>145</v>
      </c>
      <c r="B823" s="591" t="s">
        <v>310</v>
      </c>
      <c r="C823" s="591" t="s">
        <v>784</v>
      </c>
      <c r="D823" s="592">
        <v>2016</v>
      </c>
      <c r="E823" s="591" t="s">
        <v>775</v>
      </c>
      <c r="F823" s="592">
        <v>6</v>
      </c>
      <c r="G823" s="592">
        <v>0</v>
      </c>
      <c r="H823" s="592">
        <v>0</v>
      </c>
      <c r="I823" s="592">
        <v>0</v>
      </c>
      <c r="J823" s="592">
        <v>3</v>
      </c>
      <c r="K823" s="592">
        <v>0</v>
      </c>
      <c r="L823" s="592">
        <v>0</v>
      </c>
      <c r="M823" s="592">
        <v>0</v>
      </c>
      <c r="N823" s="593">
        <v>4</v>
      </c>
      <c r="O823" s="593">
        <v>0</v>
      </c>
      <c r="P823" s="593">
        <v>8</v>
      </c>
      <c r="Q823" s="593">
        <v>4</v>
      </c>
      <c r="R823" s="593">
        <v>21</v>
      </c>
      <c r="S823" s="593">
        <v>4</v>
      </c>
      <c r="T823" s="593">
        <v>2016</v>
      </c>
      <c r="U823" s="593">
        <v>2014</v>
      </c>
      <c r="V823" s="589"/>
      <c r="W823" s="589"/>
      <c r="X823" s="589"/>
      <c r="Y823" s="589"/>
      <c r="Z823" s="589"/>
      <c r="AA823" s="589"/>
      <c r="AB823" s="589"/>
      <c r="AC823" s="589"/>
      <c r="AD823" s="589"/>
      <c r="AE823" s="589"/>
      <c r="AF823" s="589"/>
      <c r="AG823" s="589"/>
      <c r="AH823" s="589"/>
      <c r="AI823" s="589"/>
      <c r="AJ823" s="589"/>
      <c r="AK823" s="589"/>
      <c r="AL823" s="589"/>
      <c r="AM823" s="589"/>
      <c r="AN823" s="589"/>
      <c r="AO823" s="589"/>
      <c r="AP823" s="589"/>
      <c r="AQ823" s="589"/>
      <c r="AR823" s="589"/>
      <c r="AS823" s="589"/>
    </row>
    <row r="824" spans="1:45" ht="15">
      <c r="A824" s="587" t="s">
        <v>174</v>
      </c>
      <c r="B824" s="587" t="s">
        <v>558</v>
      </c>
      <c r="C824" s="587" t="s">
        <v>799</v>
      </c>
      <c r="D824" s="588">
        <v>2016</v>
      </c>
      <c r="E824" s="587" t="s">
        <v>775</v>
      </c>
      <c r="F824" s="588">
        <v>1218</v>
      </c>
      <c r="G824" s="588">
        <v>0</v>
      </c>
      <c r="H824" s="588">
        <v>0</v>
      </c>
      <c r="I824" s="588">
        <v>0</v>
      </c>
      <c r="J824" s="588">
        <v>854</v>
      </c>
      <c r="K824" s="588">
        <v>0</v>
      </c>
      <c r="L824" s="588">
        <v>0</v>
      </c>
      <c r="M824" s="588">
        <v>0</v>
      </c>
      <c r="N824" s="588">
        <v>862</v>
      </c>
      <c r="O824" s="588">
        <v>74</v>
      </c>
      <c r="P824" s="588">
        <v>1699</v>
      </c>
      <c r="Q824" s="588">
        <v>99</v>
      </c>
      <c r="R824" s="588">
        <v>4633</v>
      </c>
      <c r="S824" s="588">
        <v>173</v>
      </c>
      <c r="T824" s="588">
        <v>2016</v>
      </c>
      <c r="U824" s="588">
        <v>2014</v>
      </c>
      <c r="V824" s="589"/>
      <c r="W824" s="589"/>
      <c r="X824" s="589"/>
      <c r="Y824" s="589"/>
      <c r="Z824" s="589"/>
      <c r="AA824" s="589"/>
      <c r="AB824" s="589"/>
      <c r="AC824" s="589"/>
      <c r="AD824" s="589"/>
      <c r="AE824" s="589"/>
      <c r="AF824" s="589"/>
      <c r="AG824" s="589"/>
      <c r="AH824" s="589"/>
      <c r="AI824" s="589"/>
      <c r="AJ824" s="589"/>
      <c r="AK824" s="589"/>
      <c r="AL824" s="589"/>
      <c r="AM824" s="589"/>
      <c r="AN824" s="589"/>
      <c r="AO824" s="589"/>
      <c r="AP824" s="589"/>
      <c r="AQ824" s="589"/>
      <c r="AR824" s="589"/>
      <c r="AS824" s="589"/>
    </row>
    <row r="825" spans="1:45" ht="15">
      <c r="A825" s="590" t="s">
        <v>178</v>
      </c>
      <c r="B825" s="591" t="s">
        <v>573</v>
      </c>
      <c r="C825" s="591" t="s">
        <v>812</v>
      </c>
      <c r="D825" s="592">
        <v>2016</v>
      </c>
      <c r="E825" s="591" t="s">
        <v>775</v>
      </c>
      <c r="F825" s="592">
        <v>1442</v>
      </c>
      <c r="G825" s="592">
        <v>0</v>
      </c>
      <c r="H825" s="592">
        <v>0</v>
      </c>
      <c r="I825" s="592">
        <v>0</v>
      </c>
      <c r="J825" s="592">
        <v>974</v>
      </c>
      <c r="K825" s="592">
        <v>0</v>
      </c>
      <c r="L825" s="592">
        <v>0</v>
      </c>
      <c r="M825" s="592">
        <v>0</v>
      </c>
      <c r="N825" s="593">
        <v>1090</v>
      </c>
      <c r="O825" s="593">
        <v>0</v>
      </c>
      <c r="P825" s="593">
        <v>2471</v>
      </c>
      <c r="Q825" s="593">
        <v>444</v>
      </c>
      <c r="R825" s="593">
        <v>5977</v>
      </c>
      <c r="S825" s="593">
        <v>444</v>
      </c>
      <c r="T825" s="593">
        <v>2016</v>
      </c>
      <c r="U825" s="593">
        <v>2014</v>
      </c>
      <c r="V825" s="589"/>
      <c r="W825" s="589"/>
      <c r="X825" s="589"/>
      <c r="Y825" s="589"/>
      <c r="Z825" s="589"/>
      <c r="AA825" s="589"/>
      <c r="AB825" s="589"/>
      <c r="AC825" s="589"/>
      <c r="AD825" s="589"/>
      <c r="AE825" s="589"/>
      <c r="AF825" s="589"/>
      <c r="AG825" s="589"/>
      <c r="AH825" s="589"/>
      <c r="AI825" s="589"/>
      <c r="AJ825" s="589"/>
      <c r="AK825" s="589"/>
      <c r="AL825" s="589"/>
      <c r="AM825" s="589"/>
      <c r="AN825" s="589"/>
      <c r="AO825" s="589"/>
      <c r="AP825" s="589"/>
      <c r="AQ825" s="589"/>
      <c r="AR825" s="589"/>
      <c r="AS825" s="589"/>
    </row>
    <row r="826" spans="1:45" ht="15">
      <c r="A826" s="587" t="s">
        <v>184</v>
      </c>
      <c r="B826" s="587" t="s">
        <v>630</v>
      </c>
      <c r="C826" s="587" t="s">
        <v>774</v>
      </c>
      <c r="D826" s="588">
        <v>2016</v>
      </c>
      <c r="E826" s="587" t="s">
        <v>775</v>
      </c>
      <c r="F826" s="588">
        <v>148</v>
      </c>
      <c r="G826" s="588">
        <v>0</v>
      </c>
      <c r="H826" s="588">
        <v>0</v>
      </c>
      <c r="I826" s="588">
        <v>0</v>
      </c>
      <c r="J826" s="588">
        <v>87</v>
      </c>
      <c r="K826" s="588">
        <v>0</v>
      </c>
      <c r="L826" s="588">
        <v>0</v>
      </c>
      <c r="M826" s="588">
        <v>0</v>
      </c>
      <c r="N826" s="588">
        <v>76</v>
      </c>
      <c r="O826" s="588">
        <v>0</v>
      </c>
      <c r="P826" s="588">
        <v>119</v>
      </c>
      <c r="Q826" s="588">
        <v>74</v>
      </c>
      <c r="R826" s="588">
        <v>430</v>
      </c>
      <c r="S826" s="588">
        <v>74</v>
      </c>
      <c r="T826" s="588">
        <v>2016</v>
      </c>
      <c r="U826" s="588">
        <v>2015</v>
      </c>
      <c r="V826" s="589"/>
      <c r="W826" s="589"/>
      <c r="X826" s="589"/>
      <c r="Y826" s="589"/>
      <c r="Z826" s="589"/>
      <c r="AA826" s="589"/>
      <c r="AB826" s="589"/>
      <c r="AC826" s="589"/>
      <c r="AD826" s="589"/>
      <c r="AE826" s="589"/>
      <c r="AF826" s="589"/>
      <c r="AG826" s="589"/>
      <c r="AH826" s="589"/>
      <c r="AI826" s="589"/>
      <c r="AJ826" s="589"/>
      <c r="AK826" s="589"/>
      <c r="AL826" s="589"/>
      <c r="AM826" s="589"/>
      <c r="AN826" s="589"/>
      <c r="AO826" s="589"/>
      <c r="AP826" s="589"/>
      <c r="AQ826" s="589"/>
      <c r="AR826" s="589"/>
      <c r="AS826" s="589"/>
    </row>
    <row r="827" spans="1:45" ht="15">
      <c r="A827" s="590" t="s">
        <v>169</v>
      </c>
      <c r="B827" s="591" t="s">
        <v>492</v>
      </c>
      <c r="C827" s="591" t="s">
        <v>812</v>
      </c>
      <c r="D827" s="592">
        <v>2016</v>
      </c>
      <c r="E827" s="591" t="s">
        <v>775</v>
      </c>
      <c r="F827" s="592">
        <v>83</v>
      </c>
      <c r="G827" s="592">
        <v>0</v>
      </c>
      <c r="H827" s="592">
        <v>0</v>
      </c>
      <c r="I827" s="592">
        <v>0</v>
      </c>
      <c r="J827" s="592">
        <v>59</v>
      </c>
      <c r="K827" s="592">
        <v>0</v>
      </c>
      <c r="L827" s="592">
        <v>0</v>
      </c>
      <c r="M827" s="592">
        <v>0</v>
      </c>
      <c r="N827" s="593">
        <v>65</v>
      </c>
      <c r="O827" s="593">
        <v>0</v>
      </c>
      <c r="P827" s="593">
        <v>151</v>
      </c>
      <c r="Q827" s="593">
        <v>10</v>
      </c>
      <c r="R827" s="593">
        <v>358</v>
      </c>
      <c r="S827" s="593">
        <v>10</v>
      </c>
      <c r="T827" s="593">
        <v>2016</v>
      </c>
      <c r="U827" s="593">
        <v>2014</v>
      </c>
      <c r="V827" s="589"/>
      <c r="W827" s="589"/>
      <c r="X827" s="589"/>
      <c r="Y827" s="589"/>
      <c r="Z827" s="589"/>
      <c r="AA827" s="589"/>
      <c r="AB827" s="589"/>
      <c r="AC827" s="589"/>
      <c r="AD827" s="589"/>
      <c r="AE827" s="589"/>
      <c r="AF827" s="589"/>
      <c r="AG827" s="589"/>
      <c r="AH827" s="589"/>
      <c r="AI827" s="589"/>
      <c r="AJ827" s="589"/>
      <c r="AK827" s="589"/>
      <c r="AL827" s="589"/>
      <c r="AM827" s="589"/>
      <c r="AN827" s="589"/>
      <c r="AO827" s="589"/>
      <c r="AP827" s="589"/>
      <c r="AQ827" s="589"/>
      <c r="AR827" s="589"/>
      <c r="AS827" s="589"/>
    </row>
    <row r="828" spans="1:45" ht="15">
      <c r="A828" s="587" t="s">
        <v>141</v>
      </c>
      <c r="B828" s="587" t="s">
        <v>293</v>
      </c>
      <c r="C828" s="587" t="s">
        <v>177</v>
      </c>
      <c r="D828" s="588">
        <v>2016</v>
      </c>
      <c r="E828" s="587" t="s">
        <v>775</v>
      </c>
      <c r="F828" s="588">
        <v>123</v>
      </c>
      <c r="G828" s="588">
        <v>0</v>
      </c>
      <c r="H828" s="588">
        <v>0</v>
      </c>
      <c r="I828" s="588">
        <v>0</v>
      </c>
      <c r="J828" s="588">
        <v>83</v>
      </c>
      <c r="K828" s="588">
        <v>0</v>
      </c>
      <c r="L828" s="588">
        <v>0</v>
      </c>
      <c r="M828" s="588">
        <v>0</v>
      </c>
      <c r="N828" s="588">
        <v>75</v>
      </c>
      <c r="O828" s="588">
        <v>5</v>
      </c>
      <c r="P828" s="588">
        <v>243</v>
      </c>
      <c r="Q828" s="588">
        <v>64</v>
      </c>
      <c r="R828" s="588">
        <v>524</v>
      </c>
      <c r="S828" s="588">
        <v>69</v>
      </c>
      <c r="T828" s="588">
        <v>2016</v>
      </c>
      <c r="U828" s="588">
        <v>2016</v>
      </c>
      <c r="V828" s="589"/>
      <c r="W828" s="589"/>
      <c r="X828" s="589"/>
      <c r="Y828" s="589"/>
      <c r="Z828" s="589"/>
      <c r="AA828" s="589"/>
      <c r="AB828" s="589"/>
      <c r="AC828" s="589"/>
      <c r="AD828" s="589"/>
      <c r="AE828" s="589"/>
      <c r="AF828" s="589"/>
      <c r="AG828" s="589"/>
      <c r="AH828" s="589"/>
      <c r="AI828" s="589"/>
      <c r="AJ828" s="589"/>
      <c r="AK828" s="589"/>
      <c r="AL828" s="589"/>
      <c r="AM828" s="589"/>
      <c r="AN828" s="589"/>
      <c r="AO828" s="589"/>
      <c r="AP828" s="589"/>
      <c r="AQ828" s="589"/>
      <c r="AR828" s="589"/>
      <c r="AS828" s="589"/>
    </row>
    <row r="829" spans="1:45" ht="15">
      <c r="A829" s="590" t="s">
        <v>125</v>
      </c>
      <c r="B829" s="591" t="s">
        <v>238</v>
      </c>
      <c r="C829" s="591" t="s">
        <v>774</v>
      </c>
      <c r="D829" s="592">
        <v>2016</v>
      </c>
      <c r="E829" s="591" t="s">
        <v>775</v>
      </c>
      <c r="F829" s="592">
        <v>1714</v>
      </c>
      <c r="G829" s="592">
        <v>2</v>
      </c>
      <c r="H829" s="592">
        <v>2</v>
      </c>
      <c r="I829" s="592">
        <v>0</v>
      </c>
      <c r="J829" s="592">
        <v>926</v>
      </c>
      <c r="K829" s="592">
        <v>0</v>
      </c>
      <c r="L829" s="592">
        <v>0</v>
      </c>
      <c r="M829" s="592">
        <v>0</v>
      </c>
      <c r="N829" s="593">
        <v>978</v>
      </c>
      <c r="O829" s="593">
        <v>0</v>
      </c>
      <c r="P829" s="593">
        <v>1837</v>
      </c>
      <c r="Q829" s="593">
        <v>452</v>
      </c>
      <c r="R829" s="593">
        <v>5455</v>
      </c>
      <c r="S829" s="593">
        <v>454</v>
      </c>
      <c r="T829" s="593">
        <v>2016</v>
      </c>
      <c r="U829" s="593">
        <v>2015</v>
      </c>
      <c r="V829" s="589"/>
      <c r="W829" s="589"/>
      <c r="X829" s="589"/>
      <c r="Y829" s="589"/>
      <c r="Z829" s="589"/>
      <c r="AA829" s="589"/>
      <c r="AB829" s="589"/>
      <c r="AC829" s="589"/>
      <c r="AD829" s="589"/>
      <c r="AE829" s="589"/>
      <c r="AF829" s="589"/>
      <c r="AG829" s="589"/>
      <c r="AH829" s="589"/>
      <c r="AI829" s="589"/>
      <c r="AJ829" s="589"/>
      <c r="AK829" s="589"/>
      <c r="AL829" s="589"/>
      <c r="AM829" s="589"/>
      <c r="AN829" s="589"/>
      <c r="AO829" s="589"/>
      <c r="AP829" s="589"/>
      <c r="AQ829" s="589"/>
      <c r="AR829" s="589"/>
      <c r="AS829" s="589"/>
    </row>
    <row r="830" spans="1:45" ht="15">
      <c r="A830" s="587" t="s">
        <v>141</v>
      </c>
      <c r="B830" s="587" t="s">
        <v>141</v>
      </c>
      <c r="C830" s="587" t="s">
        <v>177</v>
      </c>
      <c r="D830" s="588">
        <v>2016</v>
      </c>
      <c r="E830" s="587" t="s">
        <v>775</v>
      </c>
      <c r="F830" s="588">
        <v>5666</v>
      </c>
      <c r="G830" s="588">
        <v>23</v>
      </c>
      <c r="H830" s="588">
        <v>23</v>
      </c>
      <c r="I830" s="588">
        <v>0</v>
      </c>
      <c r="J830" s="588">
        <v>3289</v>
      </c>
      <c r="K830" s="588">
        <v>8</v>
      </c>
      <c r="L830" s="588">
        <v>8</v>
      </c>
      <c r="M830" s="588">
        <v>0</v>
      </c>
      <c r="N830" s="588">
        <v>3571</v>
      </c>
      <c r="O830" s="588">
        <v>334</v>
      </c>
      <c r="P830" s="588">
        <v>11039</v>
      </c>
      <c r="Q830" s="588">
        <v>923</v>
      </c>
      <c r="R830" s="588">
        <v>23565</v>
      </c>
      <c r="S830" s="588">
        <v>1288</v>
      </c>
      <c r="T830" s="588">
        <v>2016</v>
      </c>
      <c r="U830" s="588">
        <v>2016</v>
      </c>
      <c r="V830" s="589"/>
      <c r="W830" s="589"/>
      <c r="X830" s="589"/>
      <c r="Y830" s="589"/>
      <c r="Z830" s="589"/>
      <c r="AA830" s="589"/>
      <c r="AB830" s="589"/>
      <c r="AC830" s="589"/>
      <c r="AD830" s="589"/>
      <c r="AE830" s="589"/>
      <c r="AF830" s="589"/>
      <c r="AG830" s="589"/>
      <c r="AH830" s="589"/>
      <c r="AI830" s="589"/>
      <c r="AJ830" s="589"/>
      <c r="AK830" s="589"/>
      <c r="AL830" s="589"/>
      <c r="AM830" s="589"/>
      <c r="AN830" s="589"/>
      <c r="AO830" s="589"/>
      <c r="AP830" s="589"/>
      <c r="AQ830" s="589"/>
      <c r="AR830" s="589"/>
      <c r="AS830" s="589"/>
    </row>
    <row r="831" spans="1:45" ht="15">
      <c r="A831" s="590" t="s">
        <v>141</v>
      </c>
      <c r="B831" s="591" t="s">
        <v>294</v>
      </c>
      <c r="C831" s="591" t="s">
        <v>177</v>
      </c>
      <c r="D831" s="592">
        <v>2016</v>
      </c>
      <c r="E831" s="591" t="s">
        <v>775</v>
      </c>
      <c r="F831" s="592">
        <v>460</v>
      </c>
      <c r="G831" s="592">
        <v>0</v>
      </c>
      <c r="H831" s="592">
        <v>0</v>
      </c>
      <c r="I831" s="592">
        <v>0</v>
      </c>
      <c r="J831" s="592">
        <v>527</v>
      </c>
      <c r="K831" s="592">
        <v>0</v>
      </c>
      <c r="L831" s="592">
        <v>0</v>
      </c>
      <c r="M831" s="592">
        <v>0</v>
      </c>
      <c r="N831" s="593">
        <v>589</v>
      </c>
      <c r="O831" s="593">
        <v>63</v>
      </c>
      <c r="P831" s="593">
        <v>1146</v>
      </c>
      <c r="Q831" s="593">
        <v>38</v>
      </c>
      <c r="R831" s="593">
        <v>2722</v>
      </c>
      <c r="S831" s="593">
        <v>101</v>
      </c>
      <c r="T831" s="593">
        <v>2016</v>
      </c>
      <c r="U831" s="593">
        <v>2016</v>
      </c>
      <c r="V831" s="589"/>
      <c r="W831" s="589"/>
      <c r="X831" s="589"/>
      <c r="Y831" s="589"/>
      <c r="Z831" s="589"/>
      <c r="AA831" s="589"/>
      <c r="AB831" s="589"/>
      <c r="AC831" s="589"/>
      <c r="AD831" s="589"/>
      <c r="AE831" s="589"/>
      <c r="AF831" s="589"/>
      <c r="AG831" s="589"/>
      <c r="AH831" s="589"/>
      <c r="AI831" s="589"/>
      <c r="AJ831" s="589"/>
      <c r="AK831" s="589"/>
      <c r="AL831" s="589"/>
      <c r="AM831" s="589"/>
      <c r="AN831" s="589"/>
      <c r="AO831" s="589"/>
      <c r="AP831" s="589"/>
      <c r="AQ831" s="589"/>
      <c r="AR831" s="589"/>
      <c r="AS831" s="589"/>
    </row>
    <row r="832" spans="1:45" ht="15">
      <c r="A832" s="587" t="s">
        <v>169</v>
      </c>
      <c r="B832" s="587" t="s">
        <v>493</v>
      </c>
      <c r="C832" s="587" t="s">
        <v>812</v>
      </c>
      <c r="D832" s="588">
        <v>2016</v>
      </c>
      <c r="E832" s="587" t="s">
        <v>775</v>
      </c>
      <c r="F832" s="588">
        <v>411</v>
      </c>
      <c r="G832" s="588">
        <v>191</v>
      </c>
      <c r="H832" s="588">
        <v>43</v>
      </c>
      <c r="I832" s="588">
        <v>148</v>
      </c>
      <c r="J832" s="588">
        <v>299</v>
      </c>
      <c r="K832" s="588">
        <v>97</v>
      </c>
      <c r="L832" s="588">
        <v>97</v>
      </c>
      <c r="M832" s="588">
        <v>0</v>
      </c>
      <c r="N832" s="588">
        <v>337</v>
      </c>
      <c r="O832" s="588">
        <v>1</v>
      </c>
      <c r="P832" s="588">
        <v>794</v>
      </c>
      <c r="Q832" s="588">
        <v>236</v>
      </c>
      <c r="R832" s="588">
        <v>1841</v>
      </c>
      <c r="S832" s="588">
        <v>525</v>
      </c>
      <c r="T832" s="588">
        <v>2016</v>
      </c>
      <c r="U832" s="588">
        <v>2014</v>
      </c>
      <c r="V832" s="589"/>
      <c r="W832" s="589"/>
      <c r="X832" s="589"/>
      <c r="Y832" s="589"/>
      <c r="Z832" s="589"/>
      <c r="AA832" s="589"/>
      <c r="AB832" s="589"/>
      <c r="AC832" s="589"/>
      <c r="AD832" s="589"/>
      <c r="AE832" s="589"/>
      <c r="AF832" s="589"/>
      <c r="AG832" s="589"/>
      <c r="AH832" s="589"/>
      <c r="AI832" s="589"/>
      <c r="AJ832" s="589"/>
      <c r="AK832" s="589"/>
      <c r="AL832" s="589"/>
      <c r="AM832" s="589"/>
      <c r="AN832" s="589"/>
      <c r="AO832" s="589"/>
      <c r="AP832" s="589"/>
      <c r="AQ832" s="589"/>
      <c r="AR832" s="589"/>
      <c r="AS832" s="589"/>
    </row>
    <row r="833" spans="1:45" ht="15">
      <c r="A833" s="590" t="s">
        <v>174</v>
      </c>
      <c r="B833" s="591" t="s">
        <v>559</v>
      </c>
      <c r="C833" s="591" t="s">
        <v>799</v>
      </c>
      <c r="D833" s="592">
        <v>2016</v>
      </c>
      <c r="E833" s="591" t="s">
        <v>775</v>
      </c>
      <c r="F833" s="592">
        <v>131</v>
      </c>
      <c r="G833" s="592">
        <v>0</v>
      </c>
      <c r="H833" s="592">
        <v>0</v>
      </c>
      <c r="I833" s="592">
        <v>0</v>
      </c>
      <c r="J833" s="592">
        <v>91</v>
      </c>
      <c r="K833" s="592">
        <v>0</v>
      </c>
      <c r="L833" s="592">
        <v>0</v>
      </c>
      <c r="M833" s="592">
        <v>0</v>
      </c>
      <c r="N833" s="593">
        <v>126</v>
      </c>
      <c r="O833" s="593">
        <v>0</v>
      </c>
      <c r="P833" s="593">
        <v>331</v>
      </c>
      <c r="Q833" s="593">
        <v>134</v>
      </c>
      <c r="R833" s="593">
        <v>679</v>
      </c>
      <c r="S833" s="593">
        <v>134</v>
      </c>
      <c r="T833" s="593">
        <v>2016</v>
      </c>
      <c r="U833" s="593">
        <v>2014</v>
      </c>
      <c r="V833" s="589"/>
      <c r="W833" s="589"/>
      <c r="X833" s="589"/>
      <c r="Y833" s="589"/>
      <c r="Z833" s="589"/>
      <c r="AA833" s="589"/>
      <c r="AB833" s="589"/>
      <c r="AC833" s="589"/>
      <c r="AD833" s="589"/>
      <c r="AE833" s="589"/>
      <c r="AF833" s="589"/>
      <c r="AG833" s="589"/>
      <c r="AH833" s="589"/>
      <c r="AI833" s="589"/>
      <c r="AJ833" s="589"/>
      <c r="AK833" s="589"/>
      <c r="AL833" s="589"/>
      <c r="AM833" s="589"/>
      <c r="AN833" s="589"/>
      <c r="AO833" s="589"/>
      <c r="AP833" s="589"/>
      <c r="AQ833" s="589"/>
      <c r="AR833" s="589"/>
      <c r="AS833" s="589"/>
    </row>
    <row r="834" spans="1:45" ht="15">
      <c r="A834" s="587" t="s">
        <v>169</v>
      </c>
      <c r="B834" s="587" t="s">
        <v>494</v>
      </c>
      <c r="C834" s="587" t="s">
        <v>812</v>
      </c>
      <c r="D834" s="588">
        <v>2016</v>
      </c>
      <c r="E834" s="587" t="s">
        <v>775</v>
      </c>
      <c r="F834" s="588">
        <v>164</v>
      </c>
      <c r="G834" s="588">
        <v>0</v>
      </c>
      <c r="H834" s="588">
        <v>0</v>
      </c>
      <c r="I834" s="588">
        <v>0</v>
      </c>
      <c r="J834" s="588">
        <v>120</v>
      </c>
      <c r="K834" s="588">
        <v>0</v>
      </c>
      <c r="L834" s="588">
        <v>0</v>
      </c>
      <c r="M834" s="588">
        <v>0</v>
      </c>
      <c r="N834" s="588">
        <v>135</v>
      </c>
      <c r="O834" s="588">
        <v>9</v>
      </c>
      <c r="P834" s="588">
        <v>328</v>
      </c>
      <c r="Q834" s="588">
        <v>10</v>
      </c>
      <c r="R834" s="588">
        <v>747</v>
      </c>
      <c r="S834" s="588">
        <v>19</v>
      </c>
      <c r="T834" s="588">
        <v>2016</v>
      </c>
      <c r="U834" s="588">
        <v>2014</v>
      </c>
      <c r="V834" s="589"/>
      <c r="W834" s="589"/>
      <c r="X834" s="589"/>
      <c r="Y834" s="589"/>
      <c r="Z834" s="589"/>
      <c r="AA834" s="589"/>
      <c r="AB834" s="589"/>
      <c r="AC834" s="589"/>
      <c r="AD834" s="589"/>
      <c r="AE834" s="589"/>
      <c r="AF834" s="589"/>
      <c r="AG834" s="589"/>
      <c r="AH834" s="589"/>
      <c r="AI834" s="589"/>
      <c r="AJ834" s="589"/>
      <c r="AK834" s="589"/>
      <c r="AL834" s="589"/>
      <c r="AM834" s="589"/>
      <c r="AN834" s="589"/>
      <c r="AO834" s="589"/>
      <c r="AP834" s="589"/>
      <c r="AQ834" s="589"/>
      <c r="AR834" s="589"/>
      <c r="AS834" s="589"/>
    </row>
    <row r="835" spans="1:45" ht="15">
      <c r="A835" s="590" t="s">
        <v>153</v>
      </c>
      <c r="B835" s="591" t="s">
        <v>373</v>
      </c>
      <c r="C835" s="591" t="s">
        <v>812</v>
      </c>
      <c r="D835" s="592">
        <v>2016</v>
      </c>
      <c r="E835" s="591" t="s">
        <v>775</v>
      </c>
      <c r="F835" s="592">
        <v>98</v>
      </c>
      <c r="G835" s="592">
        <v>0</v>
      </c>
      <c r="H835" s="592">
        <v>0</v>
      </c>
      <c r="I835" s="592">
        <v>0</v>
      </c>
      <c r="J835" s="592">
        <v>60</v>
      </c>
      <c r="K835" s="592">
        <v>0</v>
      </c>
      <c r="L835" s="592">
        <v>0</v>
      </c>
      <c r="M835" s="592">
        <v>0</v>
      </c>
      <c r="N835" s="593">
        <v>66</v>
      </c>
      <c r="O835" s="593">
        <v>28</v>
      </c>
      <c r="P835" s="593">
        <v>173</v>
      </c>
      <c r="Q835" s="593">
        <v>74</v>
      </c>
      <c r="R835" s="593">
        <v>397</v>
      </c>
      <c r="S835" s="593">
        <v>102</v>
      </c>
      <c r="T835" s="593">
        <v>2016</v>
      </c>
      <c r="U835" s="593">
        <v>2014</v>
      </c>
      <c r="V835" s="589"/>
      <c r="W835" s="589"/>
      <c r="X835" s="589"/>
      <c r="Y835" s="589"/>
      <c r="Z835" s="589"/>
      <c r="AA835" s="589"/>
      <c r="AB835" s="589"/>
      <c r="AC835" s="589"/>
      <c r="AD835" s="589"/>
      <c r="AE835" s="589"/>
      <c r="AF835" s="589"/>
      <c r="AG835" s="589"/>
      <c r="AH835" s="589"/>
      <c r="AI835" s="589"/>
      <c r="AJ835" s="589"/>
      <c r="AK835" s="589"/>
      <c r="AL835" s="589"/>
      <c r="AM835" s="589"/>
      <c r="AN835" s="589"/>
      <c r="AO835" s="589"/>
      <c r="AP835" s="589"/>
      <c r="AQ835" s="589"/>
      <c r="AR835" s="589"/>
      <c r="AS835" s="589"/>
    </row>
    <row r="836" spans="1:45" ht="15">
      <c r="A836" s="587" t="s">
        <v>187</v>
      </c>
      <c r="B836" s="587" t="s">
        <v>653</v>
      </c>
      <c r="C836" s="587" t="s">
        <v>774</v>
      </c>
      <c r="D836" s="588">
        <v>2016</v>
      </c>
      <c r="E836" s="587" t="s">
        <v>775</v>
      </c>
      <c r="F836" s="588">
        <v>236</v>
      </c>
      <c r="G836" s="588">
        <v>0</v>
      </c>
      <c r="H836" s="588">
        <v>0</v>
      </c>
      <c r="I836" s="588">
        <v>0</v>
      </c>
      <c r="J836" s="588">
        <v>160</v>
      </c>
      <c r="K836" s="588">
        <v>0</v>
      </c>
      <c r="L836" s="588">
        <v>0</v>
      </c>
      <c r="M836" s="588">
        <v>0</v>
      </c>
      <c r="N836" s="588">
        <v>217</v>
      </c>
      <c r="O836" s="588">
        <v>0</v>
      </c>
      <c r="P836" s="588">
        <v>475</v>
      </c>
      <c r="Q836" s="588">
        <v>321</v>
      </c>
      <c r="R836" s="588">
        <v>1088</v>
      </c>
      <c r="S836" s="588">
        <v>321</v>
      </c>
      <c r="T836" s="588">
        <v>2016</v>
      </c>
      <c r="U836" s="588">
        <v>2015</v>
      </c>
      <c r="V836" s="589"/>
      <c r="W836" s="589"/>
      <c r="X836" s="589"/>
      <c r="Y836" s="589"/>
      <c r="Z836" s="589"/>
      <c r="AA836" s="589"/>
      <c r="AB836" s="589"/>
      <c r="AC836" s="589"/>
      <c r="AD836" s="589"/>
      <c r="AE836" s="589"/>
      <c r="AF836" s="589"/>
      <c r="AG836" s="589"/>
      <c r="AH836" s="589"/>
      <c r="AI836" s="589"/>
      <c r="AJ836" s="589"/>
      <c r="AK836" s="589"/>
      <c r="AL836" s="589"/>
      <c r="AM836" s="589"/>
      <c r="AN836" s="589"/>
      <c r="AO836" s="589"/>
      <c r="AP836" s="589"/>
      <c r="AQ836" s="589"/>
      <c r="AR836" s="589"/>
      <c r="AS836" s="589"/>
    </row>
    <row r="837" spans="1:45" ht="15">
      <c r="A837" s="590" t="s">
        <v>153</v>
      </c>
      <c r="B837" s="591" t="s">
        <v>374</v>
      </c>
      <c r="C837" s="591" t="s">
        <v>812</v>
      </c>
      <c r="D837" s="592">
        <v>2016</v>
      </c>
      <c r="E837" s="591" t="s">
        <v>775</v>
      </c>
      <c r="F837" s="592">
        <v>508</v>
      </c>
      <c r="G837" s="592">
        <v>12</v>
      </c>
      <c r="H837" s="592">
        <v>12</v>
      </c>
      <c r="I837" s="592">
        <v>0</v>
      </c>
      <c r="J837" s="592">
        <v>310</v>
      </c>
      <c r="K837" s="592">
        <v>12</v>
      </c>
      <c r="L837" s="592">
        <v>12</v>
      </c>
      <c r="M837" s="592">
        <v>0</v>
      </c>
      <c r="N837" s="593">
        <v>337</v>
      </c>
      <c r="O837" s="593">
        <v>0</v>
      </c>
      <c r="P837" s="593">
        <v>862</v>
      </c>
      <c r="Q837" s="593">
        <v>1187</v>
      </c>
      <c r="R837" s="593">
        <v>2017</v>
      </c>
      <c r="S837" s="593">
        <v>1211</v>
      </c>
      <c r="T837" s="593">
        <v>2016</v>
      </c>
      <c r="U837" s="593">
        <v>2014</v>
      </c>
      <c r="V837" s="589"/>
      <c r="W837" s="589"/>
      <c r="X837" s="589"/>
      <c r="Y837" s="589"/>
      <c r="Z837" s="589"/>
      <c r="AA837" s="589"/>
      <c r="AB837" s="589"/>
      <c r="AC837" s="589"/>
      <c r="AD837" s="589"/>
      <c r="AE837" s="589"/>
      <c r="AF837" s="589"/>
      <c r="AG837" s="589"/>
      <c r="AH837" s="589"/>
      <c r="AI837" s="589"/>
      <c r="AJ837" s="589"/>
      <c r="AK837" s="589"/>
      <c r="AL837" s="589"/>
      <c r="AM837" s="589"/>
      <c r="AN837" s="589"/>
      <c r="AO837" s="589"/>
      <c r="AP837" s="589"/>
      <c r="AQ837" s="589"/>
      <c r="AR837" s="589"/>
      <c r="AS837" s="589"/>
    </row>
    <row r="838" spans="1:45" ht="15">
      <c r="A838" s="587" t="s">
        <v>153</v>
      </c>
      <c r="B838" s="587" t="s">
        <v>375</v>
      </c>
      <c r="C838" s="587" t="s">
        <v>812</v>
      </c>
      <c r="D838" s="588">
        <v>2016</v>
      </c>
      <c r="E838" s="587" t="s">
        <v>775</v>
      </c>
      <c r="F838" s="588">
        <v>181</v>
      </c>
      <c r="G838" s="588">
        <v>0</v>
      </c>
      <c r="H838" s="588">
        <v>0</v>
      </c>
      <c r="I838" s="588">
        <v>0</v>
      </c>
      <c r="J838" s="588">
        <v>106</v>
      </c>
      <c r="K838" s="588">
        <v>0</v>
      </c>
      <c r="L838" s="588">
        <v>0</v>
      </c>
      <c r="M838" s="588">
        <v>0</v>
      </c>
      <c r="N838" s="588">
        <v>115</v>
      </c>
      <c r="O838" s="588">
        <v>0</v>
      </c>
      <c r="P838" s="588">
        <v>284</v>
      </c>
      <c r="Q838" s="588">
        <v>329</v>
      </c>
      <c r="R838" s="588">
        <v>686</v>
      </c>
      <c r="S838" s="588">
        <v>329</v>
      </c>
      <c r="T838" s="588">
        <v>2016</v>
      </c>
      <c r="U838" s="588">
        <v>2014</v>
      </c>
      <c r="V838" s="589"/>
      <c r="W838" s="589"/>
      <c r="X838" s="589"/>
      <c r="Y838" s="589"/>
      <c r="Z838" s="589"/>
      <c r="AA838" s="589"/>
      <c r="AB838" s="589"/>
      <c r="AC838" s="589"/>
      <c r="AD838" s="589"/>
      <c r="AE838" s="589"/>
      <c r="AF838" s="589"/>
      <c r="AG838" s="589"/>
      <c r="AH838" s="589"/>
      <c r="AI838" s="589"/>
      <c r="AJ838" s="589"/>
      <c r="AK838" s="589"/>
      <c r="AL838" s="589"/>
      <c r="AM838" s="589"/>
      <c r="AN838" s="589"/>
      <c r="AO838" s="589"/>
      <c r="AP838" s="589"/>
      <c r="AQ838" s="589"/>
      <c r="AR838" s="589"/>
      <c r="AS838" s="589"/>
    </row>
    <row r="839" spans="1:45" ht="15">
      <c r="A839" s="590" t="s">
        <v>144</v>
      </c>
      <c r="B839" s="591" t="s">
        <v>304</v>
      </c>
      <c r="C839" s="591" t="s">
        <v>784</v>
      </c>
      <c r="D839" s="592">
        <v>2016</v>
      </c>
      <c r="E839" s="591" t="s">
        <v>775</v>
      </c>
      <c r="F839" s="592">
        <v>25</v>
      </c>
      <c r="G839" s="592">
        <v>1</v>
      </c>
      <c r="H839" s="592">
        <v>1</v>
      </c>
      <c r="I839" s="592">
        <v>0</v>
      </c>
      <c r="J839" s="592">
        <v>19</v>
      </c>
      <c r="K839" s="592">
        <v>3</v>
      </c>
      <c r="L839" s="592">
        <v>0</v>
      </c>
      <c r="M839" s="592">
        <v>3</v>
      </c>
      <c r="N839" s="593">
        <v>25</v>
      </c>
      <c r="O839" s="593">
        <v>2</v>
      </c>
      <c r="P839" s="593">
        <v>48</v>
      </c>
      <c r="Q839" s="593">
        <v>7</v>
      </c>
      <c r="R839" s="593">
        <v>117</v>
      </c>
      <c r="S839" s="593">
        <v>13</v>
      </c>
      <c r="T839" s="593">
        <v>2016</v>
      </c>
      <c r="U839" s="593">
        <v>2014</v>
      </c>
      <c r="V839" s="589"/>
      <c r="W839" s="589"/>
      <c r="X839" s="589"/>
      <c r="Y839" s="589"/>
      <c r="Z839" s="589"/>
      <c r="AA839" s="589"/>
      <c r="AB839" s="589"/>
      <c r="AC839" s="589"/>
      <c r="AD839" s="589"/>
      <c r="AE839" s="589"/>
      <c r="AF839" s="589"/>
      <c r="AG839" s="589"/>
      <c r="AH839" s="589"/>
      <c r="AI839" s="589"/>
      <c r="AJ839" s="589"/>
      <c r="AK839" s="589"/>
      <c r="AL839" s="589"/>
      <c r="AM839" s="589"/>
      <c r="AN839" s="589"/>
      <c r="AO839" s="589"/>
      <c r="AP839" s="589"/>
      <c r="AQ839" s="589"/>
      <c r="AR839" s="589"/>
      <c r="AS839" s="589"/>
    </row>
    <row r="840" spans="1:45" ht="15">
      <c r="A840" s="587" t="s">
        <v>185</v>
      </c>
      <c r="B840" s="587" t="s">
        <v>645</v>
      </c>
      <c r="C840" s="587" t="s">
        <v>868</v>
      </c>
      <c r="D840" s="588">
        <v>2016</v>
      </c>
      <c r="E840" s="587" t="s">
        <v>775</v>
      </c>
      <c r="F840" s="588">
        <v>235</v>
      </c>
      <c r="G840" s="588">
        <v>4</v>
      </c>
      <c r="H840" s="588">
        <v>4</v>
      </c>
      <c r="I840" s="588">
        <v>0</v>
      </c>
      <c r="J840" s="588">
        <v>157</v>
      </c>
      <c r="K840" s="588">
        <v>73</v>
      </c>
      <c r="L840" s="588">
        <v>73</v>
      </c>
      <c r="M840" s="588">
        <v>0</v>
      </c>
      <c r="N840" s="588">
        <v>174</v>
      </c>
      <c r="O840" s="588">
        <v>0</v>
      </c>
      <c r="P840" s="588">
        <v>413</v>
      </c>
      <c r="Q840" s="588">
        <v>244</v>
      </c>
      <c r="R840" s="588">
        <v>979</v>
      </c>
      <c r="S840" s="588">
        <v>321</v>
      </c>
      <c r="T840" s="588">
        <v>2016</v>
      </c>
      <c r="U840" s="588">
        <v>2015</v>
      </c>
      <c r="V840" s="589"/>
      <c r="W840" s="589"/>
      <c r="X840" s="589"/>
      <c r="Y840" s="589"/>
      <c r="Z840" s="589"/>
      <c r="AA840" s="589"/>
      <c r="AB840" s="589"/>
      <c r="AC840" s="589"/>
      <c r="AD840" s="589"/>
      <c r="AE840" s="589"/>
      <c r="AF840" s="589"/>
      <c r="AG840" s="589"/>
      <c r="AH840" s="589"/>
      <c r="AI840" s="589"/>
      <c r="AJ840" s="589"/>
      <c r="AK840" s="589"/>
      <c r="AL840" s="589"/>
      <c r="AM840" s="589"/>
      <c r="AN840" s="589"/>
      <c r="AO840" s="589"/>
      <c r="AP840" s="589"/>
      <c r="AQ840" s="589"/>
      <c r="AR840" s="589"/>
      <c r="AS840" s="589"/>
    </row>
    <row r="841" spans="1:45" ht="15">
      <c r="A841" s="590" t="s">
        <v>178</v>
      </c>
      <c r="B841" s="591" t="s">
        <v>574</v>
      </c>
      <c r="C841" s="591" t="s">
        <v>812</v>
      </c>
      <c r="D841" s="592">
        <v>2016</v>
      </c>
      <c r="E841" s="591" t="s">
        <v>775</v>
      </c>
      <c r="F841" s="592">
        <v>28</v>
      </c>
      <c r="G841" s="592">
        <v>0</v>
      </c>
      <c r="H841" s="592">
        <v>0</v>
      </c>
      <c r="I841" s="592">
        <v>0</v>
      </c>
      <c r="J841" s="592">
        <v>19</v>
      </c>
      <c r="K841" s="592">
        <v>0</v>
      </c>
      <c r="L841" s="592">
        <v>0</v>
      </c>
      <c r="M841" s="592">
        <v>0</v>
      </c>
      <c r="N841" s="593">
        <v>22</v>
      </c>
      <c r="O841" s="593">
        <v>5</v>
      </c>
      <c r="P841" s="593">
        <v>49</v>
      </c>
      <c r="Q841" s="593">
        <v>0</v>
      </c>
      <c r="R841" s="593">
        <v>118</v>
      </c>
      <c r="S841" s="593">
        <v>5</v>
      </c>
      <c r="T841" s="593">
        <v>2016</v>
      </c>
      <c r="U841" s="593">
        <v>2014</v>
      </c>
      <c r="V841" s="589"/>
      <c r="W841" s="589"/>
      <c r="X841" s="589"/>
      <c r="Y841" s="589"/>
      <c r="Z841" s="589"/>
      <c r="AA841" s="589"/>
      <c r="AB841" s="589"/>
      <c r="AC841" s="589"/>
      <c r="AD841" s="589"/>
      <c r="AE841" s="589"/>
      <c r="AF841" s="589"/>
      <c r="AG841" s="589"/>
      <c r="AH841" s="589"/>
      <c r="AI841" s="589"/>
      <c r="AJ841" s="589"/>
      <c r="AK841" s="589"/>
      <c r="AL841" s="589"/>
      <c r="AM841" s="589"/>
      <c r="AN841" s="589"/>
      <c r="AO841" s="589"/>
      <c r="AP841" s="589"/>
      <c r="AQ841" s="589"/>
      <c r="AR841" s="589"/>
      <c r="AS841" s="589"/>
    </row>
    <row r="842" spans="1:45" ht="15">
      <c r="A842" s="587" t="s">
        <v>168</v>
      </c>
      <c r="B842" s="587" t="s">
        <v>481</v>
      </c>
      <c r="C842" s="587" t="s">
        <v>784</v>
      </c>
      <c r="D842" s="588">
        <v>2016</v>
      </c>
      <c r="E842" s="587" t="s">
        <v>775</v>
      </c>
      <c r="F842" s="588">
        <v>122</v>
      </c>
      <c r="G842" s="588">
        <v>1</v>
      </c>
      <c r="H842" s="588">
        <v>1</v>
      </c>
      <c r="I842" s="588">
        <v>0</v>
      </c>
      <c r="J842" s="588">
        <v>88</v>
      </c>
      <c r="K842" s="588">
        <v>0</v>
      </c>
      <c r="L842" s="588">
        <v>0</v>
      </c>
      <c r="M842" s="588">
        <v>0</v>
      </c>
      <c r="N842" s="588">
        <v>100</v>
      </c>
      <c r="O842" s="588">
        <v>1</v>
      </c>
      <c r="P842" s="588">
        <v>220</v>
      </c>
      <c r="Q842" s="588">
        <v>0</v>
      </c>
      <c r="R842" s="588">
        <v>530</v>
      </c>
      <c r="S842" s="588">
        <v>2</v>
      </c>
      <c r="T842" s="588">
        <v>2016</v>
      </c>
      <c r="U842" s="588">
        <v>2014</v>
      </c>
      <c r="V842" s="589"/>
      <c r="W842" s="589"/>
      <c r="X842" s="589"/>
      <c r="Y842" s="589"/>
      <c r="Z842" s="589"/>
      <c r="AA842" s="589"/>
      <c r="AB842" s="589"/>
      <c r="AC842" s="589"/>
      <c r="AD842" s="589"/>
      <c r="AE842" s="589"/>
      <c r="AF842" s="589"/>
      <c r="AG842" s="589"/>
      <c r="AH842" s="589"/>
      <c r="AI842" s="589"/>
      <c r="AJ842" s="589"/>
      <c r="AK842" s="589"/>
      <c r="AL842" s="589"/>
      <c r="AM842" s="589"/>
      <c r="AN842" s="589"/>
      <c r="AO842" s="589"/>
      <c r="AP842" s="589"/>
      <c r="AQ842" s="589"/>
      <c r="AR842" s="589"/>
      <c r="AS842" s="589"/>
    </row>
    <row r="843" spans="1:45" ht="15">
      <c r="A843" s="590" t="s">
        <v>164</v>
      </c>
      <c r="B843" s="591" t="s">
        <v>467</v>
      </c>
      <c r="C843" s="591" t="s">
        <v>177</v>
      </c>
      <c r="D843" s="592">
        <v>2016</v>
      </c>
      <c r="E843" s="591" t="s">
        <v>775</v>
      </c>
      <c r="F843" s="592">
        <v>87</v>
      </c>
      <c r="G843" s="592">
        <v>0</v>
      </c>
      <c r="H843" s="592">
        <v>0</v>
      </c>
      <c r="I843" s="592">
        <v>0</v>
      </c>
      <c r="J843" s="592">
        <v>57</v>
      </c>
      <c r="K843" s="592">
        <v>12</v>
      </c>
      <c r="L843" s="592">
        <v>12</v>
      </c>
      <c r="M843" s="592">
        <v>0</v>
      </c>
      <c r="N843" s="593">
        <v>66</v>
      </c>
      <c r="O843" s="593">
        <v>0</v>
      </c>
      <c r="P843" s="593">
        <v>153</v>
      </c>
      <c r="Q843" s="593">
        <v>2</v>
      </c>
      <c r="R843" s="593">
        <v>363</v>
      </c>
      <c r="S843" s="593">
        <v>14</v>
      </c>
      <c r="T843" s="593">
        <v>2016</v>
      </c>
      <c r="U843" s="593">
        <v>2016</v>
      </c>
      <c r="V843" s="589"/>
      <c r="W843" s="589"/>
      <c r="X843" s="589"/>
      <c r="Y843" s="589"/>
      <c r="Z843" s="589"/>
      <c r="AA843" s="589"/>
      <c r="AB843" s="589"/>
      <c r="AC843" s="589"/>
      <c r="AD843" s="589"/>
      <c r="AE843" s="589"/>
      <c r="AF843" s="589"/>
      <c r="AG843" s="589"/>
      <c r="AH843" s="589"/>
      <c r="AI843" s="589"/>
      <c r="AJ843" s="589"/>
      <c r="AK843" s="589"/>
      <c r="AL843" s="589"/>
      <c r="AM843" s="589"/>
      <c r="AN843" s="589"/>
      <c r="AO843" s="589"/>
      <c r="AP843" s="589"/>
      <c r="AQ843" s="589"/>
      <c r="AR843" s="589"/>
      <c r="AS843" s="589"/>
    </row>
    <row r="844" spans="1:45" ht="15">
      <c r="A844" s="587" t="s">
        <v>131</v>
      </c>
      <c r="B844" s="587" t="s">
        <v>258</v>
      </c>
      <c r="C844" s="587" t="s">
        <v>786</v>
      </c>
      <c r="D844" s="588">
        <v>2016</v>
      </c>
      <c r="E844" s="587" t="s">
        <v>775</v>
      </c>
      <c r="F844" s="588">
        <v>231</v>
      </c>
      <c r="G844" s="588">
        <v>0</v>
      </c>
      <c r="H844" s="588">
        <v>0</v>
      </c>
      <c r="I844" s="588">
        <v>0</v>
      </c>
      <c r="J844" s="588">
        <v>118</v>
      </c>
      <c r="K844" s="588">
        <v>0</v>
      </c>
      <c r="L844" s="588">
        <v>0</v>
      </c>
      <c r="M844" s="588">
        <v>0</v>
      </c>
      <c r="N844" s="588">
        <v>99</v>
      </c>
      <c r="O844" s="588">
        <v>0</v>
      </c>
      <c r="P844" s="588">
        <v>321</v>
      </c>
      <c r="Q844" s="588">
        <v>16</v>
      </c>
      <c r="R844" s="588">
        <v>769</v>
      </c>
      <c r="S844" s="588">
        <v>16</v>
      </c>
      <c r="T844" s="588">
        <v>2016</v>
      </c>
      <c r="U844" s="588">
        <v>2014</v>
      </c>
      <c r="V844" s="589"/>
      <c r="W844" s="589"/>
      <c r="X844" s="589"/>
      <c r="Y844" s="589"/>
      <c r="Z844" s="589"/>
      <c r="AA844" s="589"/>
      <c r="AB844" s="589"/>
      <c r="AC844" s="589"/>
      <c r="AD844" s="589"/>
      <c r="AE844" s="589"/>
      <c r="AF844" s="589"/>
      <c r="AG844" s="589"/>
      <c r="AH844" s="589"/>
      <c r="AI844" s="589"/>
      <c r="AJ844" s="589"/>
      <c r="AK844" s="589"/>
      <c r="AL844" s="589"/>
      <c r="AM844" s="589"/>
      <c r="AN844" s="589"/>
      <c r="AO844" s="589"/>
      <c r="AP844" s="589"/>
      <c r="AQ844" s="589"/>
      <c r="AR844" s="589"/>
      <c r="AS844" s="589"/>
    </row>
    <row r="845" spans="1:45" ht="15">
      <c r="A845" s="590" t="s">
        <v>183</v>
      </c>
      <c r="B845" s="591" t="s">
        <v>618</v>
      </c>
      <c r="C845" s="591" t="s">
        <v>784</v>
      </c>
      <c r="D845" s="592">
        <v>2016</v>
      </c>
      <c r="E845" s="591" t="s">
        <v>775</v>
      </c>
      <c r="F845" s="592">
        <v>41</v>
      </c>
      <c r="G845" s="592">
        <v>0</v>
      </c>
      <c r="H845" s="592">
        <v>0</v>
      </c>
      <c r="I845" s="592">
        <v>0</v>
      </c>
      <c r="J845" s="592">
        <v>26</v>
      </c>
      <c r="K845" s="592">
        <v>2</v>
      </c>
      <c r="L845" s="592">
        <v>2</v>
      </c>
      <c r="M845" s="592">
        <v>0</v>
      </c>
      <c r="N845" s="593">
        <v>29</v>
      </c>
      <c r="O845" s="593">
        <v>0</v>
      </c>
      <c r="P845" s="593">
        <v>69</v>
      </c>
      <c r="Q845" s="593">
        <v>21</v>
      </c>
      <c r="R845" s="593">
        <v>165</v>
      </c>
      <c r="S845" s="593">
        <v>23</v>
      </c>
      <c r="T845" s="593">
        <v>2016</v>
      </c>
      <c r="U845" s="593">
        <v>2014</v>
      </c>
      <c r="V845" s="589"/>
      <c r="W845" s="589"/>
      <c r="X845" s="589"/>
      <c r="Y845" s="589"/>
      <c r="Z845" s="589"/>
      <c r="AA845" s="589"/>
      <c r="AB845" s="589"/>
      <c r="AC845" s="589"/>
      <c r="AD845" s="589"/>
      <c r="AE845" s="589"/>
      <c r="AF845" s="589"/>
      <c r="AG845" s="589"/>
      <c r="AH845" s="589"/>
      <c r="AI845" s="589"/>
      <c r="AJ845" s="589"/>
      <c r="AK845" s="589"/>
      <c r="AL845" s="589"/>
      <c r="AM845" s="589"/>
      <c r="AN845" s="589"/>
      <c r="AO845" s="589"/>
      <c r="AP845" s="589"/>
      <c r="AQ845" s="589"/>
      <c r="AR845" s="589"/>
      <c r="AS845" s="589"/>
    </row>
    <row r="846" spans="1:45" ht="15">
      <c r="A846" s="587" t="s">
        <v>184</v>
      </c>
      <c r="B846" s="587" t="s">
        <v>631</v>
      </c>
      <c r="C846" s="587" t="s">
        <v>774</v>
      </c>
      <c r="D846" s="588">
        <v>2016</v>
      </c>
      <c r="E846" s="587" t="s">
        <v>775</v>
      </c>
      <c r="F846" s="588">
        <v>52</v>
      </c>
      <c r="G846" s="588">
        <v>0</v>
      </c>
      <c r="H846" s="588">
        <v>0</v>
      </c>
      <c r="I846" s="588">
        <v>0</v>
      </c>
      <c r="J846" s="588">
        <v>31</v>
      </c>
      <c r="K846" s="588">
        <v>0</v>
      </c>
      <c r="L846" s="588">
        <v>0</v>
      </c>
      <c r="M846" s="588">
        <v>0</v>
      </c>
      <c r="N846" s="588">
        <v>36</v>
      </c>
      <c r="O846" s="588">
        <v>6</v>
      </c>
      <c r="P846" s="588">
        <v>121</v>
      </c>
      <c r="Q846" s="588">
        <v>14</v>
      </c>
      <c r="R846" s="588">
        <v>240</v>
      </c>
      <c r="S846" s="588">
        <v>20</v>
      </c>
      <c r="T846" s="588">
        <v>2016</v>
      </c>
      <c r="U846" s="588">
        <v>2015</v>
      </c>
      <c r="V846" s="589"/>
      <c r="W846" s="589"/>
      <c r="X846" s="589"/>
      <c r="Y846" s="589"/>
      <c r="Z846" s="589"/>
      <c r="AA846" s="589"/>
      <c r="AB846" s="589"/>
      <c r="AC846" s="589"/>
      <c r="AD846" s="589"/>
      <c r="AE846" s="589"/>
      <c r="AF846" s="589"/>
      <c r="AG846" s="589"/>
      <c r="AH846" s="589"/>
      <c r="AI846" s="589"/>
      <c r="AJ846" s="589"/>
      <c r="AK846" s="589"/>
      <c r="AL846" s="589"/>
      <c r="AM846" s="589"/>
      <c r="AN846" s="589"/>
      <c r="AO846" s="589"/>
      <c r="AP846" s="589"/>
      <c r="AQ846" s="589"/>
      <c r="AR846" s="589"/>
      <c r="AS846" s="589"/>
    </row>
    <row r="847" spans="1:45" ht="15">
      <c r="A847" s="590" t="s">
        <v>149</v>
      </c>
      <c r="B847" s="591" t="s">
        <v>338</v>
      </c>
      <c r="C847" s="591" t="s">
        <v>819</v>
      </c>
      <c r="D847" s="592">
        <v>2016</v>
      </c>
      <c r="E847" s="591" t="s">
        <v>775</v>
      </c>
      <c r="F847" s="592">
        <v>1097</v>
      </c>
      <c r="G847" s="592">
        <v>0</v>
      </c>
      <c r="H847" s="592">
        <v>0</v>
      </c>
      <c r="I847" s="592">
        <v>0</v>
      </c>
      <c r="J847" s="592">
        <v>821</v>
      </c>
      <c r="K847" s="592">
        <v>0</v>
      </c>
      <c r="L847" s="592">
        <v>0</v>
      </c>
      <c r="M847" s="592">
        <v>0</v>
      </c>
      <c r="N847" s="593">
        <v>865</v>
      </c>
      <c r="O847" s="593">
        <v>49</v>
      </c>
      <c r="P847" s="593">
        <v>2049</v>
      </c>
      <c r="Q847" s="593">
        <v>276</v>
      </c>
      <c r="R847" s="593">
        <v>4832</v>
      </c>
      <c r="S847" s="593">
        <v>325</v>
      </c>
      <c r="T847" s="593">
        <v>2016</v>
      </c>
      <c r="U847" s="593">
        <v>2016</v>
      </c>
      <c r="V847" s="589"/>
      <c r="W847" s="589"/>
      <c r="X847" s="589"/>
      <c r="Y847" s="589"/>
      <c r="Z847" s="589"/>
      <c r="AA847" s="589"/>
      <c r="AB847" s="589"/>
      <c r="AC847" s="589"/>
      <c r="AD847" s="589"/>
      <c r="AE847" s="589"/>
      <c r="AF847" s="589"/>
      <c r="AG847" s="589"/>
      <c r="AH847" s="589"/>
      <c r="AI847" s="589"/>
      <c r="AJ847" s="589"/>
      <c r="AK847" s="589"/>
      <c r="AL847" s="589"/>
      <c r="AM847" s="589"/>
      <c r="AN847" s="589"/>
      <c r="AO847" s="589"/>
      <c r="AP847" s="589"/>
      <c r="AQ847" s="589"/>
      <c r="AR847" s="589"/>
      <c r="AS847" s="589"/>
    </row>
    <row r="848" spans="1:45" ht="15">
      <c r="A848" s="587" t="s">
        <v>153</v>
      </c>
      <c r="B848" s="587" t="s">
        <v>377</v>
      </c>
      <c r="C848" s="587" t="s">
        <v>812</v>
      </c>
      <c r="D848" s="588">
        <v>2016</v>
      </c>
      <c r="E848" s="587" t="s">
        <v>775</v>
      </c>
      <c r="F848" s="588">
        <v>170</v>
      </c>
      <c r="G848" s="588">
        <v>0</v>
      </c>
      <c r="H848" s="588">
        <v>0</v>
      </c>
      <c r="I848" s="588">
        <v>0</v>
      </c>
      <c r="J848" s="588">
        <v>101</v>
      </c>
      <c r="K848" s="588">
        <v>0</v>
      </c>
      <c r="L848" s="588">
        <v>0</v>
      </c>
      <c r="M848" s="588">
        <v>0</v>
      </c>
      <c r="N848" s="588">
        <v>112</v>
      </c>
      <c r="O848" s="588">
        <v>0</v>
      </c>
      <c r="P848" s="588">
        <v>300</v>
      </c>
      <c r="Q848" s="588">
        <v>4</v>
      </c>
      <c r="R848" s="588">
        <v>683</v>
      </c>
      <c r="S848" s="588">
        <v>4</v>
      </c>
      <c r="T848" s="588">
        <v>2016</v>
      </c>
      <c r="U848" s="588">
        <v>2014</v>
      </c>
      <c r="V848" s="589"/>
      <c r="W848" s="589"/>
      <c r="X848" s="589"/>
      <c r="Y848" s="589"/>
      <c r="Z848" s="589"/>
      <c r="AA848" s="589"/>
      <c r="AB848" s="589"/>
      <c r="AC848" s="589"/>
      <c r="AD848" s="589"/>
      <c r="AE848" s="589"/>
      <c r="AF848" s="589"/>
      <c r="AG848" s="589"/>
      <c r="AH848" s="589"/>
      <c r="AI848" s="589"/>
      <c r="AJ848" s="589"/>
      <c r="AK848" s="589"/>
      <c r="AL848" s="589"/>
      <c r="AM848" s="589"/>
      <c r="AN848" s="589"/>
      <c r="AO848" s="589"/>
      <c r="AP848" s="589"/>
      <c r="AQ848" s="589"/>
      <c r="AR848" s="589"/>
      <c r="AS848" s="589"/>
    </row>
    <row r="849" spans="1:45" ht="15">
      <c r="A849" s="590" t="s">
        <v>125</v>
      </c>
      <c r="B849" s="591" t="s">
        <v>239</v>
      </c>
      <c r="C849" s="591" t="s">
        <v>774</v>
      </c>
      <c r="D849" s="592">
        <v>2016</v>
      </c>
      <c r="E849" s="591" t="s">
        <v>775</v>
      </c>
      <c r="F849" s="592">
        <v>851</v>
      </c>
      <c r="G849" s="592">
        <v>0</v>
      </c>
      <c r="H849" s="592">
        <v>0</v>
      </c>
      <c r="I849" s="592">
        <v>0</v>
      </c>
      <c r="J849" s="592">
        <v>480</v>
      </c>
      <c r="K849" s="592">
        <v>0</v>
      </c>
      <c r="L849" s="592">
        <v>0</v>
      </c>
      <c r="M849" s="592">
        <v>0</v>
      </c>
      <c r="N849" s="593">
        <v>608</v>
      </c>
      <c r="O849" s="593">
        <v>0</v>
      </c>
      <c r="P849" s="593">
        <v>1981</v>
      </c>
      <c r="Q849" s="593">
        <v>225</v>
      </c>
      <c r="R849" s="593">
        <v>3920</v>
      </c>
      <c r="S849" s="593">
        <v>225</v>
      </c>
      <c r="T849" s="593">
        <v>2016</v>
      </c>
      <c r="U849" s="593">
        <v>2015</v>
      </c>
      <c r="V849" s="589"/>
      <c r="W849" s="589"/>
      <c r="X849" s="589"/>
      <c r="Y849" s="589"/>
      <c r="Z849" s="589"/>
      <c r="AA849" s="589"/>
      <c r="AB849" s="589"/>
      <c r="AC849" s="589"/>
      <c r="AD849" s="589"/>
      <c r="AE849" s="589"/>
      <c r="AF849" s="589"/>
      <c r="AG849" s="589"/>
      <c r="AH849" s="589"/>
      <c r="AI849" s="589"/>
      <c r="AJ849" s="589"/>
      <c r="AK849" s="589"/>
      <c r="AL849" s="589"/>
      <c r="AM849" s="589"/>
      <c r="AN849" s="589"/>
      <c r="AO849" s="589"/>
      <c r="AP849" s="589"/>
      <c r="AQ849" s="589"/>
      <c r="AR849" s="589"/>
      <c r="AS849" s="589"/>
    </row>
    <row r="850" spans="1:45" ht="15">
      <c r="A850" s="587" t="s">
        <v>193</v>
      </c>
      <c r="B850" s="587" t="s">
        <v>696</v>
      </c>
      <c r="C850" s="587" t="s">
        <v>774</v>
      </c>
      <c r="D850" s="588">
        <v>2016</v>
      </c>
      <c r="E850" s="587" t="s">
        <v>775</v>
      </c>
      <c r="F850" s="588">
        <v>31</v>
      </c>
      <c r="G850" s="588">
        <v>2</v>
      </c>
      <c r="H850" s="588">
        <v>2</v>
      </c>
      <c r="I850" s="588">
        <v>0</v>
      </c>
      <c r="J850" s="588">
        <v>24</v>
      </c>
      <c r="K850" s="588">
        <v>3</v>
      </c>
      <c r="L850" s="588">
        <v>3</v>
      </c>
      <c r="M850" s="588">
        <v>0</v>
      </c>
      <c r="N850" s="588">
        <v>26</v>
      </c>
      <c r="O850" s="588">
        <v>4</v>
      </c>
      <c r="P850" s="588">
        <v>76</v>
      </c>
      <c r="Q850" s="588">
        <v>23</v>
      </c>
      <c r="R850" s="588">
        <v>157</v>
      </c>
      <c r="S850" s="588">
        <v>32</v>
      </c>
      <c r="T850" s="588">
        <v>2016</v>
      </c>
      <c r="U850" s="588">
        <v>2015</v>
      </c>
      <c r="V850" s="589"/>
      <c r="W850" s="589"/>
      <c r="X850" s="589"/>
      <c r="Y850" s="589"/>
      <c r="Z850" s="589"/>
      <c r="AA850" s="589"/>
      <c r="AB850" s="589"/>
      <c r="AC850" s="589"/>
      <c r="AD850" s="589"/>
      <c r="AE850" s="589"/>
      <c r="AF850" s="589"/>
      <c r="AG850" s="589"/>
      <c r="AH850" s="589"/>
      <c r="AI850" s="589"/>
      <c r="AJ850" s="589"/>
      <c r="AK850" s="589"/>
      <c r="AL850" s="589"/>
      <c r="AM850" s="589"/>
      <c r="AN850" s="589"/>
      <c r="AO850" s="589"/>
      <c r="AP850" s="589"/>
      <c r="AQ850" s="589"/>
      <c r="AR850" s="589"/>
      <c r="AS850" s="589"/>
    </row>
    <row r="851" spans="1:45" ht="15">
      <c r="A851" s="590" t="s">
        <v>173</v>
      </c>
      <c r="B851" s="591" t="s">
        <v>538</v>
      </c>
      <c r="C851" s="591" t="s">
        <v>812</v>
      </c>
      <c r="D851" s="592">
        <v>2016</v>
      </c>
      <c r="E851" s="591" t="s">
        <v>775</v>
      </c>
      <c r="F851" s="592">
        <v>134</v>
      </c>
      <c r="G851" s="592">
        <v>0</v>
      </c>
      <c r="H851" s="592">
        <v>0</v>
      </c>
      <c r="I851" s="592">
        <v>0</v>
      </c>
      <c r="J851" s="592">
        <v>96</v>
      </c>
      <c r="K851" s="592">
        <v>29</v>
      </c>
      <c r="L851" s="592">
        <v>29</v>
      </c>
      <c r="M851" s="592">
        <v>0</v>
      </c>
      <c r="N851" s="593">
        <v>112</v>
      </c>
      <c r="O851" s="593">
        <v>25</v>
      </c>
      <c r="P851" s="593">
        <v>262</v>
      </c>
      <c r="Q851" s="593">
        <v>8</v>
      </c>
      <c r="R851" s="593">
        <v>604</v>
      </c>
      <c r="S851" s="593">
        <v>62</v>
      </c>
      <c r="T851" s="593">
        <v>2016</v>
      </c>
      <c r="U851" s="593">
        <v>2014</v>
      </c>
      <c r="V851" s="589"/>
      <c r="W851" s="589"/>
      <c r="X851" s="589"/>
      <c r="Y851" s="589"/>
      <c r="Z851" s="589"/>
      <c r="AA851" s="589"/>
      <c r="AB851" s="589"/>
      <c r="AC851" s="589"/>
      <c r="AD851" s="589"/>
      <c r="AE851" s="589"/>
      <c r="AF851" s="589"/>
      <c r="AG851" s="589"/>
      <c r="AH851" s="589"/>
      <c r="AI851" s="589"/>
      <c r="AJ851" s="589"/>
      <c r="AK851" s="589"/>
      <c r="AL851" s="589"/>
      <c r="AM851" s="589"/>
      <c r="AN851" s="589"/>
      <c r="AO851" s="589"/>
      <c r="AP851" s="589"/>
      <c r="AQ851" s="589"/>
      <c r="AR851" s="589"/>
      <c r="AS851" s="589"/>
    </row>
    <row r="852" spans="1:45" ht="15">
      <c r="A852" s="587" t="s">
        <v>136</v>
      </c>
      <c r="B852" s="587" t="s">
        <v>272</v>
      </c>
      <c r="C852" s="587" t="s">
        <v>774</v>
      </c>
      <c r="D852" s="588">
        <v>2016</v>
      </c>
      <c r="E852" s="587" t="s">
        <v>775</v>
      </c>
      <c r="F852" s="588">
        <v>220</v>
      </c>
      <c r="G852" s="588">
        <v>0</v>
      </c>
      <c r="H852" s="588">
        <v>0</v>
      </c>
      <c r="I852" s="588">
        <v>0</v>
      </c>
      <c r="J852" s="588">
        <v>118</v>
      </c>
      <c r="K852" s="588">
        <v>1</v>
      </c>
      <c r="L852" s="588">
        <v>0</v>
      </c>
      <c r="M852" s="588">
        <v>1</v>
      </c>
      <c r="N852" s="588">
        <v>100</v>
      </c>
      <c r="O852" s="588">
        <v>0</v>
      </c>
      <c r="P852" s="588">
        <v>244</v>
      </c>
      <c r="Q852" s="588">
        <v>30</v>
      </c>
      <c r="R852" s="588">
        <v>682</v>
      </c>
      <c r="S852" s="588">
        <v>31</v>
      </c>
      <c r="T852" s="588">
        <v>2016</v>
      </c>
      <c r="U852" s="588">
        <v>2015</v>
      </c>
      <c r="V852" s="589"/>
      <c r="W852" s="589"/>
      <c r="X852" s="589"/>
      <c r="Y852" s="589"/>
      <c r="Z852" s="589"/>
      <c r="AA852" s="589"/>
      <c r="AB852" s="589"/>
      <c r="AC852" s="589"/>
      <c r="AD852" s="589"/>
      <c r="AE852" s="589"/>
      <c r="AF852" s="589"/>
      <c r="AG852" s="589"/>
      <c r="AH852" s="589"/>
      <c r="AI852" s="589"/>
      <c r="AJ852" s="589"/>
      <c r="AK852" s="589"/>
      <c r="AL852" s="589"/>
      <c r="AM852" s="589"/>
      <c r="AN852" s="589"/>
      <c r="AO852" s="589"/>
      <c r="AP852" s="589"/>
      <c r="AQ852" s="589"/>
      <c r="AR852" s="589"/>
      <c r="AS852" s="589"/>
    </row>
    <row r="853" spans="1:45" ht="15">
      <c r="A853" s="590" t="s">
        <v>178</v>
      </c>
      <c r="B853" s="591" t="s">
        <v>575</v>
      </c>
      <c r="C853" s="591" t="s">
        <v>812</v>
      </c>
      <c r="D853" s="592">
        <v>2016</v>
      </c>
      <c r="E853" s="591" t="s">
        <v>775</v>
      </c>
      <c r="F853" s="592">
        <v>398</v>
      </c>
      <c r="G853" s="592">
        <v>0</v>
      </c>
      <c r="H853" s="592">
        <v>0</v>
      </c>
      <c r="I853" s="592">
        <v>0</v>
      </c>
      <c r="J853" s="592">
        <v>274</v>
      </c>
      <c r="K853" s="592">
        <v>20</v>
      </c>
      <c r="L853" s="592">
        <v>20</v>
      </c>
      <c r="M853" s="592">
        <v>0</v>
      </c>
      <c r="N853" s="593">
        <v>314</v>
      </c>
      <c r="O853" s="593">
        <v>75</v>
      </c>
      <c r="P853" s="593">
        <v>729</v>
      </c>
      <c r="Q853" s="593">
        <v>172</v>
      </c>
      <c r="R853" s="593">
        <v>1715</v>
      </c>
      <c r="S853" s="593">
        <v>267</v>
      </c>
      <c r="T853" s="593">
        <v>2016</v>
      </c>
      <c r="U853" s="593">
        <v>2014</v>
      </c>
      <c r="V853" s="589"/>
      <c r="W853" s="589"/>
      <c r="X853" s="589"/>
      <c r="Y853" s="589"/>
      <c r="Z853" s="589"/>
      <c r="AA853" s="589"/>
      <c r="AB853" s="589"/>
      <c r="AC853" s="589"/>
      <c r="AD853" s="589"/>
      <c r="AE853" s="589"/>
      <c r="AF853" s="589"/>
      <c r="AG853" s="589"/>
      <c r="AH853" s="589"/>
      <c r="AI853" s="589"/>
      <c r="AJ853" s="589"/>
      <c r="AK853" s="589"/>
      <c r="AL853" s="589"/>
      <c r="AM853" s="589"/>
      <c r="AN853" s="589"/>
      <c r="AO853" s="589"/>
      <c r="AP853" s="589"/>
      <c r="AQ853" s="589"/>
      <c r="AR853" s="589"/>
      <c r="AS853" s="589"/>
    </row>
    <row r="854" spans="1:45" ht="15">
      <c r="A854" s="587" t="s">
        <v>178</v>
      </c>
      <c r="B854" s="587" t="s">
        <v>576</v>
      </c>
      <c r="C854" s="587" t="s">
        <v>812</v>
      </c>
      <c r="D854" s="588">
        <v>2016</v>
      </c>
      <c r="E854" s="587" t="s">
        <v>775</v>
      </c>
      <c r="F854" s="588">
        <v>349</v>
      </c>
      <c r="G854" s="588">
        <v>0</v>
      </c>
      <c r="H854" s="588">
        <v>0</v>
      </c>
      <c r="I854" s="588">
        <v>0</v>
      </c>
      <c r="J854" s="588">
        <v>246</v>
      </c>
      <c r="K854" s="588">
        <v>0</v>
      </c>
      <c r="L854" s="588">
        <v>0</v>
      </c>
      <c r="M854" s="588">
        <v>0</v>
      </c>
      <c r="N854" s="588">
        <v>280</v>
      </c>
      <c r="O854" s="588">
        <v>6</v>
      </c>
      <c r="P854" s="588">
        <v>625</v>
      </c>
      <c r="Q854" s="588">
        <v>18</v>
      </c>
      <c r="R854" s="588">
        <v>1500</v>
      </c>
      <c r="S854" s="588">
        <v>24</v>
      </c>
      <c r="T854" s="588">
        <v>2016</v>
      </c>
      <c r="U854" s="588">
        <v>2014</v>
      </c>
      <c r="V854" s="589"/>
      <c r="W854" s="589"/>
      <c r="X854" s="589"/>
      <c r="Y854" s="589"/>
      <c r="Z854" s="589"/>
      <c r="AA854" s="589"/>
      <c r="AB854" s="589"/>
      <c r="AC854" s="589"/>
      <c r="AD854" s="589"/>
      <c r="AE854" s="589"/>
      <c r="AF854" s="589"/>
      <c r="AG854" s="589"/>
      <c r="AH854" s="589"/>
      <c r="AI854" s="589"/>
      <c r="AJ854" s="589"/>
      <c r="AK854" s="589"/>
      <c r="AL854" s="589"/>
      <c r="AM854" s="589"/>
      <c r="AN854" s="589"/>
      <c r="AO854" s="589"/>
      <c r="AP854" s="589"/>
      <c r="AQ854" s="589"/>
      <c r="AR854" s="589"/>
      <c r="AS854" s="589"/>
    </row>
    <row r="855" spans="1:45" ht="15">
      <c r="A855" s="590" t="s">
        <v>184</v>
      </c>
      <c r="B855" s="591" t="s">
        <v>632</v>
      </c>
      <c r="C855" s="591" t="s">
        <v>774</v>
      </c>
      <c r="D855" s="592">
        <v>2016</v>
      </c>
      <c r="E855" s="591" t="s">
        <v>775</v>
      </c>
      <c r="F855" s="592">
        <v>32</v>
      </c>
      <c r="G855" s="592">
        <v>4</v>
      </c>
      <c r="H855" s="592">
        <v>0</v>
      </c>
      <c r="I855" s="592">
        <v>4</v>
      </c>
      <c r="J855" s="592">
        <v>17</v>
      </c>
      <c r="K855" s="592">
        <v>2</v>
      </c>
      <c r="L855" s="592">
        <v>0</v>
      </c>
      <c r="M855" s="592">
        <v>2</v>
      </c>
      <c r="N855" s="593">
        <v>21</v>
      </c>
      <c r="O855" s="593">
        <v>2</v>
      </c>
      <c r="P855" s="593">
        <v>21</v>
      </c>
      <c r="Q855" s="593">
        <v>2</v>
      </c>
      <c r="R855" s="593">
        <v>91</v>
      </c>
      <c r="S855" s="593">
        <v>10</v>
      </c>
      <c r="T855" s="593">
        <v>2016</v>
      </c>
      <c r="U855" s="593">
        <v>2015</v>
      </c>
      <c r="V855" s="589"/>
      <c r="W855" s="589"/>
      <c r="X855" s="589"/>
      <c r="Y855" s="589"/>
      <c r="Z855" s="589"/>
      <c r="AA855" s="589"/>
      <c r="AB855" s="589"/>
      <c r="AC855" s="589"/>
      <c r="AD855" s="589"/>
      <c r="AE855" s="589"/>
      <c r="AF855" s="589"/>
      <c r="AG855" s="589"/>
      <c r="AH855" s="589"/>
      <c r="AI855" s="589"/>
      <c r="AJ855" s="589"/>
      <c r="AK855" s="589"/>
      <c r="AL855" s="589"/>
      <c r="AM855" s="589"/>
      <c r="AN855" s="589"/>
      <c r="AO855" s="589"/>
      <c r="AP855" s="589"/>
      <c r="AQ855" s="589"/>
      <c r="AR855" s="589"/>
      <c r="AS855" s="589"/>
    </row>
    <row r="856" spans="1:45" ht="15">
      <c r="A856" s="587" t="s">
        <v>176</v>
      </c>
      <c r="B856" s="587" t="s">
        <v>563</v>
      </c>
      <c r="C856" s="587" t="s">
        <v>177</v>
      </c>
      <c r="D856" s="588">
        <v>2016</v>
      </c>
      <c r="E856" s="587" t="s">
        <v>775</v>
      </c>
      <c r="F856" s="588">
        <v>312</v>
      </c>
      <c r="G856" s="588">
        <v>0</v>
      </c>
      <c r="H856" s="588">
        <v>0</v>
      </c>
      <c r="I856" s="588">
        <v>0</v>
      </c>
      <c r="J856" s="588">
        <v>189</v>
      </c>
      <c r="K856" s="588">
        <v>0</v>
      </c>
      <c r="L856" s="588">
        <v>0</v>
      </c>
      <c r="M856" s="588">
        <v>0</v>
      </c>
      <c r="N856" s="588">
        <v>258</v>
      </c>
      <c r="O856" s="588">
        <v>12</v>
      </c>
      <c r="P856" s="588">
        <v>557</v>
      </c>
      <c r="Q856" s="588">
        <v>87</v>
      </c>
      <c r="R856" s="588">
        <v>1316</v>
      </c>
      <c r="S856" s="588">
        <v>99</v>
      </c>
      <c r="T856" s="588">
        <v>2016</v>
      </c>
      <c r="U856" s="588">
        <v>2016</v>
      </c>
      <c r="V856" s="589"/>
      <c r="W856" s="589"/>
      <c r="X856" s="589"/>
      <c r="Y856" s="589"/>
      <c r="Z856" s="589"/>
      <c r="AA856" s="589"/>
      <c r="AB856" s="589"/>
      <c r="AC856" s="589"/>
      <c r="AD856" s="589"/>
      <c r="AE856" s="589"/>
      <c r="AF856" s="589"/>
      <c r="AG856" s="589"/>
      <c r="AH856" s="589"/>
      <c r="AI856" s="589"/>
      <c r="AJ856" s="589"/>
      <c r="AK856" s="589"/>
      <c r="AL856" s="589"/>
      <c r="AM856" s="589"/>
      <c r="AN856" s="589"/>
      <c r="AO856" s="589"/>
      <c r="AP856" s="589"/>
      <c r="AQ856" s="589"/>
      <c r="AR856" s="589"/>
      <c r="AS856" s="589"/>
    </row>
    <row r="857" spans="1:45" ht="15">
      <c r="A857" s="590" t="s">
        <v>195</v>
      </c>
      <c r="B857" s="591" t="s">
        <v>704</v>
      </c>
      <c r="C857" s="591" t="s">
        <v>177</v>
      </c>
      <c r="D857" s="592">
        <v>2016</v>
      </c>
      <c r="E857" s="591" t="s">
        <v>775</v>
      </c>
      <c r="F857" s="592">
        <v>53</v>
      </c>
      <c r="G857" s="592">
        <v>0</v>
      </c>
      <c r="H857" s="592">
        <v>0</v>
      </c>
      <c r="I857" s="592">
        <v>0</v>
      </c>
      <c r="J857" s="592">
        <v>34</v>
      </c>
      <c r="K857" s="592">
        <v>0</v>
      </c>
      <c r="L857" s="592">
        <v>0</v>
      </c>
      <c r="M857" s="592">
        <v>0</v>
      </c>
      <c r="N857" s="593">
        <v>38</v>
      </c>
      <c r="O857" s="593">
        <v>0</v>
      </c>
      <c r="P857" s="593">
        <v>93</v>
      </c>
      <c r="Q857" s="593">
        <v>15</v>
      </c>
      <c r="R857" s="593">
        <v>218</v>
      </c>
      <c r="S857" s="593">
        <v>15</v>
      </c>
      <c r="T857" s="593">
        <v>2016</v>
      </c>
      <c r="U857" s="593">
        <v>2016</v>
      </c>
      <c r="V857" s="589"/>
      <c r="W857" s="589"/>
      <c r="X857" s="589"/>
      <c r="Y857" s="589"/>
      <c r="Z857" s="589"/>
      <c r="AA857" s="589"/>
      <c r="AB857" s="589"/>
      <c r="AC857" s="589"/>
      <c r="AD857" s="589"/>
      <c r="AE857" s="589"/>
      <c r="AF857" s="589"/>
      <c r="AG857" s="589"/>
      <c r="AH857" s="589"/>
      <c r="AI857" s="589"/>
      <c r="AJ857" s="589"/>
      <c r="AK857" s="589"/>
      <c r="AL857" s="589"/>
      <c r="AM857" s="589"/>
      <c r="AN857" s="589"/>
      <c r="AO857" s="589"/>
      <c r="AP857" s="589"/>
      <c r="AQ857" s="589"/>
      <c r="AR857" s="589"/>
      <c r="AS857" s="589"/>
    </row>
    <row r="858" spans="1:45" ht="15">
      <c r="A858" s="587" t="s">
        <v>145</v>
      </c>
      <c r="B858" s="587" t="s">
        <v>312</v>
      </c>
      <c r="C858" s="587" t="s">
        <v>784</v>
      </c>
      <c r="D858" s="588">
        <v>2016</v>
      </c>
      <c r="E858" s="587" t="s">
        <v>775</v>
      </c>
      <c r="F858" s="588">
        <v>212</v>
      </c>
      <c r="G858" s="588">
        <v>3</v>
      </c>
      <c r="H858" s="588">
        <v>0</v>
      </c>
      <c r="I858" s="588">
        <v>3</v>
      </c>
      <c r="J858" s="588">
        <v>135</v>
      </c>
      <c r="K858" s="588">
        <v>11</v>
      </c>
      <c r="L858" s="588">
        <v>0</v>
      </c>
      <c r="M858" s="588">
        <v>11</v>
      </c>
      <c r="N858" s="588">
        <v>146</v>
      </c>
      <c r="O858" s="588">
        <v>30</v>
      </c>
      <c r="P858" s="588">
        <v>366</v>
      </c>
      <c r="Q858" s="588">
        <v>27</v>
      </c>
      <c r="R858" s="588">
        <v>859</v>
      </c>
      <c r="S858" s="588">
        <v>71</v>
      </c>
      <c r="T858" s="588">
        <v>2016</v>
      </c>
      <c r="U858" s="588">
        <v>2014</v>
      </c>
      <c r="V858" s="589"/>
      <c r="W858" s="589"/>
      <c r="X858" s="589"/>
      <c r="Y858" s="589"/>
      <c r="Z858" s="589"/>
      <c r="AA858" s="589"/>
      <c r="AB858" s="589"/>
      <c r="AC858" s="589"/>
      <c r="AD858" s="589"/>
      <c r="AE858" s="589"/>
      <c r="AF858" s="589"/>
      <c r="AG858" s="589"/>
      <c r="AH858" s="589"/>
      <c r="AI858" s="589"/>
      <c r="AJ858" s="589"/>
      <c r="AK858" s="589"/>
      <c r="AL858" s="589"/>
      <c r="AM858" s="589"/>
      <c r="AN858" s="589"/>
      <c r="AO858" s="589"/>
      <c r="AP858" s="589"/>
      <c r="AQ858" s="589"/>
      <c r="AR858" s="589"/>
      <c r="AS858" s="589"/>
    </row>
    <row r="859" spans="1:45" ht="15">
      <c r="A859" s="590" t="s">
        <v>141</v>
      </c>
      <c r="B859" s="591" t="s">
        <v>295</v>
      </c>
      <c r="C859" s="591" t="s">
        <v>177</v>
      </c>
      <c r="D859" s="592">
        <v>2016</v>
      </c>
      <c r="E859" s="591" t="s">
        <v>775</v>
      </c>
      <c r="F859" s="592">
        <v>87</v>
      </c>
      <c r="G859" s="592">
        <v>0</v>
      </c>
      <c r="H859" s="592">
        <v>0</v>
      </c>
      <c r="I859" s="592">
        <v>0</v>
      </c>
      <c r="J859" s="592">
        <v>107</v>
      </c>
      <c r="K859" s="592">
        <v>22</v>
      </c>
      <c r="L859" s="592">
        <v>22</v>
      </c>
      <c r="M859" s="592">
        <v>0</v>
      </c>
      <c r="N859" s="593">
        <v>106</v>
      </c>
      <c r="O859" s="593">
        <v>34</v>
      </c>
      <c r="P859" s="593">
        <v>124</v>
      </c>
      <c r="Q859" s="593">
        <v>0</v>
      </c>
      <c r="R859" s="593">
        <v>424</v>
      </c>
      <c r="S859" s="593">
        <v>56</v>
      </c>
      <c r="T859" s="593">
        <v>2016</v>
      </c>
      <c r="U859" s="593">
        <v>2016</v>
      </c>
      <c r="V859" s="589"/>
      <c r="W859" s="589"/>
      <c r="X859" s="589"/>
      <c r="Y859" s="589"/>
      <c r="Z859" s="589"/>
      <c r="AA859" s="589"/>
      <c r="AB859" s="589"/>
      <c r="AC859" s="589"/>
      <c r="AD859" s="589"/>
      <c r="AE859" s="589"/>
      <c r="AF859" s="589"/>
      <c r="AG859" s="589"/>
      <c r="AH859" s="589"/>
      <c r="AI859" s="589"/>
      <c r="AJ859" s="589"/>
      <c r="AK859" s="589"/>
      <c r="AL859" s="589"/>
      <c r="AM859" s="589"/>
      <c r="AN859" s="589"/>
      <c r="AO859" s="589"/>
      <c r="AP859" s="589"/>
      <c r="AQ859" s="589"/>
      <c r="AR859" s="589"/>
      <c r="AS859" s="589"/>
    </row>
    <row r="860" spans="1:45" ht="15">
      <c r="A860" s="587" t="s">
        <v>146</v>
      </c>
      <c r="B860" s="587" t="s">
        <v>146</v>
      </c>
      <c r="C860" s="587" t="s">
        <v>812</v>
      </c>
      <c r="D860" s="588">
        <v>2016</v>
      </c>
      <c r="E860" s="587" t="s">
        <v>775</v>
      </c>
      <c r="F860" s="588">
        <v>349</v>
      </c>
      <c r="G860" s="588">
        <v>0</v>
      </c>
      <c r="H860" s="588">
        <v>0</v>
      </c>
      <c r="I860" s="588">
        <v>0</v>
      </c>
      <c r="J860" s="588">
        <v>205</v>
      </c>
      <c r="K860" s="588">
        <v>0</v>
      </c>
      <c r="L860" s="588">
        <v>0</v>
      </c>
      <c r="M860" s="588">
        <v>0</v>
      </c>
      <c r="N860" s="588">
        <v>202</v>
      </c>
      <c r="O860" s="588">
        <v>227</v>
      </c>
      <c r="P860" s="588">
        <v>553</v>
      </c>
      <c r="Q860" s="588">
        <v>40</v>
      </c>
      <c r="R860" s="588">
        <v>1309</v>
      </c>
      <c r="S860" s="588">
        <v>267</v>
      </c>
      <c r="T860" s="588">
        <v>2016</v>
      </c>
      <c r="U860" s="588">
        <v>2014</v>
      </c>
      <c r="V860" s="589"/>
      <c r="W860" s="589"/>
      <c r="X860" s="589"/>
      <c r="Y860" s="589"/>
      <c r="Z860" s="589"/>
      <c r="AA860" s="589"/>
      <c r="AB860" s="589"/>
      <c r="AC860" s="589"/>
      <c r="AD860" s="589"/>
      <c r="AE860" s="589"/>
      <c r="AF860" s="589"/>
      <c r="AG860" s="589"/>
      <c r="AH860" s="589"/>
      <c r="AI860" s="589"/>
      <c r="AJ860" s="589"/>
      <c r="AK860" s="589"/>
      <c r="AL860" s="589"/>
      <c r="AM860" s="589"/>
      <c r="AN860" s="589"/>
      <c r="AO860" s="589"/>
      <c r="AP860" s="589"/>
      <c r="AQ860" s="589"/>
      <c r="AR860" s="589"/>
      <c r="AS860" s="589"/>
    </row>
    <row r="861" spans="1:45" ht="15">
      <c r="A861" s="590" t="s">
        <v>179</v>
      </c>
      <c r="B861" s="591" t="s">
        <v>597</v>
      </c>
      <c r="C861" s="591" t="s">
        <v>855</v>
      </c>
      <c r="D861" s="592">
        <v>2016</v>
      </c>
      <c r="E861" s="591" t="s">
        <v>775</v>
      </c>
      <c r="F861" s="592">
        <v>63</v>
      </c>
      <c r="G861" s="592">
        <v>0</v>
      </c>
      <c r="H861" s="592">
        <v>0</v>
      </c>
      <c r="I861" s="592">
        <v>0</v>
      </c>
      <c r="J861" s="592">
        <v>48</v>
      </c>
      <c r="K861" s="592">
        <v>0</v>
      </c>
      <c r="L861" s="592">
        <v>0</v>
      </c>
      <c r="M861" s="592">
        <v>0</v>
      </c>
      <c r="N861" s="593">
        <v>45</v>
      </c>
      <c r="O861" s="593">
        <v>0</v>
      </c>
      <c r="P861" s="593">
        <v>98</v>
      </c>
      <c r="Q861" s="593">
        <v>13</v>
      </c>
      <c r="R861" s="593">
        <v>254</v>
      </c>
      <c r="S861" s="593">
        <v>13</v>
      </c>
      <c r="T861" s="593">
        <v>2016</v>
      </c>
      <c r="U861" s="593">
        <v>2013</v>
      </c>
      <c r="V861" s="589"/>
      <c r="W861" s="589"/>
      <c r="X861" s="589"/>
      <c r="Y861" s="589"/>
      <c r="Z861" s="589"/>
      <c r="AA861" s="589"/>
      <c r="AB861" s="589"/>
      <c r="AC861" s="589"/>
      <c r="AD861" s="589"/>
      <c r="AE861" s="589"/>
      <c r="AF861" s="589"/>
      <c r="AG861" s="589"/>
      <c r="AH861" s="589"/>
      <c r="AI861" s="589"/>
      <c r="AJ861" s="589"/>
      <c r="AK861" s="589"/>
      <c r="AL861" s="589"/>
      <c r="AM861" s="589"/>
      <c r="AN861" s="589"/>
      <c r="AO861" s="589"/>
      <c r="AP861" s="589"/>
      <c r="AQ861" s="589"/>
      <c r="AR861" s="589"/>
      <c r="AS861" s="589"/>
    </row>
    <row r="862" spans="1:45" ht="15">
      <c r="A862" s="587" t="s">
        <v>146</v>
      </c>
      <c r="B862" s="587" t="s">
        <v>320</v>
      </c>
      <c r="C862" s="587" t="s">
        <v>812</v>
      </c>
      <c r="D862" s="588">
        <v>2016</v>
      </c>
      <c r="E862" s="587" t="s">
        <v>775</v>
      </c>
      <c r="F862" s="588">
        <v>1633</v>
      </c>
      <c r="G862" s="588">
        <v>0</v>
      </c>
      <c r="H862" s="588">
        <v>0</v>
      </c>
      <c r="I862" s="588">
        <v>0</v>
      </c>
      <c r="J862" s="588">
        <v>1001</v>
      </c>
      <c r="K862" s="588">
        <v>0</v>
      </c>
      <c r="L862" s="588">
        <v>0</v>
      </c>
      <c r="M862" s="588">
        <v>0</v>
      </c>
      <c r="N862" s="588">
        <v>1001</v>
      </c>
      <c r="O862" s="588">
        <v>24</v>
      </c>
      <c r="P862" s="588">
        <v>2839</v>
      </c>
      <c r="Q862" s="588">
        <v>0</v>
      </c>
      <c r="R862" s="588">
        <v>6474</v>
      </c>
      <c r="S862" s="588">
        <v>24</v>
      </c>
      <c r="T862" s="588">
        <v>2016</v>
      </c>
      <c r="U862" s="588">
        <v>2014</v>
      </c>
      <c r="V862" s="589"/>
      <c r="W862" s="589"/>
      <c r="X862" s="589"/>
      <c r="Y862" s="589"/>
      <c r="Z862" s="589"/>
      <c r="AA862" s="589"/>
      <c r="AB862" s="589"/>
      <c r="AC862" s="589"/>
      <c r="AD862" s="589"/>
      <c r="AE862" s="589"/>
      <c r="AF862" s="589"/>
      <c r="AG862" s="589"/>
      <c r="AH862" s="589"/>
      <c r="AI862" s="589"/>
      <c r="AJ862" s="589"/>
      <c r="AK862" s="589"/>
      <c r="AL862" s="589"/>
      <c r="AM862" s="589"/>
      <c r="AN862" s="589"/>
      <c r="AO862" s="589"/>
      <c r="AP862" s="589"/>
      <c r="AQ862" s="589"/>
      <c r="AR862" s="589"/>
      <c r="AS862" s="589"/>
    </row>
    <row r="863" spans="1:45" ht="15">
      <c r="A863" s="590" t="s">
        <v>173</v>
      </c>
      <c r="B863" s="591" t="s">
        <v>539</v>
      </c>
      <c r="C863" s="591" t="s">
        <v>812</v>
      </c>
      <c r="D863" s="592">
        <v>2016</v>
      </c>
      <c r="E863" s="591" t="s">
        <v>775</v>
      </c>
      <c r="F863" s="592">
        <v>40</v>
      </c>
      <c r="G863" s="592">
        <v>0</v>
      </c>
      <c r="H863" s="592">
        <v>0</v>
      </c>
      <c r="I863" s="592">
        <v>0</v>
      </c>
      <c r="J863" s="592">
        <v>27</v>
      </c>
      <c r="K863" s="592">
        <v>0</v>
      </c>
      <c r="L863" s="592">
        <v>0</v>
      </c>
      <c r="M863" s="592">
        <v>0</v>
      </c>
      <c r="N863" s="593">
        <v>31</v>
      </c>
      <c r="O863" s="593">
        <v>0</v>
      </c>
      <c r="P863" s="593">
        <v>62</v>
      </c>
      <c r="Q863" s="593">
        <v>36</v>
      </c>
      <c r="R863" s="593">
        <v>160</v>
      </c>
      <c r="S863" s="593">
        <v>36</v>
      </c>
      <c r="T863" s="593">
        <v>2016</v>
      </c>
      <c r="U863" s="593">
        <v>2014</v>
      </c>
      <c r="V863" s="589"/>
      <c r="W863" s="589"/>
      <c r="X863" s="589"/>
      <c r="Y863" s="589"/>
      <c r="Z863" s="589"/>
      <c r="AA863" s="589"/>
      <c r="AB863" s="589"/>
      <c r="AC863" s="589"/>
      <c r="AD863" s="589"/>
      <c r="AE863" s="589"/>
      <c r="AF863" s="589"/>
      <c r="AG863" s="589"/>
      <c r="AH863" s="589"/>
      <c r="AI863" s="589"/>
      <c r="AJ863" s="589"/>
      <c r="AK863" s="589"/>
      <c r="AL863" s="589"/>
      <c r="AM863" s="589"/>
      <c r="AN863" s="589"/>
      <c r="AO863" s="589"/>
      <c r="AP863" s="589"/>
      <c r="AQ863" s="589"/>
      <c r="AR863" s="589"/>
      <c r="AS863" s="589"/>
    </row>
    <row r="864" spans="1:45" ht="15">
      <c r="A864" s="587" t="s">
        <v>173</v>
      </c>
      <c r="B864" s="587" t="s">
        <v>540</v>
      </c>
      <c r="C864" s="587" t="s">
        <v>812</v>
      </c>
      <c r="D864" s="588">
        <v>2016</v>
      </c>
      <c r="E864" s="587" t="s">
        <v>775</v>
      </c>
      <c r="F864" s="588">
        <v>714</v>
      </c>
      <c r="G864" s="588">
        <v>0</v>
      </c>
      <c r="H864" s="588">
        <v>0</v>
      </c>
      <c r="I864" s="588">
        <v>0</v>
      </c>
      <c r="J864" s="588">
        <v>487</v>
      </c>
      <c r="K864" s="588">
        <v>0</v>
      </c>
      <c r="L864" s="588">
        <v>0</v>
      </c>
      <c r="M864" s="588">
        <v>0</v>
      </c>
      <c r="N864" s="588">
        <v>553</v>
      </c>
      <c r="O864" s="588">
        <v>0</v>
      </c>
      <c r="P864" s="588">
        <v>1271</v>
      </c>
      <c r="Q864" s="588">
        <v>228</v>
      </c>
      <c r="R864" s="588">
        <v>3025</v>
      </c>
      <c r="S864" s="588">
        <v>228</v>
      </c>
      <c r="T864" s="588">
        <v>2016</v>
      </c>
      <c r="U864" s="588">
        <v>2014</v>
      </c>
      <c r="V864" s="589"/>
      <c r="W864" s="589"/>
      <c r="X864" s="589"/>
      <c r="Y864" s="589"/>
      <c r="Z864" s="589"/>
      <c r="AA864" s="589"/>
      <c r="AB864" s="589"/>
      <c r="AC864" s="589"/>
      <c r="AD864" s="589"/>
      <c r="AE864" s="589"/>
      <c r="AF864" s="589"/>
      <c r="AG864" s="589"/>
      <c r="AH864" s="589"/>
      <c r="AI864" s="589"/>
      <c r="AJ864" s="589"/>
      <c r="AK864" s="589"/>
      <c r="AL864" s="589"/>
      <c r="AM864" s="589"/>
      <c r="AN864" s="589"/>
      <c r="AO864" s="589"/>
      <c r="AP864" s="589"/>
      <c r="AQ864" s="589"/>
      <c r="AR864" s="589"/>
      <c r="AS864" s="589"/>
    </row>
    <row r="865" spans="1:45" ht="15">
      <c r="A865" s="590" t="s">
        <v>153</v>
      </c>
      <c r="B865" s="591" t="s">
        <v>382</v>
      </c>
      <c r="C865" s="591" t="s">
        <v>812</v>
      </c>
      <c r="D865" s="592">
        <v>2016</v>
      </c>
      <c r="E865" s="591" t="s">
        <v>775</v>
      </c>
      <c r="F865" s="592">
        <v>250</v>
      </c>
      <c r="G865" s="592">
        <v>0</v>
      </c>
      <c r="H865" s="592">
        <v>0</v>
      </c>
      <c r="I865" s="592">
        <v>0</v>
      </c>
      <c r="J865" s="592">
        <v>150</v>
      </c>
      <c r="K865" s="592">
        <v>0</v>
      </c>
      <c r="L865" s="592">
        <v>0</v>
      </c>
      <c r="M865" s="592">
        <v>0</v>
      </c>
      <c r="N865" s="593">
        <v>167</v>
      </c>
      <c r="O865" s="593">
        <v>0</v>
      </c>
      <c r="P865" s="593">
        <v>446</v>
      </c>
      <c r="Q865" s="593">
        <v>12</v>
      </c>
      <c r="R865" s="593">
        <v>1013</v>
      </c>
      <c r="S865" s="593">
        <v>12</v>
      </c>
      <c r="T865" s="593">
        <v>2016</v>
      </c>
      <c r="U865" s="593">
        <v>2014</v>
      </c>
      <c r="V865" s="589"/>
      <c r="W865" s="589"/>
      <c r="X865" s="589"/>
      <c r="Y865" s="589"/>
      <c r="Z865" s="589"/>
      <c r="AA865" s="589"/>
      <c r="AB865" s="589"/>
      <c r="AC865" s="589"/>
      <c r="AD865" s="589"/>
      <c r="AE865" s="589"/>
      <c r="AF865" s="589"/>
      <c r="AG865" s="589"/>
      <c r="AH865" s="589"/>
      <c r="AI865" s="589"/>
      <c r="AJ865" s="589"/>
      <c r="AK865" s="589"/>
      <c r="AL865" s="589"/>
      <c r="AM865" s="589"/>
      <c r="AN865" s="589"/>
      <c r="AO865" s="589"/>
      <c r="AP865" s="589"/>
      <c r="AQ865" s="589"/>
      <c r="AR865" s="589"/>
      <c r="AS865" s="589"/>
    </row>
    <row r="866" spans="1:45" ht="15">
      <c r="A866" s="587" t="s">
        <v>147</v>
      </c>
      <c r="B866" s="587" t="s">
        <v>323</v>
      </c>
      <c r="C866" s="587" t="s">
        <v>784</v>
      </c>
      <c r="D866" s="588">
        <v>2016</v>
      </c>
      <c r="E866" s="587" t="s">
        <v>775</v>
      </c>
      <c r="F866" s="588">
        <v>35</v>
      </c>
      <c r="G866" s="588">
        <v>0</v>
      </c>
      <c r="H866" s="588">
        <v>0</v>
      </c>
      <c r="I866" s="588">
        <v>0</v>
      </c>
      <c r="J866" s="588">
        <v>25</v>
      </c>
      <c r="K866" s="588">
        <v>0</v>
      </c>
      <c r="L866" s="588">
        <v>0</v>
      </c>
      <c r="M866" s="588">
        <v>0</v>
      </c>
      <c r="N866" s="588">
        <v>28</v>
      </c>
      <c r="O866" s="588">
        <v>0</v>
      </c>
      <c r="P866" s="588">
        <v>72</v>
      </c>
      <c r="Q866" s="588">
        <v>9</v>
      </c>
      <c r="R866" s="588">
        <v>160</v>
      </c>
      <c r="S866" s="588">
        <v>9</v>
      </c>
      <c r="T866" s="588">
        <v>2016</v>
      </c>
      <c r="U866" s="588">
        <v>2014</v>
      </c>
      <c r="V866" s="589"/>
      <c r="W866" s="589"/>
      <c r="X866" s="589"/>
      <c r="Y866" s="589"/>
      <c r="Z866" s="589"/>
      <c r="AA866" s="589"/>
      <c r="AB866" s="589"/>
      <c r="AC866" s="589"/>
      <c r="AD866" s="589"/>
      <c r="AE866" s="589"/>
      <c r="AF866" s="589"/>
      <c r="AG866" s="589"/>
      <c r="AH866" s="589"/>
      <c r="AI866" s="589"/>
      <c r="AJ866" s="589"/>
      <c r="AK866" s="589"/>
      <c r="AL866" s="589"/>
      <c r="AM866" s="589"/>
      <c r="AN866" s="589"/>
      <c r="AO866" s="589"/>
      <c r="AP866" s="589"/>
      <c r="AQ866" s="589"/>
      <c r="AR866" s="589"/>
      <c r="AS866" s="589"/>
    </row>
    <row r="867" spans="1:45" ht="15">
      <c r="A867" s="590" t="s">
        <v>130</v>
      </c>
      <c r="B867" s="591" t="s">
        <v>251</v>
      </c>
      <c r="C867" s="591" t="s">
        <v>784</v>
      </c>
      <c r="D867" s="592">
        <v>2016</v>
      </c>
      <c r="E867" s="591" t="s">
        <v>775</v>
      </c>
      <c r="F867" s="592">
        <v>3</v>
      </c>
      <c r="G867" s="592">
        <v>0</v>
      </c>
      <c r="H867" s="592">
        <v>0</v>
      </c>
      <c r="I867" s="592">
        <v>0</v>
      </c>
      <c r="J867" s="592">
        <v>3</v>
      </c>
      <c r="K867" s="592">
        <v>0</v>
      </c>
      <c r="L867" s="592">
        <v>0</v>
      </c>
      <c r="M867" s="592">
        <v>0</v>
      </c>
      <c r="N867" s="593">
        <v>3</v>
      </c>
      <c r="O867" s="593">
        <v>0</v>
      </c>
      <c r="P867" s="593">
        <v>7</v>
      </c>
      <c r="Q867" s="593">
        <v>3</v>
      </c>
      <c r="R867" s="593">
        <v>16</v>
      </c>
      <c r="S867" s="593">
        <v>3</v>
      </c>
      <c r="T867" s="593">
        <v>2016</v>
      </c>
      <c r="U867" s="593">
        <v>2014</v>
      </c>
      <c r="V867" s="589"/>
      <c r="W867" s="589"/>
      <c r="X867" s="589"/>
      <c r="Y867" s="589"/>
      <c r="Z867" s="589"/>
      <c r="AA867" s="589"/>
      <c r="AB867" s="589"/>
      <c r="AC867" s="589"/>
      <c r="AD867" s="589"/>
      <c r="AE867" s="589"/>
      <c r="AF867" s="589"/>
      <c r="AG867" s="589"/>
      <c r="AH867" s="589"/>
      <c r="AI867" s="589"/>
      <c r="AJ867" s="589"/>
      <c r="AK867" s="589"/>
      <c r="AL867" s="589"/>
      <c r="AM867" s="589"/>
      <c r="AN867" s="589"/>
      <c r="AO867" s="589"/>
      <c r="AP867" s="589"/>
      <c r="AQ867" s="589"/>
      <c r="AR867" s="589"/>
      <c r="AS867" s="589"/>
    </row>
    <row r="868" spans="1:45" ht="15">
      <c r="A868" s="587" t="s">
        <v>169</v>
      </c>
      <c r="B868" s="587" t="s">
        <v>496</v>
      </c>
      <c r="C868" s="587" t="s">
        <v>812</v>
      </c>
      <c r="D868" s="588">
        <v>2016</v>
      </c>
      <c r="E868" s="587" t="s">
        <v>775</v>
      </c>
      <c r="F868" s="588">
        <v>2817</v>
      </c>
      <c r="G868" s="588">
        <v>724</v>
      </c>
      <c r="H868" s="588">
        <v>724</v>
      </c>
      <c r="I868" s="588">
        <v>0</v>
      </c>
      <c r="J868" s="588">
        <v>2034</v>
      </c>
      <c r="K868" s="588">
        <v>2</v>
      </c>
      <c r="L868" s="588">
        <v>2</v>
      </c>
      <c r="M868" s="588">
        <v>0</v>
      </c>
      <c r="N868" s="588">
        <v>2239</v>
      </c>
      <c r="O868" s="588">
        <v>4582</v>
      </c>
      <c r="P868" s="588">
        <v>5059</v>
      </c>
      <c r="Q868" s="588">
        <v>2987</v>
      </c>
      <c r="R868" s="588">
        <v>12149</v>
      </c>
      <c r="S868" s="588">
        <v>8295</v>
      </c>
      <c r="T868" s="588">
        <v>2016</v>
      </c>
      <c r="U868" s="588">
        <v>2014</v>
      </c>
      <c r="V868" s="589"/>
      <c r="W868" s="589"/>
      <c r="X868" s="589"/>
      <c r="Y868" s="589"/>
      <c r="Z868" s="589"/>
      <c r="AA868" s="589"/>
      <c r="AB868" s="589"/>
      <c r="AC868" s="589"/>
      <c r="AD868" s="589"/>
      <c r="AE868" s="589"/>
      <c r="AF868" s="589"/>
      <c r="AG868" s="589"/>
      <c r="AH868" s="589"/>
      <c r="AI868" s="589"/>
      <c r="AJ868" s="589"/>
      <c r="AK868" s="589"/>
      <c r="AL868" s="589"/>
      <c r="AM868" s="589"/>
      <c r="AN868" s="589"/>
      <c r="AO868" s="589"/>
      <c r="AP868" s="589"/>
      <c r="AQ868" s="589"/>
      <c r="AR868" s="589"/>
      <c r="AS868" s="589"/>
    </row>
    <row r="869" spans="1:45" ht="15">
      <c r="A869" s="590" t="s">
        <v>130</v>
      </c>
      <c r="B869" s="591" t="s">
        <v>252</v>
      </c>
      <c r="C869" s="591" t="s">
        <v>784</v>
      </c>
      <c r="D869" s="592">
        <v>2016</v>
      </c>
      <c r="E869" s="591" t="s">
        <v>775</v>
      </c>
      <c r="F869" s="592">
        <v>4</v>
      </c>
      <c r="G869" s="592">
        <v>0</v>
      </c>
      <c r="H869" s="592">
        <v>0</v>
      </c>
      <c r="I869" s="592">
        <v>0</v>
      </c>
      <c r="J869" s="592">
        <v>3</v>
      </c>
      <c r="K869" s="592">
        <v>0</v>
      </c>
      <c r="L869" s="592">
        <v>0</v>
      </c>
      <c r="M869" s="592">
        <v>0</v>
      </c>
      <c r="N869" s="593">
        <v>4</v>
      </c>
      <c r="O869" s="593">
        <v>4</v>
      </c>
      <c r="P869" s="593">
        <v>8</v>
      </c>
      <c r="Q869" s="593">
        <v>0</v>
      </c>
      <c r="R869" s="593">
        <v>19</v>
      </c>
      <c r="S869" s="593">
        <v>4</v>
      </c>
      <c r="T869" s="593">
        <v>2016</v>
      </c>
      <c r="U869" s="593">
        <v>2014</v>
      </c>
      <c r="V869" s="589"/>
      <c r="W869" s="589"/>
      <c r="X869" s="589"/>
      <c r="Y869" s="589"/>
      <c r="Z869" s="589"/>
      <c r="AA869" s="589"/>
      <c r="AB869" s="589"/>
      <c r="AC869" s="589"/>
      <c r="AD869" s="589"/>
      <c r="AE869" s="589"/>
      <c r="AF869" s="589"/>
      <c r="AG869" s="589"/>
      <c r="AH869" s="589"/>
      <c r="AI869" s="589"/>
      <c r="AJ869" s="589"/>
      <c r="AK869" s="589"/>
      <c r="AL869" s="589"/>
      <c r="AM869" s="589"/>
      <c r="AN869" s="589"/>
      <c r="AO869" s="589"/>
      <c r="AP869" s="589"/>
      <c r="AQ869" s="589"/>
      <c r="AR869" s="589"/>
      <c r="AS869" s="589"/>
    </row>
    <row r="870" spans="1:45" ht="15">
      <c r="A870" s="587" t="s">
        <v>148</v>
      </c>
      <c r="B870" s="587" t="s">
        <v>328</v>
      </c>
      <c r="C870" s="587" t="s">
        <v>177</v>
      </c>
      <c r="D870" s="588">
        <v>2016</v>
      </c>
      <c r="E870" s="587" t="s">
        <v>775</v>
      </c>
      <c r="F870" s="588">
        <v>4888</v>
      </c>
      <c r="G870" s="588">
        <v>103</v>
      </c>
      <c r="H870" s="588">
        <v>103</v>
      </c>
      <c r="I870" s="588">
        <v>0</v>
      </c>
      <c r="J870" s="588">
        <v>3107</v>
      </c>
      <c r="K870" s="588">
        <v>57</v>
      </c>
      <c r="L870" s="588">
        <v>57</v>
      </c>
      <c r="M870" s="588">
        <v>0</v>
      </c>
      <c r="N870" s="588">
        <v>3126</v>
      </c>
      <c r="O870" s="588">
        <v>0</v>
      </c>
      <c r="P870" s="588">
        <v>10462</v>
      </c>
      <c r="Q870" s="588">
        <v>3</v>
      </c>
      <c r="R870" s="588">
        <v>21583</v>
      </c>
      <c r="S870" s="588">
        <v>163</v>
      </c>
      <c r="T870" s="588">
        <v>2016</v>
      </c>
      <c r="U870" s="588">
        <v>2016</v>
      </c>
      <c r="V870" s="589"/>
      <c r="W870" s="589"/>
      <c r="X870" s="589"/>
      <c r="Y870" s="589"/>
      <c r="Z870" s="589"/>
      <c r="AA870" s="589"/>
      <c r="AB870" s="589"/>
      <c r="AC870" s="589"/>
      <c r="AD870" s="589"/>
      <c r="AE870" s="589"/>
      <c r="AF870" s="589"/>
      <c r="AG870" s="589"/>
      <c r="AH870" s="589"/>
      <c r="AI870" s="589"/>
      <c r="AJ870" s="589"/>
      <c r="AK870" s="589"/>
      <c r="AL870" s="589"/>
      <c r="AM870" s="589"/>
      <c r="AN870" s="589"/>
      <c r="AO870" s="589"/>
      <c r="AP870" s="589"/>
      <c r="AQ870" s="589"/>
      <c r="AR870" s="589"/>
      <c r="AS870" s="589"/>
    </row>
    <row r="871" spans="1:45" ht="15">
      <c r="A871" s="590" t="s">
        <v>164</v>
      </c>
      <c r="B871" s="591" t="s">
        <v>468</v>
      </c>
      <c r="C871" s="591" t="s">
        <v>177</v>
      </c>
      <c r="D871" s="592">
        <v>2016</v>
      </c>
      <c r="E871" s="591" t="s">
        <v>775</v>
      </c>
      <c r="F871" s="592">
        <v>43</v>
      </c>
      <c r="G871" s="592">
        <v>0</v>
      </c>
      <c r="H871" s="592">
        <v>0</v>
      </c>
      <c r="I871" s="592">
        <v>0</v>
      </c>
      <c r="J871" s="592">
        <v>28</v>
      </c>
      <c r="K871" s="592">
        <v>4</v>
      </c>
      <c r="L871" s="592">
        <v>4</v>
      </c>
      <c r="M871" s="592">
        <v>0</v>
      </c>
      <c r="N871" s="593">
        <v>33</v>
      </c>
      <c r="O871" s="593">
        <v>1</v>
      </c>
      <c r="P871" s="593">
        <v>76</v>
      </c>
      <c r="Q871" s="593">
        <v>30</v>
      </c>
      <c r="R871" s="593">
        <v>180</v>
      </c>
      <c r="S871" s="593">
        <v>35</v>
      </c>
      <c r="T871" s="593">
        <v>2016</v>
      </c>
      <c r="U871" s="593">
        <v>2016</v>
      </c>
      <c r="V871" s="589"/>
      <c r="W871" s="589"/>
      <c r="X871" s="589"/>
      <c r="Y871" s="589"/>
      <c r="Z871" s="589"/>
      <c r="AA871" s="589"/>
      <c r="AB871" s="589"/>
      <c r="AC871" s="589"/>
      <c r="AD871" s="589"/>
      <c r="AE871" s="589"/>
      <c r="AF871" s="589"/>
      <c r="AG871" s="589"/>
      <c r="AH871" s="589"/>
      <c r="AI871" s="589"/>
      <c r="AJ871" s="589"/>
      <c r="AK871" s="589"/>
      <c r="AL871" s="589"/>
      <c r="AM871" s="589"/>
      <c r="AN871" s="589"/>
      <c r="AO871" s="589"/>
      <c r="AP871" s="589"/>
      <c r="AQ871" s="589"/>
      <c r="AR871" s="589"/>
      <c r="AS871" s="589"/>
    </row>
    <row r="872" spans="1:45" ht="15">
      <c r="A872" s="587" t="s">
        <v>153</v>
      </c>
      <c r="B872" s="587" t="s">
        <v>384</v>
      </c>
      <c r="C872" s="587" t="s">
        <v>812</v>
      </c>
      <c r="D872" s="588">
        <v>2016</v>
      </c>
      <c r="E872" s="587" t="s">
        <v>775</v>
      </c>
      <c r="F872" s="588">
        <v>30</v>
      </c>
      <c r="G872" s="588">
        <v>0</v>
      </c>
      <c r="H872" s="588">
        <v>0</v>
      </c>
      <c r="I872" s="588">
        <v>0</v>
      </c>
      <c r="J872" s="588">
        <v>18</v>
      </c>
      <c r="K872" s="588">
        <v>0</v>
      </c>
      <c r="L872" s="588">
        <v>0</v>
      </c>
      <c r="M872" s="588">
        <v>0</v>
      </c>
      <c r="N872" s="588">
        <v>20</v>
      </c>
      <c r="O872" s="588">
        <v>0</v>
      </c>
      <c r="P872" s="588">
        <v>44</v>
      </c>
      <c r="Q872" s="588">
        <v>0</v>
      </c>
      <c r="R872" s="588">
        <v>112</v>
      </c>
      <c r="S872" s="588">
        <v>0</v>
      </c>
      <c r="T872" s="588">
        <v>2016</v>
      </c>
      <c r="U872" s="588">
        <v>2014</v>
      </c>
      <c r="V872" s="589"/>
      <c r="W872" s="589"/>
      <c r="X872" s="589"/>
      <c r="Y872" s="589"/>
      <c r="Z872" s="589"/>
      <c r="AA872" s="589"/>
      <c r="AB872" s="589"/>
      <c r="AC872" s="589"/>
      <c r="AD872" s="589"/>
      <c r="AE872" s="589"/>
      <c r="AF872" s="589"/>
      <c r="AG872" s="589"/>
      <c r="AH872" s="589"/>
      <c r="AI872" s="589"/>
      <c r="AJ872" s="589"/>
      <c r="AK872" s="589"/>
      <c r="AL872" s="589"/>
      <c r="AM872" s="589"/>
      <c r="AN872" s="589"/>
      <c r="AO872" s="589"/>
      <c r="AP872" s="589"/>
      <c r="AQ872" s="589"/>
      <c r="AR872" s="589"/>
      <c r="AS872" s="589"/>
    </row>
    <row r="873" spans="1:45" ht="15">
      <c r="A873" s="590" t="s">
        <v>169</v>
      </c>
      <c r="B873" s="591" t="s">
        <v>497</v>
      </c>
      <c r="C873" s="591" t="s">
        <v>812</v>
      </c>
      <c r="D873" s="592">
        <v>2016</v>
      </c>
      <c r="E873" s="591" t="s">
        <v>775</v>
      </c>
      <c r="F873" s="592">
        <v>1</v>
      </c>
      <c r="G873" s="592">
        <v>0</v>
      </c>
      <c r="H873" s="592">
        <v>0</v>
      </c>
      <c r="I873" s="592">
        <v>0</v>
      </c>
      <c r="J873" s="592">
        <v>1</v>
      </c>
      <c r="K873" s="592">
        <v>0</v>
      </c>
      <c r="L873" s="592">
        <v>0</v>
      </c>
      <c r="M873" s="592">
        <v>0</v>
      </c>
      <c r="N873" s="593">
        <v>1</v>
      </c>
      <c r="O873" s="593">
        <v>0</v>
      </c>
      <c r="P873" s="593">
        <v>1</v>
      </c>
      <c r="Q873" s="593">
        <v>357</v>
      </c>
      <c r="R873" s="593">
        <v>4</v>
      </c>
      <c r="S873" s="593">
        <v>357</v>
      </c>
      <c r="T873" s="593">
        <v>2016</v>
      </c>
      <c r="U873" s="593">
        <v>2014</v>
      </c>
      <c r="V873" s="589"/>
      <c r="W873" s="589"/>
      <c r="X873" s="589"/>
      <c r="Y873" s="589"/>
      <c r="Z873" s="589"/>
      <c r="AA873" s="589"/>
      <c r="AB873" s="589"/>
      <c r="AC873" s="589"/>
      <c r="AD873" s="589"/>
      <c r="AE873" s="589"/>
      <c r="AF873" s="589"/>
      <c r="AG873" s="589"/>
      <c r="AH873" s="589"/>
      <c r="AI873" s="589"/>
      <c r="AJ873" s="589"/>
      <c r="AK873" s="589"/>
      <c r="AL873" s="589"/>
      <c r="AM873" s="589"/>
      <c r="AN873" s="589"/>
      <c r="AO873" s="589"/>
      <c r="AP873" s="589"/>
      <c r="AQ873" s="589"/>
      <c r="AR873" s="589"/>
      <c r="AS873" s="589"/>
    </row>
    <row r="874" spans="1:45" ht="15">
      <c r="A874" s="587" t="s">
        <v>179</v>
      </c>
      <c r="B874" s="587" t="s">
        <v>598</v>
      </c>
      <c r="C874" s="587" t="s">
        <v>855</v>
      </c>
      <c r="D874" s="588">
        <v>2016</v>
      </c>
      <c r="E874" s="587" t="s">
        <v>775</v>
      </c>
      <c r="F874" s="588">
        <v>430</v>
      </c>
      <c r="G874" s="588">
        <v>0</v>
      </c>
      <c r="H874" s="588">
        <v>0</v>
      </c>
      <c r="I874" s="588">
        <v>0</v>
      </c>
      <c r="J874" s="588">
        <v>326</v>
      </c>
      <c r="K874" s="588">
        <v>0</v>
      </c>
      <c r="L874" s="588">
        <v>0</v>
      </c>
      <c r="M874" s="588">
        <v>0</v>
      </c>
      <c r="N874" s="588">
        <v>302</v>
      </c>
      <c r="O874" s="588">
        <v>0</v>
      </c>
      <c r="P874" s="588">
        <v>664</v>
      </c>
      <c r="Q874" s="588">
        <v>106</v>
      </c>
      <c r="R874" s="588">
        <v>1722</v>
      </c>
      <c r="S874" s="588">
        <v>106</v>
      </c>
      <c r="T874" s="588">
        <v>2016</v>
      </c>
      <c r="U874" s="588">
        <v>2013</v>
      </c>
      <c r="V874" s="589"/>
      <c r="W874" s="589"/>
      <c r="X874" s="589"/>
      <c r="Y874" s="589"/>
      <c r="Z874" s="589"/>
      <c r="AA874" s="589"/>
      <c r="AB874" s="589"/>
      <c r="AC874" s="589"/>
      <c r="AD874" s="589"/>
      <c r="AE874" s="589"/>
      <c r="AF874" s="589"/>
      <c r="AG874" s="589"/>
      <c r="AH874" s="589"/>
      <c r="AI874" s="589"/>
      <c r="AJ874" s="589"/>
      <c r="AK874" s="589"/>
      <c r="AL874" s="589"/>
      <c r="AM874" s="589"/>
      <c r="AN874" s="589"/>
      <c r="AO874" s="589"/>
      <c r="AP874" s="589"/>
      <c r="AQ874" s="589"/>
      <c r="AR874" s="589"/>
      <c r="AS874" s="589"/>
    </row>
    <row r="875" spans="1:45" ht="15">
      <c r="A875" s="590" t="s">
        <v>169</v>
      </c>
      <c r="B875" s="591" t="s">
        <v>498</v>
      </c>
      <c r="C875" s="591" t="s">
        <v>812</v>
      </c>
      <c r="D875" s="592">
        <v>2016</v>
      </c>
      <c r="E875" s="591" t="s">
        <v>775</v>
      </c>
      <c r="F875" s="592">
        <v>2</v>
      </c>
      <c r="G875" s="592">
        <v>0</v>
      </c>
      <c r="H875" s="592">
        <v>0</v>
      </c>
      <c r="I875" s="592">
        <v>0</v>
      </c>
      <c r="J875" s="592">
        <v>2</v>
      </c>
      <c r="K875" s="592">
        <v>0</v>
      </c>
      <c r="L875" s="592">
        <v>0</v>
      </c>
      <c r="M875" s="592">
        <v>0</v>
      </c>
      <c r="N875" s="593">
        <v>2</v>
      </c>
      <c r="O875" s="593">
        <v>0</v>
      </c>
      <c r="P875" s="593">
        <v>3</v>
      </c>
      <c r="Q875" s="593">
        <v>0</v>
      </c>
      <c r="R875" s="593">
        <v>9</v>
      </c>
      <c r="S875" s="593">
        <v>0</v>
      </c>
      <c r="T875" s="593">
        <v>2016</v>
      </c>
      <c r="U875" s="593">
        <v>2014</v>
      </c>
      <c r="V875" s="589"/>
      <c r="W875" s="589"/>
      <c r="X875" s="589"/>
      <c r="Y875" s="589"/>
      <c r="Z875" s="589"/>
      <c r="AA875" s="589"/>
      <c r="AB875" s="589"/>
      <c r="AC875" s="589"/>
      <c r="AD875" s="589"/>
      <c r="AE875" s="589"/>
      <c r="AF875" s="589"/>
      <c r="AG875" s="589"/>
      <c r="AH875" s="589"/>
      <c r="AI875" s="589"/>
      <c r="AJ875" s="589"/>
      <c r="AK875" s="589"/>
      <c r="AL875" s="589"/>
      <c r="AM875" s="589"/>
      <c r="AN875" s="589"/>
      <c r="AO875" s="589"/>
      <c r="AP875" s="589"/>
      <c r="AQ875" s="589"/>
      <c r="AR875" s="589"/>
      <c r="AS875" s="589"/>
    </row>
    <row r="876" spans="1:45" ht="15">
      <c r="A876" s="587" t="s">
        <v>153</v>
      </c>
      <c r="B876" s="587" t="s">
        <v>388</v>
      </c>
      <c r="C876" s="587" t="s">
        <v>812</v>
      </c>
      <c r="D876" s="588">
        <v>2016</v>
      </c>
      <c r="E876" s="587" t="s">
        <v>775</v>
      </c>
      <c r="F876" s="588">
        <v>147</v>
      </c>
      <c r="G876" s="588">
        <v>0</v>
      </c>
      <c r="H876" s="588">
        <v>0</v>
      </c>
      <c r="I876" s="588">
        <v>0</v>
      </c>
      <c r="J876" s="588">
        <v>88</v>
      </c>
      <c r="K876" s="588">
        <v>0</v>
      </c>
      <c r="L876" s="588">
        <v>0</v>
      </c>
      <c r="M876" s="588">
        <v>0</v>
      </c>
      <c r="N876" s="588">
        <v>94</v>
      </c>
      <c r="O876" s="588">
        <v>0</v>
      </c>
      <c r="P876" s="588">
        <v>233</v>
      </c>
      <c r="Q876" s="588">
        <v>10</v>
      </c>
      <c r="R876" s="588">
        <v>562</v>
      </c>
      <c r="S876" s="588">
        <v>10</v>
      </c>
      <c r="T876" s="588">
        <v>2016</v>
      </c>
      <c r="U876" s="588">
        <v>2014</v>
      </c>
      <c r="V876" s="589"/>
      <c r="W876" s="589"/>
      <c r="X876" s="589"/>
      <c r="Y876" s="589"/>
      <c r="Z876" s="589"/>
      <c r="AA876" s="589"/>
      <c r="AB876" s="589"/>
      <c r="AC876" s="589"/>
      <c r="AD876" s="589"/>
      <c r="AE876" s="589"/>
      <c r="AF876" s="589"/>
      <c r="AG876" s="589"/>
      <c r="AH876" s="589"/>
      <c r="AI876" s="589"/>
      <c r="AJ876" s="589"/>
      <c r="AK876" s="589"/>
      <c r="AL876" s="589"/>
      <c r="AM876" s="589"/>
      <c r="AN876" s="589"/>
      <c r="AO876" s="589"/>
      <c r="AP876" s="589"/>
      <c r="AQ876" s="589"/>
      <c r="AR876" s="589"/>
      <c r="AS876" s="589"/>
    </row>
    <row r="877" spans="1:45" ht="15">
      <c r="A877" s="590" t="s">
        <v>136</v>
      </c>
      <c r="B877" s="591" t="s">
        <v>273</v>
      </c>
      <c r="C877" s="591" t="s">
        <v>774</v>
      </c>
      <c r="D877" s="592">
        <v>2016</v>
      </c>
      <c r="E877" s="591" t="s">
        <v>775</v>
      </c>
      <c r="F877" s="592">
        <v>138</v>
      </c>
      <c r="G877" s="592">
        <v>2</v>
      </c>
      <c r="H877" s="592">
        <v>2</v>
      </c>
      <c r="I877" s="592">
        <v>0</v>
      </c>
      <c r="J877" s="592">
        <v>78</v>
      </c>
      <c r="K877" s="592">
        <v>2</v>
      </c>
      <c r="L877" s="592">
        <v>2</v>
      </c>
      <c r="M877" s="592">
        <v>0</v>
      </c>
      <c r="N877" s="593">
        <v>85</v>
      </c>
      <c r="O877" s="593">
        <v>10</v>
      </c>
      <c r="P877" s="593">
        <v>99</v>
      </c>
      <c r="Q877" s="593">
        <v>62</v>
      </c>
      <c r="R877" s="593">
        <v>400</v>
      </c>
      <c r="S877" s="593">
        <v>76</v>
      </c>
      <c r="T877" s="593">
        <v>2016</v>
      </c>
      <c r="U877" s="593">
        <v>2015</v>
      </c>
      <c r="V877" s="589"/>
      <c r="W877" s="589"/>
      <c r="X877" s="589"/>
      <c r="Y877" s="589"/>
      <c r="Z877" s="589"/>
      <c r="AA877" s="589"/>
      <c r="AB877" s="589"/>
      <c r="AC877" s="589"/>
      <c r="AD877" s="589"/>
      <c r="AE877" s="589"/>
      <c r="AF877" s="589"/>
      <c r="AG877" s="589"/>
      <c r="AH877" s="589"/>
      <c r="AI877" s="589"/>
      <c r="AJ877" s="589"/>
      <c r="AK877" s="589"/>
      <c r="AL877" s="589"/>
      <c r="AM877" s="589"/>
      <c r="AN877" s="589"/>
      <c r="AO877" s="589"/>
      <c r="AP877" s="589"/>
      <c r="AQ877" s="589"/>
      <c r="AR877" s="589"/>
      <c r="AS877" s="589"/>
    </row>
    <row r="878" spans="1:45" ht="15">
      <c r="A878" s="587" t="s">
        <v>169</v>
      </c>
      <c r="B878" s="587" t="s">
        <v>499</v>
      </c>
      <c r="C878" s="587" t="s">
        <v>812</v>
      </c>
      <c r="D878" s="588">
        <v>2016</v>
      </c>
      <c r="E878" s="587" t="s">
        <v>775</v>
      </c>
      <c r="F878" s="588">
        <v>1</v>
      </c>
      <c r="G878" s="588">
        <v>0</v>
      </c>
      <c r="H878" s="588">
        <v>0</v>
      </c>
      <c r="I878" s="588">
        <v>0</v>
      </c>
      <c r="J878" s="588">
        <v>1</v>
      </c>
      <c r="K878" s="588">
        <v>0</v>
      </c>
      <c r="L878" s="588">
        <v>0</v>
      </c>
      <c r="M878" s="588">
        <v>0</v>
      </c>
      <c r="N878" s="588">
        <v>0</v>
      </c>
      <c r="O878" s="588">
        <v>4</v>
      </c>
      <c r="P878" s="588">
        <v>0</v>
      </c>
      <c r="Q878" s="588">
        <v>8</v>
      </c>
      <c r="R878" s="588">
        <v>2</v>
      </c>
      <c r="S878" s="588">
        <v>12</v>
      </c>
      <c r="T878" s="588">
        <v>2016</v>
      </c>
      <c r="U878" s="588">
        <v>2014</v>
      </c>
      <c r="V878" s="589"/>
      <c r="W878" s="589"/>
      <c r="X878" s="589"/>
      <c r="Y878" s="589"/>
      <c r="Z878" s="589"/>
      <c r="AA878" s="589"/>
      <c r="AB878" s="589"/>
      <c r="AC878" s="589"/>
      <c r="AD878" s="589"/>
      <c r="AE878" s="589"/>
      <c r="AF878" s="589"/>
      <c r="AG878" s="589"/>
      <c r="AH878" s="589"/>
      <c r="AI878" s="589"/>
      <c r="AJ878" s="589"/>
      <c r="AK878" s="589"/>
      <c r="AL878" s="589"/>
      <c r="AM878" s="589"/>
      <c r="AN878" s="589"/>
      <c r="AO878" s="589"/>
      <c r="AP878" s="589"/>
      <c r="AQ878" s="589"/>
      <c r="AR878" s="589"/>
      <c r="AS878" s="589"/>
    </row>
    <row r="879" spans="1:45" ht="15">
      <c r="A879" s="590" t="s">
        <v>169</v>
      </c>
      <c r="B879" s="591" t="s">
        <v>500</v>
      </c>
      <c r="C879" s="591" t="s">
        <v>812</v>
      </c>
      <c r="D879" s="592">
        <v>2016</v>
      </c>
      <c r="E879" s="591" t="s">
        <v>775</v>
      </c>
      <c r="F879" s="592">
        <v>1</v>
      </c>
      <c r="G879" s="592">
        <v>0</v>
      </c>
      <c r="H879" s="592">
        <v>0</v>
      </c>
      <c r="I879" s="592">
        <v>0</v>
      </c>
      <c r="J879" s="592">
        <v>1</v>
      </c>
      <c r="K879" s="592">
        <v>0</v>
      </c>
      <c r="L879" s="592">
        <v>0</v>
      </c>
      <c r="M879" s="592">
        <v>0</v>
      </c>
      <c r="N879" s="593">
        <v>0</v>
      </c>
      <c r="O879" s="593">
        <v>291</v>
      </c>
      <c r="P879" s="593">
        <v>0</v>
      </c>
      <c r="Q879" s="593">
        <v>1</v>
      </c>
      <c r="R879" s="593">
        <v>2</v>
      </c>
      <c r="S879" s="593">
        <v>292</v>
      </c>
      <c r="T879" s="593">
        <v>2016</v>
      </c>
      <c r="U879" s="593">
        <v>2014</v>
      </c>
      <c r="V879" s="589"/>
      <c r="W879" s="589"/>
      <c r="X879" s="589"/>
      <c r="Y879" s="589"/>
      <c r="Z879" s="589"/>
      <c r="AA879" s="589"/>
      <c r="AB879" s="589"/>
      <c r="AC879" s="589"/>
      <c r="AD879" s="589"/>
      <c r="AE879" s="589"/>
      <c r="AF879" s="589"/>
      <c r="AG879" s="589"/>
      <c r="AH879" s="589"/>
      <c r="AI879" s="589"/>
      <c r="AJ879" s="589"/>
      <c r="AK879" s="589"/>
      <c r="AL879" s="589"/>
      <c r="AM879" s="589"/>
      <c r="AN879" s="589"/>
      <c r="AO879" s="589"/>
      <c r="AP879" s="589"/>
      <c r="AQ879" s="589"/>
      <c r="AR879" s="589"/>
      <c r="AS879" s="589"/>
    </row>
    <row r="880" spans="1:45" ht="15">
      <c r="A880" s="587" t="s">
        <v>169</v>
      </c>
      <c r="B880" s="587" t="s">
        <v>501</v>
      </c>
      <c r="C880" s="587" t="s">
        <v>812</v>
      </c>
      <c r="D880" s="588">
        <v>2016</v>
      </c>
      <c r="E880" s="587" t="s">
        <v>775</v>
      </c>
      <c r="F880" s="588">
        <v>43</v>
      </c>
      <c r="G880" s="588">
        <v>18</v>
      </c>
      <c r="H880" s="588">
        <v>18</v>
      </c>
      <c r="I880" s="588">
        <v>0</v>
      </c>
      <c r="J880" s="588">
        <v>30</v>
      </c>
      <c r="K880" s="588">
        <v>0</v>
      </c>
      <c r="L880" s="588">
        <v>0</v>
      </c>
      <c r="M880" s="588">
        <v>0</v>
      </c>
      <c r="N880" s="588">
        <v>34</v>
      </c>
      <c r="O880" s="588">
        <v>0</v>
      </c>
      <c r="P880" s="588">
        <v>75</v>
      </c>
      <c r="Q880" s="588">
        <v>508</v>
      </c>
      <c r="R880" s="588">
        <v>182</v>
      </c>
      <c r="S880" s="588">
        <v>526</v>
      </c>
      <c r="T880" s="588">
        <v>2016</v>
      </c>
      <c r="U880" s="588">
        <v>2014</v>
      </c>
      <c r="V880" s="589"/>
      <c r="W880" s="589"/>
      <c r="X880" s="589"/>
      <c r="Y880" s="589"/>
      <c r="Z880" s="589"/>
      <c r="AA880" s="589"/>
      <c r="AB880" s="589"/>
      <c r="AC880" s="589"/>
      <c r="AD880" s="589"/>
      <c r="AE880" s="589"/>
      <c r="AF880" s="589"/>
      <c r="AG880" s="589"/>
      <c r="AH880" s="589"/>
      <c r="AI880" s="589"/>
      <c r="AJ880" s="589"/>
      <c r="AK880" s="589"/>
      <c r="AL880" s="589"/>
      <c r="AM880" s="589"/>
      <c r="AN880" s="589"/>
      <c r="AO880" s="589"/>
      <c r="AP880" s="589"/>
      <c r="AQ880" s="589"/>
      <c r="AR880" s="589"/>
      <c r="AS880" s="589"/>
    </row>
    <row r="881" spans="1:45" ht="15">
      <c r="A881" s="590" t="s">
        <v>169</v>
      </c>
      <c r="B881" s="591" t="s">
        <v>502</v>
      </c>
      <c r="C881" s="591" t="s">
        <v>812</v>
      </c>
      <c r="D881" s="592">
        <v>2016</v>
      </c>
      <c r="E881" s="591" t="s">
        <v>775</v>
      </c>
      <c r="F881" s="592">
        <v>1</v>
      </c>
      <c r="G881" s="592">
        <v>0</v>
      </c>
      <c r="H881" s="592">
        <v>0</v>
      </c>
      <c r="I881" s="592">
        <v>0</v>
      </c>
      <c r="J881" s="592">
        <v>1</v>
      </c>
      <c r="K881" s="592">
        <v>0</v>
      </c>
      <c r="L881" s="592">
        <v>0</v>
      </c>
      <c r="M881" s="592">
        <v>0</v>
      </c>
      <c r="N881" s="593">
        <v>0</v>
      </c>
      <c r="O881" s="593">
        <v>0</v>
      </c>
      <c r="P881" s="593">
        <v>0</v>
      </c>
      <c r="Q881" s="593">
        <v>0</v>
      </c>
      <c r="R881" s="593">
        <v>2</v>
      </c>
      <c r="S881" s="593">
        <v>0</v>
      </c>
      <c r="T881" s="593">
        <v>2016</v>
      </c>
      <c r="U881" s="593">
        <v>2014</v>
      </c>
      <c r="V881" s="589"/>
      <c r="W881" s="589"/>
      <c r="X881" s="589"/>
      <c r="Y881" s="589"/>
      <c r="Z881" s="589"/>
      <c r="AA881" s="589"/>
      <c r="AB881" s="589"/>
      <c r="AC881" s="589"/>
      <c r="AD881" s="589"/>
      <c r="AE881" s="589"/>
      <c r="AF881" s="589"/>
      <c r="AG881" s="589"/>
      <c r="AH881" s="589"/>
      <c r="AI881" s="589"/>
      <c r="AJ881" s="589"/>
      <c r="AK881" s="589"/>
      <c r="AL881" s="589"/>
      <c r="AM881" s="589"/>
      <c r="AN881" s="589"/>
      <c r="AO881" s="589"/>
      <c r="AP881" s="589"/>
      <c r="AQ881" s="589"/>
      <c r="AR881" s="589"/>
      <c r="AS881" s="589"/>
    </row>
    <row r="882" spans="1:45" ht="15">
      <c r="A882" s="587" t="s">
        <v>173</v>
      </c>
      <c r="B882" s="587" t="s">
        <v>543</v>
      </c>
      <c r="C882" s="587" t="s">
        <v>812</v>
      </c>
      <c r="D882" s="588">
        <v>2016</v>
      </c>
      <c r="E882" s="587" t="s">
        <v>775</v>
      </c>
      <c r="F882" s="588">
        <v>1196</v>
      </c>
      <c r="G882" s="588">
        <v>0</v>
      </c>
      <c r="H882" s="588">
        <v>0</v>
      </c>
      <c r="I882" s="588">
        <v>0</v>
      </c>
      <c r="J882" s="588">
        <v>801</v>
      </c>
      <c r="K882" s="588">
        <v>0</v>
      </c>
      <c r="L882" s="588">
        <v>0</v>
      </c>
      <c r="M882" s="588">
        <v>0</v>
      </c>
      <c r="N882" s="588">
        <v>897</v>
      </c>
      <c r="O882" s="588">
        <v>203</v>
      </c>
      <c r="P882" s="588">
        <v>2035</v>
      </c>
      <c r="Q882" s="588">
        <v>258</v>
      </c>
      <c r="R882" s="588">
        <v>4929</v>
      </c>
      <c r="S882" s="588">
        <v>461</v>
      </c>
      <c r="T882" s="588">
        <v>2016</v>
      </c>
      <c r="U882" s="588">
        <v>2014</v>
      </c>
      <c r="V882" s="589"/>
      <c r="W882" s="589"/>
      <c r="X882" s="589"/>
      <c r="Y882" s="589"/>
      <c r="Z882" s="589"/>
      <c r="AA882" s="589"/>
      <c r="AB882" s="589"/>
      <c r="AC882" s="589"/>
      <c r="AD882" s="589"/>
      <c r="AE882" s="589"/>
      <c r="AF882" s="589"/>
      <c r="AG882" s="589"/>
      <c r="AH882" s="589"/>
      <c r="AI882" s="589"/>
      <c r="AJ882" s="589"/>
      <c r="AK882" s="589"/>
      <c r="AL882" s="589"/>
      <c r="AM882" s="589"/>
      <c r="AN882" s="589"/>
      <c r="AO882" s="589"/>
      <c r="AP882" s="589"/>
      <c r="AQ882" s="589"/>
      <c r="AR882" s="589"/>
      <c r="AS882" s="589"/>
    </row>
    <row r="883" spans="1:45" ht="15">
      <c r="A883" s="590" t="s">
        <v>169</v>
      </c>
      <c r="B883" s="591" t="s">
        <v>503</v>
      </c>
      <c r="C883" s="591" t="s">
        <v>812</v>
      </c>
      <c r="D883" s="592">
        <v>2016</v>
      </c>
      <c r="E883" s="591" t="s">
        <v>775</v>
      </c>
      <c r="F883" s="592">
        <v>647</v>
      </c>
      <c r="G883" s="592">
        <v>0</v>
      </c>
      <c r="H883" s="592">
        <v>0</v>
      </c>
      <c r="I883" s="592">
        <v>0</v>
      </c>
      <c r="J883" s="592">
        <v>450</v>
      </c>
      <c r="K883" s="592">
        <v>0</v>
      </c>
      <c r="L883" s="592">
        <v>0</v>
      </c>
      <c r="M883" s="592">
        <v>0</v>
      </c>
      <c r="N883" s="593">
        <v>497</v>
      </c>
      <c r="O883" s="593">
        <v>8</v>
      </c>
      <c r="P883" s="593">
        <v>1133</v>
      </c>
      <c r="Q883" s="593">
        <v>489</v>
      </c>
      <c r="R883" s="593">
        <v>2727</v>
      </c>
      <c r="S883" s="593">
        <v>497</v>
      </c>
      <c r="T883" s="593">
        <v>2016</v>
      </c>
      <c r="U883" s="593">
        <v>2014</v>
      </c>
      <c r="V883" s="589"/>
      <c r="W883" s="589"/>
      <c r="X883" s="589"/>
      <c r="Y883" s="589"/>
      <c r="Z883" s="589"/>
      <c r="AA883" s="589"/>
      <c r="AB883" s="589"/>
      <c r="AC883" s="589"/>
      <c r="AD883" s="589"/>
      <c r="AE883" s="589"/>
      <c r="AF883" s="589"/>
      <c r="AG883" s="589"/>
      <c r="AH883" s="589"/>
      <c r="AI883" s="589"/>
      <c r="AJ883" s="589"/>
      <c r="AK883" s="589"/>
      <c r="AL883" s="589"/>
      <c r="AM883" s="589"/>
      <c r="AN883" s="589"/>
      <c r="AO883" s="589"/>
      <c r="AP883" s="589"/>
      <c r="AQ883" s="589"/>
      <c r="AR883" s="589"/>
      <c r="AS883" s="589"/>
    </row>
    <row r="884" spans="1:45" ht="15">
      <c r="A884" s="587" t="s">
        <v>153</v>
      </c>
      <c r="B884" s="587" t="s">
        <v>389</v>
      </c>
      <c r="C884" s="587" t="s">
        <v>812</v>
      </c>
      <c r="D884" s="588">
        <v>2016</v>
      </c>
      <c r="E884" s="587" t="s">
        <v>775</v>
      </c>
      <c r="F884" s="588">
        <v>107</v>
      </c>
      <c r="G884" s="588">
        <v>0</v>
      </c>
      <c r="H884" s="588">
        <v>0</v>
      </c>
      <c r="I884" s="588">
        <v>0</v>
      </c>
      <c r="J884" s="588">
        <v>63</v>
      </c>
      <c r="K884" s="588">
        <v>0</v>
      </c>
      <c r="L884" s="588">
        <v>0</v>
      </c>
      <c r="M884" s="588">
        <v>0</v>
      </c>
      <c r="N884" s="588">
        <v>67</v>
      </c>
      <c r="O884" s="588">
        <v>0</v>
      </c>
      <c r="P884" s="588">
        <v>166</v>
      </c>
      <c r="Q884" s="588">
        <v>20</v>
      </c>
      <c r="R884" s="588">
        <v>403</v>
      </c>
      <c r="S884" s="588">
        <v>20</v>
      </c>
      <c r="T884" s="588">
        <v>2016</v>
      </c>
      <c r="U884" s="588">
        <v>2014</v>
      </c>
      <c r="V884" s="589"/>
      <c r="W884" s="589"/>
      <c r="X884" s="589"/>
      <c r="Y884" s="589"/>
      <c r="Z884" s="589"/>
      <c r="AA884" s="589"/>
      <c r="AB884" s="589"/>
      <c r="AC884" s="589"/>
      <c r="AD884" s="589"/>
      <c r="AE884" s="589"/>
      <c r="AF884" s="589"/>
      <c r="AG884" s="589"/>
      <c r="AH884" s="589"/>
      <c r="AI884" s="589"/>
      <c r="AJ884" s="589"/>
      <c r="AK884" s="589"/>
      <c r="AL884" s="589"/>
      <c r="AM884" s="589"/>
      <c r="AN884" s="589"/>
      <c r="AO884" s="589"/>
      <c r="AP884" s="589"/>
      <c r="AQ884" s="589"/>
      <c r="AR884" s="589"/>
      <c r="AS884" s="589"/>
    </row>
    <row r="885" spans="1:45" ht="15">
      <c r="A885" s="590" t="s">
        <v>157</v>
      </c>
      <c r="B885" s="591" t="s">
        <v>439</v>
      </c>
      <c r="C885" s="591" t="s">
        <v>774</v>
      </c>
      <c r="D885" s="592">
        <v>2016</v>
      </c>
      <c r="E885" s="591" t="s">
        <v>775</v>
      </c>
      <c r="F885" s="592">
        <v>40</v>
      </c>
      <c r="G885" s="592">
        <v>0</v>
      </c>
      <c r="H885" s="592">
        <v>0</v>
      </c>
      <c r="I885" s="592">
        <v>0</v>
      </c>
      <c r="J885" s="592">
        <v>20</v>
      </c>
      <c r="K885" s="592">
        <v>0</v>
      </c>
      <c r="L885" s="592">
        <v>0</v>
      </c>
      <c r="M885" s="592">
        <v>0</v>
      </c>
      <c r="N885" s="593">
        <v>21</v>
      </c>
      <c r="O885" s="593">
        <v>1</v>
      </c>
      <c r="P885" s="593">
        <v>51</v>
      </c>
      <c r="Q885" s="593">
        <v>3</v>
      </c>
      <c r="R885" s="593">
        <v>132</v>
      </c>
      <c r="S885" s="593">
        <v>4</v>
      </c>
      <c r="T885" s="593">
        <v>2016</v>
      </c>
      <c r="U885" s="593">
        <v>2015</v>
      </c>
      <c r="V885" s="589"/>
      <c r="W885" s="589"/>
      <c r="X885" s="589"/>
      <c r="Y885" s="589"/>
      <c r="Z885" s="589"/>
      <c r="AA885" s="589"/>
      <c r="AB885" s="589"/>
      <c r="AC885" s="589"/>
      <c r="AD885" s="589"/>
      <c r="AE885" s="589"/>
      <c r="AF885" s="589"/>
      <c r="AG885" s="589"/>
      <c r="AH885" s="589"/>
      <c r="AI885" s="589"/>
      <c r="AJ885" s="589"/>
      <c r="AK885" s="589"/>
      <c r="AL885" s="589"/>
      <c r="AM885" s="589"/>
      <c r="AN885" s="589"/>
      <c r="AO885" s="589"/>
      <c r="AP885" s="589"/>
      <c r="AQ885" s="589"/>
      <c r="AR885" s="589"/>
      <c r="AS885" s="589"/>
    </row>
    <row r="886" spans="1:45" ht="15">
      <c r="A886" s="587" t="s">
        <v>182</v>
      </c>
      <c r="B886" s="587" t="s">
        <v>609</v>
      </c>
      <c r="C886" s="587" t="s">
        <v>177</v>
      </c>
      <c r="D886" s="588">
        <v>2016</v>
      </c>
      <c r="E886" s="587" t="s">
        <v>775</v>
      </c>
      <c r="F886" s="588">
        <v>1019</v>
      </c>
      <c r="G886" s="588">
        <v>0</v>
      </c>
      <c r="H886" s="588">
        <v>0</v>
      </c>
      <c r="I886" s="588">
        <v>0</v>
      </c>
      <c r="J886" s="588">
        <v>759</v>
      </c>
      <c r="K886" s="588">
        <v>0</v>
      </c>
      <c r="L886" s="588">
        <v>0</v>
      </c>
      <c r="M886" s="588">
        <v>0</v>
      </c>
      <c r="N886" s="588">
        <v>957</v>
      </c>
      <c r="O886" s="588">
        <v>0</v>
      </c>
      <c r="P886" s="588">
        <v>2421</v>
      </c>
      <c r="Q886" s="588">
        <v>170</v>
      </c>
      <c r="R886" s="588">
        <v>5156</v>
      </c>
      <c r="S886" s="588">
        <v>170</v>
      </c>
      <c r="T886" s="588">
        <v>2016</v>
      </c>
      <c r="U886" s="588">
        <v>2016</v>
      </c>
      <c r="V886" s="589"/>
      <c r="W886" s="589"/>
      <c r="X886" s="589"/>
      <c r="Y886" s="589"/>
      <c r="Z886" s="589"/>
      <c r="AA886" s="589"/>
      <c r="AB886" s="589"/>
      <c r="AC886" s="589"/>
      <c r="AD886" s="589"/>
      <c r="AE886" s="589"/>
      <c r="AF886" s="589"/>
      <c r="AG886" s="589"/>
      <c r="AH886" s="589"/>
      <c r="AI886" s="589"/>
      <c r="AJ886" s="589"/>
      <c r="AK886" s="589"/>
      <c r="AL886" s="589"/>
      <c r="AM886" s="589"/>
      <c r="AN886" s="589"/>
      <c r="AO886" s="589"/>
      <c r="AP886" s="589"/>
      <c r="AQ886" s="589"/>
      <c r="AR886" s="589"/>
      <c r="AS886" s="589"/>
    </row>
    <row r="887" spans="1:45" ht="15">
      <c r="A887" s="590" t="s">
        <v>153</v>
      </c>
      <c r="B887" s="591" t="s">
        <v>391</v>
      </c>
      <c r="C887" s="591" t="s">
        <v>812</v>
      </c>
      <c r="D887" s="592">
        <v>2016</v>
      </c>
      <c r="E887" s="591" t="s">
        <v>775</v>
      </c>
      <c r="F887" s="592">
        <v>96</v>
      </c>
      <c r="G887" s="592">
        <v>0</v>
      </c>
      <c r="H887" s="592">
        <v>0</v>
      </c>
      <c r="I887" s="592">
        <v>0</v>
      </c>
      <c r="J887" s="592">
        <v>57</v>
      </c>
      <c r="K887" s="592">
        <v>0</v>
      </c>
      <c r="L887" s="592">
        <v>0</v>
      </c>
      <c r="M887" s="592">
        <v>0</v>
      </c>
      <c r="N887" s="593">
        <v>62</v>
      </c>
      <c r="O887" s="593">
        <v>0</v>
      </c>
      <c r="P887" s="593">
        <v>166</v>
      </c>
      <c r="Q887" s="593">
        <v>3</v>
      </c>
      <c r="R887" s="593">
        <v>381</v>
      </c>
      <c r="S887" s="593">
        <v>3</v>
      </c>
      <c r="T887" s="593">
        <v>2016</v>
      </c>
      <c r="U887" s="593">
        <v>2014</v>
      </c>
      <c r="V887" s="589"/>
      <c r="W887" s="589"/>
      <c r="X887" s="589"/>
      <c r="Y887" s="589"/>
      <c r="Z887" s="589"/>
      <c r="AA887" s="589"/>
      <c r="AB887" s="589"/>
      <c r="AC887" s="589"/>
      <c r="AD887" s="589"/>
      <c r="AE887" s="589"/>
      <c r="AF887" s="589"/>
      <c r="AG887" s="589"/>
      <c r="AH887" s="589"/>
      <c r="AI887" s="589"/>
      <c r="AJ887" s="589"/>
      <c r="AK887" s="589"/>
      <c r="AL887" s="589"/>
      <c r="AM887" s="589"/>
      <c r="AN887" s="589"/>
      <c r="AO887" s="589"/>
      <c r="AP887" s="589"/>
      <c r="AQ887" s="589"/>
      <c r="AR887" s="589"/>
      <c r="AS887" s="589"/>
    </row>
    <row r="888" spans="1:45" ht="15">
      <c r="A888" s="587" t="s">
        <v>179</v>
      </c>
      <c r="B888" s="587" t="s">
        <v>599</v>
      </c>
      <c r="C888" s="587" t="s">
        <v>855</v>
      </c>
      <c r="D888" s="588">
        <v>2016</v>
      </c>
      <c r="E888" s="587" t="s">
        <v>775</v>
      </c>
      <c r="F888" s="588">
        <v>77</v>
      </c>
      <c r="G888" s="588">
        <v>1</v>
      </c>
      <c r="H888" s="588">
        <v>1</v>
      </c>
      <c r="I888" s="588">
        <v>0</v>
      </c>
      <c r="J888" s="588">
        <v>59</v>
      </c>
      <c r="K888" s="588">
        <v>2</v>
      </c>
      <c r="L888" s="588">
        <v>2</v>
      </c>
      <c r="M888" s="588">
        <v>0</v>
      </c>
      <c r="N888" s="588">
        <v>54</v>
      </c>
      <c r="O888" s="588">
        <v>15</v>
      </c>
      <c r="P888" s="588">
        <v>119</v>
      </c>
      <c r="Q888" s="588">
        <v>0</v>
      </c>
      <c r="R888" s="588">
        <v>309</v>
      </c>
      <c r="S888" s="588">
        <v>18</v>
      </c>
      <c r="T888" s="588">
        <v>2016</v>
      </c>
      <c r="U888" s="588">
        <v>2013</v>
      </c>
      <c r="V888" s="589"/>
      <c r="W888" s="589"/>
      <c r="X888" s="589"/>
      <c r="Y888" s="589"/>
      <c r="Z888" s="589"/>
      <c r="AA888" s="589"/>
      <c r="AB888" s="589"/>
      <c r="AC888" s="589"/>
      <c r="AD888" s="589"/>
      <c r="AE888" s="589"/>
      <c r="AF888" s="589"/>
      <c r="AG888" s="589"/>
      <c r="AH888" s="589"/>
      <c r="AI888" s="589"/>
      <c r="AJ888" s="589"/>
      <c r="AK888" s="589"/>
      <c r="AL888" s="589"/>
      <c r="AM888" s="589"/>
      <c r="AN888" s="589"/>
      <c r="AO888" s="589"/>
      <c r="AP888" s="589"/>
      <c r="AQ888" s="589"/>
      <c r="AR888" s="589"/>
      <c r="AS888" s="589"/>
    </row>
    <row r="889" spans="1:45" ht="15">
      <c r="A889" s="590" t="s">
        <v>170</v>
      </c>
      <c r="B889" s="591" t="s">
        <v>521</v>
      </c>
      <c r="C889" s="591" t="s">
        <v>799</v>
      </c>
      <c r="D889" s="592">
        <v>2016</v>
      </c>
      <c r="E889" s="591" t="s">
        <v>775</v>
      </c>
      <c r="F889" s="592">
        <v>953</v>
      </c>
      <c r="G889" s="592">
        <v>0</v>
      </c>
      <c r="H889" s="592">
        <v>0</v>
      </c>
      <c r="I889" s="592">
        <v>0</v>
      </c>
      <c r="J889" s="592">
        <v>668</v>
      </c>
      <c r="K889" s="592">
        <v>0</v>
      </c>
      <c r="L889" s="592">
        <v>0</v>
      </c>
      <c r="M889" s="592">
        <v>0</v>
      </c>
      <c r="N889" s="593">
        <v>705</v>
      </c>
      <c r="O889" s="593">
        <v>0</v>
      </c>
      <c r="P889" s="593">
        <v>1464</v>
      </c>
      <c r="Q889" s="593">
        <v>217</v>
      </c>
      <c r="R889" s="593">
        <v>3790</v>
      </c>
      <c r="S889" s="593">
        <v>217</v>
      </c>
      <c r="T889" s="593">
        <v>2016</v>
      </c>
      <c r="U889" s="593">
        <v>2014</v>
      </c>
      <c r="V889" s="589"/>
      <c r="W889" s="589"/>
      <c r="X889" s="589"/>
      <c r="Y889" s="589"/>
      <c r="Z889" s="589"/>
      <c r="AA889" s="589"/>
      <c r="AB889" s="589"/>
      <c r="AC889" s="589"/>
      <c r="AD889" s="589"/>
      <c r="AE889" s="589"/>
      <c r="AF889" s="589"/>
      <c r="AG889" s="589"/>
      <c r="AH889" s="589"/>
      <c r="AI889" s="589"/>
      <c r="AJ889" s="589"/>
      <c r="AK889" s="589"/>
      <c r="AL889" s="589"/>
      <c r="AM889" s="589"/>
      <c r="AN889" s="589"/>
      <c r="AO889" s="589"/>
      <c r="AP889" s="589"/>
      <c r="AQ889" s="589"/>
      <c r="AR889" s="589"/>
      <c r="AS889" s="589"/>
    </row>
    <row r="890" spans="1:45" ht="15">
      <c r="A890" s="587" t="s">
        <v>199</v>
      </c>
      <c r="B890" s="587" t="s">
        <v>723</v>
      </c>
      <c r="C890" s="587" t="s">
        <v>177</v>
      </c>
      <c r="D890" s="588">
        <v>2016</v>
      </c>
      <c r="E890" s="587" t="s">
        <v>775</v>
      </c>
      <c r="F890" s="588">
        <v>80</v>
      </c>
      <c r="G890" s="588">
        <v>3</v>
      </c>
      <c r="H890" s="588">
        <v>3</v>
      </c>
      <c r="I890" s="588">
        <v>0</v>
      </c>
      <c r="J890" s="588">
        <v>80</v>
      </c>
      <c r="K890" s="588">
        <v>20</v>
      </c>
      <c r="L890" s="588">
        <v>20</v>
      </c>
      <c r="M890" s="588">
        <v>0</v>
      </c>
      <c r="N890" s="588">
        <v>82</v>
      </c>
      <c r="O890" s="588">
        <v>0</v>
      </c>
      <c r="P890" s="588">
        <v>348</v>
      </c>
      <c r="Q890" s="588">
        <v>1</v>
      </c>
      <c r="R890" s="588">
        <v>590</v>
      </c>
      <c r="S890" s="588">
        <v>24</v>
      </c>
      <c r="T890" s="588">
        <v>2016</v>
      </c>
      <c r="U890" s="588">
        <v>2016</v>
      </c>
      <c r="V890" s="589"/>
      <c r="W890" s="589"/>
      <c r="X890" s="589"/>
      <c r="Y890" s="589"/>
      <c r="Z890" s="589"/>
      <c r="AA890" s="589"/>
      <c r="AB890" s="589"/>
      <c r="AC890" s="589"/>
      <c r="AD890" s="589"/>
      <c r="AE890" s="589"/>
      <c r="AF890" s="589"/>
      <c r="AG890" s="589"/>
      <c r="AH890" s="589"/>
      <c r="AI890" s="589"/>
      <c r="AJ890" s="589"/>
      <c r="AK890" s="589"/>
      <c r="AL890" s="589"/>
      <c r="AM890" s="589"/>
      <c r="AN890" s="589"/>
      <c r="AO890" s="589"/>
      <c r="AP890" s="589"/>
      <c r="AQ890" s="589"/>
      <c r="AR890" s="589"/>
      <c r="AS890" s="589"/>
    </row>
    <row r="891" spans="1:45" ht="15">
      <c r="A891" s="590" t="s">
        <v>196</v>
      </c>
      <c r="B891" s="591" t="s">
        <v>713</v>
      </c>
      <c r="C891" s="591" t="s">
        <v>799</v>
      </c>
      <c r="D891" s="592">
        <v>2016</v>
      </c>
      <c r="E891" s="591" t="s">
        <v>775</v>
      </c>
      <c r="F891" s="592">
        <v>104</v>
      </c>
      <c r="G891" s="592">
        <v>0</v>
      </c>
      <c r="H891" s="592">
        <v>0</v>
      </c>
      <c r="I891" s="592">
        <v>0</v>
      </c>
      <c r="J891" s="592">
        <v>72</v>
      </c>
      <c r="K891" s="592">
        <v>0</v>
      </c>
      <c r="L891" s="592">
        <v>0</v>
      </c>
      <c r="M891" s="592">
        <v>0</v>
      </c>
      <c r="N891" s="593">
        <v>83</v>
      </c>
      <c r="O891" s="593">
        <v>0</v>
      </c>
      <c r="P891" s="593">
        <v>190</v>
      </c>
      <c r="Q891" s="593">
        <v>2</v>
      </c>
      <c r="R891" s="593">
        <v>449</v>
      </c>
      <c r="S891" s="593">
        <v>2</v>
      </c>
      <c r="T891" s="593">
        <v>2016</v>
      </c>
      <c r="U891" s="593">
        <v>2014</v>
      </c>
      <c r="V891" s="589"/>
      <c r="W891" s="589"/>
      <c r="X891" s="589"/>
      <c r="Y891" s="589"/>
      <c r="Z891" s="589"/>
      <c r="AA891" s="589"/>
      <c r="AB891" s="589"/>
      <c r="AC891" s="589"/>
      <c r="AD891" s="589"/>
      <c r="AE891" s="589"/>
      <c r="AF891" s="589"/>
      <c r="AG891" s="589"/>
      <c r="AH891" s="589"/>
      <c r="AI891" s="589"/>
      <c r="AJ891" s="589"/>
      <c r="AK891" s="589"/>
      <c r="AL891" s="589"/>
      <c r="AM891" s="589"/>
      <c r="AN891" s="589"/>
      <c r="AO891" s="589"/>
      <c r="AP891" s="589"/>
      <c r="AQ891" s="589"/>
      <c r="AR891" s="589"/>
      <c r="AS891" s="589"/>
    </row>
    <row r="892" spans="1:45" ht="15">
      <c r="A892" s="587" t="s">
        <v>125</v>
      </c>
      <c r="B892" s="587" t="s">
        <v>240</v>
      </c>
      <c r="C892" s="587" t="s">
        <v>774</v>
      </c>
      <c r="D892" s="588">
        <v>2016</v>
      </c>
      <c r="E892" s="587" t="s">
        <v>775</v>
      </c>
      <c r="F892" s="588">
        <v>839</v>
      </c>
      <c r="G892" s="588">
        <v>0</v>
      </c>
      <c r="H892" s="588">
        <v>0</v>
      </c>
      <c r="I892" s="588">
        <v>0</v>
      </c>
      <c r="J892" s="588">
        <v>474</v>
      </c>
      <c r="K892" s="588">
        <v>16</v>
      </c>
      <c r="L892" s="588">
        <v>4</v>
      </c>
      <c r="M892" s="588">
        <v>12</v>
      </c>
      <c r="N892" s="588">
        <v>496</v>
      </c>
      <c r="O892" s="588">
        <v>395</v>
      </c>
      <c r="P892" s="588">
        <v>920</v>
      </c>
      <c r="Q892" s="588">
        <v>15</v>
      </c>
      <c r="R892" s="588">
        <v>2729</v>
      </c>
      <c r="S892" s="588">
        <v>426</v>
      </c>
      <c r="T892" s="588">
        <v>2016</v>
      </c>
      <c r="U892" s="588">
        <v>2015</v>
      </c>
      <c r="V892" s="589"/>
      <c r="W892" s="589"/>
      <c r="X892" s="589"/>
      <c r="Y892" s="589"/>
      <c r="Z892" s="589"/>
      <c r="AA892" s="589"/>
      <c r="AB892" s="589"/>
      <c r="AC892" s="589"/>
      <c r="AD892" s="589"/>
      <c r="AE892" s="589"/>
      <c r="AF892" s="589"/>
      <c r="AG892" s="589"/>
      <c r="AH892" s="589"/>
      <c r="AI892" s="589"/>
      <c r="AJ892" s="589"/>
      <c r="AK892" s="589"/>
      <c r="AL892" s="589"/>
      <c r="AM892" s="589"/>
      <c r="AN892" s="589"/>
      <c r="AO892" s="589"/>
      <c r="AP892" s="589"/>
      <c r="AQ892" s="589"/>
      <c r="AR892" s="589"/>
      <c r="AS892" s="589"/>
    </row>
    <row r="893" spans="1:45" ht="15">
      <c r="A893" s="590" t="s">
        <v>160</v>
      </c>
      <c r="B893" s="591" t="s">
        <v>457</v>
      </c>
      <c r="C893" s="591" t="s">
        <v>828</v>
      </c>
      <c r="D893" s="592">
        <v>2016</v>
      </c>
      <c r="E893" s="591" t="s">
        <v>775</v>
      </c>
      <c r="F893" s="592">
        <v>249</v>
      </c>
      <c r="G893" s="592">
        <v>0</v>
      </c>
      <c r="H893" s="592">
        <v>0</v>
      </c>
      <c r="I893" s="592">
        <v>0</v>
      </c>
      <c r="J893" s="592">
        <v>178</v>
      </c>
      <c r="K893" s="592">
        <v>0</v>
      </c>
      <c r="L893" s="592">
        <v>0</v>
      </c>
      <c r="M893" s="592">
        <v>0</v>
      </c>
      <c r="N893" s="593">
        <v>163</v>
      </c>
      <c r="O893" s="593">
        <v>0</v>
      </c>
      <c r="P893" s="593">
        <v>435</v>
      </c>
      <c r="Q893" s="593">
        <v>34</v>
      </c>
      <c r="R893" s="593">
        <v>1025</v>
      </c>
      <c r="S893" s="593">
        <v>34</v>
      </c>
      <c r="T893" s="593">
        <v>2016</v>
      </c>
      <c r="U893" s="593">
        <v>2016</v>
      </c>
      <c r="V893" s="589"/>
      <c r="W893" s="589"/>
      <c r="X893" s="589"/>
      <c r="Y893" s="589"/>
      <c r="Z893" s="589"/>
      <c r="AA893" s="589"/>
      <c r="AB893" s="589"/>
      <c r="AC893" s="589"/>
      <c r="AD893" s="589"/>
      <c r="AE893" s="589"/>
      <c r="AF893" s="589"/>
      <c r="AG893" s="589"/>
      <c r="AH893" s="589"/>
      <c r="AI893" s="589"/>
      <c r="AJ893" s="589"/>
      <c r="AK893" s="589"/>
      <c r="AL893" s="589"/>
      <c r="AM893" s="589"/>
      <c r="AN893" s="589"/>
      <c r="AO893" s="589"/>
      <c r="AP893" s="589"/>
      <c r="AQ893" s="589"/>
      <c r="AR893" s="589"/>
      <c r="AS893" s="589"/>
    </row>
    <row r="894" spans="1:45" ht="15">
      <c r="A894" s="587" t="s">
        <v>153</v>
      </c>
      <c r="B894" s="587" t="s">
        <v>392</v>
      </c>
      <c r="C894" s="587" t="s">
        <v>812</v>
      </c>
      <c r="D894" s="588">
        <v>2016</v>
      </c>
      <c r="E894" s="587" t="s">
        <v>775</v>
      </c>
      <c r="F894" s="588">
        <v>12</v>
      </c>
      <c r="G894" s="588">
        <v>0</v>
      </c>
      <c r="H894" s="588">
        <v>0</v>
      </c>
      <c r="I894" s="588">
        <v>0</v>
      </c>
      <c r="J894" s="588">
        <v>7</v>
      </c>
      <c r="K894" s="588">
        <v>2</v>
      </c>
      <c r="L894" s="588">
        <v>0</v>
      </c>
      <c r="M894" s="588">
        <v>2</v>
      </c>
      <c r="N894" s="588">
        <v>8</v>
      </c>
      <c r="O894" s="588">
        <v>13</v>
      </c>
      <c r="P894" s="588">
        <v>20</v>
      </c>
      <c r="Q894" s="588">
        <v>6</v>
      </c>
      <c r="R894" s="588">
        <v>47</v>
      </c>
      <c r="S894" s="588">
        <v>21</v>
      </c>
      <c r="T894" s="588">
        <v>2016</v>
      </c>
      <c r="U894" s="588">
        <v>2014</v>
      </c>
      <c r="V894" s="589"/>
      <c r="W894" s="589"/>
      <c r="X894" s="589"/>
      <c r="Y894" s="589"/>
      <c r="Z894" s="589"/>
      <c r="AA894" s="589"/>
      <c r="AB894" s="589"/>
      <c r="AC894" s="589"/>
      <c r="AD894" s="589"/>
      <c r="AE894" s="589"/>
      <c r="AF894" s="589"/>
      <c r="AG894" s="589"/>
      <c r="AH894" s="589"/>
      <c r="AI894" s="589"/>
      <c r="AJ894" s="589"/>
      <c r="AK894" s="589"/>
      <c r="AL894" s="589"/>
      <c r="AM894" s="589"/>
      <c r="AN894" s="589"/>
      <c r="AO894" s="589"/>
      <c r="AP894" s="589"/>
      <c r="AQ894" s="589"/>
      <c r="AR894" s="589"/>
      <c r="AS894" s="589"/>
    </row>
    <row r="895" spans="1:45" ht="15">
      <c r="A895" s="590" t="s">
        <v>185</v>
      </c>
      <c r="B895" s="591" t="s">
        <v>647</v>
      </c>
      <c r="C895" s="591" t="s">
        <v>868</v>
      </c>
      <c r="D895" s="592">
        <v>2016</v>
      </c>
      <c r="E895" s="591" t="s">
        <v>775</v>
      </c>
      <c r="F895" s="592">
        <v>126</v>
      </c>
      <c r="G895" s="592">
        <v>0</v>
      </c>
      <c r="H895" s="592">
        <v>0</v>
      </c>
      <c r="I895" s="592">
        <v>0</v>
      </c>
      <c r="J895" s="592">
        <v>84</v>
      </c>
      <c r="K895" s="592">
        <v>0</v>
      </c>
      <c r="L895" s="592">
        <v>0</v>
      </c>
      <c r="M895" s="592">
        <v>0</v>
      </c>
      <c r="N895" s="593">
        <v>95</v>
      </c>
      <c r="O895" s="593">
        <v>0</v>
      </c>
      <c r="P895" s="593">
        <v>221</v>
      </c>
      <c r="Q895" s="593">
        <v>0</v>
      </c>
      <c r="R895" s="593">
        <v>526</v>
      </c>
      <c r="S895" s="593">
        <v>0</v>
      </c>
      <c r="T895" s="593">
        <v>2016</v>
      </c>
      <c r="U895" s="593">
        <v>2015</v>
      </c>
      <c r="V895" s="589"/>
      <c r="W895" s="589"/>
      <c r="X895" s="589"/>
      <c r="Y895" s="589"/>
      <c r="Z895" s="589"/>
      <c r="AA895" s="589"/>
      <c r="AB895" s="589"/>
      <c r="AC895" s="589"/>
      <c r="AD895" s="589"/>
      <c r="AE895" s="589"/>
      <c r="AF895" s="589"/>
      <c r="AG895" s="589"/>
      <c r="AH895" s="589"/>
      <c r="AI895" s="589"/>
      <c r="AJ895" s="589"/>
      <c r="AK895" s="589"/>
      <c r="AL895" s="589"/>
      <c r="AM895" s="589"/>
      <c r="AN895" s="589"/>
      <c r="AO895" s="589"/>
      <c r="AP895" s="589"/>
      <c r="AQ895" s="589"/>
      <c r="AR895" s="589"/>
      <c r="AS895" s="589"/>
    </row>
    <row r="896" spans="1:45" ht="15">
      <c r="A896" s="587" t="s">
        <v>153</v>
      </c>
      <c r="B896" s="587" t="s">
        <v>393</v>
      </c>
      <c r="C896" s="587" t="s">
        <v>812</v>
      </c>
      <c r="D896" s="588">
        <v>2016</v>
      </c>
      <c r="E896" s="587" t="s">
        <v>775</v>
      </c>
      <c r="F896" s="588">
        <v>1773</v>
      </c>
      <c r="G896" s="588">
        <v>0</v>
      </c>
      <c r="H896" s="588">
        <v>0</v>
      </c>
      <c r="I896" s="588">
        <v>0</v>
      </c>
      <c r="J896" s="588">
        <v>1066</v>
      </c>
      <c r="K896" s="588">
        <v>0</v>
      </c>
      <c r="L896" s="588">
        <v>0</v>
      </c>
      <c r="M896" s="588">
        <v>0</v>
      </c>
      <c r="N896" s="588">
        <v>1170</v>
      </c>
      <c r="O896" s="588">
        <v>0</v>
      </c>
      <c r="P896" s="588">
        <v>3039</v>
      </c>
      <c r="Q896" s="588">
        <v>675</v>
      </c>
      <c r="R896" s="588">
        <v>7048</v>
      </c>
      <c r="S896" s="588">
        <v>675</v>
      </c>
      <c r="T896" s="588">
        <v>2016</v>
      </c>
      <c r="U896" s="588">
        <v>2014</v>
      </c>
      <c r="V896" s="589"/>
      <c r="W896" s="589"/>
      <c r="X896" s="589"/>
      <c r="Y896" s="589"/>
      <c r="Z896" s="589"/>
      <c r="AA896" s="589"/>
      <c r="AB896" s="589"/>
      <c r="AC896" s="589"/>
      <c r="AD896" s="589"/>
      <c r="AE896" s="589"/>
      <c r="AF896" s="589"/>
      <c r="AG896" s="589"/>
      <c r="AH896" s="589"/>
      <c r="AI896" s="589"/>
      <c r="AJ896" s="589"/>
      <c r="AK896" s="589"/>
      <c r="AL896" s="589"/>
      <c r="AM896" s="589"/>
      <c r="AN896" s="589"/>
      <c r="AO896" s="589"/>
      <c r="AP896" s="589"/>
      <c r="AQ896" s="589"/>
      <c r="AR896" s="589"/>
      <c r="AS896" s="589"/>
    </row>
    <row r="897" spans="1:45" ht="15">
      <c r="A897" s="590" t="s">
        <v>187</v>
      </c>
      <c r="B897" s="590" t="s">
        <v>654</v>
      </c>
      <c r="C897" s="590" t="s">
        <v>774</v>
      </c>
      <c r="D897" s="593">
        <v>2016</v>
      </c>
      <c r="E897" s="590" t="s">
        <v>775</v>
      </c>
      <c r="F897" s="593">
        <v>169</v>
      </c>
      <c r="G897" s="593">
        <v>1</v>
      </c>
      <c r="H897" s="593">
        <v>1</v>
      </c>
      <c r="I897" s="593">
        <v>0</v>
      </c>
      <c r="J897" s="593">
        <v>99</v>
      </c>
      <c r="K897" s="593">
        <v>1</v>
      </c>
      <c r="L897" s="593">
        <v>1</v>
      </c>
      <c r="M897" s="593">
        <v>0</v>
      </c>
      <c r="N897" s="593">
        <v>112</v>
      </c>
      <c r="O897" s="593">
        <v>0</v>
      </c>
      <c r="P897" s="593">
        <v>97</v>
      </c>
      <c r="Q897" s="593">
        <v>52</v>
      </c>
      <c r="R897" s="593">
        <v>477</v>
      </c>
      <c r="S897" s="593">
        <v>54</v>
      </c>
      <c r="T897" s="593">
        <v>2016</v>
      </c>
      <c r="U897" s="593">
        <v>2015</v>
      </c>
      <c r="V897" s="589"/>
      <c r="W897" s="589"/>
      <c r="X897" s="589"/>
      <c r="Y897" s="589"/>
      <c r="Z897" s="589"/>
      <c r="AA897" s="589"/>
      <c r="AB897" s="589"/>
      <c r="AC897" s="589"/>
      <c r="AD897" s="589"/>
      <c r="AE897" s="589"/>
      <c r="AF897" s="589"/>
      <c r="AG897" s="589"/>
      <c r="AH897" s="589"/>
      <c r="AI897" s="589"/>
      <c r="AJ897" s="589"/>
      <c r="AK897" s="589"/>
      <c r="AL897" s="589"/>
      <c r="AM897" s="589"/>
      <c r="AN897" s="589"/>
      <c r="AO897" s="589"/>
      <c r="AP897" s="589"/>
      <c r="AQ897" s="589"/>
      <c r="AR897" s="589"/>
      <c r="AS897" s="589"/>
    </row>
    <row r="898" spans="1:45" ht="15">
      <c r="A898" s="587" t="s">
        <v>153</v>
      </c>
      <c r="B898" s="587" t="s">
        <v>153</v>
      </c>
      <c r="C898" s="587" t="s">
        <v>812</v>
      </c>
      <c r="D898" s="588">
        <v>2016</v>
      </c>
      <c r="E898" s="587" t="s">
        <v>775</v>
      </c>
      <c r="F898" s="588">
        <v>20427</v>
      </c>
      <c r="G898" s="588">
        <v>718</v>
      </c>
      <c r="H898" s="588">
        <v>718</v>
      </c>
      <c r="I898" s="588">
        <v>0</v>
      </c>
      <c r="J898" s="588">
        <v>12435</v>
      </c>
      <c r="K898" s="588">
        <v>604</v>
      </c>
      <c r="L898" s="588">
        <v>604</v>
      </c>
      <c r="M898" s="588">
        <v>0</v>
      </c>
      <c r="N898" s="588">
        <v>13728</v>
      </c>
      <c r="O898" s="588">
        <v>143</v>
      </c>
      <c r="P898" s="588">
        <v>35412</v>
      </c>
      <c r="Q898" s="588">
        <v>12231</v>
      </c>
      <c r="R898" s="588">
        <v>82002</v>
      </c>
      <c r="S898" s="588">
        <v>13696</v>
      </c>
      <c r="T898" s="588">
        <v>2016</v>
      </c>
      <c r="U898" s="588">
        <v>2014</v>
      </c>
      <c r="V898" s="589"/>
      <c r="W898" s="589"/>
      <c r="X898" s="589"/>
      <c r="Y898" s="589"/>
      <c r="Z898" s="589"/>
      <c r="AA898" s="589"/>
      <c r="AB898" s="589"/>
      <c r="AC898" s="589"/>
      <c r="AD898" s="589"/>
      <c r="AE898" s="589"/>
      <c r="AF898" s="589"/>
      <c r="AG898" s="589"/>
      <c r="AH898" s="589"/>
      <c r="AI898" s="589"/>
      <c r="AJ898" s="589"/>
      <c r="AK898" s="589"/>
      <c r="AL898" s="589"/>
      <c r="AM898" s="589"/>
      <c r="AN898" s="589"/>
      <c r="AO898" s="589"/>
      <c r="AP898" s="589"/>
      <c r="AQ898" s="589"/>
      <c r="AR898" s="589"/>
      <c r="AS898" s="589"/>
    </row>
    <row r="899" spans="1:45" ht="15">
      <c r="A899" s="590" t="s">
        <v>153</v>
      </c>
      <c r="B899" s="590" t="s">
        <v>394</v>
      </c>
      <c r="C899" s="590" t="s">
        <v>812</v>
      </c>
      <c r="D899" s="593">
        <v>2016</v>
      </c>
      <c r="E899" s="590" t="s">
        <v>775</v>
      </c>
      <c r="F899" s="593">
        <v>7359</v>
      </c>
      <c r="G899" s="593">
        <v>35</v>
      </c>
      <c r="H899" s="593">
        <v>35</v>
      </c>
      <c r="I899" s="593">
        <v>0</v>
      </c>
      <c r="J899" s="593">
        <v>4251</v>
      </c>
      <c r="K899" s="593">
        <v>0</v>
      </c>
      <c r="L899" s="593">
        <v>0</v>
      </c>
      <c r="M899" s="593">
        <v>0</v>
      </c>
      <c r="N899" s="593">
        <v>4898</v>
      </c>
      <c r="O899" s="593">
        <v>0</v>
      </c>
      <c r="P899" s="593">
        <v>10749</v>
      </c>
      <c r="Q899" s="593">
        <v>620</v>
      </c>
      <c r="R899" s="593">
        <v>27257</v>
      </c>
      <c r="S899" s="593">
        <v>655</v>
      </c>
      <c r="T899" s="593">
        <v>2016</v>
      </c>
      <c r="U899" s="593">
        <v>2014</v>
      </c>
      <c r="V899" s="589"/>
      <c r="W899" s="589"/>
      <c r="X899" s="589"/>
      <c r="Y899" s="589"/>
      <c r="Z899" s="589"/>
      <c r="AA899" s="589"/>
      <c r="AB899" s="589"/>
      <c r="AC899" s="589"/>
      <c r="AD899" s="589"/>
      <c r="AE899" s="589"/>
      <c r="AF899" s="589"/>
      <c r="AG899" s="589"/>
      <c r="AH899" s="589"/>
      <c r="AI899" s="589"/>
      <c r="AJ899" s="589"/>
      <c r="AK899" s="589"/>
      <c r="AL899" s="589"/>
      <c r="AM899" s="589"/>
      <c r="AN899" s="589"/>
      <c r="AO899" s="589"/>
      <c r="AP899" s="589"/>
      <c r="AQ899" s="589"/>
      <c r="AR899" s="589"/>
      <c r="AS899" s="589"/>
    </row>
    <row r="900" spans="1:45" ht="15">
      <c r="A900" s="587" t="s">
        <v>160</v>
      </c>
      <c r="B900" s="587" t="s">
        <v>458</v>
      </c>
      <c r="C900" s="587" t="s">
        <v>828</v>
      </c>
      <c r="D900" s="588">
        <v>2016</v>
      </c>
      <c r="E900" s="587" t="s">
        <v>775</v>
      </c>
      <c r="F900" s="588">
        <v>604</v>
      </c>
      <c r="G900" s="588">
        <v>41</v>
      </c>
      <c r="H900" s="588">
        <v>41</v>
      </c>
      <c r="I900" s="588">
        <v>0</v>
      </c>
      <c r="J900" s="588">
        <v>431</v>
      </c>
      <c r="K900" s="588">
        <v>21</v>
      </c>
      <c r="L900" s="588">
        <v>21</v>
      </c>
      <c r="M900" s="588">
        <v>0</v>
      </c>
      <c r="N900" s="588">
        <v>396</v>
      </c>
      <c r="O900" s="588">
        <v>7</v>
      </c>
      <c r="P900" s="588">
        <v>1049</v>
      </c>
      <c r="Q900" s="588">
        <v>0</v>
      </c>
      <c r="R900" s="588">
        <v>2480</v>
      </c>
      <c r="S900" s="588">
        <v>69</v>
      </c>
      <c r="T900" s="588">
        <v>2016</v>
      </c>
      <c r="U900" s="588">
        <v>2016</v>
      </c>
      <c r="V900" s="589"/>
      <c r="W900" s="589"/>
      <c r="X900" s="589"/>
      <c r="Y900" s="589"/>
      <c r="Z900" s="589"/>
      <c r="AA900" s="589"/>
      <c r="AB900" s="589"/>
      <c r="AC900" s="589"/>
      <c r="AD900" s="589"/>
      <c r="AE900" s="589"/>
      <c r="AF900" s="589"/>
      <c r="AG900" s="589"/>
      <c r="AH900" s="589"/>
      <c r="AI900" s="589"/>
      <c r="AJ900" s="589"/>
      <c r="AK900" s="589"/>
      <c r="AL900" s="589"/>
      <c r="AM900" s="589"/>
      <c r="AN900" s="589"/>
      <c r="AO900" s="589"/>
      <c r="AP900" s="589"/>
      <c r="AQ900" s="589"/>
      <c r="AR900" s="589"/>
      <c r="AS900" s="589"/>
    </row>
    <row r="901" spans="1:45" ht="15">
      <c r="A901" s="590" t="s">
        <v>187</v>
      </c>
      <c r="B901" s="590" t="s">
        <v>656</v>
      </c>
      <c r="C901" s="590" t="s">
        <v>774</v>
      </c>
      <c r="D901" s="593">
        <v>2016</v>
      </c>
      <c r="E901" s="590" t="s">
        <v>775</v>
      </c>
      <c r="F901" s="593">
        <v>201</v>
      </c>
      <c r="G901" s="593">
        <v>0</v>
      </c>
      <c r="H901" s="593">
        <v>0</v>
      </c>
      <c r="I901" s="593">
        <v>0</v>
      </c>
      <c r="J901" s="593">
        <v>112</v>
      </c>
      <c r="K901" s="593">
        <v>2</v>
      </c>
      <c r="L901" s="593">
        <v>2</v>
      </c>
      <c r="M901" s="593">
        <v>0</v>
      </c>
      <c r="N901" s="593">
        <v>132</v>
      </c>
      <c r="O901" s="593">
        <v>3</v>
      </c>
      <c r="P901" s="593">
        <v>174</v>
      </c>
      <c r="Q901" s="593">
        <v>38</v>
      </c>
      <c r="R901" s="593">
        <v>619</v>
      </c>
      <c r="S901" s="593">
        <v>43</v>
      </c>
      <c r="T901" s="593">
        <v>2016</v>
      </c>
      <c r="U901" s="593">
        <v>2015</v>
      </c>
      <c r="V901" s="589"/>
      <c r="W901" s="589"/>
      <c r="X901" s="589"/>
      <c r="Y901" s="589"/>
      <c r="Z901" s="589"/>
      <c r="AA901" s="589"/>
      <c r="AB901" s="589"/>
      <c r="AC901" s="589"/>
      <c r="AD901" s="589"/>
      <c r="AE901" s="589"/>
      <c r="AF901" s="589"/>
      <c r="AG901" s="589"/>
      <c r="AH901" s="589"/>
      <c r="AI901" s="589"/>
      <c r="AJ901" s="589"/>
      <c r="AK901" s="589"/>
      <c r="AL901" s="589"/>
      <c r="AM901" s="589"/>
      <c r="AN901" s="589"/>
      <c r="AO901" s="589"/>
      <c r="AP901" s="589"/>
      <c r="AQ901" s="589"/>
      <c r="AR901" s="589"/>
      <c r="AS901" s="589"/>
    </row>
    <row r="902" spans="1:45" ht="15">
      <c r="A902" s="587" t="s">
        <v>156</v>
      </c>
      <c r="B902" s="587" t="s">
        <v>156</v>
      </c>
      <c r="C902" s="587" t="s">
        <v>819</v>
      </c>
      <c r="D902" s="588">
        <v>2016</v>
      </c>
      <c r="E902" s="587" t="s">
        <v>775</v>
      </c>
      <c r="F902" s="588">
        <v>1352</v>
      </c>
      <c r="G902" s="588">
        <v>104</v>
      </c>
      <c r="H902" s="588">
        <v>0</v>
      </c>
      <c r="I902" s="588">
        <v>104</v>
      </c>
      <c r="J902" s="588">
        <v>1056</v>
      </c>
      <c r="K902" s="588">
        <v>304</v>
      </c>
      <c r="L902" s="588">
        <v>0</v>
      </c>
      <c r="M902" s="588">
        <v>304</v>
      </c>
      <c r="N902" s="588">
        <v>1091</v>
      </c>
      <c r="O902" s="588">
        <v>82</v>
      </c>
      <c r="P902" s="588">
        <v>2600</v>
      </c>
      <c r="Q902" s="588">
        <v>0</v>
      </c>
      <c r="R902" s="588">
        <v>6099</v>
      </c>
      <c r="S902" s="588">
        <v>490</v>
      </c>
      <c r="T902" s="588">
        <v>2016</v>
      </c>
      <c r="U902" s="588">
        <v>2016</v>
      </c>
      <c r="V902" s="589"/>
      <c r="W902" s="589"/>
      <c r="X902" s="589"/>
      <c r="Y902" s="589"/>
      <c r="Z902" s="589"/>
      <c r="AA902" s="589"/>
      <c r="AB902" s="589"/>
      <c r="AC902" s="589"/>
      <c r="AD902" s="589"/>
      <c r="AE902" s="589"/>
      <c r="AF902" s="589"/>
      <c r="AG902" s="589"/>
      <c r="AH902" s="589"/>
      <c r="AI902" s="589"/>
      <c r="AJ902" s="589"/>
      <c r="AK902" s="589"/>
      <c r="AL902" s="589"/>
      <c r="AM902" s="589"/>
      <c r="AN902" s="589"/>
      <c r="AO902" s="589"/>
      <c r="AP902" s="589"/>
      <c r="AQ902" s="589"/>
      <c r="AR902" s="589"/>
      <c r="AS902" s="589"/>
    </row>
    <row r="903" spans="1:45" ht="15">
      <c r="A903" s="590" t="s">
        <v>156</v>
      </c>
      <c r="B903" s="590" t="s">
        <v>435</v>
      </c>
      <c r="C903" s="590" t="s">
        <v>819</v>
      </c>
      <c r="D903" s="593">
        <v>2016</v>
      </c>
      <c r="E903" s="590" t="s">
        <v>775</v>
      </c>
      <c r="F903" s="593">
        <v>1285</v>
      </c>
      <c r="G903" s="593">
        <v>0</v>
      </c>
      <c r="H903" s="593">
        <v>0</v>
      </c>
      <c r="I903" s="593">
        <v>0</v>
      </c>
      <c r="J903" s="593">
        <v>984</v>
      </c>
      <c r="K903" s="593">
        <v>20</v>
      </c>
      <c r="L903" s="593">
        <v>20</v>
      </c>
      <c r="M903" s="593">
        <v>0</v>
      </c>
      <c r="N903" s="593">
        <v>1015</v>
      </c>
      <c r="O903" s="593">
        <v>0</v>
      </c>
      <c r="P903" s="593">
        <v>2398</v>
      </c>
      <c r="Q903" s="593">
        <v>0</v>
      </c>
      <c r="R903" s="593">
        <v>5682</v>
      </c>
      <c r="S903" s="593">
        <v>20</v>
      </c>
      <c r="T903" s="593">
        <v>2016</v>
      </c>
      <c r="U903" s="593">
        <v>2016</v>
      </c>
      <c r="V903" s="589"/>
      <c r="W903" s="589"/>
      <c r="X903" s="589"/>
      <c r="Y903" s="589"/>
      <c r="Z903" s="589"/>
      <c r="AA903" s="589"/>
      <c r="AB903" s="589"/>
      <c r="AC903" s="589"/>
      <c r="AD903" s="589"/>
      <c r="AE903" s="589"/>
      <c r="AF903" s="589"/>
      <c r="AG903" s="589"/>
      <c r="AH903" s="589"/>
      <c r="AI903" s="589"/>
      <c r="AJ903" s="589"/>
      <c r="AK903" s="589"/>
      <c r="AL903" s="589"/>
      <c r="AM903" s="589"/>
      <c r="AN903" s="589"/>
      <c r="AO903" s="589"/>
      <c r="AP903" s="589"/>
      <c r="AQ903" s="589"/>
      <c r="AR903" s="589"/>
      <c r="AS903" s="589"/>
    </row>
    <row r="904" spans="1:45" ht="15">
      <c r="A904" s="587" t="s">
        <v>153</v>
      </c>
      <c r="B904" s="587" t="s">
        <v>396</v>
      </c>
      <c r="C904" s="587" t="s">
        <v>812</v>
      </c>
      <c r="D904" s="588">
        <v>2016</v>
      </c>
      <c r="E904" s="587" t="s">
        <v>775</v>
      </c>
      <c r="F904" s="588">
        <v>1</v>
      </c>
      <c r="G904" s="588">
        <v>0</v>
      </c>
      <c r="H904" s="588">
        <v>0</v>
      </c>
      <c r="I904" s="588">
        <v>0</v>
      </c>
      <c r="J904" s="588">
        <v>1</v>
      </c>
      <c r="K904" s="588">
        <v>0</v>
      </c>
      <c r="L904" s="588">
        <v>0</v>
      </c>
      <c r="M904" s="588">
        <v>0</v>
      </c>
      <c r="N904" s="588">
        <v>0</v>
      </c>
      <c r="O904" s="588">
        <v>0</v>
      </c>
      <c r="P904" s="588">
        <v>0</v>
      </c>
      <c r="Q904" s="588">
        <v>3</v>
      </c>
      <c r="R904" s="588">
        <v>2</v>
      </c>
      <c r="S904" s="588">
        <v>3</v>
      </c>
      <c r="T904" s="588">
        <v>2016</v>
      </c>
      <c r="U904" s="588">
        <v>2014</v>
      </c>
      <c r="V904" s="589"/>
      <c r="W904" s="589"/>
      <c r="X904" s="589"/>
      <c r="Y904" s="589"/>
      <c r="Z904" s="589"/>
      <c r="AA904" s="589"/>
      <c r="AB904" s="589"/>
      <c r="AC904" s="589"/>
      <c r="AD904" s="589"/>
      <c r="AE904" s="589"/>
      <c r="AF904" s="589"/>
      <c r="AG904" s="589"/>
      <c r="AH904" s="589"/>
      <c r="AI904" s="589"/>
      <c r="AJ904" s="589"/>
      <c r="AK904" s="589"/>
      <c r="AL904" s="589"/>
      <c r="AM904" s="589"/>
      <c r="AN904" s="589"/>
      <c r="AO904" s="589"/>
      <c r="AP904" s="589"/>
      <c r="AQ904" s="589"/>
      <c r="AR904" s="589"/>
      <c r="AS904" s="589"/>
    </row>
    <row r="905" spans="1:45" ht="15">
      <c r="A905" s="590" t="s">
        <v>163</v>
      </c>
      <c r="B905" s="590" t="s">
        <v>462</v>
      </c>
      <c r="C905" s="590" t="s">
        <v>784</v>
      </c>
      <c r="D905" s="593">
        <v>2016</v>
      </c>
      <c r="E905" s="590" t="s">
        <v>775</v>
      </c>
      <c r="F905" s="593">
        <v>17</v>
      </c>
      <c r="G905" s="593">
        <v>0</v>
      </c>
      <c r="H905" s="593">
        <v>0</v>
      </c>
      <c r="I905" s="593">
        <v>0</v>
      </c>
      <c r="J905" s="593">
        <v>12</v>
      </c>
      <c r="K905" s="593">
        <v>0</v>
      </c>
      <c r="L905" s="593">
        <v>0</v>
      </c>
      <c r="M905" s="593">
        <v>0</v>
      </c>
      <c r="N905" s="593">
        <v>14</v>
      </c>
      <c r="O905" s="593">
        <v>0</v>
      </c>
      <c r="P905" s="593">
        <v>31</v>
      </c>
      <c r="Q905" s="593">
        <v>23</v>
      </c>
      <c r="R905" s="593">
        <v>74</v>
      </c>
      <c r="S905" s="593">
        <v>23</v>
      </c>
      <c r="T905" s="593">
        <v>2016</v>
      </c>
      <c r="U905" s="593">
        <v>2014</v>
      </c>
      <c r="V905" s="589"/>
      <c r="W905" s="589"/>
      <c r="X905" s="589"/>
      <c r="Y905" s="589"/>
      <c r="Z905" s="589"/>
      <c r="AA905" s="589"/>
      <c r="AB905" s="589"/>
      <c r="AC905" s="589"/>
      <c r="AD905" s="589"/>
      <c r="AE905" s="589"/>
      <c r="AF905" s="589"/>
      <c r="AG905" s="589"/>
      <c r="AH905" s="589"/>
      <c r="AI905" s="589"/>
      <c r="AJ905" s="589"/>
      <c r="AK905" s="589"/>
      <c r="AL905" s="589"/>
      <c r="AM905" s="589"/>
      <c r="AN905" s="589"/>
      <c r="AO905" s="589"/>
      <c r="AP905" s="589"/>
      <c r="AQ905" s="589"/>
      <c r="AR905" s="589"/>
      <c r="AS905" s="589"/>
    </row>
    <row r="906" spans="1:45" ht="15">
      <c r="A906" s="587" t="s">
        <v>153</v>
      </c>
      <c r="B906" s="587" t="s">
        <v>397</v>
      </c>
      <c r="C906" s="587" t="s">
        <v>812</v>
      </c>
      <c r="D906" s="588">
        <v>2016</v>
      </c>
      <c r="E906" s="587" t="s">
        <v>775</v>
      </c>
      <c r="F906" s="588">
        <v>10</v>
      </c>
      <c r="G906" s="588">
        <v>0</v>
      </c>
      <c r="H906" s="588">
        <v>0</v>
      </c>
      <c r="I906" s="588">
        <v>0</v>
      </c>
      <c r="J906" s="588">
        <v>6</v>
      </c>
      <c r="K906" s="588">
        <v>0</v>
      </c>
      <c r="L906" s="588">
        <v>0</v>
      </c>
      <c r="M906" s="588">
        <v>0</v>
      </c>
      <c r="N906" s="588">
        <v>7</v>
      </c>
      <c r="O906" s="588">
        <v>0</v>
      </c>
      <c r="P906" s="588">
        <v>15</v>
      </c>
      <c r="Q906" s="588">
        <v>40</v>
      </c>
      <c r="R906" s="588">
        <v>38</v>
      </c>
      <c r="S906" s="588">
        <v>40</v>
      </c>
      <c r="T906" s="588">
        <v>2016</v>
      </c>
      <c r="U906" s="588">
        <v>2014</v>
      </c>
      <c r="V906" s="589"/>
      <c r="W906" s="589"/>
      <c r="X906" s="589"/>
      <c r="Y906" s="589"/>
      <c r="Z906" s="589"/>
      <c r="AA906" s="589"/>
      <c r="AB906" s="589"/>
      <c r="AC906" s="589"/>
      <c r="AD906" s="589"/>
      <c r="AE906" s="589"/>
      <c r="AF906" s="589"/>
      <c r="AG906" s="589"/>
      <c r="AH906" s="589"/>
      <c r="AI906" s="589"/>
      <c r="AJ906" s="589"/>
      <c r="AK906" s="589"/>
      <c r="AL906" s="589"/>
      <c r="AM906" s="589"/>
      <c r="AN906" s="589"/>
      <c r="AO906" s="589"/>
      <c r="AP906" s="589"/>
      <c r="AQ906" s="589"/>
      <c r="AR906" s="589"/>
      <c r="AS906" s="589"/>
    </row>
    <row r="907" spans="1:45" ht="15">
      <c r="A907" s="590" t="s">
        <v>157</v>
      </c>
      <c r="B907" s="590" t="s">
        <v>440</v>
      </c>
      <c r="C907" s="590" t="s">
        <v>774</v>
      </c>
      <c r="D907" s="593">
        <v>2016</v>
      </c>
      <c r="E907" s="590" t="s">
        <v>775</v>
      </c>
      <c r="F907" s="593">
        <v>55</v>
      </c>
      <c r="G907" s="593">
        <v>2</v>
      </c>
      <c r="H907" s="593">
        <v>1</v>
      </c>
      <c r="I907" s="593">
        <v>1</v>
      </c>
      <c r="J907" s="593">
        <v>32</v>
      </c>
      <c r="K907" s="593">
        <v>5</v>
      </c>
      <c r="L907" s="593">
        <v>2</v>
      </c>
      <c r="M907" s="593">
        <v>3</v>
      </c>
      <c r="N907" s="593">
        <v>37</v>
      </c>
      <c r="O907" s="593">
        <v>2</v>
      </c>
      <c r="P907" s="593">
        <v>61</v>
      </c>
      <c r="Q907" s="593">
        <v>21</v>
      </c>
      <c r="R907" s="593">
        <v>185</v>
      </c>
      <c r="S907" s="593">
        <v>30</v>
      </c>
      <c r="T907" s="593">
        <v>2016</v>
      </c>
      <c r="U907" s="593">
        <v>2015</v>
      </c>
      <c r="V907" s="589"/>
      <c r="W907" s="589"/>
      <c r="X907" s="589"/>
      <c r="Y907" s="589"/>
      <c r="Z907" s="589"/>
      <c r="AA907" s="589"/>
      <c r="AB907" s="589"/>
      <c r="AC907" s="589"/>
      <c r="AD907" s="589"/>
      <c r="AE907" s="589"/>
      <c r="AF907" s="589"/>
      <c r="AG907" s="589"/>
      <c r="AH907" s="589"/>
      <c r="AI907" s="589"/>
      <c r="AJ907" s="589"/>
      <c r="AK907" s="589"/>
      <c r="AL907" s="589"/>
      <c r="AM907" s="589"/>
      <c r="AN907" s="589"/>
      <c r="AO907" s="589"/>
      <c r="AP907" s="589"/>
      <c r="AQ907" s="589"/>
      <c r="AR907" s="589"/>
      <c r="AS907" s="589"/>
    </row>
    <row r="908" spans="1:45" ht="15">
      <c r="A908" s="587" t="s">
        <v>164</v>
      </c>
      <c r="B908" s="587" t="s">
        <v>469</v>
      </c>
      <c r="C908" s="587" t="s">
        <v>177</v>
      </c>
      <c r="D908" s="588">
        <v>2016</v>
      </c>
      <c r="E908" s="587" t="s">
        <v>775</v>
      </c>
      <c r="F908" s="588">
        <v>315</v>
      </c>
      <c r="G908" s="588">
        <v>0</v>
      </c>
      <c r="H908" s="588">
        <v>0</v>
      </c>
      <c r="I908" s="588">
        <v>0</v>
      </c>
      <c r="J908" s="588">
        <v>206</v>
      </c>
      <c r="K908" s="588">
        <v>0</v>
      </c>
      <c r="L908" s="588">
        <v>0</v>
      </c>
      <c r="M908" s="588">
        <v>0</v>
      </c>
      <c r="N908" s="588">
        <v>239</v>
      </c>
      <c r="O908" s="588">
        <v>0</v>
      </c>
      <c r="P908" s="588">
        <v>548</v>
      </c>
      <c r="Q908" s="588">
        <v>74</v>
      </c>
      <c r="R908" s="588">
        <v>1308</v>
      </c>
      <c r="S908" s="588">
        <v>74</v>
      </c>
      <c r="T908" s="588">
        <v>2016</v>
      </c>
      <c r="U908" s="588">
        <v>2016</v>
      </c>
      <c r="V908" s="589"/>
      <c r="W908" s="589"/>
      <c r="X908" s="589"/>
      <c r="Y908" s="589"/>
      <c r="Z908" s="589"/>
      <c r="AA908" s="589"/>
      <c r="AB908" s="589"/>
      <c r="AC908" s="589"/>
      <c r="AD908" s="589"/>
      <c r="AE908" s="589"/>
      <c r="AF908" s="589"/>
      <c r="AG908" s="589"/>
      <c r="AH908" s="589"/>
      <c r="AI908" s="589"/>
      <c r="AJ908" s="589"/>
      <c r="AK908" s="589"/>
      <c r="AL908" s="589"/>
      <c r="AM908" s="589"/>
      <c r="AN908" s="589"/>
      <c r="AO908" s="589"/>
      <c r="AP908" s="589"/>
      <c r="AQ908" s="589"/>
      <c r="AR908" s="589"/>
      <c r="AS908" s="589"/>
    </row>
    <row r="909" spans="1:45" ht="15">
      <c r="A909" s="590" t="s">
        <v>158</v>
      </c>
      <c r="B909" s="590" t="s">
        <v>448</v>
      </c>
      <c r="C909" s="590" t="s">
        <v>784</v>
      </c>
      <c r="D909" s="593">
        <v>2016</v>
      </c>
      <c r="E909" s="590" t="s">
        <v>775</v>
      </c>
      <c r="F909" s="593">
        <v>265</v>
      </c>
      <c r="G909" s="593">
        <v>0</v>
      </c>
      <c r="H909" s="593">
        <v>0</v>
      </c>
      <c r="I909" s="593">
        <v>0</v>
      </c>
      <c r="J909" s="593">
        <v>130</v>
      </c>
      <c r="K909" s="593">
        <v>0</v>
      </c>
      <c r="L909" s="593">
        <v>0</v>
      </c>
      <c r="M909" s="593">
        <v>0</v>
      </c>
      <c r="N909" s="593">
        <v>180</v>
      </c>
      <c r="O909" s="593">
        <v>19</v>
      </c>
      <c r="P909" s="593">
        <v>420</v>
      </c>
      <c r="Q909" s="593">
        <v>28</v>
      </c>
      <c r="R909" s="593">
        <v>995</v>
      </c>
      <c r="S909" s="593">
        <v>47</v>
      </c>
      <c r="T909" s="593">
        <v>2016</v>
      </c>
      <c r="U909" s="593">
        <v>2014</v>
      </c>
      <c r="V909" s="589"/>
      <c r="W909" s="589"/>
      <c r="X909" s="589"/>
      <c r="Y909" s="589"/>
      <c r="Z909" s="589"/>
      <c r="AA909" s="589"/>
      <c r="AB909" s="589"/>
      <c r="AC909" s="589"/>
      <c r="AD909" s="589"/>
      <c r="AE909" s="589"/>
      <c r="AF909" s="589"/>
      <c r="AG909" s="589"/>
      <c r="AH909" s="589"/>
      <c r="AI909" s="589"/>
      <c r="AJ909" s="589"/>
      <c r="AK909" s="589"/>
      <c r="AL909" s="589"/>
      <c r="AM909" s="589"/>
      <c r="AN909" s="589"/>
      <c r="AO909" s="589"/>
      <c r="AP909" s="589"/>
      <c r="AQ909" s="589"/>
      <c r="AR909" s="589"/>
      <c r="AS909" s="589"/>
    </row>
    <row r="910" spans="1:45" ht="15">
      <c r="A910" s="587" t="s">
        <v>136</v>
      </c>
      <c r="B910" s="587" t="s">
        <v>274</v>
      </c>
      <c r="C910" s="587" t="s">
        <v>774</v>
      </c>
      <c r="D910" s="588">
        <v>2016</v>
      </c>
      <c r="E910" s="587" t="s">
        <v>775</v>
      </c>
      <c r="F910" s="588">
        <v>124</v>
      </c>
      <c r="G910" s="588">
        <v>0</v>
      </c>
      <c r="H910" s="588">
        <v>0</v>
      </c>
      <c r="I910" s="588">
        <v>0</v>
      </c>
      <c r="J910" s="588">
        <v>72</v>
      </c>
      <c r="K910" s="588">
        <v>0</v>
      </c>
      <c r="L910" s="588">
        <v>0</v>
      </c>
      <c r="M910" s="588">
        <v>0</v>
      </c>
      <c r="N910" s="588">
        <v>78</v>
      </c>
      <c r="O910" s="588">
        <v>1</v>
      </c>
      <c r="P910" s="588">
        <v>195</v>
      </c>
      <c r="Q910" s="588">
        <v>40</v>
      </c>
      <c r="R910" s="588">
        <v>469</v>
      </c>
      <c r="S910" s="588">
        <v>41</v>
      </c>
      <c r="T910" s="588">
        <v>2016</v>
      </c>
      <c r="U910" s="588">
        <v>2015</v>
      </c>
      <c r="V910" s="589"/>
      <c r="W910" s="589"/>
      <c r="X910" s="589"/>
      <c r="Y910" s="589"/>
      <c r="Z910" s="589"/>
      <c r="AA910" s="589"/>
      <c r="AB910" s="589"/>
      <c r="AC910" s="589"/>
      <c r="AD910" s="589"/>
      <c r="AE910" s="589"/>
      <c r="AF910" s="589"/>
      <c r="AG910" s="589"/>
      <c r="AH910" s="589"/>
      <c r="AI910" s="589"/>
      <c r="AJ910" s="589"/>
      <c r="AK910" s="589"/>
      <c r="AL910" s="589"/>
      <c r="AM910" s="589"/>
      <c r="AN910" s="589"/>
      <c r="AO910" s="589"/>
      <c r="AP910" s="589"/>
      <c r="AQ910" s="589"/>
      <c r="AR910" s="589"/>
      <c r="AS910" s="589"/>
    </row>
    <row r="911" spans="1:45" ht="15">
      <c r="A911" s="590" t="s">
        <v>148</v>
      </c>
      <c r="B911" s="590" t="s">
        <v>330</v>
      </c>
      <c r="C911" s="590" t="s">
        <v>177</v>
      </c>
      <c r="D911" s="593">
        <v>2016</v>
      </c>
      <c r="E911" s="590" t="s">
        <v>775</v>
      </c>
      <c r="F911" s="593">
        <v>93</v>
      </c>
      <c r="G911" s="593">
        <v>6</v>
      </c>
      <c r="H911" s="593">
        <v>0</v>
      </c>
      <c r="I911" s="593">
        <v>6</v>
      </c>
      <c r="J911" s="593">
        <v>73</v>
      </c>
      <c r="K911" s="593">
        <v>6</v>
      </c>
      <c r="L911" s="593">
        <v>0</v>
      </c>
      <c r="M911" s="593">
        <v>6</v>
      </c>
      <c r="N911" s="593">
        <v>66</v>
      </c>
      <c r="O911" s="593">
        <v>7</v>
      </c>
      <c r="P911" s="593">
        <v>79</v>
      </c>
      <c r="Q911" s="593">
        <v>0</v>
      </c>
      <c r="R911" s="593">
        <v>311</v>
      </c>
      <c r="S911" s="593">
        <v>19</v>
      </c>
      <c r="T911" s="593">
        <v>2016</v>
      </c>
      <c r="U911" s="593">
        <v>2016</v>
      </c>
      <c r="V911" s="589"/>
      <c r="W911" s="589"/>
      <c r="X911" s="589"/>
      <c r="Y911" s="589"/>
      <c r="Z911" s="589"/>
      <c r="AA911" s="589"/>
      <c r="AB911" s="589"/>
      <c r="AC911" s="589"/>
      <c r="AD911" s="589"/>
      <c r="AE911" s="589"/>
      <c r="AF911" s="589"/>
      <c r="AG911" s="589"/>
      <c r="AH911" s="589"/>
      <c r="AI911" s="589"/>
      <c r="AJ911" s="589"/>
      <c r="AK911" s="589"/>
      <c r="AL911" s="589"/>
      <c r="AM911" s="589"/>
      <c r="AN911" s="589"/>
      <c r="AO911" s="589"/>
      <c r="AP911" s="589"/>
      <c r="AQ911" s="589"/>
      <c r="AR911" s="589"/>
      <c r="AS911" s="589"/>
    </row>
    <row r="912" spans="1:45" ht="15">
      <c r="A912" s="587" t="s">
        <v>159</v>
      </c>
      <c r="B912" s="587" t="s">
        <v>450</v>
      </c>
      <c r="C912" s="587" t="s">
        <v>784</v>
      </c>
      <c r="D912" s="588">
        <v>2016</v>
      </c>
      <c r="E912" s="587" t="s">
        <v>775</v>
      </c>
      <c r="F912" s="588">
        <v>40</v>
      </c>
      <c r="G912" s="588">
        <v>0</v>
      </c>
      <c r="H912" s="588">
        <v>0</v>
      </c>
      <c r="I912" s="588">
        <v>0</v>
      </c>
      <c r="J912" s="588">
        <v>27</v>
      </c>
      <c r="K912" s="588">
        <v>7</v>
      </c>
      <c r="L912" s="588">
        <v>7</v>
      </c>
      <c r="M912" s="588">
        <v>0</v>
      </c>
      <c r="N912" s="588">
        <v>27</v>
      </c>
      <c r="O912" s="588">
        <v>36</v>
      </c>
      <c r="P912" s="588">
        <v>74</v>
      </c>
      <c r="Q912" s="588">
        <v>40</v>
      </c>
      <c r="R912" s="588">
        <v>168</v>
      </c>
      <c r="S912" s="588">
        <v>83</v>
      </c>
      <c r="T912" s="588">
        <v>2016</v>
      </c>
      <c r="U912" s="588">
        <v>2014</v>
      </c>
      <c r="V912" s="589"/>
      <c r="W912" s="589"/>
      <c r="X912" s="589"/>
      <c r="Y912" s="589"/>
      <c r="Z912" s="589"/>
      <c r="AA912" s="589"/>
      <c r="AB912" s="589"/>
      <c r="AC912" s="589"/>
      <c r="AD912" s="589"/>
      <c r="AE912" s="589"/>
      <c r="AF912" s="589"/>
      <c r="AG912" s="589"/>
      <c r="AH912" s="589"/>
      <c r="AI912" s="589"/>
      <c r="AJ912" s="589"/>
      <c r="AK912" s="589"/>
      <c r="AL912" s="589"/>
      <c r="AM912" s="589"/>
      <c r="AN912" s="589"/>
      <c r="AO912" s="589"/>
      <c r="AP912" s="589"/>
      <c r="AQ912" s="589"/>
      <c r="AR912" s="589"/>
      <c r="AS912" s="589"/>
    </row>
    <row r="913" spans="1:45" ht="15">
      <c r="A913" s="590" t="s">
        <v>173</v>
      </c>
      <c r="B913" s="590" t="s">
        <v>544</v>
      </c>
      <c r="C913" s="590" t="s">
        <v>812</v>
      </c>
      <c r="D913" s="593">
        <v>2016</v>
      </c>
      <c r="E913" s="590" t="s">
        <v>775</v>
      </c>
      <c r="F913" s="593">
        <v>1488</v>
      </c>
      <c r="G913" s="593">
        <v>3</v>
      </c>
      <c r="H913" s="593">
        <v>0</v>
      </c>
      <c r="I913" s="593">
        <v>3</v>
      </c>
      <c r="J913" s="593">
        <v>1007</v>
      </c>
      <c r="K913" s="593">
        <v>2</v>
      </c>
      <c r="L913" s="593">
        <v>0</v>
      </c>
      <c r="M913" s="593">
        <v>2</v>
      </c>
      <c r="N913" s="593">
        <v>1140</v>
      </c>
      <c r="O913" s="593">
        <v>184</v>
      </c>
      <c r="P913" s="593">
        <v>2610</v>
      </c>
      <c r="Q913" s="593">
        <v>349</v>
      </c>
      <c r="R913" s="593">
        <v>6245</v>
      </c>
      <c r="S913" s="593">
        <v>538</v>
      </c>
      <c r="T913" s="593">
        <v>2016</v>
      </c>
      <c r="U913" s="593">
        <v>2014</v>
      </c>
      <c r="V913" s="589"/>
      <c r="W913" s="589"/>
      <c r="X913" s="589"/>
      <c r="Y913" s="589"/>
      <c r="Z913" s="589"/>
      <c r="AA913" s="589"/>
      <c r="AB913" s="589"/>
      <c r="AC913" s="589"/>
      <c r="AD913" s="589"/>
      <c r="AE913" s="589"/>
      <c r="AF913" s="589"/>
      <c r="AG913" s="589"/>
      <c r="AH913" s="589"/>
      <c r="AI913" s="589"/>
      <c r="AJ913" s="589"/>
      <c r="AK913" s="589"/>
      <c r="AL913" s="589"/>
      <c r="AM913" s="589"/>
      <c r="AN913" s="589"/>
      <c r="AO913" s="589"/>
      <c r="AP913" s="589"/>
      <c r="AQ913" s="589"/>
      <c r="AR913" s="589"/>
      <c r="AS913" s="589"/>
    </row>
    <row r="914" spans="1:45" ht="15">
      <c r="A914" s="587" t="s">
        <v>184</v>
      </c>
      <c r="B914" s="587" t="s">
        <v>633</v>
      </c>
      <c r="C914" s="587" t="s">
        <v>774</v>
      </c>
      <c r="D914" s="588">
        <v>2016</v>
      </c>
      <c r="E914" s="587" t="s">
        <v>775</v>
      </c>
      <c r="F914" s="588">
        <v>233</v>
      </c>
      <c r="G914" s="588">
        <v>45</v>
      </c>
      <c r="H914" s="588">
        <v>42</v>
      </c>
      <c r="I914" s="588">
        <v>3</v>
      </c>
      <c r="J914" s="588">
        <v>129</v>
      </c>
      <c r="K914" s="588">
        <v>4</v>
      </c>
      <c r="L914" s="588">
        <v>0</v>
      </c>
      <c r="M914" s="588">
        <v>4</v>
      </c>
      <c r="N914" s="588">
        <v>143</v>
      </c>
      <c r="O914" s="588">
        <v>0</v>
      </c>
      <c r="P914" s="588">
        <v>150</v>
      </c>
      <c r="Q914" s="588">
        <v>17</v>
      </c>
      <c r="R914" s="588">
        <v>655</v>
      </c>
      <c r="S914" s="588">
        <v>66</v>
      </c>
      <c r="T914" s="588">
        <v>2016</v>
      </c>
      <c r="U914" s="588">
        <v>2015</v>
      </c>
      <c r="V914" s="589"/>
      <c r="W914" s="589"/>
      <c r="X914" s="589"/>
      <c r="Y914" s="589"/>
      <c r="Z914" s="589"/>
      <c r="AA914" s="589"/>
      <c r="AB914" s="589"/>
      <c r="AC914" s="589"/>
      <c r="AD914" s="589"/>
      <c r="AE914" s="589"/>
      <c r="AF914" s="589"/>
      <c r="AG914" s="589"/>
      <c r="AH914" s="589"/>
      <c r="AI914" s="589"/>
      <c r="AJ914" s="589"/>
      <c r="AK914" s="589"/>
      <c r="AL914" s="589"/>
      <c r="AM914" s="589"/>
      <c r="AN914" s="589"/>
      <c r="AO914" s="589"/>
      <c r="AP914" s="589"/>
      <c r="AQ914" s="589"/>
      <c r="AR914" s="589"/>
      <c r="AS914" s="589"/>
    </row>
    <row r="915" spans="1:45" ht="15">
      <c r="A915" s="590" t="s">
        <v>160</v>
      </c>
      <c r="B915" s="590" t="s">
        <v>459</v>
      </c>
      <c r="C915" s="590" t="s">
        <v>828</v>
      </c>
      <c r="D915" s="593">
        <v>2016</v>
      </c>
      <c r="E915" s="590" t="s">
        <v>775</v>
      </c>
      <c r="F915" s="593">
        <v>1085</v>
      </c>
      <c r="G915" s="593">
        <v>0</v>
      </c>
      <c r="H915" s="593">
        <v>0</v>
      </c>
      <c r="I915" s="593">
        <v>0</v>
      </c>
      <c r="J915" s="593">
        <v>775</v>
      </c>
      <c r="K915" s="593">
        <v>0</v>
      </c>
      <c r="L915" s="593">
        <v>0</v>
      </c>
      <c r="M915" s="593">
        <v>0</v>
      </c>
      <c r="N915" s="593">
        <v>711</v>
      </c>
      <c r="O915" s="593">
        <v>37</v>
      </c>
      <c r="P915" s="593">
        <v>1885</v>
      </c>
      <c r="Q915" s="593">
        <v>137</v>
      </c>
      <c r="R915" s="593">
        <v>4456</v>
      </c>
      <c r="S915" s="593">
        <v>174</v>
      </c>
      <c r="T915" s="593">
        <v>2016</v>
      </c>
      <c r="U915" s="593">
        <v>2016</v>
      </c>
      <c r="V915" s="589"/>
      <c r="W915" s="589"/>
      <c r="X915" s="589"/>
      <c r="Y915" s="589"/>
      <c r="Z915" s="589"/>
      <c r="AA915" s="589"/>
      <c r="AB915" s="589"/>
      <c r="AC915" s="589"/>
      <c r="AD915" s="589"/>
      <c r="AE915" s="589"/>
      <c r="AF915" s="589"/>
      <c r="AG915" s="589"/>
      <c r="AH915" s="589"/>
      <c r="AI915" s="589"/>
      <c r="AJ915" s="589"/>
      <c r="AK915" s="589"/>
      <c r="AL915" s="589"/>
      <c r="AM915" s="589"/>
      <c r="AN915" s="589"/>
      <c r="AO915" s="589"/>
      <c r="AP915" s="589"/>
      <c r="AQ915" s="589"/>
      <c r="AR915" s="589"/>
      <c r="AS915" s="589"/>
    </row>
    <row r="916" spans="1:45" ht="15">
      <c r="A916" s="587" t="s">
        <v>157</v>
      </c>
      <c r="B916" s="587" t="s">
        <v>441</v>
      </c>
      <c r="C916" s="587" t="s">
        <v>774</v>
      </c>
      <c r="D916" s="588">
        <v>2016</v>
      </c>
      <c r="E916" s="587" t="s">
        <v>775</v>
      </c>
      <c r="F916" s="588">
        <v>41</v>
      </c>
      <c r="G916" s="588">
        <v>4</v>
      </c>
      <c r="H916" s="588">
        <v>0</v>
      </c>
      <c r="I916" s="588">
        <v>4</v>
      </c>
      <c r="J916" s="588">
        <v>24</v>
      </c>
      <c r="K916" s="588">
        <v>3</v>
      </c>
      <c r="L916" s="588">
        <v>0</v>
      </c>
      <c r="M916" s="588">
        <v>3</v>
      </c>
      <c r="N916" s="588">
        <v>26</v>
      </c>
      <c r="O916" s="588">
        <v>2</v>
      </c>
      <c r="P916" s="588">
        <v>38</v>
      </c>
      <c r="Q916" s="588">
        <v>2</v>
      </c>
      <c r="R916" s="588">
        <v>129</v>
      </c>
      <c r="S916" s="588">
        <v>11</v>
      </c>
      <c r="T916" s="588">
        <v>2016</v>
      </c>
      <c r="U916" s="588">
        <v>2015</v>
      </c>
      <c r="V916" s="589"/>
      <c r="W916" s="589"/>
      <c r="X916" s="589"/>
      <c r="Y916" s="589"/>
      <c r="Z916" s="589"/>
      <c r="AA916" s="589"/>
      <c r="AB916" s="589"/>
      <c r="AC916" s="589"/>
      <c r="AD916" s="589"/>
      <c r="AE916" s="589"/>
      <c r="AF916" s="589"/>
      <c r="AG916" s="589"/>
      <c r="AH916" s="589"/>
      <c r="AI916" s="589"/>
      <c r="AJ916" s="589"/>
      <c r="AK916" s="589"/>
      <c r="AL916" s="589"/>
      <c r="AM916" s="589"/>
      <c r="AN916" s="589"/>
      <c r="AO916" s="589"/>
      <c r="AP916" s="589"/>
      <c r="AQ916" s="589"/>
      <c r="AR916" s="589"/>
      <c r="AS916" s="589"/>
    </row>
    <row r="917" spans="1:45" ht="15">
      <c r="A917" s="590" t="s">
        <v>184</v>
      </c>
      <c r="B917" s="590" t="s">
        <v>634</v>
      </c>
      <c r="C917" s="590" t="s">
        <v>774</v>
      </c>
      <c r="D917" s="593">
        <v>2016</v>
      </c>
      <c r="E917" s="590" t="s">
        <v>775</v>
      </c>
      <c r="F917" s="593">
        <v>193</v>
      </c>
      <c r="G917" s="593">
        <v>0</v>
      </c>
      <c r="H917" s="593">
        <v>0</v>
      </c>
      <c r="I917" s="593">
        <v>0</v>
      </c>
      <c r="J917" s="593">
        <v>101</v>
      </c>
      <c r="K917" s="593">
        <v>0</v>
      </c>
      <c r="L917" s="593">
        <v>0</v>
      </c>
      <c r="M917" s="593">
        <v>0</v>
      </c>
      <c r="N917" s="593">
        <v>112</v>
      </c>
      <c r="O917" s="593">
        <v>0</v>
      </c>
      <c r="P917" s="593">
        <v>257</v>
      </c>
      <c r="Q917" s="593">
        <v>0</v>
      </c>
      <c r="R917" s="593">
        <v>663</v>
      </c>
      <c r="S917" s="593">
        <v>0</v>
      </c>
      <c r="T917" s="593">
        <v>2016</v>
      </c>
      <c r="U917" s="593">
        <v>2015</v>
      </c>
      <c r="V917" s="589"/>
      <c r="W917" s="589"/>
      <c r="X917" s="589"/>
      <c r="Y917" s="589"/>
      <c r="Z917" s="589"/>
      <c r="AA917" s="589"/>
      <c r="AB917" s="589"/>
      <c r="AC917" s="589"/>
      <c r="AD917" s="589"/>
      <c r="AE917" s="589"/>
      <c r="AF917" s="589"/>
      <c r="AG917" s="589"/>
      <c r="AH917" s="589"/>
      <c r="AI917" s="589"/>
      <c r="AJ917" s="589"/>
      <c r="AK917" s="589"/>
      <c r="AL917" s="589"/>
      <c r="AM917" s="589"/>
      <c r="AN917" s="589"/>
      <c r="AO917" s="589"/>
      <c r="AP917" s="589"/>
      <c r="AQ917" s="589"/>
      <c r="AR917" s="589"/>
      <c r="AS917" s="589"/>
    </row>
    <row r="918" spans="1:45" ht="15">
      <c r="A918" s="587" t="s">
        <v>187</v>
      </c>
      <c r="B918" s="587" t="s">
        <v>657</v>
      </c>
      <c r="C918" s="587" t="s">
        <v>774</v>
      </c>
      <c r="D918" s="588">
        <v>2016</v>
      </c>
      <c r="E918" s="587" t="s">
        <v>775</v>
      </c>
      <c r="F918" s="588">
        <v>1004</v>
      </c>
      <c r="G918" s="588">
        <v>0</v>
      </c>
      <c r="H918" s="588">
        <v>0</v>
      </c>
      <c r="I918" s="588">
        <v>0</v>
      </c>
      <c r="J918" s="588">
        <v>570</v>
      </c>
      <c r="K918" s="588">
        <v>0</v>
      </c>
      <c r="L918" s="588">
        <v>0</v>
      </c>
      <c r="M918" s="588">
        <v>0</v>
      </c>
      <c r="N918" s="588">
        <v>565</v>
      </c>
      <c r="O918" s="588">
        <v>0</v>
      </c>
      <c r="P918" s="588">
        <v>1151</v>
      </c>
      <c r="Q918" s="588">
        <v>82</v>
      </c>
      <c r="R918" s="588">
        <v>3290</v>
      </c>
      <c r="S918" s="588">
        <v>82</v>
      </c>
      <c r="T918" s="588">
        <v>2016</v>
      </c>
      <c r="U918" s="588">
        <v>2015</v>
      </c>
      <c r="V918" s="589"/>
      <c r="W918" s="589"/>
      <c r="X918" s="589"/>
      <c r="Y918" s="589"/>
      <c r="Z918" s="589"/>
      <c r="AA918" s="589"/>
      <c r="AB918" s="589"/>
      <c r="AC918" s="589"/>
      <c r="AD918" s="589"/>
      <c r="AE918" s="589"/>
      <c r="AF918" s="589"/>
      <c r="AG918" s="589"/>
      <c r="AH918" s="589"/>
      <c r="AI918" s="589"/>
      <c r="AJ918" s="589"/>
      <c r="AK918" s="589"/>
      <c r="AL918" s="589"/>
      <c r="AM918" s="589"/>
      <c r="AN918" s="589"/>
      <c r="AO918" s="589"/>
      <c r="AP918" s="589"/>
      <c r="AQ918" s="589"/>
      <c r="AR918" s="589"/>
      <c r="AS918" s="589"/>
    </row>
    <row r="919" spans="1:45" ht="15">
      <c r="A919" s="590" t="s">
        <v>169</v>
      </c>
      <c r="B919" s="590" t="s">
        <v>505</v>
      </c>
      <c r="C919" s="590" t="s">
        <v>812</v>
      </c>
      <c r="D919" s="593">
        <v>2016</v>
      </c>
      <c r="E919" s="590" t="s">
        <v>775</v>
      </c>
      <c r="F919" s="593">
        <v>42</v>
      </c>
      <c r="G919" s="593">
        <v>1</v>
      </c>
      <c r="H919" s="593">
        <v>1</v>
      </c>
      <c r="I919" s="593">
        <v>0</v>
      </c>
      <c r="J919" s="593">
        <v>29</v>
      </c>
      <c r="K919" s="593">
        <v>0</v>
      </c>
      <c r="L919" s="593">
        <v>0</v>
      </c>
      <c r="M919" s="593">
        <v>0</v>
      </c>
      <c r="N919" s="593">
        <v>33</v>
      </c>
      <c r="O919" s="593">
        <v>0</v>
      </c>
      <c r="P919" s="593">
        <v>73</v>
      </c>
      <c r="Q919" s="593">
        <v>6</v>
      </c>
      <c r="R919" s="593">
        <v>177</v>
      </c>
      <c r="S919" s="593">
        <v>7</v>
      </c>
      <c r="T919" s="593">
        <v>2016</v>
      </c>
      <c r="U919" s="593">
        <v>2014</v>
      </c>
      <c r="V919" s="589"/>
      <c r="W919" s="589"/>
      <c r="X919" s="589"/>
      <c r="Y919" s="589"/>
      <c r="Z919" s="589"/>
      <c r="AA919" s="589"/>
      <c r="AB919" s="589"/>
      <c r="AC919" s="589"/>
      <c r="AD919" s="589"/>
      <c r="AE919" s="589"/>
      <c r="AF919" s="589"/>
      <c r="AG919" s="589"/>
      <c r="AH919" s="589"/>
      <c r="AI919" s="589"/>
      <c r="AJ919" s="589"/>
      <c r="AK919" s="589"/>
      <c r="AL919" s="589"/>
      <c r="AM919" s="589"/>
      <c r="AN919" s="589"/>
      <c r="AO919" s="589"/>
      <c r="AP919" s="589"/>
      <c r="AQ919" s="589"/>
      <c r="AR919" s="589"/>
      <c r="AS919" s="589"/>
    </row>
    <row r="920" spans="1:45" ht="15">
      <c r="A920" s="587" t="s">
        <v>195</v>
      </c>
      <c r="B920" s="587" t="s">
        <v>705</v>
      </c>
      <c r="C920" s="587" t="s">
        <v>177</v>
      </c>
      <c r="D920" s="588">
        <v>2016</v>
      </c>
      <c r="E920" s="587" t="s">
        <v>775</v>
      </c>
      <c r="F920" s="588">
        <v>1546</v>
      </c>
      <c r="G920" s="588">
        <v>0</v>
      </c>
      <c r="H920" s="588">
        <v>0</v>
      </c>
      <c r="I920" s="588">
        <v>0</v>
      </c>
      <c r="J920" s="588">
        <v>991</v>
      </c>
      <c r="K920" s="588">
        <v>50</v>
      </c>
      <c r="L920" s="588">
        <v>50</v>
      </c>
      <c r="M920" s="588">
        <v>0</v>
      </c>
      <c r="N920" s="588">
        <v>1100</v>
      </c>
      <c r="O920" s="588">
        <v>56</v>
      </c>
      <c r="P920" s="588">
        <v>2724</v>
      </c>
      <c r="Q920" s="588">
        <v>150</v>
      </c>
      <c r="R920" s="588">
        <v>6361</v>
      </c>
      <c r="S920" s="588">
        <v>256</v>
      </c>
      <c r="T920" s="588">
        <v>2016</v>
      </c>
      <c r="U920" s="588">
        <v>2016</v>
      </c>
      <c r="V920" s="589"/>
      <c r="W920" s="589"/>
      <c r="X920" s="589"/>
      <c r="Y920" s="589"/>
      <c r="Z920" s="589"/>
      <c r="AA920" s="589"/>
      <c r="AB920" s="589"/>
      <c r="AC920" s="589"/>
      <c r="AD920" s="589"/>
      <c r="AE920" s="589"/>
      <c r="AF920" s="589"/>
      <c r="AG920" s="589"/>
      <c r="AH920" s="589"/>
      <c r="AI920" s="589"/>
      <c r="AJ920" s="589"/>
      <c r="AK920" s="589"/>
      <c r="AL920" s="589"/>
      <c r="AM920" s="589"/>
      <c r="AN920" s="589"/>
      <c r="AO920" s="589"/>
      <c r="AP920" s="589"/>
      <c r="AQ920" s="589"/>
      <c r="AR920" s="589"/>
      <c r="AS920" s="589"/>
    </row>
    <row r="921" spans="1:45" ht="15">
      <c r="A921" s="590" t="s">
        <v>162</v>
      </c>
      <c r="B921" s="590" t="s">
        <v>461</v>
      </c>
      <c r="C921" s="590" t="s">
        <v>784</v>
      </c>
      <c r="D921" s="593">
        <v>2016</v>
      </c>
      <c r="E921" s="590" t="s">
        <v>775</v>
      </c>
      <c r="F921" s="593">
        <v>2</v>
      </c>
      <c r="G921" s="593">
        <v>0</v>
      </c>
      <c r="H921" s="593">
        <v>0</v>
      </c>
      <c r="I921" s="593">
        <v>0</v>
      </c>
      <c r="J921" s="593">
        <v>2</v>
      </c>
      <c r="K921" s="593">
        <v>3</v>
      </c>
      <c r="L921" s="593">
        <v>0</v>
      </c>
      <c r="M921" s="593">
        <v>3</v>
      </c>
      <c r="N921" s="593">
        <v>1</v>
      </c>
      <c r="O921" s="593">
        <v>6</v>
      </c>
      <c r="P921" s="593">
        <v>5</v>
      </c>
      <c r="Q921" s="593">
        <v>0</v>
      </c>
      <c r="R921" s="593">
        <v>10</v>
      </c>
      <c r="S921" s="593">
        <v>9</v>
      </c>
      <c r="T921" s="593">
        <v>2016</v>
      </c>
      <c r="U921" s="593">
        <v>2014</v>
      </c>
      <c r="V921" s="589"/>
      <c r="W921" s="589"/>
      <c r="X921" s="589"/>
      <c r="Y921" s="589"/>
      <c r="Z921" s="589"/>
      <c r="AA921" s="589"/>
      <c r="AB921" s="589"/>
      <c r="AC921" s="589"/>
      <c r="AD921" s="589"/>
      <c r="AE921" s="589"/>
      <c r="AF921" s="589"/>
      <c r="AG921" s="589"/>
      <c r="AH921" s="589"/>
      <c r="AI921" s="589"/>
      <c r="AJ921" s="589"/>
      <c r="AK921" s="589"/>
      <c r="AL921" s="589"/>
      <c r="AM921" s="589"/>
      <c r="AN921" s="589"/>
      <c r="AO921" s="589"/>
      <c r="AP921" s="589"/>
      <c r="AQ921" s="589"/>
      <c r="AR921" s="589"/>
      <c r="AS921" s="589"/>
    </row>
    <row r="922" spans="1:45" ht="15">
      <c r="A922" s="587" t="s">
        <v>163</v>
      </c>
      <c r="B922" s="587" t="s">
        <v>463</v>
      </c>
      <c r="C922" s="587" t="s">
        <v>784</v>
      </c>
      <c r="D922" s="588">
        <v>2016</v>
      </c>
      <c r="E922" s="587" t="s">
        <v>775</v>
      </c>
      <c r="F922" s="588">
        <v>11</v>
      </c>
      <c r="G922" s="588">
        <v>0</v>
      </c>
      <c r="H922" s="588">
        <v>0</v>
      </c>
      <c r="I922" s="588">
        <v>0</v>
      </c>
      <c r="J922" s="588">
        <v>7</v>
      </c>
      <c r="K922" s="588">
        <v>5</v>
      </c>
      <c r="L922" s="588">
        <v>0</v>
      </c>
      <c r="M922" s="588">
        <v>5</v>
      </c>
      <c r="N922" s="588">
        <v>9</v>
      </c>
      <c r="O922" s="588">
        <v>12</v>
      </c>
      <c r="P922" s="588">
        <v>19</v>
      </c>
      <c r="Q922" s="588">
        <v>9</v>
      </c>
      <c r="R922" s="588">
        <v>46</v>
      </c>
      <c r="S922" s="588">
        <v>26</v>
      </c>
      <c r="T922" s="588">
        <v>2016</v>
      </c>
      <c r="U922" s="588">
        <v>2014</v>
      </c>
      <c r="V922" s="589"/>
      <c r="W922" s="589"/>
      <c r="X922" s="589"/>
      <c r="Y922" s="589"/>
      <c r="Z922" s="589"/>
      <c r="AA922" s="589"/>
      <c r="AB922" s="589"/>
      <c r="AC922" s="589"/>
      <c r="AD922" s="589"/>
      <c r="AE922" s="589"/>
      <c r="AF922" s="589"/>
      <c r="AG922" s="589"/>
      <c r="AH922" s="589"/>
      <c r="AI922" s="589"/>
      <c r="AJ922" s="589"/>
      <c r="AK922" s="589"/>
      <c r="AL922" s="589"/>
      <c r="AM922" s="589"/>
      <c r="AN922" s="589"/>
      <c r="AO922" s="589"/>
      <c r="AP922" s="589"/>
      <c r="AQ922" s="589"/>
      <c r="AR922" s="589"/>
      <c r="AS922" s="589"/>
    </row>
    <row r="923" spans="1:45" ht="15">
      <c r="A923" s="590" t="s">
        <v>153</v>
      </c>
      <c r="B923" s="590" t="s">
        <v>399</v>
      </c>
      <c r="C923" s="590" t="s">
        <v>812</v>
      </c>
      <c r="D923" s="593">
        <v>2016</v>
      </c>
      <c r="E923" s="590" t="s">
        <v>775</v>
      </c>
      <c r="F923" s="593">
        <v>101</v>
      </c>
      <c r="G923" s="593">
        <v>0</v>
      </c>
      <c r="H923" s="593">
        <v>0</v>
      </c>
      <c r="I923" s="593">
        <v>0</v>
      </c>
      <c r="J923" s="593">
        <v>61</v>
      </c>
      <c r="K923" s="593">
        <v>0</v>
      </c>
      <c r="L923" s="593">
        <v>0</v>
      </c>
      <c r="M923" s="593">
        <v>0</v>
      </c>
      <c r="N923" s="593">
        <v>65</v>
      </c>
      <c r="O923" s="593">
        <v>0</v>
      </c>
      <c r="P923" s="593">
        <v>162</v>
      </c>
      <c r="Q923" s="593">
        <v>445</v>
      </c>
      <c r="R923" s="593">
        <v>389</v>
      </c>
      <c r="S923" s="593">
        <v>445</v>
      </c>
      <c r="T923" s="593">
        <v>2016</v>
      </c>
      <c r="U923" s="593">
        <v>2014</v>
      </c>
      <c r="V923" s="589"/>
      <c r="W923" s="589"/>
      <c r="X923" s="589"/>
      <c r="Y923" s="589"/>
      <c r="Z923" s="589"/>
      <c r="AA923" s="589"/>
      <c r="AB923" s="589"/>
      <c r="AC923" s="589"/>
      <c r="AD923" s="589"/>
      <c r="AE923" s="589"/>
      <c r="AF923" s="589"/>
      <c r="AG923" s="589"/>
      <c r="AH923" s="589"/>
      <c r="AI923" s="589"/>
      <c r="AJ923" s="589"/>
      <c r="AK923" s="589"/>
      <c r="AL923" s="589"/>
      <c r="AM923" s="589"/>
      <c r="AN923" s="589"/>
      <c r="AO923" s="589"/>
      <c r="AP923" s="589"/>
      <c r="AQ923" s="589"/>
      <c r="AR923" s="589"/>
      <c r="AS923" s="589"/>
    </row>
    <row r="924" spans="1:45" ht="15">
      <c r="A924" s="587" t="s">
        <v>178</v>
      </c>
      <c r="B924" s="587" t="s">
        <v>578</v>
      </c>
      <c r="C924" s="587" t="s">
        <v>812</v>
      </c>
      <c r="D924" s="588">
        <v>2016</v>
      </c>
      <c r="E924" s="587" t="s">
        <v>775</v>
      </c>
      <c r="F924" s="588">
        <v>164</v>
      </c>
      <c r="G924" s="588">
        <v>0</v>
      </c>
      <c r="H924" s="588">
        <v>0</v>
      </c>
      <c r="I924" s="588">
        <v>0</v>
      </c>
      <c r="J924" s="588">
        <v>114</v>
      </c>
      <c r="K924" s="588">
        <v>0</v>
      </c>
      <c r="L924" s="588">
        <v>0</v>
      </c>
      <c r="M924" s="588">
        <v>0</v>
      </c>
      <c r="N924" s="588">
        <v>125</v>
      </c>
      <c r="O924" s="588">
        <v>0</v>
      </c>
      <c r="P924" s="588">
        <v>294</v>
      </c>
      <c r="Q924" s="588">
        <v>39</v>
      </c>
      <c r="R924" s="588">
        <v>697</v>
      </c>
      <c r="S924" s="588">
        <v>39</v>
      </c>
      <c r="T924" s="588">
        <v>2016</v>
      </c>
      <c r="U924" s="588">
        <v>2014</v>
      </c>
      <c r="V924" s="589"/>
      <c r="W924" s="589"/>
      <c r="X924" s="589"/>
      <c r="Y924" s="589"/>
      <c r="Z924" s="589"/>
      <c r="AA924" s="589"/>
      <c r="AB924" s="589"/>
      <c r="AC924" s="589"/>
      <c r="AD924" s="589"/>
      <c r="AE924" s="589"/>
      <c r="AF924" s="589"/>
      <c r="AG924" s="589"/>
      <c r="AH924" s="589"/>
      <c r="AI924" s="589"/>
      <c r="AJ924" s="589"/>
      <c r="AK924" s="589"/>
      <c r="AL924" s="589"/>
      <c r="AM924" s="589"/>
      <c r="AN924" s="589"/>
      <c r="AO924" s="589"/>
      <c r="AP924" s="589"/>
      <c r="AQ924" s="589"/>
      <c r="AR924" s="589"/>
      <c r="AS924" s="589"/>
    </row>
    <row r="925" spans="1:45" ht="15">
      <c r="A925" s="590" t="s">
        <v>187</v>
      </c>
      <c r="B925" s="590" t="s">
        <v>658</v>
      </c>
      <c r="C925" s="590" t="s">
        <v>774</v>
      </c>
      <c r="D925" s="593">
        <v>2016</v>
      </c>
      <c r="E925" s="590" t="s">
        <v>775</v>
      </c>
      <c r="F925" s="593">
        <v>23</v>
      </c>
      <c r="G925" s="593">
        <v>5</v>
      </c>
      <c r="H925" s="593">
        <v>5</v>
      </c>
      <c r="I925" s="593">
        <v>0</v>
      </c>
      <c r="J925" s="593">
        <v>13</v>
      </c>
      <c r="K925" s="593">
        <v>0</v>
      </c>
      <c r="L925" s="593">
        <v>0</v>
      </c>
      <c r="M925" s="593">
        <v>0</v>
      </c>
      <c r="N925" s="593">
        <v>13</v>
      </c>
      <c r="O925" s="593">
        <v>0</v>
      </c>
      <c r="P925" s="593">
        <v>12</v>
      </c>
      <c r="Q925" s="593">
        <v>8</v>
      </c>
      <c r="R925" s="593">
        <v>61</v>
      </c>
      <c r="S925" s="593">
        <v>13</v>
      </c>
      <c r="T925" s="593">
        <v>2016</v>
      </c>
      <c r="U925" s="593">
        <v>2015</v>
      </c>
      <c r="V925" s="589"/>
      <c r="W925" s="589"/>
      <c r="X925" s="589"/>
      <c r="Y925" s="589"/>
      <c r="Z925" s="589"/>
      <c r="AA925" s="589"/>
      <c r="AB925" s="589"/>
      <c r="AC925" s="589"/>
      <c r="AD925" s="589"/>
      <c r="AE925" s="589"/>
      <c r="AF925" s="589"/>
      <c r="AG925" s="589"/>
      <c r="AH925" s="589"/>
      <c r="AI925" s="589"/>
      <c r="AJ925" s="589"/>
      <c r="AK925" s="589"/>
      <c r="AL925" s="589"/>
      <c r="AM925" s="589"/>
      <c r="AN925" s="589"/>
      <c r="AO925" s="589"/>
      <c r="AP925" s="589"/>
      <c r="AQ925" s="589"/>
      <c r="AR925" s="589"/>
      <c r="AS925" s="589"/>
    </row>
    <row r="926" spans="1:45" ht="15">
      <c r="A926" s="587" t="s">
        <v>164</v>
      </c>
      <c r="B926" s="587" t="s">
        <v>164</v>
      </c>
      <c r="C926" s="587" t="s">
        <v>177</v>
      </c>
      <c r="D926" s="588">
        <v>2016</v>
      </c>
      <c r="E926" s="587" t="s">
        <v>775</v>
      </c>
      <c r="F926" s="588">
        <v>157</v>
      </c>
      <c r="G926" s="588">
        <v>0</v>
      </c>
      <c r="H926" s="588">
        <v>0</v>
      </c>
      <c r="I926" s="588">
        <v>0</v>
      </c>
      <c r="J926" s="588">
        <v>102</v>
      </c>
      <c r="K926" s="588">
        <v>0</v>
      </c>
      <c r="L926" s="588">
        <v>0</v>
      </c>
      <c r="M926" s="588">
        <v>0</v>
      </c>
      <c r="N926" s="588">
        <v>119</v>
      </c>
      <c r="O926" s="588">
        <v>0</v>
      </c>
      <c r="P926" s="588">
        <v>272</v>
      </c>
      <c r="Q926" s="588">
        <v>2</v>
      </c>
      <c r="R926" s="588">
        <v>650</v>
      </c>
      <c r="S926" s="588">
        <v>2</v>
      </c>
      <c r="T926" s="588">
        <v>2016</v>
      </c>
      <c r="U926" s="588">
        <v>2016</v>
      </c>
      <c r="V926" s="589"/>
      <c r="W926" s="589"/>
      <c r="X926" s="589"/>
      <c r="Y926" s="589"/>
      <c r="Z926" s="589"/>
      <c r="AA926" s="589"/>
      <c r="AB926" s="589"/>
      <c r="AC926" s="589"/>
      <c r="AD926" s="589"/>
      <c r="AE926" s="589"/>
      <c r="AF926" s="589"/>
      <c r="AG926" s="589"/>
      <c r="AH926" s="589"/>
      <c r="AI926" s="589"/>
      <c r="AJ926" s="589"/>
      <c r="AK926" s="589"/>
      <c r="AL926" s="589"/>
      <c r="AM926" s="589"/>
      <c r="AN926" s="589"/>
      <c r="AO926" s="589"/>
      <c r="AP926" s="589"/>
      <c r="AQ926" s="589"/>
      <c r="AR926" s="589"/>
      <c r="AS926" s="589"/>
    </row>
    <row r="927" spans="1:45" ht="15">
      <c r="A927" s="590" t="s">
        <v>164</v>
      </c>
      <c r="B927" s="590" t="s">
        <v>470</v>
      </c>
      <c r="C927" s="590" t="s">
        <v>177</v>
      </c>
      <c r="D927" s="593">
        <v>2016</v>
      </c>
      <c r="E927" s="590" t="s">
        <v>775</v>
      </c>
      <c r="F927" s="593">
        <v>374</v>
      </c>
      <c r="G927" s="593">
        <v>0</v>
      </c>
      <c r="H927" s="593">
        <v>0</v>
      </c>
      <c r="I927" s="593">
        <v>0</v>
      </c>
      <c r="J927" s="593">
        <v>244</v>
      </c>
      <c r="K927" s="593">
        <v>0</v>
      </c>
      <c r="L927" s="593">
        <v>0</v>
      </c>
      <c r="M927" s="593">
        <v>0</v>
      </c>
      <c r="N927" s="593">
        <v>282</v>
      </c>
      <c r="O927" s="593">
        <v>3</v>
      </c>
      <c r="P927" s="593">
        <v>651</v>
      </c>
      <c r="Q927" s="593">
        <v>260</v>
      </c>
      <c r="R927" s="593">
        <v>1551</v>
      </c>
      <c r="S927" s="593">
        <v>263</v>
      </c>
      <c r="T927" s="593">
        <v>2016</v>
      </c>
      <c r="U927" s="593">
        <v>2016</v>
      </c>
      <c r="V927" s="589"/>
      <c r="W927" s="589"/>
      <c r="X927" s="589"/>
      <c r="Y927" s="589"/>
      <c r="Z927" s="589"/>
      <c r="AA927" s="589"/>
      <c r="AB927" s="589"/>
      <c r="AC927" s="589"/>
      <c r="AD927" s="589"/>
      <c r="AE927" s="589"/>
      <c r="AF927" s="589"/>
      <c r="AG927" s="589"/>
      <c r="AH927" s="589"/>
      <c r="AI927" s="589"/>
      <c r="AJ927" s="589"/>
      <c r="AK927" s="589"/>
      <c r="AL927" s="589"/>
      <c r="AM927" s="589"/>
      <c r="AN927" s="589"/>
      <c r="AO927" s="589"/>
      <c r="AP927" s="589"/>
      <c r="AQ927" s="589"/>
      <c r="AR927" s="589"/>
      <c r="AS927" s="589"/>
    </row>
    <row r="928" spans="1:45" ht="15">
      <c r="A928" s="587" t="s">
        <v>201</v>
      </c>
      <c r="B928" s="587" t="s">
        <v>732</v>
      </c>
      <c r="C928" s="587" t="s">
        <v>812</v>
      </c>
      <c r="D928" s="588">
        <v>2016</v>
      </c>
      <c r="E928" s="587" t="s">
        <v>775</v>
      </c>
      <c r="F928" s="588">
        <v>289</v>
      </c>
      <c r="G928" s="588">
        <v>0</v>
      </c>
      <c r="H928" s="588">
        <v>0</v>
      </c>
      <c r="I928" s="588">
        <v>0</v>
      </c>
      <c r="J928" s="588">
        <v>197</v>
      </c>
      <c r="K928" s="588">
        <v>0</v>
      </c>
      <c r="L928" s="588">
        <v>0</v>
      </c>
      <c r="M928" s="588">
        <v>0</v>
      </c>
      <c r="N928" s="588">
        <v>216</v>
      </c>
      <c r="O928" s="588">
        <v>0</v>
      </c>
      <c r="P928" s="588">
        <v>462</v>
      </c>
      <c r="Q928" s="588">
        <v>88</v>
      </c>
      <c r="R928" s="588">
        <v>1164</v>
      </c>
      <c r="S928" s="588">
        <v>88</v>
      </c>
      <c r="T928" s="588">
        <v>2016</v>
      </c>
      <c r="U928" s="588">
        <v>2014</v>
      </c>
      <c r="V928" s="589"/>
      <c r="W928" s="589"/>
      <c r="X928" s="589"/>
      <c r="Y928" s="589"/>
      <c r="Z928" s="589"/>
      <c r="AA928" s="589"/>
      <c r="AB928" s="589"/>
      <c r="AC928" s="589"/>
      <c r="AD928" s="589"/>
      <c r="AE928" s="589"/>
      <c r="AF928" s="589"/>
      <c r="AG928" s="589"/>
      <c r="AH928" s="589"/>
      <c r="AI928" s="589"/>
      <c r="AJ928" s="589"/>
      <c r="AK928" s="589"/>
      <c r="AL928" s="589"/>
      <c r="AM928" s="589"/>
      <c r="AN928" s="589"/>
      <c r="AO928" s="589"/>
      <c r="AP928" s="589"/>
      <c r="AQ928" s="589"/>
      <c r="AR928" s="589"/>
      <c r="AS928" s="589"/>
    </row>
    <row r="929" spans="1:45" ht="15">
      <c r="A929" s="590" t="s">
        <v>136</v>
      </c>
      <c r="B929" s="590" t="s">
        <v>275</v>
      </c>
      <c r="C929" s="590" t="s">
        <v>774</v>
      </c>
      <c r="D929" s="593">
        <v>2016</v>
      </c>
      <c r="E929" s="590" t="s">
        <v>775</v>
      </c>
      <c r="F929" s="593">
        <v>75</v>
      </c>
      <c r="G929" s="593">
        <v>0</v>
      </c>
      <c r="H929" s="593">
        <v>0</v>
      </c>
      <c r="I929" s="593">
        <v>0</v>
      </c>
      <c r="J929" s="593">
        <v>44</v>
      </c>
      <c r="K929" s="593">
        <v>0</v>
      </c>
      <c r="L929" s="593">
        <v>0</v>
      </c>
      <c r="M929" s="593">
        <v>0</v>
      </c>
      <c r="N929" s="593">
        <v>50</v>
      </c>
      <c r="O929" s="593">
        <v>0</v>
      </c>
      <c r="P929" s="593">
        <v>60</v>
      </c>
      <c r="Q929" s="593">
        <v>35</v>
      </c>
      <c r="R929" s="593">
        <v>229</v>
      </c>
      <c r="S929" s="593">
        <v>35</v>
      </c>
      <c r="T929" s="593">
        <v>2016</v>
      </c>
      <c r="U929" s="593">
        <v>2015</v>
      </c>
      <c r="V929" s="589"/>
      <c r="W929" s="589"/>
      <c r="X929" s="589"/>
      <c r="Y929" s="589"/>
      <c r="Z929" s="589"/>
      <c r="AA929" s="589"/>
      <c r="AB929" s="589"/>
      <c r="AC929" s="589"/>
      <c r="AD929" s="589"/>
      <c r="AE929" s="589"/>
      <c r="AF929" s="589"/>
      <c r="AG929" s="589"/>
      <c r="AH929" s="589"/>
      <c r="AI929" s="589"/>
      <c r="AJ929" s="589"/>
      <c r="AK929" s="589"/>
      <c r="AL929" s="589"/>
      <c r="AM929" s="589"/>
      <c r="AN929" s="589"/>
      <c r="AO929" s="589"/>
      <c r="AP929" s="589"/>
      <c r="AQ929" s="589"/>
      <c r="AR929" s="589"/>
      <c r="AS929" s="589"/>
    </row>
    <row r="930" spans="1:45" ht="15">
      <c r="A930" s="587" t="s">
        <v>173</v>
      </c>
      <c r="B930" s="587" t="s">
        <v>545</v>
      </c>
      <c r="C930" s="587" t="s">
        <v>812</v>
      </c>
      <c r="D930" s="588">
        <v>2016</v>
      </c>
      <c r="E930" s="587" t="s">
        <v>775</v>
      </c>
      <c r="F930" s="588">
        <v>1500</v>
      </c>
      <c r="G930" s="588">
        <v>0</v>
      </c>
      <c r="H930" s="588">
        <v>0</v>
      </c>
      <c r="I930" s="588">
        <v>0</v>
      </c>
      <c r="J930" s="588">
        <v>993</v>
      </c>
      <c r="K930" s="588">
        <v>0</v>
      </c>
      <c r="L930" s="588">
        <v>0</v>
      </c>
      <c r="M930" s="588">
        <v>0</v>
      </c>
      <c r="N930" s="588">
        <v>1112</v>
      </c>
      <c r="O930" s="588">
        <v>0</v>
      </c>
      <c r="P930" s="588">
        <v>2564</v>
      </c>
      <c r="Q930" s="588">
        <v>119</v>
      </c>
      <c r="R930" s="588">
        <v>6169</v>
      </c>
      <c r="S930" s="588">
        <v>119</v>
      </c>
      <c r="T930" s="588">
        <v>2016</v>
      </c>
      <c r="U930" s="588">
        <v>2014</v>
      </c>
      <c r="V930" s="589"/>
      <c r="W930" s="589"/>
      <c r="X930" s="589"/>
      <c r="Y930" s="589"/>
      <c r="Z930" s="589"/>
      <c r="AA930" s="589"/>
      <c r="AB930" s="589"/>
      <c r="AC930" s="589"/>
      <c r="AD930" s="589"/>
      <c r="AE930" s="589"/>
      <c r="AF930" s="589"/>
      <c r="AG930" s="589"/>
      <c r="AH930" s="589"/>
      <c r="AI930" s="589"/>
      <c r="AJ930" s="589"/>
      <c r="AK930" s="589"/>
      <c r="AL930" s="589"/>
      <c r="AM930" s="589"/>
      <c r="AN930" s="589"/>
      <c r="AO930" s="589"/>
      <c r="AP930" s="589"/>
      <c r="AQ930" s="589"/>
      <c r="AR930" s="589"/>
      <c r="AS930" s="589"/>
    </row>
    <row r="931" spans="1:45" ht="15">
      <c r="A931" s="590" t="s">
        <v>187</v>
      </c>
      <c r="B931" s="590" t="s">
        <v>659</v>
      </c>
      <c r="C931" s="590" t="s">
        <v>774</v>
      </c>
      <c r="D931" s="593">
        <v>2016</v>
      </c>
      <c r="E931" s="590" t="s">
        <v>775</v>
      </c>
      <c r="F931" s="593">
        <v>273</v>
      </c>
      <c r="G931" s="593">
        <v>29</v>
      </c>
      <c r="H931" s="593">
        <v>29</v>
      </c>
      <c r="I931" s="593">
        <v>0</v>
      </c>
      <c r="J931" s="593">
        <v>154</v>
      </c>
      <c r="K931" s="593">
        <v>23</v>
      </c>
      <c r="L931" s="593">
        <v>23</v>
      </c>
      <c r="M931" s="593">
        <v>0</v>
      </c>
      <c r="N931" s="593">
        <v>185</v>
      </c>
      <c r="O931" s="593">
        <v>6</v>
      </c>
      <c r="P931" s="593">
        <v>316</v>
      </c>
      <c r="Q931" s="593">
        <v>219</v>
      </c>
      <c r="R931" s="593">
        <v>928</v>
      </c>
      <c r="S931" s="593">
        <v>277</v>
      </c>
      <c r="T931" s="593">
        <v>2016</v>
      </c>
      <c r="U931" s="593">
        <v>2015</v>
      </c>
      <c r="V931" s="589"/>
      <c r="W931" s="589"/>
      <c r="X931" s="589"/>
      <c r="Y931" s="589"/>
      <c r="Z931" s="589"/>
      <c r="AA931" s="589"/>
      <c r="AB931" s="589"/>
      <c r="AC931" s="589"/>
      <c r="AD931" s="589"/>
      <c r="AE931" s="589"/>
      <c r="AF931" s="589"/>
      <c r="AG931" s="589"/>
      <c r="AH931" s="589"/>
      <c r="AI931" s="589"/>
      <c r="AJ931" s="589"/>
      <c r="AK931" s="589"/>
      <c r="AL931" s="589"/>
      <c r="AM931" s="589"/>
      <c r="AN931" s="589"/>
      <c r="AO931" s="589"/>
      <c r="AP931" s="589"/>
      <c r="AQ931" s="589"/>
      <c r="AR931" s="589"/>
      <c r="AS931" s="589"/>
    </row>
    <row r="932" spans="1:45" ht="15">
      <c r="A932" s="587" t="s">
        <v>191</v>
      </c>
      <c r="B932" s="587" t="s">
        <v>681</v>
      </c>
      <c r="C932" s="587" t="s">
        <v>784</v>
      </c>
      <c r="D932" s="588">
        <v>2016</v>
      </c>
      <c r="E932" s="587" t="s">
        <v>775</v>
      </c>
      <c r="F932" s="588">
        <v>11</v>
      </c>
      <c r="G932" s="588">
        <v>0</v>
      </c>
      <c r="H932" s="588">
        <v>0</v>
      </c>
      <c r="I932" s="588">
        <v>0</v>
      </c>
      <c r="J932" s="588">
        <v>7</v>
      </c>
      <c r="K932" s="588">
        <v>0</v>
      </c>
      <c r="L932" s="588">
        <v>0</v>
      </c>
      <c r="M932" s="588">
        <v>0</v>
      </c>
      <c r="N932" s="588">
        <v>8</v>
      </c>
      <c r="O932" s="588">
        <v>2</v>
      </c>
      <c r="P932" s="588">
        <v>19</v>
      </c>
      <c r="Q932" s="588">
        <v>8</v>
      </c>
      <c r="R932" s="588">
        <v>45</v>
      </c>
      <c r="S932" s="588">
        <v>10</v>
      </c>
      <c r="T932" s="588">
        <v>2016</v>
      </c>
      <c r="U932" s="588">
        <v>2014</v>
      </c>
      <c r="V932" s="589"/>
      <c r="W932" s="589"/>
      <c r="X932" s="589"/>
      <c r="Y932" s="589"/>
      <c r="Z932" s="589"/>
      <c r="AA932" s="589"/>
      <c r="AB932" s="589"/>
      <c r="AC932" s="589"/>
      <c r="AD932" s="589"/>
      <c r="AE932" s="589"/>
      <c r="AF932" s="589"/>
      <c r="AG932" s="589"/>
      <c r="AH932" s="589"/>
      <c r="AI932" s="589"/>
      <c r="AJ932" s="589"/>
      <c r="AK932" s="589"/>
      <c r="AL932" s="589"/>
      <c r="AM932" s="589"/>
      <c r="AN932" s="589"/>
      <c r="AO932" s="589"/>
      <c r="AP932" s="589"/>
      <c r="AQ932" s="589"/>
      <c r="AR932" s="589"/>
      <c r="AS932" s="589"/>
    </row>
    <row r="933" spans="1:45" ht="15">
      <c r="A933" s="590" t="s">
        <v>187</v>
      </c>
      <c r="B933" s="590" t="s">
        <v>660</v>
      </c>
      <c r="C933" s="590" t="s">
        <v>774</v>
      </c>
      <c r="D933" s="593">
        <v>2016</v>
      </c>
      <c r="E933" s="590" t="s">
        <v>775</v>
      </c>
      <c r="F933" s="593">
        <v>814</v>
      </c>
      <c r="G933" s="593">
        <v>17</v>
      </c>
      <c r="H933" s="593">
        <v>17</v>
      </c>
      <c r="I933" s="593">
        <v>0</v>
      </c>
      <c r="J933" s="593">
        <v>492</v>
      </c>
      <c r="K933" s="593">
        <v>109</v>
      </c>
      <c r="L933" s="593">
        <v>109</v>
      </c>
      <c r="M933" s="593">
        <v>0</v>
      </c>
      <c r="N933" s="593">
        <v>527</v>
      </c>
      <c r="O933" s="593">
        <v>0</v>
      </c>
      <c r="P933" s="593">
        <v>1093</v>
      </c>
      <c r="Q933" s="593">
        <v>376</v>
      </c>
      <c r="R933" s="593">
        <v>2926</v>
      </c>
      <c r="S933" s="593">
        <v>502</v>
      </c>
      <c r="T933" s="593">
        <v>2016</v>
      </c>
      <c r="U933" s="593">
        <v>2015</v>
      </c>
      <c r="V933" s="589"/>
      <c r="W933" s="589"/>
      <c r="X933" s="589"/>
      <c r="Y933" s="589"/>
      <c r="Z933" s="589"/>
      <c r="AA933" s="589"/>
      <c r="AB933" s="589"/>
      <c r="AC933" s="589"/>
      <c r="AD933" s="589"/>
      <c r="AE933" s="589"/>
      <c r="AF933" s="589"/>
      <c r="AG933" s="589"/>
      <c r="AH933" s="589"/>
      <c r="AI933" s="589"/>
      <c r="AJ933" s="589"/>
      <c r="AK933" s="589"/>
      <c r="AL933" s="589"/>
      <c r="AM933" s="589"/>
      <c r="AN933" s="589"/>
      <c r="AO933" s="589"/>
      <c r="AP933" s="589"/>
      <c r="AQ933" s="589"/>
      <c r="AR933" s="589"/>
      <c r="AS933" s="589"/>
    </row>
    <row r="934" spans="1:45" ht="15">
      <c r="A934" s="587" t="s">
        <v>173</v>
      </c>
      <c r="B934" s="587" t="s">
        <v>546</v>
      </c>
      <c r="C934" s="587" t="s">
        <v>812</v>
      </c>
      <c r="D934" s="588">
        <v>2016</v>
      </c>
      <c r="E934" s="587" t="s">
        <v>775</v>
      </c>
      <c r="F934" s="588">
        <v>395</v>
      </c>
      <c r="G934" s="588">
        <v>0</v>
      </c>
      <c r="H934" s="588">
        <v>0</v>
      </c>
      <c r="I934" s="588">
        <v>0</v>
      </c>
      <c r="J934" s="588">
        <v>262</v>
      </c>
      <c r="K934" s="588">
        <v>0</v>
      </c>
      <c r="L934" s="588">
        <v>0</v>
      </c>
      <c r="M934" s="588">
        <v>0</v>
      </c>
      <c r="N934" s="588">
        <v>289</v>
      </c>
      <c r="O934" s="588">
        <v>0</v>
      </c>
      <c r="P934" s="588">
        <v>627</v>
      </c>
      <c r="Q934" s="588">
        <v>559</v>
      </c>
      <c r="R934" s="588">
        <v>1573</v>
      </c>
      <c r="S934" s="588">
        <v>559</v>
      </c>
      <c r="T934" s="588">
        <v>2016</v>
      </c>
      <c r="U934" s="588">
        <v>2014</v>
      </c>
      <c r="V934" s="589"/>
      <c r="W934" s="589"/>
      <c r="X934" s="589"/>
      <c r="Y934" s="589"/>
      <c r="Z934" s="589"/>
      <c r="AA934" s="589"/>
      <c r="AB934" s="589"/>
      <c r="AC934" s="589"/>
      <c r="AD934" s="589"/>
      <c r="AE934" s="589"/>
      <c r="AF934" s="589"/>
      <c r="AG934" s="589"/>
      <c r="AH934" s="589"/>
      <c r="AI934" s="589"/>
      <c r="AJ934" s="589"/>
      <c r="AK934" s="589"/>
      <c r="AL934" s="589"/>
      <c r="AM934" s="589"/>
      <c r="AN934" s="589"/>
      <c r="AO934" s="589"/>
      <c r="AP934" s="589"/>
      <c r="AQ934" s="589"/>
      <c r="AR934" s="589"/>
      <c r="AS934" s="589"/>
    </row>
    <row r="935" spans="1:45" ht="15">
      <c r="A935" s="590" t="s">
        <v>166</v>
      </c>
      <c r="B935" s="590" t="s">
        <v>166</v>
      </c>
      <c r="C935" s="590" t="s">
        <v>774</v>
      </c>
      <c r="D935" s="593">
        <v>2016</v>
      </c>
      <c r="E935" s="590" t="s">
        <v>775</v>
      </c>
      <c r="F935" s="593">
        <v>185</v>
      </c>
      <c r="G935" s="593">
        <v>0</v>
      </c>
      <c r="H935" s="593">
        <v>0</v>
      </c>
      <c r="I935" s="593">
        <v>0</v>
      </c>
      <c r="J935" s="593">
        <v>106</v>
      </c>
      <c r="K935" s="593">
        <v>6</v>
      </c>
      <c r="L935" s="593">
        <v>6</v>
      </c>
      <c r="M935" s="593">
        <v>0</v>
      </c>
      <c r="N935" s="593">
        <v>141</v>
      </c>
      <c r="O935" s="593">
        <v>4</v>
      </c>
      <c r="P935" s="593">
        <v>403</v>
      </c>
      <c r="Q935" s="593">
        <v>135</v>
      </c>
      <c r="R935" s="593">
        <v>835</v>
      </c>
      <c r="S935" s="593">
        <v>145</v>
      </c>
      <c r="T935" s="593">
        <v>2016</v>
      </c>
      <c r="U935" s="593">
        <v>2015</v>
      </c>
      <c r="V935" s="589"/>
      <c r="W935" s="589"/>
      <c r="X935" s="589"/>
      <c r="Y935" s="589"/>
      <c r="Z935" s="589"/>
      <c r="AA935" s="589"/>
      <c r="AB935" s="589"/>
      <c r="AC935" s="589"/>
      <c r="AD935" s="589"/>
      <c r="AE935" s="589"/>
      <c r="AF935" s="589"/>
      <c r="AG935" s="589"/>
      <c r="AH935" s="589"/>
      <c r="AI935" s="589"/>
      <c r="AJ935" s="589"/>
      <c r="AK935" s="589"/>
      <c r="AL935" s="589"/>
      <c r="AM935" s="589"/>
      <c r="AN935" s="589"/>
      <c r="AO935" s="589"/>
      <c r="AP935" s="589"/>
      <c r="AQ935" s="589"/>
      <c r="AR935" s="589"/>
      <c r="AS935" s="589"/>
    </row>
    <row r="936" spans="1:45" ht="15">
      <c r="A936" s="587" t="s">
        <v>166</v>
      </c>
      <c r="B936" s="587" t="s">
        <v>478</v>
      </c>
      <c r="C936" s="587" t="s">
        <v>774</v>
      </c>
      <c r="D936" s="588">
        <v>2016</v>
      </c>
      <c r="E936" s="587" t="s">
        <v>775</v>
      </c>
      <c r="F936" s="588">
        <v>51</v>
      </c>
      <c r="G936" s="588">
        <v>0</v>
      </c>
      <c r="H936" s="588">
        <v>0</v>
      </c>
      <c r="I936" s="588">
        <v>0</v>
      </c>
      <c r="J936" s="588">
        <v>30</v>
      </c>
      <c r="K936" s="588">
        <v>1</v>
      </c>
      <c r="L936" s="588">
        <v>0</v>
      </c>
      <c r="M936" s="588">
        <v>1</v>
      </c>
      <c r="N936" s="588">
        <v>32</v>
      </c>
      <c r="O936" s="588">
        <v>13</v>
      </c>
      <c r="P936" s="588">
        <v>67</v>
      </c>
      <c r="Q936" s="588">
        <v>14</v>
      </c>
      <c r="R936" s="588">
        <v>180</v>
      </c>
      <c r="S936" s="588">
        <v>28</v>
      </c>
      <c r="T936" s="588">
        <v>2016</v>
      </c>
      <c r="U936" s="588">
        <v>2015</v>
      </c>
      <c r="V936" s="589"/>
      <c r="W936" s="589"/>
      <c r="X936" s="589"/>
      <c r="Y936" s="589"/>
      <c r="Z936" s="589"/>
      <c r="AA936" s="589"/>
      <c r="AB936" s="589"/>
      <c r="AC936" s="589"/>
      <c r="AD936" s="589"/>
      <c r="AE936" s="589"/>
      <c r="AF936" s="589"/>
      <c r="AG936" s="589"/>
      <c r="AH936" s="589"/>
      <c r="AI936" s="589"/>
      <c r="AJ936" s="589"/>
      <c r="AK936" s="589"/>
      <c r="AL936" s="589"/>
      <c r="AM936" s="589"/>
      <c r="AN936" s="589"/>
      <c r="AO936" s="589"/>
      <c r="AP936" s="589"/>
      <c r="AQ936" s="589"/>
      <c r="AR936" s="589"/>
      <c r="AS936" s="589"/>
    </row>
    <row r="937" spans="1:45" ht="15">
      <c r="A937" s="590" t="s">
        <v>179</v>
      </c>
      <c r="B937" s="590" t="s">
        <v>600</v>
      </c>
      <c r="C937" s="590" t="s">
        <v>855</v>
      </c>
      <c r="D937" s="593">
        <v>2016</v>
      </c>
      <c r="E937" s="590" t="s">
        <v>775</v>
      </c>
      <c r="F937" s="593">
        <v>465</v>
      </c>
      <c r="G937" s="593">
        <v>45</v>
      </c>
      <c r="H937" s="593">
        <v>45</v>
      </c>
      <c r="I937" s="593">
        <v>0</v>
      </c>
      <c r="J937" s="593">
        <v>353</v>
      </c>
      <c r="K937" s="593">
        <v>0</v>
      </c>
      <c r="L937" s="593">
        <v>0</v>
      </c>
      <c r="M937" s="593">
        <v>0</v>
      </c>
      <c r="N937" s="593">
        <v>327</v>
      </c>
      <c r="O937" s="593">
        <v>46</v>
      </c>
      <c r="P937" s="593">
        <v>718</v>
      </c>
      <c r="Q937" s="593">
        <v>12</v>
      </c>
      <c r="R937" s="593">
        <v>1863</v>
      </c>
      <c r="S937" s="593">
        <v>103</v>
      </c>
      <c r="T937" s="593">
        <v>2016</v>
      </c>
      <c r="U937" s="593">
        <v>2013</v>
      </c>
      <c r="V937" s="589"/>
      <c r="W937" s="589"/>
      <c r="X937" s="589"/>
      <c r="Y937" s="589"/>
      <c r="Z937" s="589"/>
      <c r="AA937" s="589"/>
      <c r="AB937" s="589"/>
      <c r="AC937" s="589"/>
      <c r="AD937" s="589"/>
      <c r="AE937" s="589"/>
      <c r="AF937" s="589"/>
      <c r="AG937" s="589"/>
      <c r="AH937" s="589"/>
      <c r="AI937" s="589"/>
      <c r="AJ937" s="589"/>
      <c r="AK937" s="589"/>
      <c r="AL937" s="589"/>
      <c r="AM937" s="589"/>
      <c r="AN937" s="589"/>
      <c r="AO937" s="589"/>
      <c r="AP937" s="589"/>
      <c r="AQ937" s="589"/>
      <c r="AR937" s="589"/>
      <c r="AS937" s="589"/>
    </row>
    <row r="938" spans="1:45" ht="15">
      <c r="A938" s="587" t="s">
        <v>178</v>
      </c>
      <c r="B938" s="587" t="s">
        <v>579</v>
      </c>
      <c r="C938" s="587" t="s">
        <v>812</v>
      </c>
      <c r="D938" s="588">
        <v>2016</v>
      </c>
      <c r="E938" s="587" t="s">
        <v>775</v>
      </c>
      <c r="F938" s="588">
        <v>38</v>
      </c>
      <c r="G938" s="588">
        <v>0</v>
      </c>
      <c r="H938" s="588">
        <v>0</v>
      </c>
      <c r="I938" s="588">
        <v>0</v>
      </c>
      <c r="J938" s="588">
        <v>29</v>
      </c>
      <c r="K938" s="588">
        <v>0</v>
      </c>
      <c r="L938" s="588">
        <v>0</v>
      </c>
      <c r="M938" s="588">
        <v>0</v>
      </c>
      <c r="N938" s="588">
        <v>34</v>
      </c>
      <c r="O938" s="588">
        <v>6</v>
      </c>
      <c r="P938" s="588">
        <v>80</v>
      </c>
      <c r="Q938" s="588">
        <v>2</v>
      </c>
      <c r="R938" s="588">
        <v>181</v>
      </c>
      <c r="S938" s="588">
        <v>8</v>
      </c>
      <c r="T938" s="588">
        <v>2016</v>
      </c>
      <c r="U938" s="588">
        <v>2014</v>
      </c>
      <c r="V938" s="589"/>
      <c r="W938" s="589"/>
      <c r="X938" s="589"/>
      <c r="Y938" s="589"/>
      <c r="Z938" s="589"/>
      <c r="AA938" s="589"/>
      <c r="AB938" s="589"/>
      <c r="AC938" s="589"/>
      <c r="AD938" s="589"/>
      <c r="AE938" s="589"/>
      <c r="AF938" s="589"/>
      <c r="AG938" s="589"/>
      <c r="AH938" s="589"/>
      <c r="AI938" s="589"/>
      <c r="AJ938" s="589"/>
      <c r="AK938" s="589"/>
      <c r="AL938" s="589"/>
      <c r="AM938" s="589"/>
      <c r="AN938" s="589"/>
      <c r="AO938" s="589"/>
      <c r="AP938" s="589"/>
      <c r="AQ938" s="589"/>
      <c r="AR938" s="589"/>
      <c r="AS938" s="589"/>
    </row>
    <row r="939" spans="1:45" ht="15">
      <c r="A939" s="590" t="s">
        <v>168</v>
      </c>
      <c r="B939" s="590" t="s">
        <v>482</v>
      </c>
      <c r="C939" s="590" t="s">
        <v>784</v>
      </c>
      <c r="D939" s="593">
        <v>2016</v>
      </c>
      <c r="E939" s="590" t="s">
        <v>775</v>
      </c>
      <c r="F939" s="593">
        <v>19</v>
      </c>
      <c r="G939" s="593">
        <v>0</v>
      </c>
      <c r="H939" s="593">
        <v>0</v>
      </c>
      <c r="I939" s="593">
        <v>0</v>
      </c>
      <c r="J939" s="593">
        <v>14</v>
      </c>
      <c r="K939" s="593">
        <v>1</v>
      </c>
      <c r="L939" s="593">
        <v>0</v>
      </c>
      <c r="M939" s="593">
        <v>1</v>
      </c>
      <c r="N939" s="593">
        <v>16</v>
      </c>
      <c r="O939" s="593">
        <v>3</v>
      </c>
      <c r="P939" s="593">
        <v>36</v>
      </c>
      <c r="Q939" s="593">
        <v>0</v>
      </c>
      <c r="R939" s="593">
        <v>85</v>
      </c>
      <c r="S939" s="593">
        <v>4</v>
      </c>
      <c r="T939" s="593">
        <v>2016</v>
      </c>
      <c r="U939" s="593">
        <v>2014</v>
      </c>
      <c r="V939" s="589"/>
      <c r="W939" s="589"/>
      <c r="X939" s="589"/>
      <c r="Y939" s="589"/>
      <c r="Z939" s="589"/>
      <c r="AA939" s="589"/>
      <c r="AB939" s="589"/>
      <c r="AC939" s="589"/>
      <c r="AD939" s="589"/>
      <c r="AE939" s="589"/>
      <c r="AF939" s="589"/>
      <c r="AG939" s="589"/>
      <c r="AH939" s="589"/>
      <c r="AI939" s="589"/>
      <c r="AJ939" s="589"/>
      <c r="AK939" s="589"/>
      <c r="AL939" s="589"/>
      <c r="AM939" s="589"/>
      <c r="AN939" s="589"/>
      <c r="AO939" s="589"/>
      <c r="AP939" s="589"/>
      <c r="AQ939" s="589"/>
      <c r="AR939" s="589"/>
      <c r="AS939" s="589"/>
    </row>
    <row r="940" spans="1:45" ht="15">
      <c r="A940" s="587" t="s">
        <v>168</v>
      </c>
      <c r="B940" s="587" t="s">
        <v>483</v>
      </c>
      <c r="C940" s="587" t="s">
        <v>784</v>
      </c>
      <c r="D940" s="588">
        <v>2016</v>
      </c>
      <c r="E940" s="587" t="s">
        <v>775</v>
      </c>
      <c r="F940" s="588">
        <v>174</v>
      </c>
      <c r="G940" s="588">
        <v>7</v>
      </c>
      <c r="H940" s="588">
        <v>7</v>
      </c>
      <c r="I940" s="588">
        <v>0</v>
      </c>
      <c r="J940" s="588">
        <v>126</v>
      </c>
      <c r="K940" s="588">
        <v>18</v>
      </c>
      <c r="L940" s="588">
        <v>18</v>
      </c>
      <c r="M940" s="588">
        <v>0</v>
      </c>
      <c r="N940" s="588">
        <v>150</v>
      </c>
      <c r="O940" s="588">
        <v>22</v>
      </c>
      <c r="P940" s="588">
        <v>314</v>
      </c>
      <c r="Q940" s="588">
        <v>54</v>
      </c>
      <c r="R940" s="588">
        <v>764</v>
      </c>
      <c r="S940" s="588">
        <v>101</v>
      </c>
      <c r="T940" s="588">
        <v>2016</v>
      </c>
      <c r="U940" s="588">
        <v>2014</v>
      </c>
      <c r="V940" s="589"/>
      <c r="W940" s="589"/>
      <c r="X940" s="589"/>
      <c r="Y940" s="589"/>
      <c r="Z940" s="589"/>
      <c r="AA940" s="589"/>
      <c r="AB940" s="589"/>
      <c r="AC940" s="589"/>
      <c r="AD940" s="589"/>
      <c r="AE940" s="589"/>
      <c r="AF940" s="589"/>
      <c r="AG940" s="589"/>
      <c r="AH940" s="589"/>
      <c r="AI940" s="589"/>
      <c r="AJ940" s="589"/>
      <c r="AK940" s="589"/>
      <c r="AL940" s="589"/>
      <c r="AM940" s="589"/>
      <c r="AN940" s="589"/>
      <c r="AO940" s="589"/>
      <c r="AP940" s="589"/>
      <c r="AQ940" s="589"/>
      <c r="AR940" s="589"/>
      <c r="AS940" s="589"/>
    </row>
    <row r="941" spans="1:45" ht="15">
      <c r="A941" s="590" t="s">
        <v>125</v>
      </c>
      <c r="B941" s="590" t="s">
        <v>241</v>
      </c>
      <c r="C941" s="590" t="s">
        <v>774</v>
      </c>
      <c r="D941" s="593">
        <v>2016</v>
      </c>
      <c r="E941" s="590" t="s">
        <v>775</v>
      </c>
      <c r="F941" s="593">
        <v>330</v>
      </c>
      <c r="G941" s="593">
        <v>0</v>
      </c>
      <c r="H941" s="593">
        <v>0</v>
      </c>
      <c r="I941" s="593">
        <v>0</v>
      </c>
      <c r="J941" s="593">
        <v>167</v>
      </c>
      <c r="K941" s="593">
        <v>0</v>
      </c>
      <c r="L941" s="593">
        <v>0</v>
      </c>
      <c r="M941" s="593">
        <v>0</v>
      </c>
      <c r="N941" s="593">
        <v>158</v>
      </c>
      <c r="O941" s="593">
        <v>0</v>
      </c>
      <c r="P941" s="593">
        <v>423</v>
      </c>
      <c r="Q941" s="593">
        <v>0</v>
      </c>
      <c r="R941" s="593">
        <v>1078</v>
      </c>
      <c r="S941" s="593">
        <v>0</v>
      </c>
      <c r="T941" s="593">
        <v>2016</v>
      </c>
      <c r="U941" s="593">
        <v>2015</v>
      </c>
      <c r="V941" s="589"/>
      <c r="W941" s="589"/>
      <c r="X941" s="589"/>
      <c r="Y941" s="589"/>
      <c r="Z941" s="589"/>
      <c r="AA941" s="589"/>
      <c r="AB941" s="589"/>
      <c r="AC941" s="589"/>
      <c r="AD941" s="589"/>
      <c r="AE941" s="589"/>
      <c r="AF941" s="589"/>
      <c r="AG941" s="589"/>
      <c r="AH941" s="589"/>
      <c r="AI941" s="589"/>
      <c r="AJ941" s="589"/>
      <c r="AK941" s="589"/>
      <c r="AL941" s="589"/>
      <c r="AM941" s="589"/>
      <c r="AN941" s="589"/>
      <c r="AO941" s="589"/>
      <c r="AP941" s="589"/>
      <c r="AQ941" s="589"/>
      <c r="AR941" s="589"/>
      <c r="AS941" s="589"/>
    </row>
    <row r="942" spans="1:45" ht="15">
      <c r="A942" s="587" t="s">
        <v>169</v>
      </c>
      <c r="B942" s="587" t="s">
        <v>506</v>
      </c>
      <c r="C942" s="587" t="s">
        <v>812</v>
      </c>
      <c r="D942" s="588">
        <v>2016</v>
      </c>
      <c r="E942" s="587" t="s">
        <v>775</v>
      </c>
      <c r="F942" s="588">
        <v>1</v>
      </c>
      <c r="G942" s="588">
        <v>0</v>
      </c>
      <c r="H942" s="588">
        <v>0</v>
      </c>
      <c r="I942" s="588">
        <v>0</v>
      </c>
      <c r="J942" s="588">
        <v>1</v>
      </c>
      <c r="K942" s="588">
        <v>0</v>
      </c>
      <c r="L942" s="588">
        <v>0</v>
      </c>
      <c r="M942" s="588">
        <v>0</v>
      </c>
      <c r="N942" s="588">
        <v>1</v>
      </c>
      <c r="O942" s="588">
        <v>0</v>
      </c>
      <c r="P942" s="588">
        <v>2</v>
      </c>
      <c r="Q942" s="588">
        <v>186</v>
      </c>
      <c r="R942" s="588">
        <v>5</v>
      </c>
      <c r="S942" s="588">
        <v>186</v>
      </c>
      <c r="T942" s="588">
        <v>2016</v>
      </c>
      <c r="U942" s="588">
        <v>2014</v>
      </c>
      <c r="V942" s="589"/>
      <c r="W942" s="589"/>
      <c r="X942" s="589"/>
      <c r="Y942" s="589"/>
      <c r="Z942" s="589"/>
      <c r="AA942" s="589"/>
      <c r="AB942" s="589"/>
      <c r="AC942" s="589"/>
      <c r="AD942" s="589"/>
      <c r="AE942" s="589"/>
      <c r="AF942" s="589"/>
      <c r="AG942" s="589"/>
      <c r="AH942" s="589"/>
      <c r="AI942" s="589"/>
      <c r="AJ942" s="589"/>
      <c r="AK942" s="589"/>
      <c r="AL942" s="589"/>
      <c r="AM942" s="589"/>
      <c r="AN942" s="589"/>
      <c r="AO942" s="589"/>
      <c r="AP942" s="589"/>
      <c r="AQ942" s="589"/>
      <c r="AR942" s="589"/>
      <c r="AS942" s="589"/>
    </row>
    <row r="943" spans="1:45" ht="15">
      <c r="A943" s="590" t="s">
        <v>153</v>
      </c>
      <c r="B943" s="590" t="s">
        <v>402</v>
      </c>
      <c r="C943" s="590" t="s">
        <v>812</v>
      </c>
      <c r="D943" s="593">
        <v>2016</v>
      </c>
      <c r="E943" s="590" t="s">
        <v>775</v>
      </c>
      <c r="F943" s="593">
        <v>52</v>
      </c>
      <c r="G943" s="593">
        <v>0</v>
      </c>
      <c r="H943" s="593">
        <v>0</v>
      </c>
      <c r="I943" s="593">
        <v>0</v>
      </c>
      <c r="J943" s="593">
        <v>31</v>
      </c>
      <c r="K943" s="593">
        <v>0</v>
      </c>
      <c r="L943" s="593">
        <v>0</v>
      </c>
      <c r="M943" s="593">
        <v>0</v>
      </c>
      <c r="N943" s="593">
        <v>33</v>
      </c>
      <c r="O943" s="593">
        <v>8</v>
      </c>
      <c r="P943" s="593">
        <v>85</v>
      </c>
      <c r="Q943" s="593">
        <v>5</v>
      </c>
      <c r="R943" s="593">
        <v>201</v>
      </c>
      <c r="S943" s="593">
        <v>13</v>
      </c>
      <c r="T943" s="593">
        <v>2016</v>
      </c>
      <c r="U943" s="593">
        <v>2014</v>
      </c>
      <c r="V943" s="589"/>
      <c r="W943" s="589"/>
      <c r="X943" s="589"/>
      <c r="Y943" s="589"/>
      <c r="Z943" s="589"/>
      <c r="AA943" s="589"/>
      <c r="AB943" s="589"/>
      <c r="AC943" s="589"/>
      <c r="AD943" s="589"/>
      <c r="AE943" s="589"/>
      <c r="AF943" s="589"/>
      <c r="AG943" s="589"/>
      <c r="AH943" s="589"/>
      <c r="AI943" s="589"/>
      <c r="AJ943" s="589"/>
      <c r="AK943" s="589"/>
      <c r="AL943" s="589"/>
      <c r="AM943" s="589"/>
      <c r="AN943" s="589"/>
      <c r="AO943" s="589"/>
      <c r="AP943" s="589"/>
      <c r="AQ943" s="589"/>
      <c r="AR943" s="589"/>
      <c r="AS943" s="589"/>
    </row>
    <row r="944" spans="1:45" ht="15">
      <c r="A944" s="587" t="s">
        <v>157</v>
      </c>
      <c r="B944" s="587" t="s">
        <v>442</v>
      </c>
      <c r="C944" s="587" t="s">
        <v>774</v>
      </c>
      <c r="D944" s="588">
        <v>2016</v>
      </c>
      <c r="E944" s="587" t="s">
        <v>775</v>
      </c>
      <c r="F944" s="588">
        <v>111</v>
      </c>
      <c r="G944" s="588">
        <v>1</v>
      </c>
      <c r="H944" s="588">
        <v>1</v>
      </c>
      <c r="I944" s="588">
        <v>0</v>
      </c>
      <c r="J944" s="588">
        <v>65</v>
      </c>
      <c r="K944" s="588">
        <v>2</v>
      </c>
      <c r="L944" s="588">
        <v>2</v>
      </c>
      <c r="M944" s="588">
        <v>0</v>
      </c>
      <c r="N944" s="588">
        <v>72</v>
      </c>
      <c r="O944" s="588">
        <v>0</v>
      </c>
      <c r="P944" s="588">
        <v>167</v>
      </c>
      <c r="Q944" s="588">
        <v>5</v>
      </c>
      <c r="R944" s="588">
        <v>415</v>
      </c>
      <c r="S944" s="588">
        <v>8</v>
      </c>
      <c r="T944" s="588">
        <v>2016</v>
      </c>
      <c r="U944" s="588">
        <v>2015</v>
      </c>
      <c r="V944" s="589"/>
      <c r="W944" s="589"/>
      <c r="X944" s="589"/>
      <c r="Y944" s="589"/>
      <c r="Z944" s="589"/>
      <c r="AA944" s="589"/>
      <c r="AB944" s="589"/>
      <c r="AC944" s="589"/>
      <c r="AD944" s="589"/>
      <c r="AE944" s="589"/>
      <c r="AF944" s="589"/>
      <c r="AG944" s="589"/>
      <c r="AH944" s="589"/>
      <c r="AI944" s="589"/>
      <c r="AJ944" s="589"/>
      <c r="AK944" s="589"/>
      <c r="AL944" s="589"/>
      <c r="AM944" s="589"/>
      <c r="AN944" s="589"/>
      <c r="AO944" s="589"/>
      <c r="AP944" s="589"/>
      <c r="AQ944" s="589"/>
      <c r="AR944" s="589"/>
      <c r="AS944" s="589"/>
    </row>
    <row r="945" spans="1:45" ht="15">
      <c r="A945" s="590" t="s">
        <v>195</v>
      </c>
      <c r="B945" s="590" t="s">
        <v>707</v>
      </c>
      <c r="C945" s="590" t="s">
        <v>177</v>
      </c>
      <c r="D945" s="593">
        <v>2016</v>
      </c>
      <c r="E945" s="590" t="s">
        <v>775</v>
      </c>
      <c r="F945" s="593">
        <v>315</v>
      </c>
      <c r="G945" s="593">
        <v>0</v>
      </c>
      <c r="H945" s="593">
        <v>0</v>
      </c>
      <c r="I945" s="593">
        <v>0</v>
      </c>
      <c r="J945" s="593">
        <v>202</v>
      </c>
      <c r="K945" s="593">
        <v>0</v>
      </c>
      <c r="L945" s="593">
        <v>0</v>
      </c>
      <c r="M945" s="593">
        <v>0</v>
      </c>
      <c r="N945" s="593">
        <v>210</v>
      </c>
      <c r="O945" s="593">
        <v>4</v>
      </c>
      <c r="P945" s="593">
        <v>520</v>
      </c>
      <c r="Q945" s="593">
        <v>101</v>
      </c>
      <c r="R945" s="593">
        <v>1247</v>
      </c>
      <c r="S945" s="593">
        <v>105</v>
      </c>
      <c r="T945" s="593">
        <v>2016</v>
      </c>
      <c r="U945" s="593">
        <v>2016</v>
      </c>
      <c r="V945" s="589"/>
      <c r="W945" s="589"/>
      <c r="X945" s="589"/>
      <c r="Y945" s="589"/>
      <c r="Z945" s="589"/>
      <c r="AA945" s="589"/>
      <c r="AB945" s="589"/>
      <c r="AC945" s="589"/>
      <c r="AD945" s="589"/>
      <c r="AE945" s="589"/>
      <c r="AF945" s="589"/>
      <c r="AG945" s="589"/>
      <c r="AH945" s="589"/>
      <c r="AI945" s="589"/>
      <c r="AJ945" s="589"/>
      <c r="AK945" s="589"/>
      <c r="AL945" s="589"/>
      <c r="AM945" s="589"/>
      <c r="AN945" s="589"/>
      <c r="AO945" s="589"/>
      <c r="AP945" s="589"/>
      <c r="AQ945" s="589"/>
      <c r="AR945" s="589"/>
      <c r="AS945" s="589"/>
    </row>
    <row r="946" spans="1:45" ht="15">
      <c r="A946" s="587" t="s">
        <v>125</v>
      </c>
      <c r="B946" s="587" t="s">
        <v>242</v>
      </c>
      <c r="C946" s="587" t="s">
        <v>774</v>
      </c>
      <c r="D946" s="588">
        <v>2016</v>
      </c>
      <c r="E946" s="587" t="s">
        <v>775</v>
      </c>
      <c r="F946" s="588">
        <v>2059</v>
      </c>
      <c r="G946" s="588">
        <v>26</v>
      </c>
      <c r="H946" s="588">
        <v>26</v>
      </c>
      <c r="I946" s="588">
        <v>0</v>
      </c>
      <c r="J946" s="588">
        <v>2075</v>
      </c>
      <c r="K946" s="588">
        <v>13</v>
      </c>
      <c r="L946" s="588">
        <v>13</v>
      </c>
      <c r="M946" s="588">
        <v>0</v>
      </c>
      <c r="N946" s="588">
        <v>2815</v>
      </c>
      <c r="O946" s="588">
        <v>0</v>
      </c>
      <c r="P946" s="588">
        <v>7816</v>
      </c>
      <c r="Q946" s="588">
        <v>2082</v>
      </c>
      <c r="R946" s="588">
        <v>14765</v>
      </c>
      <c r="S946" s="588">
        <v>2121</v>
      </c>
      <c r="T946" s="588">
        <v>2016</v>
      </c>
      <c r="U946" s="588">
        <v>2015</v>
      </c>
      <c r="V946" s="589"/>
      <c r="W946" s="589"/>
      <c r="X946" s="589"/>
      <c r="Y946" s="589"/>
      <c r="Z946" s="589"/>
      <c r="AA946" s="589"/>
      <c r="AB946" s="589"/>
      <c r="AC946" s="589"/>
      <c r="AD946" s="589"/>
      <c r="AE946" s="589"/>
      <c r="AF946" s="589"/>
      <c r="AG946" s="589"/>
      <c r="AH946" s="589"/>
      <c r="AI946" s="589"/>
      <c r="AJ946" s="589"/>
      <c r="AK946" s="589"/>
      <c r="AL946" s="589"/>
      <c r="AM946" s="589"/>
      <c r="AN946" s="589"/>
      <c r="AO946" s="589"/>
      <c r="AP946" s="589"/>
      <c r="AQ946" s="589"/>
      <c r="AR946" s="589"/>
      <c r="AS946" s="589"/>
    </row>
    <row r="947" spans="1:45" ht="15">
      <c r="A947" s="590" t="s">
        <v>136</v>
      </c>
      <c r="B947" s="590" t="s">
        <v>276</v>
      </c>
      <c r="C947" s="590" t="s">
        <v>774</v>
      </c>
      <c r="D947" s="593">
        <v>2016</v>
      </c>
      <c r="E947" s="590" t="s">
        <v>775</v>
      </c>
      <c r="F947" s="593">
        <v>317</v>
      </c>
      <c r="G947" s="593">
        <v>0</v>
      </c>
      <c r="H947" s="593">
        <v>0</v>
      </c>
      <c r="I947" s="593">
        <v>0</v>
      </c>
      <c r="J947" s="593">
        <v>174</v>
      </c>
      <c r="K947" s="593">
        <v>0</v>
      </c>
      <c r="L947" s="593">
        <v>0</v>
      </c>
      <c r="M947" s="593">
        <v>0</v>
      </c>
      <c r="N947" s="593">
        <v>175</v>
      </c>
      <c r="O947" s="593">
        <v>88</v>
      </c>
      <c r="P947" s="593">
        <v>502</v>
      </c>
      <c r="Q947" s="593">
        <v>208</v>
      </c>
      <c r="R947" s="593">
        <v>1168</v>
      </c>
      <c r="S947" s="593">
        <v>296</v>
      </c>
      <c r="T947" s="593">
        <v>2016</v>
      </c>
      <c r="U947" s="593">
        <v>2015</v>
      </c>
      <c r="V947" s="589"/>
      <c r="W947" s="589"/>
      <c r="X947" s="589"/>
      <c r="Y947" s="589"/>
      <c r="Z947" s="589"/>
      <c r="AA947" s="589"/>
      <c r="AB947" s="589"/>
      <c r="AC947" s="589"/>
      <c r="AD947" s="589"/>
      <c r="AE947" s="589"/>
      <c r="AF947" s="589"/>
      <c r="AG947" s="589"/>
      <c r="AH947" s="589"/>
      <c r="AI947" s="589"/>
      <c r="AJ947" s="589"/>
      <c r="AK947" s="589"/>
      <c r="AL947" s="589"/>
      <c r="AM947" s="589"/>
      <c r="AN947" s="589"/>
      <c r="AO947" s="589"/>
      <c r="AP947" s="589"/>
      <c r="AQ947" s="589"/>
      <c r="AR947" s="589"/>
      <c r="AS947" s="589"/>
    </row>
    <row r="948" spans="1:45" ht="15">
      <c r="A948" s="587" t="s">
        <v>179</v>
      </c>
      <c r="B948" s="587" t="s">
        <v>601</v>
      </c>
      <c r="C948" s="587" t="s">
        <v>855</v>
      </c>
      <c r="D948" s="588">
        <v>2016</v>
      </c>
      <c r="E948" s="587" t="s">
        <v>775</v>
      </c>
      <c r="F948" s="588">
        <v>1549</v>
      </c>
      <c r="G948" s="588">
        <v>0</v>
      </c>
      <c r="H948" s="588">
        <v>0</v>
      </c>
      <c r="I948" s="588">
        <v>0</v>
      </c>
      <c r="J948" s="588">
        <v>1178</v>
      </c>
      <c r="K948" s="588">
        <v>0</v>
      </c>
      <c r="L948" s="588">
        <v>0</v>
      </c>
      <c r="M948" s="588">
        <v>0</v>
      </c>
      <c r="N948" s="588">
        <v>1090</v>
      </c>
      <c r="O948" s="588">
        <v>0</v>
      </c>
      <c r="P948" s="588">
        <v>2393</v>
      </c>
      <c r="Q948" s="588">
        <v>0</v>
      </c>
      <c r="R948" s="588">
        <v>6210</v>
      </c>
      <c r="S948" s="588">
        <v>0</v>
      </c>
      <c r="T948" s="588">
        <v>2016</v>
      </c>
      <c r="U948" s="588">
        <v>2013</v>
      </c>
      <c r="V948" s="589"/>
      <c r="W948" s="589"/>
      <c r="X948" s="589"/>
      <c r="Y948" s="589"/>
      <c r="Z948" s="589"/>
      <c r="AA948" s="589"/>
      <c r="AB948" s="589"/>
      <c r="AC948" s="589"/>
      <c r="AD948" s="589"/>
      <c r="AE948" s="589"/>
      <c r="AF948" s="589"/>
      <c r="AG948" s="589"/>
      <c r="AH948" s="589"/>
      <c r="AI948" s="589"/>
      <c r="AJ948" s="589"/>
      <c r="AK948" s="589"/>
      <c r="AL948" s="589"/>
      <c r="AM948" s="589"/>
      <c r="AN948" s="589"/>
      <c r="AO948" s="589"/>
      <c r="AP948" s="589"/>
      <c r="AQ948" s="589"/>
      <c r="AR948" s="589"/>
      <c r="AS948" s="589"/>
    </row>
    <row r="949" spans="1:45" ht="15">
      <c r="A949" s="590" t="s">
        <v>201</v>
      </c>
      <c r="B949" s="590" t="s">
        <v>733</v>
      </c>
      <c r="C949" s="590" t="s">
        <v>812</v>
      </c>
      <c r="D949" s="593">
        <v>2016</v>
      </c>
      <c r="E949" s="590" t="s">
        <v>775</v>
      </c>
      <c r="F949" s="593">
        <v>87</v>
      </c>
      <c r="G949" s="593">
        <v>0</v>
      </c>
      <c r="H949" s="593">
        <v>0</v>
      </c>
      <c r="I949" s="593">
        <v>0</v>
      </c>
      <c r="J949" s="593">
        <v>59</v>
      </c>
      <c r="K949" s="593">
        <v>0</v>
      </c>
      <c r="L949" s="593">
        <v>0</v>
      </c>
      <c r="M949" s="593">
        <v>0</v>
      </c>
      <c r="N949" s="593">
        <v>70</v>
      </c>
      <c r="O949" s="593">
        <v>8</v>
      </c>
      <c r="P949" s="593">
        <v>155</v>
      </c>
      <c r="Q949" s="593">
        <v>0</v>
      </c>
      <c r="R949" s="593">
        <v>371</v>
      </c>
      <c r="S949" s="593">
        <v>8</v>
      </c>
      <c r="T949" s="593">
        <v>2016</v>
      </c>
      <c r="U949" s="593">
        <v>2014</v>
      </c>
      <c r="V949" s="589"/>
      <c r="W949" s="589"/>
      <c r="X949" s="589"/>
      <c r="Y949" s="589"/>
      <c r="Z949" s="589"/>
      <c r="AA949" s="589"/>
      <c r="AB949" s="589"/>
      <c r="AC949" s="589"/>
      <c r="AD949" s="589"/>
      <c r="AE949" s="589"/>
      <c r="AF949" s="589"/>
      <c r="AG949" s="589"/>
      <c r="AH949" s="589"/>
      <c r="AI949" s="589"/>
      <c r="AJ949" s="589"/>
      <c r="AK949" s="589"/>
      <c r="AL949" s="589"/>
      <c r="AM949" s="589"/>
      <c r="AN949" s="589"/>
      <c r="AO949" s="589"/>
      <c r="AP949" s="589"/>
      <c r="AQ949" s="589"/>
      <c r="AR949" s="589"/>
      <c r="AS949" s="589"/>
    </row>
    <row r="950" spans="1:45" ht="15">
      <c r="A950" s="587" t="s">
        <v>178</v>
      </c>
      <c r="B950" s="587" t="s">
        <v>580</v>
      </c>
      <c r="C950" s="587" t="s">
        <v>812</v>
      </c>
      <c r="D950" s="588">
        <v>2016</v>
      </c>
      <c r="E950" s="587" t="s">
        <v>775</v>
      </c>
      <c r="F950" s="588">
        <v>2592</v>
      </c>
      <c r="G950" s="588">
        <v>0</v>
      </c>
      <c r="H950" s="588">
        <v>0</v>
      </c>
      <c r="I950" s="588">
        <v>0</v>
      </c>
      <c r="J950" s="588">
        <v>1745</v>
      </c>
      <c r="K950" s="588">
        <v>0</v>
      </c>
      <c r="L950" s="588">
        <v>0</v>
      </c>
      <c r="M950" s="588">
        <v>0</v>
      </c>
      <c r="N950" s="588">
        <v>1977</v>
      </c>
      <c r="O950" s="588">
        <v>340</v>
      </c>
      <c r="P950" s="588">
        <v>4547</v>
      </c>
      <c r="Q950" s="588">
        <v>287</v>
      </c>
      <c r="R950" s="588">
        <v>10861</v>
      </c>
      <c r="S950" s="588">
        <v>627</v>
      </c>
      <c r="T950" s="588">
        <v>2016</v>
      </c>
      <c r="U950" s="588">
        <v>2014</v>
      </c>
      <c r="V950" s="589"/>
      <c r="W950" s="589"/>
      <c r="X950" s="589"/>
      <c r="Y950" s="589"/>
      <c r="Z950" s="589"/>
      <c r="AA950" s="589"/>
      <c r="AB950" s="589"/>
      <c r="AC950" s="589"/>
      <c r="AD950" s="589"/>
      <c r="AE950" s="589"/>
      <c r="AF950" s="589"/>
      <c r="AG950" s="589"/>
      <c r="AH950" s="589"/>
      <c r="AI950" s="589"/>
      <c r="AJ950" s="589"/>
      <c r="AK950" s="589"/>
      <c r="AL950" s="589"/>
      <c r="AM950" s="589"/>
      <c r="AN950" s="589"/>
      <c r="AO950" s="589"/>
      <c r="AP950" s="589"/>
      <c r="AQ950" s="589"/>
      <c r="AR950" s="589"/>
      <c r="AS950" s="589"/>
    </row>
    <row r="951" spans="1:45" ht="15">
      <c r="A951" s="590" t="s">
        <v>169</v>
      </c>
      <c r="B951" s="590" t="s">
        <v>169</v>
      </c>
      <c r="C951" s="590" t="s">
        <v>812</v>
      </c>
      <c r="D951" s="593">
        <v>2016</v>
      </c>
      <c r="E951" s="590" t="s">
        <v>775</v>
      </c>
      <c r="F951" s="593">
        <v>83</v>
      </c>
      <c r="G951" s="593">
        <v>9</v>
      </c>
      <c r="H951" s="593">
        <v>9</v>
      </c>
      <c r="I951" s="593">
        <v>0</v>
      </c>
      <c r="J951" s="593">
        <v>59</v>
      </c>
      <c r="K951" s="593">
        <v>72</v>
      </c>
      <c r="L951" s="593">
        <v>72</v>
      </c>
      <c r="M951" s="593">
        <v>0</v>
      </c>
      <c r="N951" s="593">
        <v>66</v>
      </c>
      <c r="O951" s="593">
        <v>4</v>
      </c>
      <c r="P951" s="593">
        <v>155</v>
      </c>
      <c r="Q951" s="593">
        <v>22</v>
      </c>
      <c r="R951" s="593">
        <v>363</v>
      </c>
      <c r="S951" s="593">
        <v>107</v>
      </c>
      <c r="T951" s="593">
        <v>2016</v>
      </c>
      <c r="U951" s="593">
        <v>2014</v>
      </c>
      <c r="V951" s="589"/>
      <c r="W951" s="589"/>
      <c r="X951" s="589"/>
      <c r="Y951" s="589"/>
      <c r="Z951" s="589"/>
      <c r="AA951" s="589"/>
      <c r="AB951" s="589"/>
      <c r="AC951" s="589"/>
      <c r="AD951" s="589"/>
      <c r="AE951" s="589"/>
      <c r="AF951" s="589"/>
      <c r="AG951" s="589"/>
      <c r="AH951" s="589"/>
      <c r="AI951" s="589"/>
      <c r="AJ951" s="589"/>
      <c r="AK951" s="589"/>
      <c r="AL951" s="589"/>
      <c r="AM951" s="589"/>
      <c r="AN951" s="589"/>
      <c r="AO951" s="589"/>
      <c r="AP951" s="589"/>
      <c r="AQ951" s="589"/>
      <c r="AR951" s="589"/>
      <c r="AS951" s="589"/>
    </row>
    <row r="952" spans="1:45" ht="15">
      <c r="A952" s="587" t="s">
        <v>169</v>
      </c>
      <c r="B952" s="587" t="s">
        <v>507</v>
      </c>
      <c r="C952" s="587" t="s">
        <v>812</v>
      </c>
      <c r="D952" s="588">
        <v>2016</v>
      </c>
      <c r="E952" s="587" t="s">
        <v>775</v>
      </c>
      <c r="F952" s="588">
        <v>1240</v>
      </c>
      <c r="G952" s="588">
        <v>81</v>
      </c>
      <c r="H952" s="588">
        <v>81</v>
      </c>
      <c r="I952" s="588">
        <v>0</v>
      </c>
      <c r="J952" s="588">
        <v>879</v>
      </c>
      <c r="K952" s="588">
        <v>151</v>
      </c>
      <c r="L952" s="588">
        <v>151</v>
      </c>
      <c r="M952" s="588">
        <v>0</v>
      </c>
      <c r="N952" s="588">
        <v>979</v>
      </c>
      <c r="O952" s="588">
        <v>0</v>
      </c>
      <c r="P952" s="588">
        <v>2174</v>
      </c>
      <c r="Q952" s="588">
        <v>780</v>
      </c>
      <c r="R952" s="588">
        <v>5272</v>
      </c>
      <c r="S952" s="588">
        <v>1012</v>
      </c>
      <c r="T952" s="588">
        <v>2016</v>
      </c>
      <c r="U952" s="588">
        <v>2014</v>
      </c>
      <c r="V952" s="589"/>
      <c r="W952" s="589"/>
      <c r="X952" s="589"/>
      <c r="Y952" s="589"/>
      <c r="Z952" s="589"/>
      <c r="AA952" s="589"/>
      <c r="AB952" s="589"/>
      <c r="AC952" s="589"/>
      <c r="AD952" s="589"/>
      <c r="AE952" s="589"/>
      <c r="AF952" s="589"/>
      <c r="AG952" s="589"/>
      <c r="AH952" s="589"/>
      <c r="AI952" s="589"/>
      <c r="AJ952" s="589"/>
      <c r="AK952" s="589"/>
      <c r="AL952" s="589"/>
      <c r="AM952" s="589"/>
      <c r="AN952" s="589"/>
      <c r="AO952" s="589"/>
      <c r="AP952" s="589"/>
      <c r="AQ952" s="589"/>
      <c r="AR952" s="589"/>
      <c r="AS952" s="589"/>
    </row>
    <row r="953" spans="1:45" ht="15">
      <c r="A953" s="590" t="s">
        <v>136</v>
      </c>
      <c r="B953" s="590" t="s">
        <v>277</v>
      </c>
      <c r="C953" s="590" t="s">
        <v>774</v>
      </c>
      <c r="D953" s="593">
        <v>2016</v>
      </c>
      <c r="E953" s="590" t="s">
        <v>775</v>
      </c>
      <c r="F953" s="593">
        <v>84</v>
      </c>
      <c r="G953" s="593">
        <v>0</v>
      </c>
      <c r="H953" s="593">
        <v>0</v>
      </c>
      <c r="I953" s="593">
        <v>0</v>
      </c>
      <c r="J953" s="593">
        <v>47</v>
      </c>
      <c r="K953" s="593">
        <v>0</v>
      </c>
      <c r="L953" s="593">
        <v>0</v>
      </c>
      <c r="M953" s="593">
        <v>0</v>
      </c>
      <c r="N953" s="593">
        <v>54</v>
      </c>
      <c r="O953" s="593">
        <v>2</v>
      </c>
      <c r="P953" s="593">
        <v>42</v>
      </c>
      <c r="Q953" s="593">
        <v>53</v>
      </c>
      <c r="R953" s="593">
        <v>227</v>
      </c>
      <c r="S953" s="593">
        <v>55</v>
      </c>
      <c r="T953" s="593">
        <v>2016</v>
      </c>
      <c r="U953" s="593">
        <v>2015</v>
      </c>
      <c r="V953" s="589"/>
      <c r="W953" s="589"/>
      <c r="X953" s="589"/>
      <c r="Y953" s="589"/>
      <c r="Z953" s="589"/>
      <c r="AA953" s="589"/>
      <c r="AB953" s="589"/>
      <c r="AC953" s="589"/>
      <c r="AD953" s="589"/>
      <c r="AE953" s="589"/>
      <c r="AF953" s="589"/>
      <c r="AG953" s="589"/>
      <c r="AH953" s="589"/>
      <c r="AI953" s="589"/>
      <c r="AJ953" s="589"/>
      <c r="AK953" s="589"/>
      <c r="AL953" s="589"/>
      <c r="AM953" s="589"/>
      <c r="AN953" s="589"/>
      <c r="AO953" s="589"/>
      <c r="AP953" s="589"/>
      <c r="AQ953" s="589"/>
      <c r="AR953" s="589"/>
      <c r="AS953" s="589"/>
    </row>
    <row r="954" spans="1:45" ht="15">
      <c r="A954" s="587" t="s">
        <v>144</v>
      </c>
      <c r="B954" s="587" t="s">
        <v>305</v>
      </c>
      <c r="C954" s="587" t="s">
        <v>784</v>
      </c>
      <c r="D954" s="588">
        <v>2016</v>
      </c>
      <c r="E954" s="587" t="s">
        <v>775</v>
      </c>
      <c r="F954" s="588">
        <v>20</v>
      </c>
      <c r="G954" s="588">
        <v>0</v>
      </c>
      <c r="H954" s="588">
        <v>0</v>
      </c>
      <c r="I954" s="588">
        <v>0</v>
      </c>
      <c r="J954" s="588">
        <v>10</v>
      </c>
      <c r="K954" s="588">
        <v>39</v>
      </c>
      <c r="L954" s="588">
        <v>39</v>
      </c>
      <c r="M954" s="588">
        <v>0</v>
      </c>
      <c r="N954" s="588">
        <v>14</v>
      </c>
      <c r="O954" s="588">
        <v>5</v>
      </c>
      <c r="P954" s="588">
        <v>36</v>
      </c>
      <c r="Q954" s="588">
        <v>0</v>
      </c>
      <c r="R954" s="588">
        <v>80</v>
      </c>
      <c r="S954" s="588">
        <v>44</v>
      </c>
      <c r="T954" s="588">
        <v>2016</v>
      </c>
      <c r="U954" s="588">
        <v>2014</v>
      </c>
      <c r="V954" s="589"/>
      <c r="W954" s="589"/>
      <c r="X954" s="589"/>
      <c r="Y954" s="589"/>
      <c r="Z954" s="589"/>
      <c r="AA954" s="589"/>
      <c r="AB954" s="589"/>
      <c r="AC954" s="589"/>
      <c r="AD954" s="589"/>
      <c r="AE954" s="589"/>
      <c r="AF954" s="589"/>
      <c r="AG954" s="589"/>
      <c r="AH954" s="589"/>
      <c r="AI954" s="589"/>
      <c r="AJ954" s="589"/>
      <c r="AK954" s="589"/>
      <c r="AL954" s="589"/>
      <c r="AM954" s="589"/>
      <c r="AN954" s="589"/>
      <c r="AO954" s="589"/>
      <c r="AP954" s="589"/>
      <c r="AQ954" s="589"/>
      <c r="AR954" s="589"/>
      <c r="AS954" s="589"/>
    </row>
    <row r="955" spans="1:45" ht="15">
      <c r="A955" s="590" t="s">
        <v>131</v>
      </c>
      <c r="B955" s="590" t="s">
        <v>259</v>
      </c>
      <c r="C955" s="590" t="s">
        <v>786</v>
      </c>
      <c r="D955" s="593">
        <v>2016</v>
      </c>
      <c r="E955" s="590" t="s">
        <v>775</v>
      </c>
      <c r="F955" s="593">
        <v>419</v>
      </c>
      <c r="G955" s="593">
        <v>8</v>
      </c>
      <c r="H955" s="593">
        <v>0</v>
      </c>
      <c r="I955" s="593">
        <v>8</v>
      </c>
      <c r="J955" s="593">
        <v>284</v>
      </c>
      <c r="K955" s="593">
        <v>6</v>
      </c>
      <c r="L955" s="593">
        <v>0</v>
      </c>
      <c r="M955" s="593">
        <v>6</v>
      </c>
      <c r="N955" s="593">
        <v>306</v>
      </c>
      <c r="O955" s="593">
        <v>0</v>
      </c>
      <c r="P955" s="593">
        <v>784</v>
      </c>
      <c r="Q955" s="593">
        <v>1</v>
      </c>
      <c r="R955" s="593">
        <v>1793</v>
      </c>
      <c r="S955" s="593">
        <v>15</v>
      </c>
      <c r="T955" s="593">
        <v>2016</v>
      </c>
      <c r="U955" s="593">
        <v>2014</v>
      </c>
      <c r="V955" s="589"/>
      <c r="W955" s="589"/>
      <c r="X955" s="589"/>
      <c r="Y955" s="589"/>
      <c r="Z955" s="589"/>
      <c r="AA955" s="589"/>
      <c r="AB955" s="589"/>
      <c r="AC955" s="589"/>
      <c r="AD955" s="589"/>
      <c r="AE955" s="589"/>
      <c r="AF955" s="589"/>
      <c r="AG955" s="589"/>
      <c r="AH955" s="589"/>
      <c r="AI955" s="589"/>
      <c r="AJ955" s="589"/>
      <c r="AK955" s="589"/>
      <c r="AL955" s="589"/>
      <c r="AM955" s="589"/>
      <c r="AN955" s="589"/>
      <c r="AO955" s="589"/>
      <c r="AP955" s="589"/>
      <c r="AQ955" s="589"/>
      <c r="AR955" s="589"/>
      <c r="AS955" s="589"/>
    </row>
    <row r="956" spans="1:45" ht="15">
      <c r="A956" s="587" t="s">
        <v>201</v>
      </c>
      <c r="B956" s="587" t="s">
        <v>734</v>
      </c>
      <c r="C956" s="587" t="s">
        <v>812</v>
      </c>
      <c r="D956" s="588">
        <v>2016</v>
      </c>
      <c r="E956" s="587" t="s">
        <v>775</v>
      </c>
      <c r="F956" s="588">
        <v>1688</v>
      </c>
      <c r="G956" s="588">
        <v>50</v>
      </c>
      <c r="H956" s="588">
        <v>50</v>
      </c>
      <c r="I956" s="588">
        <v>0</v>
      </c>
      <c r="J956" s="588">
        <v>1160</v>
      </c>
      <c r="K956" s="588">
        <v>207</v>
      </c>
      <c r="L956" s="588">
        <v>118</v>
      </c>
      <c r="M956" s="588">
        <v>89</v>
      </c>
      <c r="N956" s="588">
        <v>1351</v>
      </c>
      <c r="O956" s="588">
        <v>2</v>
      </c>
      <c r="P956" s="588">
        <v>3102</v>
      </c>
      <c r="Q956" s="588">
        <v>80</v>
      </c>
      <c r="R956" s="588">
        <v>7301</v>
      </c>
      <c r="S956" s="588">
        <v>339</v>
      </c>
      <c r="T956" s="588">
        <v>2016</v>
      </c>
      <c r="U956" s="588">
        <v>2014</v>
      </c>
      <c r="V956" s="589"/>
      <c r="W956" s="589"/>
      <c r="X956" s="589"/>
      <c r="Y956" s="589"/>
      <c r="Z956" s="589"/>
      <c r="AA956" s="589"/>
      <c r="AB956" s="589"/>
      <c r="AC956" s="589"/>
      <c r="AD956" s="589"/>
      <c r="AE956" s="589"/>
      <c r="AF956" s="589"/>
      <c r="AG956" s="589"/>
      <c r="AH956" s="589"/>
      <c r="AI956" s="589"/>
      <c r="AJ956" s="589"/>
      <c r="AK956" s="589"/>
      <c r="AL956" s="589"/>
      <c r="AM956" s="589"/>
      <c r="AN956" s="589"/>
      <c r="AO956" s="589"/>
      <c r="AP956" s="589"/>
      <c r="AQ956" s="589"/>
      <c r="AR956" s="589"/>
      <c r="AS956" s="589"/>
    </row>
    <row r="957" spans="1:45" ht="15">
      <c r="A957" s="590" t="s">
        <v>164</v>
      </c>
      <c r="B957" s="591" t="s">
        <v>471</v>
      </c>
      <c r="C957" s="591" t="s">
        <v>177</v>
      </c>
      <c r="D957" s="592">
        <v>2016</v>
      </c>
      <c r="E957" s="591" t="s">
        <v>775</v>
      </c>
      <c r="F957" s="592">
        <v>28</v>
      </c>
      <c r="G957" s="592">
        <v>0</v>
      </c>
      <c r="H957" s="592">
        <v>0</v>
      </c>
      <c r="I957" s="592">
        <v>0</v>
      </c>
      <c r="J957" s="592">
        <v>18</v>
      </c>
      <c r="K957" s="592">
        <v>0</v>
      </c>
      <c r="L957" s="592">
        <v>0</v>
      </c>
      <c r="M957" s="592">
        <v>0</v>
      </c>
      <c r="N957" s="593">
        <v>21</v>
      </c>
      <c r="O957" s="593">
        <v>0</v>
      </c>
      <c r="P957" s="593">
        <v>48</v>
      </c>
      <c r="Q957" s="593">
        <v>4</v>
      </c>
      <c r="R957" s="593">
        <v>115</v>
      </c>
      <c r="S957" s="593">
        <v>4</v>
      </c>
      <c r="T957" s="593">
        <v>2016</v>
      </c>
      <c r="U957" s="593">
        <v>2016</v>
      </c>
      <c r="V957" s="589"/>
      <c r="W957" s="589"/>
      <c r="X957" s="589"/>
      <c r="Y957" s="589"/>
      <c r="Z957" s="589"/>
      <c r="AA957" s="589"/>
      <c r="AB957" s="589"/>
      <c r="AC957" s="589"/>
      <c r="AD957" s="589"/>
      <c r="AE957" s="589"/>
      <c r="AF957" s="589"/>
      <c r="AG957" s="589"/>
      <c r="AH957" s="589"/>
      <c r="AI957" s="589"/>
      <c r="AJ957" s="589"/>
      <c r="AK957" s="589"/>
      <c r="AL957" s="589"/>
      <c r="AM957" s="589"/>
      <c r="AN957" s="589"/>
      <c r="AO957" s="589"/>
      <c r="AP957" s="589"/>
      <c r="AQ957" s="589"/>
      <c r="AR957" s="589"/>
      <c r="AS957" s="589"/>
    </row>
    <row r="958" spans="1:45" ht="15">
      <c r="A958" s="587" t="s">
        <v>184</v>
      </c>
      <c r="B958" s="587" t="s">
        <v>635</v>
      </c>
      <c r="C958" s="587" t="s">
        <v>774</v>
      </c>
      <c r="D958" s="588">
        <v>2016</v>
      </c>
      <c r="E958" s="587" t="s">
        <v>775</v>
      </c>
      <c r="F958" s="588">
        <v>121</v>
      </c>
      <c r="G958" s="588">
        <v>0</v>
      </c>
      <c r="H958" s="588">
        <v>0</v>
      </c>
      <c r="I958" s="588">
        <v>0</v>
      </c>
      <c r="J958" s="588">
        <v>68</v>
      </c>
      <c r="K958" s="588">
        <v>0</v>
      </c>
      <c r="L958" s="588">
        <v>0</v>
      </c>
      <c r="M958" s="588">
        <v>0</v>
      </c>
      <c r="N958" s="588">
        <v>70</v>
      </c>
      <c r="O958" s="588">
        <v>1</v>
      </c>
      <c r="P958" s="588">
        <v>154</v>
      </c>
      <c r="Q958" s="588">
        <v>12</v>
      </c>
      <c r="R958" s="588">
        <v>413</v>
      </c>
      <c r="S958" s="588">
        <v>13</v>
      </c>
      <c r="T958" s="588">
        <v>2016</v>
      </c>
      <c r="U958" s="588">
        <v>2015</v>
      </c>
      <c r="V958" s="589"/>
      <c r="W958" s="589"/>
      <c r="X958" s="589"/>
      <c r="Y958" s="589"/>
      <c r="Z958" s="589"/>
      <c r="AA958" s="589"/>
      <c r="AB958" s="589"/>
      <c r="AC958" s="589"/>
      <c r="AD958" s="589"/>
      <c r="AE958" s="589"/>
      <c r="AF958" s="589"/>
      <c r="AG958" s="589"/>
      <c r="AH958" s="589"/>
      <c r="AI958" s="589"/>
      <c r="AJ958" s="589"/>
      <c r="AK958" s="589"/>
      <c r="AL958" s="589"/>
      <c r="AM958" s="589"/>
      <c r="AN958" s="589"/>
      <c r="AO958" s="589"/>
      <c r="AP958" s="589"/>
      <c r="AQ958" s="589"/>
      <c r="AR958" s="589"/>
      <c r="AS958" s="589"/>
    </row>
    <row r="959" spans="1:45" ht="15">
      <c r="A959" s="590" t="s">
        <v>173</v>
      </c>
      <c r="B959" s="591" t="s">
        <v>548</v>
      </c>
      <c r="C959" s="591" t="s">
        <v>812</v>
      </c>
      <c r="D959" s="592">
        <v>2016</v>
      </c>
      <c r="E959" s="591" t="s">
        <v>775</v>
      </c>
      <c r="F959" s="592">
        <v>98</v>
      </c>
      <c r="G959" s="592">
        <v>0</v>
      </c>
      <c r="H959" s="592">
        <v>0</v>
      </c>
      <c r="I959" s="592">
        <v>0</v>
      </c>
      <c r="J959" s="592">
        <v>67</v>
      </c>
      <c r="K959" s="592">
        <v>0</v>
      </c>
      <c r="L959" s="592">
        <v>0</v>
      </c>
      <c r="M959" s="592">
        <v>0</v>
      </c>
      <c r="N959" s="593">
        <v>76</v>
      </c>
      <c r="O959" s="593">
        <v>0</v>
      </c>
      <c r="P959" s="593">
        <v>172</v>
      </c>
      <c r="Q959" s="593">
        <v>80</v>
      </c>
      <c r="R959" s="593">
        <v>413</v>
      </c>
      <c r="S959" s="593">
        <v>80</v>
      </c>
      <c r="T959" s="593">
        <v>2016</v>
      </c>
      <c r="U959" s="593">
        <v>2014</v>
      </c>
      <c r="V959" s="589"/>
      <c r="W959" s="589"/>
      <c r="X959" s="589"/>
      <c r="Y959" s="589"/>
      <c r="Z959" s="589"/>
      <c r="AA959" s="589"/>
      <c r="AB959" s="589"/>
      <c r="AC959" s="589"/>
      <c r="AD959" s="589"/>
      <c r="AE959" s="589"/>
      <c r="AF959" s="589"/>
      <c r="AG959" s="589"/>
      <c r="AH959" s="589"/>
      <c r="AI959" s="589"/>
      <c r="AJ959" s="589"/>
      <c r="AK959" s="589"/>
      <c r="AL959" s="589"/>
      <c r="AM959" s="589"/>
      <c r="AN959" s="589"/>
      <c r="AO959" s="589"/>
      <c r="AP959" s="589"/>
      <c r="AQ959" s="589"/>
      <c r="AR959" s="589"/>
      <c r="AS959" s="589"/>
    </row>
    <row r="960" spans="1:45" ht="15">
      <c r="A960" s="587" t="s">
        <v>173</v>
      </c>
      <c r="B960" s="587" t="s">
        <v>549</v>
      </c>
      <c r="C960" s="587" t="s">
        <v>812</v>
      </c>
      <c r="D960" s="588">
        <v>2016</v>
      </c>
      <c r="E960" s="587" t="s">
        <v>775</v>
      </c>
      <c r="F960" s="588">
        <v>63</v>
      </c>
      <c r="G960" s="588">
        <v>0</v>
      </c>
      <c r="H960" s="588">
        <v>0</v>
      </c>
      <c r="I960" s="588">
        <v>0</v>
      </c>
      <c r="J960" s="588">
        <v>43</v>
      </c>
      <c r="K960" s="588">
        <v>0</v>
      </c>
      <c r="L960" s="588">
        <v>0</v>
      </c>
      <c r="M960" s="588">
        <v>0</v>
      </c>
      <c r="N960" s="588">
        <v>50</v>
      </c>
      <c r="O960" s="588">
        <v>0</v>
      </c>
      <c r="P960" s="588">
        <v>116</v>
      </c>
      <c r="Q960" s="588">
        <v>0</v>
      </c>
      <c r="R960" s="588">
        <v>272</v>
      </c>
      <c r="S960" s="588">
        <v>0</v>
      </c>
      <c r="T960" s="588">
        <v>2016</v>
      </c>
      <c r="U960" s="588">
        <v>2014</v>
      </c>
      <c r="V960" s="589"/>
      <c r="W960" s="589"/>
      <c r="X960" s="589"/>
      <c r="Y960" s="589"/>
      <c r="Z960" s="589"/>
      <c r="AA960" s="589"/>
      <c r="AB960" s="589"/>
      <c r="AC960" s="589"/>
      <c r="AD960" s="589"/>
      <c r="AE960" s="589"/>
      <c r="AF960" s="589"/>
      <c r="AG960" s="589"/>
      <c r="AH960" s="589"/>
      <c r="AI960" s="589"/>
      <c r="AJ960" s="589"/>
      <c r="AK960" s="589"/>
      <c r="AL960" s="589"/>
      <c r="AM960" s="589"/>
      <c r="AN960" s="589"/>
      <c r="AO960" s="589"/>
      <c r="AP960" s="589"/>
      <c r="AQ960" s="589"/>
      <c r="AR960" s="589"/>
      <c r="AS960" s="589"/>
    </row>
    <row r="961" spans="1:45" ht="15">
      <c r="A961" s="590" t="s">
        <v>187</v>
      </c>
      <c r="B961" s="591" t="s">
        <v>661</v>
      </c>
      <c r="C961" s="591" t="s">
        <v>774</v>
      </c>
      <c r="D961" s="592">
        <v>2016</v>
      </c>
      <c r="E961" s="591" t="s">
        <v>775</v>
      </c>
      <c r="F961" s="592">
        <v>691</v>
      </c>
      <c r="G961" s="592">
        <v>0</v>
      </c>
      <c r="H961" s="592">
        <v>0</v>
      </c>
      <c r="I961" s="592">
        <v>0</v>
      </c>
      <c r="J961" s="592">
        <v>432</v>
      </c>
      <c r="K961" s="592">
        <v>0</v>
      </c>
      <c r="L961" s="592">
        <v>0</v>
      </c>
      <c r="M961" s="592">
        <v>0</v>
      </c>
      <c r="N961" s="593">
        <v>278</v>
      </c>
      <c r="O961" s="593">
        <v>3</v>
      </c>
      <c r="P961" s="593">
        <v>587</v>
      </c>
      <c r="Q961" s="593">
        <v>15</v>
      </c>
      <c r="R961" s="593">
        <v>1988</v>
      </c>
      <c r="S961" s="593">
        <v>18</v>
      </c>
      <c r="T961" s="593">
        <v>2016</v>
      </c>
      <c r="U961" s="593">
        <v>2015</v>
      </c>
      <c r="V961" s="589"/>
      <c r="W961" s="589"/>
      <c r="X961" s="589"/>
      <c r="Y961" s="589"/>
      <c r="Z961" s="589"/>
      <c r="AA961" s="589"/>
      <c r="AB961" s="589"/>
      <c r="AC961" s="589"/>
      <c r="AD961" s="589"/>
      <c r="AE961" s="589"/>
      <c r="AF961" s="589"/>
      <c r="AG961" s="589"/>
      <c r="AH961" s="589"/>
      <c r="AI961" s="589"/>
      <c r="AJ961" s="589"/>
      <c r="AK961" s="589"/>
      <c r="AL961" s="589"/>
      <c r="AM961" s="589"/>
      <c r="AN961" s="589"/>
      <c r="AO961" s="589"/>
      <c r="AP961" s="589"/>
      <c r="AQ961" s="589"/>
      <c r="AR961" s="589"/>
      <c r="AS961" s="589"/>
    </row>
    <row r="962" spans="1:45" ht="15">
      <c r="A962" s="587" t="s">
        <v>131</v>
      </c>
      <c r="B962" s="587" t="s">
        <v>260</v>
      </c>
      <c r="C962" s="587" t="s">
        <v>786</v>
      </c>
      <c r="D962" s="588">
        <v>2016</v>
      </c>
      <c r="E962" s="587" t="s">
        <v>775</v>
      </c>
      <c r="F962" s="588">
        <v>141</v>
      </c>
      <c r="G962" s="588">
        <v>0</v>
      </c>
      <c r="H962" s="588">
        <v>0</v>
      </c>
      <c r="I962" s="588">
        <v>0</v>
      </c>
      <c r="J962" s="588">
        <v>100</v>
      </c>
      <c r="K962" s="588">
        <v>7</v>
      </c>
      <c r="L962" s="588">
        <v>7</v>
      </c>
      <c r="M962" s="588">
        <v>0</v>
      </c>
      <c r="N962" s="588">
        <v>93</v>
      </c>
      <c r="O962" s="588">
        <v>3</v>
      </c>
      <c r="P962" s="588">
        <v>303</v>
      </c>
      <c r="Q962" s="588">
        <v>17</v>
      </c>
      <c r="R962" s="588">
        <v>637</v>
      </c>
      <c r="S962" s="588">
        <v>27</v>
      </c>
      <c r="T962" s="588">
        <v>2016</v>
      </c>
      <c r="U962" s="588">
        <v>2014</v>
      </c>
      <c r="V962" s="589"/>
      <c r="W962" s="589"/>
      <c r="X962" s="589"/>
      <c r="Y962" s="589"/>
      <c r="Z962" s="589"/>
      <c r="AA962" s="589"/>
      <c r="AB962" s="589"/>
      <c r="AC962" s="589"/>
      <c r="AD962" s="589"/>
      <c r="AE962" s="589"/>
      <c r="AF962" s="589"/>
      <c r="AG962" s="589"/>
      <c r="AH962" s="589"/>
      <c r="AI962" s="589"/>
      <c r="AJ962" s="589"/>
      <c r="AK962" s="589"/>
      <c r="AL962" s="589"/>
      <c r="AM962" s="589"/>
      <c r="AN962" s="589"/>
      <c r="AO962" s="589"/>
      <c r="AP962" s="589"/>
      <c r="AQ962" s="589"/>
      <c r="AR962" s="589"/>
      <c r="AS962" s="589"/>
    </row>
    <row r="963" spans="1:45" ht="15">
      <c r="A963" s="590" t="s">
        <v>153</v>
      </c>
      <c r="B963" s="591" t="s">
        <v>405</v>
      </c>
      <c r="C963" s="591" t="s">
        <v>812</v>
      </c>
      <c r="D963" s="592">
        <v>2016</v>
      </c>
      <c r="E963" s="591" t="s">
        <v>775</v>
      </c>
      <c r="F963" s="592">
        <v>26</v>
      </c>
      <c r="G963" s="592">
        <v>0</v>
      </c>
      <c r="H963" s="592">
        <v>0</v>
      </c>
      <c r="I963" s="592">
        <v>0</v>
      </c>
      <c r="J963" s="592">
        <v>16</v>
      </c>
      <c r="K963" s="592">
        <v>0</v>
      </c>
      <c r="L963" s="592">
        <v>0</v>
      </c>
      <c r="M963" s="592">
        <v>0</v>
      </c>
      <c r="N963" s="593">
        <v>17</v>
      </c>
      <c r="O963" s="593">
        <v>0</v>
      </c>
      <c r="P963" s="593">
        <v>46</v>
      </c>
      <c r="Q963" s="593">
        <v>1</v>
      </c>
      <c r="R963" s="593">
        <v>105</v>
      </c>
      <c r="S963" s="593">
        <v>1</v>
      </c>
      <c r="T963" s="593">
        <v>2016</v>
      </c>
      <c r="U963" s="593">
        <v>2014</v>
      </c>
      <c r="V963" s="589"/>
      <c r="W963" s="589"/>
      <c r="X963" s="589"/>
      <c r="Y963" s="589"/>
      <c r="Z963" s="589"/>
      <c r="AA963" s="589"/>
      <c r="AB963" s="589"/>
      <c r="AC963" s="589"/>
      <c r="AD963" s="589"/>
      <c r="AE963" s="589"/>
      <c r="AF963" s="589"/>
      <c r="AG963" s="589"/>
      <c r="AH963" s="589"/>
      <c r="AI963" s="589"/>
      <c r="AJ963" s="589"/>
      <c r="AK963" s="589"/>
      <c r="AL963" s="589"/>
      <c r="AM963" s="589"/>
      <c r="AN963" s="589"/>
      <c r="AO963" s="589"/>
      <c r="AP963" s="589"/>
      <c r="AQ963" s="589"/>
      <c r="AR963" s="589"/>
      <c r="AS963" s="589"/>
    </row>
    <row r="964" spans="1:45" ht="15">
      <c r="A964" s="587" t="s">
        <v>141</v>
      </c>
      <c r="B964" s="587" t="s">
        <v>300</v>
      </c>
      <c r="C964" s="587" t="s">
        <v>177</v>
      </c>
      <c r="D964" s="588">
        <v>2016</v>
      </c>
      <c r="E964" s="587" t="s">
        <v>775</v>
      </c>
      <c r="F964" s="588">
        <v>110</v>
      </c>
      <c r="G964" s="588">
        <v>56</v>
      </c>
      <c r="H964" s="588">
        <v>48</v>
      </c>
      <c r="I964" s="588">
        <v>8</v>
      </c>
      <c r="J964" s="588">
        <v>82</v>
      </c>
      <c r="K964" s="588">
        <v>4</v>
      </c>
      <c r="L964" s="588">
        <v>2</v>
      </c>
      <c r="M964" s="588">
        <v>2</v>
      </c>
      <c r="N964" s="588">
        <v>77</v>
      </c>
      <c r="O964" s="588">
        <v>3</v>
      </c>
      <c r="P964" s="588">
        <v>319</v>
      </c>
      <c r="Q964" s="588">
        <v>0</v>
      </c>
      <c r="R964" s="588">
        <v>588</v>
      </c>
      <c r="S964" s="588">
        <v>63</v>
      </c>
      <c r="T964" s="588">
        <v>2016</v>
      </c>
      <c r="U964" s="588">
        <v>2016</v>
      </c>
      <c r="V964" s="589"/>
      <c r="W964" s="589"/>
      <c r="X964" s="589"/>
      <c r="Y964" s="589"/>
      <c r="Z964" s="589"/>
      <c r="AA964" s="589"/>
      <c r="AB964" s="589"/>
      <c r="AC964" s="589"/>
      <c r="AD964" s="589"/>
      <c r="AE964" s="589"/>
      <c r="AF964" s="589"/>
      <c r="AG964" s="589"/>
      <c r="AH964" s="589"/>
      <c r="AI964" s="589"/>
      <c r="AJ964" s="589"/>
      <c r="AK964" s="589"/>
      <c r="AL964" s="589"/>
      <c r="AM964" s="589"/>
      <c r="AN964" s="589"/>
      <c r="AO964" s="589"/>
      <c r="AP964" s="589"/>
      <c r="AQ964" s="589"/>
      <c r="AR964" s="589"/>
      <c r="AS964" s="589"/>
    </row>
    <row r="965" spans="1:45" ht="15">
      <c r="A965" s="590" t="s">
        <v>153</v>
      </c>
      <c r="B965" s="591" t="s">
        <v>406</v>
      </c>
      <c r="C965" s="591" t="s">
        <v>812</v>
      </c>
      <c r="D965" s="592">
        <v>2016</v>
      </c>
      <c r="E965" s="591" t="s">
        <v>775</v>
      </c>
      <c r="F965" s="592">
        <v>340</v>
      </c>
      <c r="G965" s="592">
        <v>1</v>
      </c>
      <c r="H965" s="592">
        <v>1</v>
      </c>
      <c r="I965" s="592">
        <v>0</v>
      </c>
      <c r="J965" s="592">
        <v>207</v>
      </c>
      <c r="K965" s="592">
        <v>34</v>
      </c>
      <c r="L965" s="592">
        <v>34</v>
      </c>
      <c r="M965" s="592">
        <v>0</v>
      </c>
      <c r="N965" s="593">
        <v>224</v>
      </c>
      <c r="O965" s="593">
        <v>18</v>
      </c>
      <c r="P965" s="593">
        <v>561</v>
      </c>
      <c r="Q965" s="593">
        <v>357</v>
      </c>
      <c r="R965" s="593">
        <v>1332</v>
      </c>
      <c r="S965" s="593">
        <v>410</v>
      </c>
      <c r="T965" s="593">
        <v>2016</v>
      </c>
      <c r="U965" s="593">
        <v>2014</v>
      </c>
      <c r="V965" s="589"/>
      <c r="W965" s="589"/>
      <c r="X965" s="589"/>
      <c r="Y965" s="589"/>
      <c r="Z965" s="589"/>
      <c r="AA965" s="589"/>
      <c r="AB965" s="589"/>
      <c r="AC965" s="589"/>
      <c r="AD965" s="589"/>
      <c r="AE965" s="589"/>
      <c r="AF965" s="589"/>
      <c r="AG965" s="589"/>
      <c r="AH965" s="589"/>
      <c r="AI965" s="589"/>
      <c r="AJ965" s="589"/>
      <c r="AK965" s="589"/>
      <c r="AL965" s="589"/>
      <c r="AM965" s="589"/>
      <c r="AN965" s="589"/>
      <c r="AO965" s="589"/>
      <c r="AP965" s="589"/>
      <c r="AQ965" s="589"/>
      <c r="AR965" s="589"/>
      <c r="AS965" s="589"/>
    </row>
    <row r="966" spans="1:45" ht="15">
      <c r="A966" s="587" t="s">
        <v>183</v>
      </c>
      <c r="B966" s="587" t="s">
        <v>620</v>
      </c>
      <c r="C966" s="587" t="s">
        <v>784</v>
      </c>
      <c r="D966" s="588">
        <v>2016</v>
      </c>
      <c r="E966" s="587" t="s">
        <v>775</v>
      </c>
      <c r="F966" s="588">
        <v>123</v>
      </c>
      <c r="G966" s="588">
        <v>0</v>
      </c>
      <c r="H966" s="588">
        <v>0</v>
      </c>
      <c r="I966" s="588">
        <v>0</v>
      </c>
      <c r="J966" s="588">
        <v>77</v>
      </c>
      <c r="K966" s="588">
        <v>0</v>
      </c>
      <c r="L966" s="588">
        <v>0</v>
      </c>
      <c r="M966" s="588">
        <v>0</v>
      </c>
      <c r="N966" s="588">
        <v>87</v>
      </c>
      <c r="O966" s="588">
        <v>21</v>
      </c>
      <c r="P966" s="588">
        <v>206</v>
      </c>
      <c r="Q966" s="588">
        <v>44</v>
      </c>
      <c r="R966" s="588">
        <v>493</v>
      </c>
      <c r="S966" s="588">
        <v>65</v>
      </c>
      <c r="T966" s="588">
        <v>2016</v>
      </c>
      <c r="U966" s="588">
        <v>2014</v>
      </c>
      <c r="V966" s="589"/>
      <c r="W966" s="589"/>
      <c r="X966" s="589"/>
      <c r="Y966" s="589"/>
      <c r="Z966" s="589"/>
      <c r="AA966" s="589"/>
      <c r="AB966" s="589"/>
      <c r="AC966" s="589"/>
      <c r="AD966" s="589"/>
      <c r="AE966" s="589"/>
      <c r="AF966" s="589"/>
      <c r="AG966" s="589"/>
      <c r="AH966" s="589"/>
      <c r="AI966" s="589"/>
      <c r="AJ966" s="589"/>
      <c r="AK966" s="589"/>
      <c r="AL966" s="589"/>
      <c r="AM966" s="589"/>
      <c r="AN966" s="589"/>
      <c r="AO966" s="589"/>
      <c r="AP966" s="589"/>
      <c r="AQ966" s="589"/>
      <c r="AR966" s="589"/>
      <c r="AS966" s="589"/>
    </row>
    <row r="967" spans="1:45" ht="15">
      <c r="A967" s="590" t="s">
        <v>173</v>
      </c>
      <c r="B967" s="591" t="s">
        <v>550</v>
      </c>
      <c r="C967" s="591" t="s">
        <v>812</v>
      </c>
      <c r="D967" s="592">
        <v>2016</v>
      </c>
      <c r="E967" s="591" t="s">
        <v>775</v>
      </c>
      <c r="F967" s="592">
        <v>1026</v>
      </c>
      <c r="G967" s="592">
        <v>0</v>
      </c>
      <c r="H967" s="592">
        <v>0</v>
      </c>
      <c r="I967" s="592">
        <v>0</v>
      </c>
      <c r="J967" s="592">
        <v>681</v>
      </c>
      <c r="K967" s="592">
        <v>0</v>
      </c>
      <c r="L967" s="592">
        <v>0</v>
      </c>
      <c r="M967" s="592">
        <v>0</v>
      </c>
      <c r="N967" s="593">
        <v>759</v>
      </c>
      <c r="O967" s="593">
        <v>0</v>
      </c>
      <c r="P967" s="593">
        <v>1814</v>
      </c>
      <c r="Q967" s="593">
        <v>701</v>
      </c>
      <c r="R967" s="593">
        <v>4280</v>
      </c>
      <c r="S967" s="593">
        <v>701</v>
      </c>
      <c r="T967" s="593">
        <v>2016</v>
      </c>
      <c r="U967" s="593">
        <v>2014</v>
      </c>
      <c r="V967" s="589"/>
      <c r="W967" s="589"/>
      <c r="X967" s="589"/>
      <c r="Y967" s="589"/>
      <c r="Z967" s="589"/>
      <c r="AA967" s="589"/>
      <c r="AB967" s="589"/>
      <c r="AC967" s="589"/>
      <c r="AD967" s="589"/>
      <c r="AE967" s="589"/>
      <c r="AF967" s="589"/>
      <c r="AG967" s="589"/>
      <c r="AH967" s="589"/>
      <c r="AI967" s="589"/>
      <c r="AJ967" s="589"/>
      <c r="AK967" s="589"/>
      <c r="AL967" s="589"/>
      <c r="AM967" s="589"/>
      <c r="AN967" s="589"/>
      <c r="AO967" s="589"/>
      <c r="AP967" s="589"/>
      <c r="AQ967" s="589"/>
      <c r="AR967" s="589"/>
      <c r="AS967" s="589"/>
    </row>
    <row r="968" spans="1:45" ht="15">
      <c r="A968" s="587" t="s">
        <v>193</v>
      </c>
      <c r="B968" s="587" t="s">
        <v>697</v>
      </c>
      <c r="C968" s="587" t="s">
        <v>774</v>
      </c>
      <c r="D968" s="588">
        <v>2016</v>
      </c>
      <c r="E968" s="587" t="s">
        <v>775</v>
      </c>
      <c r="F968" s="588">
        <v>199</v>
      </c>
      <c r="G968" s="588">
        <v>0</v>
      </c>
      <c r="H968" s="588">
        <v>0</v>
      </c>
      <c r="I968" s="588">
        <v>0</v>
      </c>
      <c r="J968" s="588">
        <v>103</v>
      </c>
      <c r="K968" s="588">
        <v>0</v>
      </c>
      <c r="L968" s="588">
        <v>0</v>
      </c>
      <c r="M968" s="588">
        <v>0</v>
      </c>
      <c r="N968" s="588">
        <v>121</v>
      </c>
      <c r="O968" s="588">
        <v>8</v>
      </c>
      <c r="P968" s="588">
        <v>322</v>
      </c>
      <c r="Q968" s="588">
        <v>206</v>
      </c>
      <c r="R968" s="588">
        <v>745</v>
      </c>
      <c r="S968" s="588">
        <v>214</v>
      </c>
      <c r="T968" s="588">
        <v>2016</v>
      </c>
      <c r="U968" s="588">
        <v>2015</v>
      </c>
      <c r="V968" s="589"/>
      <c r="W968" s="589"/>
      <c r="X968" s="589"/>
      <c r="Y968" s="589"/>
      <c r="Z968" s="589"/>
      <c r="AA968" s="589"/>
      <c r="AB968" s="589"/>
      <c r="AC968" s="589"/>
      <c r="AD968" s="589"/>
      <c r="AE968" s="589"/>
      <c r="AF968" s="589"/>
      <c r="AG968" s="589"/>
      <c r="AH968" s="589"/>
      <c r="AI968" s="589"/>
      <c r="AJ968" s="589"/>
      <c r="AK968" s="589"/>
      <c r="AL968" s="589"/>
      <c r="AM968" s="589"/>
      <c r="AN968" s="589"/>
      <c r="AO968" s="589"/>
      <c r="AP968" s="589"/>
      <c r="AQ968" s="589"/>
      <c r="AR968" s="589"/>
      <c r="AS968" s="589"/>
    </row>
    <row r="969" spans="1:45" ht="15">
      <c r="A969" s="590" t="s">
        <v>125</v>
      </c>
      <c r="B969" s="591" t="s">
        <v>243</v>
      </c>
      <c r="C969" s="591" t="s">
        <v>774</v>
      </c>
      <c r="D969" s="592">
        <v>2016</v>
      </c>
      <c r="E969" s="591" t="s">
        <v>775</v>
      </c>
      <c r="F969" s="592">
        <v>24</v>
      </c>
      <c r="G969" s="592">
        <v>2</v>
      </c>
      <c r="H969" s="592">
        <v>2</v>
      </c>
      <c r="I969" s="592">
        <v>0</v>
      </c>
      <c r="J969" s="592">
        <v>14</v>
      </c>
      <c r="K969" s="592">
        <v>0</v>
      </c>
      <c r="L969" s="592">
        <v>0</v>
      </c>
      <c r="M969" s="592">
        <v>0</v>
      </c>
      <c r="N969" s="593">
        <v>15</v>
      </c>
      <c r="O969" s="593">
        <v>0</v>
      </c>
      <c r="P969" s="593">
        <v>7</v>
      </c>
      <c r="Q969" s="593">
        <v>3</v>
      </c>
      <c r="R969" s="593">
        <v>60</v>
      </c>
      <c r="S969" s="593">
        <v>5</v>
      </c>
      <c r="T969" s="593">
        <v>2016</v>
      </c>
      <c r="U969" s="593">
        <v>2015</v>
      </c>
      <c r="V969" s="589"/>
      <c r="W969" s="589"/>
      <c r="X969" s="589"/>
      <c r="Y969" s="589"/>
      <c r="Z969" s="589"/>
      <c r="AA969" s="589"/>
      <c r="AB969" s="589"/>
      <c r="AC969" s="589"/>
      <c r="AD969" s="589"/>
      <c r="AE969" s="589"/>
      <c r="AF969" s="589"/>
      <c r="AG969" s="589"/>
      <c r="AH969" s="589"/>
      <c r="AI969" s="589"/>
      <c r="AJ969" s="589"/>
      <c r="AK969" s="589"/>
      <c r="AL969" s="589"/>
      <c r="AM969" s="589"/>
      <c r="AN969" s="589"/>
      <c r="AO969" s="589"/>
      <c r="AP969" s="589"/>
      <c r="AQ969" s="589"/>
      <c r="AR969" s="589"/>
      <c r="AS969" s="589"/>
    </row>
    <row r="970" spans="1:45" ht="15">
      <c r="A970" s="587" t="s">
        <v>136</v>
      </c>
      <c r="B970" s="587" t="s">
        <v>278</v>
      </c>
      <c r="C970" s="587" t="s">
        <v>774</v>
      </c>
      <c r="D970" s="588">
        <v>2016</v>
      </c>
      <c r="E970" s="587" t="s">
        <v>775</v>
      </c>
      <c r="F970" s="588">
        <v>80</v>
      </c>
      <c r="G970" s="588">
        <v>0</v>
      </c>
      <c r="H970" s="588">
        <v>0</v>
      </c>
      <c r="I970" s="588">
        <v>0</v>
      </c>
      <c r="J970" s="588">
        <v>48</v>
      </c>
      <c r="K970" s="588">
        <v>0</v>
      </c>
      <c r="L970" s="588">
        <v>0</v>
      </c>
      <c r="M970" s="588">
        <v>0</v>
      </c>
      <c r="N970" s="588">
        <v>43</v>
      </c>
      <c r="O970" s="588">
        <v>1</v>
      </c>
      <c r="P970" s="588">
        <v>126</v>
      </c>
      <c r="Q970" s="588">
        <v>2</v>
      </c>
      <c r="R970" s="588">
        <v>297</v>
      </c>
      <c r="S970" s="588">
        <v>3</v>
      </c>
      <c r="T970" s="588">
        <v>2016</v>
      </c>
      <c r="U970" s="588">
        <v>2015</v>
      </c>
      <c r="V970" s="589"/>
      <c r="W970" s="589"/>
      <c r="X970" s="589"/>
      <c r="Y970" s="589"/>
      <c r="Z970" s="589"/>
      <c r="AA970" s="589"/>
      <c r="AB970" s="589"/>
      <c r="AC970" s="589"/>
      <c r="AD970" s="589"/>
      <c r="AE970" s="589"/>
      <c r="AF970" s="589"/>
      <c r="AG970" s="589"/>
      <c r="AH970" s="589"/>
      <c r="AI970" s="589"/>
      <c r="AJ970" s="589"/>
      <c r="AK970" s="589"/>
      <c r="AL970" s="589"/>
      <c r="AM970" s="589"/>
      <c r="AN970" s="589"/>
      <c r="AO970" s="589"/>
      <c r="AP970" s="589"/>
      <c r="AQ970" s="589"/>
      <c r="AR970" s="589"/>
      <c r="AS970" s="589"/>
    </row>
    <row r="971" spans="1:45" ht="15">
      <c r="A971" s="590" t="s">
        <v>183</v>
      </c>
      <c r="B971" s="591" t="s">
        <v>621</v>
      </c>
      <c r="C971" s="591" t="s">
        <v>784</v>
      </c>
      <c r="D971" s="592">
        <v>2016</v>
      </c>
      <c r="E971" s="591" t="s">
        <v>775</v>
      </c>
      <c r="F971" s="592">
        <v>38</v>
      </c>
      <c r="G971" s="592">
        <v>0</v>
      </c>
      <c r="H971" s="592">
        <v>0</v>
      </c>
      <c r="I971" s="592">
        <v>0</v>
      </c>
      <c r="J971" s="592">
        <v>24</v>
      </c>
      <c r="K971" s="592">
        <v>0</v>
      </c>
      <c r="L971" s="592">
        <v>0</v>
      </c>
      <c r="M971" s="592">
        <v>0</v>
      </c>
      <c r="N971" s="593">
        <v>27</v>
      </c>
      <c r="O971" s="593">
        <v>0</v>
      </c>
      <c r="P971" s="593">
        <v>64</v>
      </c>
      <c r="Q971" s="593">
        <v>65</v>
      </c>
      <c r="R971" s="593">
        <v>153</v>
      </c>
      <c r="S971" s="593">
        <v>65</v>
      </c>
      <c r="T971" s="593">
        <v>2016</v>
      </c>
      <c r="U971" s="593">
        <v>2014</v>
      </c>
      <c r="V971" s="589"/>
      <c r="W971" s="589"/>
      <c r="X971" s="589"/>
      <c r="Y971" s="589"/>
      <c r="Z971" s="589"/>
      <c r="AA971" s="589"/>
      <c r="AB971" s="589"/>
      <c r="AC971" s="589"/>
      <c r="AD971" s="589"/>
      <c r="AE971" s="589"/>
      <c r="AF971" s="589"/>
      <c r="AG971" s="589"/>
      <c r="AH971" s="589"/>
      <c r="AI971" s="589"/>
      <c r="AJ971" s="589"/>
      <c r="AK971" s="589"/>
      <c r="AL971" s="589"/>
      <c r="AM971" s="589"/>
      <c r="AN971" s="589"/>
      <c r="AO971" s="589"/>
      <c r="AP971" s="589"/>
      <c r="AQ971" s="589"/>
      <c r="AR971" s="589"/>
      <c r="AS971" s="589"/>
    </row>
    <row r="972" spans="1:45" ht="15">
      <c r="A972" s="587" t="s">
        <v>136</v>
      </c>
      <c r="B972" s="587" t="s">
        <v>279</v>
      </c>
      <c r="C972" s="587" t="s">
        <v>774</v>
      </c>
      <c r="D972" s="588">
        <v>2016</v>
      </c>
      <c r="E972" s="587" t="s">
        <v>775</v>
      </c>
      <c r="F972" s="588">
        <v>392</v>
      </c>
      <c r="G972" s="588">
        <v>0</v>
      </c>
      <c r="H972" s="588">
        <v>0</v>
      </c>
      <c r="I972" s="588">
        <v>0</v>
      </c>
      <c r="J972" s="588">
        <v>254</v>
      </c>
      <c r="K972" s="588">
        <v>2</v>
      </c>
      <c r="L972" s="588">
        <v>2</v>
      </c>
      <c r="M972" s="588">
        <v>0</v>
      </c>
      <c r="N972" s="588">
        <v>316</v>
      </c>
      <c r="O972" s="588">
        <v>0</v>
      </c>
      <c r="P972" s="588">
        <v>1063</v>
      </c>
      <c r="Q972" s="588">
        <v>171</v>
      </c>
      <c r="R972" s="588">
        <v>2025</v>
      </c>
      <c r="S972" s="588">
        <v>173</v>
      </c>
      <c r="T972" s="588">
        <v>2016</v>
      </c>
      <c r="U972" s="588">
        <v>2015</v>
      </c>
      <c r="V972" s="589"/>
      <c r="W972" s="589"/>
      <c r="X972" s="589"/>
      <c r="Y972" s="589"/>
      <c r="Z972" s="589"/>
      <c r="AA972" s="589"/>
      <c r="AB972" s="589"/>
      <c r="AC972" s="589"/>
      <c r="AD972" s="589"/>
      <c r="AE972" s="589"/>
      <c r="AF972" s="589"/>
      <c r="AG972" s="589"/>
      <c r="AH972" s="589"/>
      <c r="AI972" s="589"/>
      <c r="AJ972" s="589"/>
      <c r="AK972" s="589"/>
      <c r="AL972" s="589"/>
      <c r="AM972" s="589"/>
      <c r="AN972" s="589"/>
      <c r="AO972" s="589"/>
      <c r="AP972" s="589"/>
      <c r="AQ972" s="589"/>
      <c r="AR972" s="589"/>
      <c r="AS972" s="589"/>
    </row>
    <row r="973" spans="1:45" ht="15">
      <c r="A973" s="590" t="s">
        <v>169</v>
      </c>
      <c r="B973" s="591" t="s">
        <v>508</v>
      </c>
      <c r="C973" s="591" t="s">
        <v>812</v>
      </c>
      <c r="D973" s="592">
        <v>2016</v>
      </c>
      <c r="E973" s="591" t="s">
        <v>775</v>
      </c>
      <c r="F973" s="592">
        <v>112</v>
      </c>
      <c r="G973" s="592">
        <v>0</v>
      </c>
      <c r="H973" s="592">
        <v>0</v>
      </c>
      <c r="I973" s="592">
        <v>0</v>
      </c>
      <c r="J973" s="592">
        <v>81</v>
      </c>
      <c r="K973" s="592">
        <v>0</v>
      </c>
      <c r="L973" s="592">
        <v>0</v>
      </c>
      <c r="M973" s="592">
        <v>0</v>
      </c>
      <c r="N973" s="593">
        <v>90</v>
      </c>
      <c r="O973" s="593">
        <v>10</v>
      </c>
      <c r="P973" s="593">
        <v>209</v>
      </c>
      <c r="Q973" s="593">
        <v>23</v>
      </c>
      <c r="R973" s="593">
        <v>492</v>
      </c>
      <c r="S973" s="593">
        <v>33</v>
      </c>
      <c r="T973" s="593">
        <v>2016</v>
      </c>
      <c r="U973" s="593">
        <v>2014</v>
      </c>
      <c r="V973" s="589"/>
      <c r="W973" s="589"/>
      <c r="X973" s="589"/>
      <c r="Y973" s="589"/>
      <c r="Z973" s="589"/>
      <c r="AA973" s="589"/>
      <c r="AB973" s="589"/>
      <c r="AC973" s="589"/>
      <c r="AD973" s="589"/>
      <c r="AE973" s="589"/>
      <c r="AF973" s="589"/>
      <c r="AG973" s="589"/>
      <c r="AH973" s="589"/>
      <c r="AI973" s="589"/>
      <c r="AJ973" s="589"/>
      <c r="AK973" s="589"/>
      <c r="AL973" s="589"/>
      <c r="AM973" s="589"/>
      <c r="AN973" s="589"/>
      <c r="AO973" s="589"/>
      <c r="AP973" s="589"/>
      <c r="AQ973" s="589"/>
      <c r="AR973" s="589"/>
      <c r="AS973" s="589"/>
    </row>
    <row r="974" spans="1:45" ht="15">
      <c r="A974" s="587" t="s">
        <v>170</v>
      </c>
      <c r="B974" s="587" t="s">
        <v>523</v>
      </c>
      <c r="C974" s="587" t="s">
        <v>799</v>
      </c>
      <c r="D974" s="588">
        <v>2016</v>
      </c>
      <c r="E974" s="587" t="s">
        <v>775</v>
      </c>
      <c r="F974" s="588">
        <v>1365</v>
      </c>
      <c r="G974" s="588">
        <v>36</v>
      </c>
      <c r="H974" s="588">
        <v>36</v>
      </c>
      <c r="I974" s="588">
        <v>0</v>
      </c>
      <c r="J974" s="588">
        <v>957</v>
      </c>
      <c r="K974" s="588">
        <v>31</v>
      </c>
      <c r="L974" s="588">
        <v>31</v>
      </c>
      <c r="M974" s="588">
        <v>0</v>
      </c>
      <c r="N974" s="588">
        <v>936</v>
      </c>
      <c r="O974" s="588">
        <v>15</v>
      </c>
      <c r="P974" s="588">
        <v>1773</v>
      </c>
      <c r="Q974" s="588">
        <v>334</v>
      </c>
      <c r="R974" s="588">
        <v>5031</v>
      </c>
      <c r="S974" s="588">
        <v>416</v>
      </c>
      <c r="T974" s="588">
        <v>2016</v>
      </c>
      <c r="U974" s="588">
        <v>2014</v>
      </c>
      <c r="V974" s="589"/>
      <c r="W974" s="589"/>
      <c r="X974" s="589"/>
      <c r="Y974" s="589"/>
      <c r="Z974" s="589"/>
      <c r="AA974" s="589"/>
      <c r="AB974" s="589"/>
      <c r="AC974" s="589"/>
      <c r="AD974" s="589"/>
      <c r="AE974" s="589"/>
      <c r="AF974" s="589"/>
      <c r="AG974" s="589"/>
      <c r="AH974" s="589"/>
      <c r="AI974" s="589"/>
      <c r="AJ974" s="589"/>
      <c r="AK974" s="589"/>
      <c r="AL974" s="589"/>
      <c r="AM974" s="589"/>
      <c r="AN974" s="589"/>
      <c r="AO974" s="589"/>
      <c r="AP974" s="589"/>
      <c r="AQ974" s="589"/>
      <c r="AR974" s="589"/>
      <c r="AS974" s="589"/>
    </row>
    <row r="975" spans="1:45" ht="15">
      <c r="A975" s="590" t="s">
        <v>139</v>
      </c>
      <c r="B975" s="591" t="s">
        <v>288</v>
      </c>
      <c r="C975" s="591" t="s">
        <v>799</v>
      </c>
      <c r="D975" s="592">
        <v>2016</v>
      </c>
      <c r="E975" s="591" t="s">
        <v>775</v>
      </c>
      <c r="F975" s="592">
        <v>78</v>
      </c>
      <c r="G975" s="592">
        <v>0</v>
      </c>
      <c r="H975" s="592">
        <v>0</v>
      </c>
      <c r="I975" s="592">
        <v>0</v>
      </c>
      <c r="J975" s="592">
        <v>55</v>
      </c>
      <c r="K975" s="592">
        <v>0</v>
      </c>
      <c r="L975" s="592">
        <v>0</v>
      </c>
      <c r="M975" s="592">
        <v>0</v>
      </c>
      <c r="N975" s="593">
        <v>69</v>
      </c>
      <c r="O975" s="593">
        <v>15</v>
      </c>
      <c r="P975" s="593">
        <v>170</v>
      </c>
      <c r="Q975" s="593">
        <v>53</v>
      </c>
      <c r="R975" s="593">
        <v>372</v>
      </c>
      <c r="S975" s="593">
        <v>68</v>
      </c>
      <c r="T975" s="593">
        <v>2016</v>
      </c>
      <c r="U975" s="593">
        <v>2014</v>
      </c>
      <c r="V975" s="589"/>
      <c r="W975" s="589"/>
      <c r="X975" s="589"/>
      <c r="Y975" s="589"/>
      <c r="Z975" s="589"/>
      <c r="AA975" s="589"/>
      <c r="AB975" s="589"/>
      <c r="AC975" s="589"/>
      <c r="AD975" s="589"/>
      <c r="AE975" s="589"/>
      <c r="AF975" s="589"/>
      <c r="AG975" s="589"/>
      <c r="AH975" s="589"/>
      <c r="AI975" s="589"/>
      <c r="AJ975" s="589"/>
      <c r="AK975" s="589"/>
      <c r="AL975" s="589"/>
      <c r="AM975" s="589"/>
      <c r="AN975" s="589"/>
      <c r="AO975" s="589"/>
      <c r="AP975" s="589"/>
      <c r="AQ975" s="589"/>
      <c r="AR975" s="589"/>
      <c r="AS975" s="589"/>
    </row>
    <row r="976" spans="1:45" ht="15">
      <c r="A976" s="587" t="s">
        <v>136</v>
      </c>
      <c r="B976" s="587" t="s">
        <v>280</v>
      </c>
      <c r="C976" s="587" t="s">
        <v>774</v>
      </c>
      <c r="D976" s="588">
        <v>2016</v>
      </c>
      <c r="E976" s="587" t="s">
        <v>775</v>
      </c>
      <c r="F976" s="588">
        <v>118</v>
      </c>
      <c r="G976" s="588">
        <v>0</v>
      </c>
      <c r="H976" s="588">
        <v>0</v>
      </c>
      <c r="I976" s="588">
        <v>0</v>
      </c>
      <c r="J976" s="588">
        <v>69</v>
      </c>
      <c r="K976" s="588">
        <v>0</v>
      </c>
      <c r="L976" s="588">
        <v>0</v>
      </c>
      <c r="M976" s="588">
        <v>0</v>
      </c>
      <c r="N976" s="588">
        <v>84</v>
      </c>
      <c r="O976" s="588">
        <v>0</v>
      </c>
      <c r="P976" s="588">
        <v>177</v>
      </c>
      <c r="Q976" s="588">
        <v>6</v>
      </c>
      <c r="R976" s="588">
        <v>448</v>
      </c>
      <c r="S976" s="588">
        <v>6</v>
      </c>
      <c r="T976" s="588">
        <v>2016</v>
      </c>
      <c r="U976" s="588">
        <v>2015</v>
      </c>
      <c r="V976" s="589"/>
      <c r="W976" s="589"/>
      <c r="X976" s="589"/>
      <c r="Y976" s="589"/>
      <c r="Z976" s="589"/>
      <c r="AA976" s="589"/>
      <c r="AB976" s="589"/>
      <c r="AC976" s="589"/>
      <c r="AD976" s="589"/>
      <c r="AE976" s="589"/>
      <c r="AF976" s="589"/>
      <c r="AG976" s="589"/>
      <c r="AH976" s="589"/>
      <c r="AI976" s="589"/>
      <c r="AJ976" s="589"/>
      <c r="AK976" s="589"/>
      <c r="AL976" s="589"/>
      <c r="AM976" s="589"/>
      <c r="AN976" s="589"/>
      <c r="AO976" s="589"/>
      <c r="AP976" s="589"/>
      <c r="AQ976" s="589"/>
      <c r="AR976" s="589"/>
      <c r="AS976" s="589"/>
    </row>
    <row r="977" spans="1:45" ht="15">
      <c r="A977" s="590" t="s">
        <v>125</v>
      </c>
      <c r="B977" s="591" t="s">
        <v>244</v>
      </c>
      <c r="C977" s="591" t="s">
        <v>774</v>
      </c>
      <c r="D977" s="592">
        <v>2016</v>
      </c>
      <c r="E977" s="591" t="s">
        <v>775</v>
      </c>
      <c r="F977" s="592">
        <v>716</v>
      </c>
      <c r="G977" s="592">
        <v>128</v>
      </c>
      <c r="H977" s="592">
        <v>128</v>
      </c>
      <c r="I977" s="592">
        <v>0</v>
      </c>
      <c r="J977" s="592">
        <v>391</v>
      </c>
      <c r="K977" s="592">
        <v>21</v>
      </c>
      <c r="L977" s="592">
        <v>21</v>
      </c>
      <c r="M977" s="592">
        <v>0</v>
      </c>
      <c r="N977" s="593">
        <v>407</v>
      </c>
      <c r="O977" s="593">
        <v>10</v>
      </c>
      <c r="P977" s="593">
        <v>553</v>
      </c>
      <c r="Q977" s="593">
        <v>228</v>
      </c>
      <c r="R977" s="593">
        <v>2067</v>
      </c>
      <c r="S977" s="593">
        <v>387</v>
      </c>
      <c r="T977" s="593">
        <v>2016</v>
      </c>
      <c r="U977" s="593">
        <v>2015</v>
      </c>
      <c r="V977" s="589"/>
      <c r="W977" s="589"/>
      <c r="X977" s="589"/>
      <c r="Y977" s="589"/>
      <c r="Z977" s="589"/>
      <c r="AA977" s="589"/>
      <c r="AB977" s="589"/>
      <c r="AC977" s="589"/>
      <c r="AD977" s="589"/>
      <c r="AE977" s="589"/>
      <c r="AF977" s="589"/>
      <c r="AG977" s="589"/>
      <c r="AH977" s="589"/>
      <c r="AI977" s="589"/>
      <c r="AJ977" s="589"/>
      <c r="AK977" s="589"/>
      <c r="AL977" s="589"/>
      <c r="AM977" s="589"/>
      <c r="AN977" s="589"/>
      <c r="AO977" s="589"/>
      <c r="AP977" s="589"/>
      <c r="AQ977" s="589"/>
      <c r="AR977" s="589"/>
      <c r="AS977" s="589"/>
    </row>
    <row r="978" spans="1:45" ht="15">
      <c r="A978" s="587" t="s">
        <v>171</v>
      </c>
      <c r="B978" s="587" t="s">
        <v>526</v>
      </c>
      <c r="C978" s="587" t="s">
        <v>784</v>
      </c>
      <c r="D978" s="588">
        <v>2016</v>
      </c>
      <c r="E978" s="587" t="s">
        <v>775</v>
      </c>
      <c r="F978" s="588">
        <v>12</v>
      </c>
      <c r="G978" s="588">
        <v>0</v>
      </c>
      <c r="H978" s="588">
        <v>0</v>
      </c>
      <c r="I978" s="588">
        <v>0</v>
      </c>
      <c r="J978" s="588">
        <v>8</v>
      </c>
      <c r="K978" s="588">
        <v>0</v>
      </c>
      <c r="L978" s="588">
        <v>0</v>
      </c>
      <c r="M978" s="588">
        <v>0</v>
      </c>
      <c r="N978" s="588">
        <v>12</v>
      </c>
      <c r="O978" s="588">
        <v>4</v>
      </c>
      <c r="P978" s="588">
        <v>25</v>
      </c>
      <c r="Q978" s="588">
        <v>34</v>
      </c>
      <c r="R978" s="588">
        <v>57</v>
      </c>
      <c r="S978" s="588">
        <v>38</v>
      </c>
      <c r="T978" s="588">
        <v>2016</v>
      </c>
      <c r="U978" s="588">
        <v>2014</v>
      </c>
      <c r="V978" s="589"/>
      <c r="W978" s="589"/>
      <c r="X978" s="589"/>
      <c r="Y978" s="589"/>
      <c r="Z978" s="589"/>
      <c r="AA978" s="589"/>
      <c r="AB978" s="589"/>
      <c r="AC978" s="589"/>
      <c r="AD978" s="589"/>
      <c r="AE978" s="589"/>
      <c r="AF978" s="589"/>
      <c r="AG978" s="589"/>
      <c r="AH978" s="589"/>
      <c r="AI978" s="589"/>
      <c r="AJ978" s="589"/>
      <c r="AK978" s="589"/>
      <c r="AL978" s="589"/>
      <c r="AM978" s="589"/>
      <c r="AN978" s="589"/>
      <c r="AO978" s="589"/>
      <c r="AP978" s="589"/>
      <c r="AQ978" s="589"/>
      <c r="AR978" s="589"/>
      <c r="AS978" s="589"/>
    </row>
    <row r="979" spans="1:45" ht="15">
      <c r="A979" s="590" t="s">
        <v>159</v>
      </c>
      <c r="B979" s="591" t="s">
        <v>451</v>
      </c>
      <c r="C979" s="591" t="s">
        <v>784</v>
      </c>
      <c r="D979" s="592">
        <v>2016</v>
      </c>
      <c r="E979" s="591" t="s">
        <v>775</v>
      </c>
      <c r="F979" s="592">
        <v>1</v>
      </c>
      <c r="G979" s="592">
        <v>0</v>
      </c>
      <c r="H979" s="592">
        <v>0</v>
      </c>
      <c r="I979" s="592">
        <v>0</v>
      </c>
      <c r="J979" s="592">
        <v>1</v>
      </c>
      <c r="K979" s="592">
        <v>0</v>
      </c>
      <c r="L979" s="592">
        <v>0</v>
      </c>
      <c r="M979" s="592">
        <v>0</v>
      </c>
      <c r="N979" s="593">
        <v>1</v>
      </c>
      <c r="O979" s="593">
        <v>0</v>
      </c>
      <c r="P979" s="593">
        <v>1</v>
      </c>
      <c r="Q979" s="593">
        <v>0</v>
      </c>
      <c r="R979" s="593">
        <v>4</v>
      </c>
      <c r="S979" s="593">
        <v>0</v>
      </c>
      <c r="T979" s="593">
        <v>2016</v>
      </c>
      <c r="U979" s="593">
        <v>2014</v>
      </c>
      <c r="V979" s="589"/>
      <c r="W979" s="589"/>
      <c r="X979" s="589"/>
      <c r="Y979" s="589"/>
      <c r="Z979" s="589"/>
      <c r="AA979" s="589"/>
      <c r="AB979" s="589"/>
      <c r="AC979" s="589"/>
      <c r="AD979" s="589"/>
      <c r="AE979" s="589"/>
      <c r="AF979" s="589"/>
      <c r="AG979" s="589"/>
      <c r="AH979" s="589"/>
      <c r="AI979" s="589"/>
      <c r="AJ979" s="589"/>
      <c r="AK979" s="589"/>
      <c r="AL979" s="589"/>
      <c r="AM979" s="589"/>
      <c r="AN979" s="589"/>
      <c r="AO979" s="589"/>
      <c r="AP979" s="589"/>
      <c r="AQ979" s="589"/>
      <c r="AR979" s="589"/>
      <c r="AS979" s="589"/>
    </row>
    <row r="980" spans="1:45" ht="15">
      <c r="A980" s="587" t="s">
        <v>199</v>
      </c>
      <c r="B980" s="587" t="s">
        <v>724</v>
      </c>
      <c r="C980" s="587" t="s">
        <v>177</v>
      </c>
      <c r="D980" s="588">
        <v>2016</v>
      </c>
      <c r="E980" s="587" t="s">
        <v>775</v>
      </c>
      <c r="F980" s="588">
        <v>623</v>
      </c>
      <c r="G980" s="588">
        <v>0</v>
      </c>
      <c r="H980" s="588">
        <v>0</v>
      </c>
      <c r="I980" s="588">
        <v>0</v>
      </c>
      <c r="J980" s="588">
        <v>576</v>
      </c>
      <c r="K980" s="588">
        <v>2</v>
      </c>
      <c r="L980" s="588">
        <v>2</v>
      </c>
      <c r="M980" s="588">
        <v>0</v>
      </c>
      <c r="N980" s="588">
        <v>566</v>
      </c>
      <c r="O980" s="588">
        <v>40</v>
      </c>
      <c r="P980" s="588">
        <v>1431</v>
      </c>
      <c r="Q980" s="588">
        <v>1</v>
      </c>
      <c r="R980" s="588">
        <v>3196</v>
      </c>
      <c r="S980" s="588">
        <v>43</v>
      </c>
      <c r="T980" s="588">
        <v>2016</v>
      </c>
      <c r="U980" s="588">
        <v>2016</v>
      </c>
      <c r="V980" s="589"/>
      <c r="W980" s="589"/>
      <c r="X980" s="589"/>
      <c r="Y980" s="589"/>
      <c r="Z980" s="589"/>
      <c r="AA980" s="589"/>
      <c r="AB980" s="589"/>
      <c r="AC980" s="589"/>
      <c r="AD980" s="589"/>
      <c r="AE980" s="589"/>
      <c r="AF980" s="589"/>
      <c r="AG980" s="589"/>
      <c r="AH980" s="589"/>
      <c r="AI980" s="589"/>
      <c r="AJ980" s="589"/>
      <c r="AK980" s="589"/>
      <c r="AL980" s="589"/>
      <c r="AM980" s="589"/>
      <c r="AN980" s="589"/>
      <c r="AO980" s="589"/>
      <c r="AP980" s="589"/>
      <c r="AQ980" s="589"/>
      <c r="AR980" s="589"/>
      <c r="AS980" s="589"/>
    </row>
    <row r="981" spans="1:45" ht="15">
      <c r="A981" s="590" t="s">
        <v>184</v>
      </c>
      <c r="B981" s="591" t="s">
        <v>636</v>
      </c>
      <c r="C981" s="591" t="s">
        <v>774</v>
      </c>
      <c r="D981" s="592">
        <v>2016</v>
      </c>
      <c r="E981" s="591" t="s">
        <v>775</v>
      </c>
      <c r="F981" s="592">
        <v>21</v>
      </c>
      <c r="G981" s="592">
        <v>0</v>
      </c>
      <c r="H981" s="592">
        <v>0</v>
      </c>
      <c r="I981" s="592">
        <v>0</v>
      </c>
      <c r="J981" s="592">
        <v>15</v>
      </c>
      <c r="K981" s="592">
        <v>0</v>
      </c>
      <c r="L981" s="592">
        <v>0</v>
      </c>
      <c r="M981" s="592">
        <v>0</v>
      </c>
      <c r="N981" s="593">
        <v>15</v>
      </c>
      <c r="O981" s="593">
        <v>1</v>
      </c>
      <c r="P981" s="593">
        <v>13</v>
      </c>
      <c r="Q981" s="593">
        <v>8</v>
      </c>
      <c r="R981" s="593">
        <v>64</v>
      </c>
      <c r="S981" s="593">
        <v>9</v>
      </c>
      <c r="T981" s="593">
        <v>2016</v>
      </c>
      <c r="U981" s="593">
        <v>2015</v>
      </c>
      <c r="V981" s="589"/>
      <c r="W981" s="589"/>
      <c r="X981" s="589"/>
      <c r="Y981" s="589"/>
      <c r="Z981" s="589"/>
      <c r="AA981" s="589"/>
      <c r="AB981" s="589"/>
      <c r="AC981" s="589"/>
      <c r="AD981" s="589"/>
      <c r="AE981" s="589"/>
      <c r="AF981" s="589"/>
      <c r="AG981" s="589"/>
      <c r="AH981" s="589"/>
      <c r="AI981" s="589"/>
      <c r="AJ981" s="589"/>
      <c r="AK981" s="589"/>
      <c r="AL981" s="589"/>
      <c r="AM981" s="589"/>
      <c r="AN981" s="589"/>
      <c r="AO981" s="589"/>
      <c r="AP981" s="589"/>
      <c r="AQ981" s="589"/>
      <c r="AR981" s="589"/>
      <c r="AS981" s="589"/>
    </row>
    <row r="982" spans="1:45" ht="15">
      <c r="A982" s="587" t="s">
        <v>179</v>
      </c>
      <c r="B982" s="587" t="s">
        <v>602</v>
      </c>
      <c r="C982" s="587" t="s">
        <v>855</v>
      </c>
      <c r="D982" s="588">
        <v>2016</v>
      </c>
      <c r="E982" s="587" t="s">
        <v>775</v>
      </c>
      <c r="F982" s="588">
        <v>201</v>
      </c>
      <c r="G982" s="588">
        <v>0</v>
      </c>
      <c r="H982" s="588">
        <v>0</v>
      </c>
      <c r="I982" s="588">
        <v>0</v>
      </c>
      <c r="J982" s="588">
        <v>152</v>
      </c>
      <c r="K982" s="588">
        <v>0</v>
      </c>
      <c r="L982" s="588">
        <v>0</v>
      </c>
      <c r="M982" s="588">
        <v>0</v>
      </c>
      <c r="N982" s="588">
        <v>282</v>
      </c>
      <c r="O982" s="588">
        <v>0</v>
      </c>
      <c r="P982" s="588">
        <v>618</v>
      </c>
      <c r="Q982" s="588">
        <v>17</v>
      </c>
      <c r="R982" s="588">
        <v>1253</v>
      </c>
      <c r="S982" s="588">
        <v>17</v>
      </c>
      <c r="T982" s="588">
        <v>2016</v>
      </c>
      <c r="U982" s="588">
        <v>2013</v>
      </c>
      <c r="V982" s="589"/>
      <c r="W982" s="589"/>
      <c r="X982" s="589"/>
      <c r="Y982" s="589"/>
      <c r="Z982" s="589"/>
      <c r="AA982" s="589"/>
      <c r="AB982" s="589"/>
      <c r="AC982" s="589"/>
      <c r="AD982" s="589"/>
      <c r="AE982" s="589"/>
      <c r="AF982" s="589"/>
      <c r="AG982" s="589"/>
      <c r="AH982" s="589"/>
      <c r="AI982" s="589"/>
      <c r="AJ982" s="589"/>
      <c r="AK982" s="589"/>
      <c r="AL982" s="589"/>
      <c r="AM982" s="589"/>
      <c r="AN982" s="589"/>
      <c r="AO982" s="589"/>
      <c r="AP982" s="589"/>
      <c r="AQ982" s="589"/>
      <c r="AR982" s="589"/>
      <c r="AS982" s="589"/>
    </row>
    <row r="983" spans="1:45" ht="15">
      <c r="A983" s="590" t="s">
        <v>174</v>
      </c>
      <c r="B983" s="591" t="s">
        <v>561</v>
      </c>
      <c r="C983" s="591" t="s">
        <v>799</v>
      </c>
      <c r="D983" s="592">
        <v>2016</v>
      </c>
      <c r="E983" s="591" t="s">
        <v>775</v>
      </c>
      <c r="F983" s="592">
        <v>1539</v>
      </c>
      <c r="G983" s="592">
        <v>0</v>
      </c>
      <c r="H983" s="592">
        <v>0</v>
      </c>
      <c r="I983" s="592">
        <v>0</v>
      </c>
      <c r="J983" s="592">
        <v>1079</v>
      </c>
      <c r="K983" s="592">
        <v>0</v>
      </c>
      <c r="L983" s="592">
        <v>0</v>
      </c>
      <c r="M983" s="592">
        <v>0</v>
      </c>
      <c r="N983" s="593">
        <v>1303</v>
      </c>
      <c r="O983" s="593">
        <v>0</v>
      </c>
      <c r="P983" s="593">
        <v>3087</v>
      </c>
      <c r="Q983" s="593">
        <v>330</v>
      </c>
      <c r="R983" s="593">
        <v>7008</v>
      </c>
      <c r="S983" s="593">
        <v>330</v>
      </c>
      <c r="T983" s="593">
        <v>2016</v>
      </c>
      <c r="U983" s="593">
        <v>2014</v>
      </c>
      <c r="V983" s="589"/>
      <c r="W983" s="589"/>
      <c r="X983" s="589"/>
      <c r="Y983" s="589"/>
      <c r="Z983" s="589"/>
      <c r="AA983" s="589"/>
      <c r="AB983" s="589"/>
      <c r="AC983" s="589"/>
      <c r="AD983" s="589"/>
      <c r="AE983" s="589"/>
      <c r="AF983" s="589"/>
      <c r="AG983" s="589"/>
      <c r="AH983" s="589"/>
      <c r="AI983" s="589"/>
      <c r="AJ983" s="589"/>
      <c r="AK983" s="589"/>
      <c r="AL983" s="589"/>
      <c r="AM983" s="589"/>
      <c r="AN983" s="589"/>
      <c r="AO983" s="589"/>
      <c r="AP983" s="589"/>
      <c r="AQ983" s="589"/>
      <c r="AR983" s="589"/>
      <c r="AS983" s="589"/>
    </row>
    <row r="984" spans="1:45" ht="15">
      <c r="A984" s="587" t="s">
        <v>178</v>
      </c>
      <c r="B984" s="587" t="s">
        <v>581</v>
      </c>
      <c r="C984" s="587" t="s">
        <v>812</v>
      </c>
      <c r="D984" s="588">
        <v>2016</v>
      </c>
      <c r="E984" s="587" t="s">
        <v>775</v>
      </c>
      <c r="F984" s="588">
        <v>209</v>
      </c>
      <c r="G984" s="588">
        <v>0</v>
      </c>
      <c r="H984" s="588">
        <v>0</v>
      </c>
      <c r="I984" s="588">
        <v>0</v>
      </c>
      <c r="J984" s="588">
        <v>141</v>
      </c>
      <c r="K984" s="588">
        <v>0</v>
      </c>
      <c r="L984" s="588">
        <v>0</v>
      </c>
      <c r="M984" s="588">
        <v>0</v>
      </c>
      <c r="N984" s="588">
        <v>158</v>
      </c>
      <c r="O984" s="588">
        <v>0</v>
      </c>
      <c r="P984" s="588">
        <v>340</v>
      </c>
      <c r="Q984" s="588">
        <v>171</v>
      </c>
      <c r="R984" s="588">
        <v>848</v>
      </c>
      <c r="S984" s="588">
        <v>171</v>
      </c>
      <c r="T984" s="588">
        <v>2016</v>
      </c>
      <c r="U984" s="588">
        <v>2014</v>
      </c>
      <c r="V984" s="589"/>
      <c r="W984" s="589"/>
      <c r="X984" s="589"/>
      <c r="Y984" s="589"/>
      <c r="Z984" s="589"/>
      <c r="AA984" s="589"/>
      <c r="AB984" s="589"/>
      <c r="AC984" s="589"/>
      <c r="AD984" s="589"/>
      <c r="AE984" s="589"/>
      <c r="AF984" s="589"/>
      <c r="AG984" s="589"/>
      <c r="AH984" s="589"/>
      <c r="AI984" s="589"/>
      <c r="AJ984" s="589"/>
      <c r="AK984" s="589"/>
      <c r="AL984" s="589"/>
      <c r="AM984" s="589"/>
      <c r="AN984" s="589"/>
      <c r="AO984" s="589"/>
      <c r="AP984" s="589"/>
      <c r="AQ984" s="589"/>
      <c r="AR984" s="589"/>
      <c r="AS984" s="589"/>
    </row>
    <row r="985" spans="1:45" ht="15">
      <c r="A985" s="590" t="s">
        <v>153</v>
      </c>
      <c r="B985" s="591" t="s">
        <v>409</v>
      </c>
      <c r="C985" s="591" t="s">
        <v>812</v>
      </c>
      <c r="D985" s="592">
        <v>2016</v>
      </c>
      <c r="E985" s="591" t="s">
        <v>775</v>
      </c>
      <c r="F985" s="592">
        <v>8</v>
      </c>
      <c r="G985" s="592">
        <v>4</v>
      </c>
      <c r="H985" s="592">
        <v>4</v>
      </c>
      <c r="I985" s="592">
        <v>0</v>
      </c>
      <c r="J985" s="592">
        <v>5</v>
      </c>
      <c r="K985" s="592">
        <v>0</v>
      </c>
      <c r="L985" s="592">
        <v>0</v>
      </c>
      <c r="M985" s="592">
        <v>0</v>
      </c>
      <c r="N985" s="593">
        <v>5</v>
      </c>
      <c r="O985" s="593">
        <v>0</v>
      </c>
      <c r="P985" s="593">
        <v>13</v>
      </c>
      <c r="Q985" s="593">
        <v>48</v>
      </c>
      <c r="R985" s="593">
        <v>31</v>
      </c>
      <c r="S985" s="593">
        <v>52</v>
      </c>
      <c r="T985" s="593">
        <v>2016</v>
      </c>
      <c r="U985" s="593">
        <v>2014</v>
      </c>
      <c r="V985" s="589"/>
      <c r="W985" s="589"/>
      <c r="X985" s="589"/>
      <c r="Y985" s="589"/>
      <c r="Z985" s="589"/>
      <c r="AA985" s="589"/>
      <c r="AB985" s="589"/>
      <c r="AC985" s="589"/>
      <c r="AD985" s="589"/>
      <c r="AE985" s="589"/>
      <c r="AF985" s="589"/>
      <c r="AG985" s="589"/>
      <c r="AH985" s="589"/>
      <c r="AI985" s="589"/>
      <c r="AJ985" s="589"/>
      <c r="AK985" s="589"/>
      <c r="AL985" s="589"/>
      <c r="AM985" s="589"/>
      <c r="AN985" s="589"/>
      <c r="AO985" s="589"/>
      <c r="AP985" s="589"/>
      <c r="AQ985" s="589"/>
      <c r="AR985" s="589"/>
      <c r="AS985" s="589"/>
    </row>
    <row r="986" spans="1:45" ht="15">
      <c r="A986" s="587" t="s">
        <v>169</v>
      </c>
      <c r="B986" s="587" t="s">
        <v>509</v>
      </c>
      <c r="C986" s="587" t="s">
        <v>812</v>
      </c>
      <c r="D986" s="588">
        <v>2016</v>
      </c>
      <c r="E986" s="587" t="s">
        <v>775</v>
      </c>
      <c r="F986" s="588">
        <v>1</v>
      </c>
      <c r="G986" s="588">
        <v>0</v>
      </c>
      <c r="H986" s="588">
        <v>0</v>
      </c>
      <c r="I986" s="588">
        <v>0</v>
      </c>
      <c r="J986" s="588">
        <v>1</v>
      </c>
      <c r="K986" s="588">
        <v>0</v>
      </c>
      <c r="L986" s="588">
        <v>0</v>
      </c>
      <c r="M986" s="588">
        <v>0</v>
      </c>
      <c r="N986" s="588">
        <v>0</v>
      </c>
      <c r="O986" s="588">
        <v>0</v>
      </c>
      <c r="P986" s="588">
        <v>0</v>
      </c>
      <c r="Q986" s="588">
        <v>0</v>
      </c>
      <c r="R986" s="588">
        <v>2</v>
      </c>
      <c r="S986" s="588">
        <v>0</v>
      </c>
      <c r="T986" s="588">
        <v>2016</v>
      </c>
      <c r="U986" s="588">
        <v>2014</v>
      </c>
      <c r="V986" s="589"/>
      <c r="W986" s="589"/>
      <c r="X986" s="589"/>
      <c r="Y986" s="589"/>
      <c r="Z986" s="589"/>
      <c r="AA986" s="589"/>
      <c r="AB986" s="589"/>
      <c r="AC986" s="589"/>
      <c r="AD986" s="589"/>
      <c r="AE986" s="589"/>
      <c r="AF986" s="589"/>
      <c r="AG986" s="589"/>
      <c r="AH986" s="589"/>
      <c r="AI986" s="589"/>
      <c r="AJ986" s="589"/>
      <c r="AK986" s="589"/>
      <c r="AL986" s="589"/>
      <c r="AM986" s="589"/>
      <c r="AN986" s="589"/>
      <c r="AO986" s="589"/>
      <c r="AP986" s="589"/>
      <c r="AQ986" s="589"/>
      <c r="AR986" s="589"/>
      <c r="AS986" s="589"/>
    </row>
    <row r="987" spans="1:45" ht="15">
      <c r="A987" s="590" t="s">
        <v>197</v>
      </c>
      <c r="B987" s="591" t="s">
        <v>717</v>
      </c>
      <c r="C987" s="591" t="s">
        <v>784</v>
      </c>
      <c r="D987" s="592">
        <v>2016</v>
      </c>
      <c r="E987" s="591" t="s">
        <v>775</v>
      </c>
      <c r="F987" s="592">
        <v>73</v>
      </c>
      <c r="G987" s="592">
        <v>0</v>
      </c>
      <c r="H987" s="592">
        <v>0</v>
      </c>
      <c r="I987" s="592">
        <v>0</v>
      </c>
      <c r="J987" s="592">
        <v>52</v>
      </c>
      <c r="K987" s="592">
        <v>0</v>
      </c>
      <c r="L987" s="592">
        <v>0</v>
      </c>
      <c r="M987" s="592">
        <v>0</v>
      </c>
      <c r="N987" s="593">
        <v>61</v>
      </c>
      <c r="O987" s="593">
        <v>4</v>
      </c>
      <c r="P987" s="593">
        <v>137</v>
      </c>
      <c r="Q987" s="593">
        <v>0</v>
      </c>
      <c r="R987" s="593">
        <v>323</v>
      </c>
      <c r="S987" s="593">
        <v>4</v>
      </c>
      <c r="T987" s="593">
        <v>2016</v>
      </c>
      <c r="U987" s="593">
        <v>2014</v>
      </c>
      <c r="V987" s="589"/>
      <c r="W987" s="589"/>
      <c r="X987" s="589"/>
      <c r="Y987" s="589"/>
      <c r="Z987" s="589"/>
      <c r="AA987" s="589"/>
      <c r="AB987" s="589"/>
      <c r="AC987" s="589"/>
      <c r="AD987" s="589"/>
      <c r="AE987" s="589"/>
      <c r="AF987" s="589"/>
      <c r="AG987" s="589"/>
      <c r="AH987" s="589"/>
      <c r="AI987" s="589"/>
      <c r="AJ987" s="589"/>
      <c r="AK987" s="589"/>
      <c r="AL987" s="589"/>
      <c r="AM987" s="589"/>
      <c r="AN987" s="589"/>
      <c r="AO987" s="589"/>
      <c r="AP987" s="589"/>
      <c r="AQ987" s="589"/>
      <c r="AR987" s="589"/>
      <c r="AS987" s="589"/>
    </row>
    <row r="988" spans="1:45" ht="15">
      <c r="A988" s="587" t="s">
        <v>189</v>
      </c>
      <c r="B988" s="587" t="s">
        <v>671</v>
      </c>
      <c r="C988" s="587" t="s">
        <v>784</v>
      </c>
      <c r="D988" s="588">
        <v>2016</v>
      </c>
      <c r="E988" s="587" t="s">
        <v>775</v>
      </c>
      <c r="F988" s="588">
        <v>287</v>
      </c>
      <c r="G988" s="588">
        <v>0</v>
      </c>
      <c r="H988" s="588">
        <v>0</v>
      </c>
      <c r="I988" s="588">
        <v>0</v>
      </c>
      <c r="J988" s="588">
        <v>181</v>
      </c>
      <c r="K988" s="588">
        <v>0</v>
      </c>
      <c r="L988" s="588">
        <v>0</v>
      </c>
      <c r="M988" s="588">
        <v>0</v>
      </c>
      <c r="N988" s="588">
        <v>205</v>
      </c>
      <c r="O988" s="588">
        <v>6</v>
      </c>
      <c r="P988" s="588">
        <v>502</v>
      </c>
      <c r="Q988" s="588">
        <v>128</v>
      </c>
      <c r="R988" s="588">
        <v>1175</v>
      </c>
      <c r="S988" s="588">
        <v>134</v>
      </c>
      <c r="T988" s="588">
        <v>2016</v>
      </c>
      <c r="U988" s="588">
        <v>2014</v>
      </c>
      <c r="V988" s="589"/>
      <c r="W988" s="589"/>
      <c r="X988" s="589"/>
      <c r="Y988" s="589"/>
      <c r="Z988" s="589"/>
      <c r="AA988" s="589"/>
      <c r="AB988" s="589"/>
      <c r="AC988" s="589"/>
      <c r="AD988" s="589"/>
      <c r="AE988" s="589"/>
      <c r="AF988" s="589"/>
      <c r="AG988" s="589"/>
      <c r="AH988" s="589"/>
      <c r="AI988" s="589"/>
      <c r="AJ988" s="589"/>
      <c r="AK988" s="589"/>
      <c r="AL988" s="589"/>
      <c r="AM988" s="589"/>
      <c r="AN988" s="589"/>
      <c r="AO988" s="589"/>
      <c r="AP988" s="589"/>
      <c r="AQ988" s="589"/>
      <c r="AR988" s="589"/>
      <c r="AS988" s="589"/>
    </row>
    <row r="989" spans="1:45" ht="15">
      <c r="A989" s="590" t="s">
        <v>178</v>
      </c>
      <c r="B989" s="591" t="s">
        <v>582</v>
      </c>
      <c r="C989" s="591" t="s">
        <v>812</v>
      </c>
      <c r="D989" s="592">
        <v>2016</v>
      </c>
      <c r="E989" s="591" t="s">
        <v>775</v>
      </c>
      <c r="F989" s="592">
        <v>579</v>
      </c>
      <c r="G989" s="592">
        <v>0</v>
      </c>
      <c r="H989" s="592">
        <v>0</v>
      </c>
      <c r="I989" s="592">
        <v>0</v>
      </c>
      <c r="J989" s="592">
        <v>396</v>
      </c>
      <c r="K989" s="592">
        <v>0</v>
      </c>
      <c r="L989" s="592">
        <v>0</v>
      </c>
      <c r="M989" s="592">
        <v>0</v>
      </c>
      <c r="N989" s="593">
        <v>453</v>
      </c>
      <c r="O989" s="593">
        <v>2</v>
      </c>
      <c r="P989" s="593">
        <v>1001</v>
      </c>
      <c r="Q989" s="593">
        <v>42</v>
      </c>
      <c r="R989" s="593">
        <v>2429</v>
      </c>
      <c r="S989" s="593">
        <v>44</v>
      </c>
      <c r="T989" s="593">
        <v>2016</v>
      </c>
      <c r="U989" s="593">
        <v>2014</v>
      </c>
      <c r="V989" s="589"/>
      <c r="W989" s="589"/>
      <c r="X989" s="589"/>
      <c r="Y989" s="589"/>
      <c r="Z989" s="589"/>
      <c r="AA989" s="589"/>
      <c r="AB989" s="589"/>
      <c r="AC989" s="589"/>
      <c r="AD989" s="589"/>
      <c r="AE989" s="589"/>
      <c r="AF989" s="589"/>
      <c r="AG989" s="589"/>
      <c r="AH989" s="589"/>
      <c r="AI989" s="589"/>
      <c r="AJ989" s="589"/>
      <c r="AK989" s="589"/>
      <c r="AL989" s="589"/>
      <c r="AM989" s="589"/>
      <c r="AN989" s="589"/>
      <c r="AO989" s="589"/>
      <c r="AP989" s="589"/>
      <c r="AQ989" s="589"/>
      <c r="AR989" s="589"/>
      <c r="AS989" s="589"/>
    </row>
    <row r="990" spans="1:45" ht="15">
      <c r="A990" s="587" t="s">
        <v>153</v>
      </c>
      <c r="B990" s="587" t="s">
        <v>410</v>
      </c>
      <c r="C990" s="587" t="s">
        <v>812</v>
      </c>
      <c r="D990" s="588">
        <v>2016</v>
      </c>
      <c r="E990" s="587" t="s">
        <v>775</v>
      </c>
      <c r="F990" s="588">
        <v>372</v>
      </c>
      <c r="G990" s="588">
        <v>0</v>
      </c>
      <c r="H990" s="588">
        <v>0</v>
      </c>
      <c r="I990" s="588">
        <v>0</v>
      </c>
      <c r="J990" s="588">
        <v>223</v>
      </c>
      <c r="K990" s="588">
        <v>0</v>
      </c>
      <c r="L990" s="588">
        <v>0</v>
      </c>
      <c r="M990" s="588">
        <v>0</v>
      </c>
      <c r="N990" s="588">
        <v>238</v>
      </c>
      <c r="O990" s="588">
        <v>0</v>
      </c>
      <c r="P990" s="588">
        <v>564</v>
      </c>
      <c r="Q990" s="588">
        <v>21</v>
      </c>
      <c r="R990" s="588">
        <v>1397</v>
      </c>
      <c r="S990" s="588">
        <v>21</v>
      </c>
      <c r="T990" s="588">
        <v>2016</v>
      </c>
      <c r="U990" s="588">
        <v>2014</v>
      </c>
      <c r="V990" s="589"/>
      <c r="W990" s="589"/>
      <c r="X990" s="589"/>
      <c r="Y990" s="589"/>
      <c r="Z990" s="589"/>
      <c r="AA990" s="589"/>
      <c r="AB990" s="589"/>
      <c r="AC990" s="589"/>
      <c r="AD990" s="589"/>
      <c r="AE990" s="589"/>
      <c r="AF990" s="589"/>
      <c r="AG990" s="589"/>
      <c r="AH990" s="589"/>
      <c r="AI990" s="589"/>
      <c r="AJ990" s="589"/>
      <c r="AK990" s="589"/>
      <c r="AL990" s="589"/>
      <c r="AM990" s="589"/>
      <c r="AN990" s="589"/>
      <c r="AO990" s="589"/>
      <c r="AP990" s="589"/>
      <c r="AQ990" s="589"/>
      <c r="AR990" s="589"/>
      <c r="AS990" s="589"/>
    </row>
    <row r="991" spans="1:45" ht="15">
      <c r="A991" s="590" t="s">
        <v>184</v>
      </c>
      <c r="B991" s="591" t="s">
        <v>637</v>
      </c>
      <c r="C991" s="591" t="s">
        <v>774</v>
      </c>
      <c r="D991" s="592">
        <v>2016</v>
      </c>
      <c r="E991" s="591" t="s">
        <v>775</v>
      </c>
      <c r="F991" s="592">
        <v>706</v>
      </c>
      <c r="G991" s="592">
        <v>7</v>
      </c>
      <c r="H991" s="592">
        <v>7</v>
      </c>
      <c r="I991" s="592">
        <v>0</v>
      </c>
      <c r="J991" s="592">
        <v>429</v>
      </c>
      <c r="K991" s="592">
        <v>16</v>
      </c>
      <c r="L991" s="592">
        <v>0</v>
      </c>
      <c r="M991" s="592">
        <v>16</v>
      </c>
      <c r="N991" s="593">
        <v>502</v>
      </c>
      <c r="O991" s="593">
        <v>0</v>
      </c>
      <c r="P991" s="593">
        <v>1152</v>
      </c>
      <c r="Q991" s="593">
        <v>240</v>
      </c>
      <c r="R991" s="593">
        <v>2789</v>
      </c>
      <c r="S991" s="593">
        <v>263</v>
      </c>
      <c r="T991" s="593">
        <v>2016</v>
      </c>
      <c r="U991" s="593">
        <v>2015</v>
      </c>
      <c r="V991" s="589"/>
      <c r="W991" s="589"/>
      <c r="X991" s="589"/>
      <c r="Y991" s="589"/>
      <c r="Z991" s="589"/>
      <c r="AA991" s="589"/>
      <c r="AB991" s="589"/>
      <c r="AC991" s="589"/>
      <c r="AD991" s="589"/>
      <c r="AE991" s="589"/>
      <c r="AF991" s="589"/>
      <c r="AG991" s="589"/>
      <c r="AH991" s="589"/>
      <c r="AI991" s="589"/>
      <c r="AJ991" s="589"/>
      <c r="AK991" s="589"/>
      <c r="AL991" s="589"/>
      <c r="AM991" s="589"/>
      <c r="AN991" s="589"/>
      <c r="AO991" s="589"/>
      <c r="AP991" s="589"/>
      <c r="AQ991" s="589"/>
      <c r="AR991" s="589"/>
      <c r="AS991" s="589"/>
    </row>
    <row r="992" spans="1:45" ht="15">
      <c r="A992" s="587" t="s">
        <v>141</v>
      </c>
      <c r="B992" s="587" t="s">
        <v>301</v>
      </c>
      <c r="C992" s="587" t="s">
        <v>177</v>
      </c>
      <c r="D992" s="588">
        <v>2016</v>
      </c>
      <c r="E992" s="587" t="s">
        <v>775</v>
      </c>
      <c r="F992" s="588">
        <v>393</v>
      </c>
      <c r="G992" s="588">
        <v>0</v>
      </c>
      <c r="H992" s="588">
        <v>0</v>
      </c>
      <c r="I992" s="588">
        <v>0</v>
      </c>
      <c r="J992" s="588">
        <v>204</v>
      </c>
      <c r="K992" s="588">
        <v>0</v>
      </c>
      <c r="L992" s="588">
        <v>0</v>
      </c>
      <c r="M992" s="588">
        <v>0</v>
      </c>
      <c r="N992" s="588">
        <v>161</v>
      </c>
      <c r="O992" s="588">
        <v>9</v>
      </c>
      <c r="P992" s="588">
        <v>553</v>
      </c>
      <c r="Q992" s="588">
        <v>0</v>
      </c>
      <c r="R992" s="588">
        <v>1311</v>
      </c>
      <c r="S992" s="588">
        <v>9</v>
      </c>
      <c r="T992" s="588">
        <v>2016</v>
      </c>
      <c r="U992" s="588">
        <v>2016</v>
      </c>
      <c r="V992" s="589"/>
      <c r="W992" s="589"/>
      <c r="X992" s="589"/>
      <c r="Y992" s="589"/>
      <c r="Z992" s="589"/>
      <c r="AA992" s="589"/>
      <c r="AB992" s="589"/>
      <c r="AC992" s="589"/>
      <c r="AD992" s="589"/>
      <c r="AE992" s="589"/>
      <c r="AF992" s="589"/>
      <c r="AG992" s="589"/>
      <c r="AH992" s="589"/>
      <c r="AI992" s="589"/>
      <c r="AJ992" s="589"/>
      <c r="AK992" s="589"/>
      <c r="AL992" s="589"/>
      <c r="AM992" s="589"/>
      <c r="AN992" s="589"/>
      <c r="AO992" s="589"/>
      <c r="AP992" s="589"/>
      <c r="AQ992" s="589"/>
      <c r="AR992" s="589"/>
      <c r="AS992" s="589"/>
    </row>
    <row r="993" spans="1:45" ht="15">
      <c r="A993" s="590" t="s">
        <v>178</v>
      </c>
      <c r="B993" s="591" t="s">
        <v>583</v>
      </c>
      <c r="C993" s="591" t="s">
        <v>812</v>
      </c>
      <c r="D993" s="592">
        <v>2016</v>
      </c>
      <c r="E993" s="591" t="s">
        <v>775</v>
      </c>
      <c r="F993" s="592">
        <v>636</v>
      </c>
      <c r="G993" s="592">
        <v>0</v>
      </c>
      <c r="H993" s="592">
        <v>0</v>
      </c>
      <c r="I993" s="592">
        <v>0</v>
      </c>
      <c r="J993" s="592">
        <v>432</v>
      </c>
      <c r="K993" s="592">
        <v>0</v>
      </c>
      <c r="L993" s="592">
        <v>0</v>
      </c>
      <c r="M993" s="592">
        <v>0</v>
      </c>
      <c r="N993" s="593">
        <v>496</v>
      </c>
      <c r="O993" s="593">
        <v>0</v>
      </c>
      <c r="P993" s="593">
        <v>1151</v>
      </c>
      <c r="Q993" s="593">
        <v>5</v>
      </c>
      <c r="R993" s="593">
        <v>2715</v>
      </c>
      <c r="S993" s="593">
        <v>5</v>
      </c>
      <c r="T993" s="593">
        <v>2016</v>
      </c>
      <c r="U993" s="593">
        <v>2014</v>
      </c>
      <c r="V993" s="589"/>
      <c r="W993" s="589"/>
      <c r="X993" s="589"/>
      <c r="Y993" s="589"/>
      <c r="Z993" s="589"/>
      <c r="AA993" s="589"/>
      <c r="AB993" s="589"/>
      <c r="AC993" s="589"/>
      <c r="AD993" s="589"/>
      <c r="AE993" s="589"/>
      <c r="AF993" s="589"/>
      <c r="AG993" s="589"/>
      <c r="AH993" s="589"/>
      <c r="AI993" s="589"/>
      <c r="AJ993" s="589"/>
      <c r="AK993" s="589"/>
      <c r="AL993" s="589"/>
      <c r="AM993" s="589"/>
      <c r="AN993" s="589"/>
      <c r="AO993" s="589"/>
      <c r="AP993" s="589"/>
      <c r="AQ993" s="589"/>
      <c r="AR993" s="589"/>
      <c r="AS993" s="589"/>
    </row>
    <row r="994" spans="1:45" ht="15">
      <c r="A994" s="587" t="s">
        <v>136</v>
      </c>
      <c r="B994" s="587" t="s">
        <v>281</v>
      </c>
      <c r="C994" s="587" t="s">
        <v>774</v>
      </c>
      <c r="D994" s="588">
        <v>2016</v>
      </c>
      <c r="E994" s="587" t="s">
        <v>775</v>
      </c>
      <c r="F994" s="588">
        <v>438</v>
      </c>
      <c r="G994" s="588">
        <v>0</v>
      </c>
      <c r="H994" s="588">
        <v>0</v>
      </c>
      <c r="I994" s="588">
        <v>0</v>
      </c>
      <c r="J994" s="588">
        <v>305</v>
      </c>
      <c r="K994" s="588">
        <v>0</v>
      </c>
      <c r="L994" s="588">
        <v>0</v>
      </c>
      <c r="M994" s="588">
        <v>0</v>
      </c>
      <c r="N994" s="588">
        <v>410</v>
      </c>
      <c r="O994" s="588">
        <v>0</v>
      </c>
      <c r="P994" s="588">
        <v>1282</v>
      </c>
      <c r="Q994" s="588">
        <v>56</v>
      </c>
      <c r="R994" s="588">
        <v>2435</v>
      </c>
      <c r="S994" s="588">
        <v>56</v>
      </c>
      <c r="T994" s="588">
        <v>2016</v>
      </c>
      <c r="U994" s="588">
        <v>2015</v>
      </c>
      <c r="V994" s="589"/>
      <c r="W994" s="589"/>
      <c r="X994" s="589"/>
      <c r="Y994" s="589"/>
      <c r="Z994" s="589"/>
      <c r="AA994" s="589"/>
      <c r="AB994" s="589"/>
      <c r="AC994" s="589"/>
      <c r="AD994" s="589"/>
      <c r="AE994" s="589"/>
      <c r="AF994" s="589"/>
      <c r="AG994" s="589"/>
      <c r="AH994" s="589"/>
      <c r="AI994" s="589"/>
      <c r="AJ994" s="589"/>
      <c r="AK994" s="589"/>
      <c r="AL994" s="589"/>
      <c r="AM994" s="589"/>
      <c r="AN994" s="589"/>
      <c r="AO994" s="589"/>
      <c r="AP994" s="589"/>
      <c r="AQ994" s="589"/>
      <c r="AR994" s="589"/>
      <c r="AS994" s="589"/>
    </row>
    <row r="995" spans="1:45" ht="15">
      <c r="A995" s="590" t="s">
        <v>192</v>
      </c>
      <c r="B995" s="591" t="s">
        <v>689</v>
      </c>
      <c r="C995" s="591" t="s">
        <v>774</v>
      </c>
      <c r="D995" s="592">
        <v>2016</v>
      </c>
      <c r="E995" s="591" t="s">
        <v>775</v>
      </c>
      <c r="F995" s="592">
        <v>45</v>
      </c>
      <c r="G995" s="592">
        <v>0</v>
      </c>
      <c r="H995" s="592">
        <v>0</v>
      </c>
      <c r="I995" s="592">
        <v>0</v>
      </c>
      <c r="J995" s="592">
        <v>36</v>
      </c>
      <c r="K995" s="592">
        <v>0</v>
      </c>
      <c r="L995" s="592">
        <v>0</v>
      </c>
      <c r="M995" s="592">
        <v>0</v>
      </c>
      <c r="N995" s="593">
        <v>48</v>
      </c>
      <c r="O995" s="593">
        <v>12</v>
      </c>
      <c r="P995" s="593">
        <v>170</v>
      </c>
      <c r="Q995" s="593">
        <v>156</v>
      </c>
      <c r="R995" s="593">
        <v>299</v>
      </c>
      <c r="S995" s="593">
        <v>168</v>
      </c>
      <c r="T995" s="593">
        <v>2016</v>
      </c>
      <c r="U995" s="593">
        <v>2015</v>
      </c>
      <c r="V995" s="589"/>
      <c r="W995" s="589"/>
      <c r="X995" s="589"/>
      <c r="Y995" s="589"/>
      <c r="Z995" s="589"/>
      <c r="AA995" s="589"/>
      <c r="AB995" s="589"/>
      <c r="AC995" s="589"/>
      <c r="AD995" s="589"/>
      <c r="AE995" s="589"/>
      <c r="AF995" s="589"/>
      <c r="AG995" s="589"/>
      <c r="AH995" s="589"/>
      <c r="AI995" s="589"/>
      <c r="AJ995" s="589"/>
      <c r="AK995" s="589"/>
      <c r="AL995" s="589"/>
      <c r="AM995" s="589"/>
      <c r="AN995" s="589"/>
      <c r="AO995" s="589"/>
      <c r="AP995" s="589"/>
      <c r="AQ995" s="589"/>
      <c r="AR995" s="589"/>
      <c r="AS995" s="589"/>
    </row>
    <row r="996" spans="1:45" ht="15">
      <c r="A996" s="587" t="s">
        <v>195</v>
      </c>
      <c r="B996" s="587" t="s">
        <v>709</v>
      </c>
      <c r="C996" s="587" t="s">
        <v>177</v>
      </c>
      <c r="D996" s="588">
        <v>2016</v>
      </c>
      <c r="E996" s="587" t="s">
        <v>775</v>
      </c>
      <c r="F996" s="588">
        <v>321</v>
      </c>
      <c r="G996" s="588">
        <v>33</v>
      </c>
      <c r="H996" s="588">
        <v>33</v>
      </c>
      <c r="I996" s="588">
        <v>0</v>
      </c>
      <c r="J996" s="588">
        <v>206</v>
      </c>
      <c r="K996" s="588">
        <v>38</v>
      </c>
      <c r="L996" s="588">
        <v>38</v>
      </c>
      <c r="M996" s="588">
        <v>0</v>
      </c>
      <c r="N996" s="588">
        <v>217</v>
      </c>
      <c r="O996" s="588">
        <v>0</v>
      </c>
      <c r="P996" s="588">
        <v>536</v>
      </c>
      <c r="Q996" s="588">
        <v>0</v>
      </c>
      <c r="R996" s="588">
        <v>1280</v>
      </c>
      <c r="S996" s="588">
        <v>71</v>
      </c>
      <c r="T996" s="588">
        <v>2016</v>
      </c>
      <c r="U996" s="588">
        <v>2016</v>
      </c>
      <c r="V996" s="589"/>
      <c r="W996" s="589"/>
      <c r="X996" s="589"/>
      <c r="Y996" s="589"/>
      <c r="Z996" s="589"/>
      <c r="AA996" s="589"/>
      <c r="AB996" s="589"/>
      <c r="AC996" s="589"/>
      <c r="AD996" s="589"/>
      <c r="AE996" s="589"/>
      <c r="AF996" s="589"/>
      <c r="AG996" s="589"/>
      <c r="AH996" s="589"/>
      <c r="AI996" s="589"/>
      <c r="AJ996" s="589"/>
      <c r="AK996" s="589"/>
      <c r="AL996" s="589"/>
      <c r="AM996" s="589"/>
      <c r="AN996" s="589"/>
      <c r="AO996" s="589"/>
      <c r="AP996" s="589"/>
      <c r="AQ996" s="589"/>
      <c r="AR996" s="589"/>
      <c r="AS996" s="589"/>
    </row>
    <row r="997" spans="1:45" ht="15">
      <c r="A997" s="590" t="s">
        <v>173</v>
      </c>
      <c r="B997" s="591" t="s">
        <v>552</v>
      </c>
      <c r="C997" s="591" t="s">
        <v>812</v>
      </c>
      <c r="D997" s="592">
        <v>2016</v>
      </c>
      <c r="E997" s="591" t="s">
        <v>775</v>
      </c>
      <c r="F997" s="592">
        <v>7173</v>
      </c>
      <c r="G997" s="592">
        <v>23</v>
      </c>
      <c r="H997" s="592">
        <v>23</v>
      </c>
      <c r="I997" s="592">
        <v>0</v>
      </c>
      <c r="J997" s="592">
        <v>4871</v>
      </c>
      <c r="K997" s="592">
        <v>2</v>
      </c>
      <c r="L997" s="592">
        <v>2</v>
      </c>
      <c r="M997" s="592">
        <v>0</v>
      </c>
      <c r="N997" s="593">
        <v>5534</v>
      </c>
      <c r="O997" s="593">
        <v>0</v>
      </c>
      <c r="P997" s="593">
        <v>12725</v>
      </c>
      <c r="Q997" s="593">
        <v>394</v>
      </c>
      <c r="R997" s="593">
        <v>30303</v>
      </c>
      <c r="S997" s="593">
        <v>419</v>
      </c>
      <c r="T997" s="593">
        <v>2016</v>
      </c>
      <c r="U997" s="593">
        <v>2014</v>
      </c>
      <c r="V997" s="589"/>
      <c r="W997" s="589"/>
      <c r="X997" s="589"/>
      <c r="Y997" s="589"/>
      <c r="Z997" s="589"/>
      <c r="AA997" s="589"/>
      <c r="AB997" s="589"/>
      <c r="AC997" s="589"/>
      <c r="AD997" s="589"/>
      <c r="AE997" s="589"/>
      <c r="AF997" s="589"/>
      <c r="AG997" s="589"/>
      <c r="AH997" s="589"/>
      <c r="AI997" s="589"/>
      <c r="AJ997" s="589"/>
      <c r="AK997" s="589"/>
      <c r="AL997" s="589"/>
      <c r="AM997" s="589"/>
      <c r="AN997" s="589"/>
      <c r="AO997" s="589"/>
      <c r="AP997" s="589"/>
      <c r="AQ997" s="589"/>
      <c r="AR997" s="589"/>
      <c r="AS997" s="589"/>
    </row>
    <row r="998" spans="1:45" ht="15">
      <c r="A998" s="587" t="s">
        <v>170</v>
      </c>
      <c r="B998" s="587" t="s">
        <v>524</v>
      </c>
      <c r="C998" s="587" t="s">
        <v>799</v>
      </c>
      <c r="D998" s="588">
        <v>2016</v>
      </c>
      <c r="E998" s="587" t="s">
        <v>775</v>
      </c>
      <c r="F998" s="588">
        <v>1040</v>
      </c>
      <c r="G998" s="588">
        <v>0</v>
      </c>
      <c r="H998" s="588">
        <v>0</v>
      </c>
      <c r="I998" s="588">
        <v>0</v>
      </c>
      <c r="J998" s="588">
        <v>729</v>
      </c>
      <c r="K998" s="588">
        <v>0</v>
      </c>
      <c r="L998" s="588">
        <v>0</v>
      </c>
      <c r="M998" s="588">
        <v>0</v>
      </c>
      <c r="N998" s="588">
        <v>709</v>
      </c>
      <c r="O998" s="588">
        <v>184</v>
      </c>
      <c r="P998" s="588">
        <v>1335</v>
      </c>
      <c r="Q998" s="588">
        <v>352</v>
      </c>
      <c r="R998" s="588">
        <v>3813</v>
      </c>
      <c r="S998" s="588">
        <v>536</v>
      </c>
      <c r="T998" s="588">
        <v>2016</v>
      </c>
      <c r="U998" s="588">
        <v>2014</v>
      </c>
      <c r="V998" s="589"/>
      <c r="W998" s="589"/>
      <c r="X998" s="589"/>
      <c r="Y998" s="589"/>
      <c r="Z998" s="589"/>
      <c r="AA998" s="589"/>
      <c r="AB998" s="589"/>
      <c r="AC998" s="589"/>
      <c r="AD998" s="589"/>
      <c r="AE998" s="589"/>
      <c r="AF998" s="589"/>
      <c r="AG998" s="589"/>
      <c r="AH998" s="589"/>
      <c r="AI998" s="589"/>
      <c r="AJ998" s="589"/>
      <c r="AK998" s="589"/>
      <c r="AL998" s="589"/>
      <c r="AM998" s="589"/>
      <c r="AN998" s="589"/>
      <c r="AO998" s="589"/>
      <c r="AP998" s="589"/>
      <c r="AQ998" s="589"/>
      <c r="AR998" s="589"/>
      <c r="AS998" s="589"/>
    </row>
    <row r="999" spans="1:45" ht="15">
      <c r="A999" s="590" t="s">
        <v>193</v>
      </c>
      <c r="B999" s="591" t="s">
        <v>698</v>
      </c>
      <c r="C999" s="591" t="s">
        <v>774</v>
      </c>
      <c r="D999" s="592">
        <v>2016</v>
      </c>
      <c r="E999" s="591" t="s">
        <v>775</v>
      </c>
      <c r="F999" s="592">
        <v>181</v>
      </c>
      <c r="G999" s="592">
        <v>0</v>
      </c>
      <c r="H999" s="592">
        <v>0</v>
      </c>
      <c r="I999" s="592">
        <v>0</v>
      </c>
      <c r="J999" s="592">
        <v>107</v>
      </c>
      <c r="K999" s="592">
        <v>0</v>
      </c>
      <c r="L999" s="592">
        <v>0</v>
      </c>
      <c r="M999" s="592">
        <v>0</v>
      </c>
      <c r="N999" s="593">
        <v>127</v>
      </c>
      <c r="O999" s="593">
        <v>1</v>
      </c>
      <c r="P999" s="593">
        <v>484</v>
      </c>
      <c r="Q999" s="593">
        <v>161</v>
      </c>
      <c r="R999" s="593">
        <v>899</v>
      </c>
      <c r="S999" s="593">
        <v>162</v>
      </c>
      <c r="T999" s="593">
        <v>2016</v>
      </c>
      <c r="U999" s="593">
        <v>2015</v>
      </c>
      <c r="V999" s="589"/>
      <c r="W999" s="589"/>
      <c r="X999" s="589"/>
      <c r="Y999" s="589"/>
      <c r="Z999" s="589"/>
      <c r="AA999" s="589"/>
      <c r="AB999" s="589"/>
      <c r="AC999" s="589"/>
      <c r="AD999" s="589"/>
      <c r="AE999" s="589"/>
      <c r="AF999" s="589"/>
      <c r="AG999" s="589"/>
      <c r="AH999" s="589"/>
      <c r="AI999" s="589"/>
      <c r="AJ999" s="589"/>
      <c r="AK999" s="589"/>
      <c r="AL999" s="589"/>
      <c r="AM999" s="589"/>
      <c r="AN999" s="589"/>
      <c r="AO999" s="589"/>
      <c r="AP999" s="589"/>
      <c r="AQ999" s="589"/>
      <c r="AR999" s="589"/>
      <c r="AS999" s="589"/>
    </row>
    <row r="1000" spans="1:45" ht="15">
      <c r="A1000" s="587" t="s">
        <v>153</v>
      </c>
      <c r="B1000" s="587" t="s">
        <v>413</v>
      </c>
      <c r="C1000" s="587" t="s">
        <v>812</v>
      </c>
      <c r="D1000" s="588">
        <v>2016</v>
      </c>
      <c r="E1000" s="587" t="s">
        <v>775</v>
      </c>
      <c r="F1000" s="588">
        <v>153</v>
      </c>
      <c r="G1000" s="588">
        <v>0</v>
      </c>
      <c r="H1000" s="588">
        <v>0</v>
      </c>
      <c r="I1000" s="588">
        <v>0</v>
      </c>
      <c r="J1000" s="588">
        <v>88</v>
      </c>
      <c r="K1000" s="588">
        <v>0</v>
      </c>
      <c r="L1000" s="588">
        <v>0</v>
      </c>
      <c r="M1000" s="588">
        <v>0</v>
      </c>
      <c r="N1000" s="588">
        <v>99</v>
      </c>
      <c r="O1000" s="588">
        <v>0</v>
      </c>
      <c r="P1000" s="588">
        <v>262</v>
      </c>
      <c r="Q1000" s="588">
        <v>0</v>
      </c>
      <c r="R1000" s="588">
        <v>602</v>
      </c>
      <c r="S1000" s="588">
        <v>0</v>
      </c>
      <c r="T1000" s="588">
        <v>2016</v>
      </c>
      <c r="U1000" s="588">
        <v>2014</v>
      </c>
      <c r="V1000" s="589"/>
      <c r="W1000" s="589"/>
      <c r="X1000" s="589"/>
      <c r="Y1000" s="589"/>
      <c r="Z1000" s="589"/>
      <c r="AA1000" s="589"/>
      <c r="AB1000" s="589"/>
      <c r="AC1000" s="589"/>
      <c r="AD1000" s="589"/>
      <c r="AE1000" s="589"/>
      <c r="AF1000" s="589"/>
      <c r="AG1000" s="589"/>
      <c r="AH1000" s="589"/>
      <c r="AI1000" s="589"/>
      <c r="AJ1000" s="589"/>
      <c r="AK1000" s="589"/>
      <c r="AL1000" s="589"/>
      <c r="AM1000" s="589"/>
      <c r="AN1000" s="589"/>
      <c r="AO1000" s="589"/>
      <c r="AP1000" s="589"/>
      <c r="AQ1000" s="589"/>
      <c r="AR1000" s="589"/>
      <c r="AS1000" s="589"/>
    </row>
    <row r="1001" spans="1:45" ht="15">
      <c r="A1001" s="590" t="s">
        <v>170</v>
      </c>
      <c r="B1001" s="591" t="s">
        <v>525</v>
      </c>
      <c r="C1001" s="591" t="s">
        <v>799</v>
      </c>
      <c r="D1001" s="592">
        <v>2016</v>
      </c>
      <c r="E1001" s="591" t="s">
        <v>775</v>
      </c>
      <c r="F1001" s="592">
        <v>2268</v>
      </c>
      <c r="G1001" s="592">
        <v>42</v>
      </c>
      <c r="H1001" s="592">
        <v>42</v>
      </c>
      <c r="I1001" s="592">
        <v>0</v>
      </c>
      <c r="J1001" s="592">
        <v>1590</v>
      </c>
      <c r="K1001" s="592">
        <v>15</v>
      </c>
      <c r="L1001" s="592">
        <v>15</v>
      </c>
      <c r="M1001" s="592">
        <v>0</v>
      </c>
      <c r="N1001" s="593">
        <v>1577</v>
      </c>
      <c r="O1001" s="593">
        <v>216</v>
      </c>
      <c r="P1001" s="593">
        <v>3043</v>
      </c>
      <c r="Q1001" s="593">
        <v>584</v>
      </c>
      <c r="R1001" s="593">
        <v>8478</v>
      </c>
      <c r="S1001" s="593">
        <v>857</v>
      </c>
      <c r="T1001" s="593">
        <v>2016</v>
      </c>
      <c r="U1001" s="593">
        <v>2014</v>
      </c>
      <c r="V1001" s="589"/>
      <c r="W1001" s="589"/>
      <c r="X1001" s="589"/>
      <c r="Y1001" s="589"/>
      <c r="Z1001" s="589"/>
      <c r="AA1001" s="589"/>
      <c r="AB1001" s="589"/>
      <c r="AC1001" s="589"/>
      <c r="AD1001" s="589"/>
      <c r="AE1001" s="589"/>
      <c r="AF1001" s="589"/>
      <c r="AG1001" s="589"/>
      <c r="AH1001" s="589"/>
      <c r="AI1001" s="589"/>
      <c r="AJ1001" s="589"/>
      <c r="AK1001" s="589"/>
      <c r="AL1001" s="589"/>
      <c r="AM1001" s="589"/>
      <c r="AN1001" s="589"/>
      <c r="AO1001" s="589"/>
      <c r="AP1001" s="589"/>
      <c r="AQ1001" s="589"/>
      <c r="AR1001" s="589"/>
      <c r="AS1001" s="589"/>
    </row>
    <row r="1002" spans="1:45" ht="15">
      <c r="A1002" s="587" t="s">
        <v>157</v>
      </c>
      <c r="B1002" s="587" t="s">
        <v>443</v>
      </c>
      <c r="C1002" s="587" t="s">
        <v>774</v>
      </c>
      <c r="D1002" s="588">
        <v>2016</v>
      </c>
      <c r="E1002" s="587" t="s">
        <v>775</v>
      </c>
      <c r="F1002" s="588">
        <v>6</v>
      </c>
      <c r="G1002" s="588">
        <v>1</v>
      </c>
      <c r="H1002" s="588">
        <v>1</v>
      </c>
      <c r="I1002" s="588">
        <v>0</v>
      </c>
      <c r="J1002" s="588">
        <v>4</v>
      </c>
      <c r="K1002" s="588">
        <v>0</v>
      </c>
      <c r="L1002" s="588">
        <v>0</v>
      </c>
      <c r="M1002" s="588">
        <v>0</v>
      </c>
      <c r="N1002" s="588">
        <v>4</v>
      </c>
      <c r="O1002" s="588">
        <v>0</v>
      </c>
      <c r="P1002" s="588">
        <v>4</v>
      </c>
      <c r="Q1002" s="588">
        <v>1</v>
      </c>
      <c r="R1002" s="588">
        <v>18</v>
      </c>
      <c r="S1002" s="588">
        <v>2</v>
      </c>
      <c r="T1002" s="588">
        <v>2016</v>
      </c>
      <c r="U1002" s="588">
        <v>2015</v>
      </c>
      <c r="V1002" s="589"/>
      <c r="W1002" s="589"/>
      <c r="X1002" s="589"/>
      <c r="Y1002" s="589"/>
      <c r="Z1002" s="589"/>
      <c r="AA1002" s="589"/>
      <c r="AB1002" s="589"/>
      <c r="AC1002" s="589"/>
      <c r="AD1002" s="589"/>
      <c r="AE1002" s="589"/>
      <c r="AF1002" s="589"/>
      <c r="AG1002" s="589"/>
      <c r="AH1002" s="589"/>
      <c r="AI1002" s="589"/>
      <c r="AJ1002" s="589"/>
      <c r="AK1002" s="589"/>
      <c r="AL1002" s="589"/>
      <c r="AM1002" s="589"/>
      <c r="AN1002" s="589"/>
      <c r="AO1002" s="589"/>
      <c r="AP1002" s="589"/>
      <c r="AQ1002" s="589"/>
      <c r="AR1002" s="589"/>
      <c r="AS1002" s="589"/>
    </row>
    <row r="1003" spans="1:45" ht="15">
      <c r="A1003" s="590" t="s">
        <v>174</v>
      </c>
      <c r="B1003" s="591" t="s">
        <v>174</v>
      </c>
      <c r="C1003" s="591" t="s">
        <v>799</v>
      </c>
      <c r="D1003" s="592">
        <v>2016</v>
      </c>
      <c r="E1003" s="591" t="s">
        <v>775</v>
      </c>
      <c r="F1003" s="592">
        <v>4944</v>
      </c>
      <c r="G1003" s="592">
        <v>0</v>
      </c>
      <c r="H1003" s="592">
        <v>0</v>
      </c>
      <c r="I1003" s="592">
        <v>0</v>
      </c>
      <c r="J1003" s="592">
        <v>3467</v>
      </c>
      <c r="K1003" s="592">
        <v>27</v>
      </c>
      <c r="L1003" s="592">
        <v>27</v>
      </c>
      <c r="M1003" s="592">
        <v>0</v>
      </c>
      <c r="N1003" s="593">
        <v>4482</v>
      </c>
      <c r="O1003" s="593">
        <v>820</v>
      </c>
      <c r="P1003" s="593">
        <v>11208</v>
      </c>
      <c r="Q1003" s="593">
        <v>730</v>
      </c>
      <c r="R1003" s="593">
        <v>24101</v>
      </c>
      <c r="S1003" s="593">
        <v>1577</v>
      </c>
      <c r="T1003" s="593">
        <v>2016</v>
      </c>
      <c r="U1003" s="593">
        <v>2014</v>
      </c>
      <c r="V1003" s="589"/>
      <c r="W1003" s="589"/>
      <c r="X1003" s="589"/>
      <c r="Y1003" s="589"/>
      <c r="Z1003" s="589"/>
      <c r="AA1003" s="589"/>
      <c r="AB1003" s="589"/>
      <c r="AC1003" s="589"/>
      <c r="AD1003" s="589"/>
      <c r="AE1003" s="589"/>
      <c r="AF1003" s="589"/>
      <c r="AG1003" s="589"/>
      <c r="AH1003" s="589"/>
      <c r="AI1003" s="589"/>
      <c r="AJ1003" s="589"/>
      <c r="AK1003" s="589"/>
      <c r="AL1003" s="589"/>
      <c r="AM1003" s="589"/>
      <c r="AN1003" s="589"/>
      <c r="AO1003" s="589"/>
      <c r="AP1003" s="589"/>
      <c r="AQ1003" s="589"/>
      <c r="AR1003" s="589"/>
      <c r="AS1003" s="589"/>
    </row>
    <row r="1004" spans="1:45" ht="15">
      <c r="A1004" s="587" t="s">
        <v>174</v>
      </c>
      <c r="B1004" s="587" t="s">
        <v>562</v>
      </c>
      <c r="C1004" s="587" t="s">
        <v>799</v>
      </c>
      <c r="D1004" s="588">
        <v>2016</v>
      </c>
      <c r="E1004" s="587" t="s">
        <v>775</v>
      </c>
      <c r="F1004" s="588">
        <v>3149</v>
      </c>
      <c r="G1004" s="588">
        <v>46</v>
      </c>
      <c r="H1004" s="588">
        <v>46</v>
      </c>
      <c r="I1004" s="588">
        <v>0</v>
      </c>
      <c r="J1004" s="588">
        <v>2208</v>
      </c>
      <c r="K1004" s="588">
        <v>0</v>
      </c>
      <c r="L1004" s="588">
        <v>0</v>
      </c>
      <c r="M1004" s="588">
        <v>0</v>
      </c>
      <c r="N1004" s="588">
        <v>2574</v>
      </c>
      <c r="O1004" s="588">
        <v>274</v>
      </c>
      <c r="P1004" s="588">
        <v>5913</v>
      </c>
      <c r="Q1004" s="588">
        <v>353</v>
      </c>
      <c r="R1004" s="588">
        <v>13844</v>
      </c>
      <c r="S1004" s="588">
        <v>673</v>
      </c>
      <c r="T1004" s="588">
        <v>2016</v>
      </c>
      <c r="U1004" s="588">
        <v>2014</v>
      </c>
      <c r="V1004" s="589"/>
      <c r="W1004" s="589"/>
      <c r="X1004" s="589"/>
      <c r="Y1004" s="589"/>
      <c r="Z1004" s="589"/>
      <c r="AA1004" s="589"/>
      <c r="AB1004" s="589"/>
      <c r="AC1004" s="589"/>
      <c r="AD1004" s="589"/>
      <c r="AE1004" s="589"/>
      <c r="AF1004" s="589"/>
      <c r="AG1004" s="589"/>
      <c r="AH1004" s="589"/>
      <c r="AI1004" s="589"/>
      <c r="AJ1004" s="589"/>
      <c r="AK1004" s="589"/>
      <c r="AL1004" s="589"/>
      <c r="AM1004" s="589"/>
      <c r="AN1004" s="589"/>
      <c r="AO1004" s="589"/>
      <c r="AP1004" s="589"/>
      <c r="AQ1004" s="589"/>
      <c r="AR1004" s="589"/>
      <c r="AS1004" s="589"/>
    </row>
    <row r="1005" spans="1:45" ht="15">
      <c r="A1005" s="590" t="s">
        <v>166</v>
      </c>
      <c r="B1005" s="591" t="s">
        <v>479</v>
      </c>
      <c r="C1005" s="591" t="s">
        <v>774</v>
      </c>
      <c r="D1005" s="592">
        <v>2016</v>
      </c>
      <c r="E1005" s="591" t="s">
        <v>775</v>
      </c>
      <c r="F1005" s="592">
        <v>8</v>
      </c>
      <c r="G1005" s="592">
        <v>5</v>
      </c>
      <c r="H1005" s="592">
        <v>5</v>
      </c>
      <c r="I1005" s="592">
        <v>0</v>
      </c>
      <c r="J1005" s="592">
        <v>5</v>
      </c>
      <c r="K1005" s="592">
        <v>3</v>
      </c>
      <c r="L1005" s="592">
        <v>3</v>
      </c>
      <c r="M1005" s="592">
        <v>0</v>
      </c>
      <c r="N1005" s="593">
        <v>5</v>
      </c>
      <c r="O1005" s="593">
        <v>0</v>
      </c>
      <c r="P1005" s="593">
        <v>13</v>
      </c>
      <c r="Q1005" s="593">
        <v>6</v>
      </c>
      <c r="R1005" s="593">
        <v>31</v>
      </c>
      <c r="S1005" s="593">
        <v>14</v>
      </c>
      <c r="T1005" s="593">
        <v>2016</v>
      </c>
      <c r="U1005" s="593">
        <v>2015</v>
      </c>
      <c r="V1005" s="589"/>
      <c r="W1005" s="589"/>
      <c r="X1005" s="589"/>
      <c r="Y1005" s="589"/>
      <c r="Z1005" s="589"/>
      <c r="AA1005" s="589"/>
      <c r="AB1005" s="589"/>
      <c r="AC1005" s="589"/>
      <c r="AD1005" s="589"/>
      <c r="AE1005" s="589"/>
      <c r="AF1005" s="589"/>
      <c r="AG1005" s="589"/>
      <c r="AH1005" s="589"/>
      <c r="AI1005" s="589"/>
      <c r="AJ1005" s="589"/>
      <c r="AK1005" s="589"/>
      <c r="AL1005" s="589"/>
      <c r="AM1005" s="589"/>
      <c r="AN1005" s="589"/>
      <c r="AO1005" s="589"/>
      <c r="AP1005" s="589"/>
      <c r="AQ1005" s="589"/>
      <c r="AR1005" s="589"/>
      <c r="AS1005" s="589"/>
    </row>
    <row r="1006" spans="1:45" ht="15">
      <c r="A1006" s="587" t="s">
        <v>164</v>
      </c>
      <c r="B1006" s="587" t="s">
        <v>472</v>
      </c>
      <c r="C1006" s="587" t="s">
        <v>177</v>
      </c>
      <c r="D1006" s="588">
        <v>2016</v>
      </c>
      <c r="E1006" s="587" t="s">
        <v>775</v>
      </c>
      <c r="F1006" s="588">
        <v>537</v>
      </c>
      <c r="G1006" s="588">
        <v>24</v>
      </c>
      <c r="H1006" s="588">
        <v>24</v>
      </c>
      <c r="I1006" s="588">
        <v>0</v>
      </c>
      <c r="J1006" s="588">
        <v>351</v>
      </c>
      <c r="K1006" s="588">
        <v>16</v>
      </c>
      <c r="L1006" s="588">
        <v>16</v>
      </c>
      <c r="M1006" s="588">
        <v>0</v>
      </c>
      <c r="N1006" s="588">
        <v>407</v>
      </c>
      <c r="O1006" s="588">
        <v>1</v>
      </c>
      <c r="P1006" s="588">
        <v>934</v>
      </c>
      <c r="Q1006" s="588">
        <v>52</v>
      </c>
      <c r="R1006" s="588">
        <v>2229</v>
      </c>
      <c r="S1006" s="588">
        <v>93</v>
      </c>
      <c r="T1006" s="588">
        <v>2016</v>
      </c>
      <c r="U1006" s="588">
        <v>2016</v>
      </c>
      <c r="V1006" s="589"/>
      <c r="W1006" s="589"/>
      <c r="X1006" s="589"/>
      <c r="Y1006" s="589"/>
      <c r="Z1006" s="589"/>
      <c r="AA1006" s="589"/>
      <c r="AB1006" s="589"/>
      <c r="AC1006" s="589"/>
      <c r="AD1006" s="589"/>
      <c r="AE1006" s="589"/>
      <c r="AF1006" s="589"/>
      <c r="AG1006" s="589"/>
      <c r="AH1006" s="589"/>
      <c r="AI1006" s="589"/>
      <c r="AJ1006" s="589"/>
      <c r="AK1006" s="589"/>
      <c r="AL1006" s="589"/>
      <c r="AM1006" s="589"/>
      <c r="AN1006" s="589"/>
      <c r="AO1006" s="589"/>
      <c r="AP1006" s="589"/>
      <c r="AQ1006" s="589"/>
      <c r="AR1006" s="589"/>
      <c r="AS1006" s="589"/>
    </row>
    <row r="1007" spans="1:45" ht="15">
      <c r="A1007" s="590" t="s">
        <v>157</v>
      </c>
      <c r="B1007" s="591" t="s">
        <v>444</v>
      </c>
      <c r="C1007" s="591" t="s">
        <v>774</v>
      </c>
      <c r="D1007" s="592">
        <v>2016</v>
      </c>
      <c r="E1007" s="591" t="s">
        <v>775</v>
      </c>
      <c r="F1007" s="592">
        <v>33</v>
      </c>
      <c r="G1007" s="592">
        <v>1</v>
      </c>
      <c r="H1007" s="592">
        <v>1</v>
      </c>
      <c r="I1007" s="592">
        <v>0</v>
      </c>
      <c r="J1007" s="592">
        <v>17</v>
      </c>
      <c r="K1007" s="592">
        <v>0</v>
      </c>
      <c r="L1007" s="592">
        <v>0</v>
      </c>
      <c r="M1007" s="592">
        <v>0</v>
      </c>
      <c r="N1007" s="593">
        <v>19</v>
      </c>
      <c r="O1007" s="593">
        <v>1</v>
      </c>
      <c r="P1007" s="593">
        <v>37</v>
      </c>
      <c r="Q1007" s="593">
        <v>4</v>
      </c>
      <c r="R1007" s="593">
        <v>106</v>
      </c>
      <c r="S1007" s="593">
        <v>6</v>
      </c>
      <c r="T1007" s="593">
        <v>2016</v>
      </c>
      <c r="U1007" s="593">
        <v>2015</v>
      </c>
      <c r="V1007" s="589"/>
      <c r="W1007" s="589"/>
      <c r="X1007" s="589"/>
      <c r="Y1007" s="589"/>
      <c r="Z1007" s="589"/>
      <c r="AA1007" s="589"/>
      <c r="AB1007" s="589"/>
      <c r="AC1007" s="589"/>
      <c r="AD1007" s="589"/>
      <c r="AE1007" s="589"/>
      <c r="AF1007" s="589"/>
      <c r="AG1007" s="589"/>
      <c r="AH1007" s="589"/>
      <c r="AI1007" s="589"/>
      <c r="AJ1007" s="589"/>
      <c r="AK1007" s="589"/>
      <c r="AL1007" s="589"/>
      <c r="AM1007" s="589"/>
      <c r="AN1007" s="589"/>
      <c r="AO1007" s="589"/>
      <c r="AP1007" s="589"/>
      <c r="AQ1007" s="589"/>
      <c r="AR1007" s="589"/>
      <c r="AS1007" s="589"/>
    </row>
    <row r="1008" spans="1:45" ht="15">
      <c r="A1008" s="587" t="s">
        <v>176</v>
      </c>
      <c r="B1008" s="587" t="s">
        <v>564</v>
      </c>
      <c r="C1008" s="587" t="s">
        <v>177</v>
      </c>
      <c r="D1008" s="588">
        <v>2016</v>
      </c>
      <c r="E1008" s="587" t="s">
        <v>775</v>
      </c>
      <c r="F1008" s="588">
        <v>198</v>
      </c>
      <c r="G1008" s="588">
        <v>0</v>
      </c>
      <c r="H1008" s="588">
        <v>0</v>
      </c>
      <c r="I1008" s="588">
        <v>0</v>
      </c>
      <c r="J1008" s="588">
        <v>120</v>
      </c>
      <c r="K1008" s="588">
        <v>0</v>
      </c>
      <c r="L1008" s="588">
        <v>0</v>
      </c>
      <c r="M1008" s="588">
        <v>0</v>
      </c>
      <c r="N1008" s="588">
        <v>164</v>
      </c>
      <c r="O1008" s="588">
        <v>0</v>
      </c>
      <c r="P1008" s="588">
        <v>355</v>
      </c>
      <c r="Q1008" s="588">
        <v>61</v>
      </c>
      <c r="R1008" s="588">
        <v>837</v>
      </c>
      <c r="S1008" s="588">
        <v>61</v>
      </c>
      <c r="T1008" s="588">
        <v>2016</v>
      </c>
      <c r="U1008" s="588">
        <v>2016</v>
      </c>
      <c r="V1008" s="589"/>
      <c r="W1008" s="589"/>
      <c r="X1008" s="589"/>
      <c r="Y1008" s="589"/>
      <c r="Z1008" s="589"/>
      <c r="AA1008" s="589"/>
      <c r="AB1008" s="589"/>
      <c r="AC1008" s="589"/>
      <c r="AD1008" s="589"/>
      <c r="AE1008" s="589"/>
      <c r="AF1008" s="589"/>
      <c r="AG1008" s="589"/>
      <c r="AH1008" s="589"/>
      <c r="AI1008" s="589"/>
      <c r="AJ1008" s="589"/>
      <c r="AK1008" s="589"/>
      <c r="AL1008" s="589"/>
      <c r="AM1008" s="589"/>
      <c r="AN1008" s="589"/>
      <c r="AO1008" s="589"/>
      <c r="AP1008" s="589"/>
      <c r="AQ1008" s="589"/>
      <c r="AR1008" s="589"/>
      <c r="AS1008" s="589"/>
    </row>
    <row r="1009" spans="1:45" ht="15">
      <c r="A1009" s="590" t="s">
        <v>178</v>
      </c>
      <c r="B1009" s="591" t="s">
        <v>584</v>
      </c>
      <c r="C1009" s="591" t="s">
        <v>812</v>
      </c>
      <c r="D1009" s="592">
        <v>2016</v>
      </c>
      <c r="E1009" s="591" t="s">
        <v>775</v>
      </c>
      <c r="F1009" s="592">
        <v>9</v>
      </c>
      <c r="G1009" s="592">
        <v>33</v>
      </c>
      <c r="H1009" s="592">
        <v>0</v>
      </c>
      <c r="I1009" s="592">
        <v>33</v>
      </c>
      <c r="J1009" s="592">
        <v>6</v>
      </c>
      <c r="K1009" s="592">
        <v>142</v>
      </c>
      <c r="L1009" s="592">
        <v>0</v>
      </c>
      <c r="M1009" s="592">
        <v>142</v>
      </c>
      <c r="N1009" s="593">
        <v>7</v>
      </c>
      <c r="O1009" s="593">
        <v>123</v>
      </c>
      <c r="P1009" s="593">
        <v>17</v>
      </c>
      <c r="Q1009" s="593">
        <v>200</v>
      </c>
      <c r="R1009" s="593">
        <v>39</v>
      </c>
      <c r="S1009" s="593">
        <v>498</v>
      </c>
      <c r="T1009" s="593">
        <v>2016</v>
      </c>
      <c r="U1009" s="593">
        <v>2014</v>
      </c>
      <c r="V1009" s="589"/>
      <c r="W1009" s="589"/>
      <c r="X1009" s="589"/>
      <c r="Y1009" s="589"/>
      <c r="Z1009" s="589"/>
      <c r="AA1009" s="589"/>
      <c r="AB1009" s="589"/>
      <c r="AC1009" s="589"/>
      <c r="AD1009" s="589"/>
      <c r="AE1009" s="589"/>
      <c r="AF1009" s="589"/>
      <c r="AG1009" s="589"/>
      <c r="AH1009" s="589"/>
      <c r="AI1009" s="589"/>
      <c r="AJ1009" s="589"/>
      <c r="AK1009" s="589"/>
      <c r="AL1009" s="589"/>
      <c r="AM1009" s="589"/>
      <c r="AN1009" s="589"/>
      <c r="AO1009" s="589"/>
      <c r="AP1009" s="589"/>
      <c r="AQ1009" s="589"/>
      <c r="AR1009" s="589"/>
      <c r="AS1009" s="589"/>
    </row>
    <row r="1010" spans="1:45" ht="15">
      <c r="A1010" s="587" t="s">
        <v>184</v>
      </c>
      <c r="B1010" s="587" t="s">
        <v>638</v>
      </c>
      <c r="C1010" s="587" t="s">
        <v>774</v>
      </c>
      <c r="D1010" s="588">
        <v>2016</v>
      </c>
      <c r="E1010" s="587" t="s">
        <v>775</v>
      </c>
      <c r="F1010" s="588">
        <v>358</v>
      </c>
      <c r="G1010" s="588">
        <v>0</v>
      </c>
      <c r="H1010" s="588">
        <v>0</v>
      </c>
      <c r="I1010" s="588">
        <v>0</v>
      </c>
      <c r="J1010" s="588">
        <v>161</v>
      </c>
      <c r="K1010" s="588">
        <v>4</v>
      </c>
      <c r="L1010" s="588">
        <v>4</v>
      </c>
      <c r="M1010" s="588">
        <v>0</v>
      </c>
      <c r="N1010" s="588">
        <v>205</v>
      </c>
      <c r="O1010" s="588">
        <v>41</v>
      </c>
      <c r="P1010" s="588">
        <v>431</v>
      </c>
      <c r="Q1010" s="588">
        <v>42</v>
      </c>
      <c r="R1010" s="588">
        <v>1155</v>
      </c>
      <c r="S1010" s="588">
        <v>87</v>
      </c>
      <c r="T1010" s="588">
        <v>2016</v>
      </c>
      <c r="U1010" s="588">
        <v>2015</v>
      </c>
      <c r="V1010" s="589"/>
      <c r="W1010" s="589"/>
      <c r="X1010" s="589"/>
      <c r="Y1010" s="589"/>
      <c r="Z1010" s="589"/>
      <c r="AA1010" s="589"/>
      <c r="AB1010" s="589"/>
      <c r="AC1010" s="589"/>
      <c r="AD1010" s="589"/>
      <c r="AE1010" s="589"/>
      <c r="AF1010" s="589"/>
      <c r="AG1010" s="589"/>
      <c r="AH1010" s="589"/>
      <c r="AI1010" s="589"/>
      <c r="AJ1010" s="589"/>
      <c r="AK1010" s="589"/>
      <c r="AL1010" s="589"/>
      <c r="AM1010" s="589"/>
      <c r="AN1010" s="589"/>
      <c r="AO1010" s="589"/>
      <c r="AP1010" s="589"/>
      <c r="AQ1010" s="589"/>
      <c r="AR1010" s="589"/>
      <c r="AS1010" s="589"/>
    </row>
    <row r="1011" spans="1:45" ht="15">
      <c r="A1011" s="590" t="s">
        <v>201</v>
      </c>
      <c r="B1011" s="591" t="s">
        <v>736</v>
      </c>
      <c r="C1011" s="591" t="s">
        <v>812</v>
      </c>
      <c r="D1011" s="592">
        <v>2016</v>
      </c>
      <c r="E1011" s="591" t="s">
        <v>775</v>
      </c>
      <c r="F1011" s="592">
        <v>861</v>
      </c>
      <c r="G1011" s="592">
        <v>0</v>
      </c>
      <c r="H1011" s="592">
        <v>0</v>
      </c>
      <c r="I1011" s="592">
        <v>0</v>
      </c>
      <c r="J1011" s="592">
        <v>591</v>
      </c>
      <c r="K1011" s="592">
        <v>12</v>
      </c>
      <c r="L1011" s="592">
        <v>12</v>
      </c>
      <c r="M1011" s="592">
        <v>0</v>
      </c>
      <c r="N1011" s="593">
        <v>673</v>
      </c>
      <c r="O1011" s="593">
        <v>0</v>
      </c>
      <c r="P1011" s="593">
        <v>1529</v>
      </c>
      <c r="Q1011" s="593">
        <v>223</v>
      </c>
      <c r="R1011" s="593">
        <v>3654</v>
      </c>
      <c r="S1011" s="593">
        <v>235</v>
      </c>
      <c r="T1011" s="593">
        <v>2016</v>
      </c>
      <c r="U1011" s="593">
        <v>2014</v>
      </c>
      <c r="V1011" s="589"/>
      <c r="W1011" s="589"/>
      <c r="X1011" s="589"/>
      <c r="Y1011" s="589"/>
      <c r="Z1011" s="589"/>
      <c r="AA1011" s="589"/>
      <c r="AB1011" s="589"/>
      <c r="AC1011" s="589"/>
      <c r="AD1011" s="589"/>
      <c r="AE1011" s="589"/>
      <c r="AF1011" s="589"/>
      <c r="AG1011" s="589"/>
      <c r="AH1011" s="589"/>
      <c r="AI1011" s="589"/>
      <c r="AJ1011" s="589"/>
      <c r="AK1011" s="589"/>
      <c r="AL1011" s="589"/>
      <c r="AM1011" s="589"/>
      <c r="AN1011" s="589"/>
      <c r="AO1011" s="589"/>
      <c r="AP1011" s="589"/>
      <c r="AQ1011" s="589"/>
      <c r="AR1011" s="589"/>
      <c r="AS1011" s="589"/>
    </row>
    <row r="1012" spans="1:45" ht="15">
      <c r="A1012" s="587" t="s">
        <v>184</v>
      </c>
      <c r="B1012" s="587" t="s">
        <v>639</v>
      </c>
      <c r="C1012" s="587" t="s">
        <v>774</v>
      </c>
      <c r="D1012" s="588">
        <v>2016</v>
      </c>
      <c r="E1012" s="587" t="s">
        <v>775</v>
      </c>
      <c r="F1012" s="588">
        <v>195</v>
      </c>
      <c r="G1012" s="588">
        <v>4</v>
      </c>
      <c r="H1012" s="588">
        <v>4</v>
      </c>
      <c r="I1012" s="588">
        <v>0</v>
      </c>
      <c r="J1012" s="588">
        <v>107</v>
      </c>
      <c r="K1012" s="588">
        <v>13</v>
      </c>
      <c r="L1012" s="588">
        <v>13</v>
      </c>
      <c r="M1012" s="588">
        <v>0</v>
      </c>
      <c r="N1012" s="588">
        <v>111</v>
      </c>
      <c r="O1012" s="588">
        <v>10</v>
      </c>
      <c r="P1012" s="588">
        <v>183</v>
      </c>
      <c r="Q1012" s="588">
        <v>358</v>
      </c>
      <c r="R1012" s="588">
        <v>596</v>
      </c>
      <c r="S1012" s="588">
        <v>385</v>
      </c>
      <c r="T1012" s="588">
        <v>2016</v>
      </c>
      <c r="U1012" s="588">
        <v>2015</v>
      </c>
      <c r="V1012" s="589"/>
      <c r="W1012" s="589"/>
      <c r="X1012" s="589"/>
      <c r="Y1012" s="589"/>
      <c r="Z1012" s="589"/>
      <c r="AA1012" s="589"/>
      <c r="AB1012" s="589"/>
      <c r="AC1012" s="589"/>
      <c r="AD1012" s="589"/>
      <c r="AE1012" s="589"/>
      <c r="AF1012" s="589"/>
      <c r="AG1012" s="589"/>
      <c r="AH1012" s="589"/>
      <c r="AI1012" s="589"/>
      <c r="AJ1012" s="589"/>
      <c r="AK1012" s="589"/>
      <c r="AL1012" s="589"/>
      <c r="AM1012" s="589"/>
      <c r="AN1012" s="589"/>
      <c r="AO1012" s="589"/>
      <c r="AP1012" s="589"/>
      <c r="AQ1012" s="589"/>
      <c r="AR1012" s="589"/>
      <c r="AS1012" s="589"/>
    </row>
    <row r="1013" spans="1:45" ht="15">
      <c r="A1013" s="590" t="s">
        <v>169</v>
      </c>
      <c r="B1013" s="591" t="s">
        <v>510</v>
      </c>
      <c r="C1013" s="591" t="s">
        <v>812</v>
      </c>
      <c r="D1013" s="592">
        <v>2016</v>
      </c>
      <c r="E1013" s="591" t="s">
        <v>775</v>
      </c>
      <c r="F1013" s="592">
        <v>134</v>
      </c>
      <c r="G1013" s="592">
        <v>0</v>
      </c>
      <c r="H1013" s="592">
        <v>0</v>
      </c>
      <c r="I1013" s="592">
        <v>0</v>
      </c>
      <c r="J1013" s="592">
        <v>95</v>
      </c>
      <c r="K1013" s="592">
        <v>0</v>
      </c>
      <c r="L1013" s="592">
        <v>0</v>
      </c>
      <c r="M1013" s="592">
        <v>0</v>
      </c>
      <c r="N1013" s="593">
        <v>108</v>
      </c>
      <c r="O1013" s="593">
        <v>0</v>
      </c>
      <c r="P1013" s="593">
        <v>244</v>
      </c>
      <c r="Q1013" s="593">
        <v>107</v>
      </c>
      <c r="R1013" s="593">
        <v>581</v>
      </c>
      <c r="S1013" s="593">
        <v>107</v>
      </c>
      <c r="T1013" s="593">
        <v>2016</v>
      </c>
      <c r="U1013" s="593">
        <v>2014</v>
      </c>
      <c r="V1013" s="589"/>
      <c r="W1013" s="589"/>
      <c r="X1013" s="589"/>
      <c r="Y1013" s="589"/>
      <c r="Z1013" s="589"/>
      <c r="AA1013" s="589"/>
      <c r="AB1013" s="589"/>
      <c r="AC1013" s="589"/>
      <c r="AD1013" s="589"/>
      <c r="AE1013" s="589"/>
      <c r="AF1013" s="589"/>
      <c r="AG1013" s="589"/>
      <c r="AH1013" s="589"/>
      <c r="AI1013" s="589"/>
      <c r="AJ1013" s="589"/>
      <c r="AK1013" s="589"/>
      <c r="AL1013" s="589"/>
      <c r="AM1013" s="589"/>
      <c r="AN1013" s="589"/>
      <c r="AO1013" s="589"/>
      <c r="AP1013" s="589"/>
      <c r="AQ1013" s="589"/>
      <c r="AR1013" s="589"/>
      <c r="AS1013" s="589"/>
    </row>
    <row r="1014" spans="1:45" ht="15">
      <c r="A1014" s="587" t="s">
        <v>179</v>
      </c>
      <c r="B1014" s="587" t="s">
        <v>179</v>
      </c>
      <c r="C1014" s="587" t="s">
        <v>855</v>
      </c>
      <c r="D1014" s="588">
        <v>2016</v>
      </c>
      <c r="E1014" s="587" t="s">
        <v>775</v>
      </c>
      <c r="F1014" s="588">
        <v>21977</v>
      </c>
      <c r="G1014" s="588">
        <v>103</v>
      </c>
      <c r="H1014" s="588">
        <v>103</v>
      </c>
      <c r="I1014" s="588">
        <v>0</v>
      </c>
      <c r="J1014" s="588">
        <v>16703</v>
      </c>
      <c r="K1014" s="588">
        <v>253</v>
      </c>
      <c r="L1014" s="588">
        <v>253</v>
      </c>
      <c r="M1014" s="588">
        <v>0</v>
      </c>
      <c r="N1014" s="588">
        <v>15462</v>
      </c>
      <c r="O1014" s="588">
        <v>0</v>
      </c>
      <c r="P1014" s="588">
        <v>33954</v>
      </c>
      <c r="Q1014" s="588">
        <v>7028</v>
      </c>
      <c r="R1014" s="588">
        <v>88096</v>
      </c>
      <c r="S1014" s="588">
        <v>7384</v>
      </c>
      <c r="T1014" s="588">
        <v>2016</v>
      </c>
      <c r="U1014" s="588">
        <v>2013</v>
      </c>
      <c r="V1014" s="589"/>
      <c r="W1014" s="589"/>
      <c r="X1014" s="589"/>
      <c r="Y1014" s="589"/>
      <c r="Z1014" s="589"/>
      <c r="AA1014" s="589"/>
      <c r="AB1014" s="589"/>
      <c r="AC1014" s="589"/>
      <c r="AD1014" s="589"/>
      <c r="AE1014" s="589"/>
      <c r="AF1014" s="589"/>
      <c r="AG1014" s="589"/>
      <c r="AH1014" s="589"/>
      <c r="AI1014" s="589"/>
      <c r="AJ1014" s="589"/>
      <c r="AK1014" s="589"/>
      <c r="AL1014" s="589"/>
      <c r="AM1014" s="589"/>
      <c r="AN1014" s="589"/>
      <c r="AO1014" s="589"/>
      <c r="AP1014" s="589"/>
      <c r="AQ1014" s="589"/>
      <c r="AR1014" s="589"/>
      <c r="AS1014" s="589"/>
    </row>
    <row r="1015" spans="1:45" ht="15">
      <c r="A1015" s="590" t="s">
        <v>179</v>
      </c>
      <c r="B1015" s="591" t="s">
        <v>603</v>
      </c>
      <c r="C1015" s="591" t="s">
        <v>855</v>
      </c>
      <c r="D1015" s="592">
        <v>2016</v>
      </c>
      <c r="E1015" s="591" t="s">
        <v>775</v>
      </c>
      <c r="F1015" s="592">
        <v>2085</v>
      </c>
      <c r="G1015" s="592">
        <v>0</v>
      </c>
      <c r="H1015" s="592">
        <v>0</v>
      </c>
      <c r="I1015" s="592">
        <v>0</v>
      </c>
      <c r="J1015" s="592">
        <v>1585</v>
      </c>
      <c r="K1015" s="592">
        <v>24</v>
      </c>
      <c r="L1015" s="592">
        <v>24</v>
      </c>
      <c r="M1015" s="592">
        <v>0</v>
      </c>
      <c r="N1015" s="593">
        <v>5864</v>
      </c>
      <c r="O1015" s="593">
        <v>177</v>
      </c>
      <c r="P1015" s="593">
        <v>12878</v>
      </c>
      <c r="Q1015" s="593">
        <v>381</v>
      </c>
      <c r="R1015" s="593">
        <v>22412</v>
      </c>
      <c r="S1015" s="593">
        <v>582</v>
      </c>
      <c r="T1015" s="593">
        <v>2016</v>
      </c>
      <c r="U1015" s="593">
        <v>2013</v>
      </c>
      <c r="V1015" s="589"/>
      <c r="W1015" s="589"/>
      <c r="X1015" s="589"/>
      <c r="Y1015" s="589"/>
      <c r="Z1015" s="589"/>
      <c r="AA1015" s="589"/>
      <c r="AB1015" s="589"/>
      <c r="AC1015" s="589"/>
      <c r="AD1015" s="589"/>
      <c r="AE1015" s="589"/>
      <c r="AF1015" s="589"/>
      <c r="AG1015" s="589"/>
      <c r="AH1015" s="589"/>
      <c r="AI1015" s="589"/>
      <c r="AJ1015" s="589"/>
      <c r="AK1015" s="589"/>
      <c r="AL1015" s="589"/>
      <c r="AM1015" s="589"/>
      <c r="AN1015" s="589"/>
      <c r="AO1015" s="589"/>
      <c r="AP1015" s="589"/>
      <c r="AQ1015" s="589"/>
      <c r="AR1015" s="589"/>
      <c r="AS1015" s="589"/>
    </row>
    <row r="1016" spans="1:45" ht="15">
      <c r="A1016" s="587" t="s">
        <v>153</v>
      </c>
      <c r="B1016" s="587" t="s">
        <v>414</v>
      </c>
      <c r="C1016" s="587" t="s">
        <v>812</v>
      </c>
      <c r="D1016" s="588">
        <v>2016</v>
      </c>
      <c r="E1016" s="587" t="s">
        <v>775</v>
      </c>
      <c r="F1016" s="588">
        <v>121</v>
      </c>
      <c r="G1016" s="588">
        <v>0</v>
      </c>
      <c r="H1016" s="588">
        <v>0</v>
      </c>
      <c r="I1016" s="588">
        <v>0</v>
      </c>
      <c r="J1016" s="588">
        <v>72</v>
      </c>
      <c r="K1016" s="588">
        <v>0</v>
      </c>
      <c r="L1016" s="588">
        <v>0</v>
      </c>
      <c r="M1016" s="588">
        <v>0</v>
      </c>
      <c r="N1016" s="588">
        <v>77</v>
      </c>
      <c r="O1016" s="588">
        <v>0</v>
      </c>
      <c r="P1016" s="588">
        <v>193</v>
      </c>
      <c r="Q1016" s="588">
        <v>18</v>
      </c>
      <c r="R1016" s="588">
        <v>463</v>
      </c>
      <c r="S1016" s="588">
        <v>18</v>
      </c>
      <c r="T1016" s="588">
        <v>2016</v>
      </c>
      <c r="U1016" s="588">
        <v>2014</v>
      </c>
      <c r="V1016" s="589"/>
      <c r="W1016" s="589"/>
      <c r="X1016" s="589"/>
      <c r="Y1016" s="589"/>
      <c r="Z1016" s="589"/>
      <c r="AA1016" s="589"/>
      <c r="AB1016" s="589"/>
      <c r="AC1016" s="589"/>
      <c r="AD1016" s="589"/>
      <c r="AE1016" s="589"/>
      <c r="AF1016" s="589"/>
      <c r="AG1016" s="589"/>
      <c r="AH1016" s="589"/>
      <c r="AI1016" s="589"/>
      <c r="AJ1016" s="589"/>
      <c r="AK1016" s="589"/>
      <c r="AL1016" s="589"/>
      <c r="AM1016" s="589"/>
      <c r="AN1016" s="589"/>
      <c r="AO1016" s="589"/>
      <c r="AP1016" s="589"/>
      <c r="AQ1016" s="589"/>
      <c r="AR1016" s="589"/>
      <c r="AS1016" s="589"/>
    </row>
    <row r="1017" spans="1:45" ht="15">
      <c r="A1017" s="590" t="s">
        <v>153</v>
      </c>
      <c r="B1017" s="591" t="s">
        <v>415</v>
      </c>
      <c r="C1017" s="591" t="s">
        <v>812</v>
      </c>
      <c r="D1017" s="592">
        <v>2016</v>
      </c>
      <c r="E1017" s="591" t="s">
        <v>775</v>
      </c>
      <c r="F1017" s="592">
        <v>55</v>
      </c>
      <c r="G1017" s="592">
        <v>0</v>
      </c>
      <c r="H1017" s="592">
        <v>0</v>
      </c>
      <c r="I1017" s="592">
        <v>0</v>
      </c>
      <c r="J1017" s="592">
        <v>32</v>
      </c>
      <c r="K1017" s="592">
        <v>5</v>
      </c>
      <c r="L1017" s="592">
        <v>0</v>
      </c>
      <c r="M1017" s="592">
        <v>5</v>
      </c>
      <c r="N1017" s="593">
        <v>35</v>
      </c>
      <c r="O1017" s="593">
        <v>0</v>
      </c>
      <c r="P1017" s="593">
        <v>95</v>
      </c>
      <c r="Q1017" s="593">
        <v>9</v>
      </c>
      <c r="R1017" s="593">
        <v>217</v>
      </c>
      <c r="S1017" s="593">
        <v>14</v>
      </c>
      <c r="T1017" s="593">
        <v>2016</v>
      </c>
      <c r="U1017" s="593">
        <v>2014</v>
      </c>
      <c r="V1017" s="589"/>
      <c r="W1017" s="589"/>
      <c r="X1017" s="589"/>
      <c r="Y1017" s="589"/>
      <c r="Z1017" s="589"/>
      <c r="AA1017" s="589"/>
      <c r="AB1017" s="589"/>
      <c r="AC1017" s="589"/>
      <c r="AD1017" s="589"/>
      <c r="AE1017" s="589"/>
      <c r="AF1017" s="589"/>
      <c r="AG1017" s="589"/>
      <c r="AH1017" s="589"/>
      <c r="AI1017" s="589"/>
      <c r="AJ1017" s="589"/>
      <c r="AK1017" s="589"/>
      <c r="AL1017" s="589"/>
      <c r="AM1017" s="589"/>
      <c r="AN1017" s="589"/>
      <c r="AO1017" s="589"/>
      <c r="AP1017" s="589"/>
      <c r="AQ1017" s="589"/>
      <c r="AR1017" s="589"/>
      <c r="AS1017" s="589"/>
    </row>
    <row r="1018" spans="1:45" ht="15">
      <c r="A1018" s="587" t="s">
        <v>181</v>
      </c>
      <c r="B1018" s="587" t="s">
        <v>181</v>
      </c>
      <c r="C1018" s="587" t="s">
        <v>774</v>
      </c>
      <c r="D1018" s="588">
        <v>2016</v>
      </c>
      <c r="E1018" s="587" t="s">
        <v>775</v>
      </c>
      <c r="F1018" s="588">
        <v>6234</v>
      </c>
      <c r="G1018" s="588">
        <v>410</v>
      </c>
      <c r="H1018" s="588">
        <v>410</v>
      </c>
      <c r="I1018" s="588">
        <v>0</v>
      </c>
      <c r="J1018" s="588">
        <v>4639</v>
      </c>
      <c r="K1018" s="588">
        <v>353</v>
      </c>
      <c r="L1018" s="588">
        <v>353</v>
      </c>
      <c r="M1018" s="588">
        <v>0</v>
      </c>
      <c r="N1018" s="588">
        <v>5460</v>
      </c>
      <c r="O1018" s="588">
        <v>333</v>
      </c>
      <c r="P1018" s="588">
        <v>12536</v>
      </c>
      <c r="Q1018" s="588">
        <v>3604</v>
      </c>
      <c r="R1018" s="588">
        <v>28869</v>
      </c>
      <c r="S1018" s="588">
        <v>4700</v>
      </c>
      <c r="T1018" s="588">
        <v>2016</v>
      </c>
      <c r="U1018" s="588">
        <v>2015</v>
      </c>
      <c r="V1018" s="589"/>
      <c r="W1018" s="589"/>
      <c r="X1018" s="589"/>
      <c r="Y1018" s="589"/>
      <c r="Z1018" s="589"/>
      <c r="AA1018" s="589"/>
      <c r="AB1018" s="589"/>
      <c r="AC1018" s="589"/>
      <c r="AD1018" s="589"/>
      <c r="AE1018" s="589"/>
      <c r="AF1018" s="589"/>
      <c r="AG1018" s="589"/>
      <c r="AH1018" s="589"/>
      <c r="AI1018" s="589"/>
      <c r="AJ1018" s="589"/>
      <c r="AK1018" s="589"/>
      <c r="AL1018" s="589"/>
      <c r="AM1018" s="589"/>
      <c r="AN1018" s="589"/>
      <c r="AO1018" s="589"/>
      <c r="AP1018" s="589"/>
      <c r="AQ1018" s="589"/>
      <c r="AR1018" s="589"/>
      <c r="AS1018" s="589"/>
    </row>
    <row r="1019" spans="1:45" ht="15">
      <c r="A1019" s="590" t="s">
        <v>153</v>
      </c>
      <c r="B1019" s="591" t="s">
        <v>416</v>
      </c>
      <c r="C1019" s="591" t="s">
        <v>812</v>
      </c>
      <c r="D1019" s="592">
        <v>2016</v>
      </c>
      <c r="E1019" s="591" t="s">
        <v>775</v>
      </c>
      <c r="F1019" s="592">
        <v>236</v>
      </c>
      <c r="G1019" s="592">
        <v>0</v>
      </c>
      <c r="H1019" s="592">
        <v>0</v>
      </c>
      <c r="I1019" s="592">
        <v>0</v>
      </c>
      <c r="J1019" s="592">
        <v>142</v>
      </c>
      <c r="K1019" s="592">
        <v>2</v>
      </c>
      <c r="L1019" s="592">
        <v>0</v>
      </c>
      <c r="M1019" s="592">
        <v>2</v>
      </c>
      <c r="N1019" s="593">
        <v>154</v>
      </c>
      <c r="O1019" s="593">
        <v>31</v>
      </c>
      <c r="P1019" s="593">
        <v>398</v>
      </c>
      <c r="Q1019" s="593">
        <v>37</v>
      </c>
      <c r="R1019" s="593">
        <v>930</v>
      </c>
      <c r="S1019" s="593">
        <v>70</v>
      </c>
      <c r="T1019" s="593">
        <v>2016</v>
      </c>
      <c r="U1019" s="593">
        <v>2014</v>
      </c>
      <c r="V1019" s="589"/>
      <c r="W1019" s="589"/>
      <c r="X1019" s="589"/>
      <c r="Y1019" s="589"/>
      <c r="Z1019" s="589"/>
      <c r="AA1019" s="589"/>
      <c r="AB1019" s="589"/>
      <c r="AC1019" s="589"/>
      <c r="AD1019" s="589"/>
      <c r="AE1019" s="589"/>
      <c r="AF1019" s="589"/>
      <c r="AG1019" s="589"/>
      <c r="AH1019" s="589"/>
      <c r="AI1019" s="589"/>
      <c r="AJ1019" s="589"/>
      <c r="AK1019" s="589"/>
      <c r="AL1019" s="589"/>
      <c r="AM1019" s="589"/>
      <c r="AN1019" s="589"/>
      <c r="AO1019" s="589"/>
      <c r="AP1019" s="589"/>
      <c r="AQ1019" s="589"/>
      <c r="AR1019" s="589"/>
      <c r="AS1019" s="589"/>
    </row>
    <row r="1020" spans="1:45" ht="15">
      <c r="A1020" s="587" t="s">
        <v>173</v>
      </c>
      <c r="B1020" s="587" t="s">
        <v>553</v>
      </c>
      <c r="C1020" s="587" t="s">
        <v>812</v>
      </c>
      <c r="D1020" s="588">
        <v>2016</v>
      </c>
      <c r="E1020" s="587" t="s">
        <v>775</v>
      </c>
      <c r="F1020" s="588">
        <v>562</v>
      </c>
      <c r="G1020" s="588">
        <v>0</v>
      </c>
      <c r="H1020" s="588">
        <v>0</v>
      </c>
      <c r="I1020" s="588">
        <v>0</v>
      </c>
      <c r="J1020" s="588">
        <v>394</v>
      </c>
      <c r="K1020" s="588">
        <v>0</v>
      </c>
      <c r="L1020" s="588">
        <v>0</v>
      </c>
      <c r="M1020" s="588">
        <v>0</v>
      </c>
      <c r="N1020" s="588">
        <v>441</v>
      </c>
      <c r="O1020" s="588">
        <v>0</v>
      </c>
      <c r="P1020" s="588">
        <v>1036</v>
      </c>
      <c r="Q1020" s="588">
        <v>0</v>
      </c>
      <c r="R1020" s="588">
        <v>2433</v>
      </c>
      <c r="S1020" s="588">
        <v>0</v>
      </c>
      <c r="T1020" s="588">
        <v>2016</v>
      </c>
      <c r="U1020" s="588">
        <v>2014</v>
      </c>
      <c r="V1020" s="589"/>
      <c r="W1020" s="589"/>
      <c r="X1020" s="589"/>
      <c r="Y1020" s="589"/>
      <c r="Z1020" s="589"/>
      <c r="AA1020" s="589"/>
      <c r="AB1020" s="589"/>
      <c r="AC1020" s="589"/>
      <c r="AD1020" s="589"/>
      <c r="AE1020" s="589"/>
      <c r="AF1020" s="589"/>
      <c r="AG1020" s="589"/>
      <c r="AH1020" s="589"/>
      <c r="AI1020" s="589"/>
      <c r="AJ1020" s="589"/>
      <c r="AK1020" s="589"/>
      <c r="AL1020" s="589"/>
      <c r="AM1020" s="589"/>
      <c r="AN1020" s="589"/>
      <c r="AO1020" s="589"/>
      <c r="AP1020" s="589"/>
      <c r="AQ1020" s="589"/>
      <c r="AR1020" s="589"/>
      <c r="AS1020" s="589"/>
    </row>
    <row r="1021" spans="1:45" ht="15">
      <c r="A1021" s="590" t="s">
        <v>182</v>
      </c>
      <c r="B1021" s="591" t="s">
        <v>613</v>
      </c>
      <c r="C1021" s="591" t="s">
        <v>177</v>
      </c>
      <c r="D1021" s="592">
        <v>2016</v>
      </c>
      <c r="E1021" s="591" t="s">
        <v>775</v>
      </c>
      <c r="F1021" s="592">
        <v>2496</v>
      </c>
      <c r="G1021" s="592">
        <v>1</v>
      </c>
      <c r="H1021" s="592">
        <v>0</v>
      </c>
      <c r="I1021" s="592">
        <v>1</v>
      </c>
      <c r="J1021" s="592">
        <v>1727</v>
      </c>
      <c r="K1021" s="592">
        <v>134</v>
      </c>
      <c r="L1021" s="592">
        <v>0</v>
      </c>
      <c r="M1021" s="592">
        <v>134</v>
      </c>
      <c r="N1021" s="593">
        <v>1724</v>
      </c>
      <c r="O1021" s="593">
        <v>96</v>
      </c>
      <c r="P1021" s="593">
        <v>4220</v>
      </c>
      <c r="Q1021" s="593">
        <v>234</v>
      </c>
      <c r="R1021" s="593">
        <v>10167</v>
      </c>
      <c r="S1021" s="593">
        <v>465</v>
      </c>
      <c r="T1021" s="593">
        <v>2016</v>
      </c>
      <c r="U1021" s="593">
        <v>2016</v>
      </c>
      <c r="V1021" s="589"/>
      <c r="W1021" s="589"/>
      <c r="X1021" s="589"/>
      <c r="Y1021" s="589"/>
      <c r="Z1021" s="589"/>
      <c r="AA1021" s="589"/>
      <c r="AB1021" s="589"/>
      <c r="AC1021" s="589"/>
      <c r="AD1021" s="589"/>
      <c r="AE1021" s="589"/>
      <c r="AF1021" s="589"/>
      <c r="AG1021" s="589"/>
      <c r="AH1021" s="589"/>
      <c r="AI1021" s="589"/>
      <c r="AJ1021" s="589"/>
      <c r="AK1021" s="589"/>
      <c r="AL1021" s="589"/>
      <c r="AM1021" s="589"/>
      <c r="AN1021" s="589"/>
      <c r="AO1021" s="589"/>
      <c r="AP1021" s="589"/>
      <c r="AQ1021" s="589"/>
      <c r="AR1021" s="589"/>
      <c r="AS1021" s="589"/>
    </row>
    <row r="1022" spans="1:45" ht="15">
      <c r="A1022" s="587" t="s">
        <v>187</v>
      </c>
      <c r="B1022" s="587" t="s">
        <v>662</v>
      </c>
      <c r="C1022" s="587" t="s">
        <v>774</v>
      </c>
      <c r="D1022" s="588">
        <v>2016</v>
      </c>
      <c r="E1022" s="587" t="s">
        <v>775</v>
      </c>
      <c r="F1022" s="588">
        <v>9233</v>
      </c>
      <c r="G1022" s="588">
        <v>314</v>
      </c>
      <c r="H1022" s="588">
        <v>314</v>
      </c>
      <c r="I1022" s="588">
        <v>0</v>
      </c>
      <c r="J1022" s="588">
        <v>5428</v>
      </c>
      <c r="K1022" s="588">
        <v>0</v>
      </c>
      <c r="L1022" s="588">
        <v>0</v>
      </c>
      <c r="M1022" s="588">
        <v>0</v>
      </c>
      <c r="N1022" s="588">
        <v>6188</v>
      </c>
      <c r="O1022" s="588">
        <v>0</v>
      </c>
      <c r="P1022" s="588">
        <v>14231</v>
      </c>
      <c r="Q1022" s="588">
        <v>1774</v>
      </c>
      <c r="R1022" s="588">
        <v>35080</v>
      </c>
      <c r="S1022" s="588">
        <v>2088</v>
      </c>
      <c r="T1022" s="588">
        <v>2016</v>
      </c>
      <c r="U1022" s="588">
        <v>2015</v>
      </c>
      <c r="V1022" s="589"/>
      <c r="W1022" s="589"/>
      <c r="X1022" s="589"/>
      <c r="Y1022" s="589"/>
      <c r="Z1022" s="589"/>
      <c r="AA1022" s="589"/>
      <c r="AB1022" s="589"/>
      <c r="AC1022" s="589"/>
      <c r="AD1022" s="589"/>
      <c r="AE1022" s="589"/>
      <c r="AF1022" s="589"/>
      <c r="AG1022" s="589"/>
      <c r="AH1022" s="589"/>
      <c r="AI1022" s="589"/>
      <c r="AJ1022" s="589"/>
      <c r="AK1022" s="589"/>
      <c r="AL1022" s="589"/>
      <c r="AM1022" s="589"/>
      <c r="AN1022" s="589"/>
      <c r="AO1022" s="589"/>
      <c r="AP1022" s="589"/>
      <c r="AQ1022" s="589"/>
      <c r="AR1022" s="589"/>
      <c r="AS1022" s="589"/>
    </row>
    <row r="1023" spans="1:45" ht="15">
      <c r="A1023" s="590" t="s">
        <v>169</v>
      </c>
      <c r="B1023" s="591" t="s">
        <v>511</v>
      </c>
      <c r="C1023" s="591" t="s">
        <v>812</v>
      </c>
      <c r="D1023" s="592">
        <v>2016</v>
      </c>
      <c r="E1023" s="591" t="s">
        <v>775</v>
      </c>
      <c r="F1023" s="592">
        <v>147</v>
      </c>
      <c r="G1023" s="592">
        <v>0</v>
      </c>
      <c r="H1023" s="592">
        <v>0</v>
      </c>
      <c r="I1023" s="592">
        <v>0</v>
      </c>
      <c r="J1023" s="592">
        <v>104</v>
      </c>
      <c r="K1023" s="592">
        <v>0</v>
      </c>
      <c r="L1023" s="592">
        <v>0</v>
      </c>
      <c r="M1023" s="592">
        <v>0</v>
      </c>
      <c r="N1023" s="593">
        <v>120</v>
      </c>
      <c r="O1023" s="593">
        <v>0</v>
      </c>
      <c r="P1023" s="593">
        <v>267</v>
      </c>
      <c r="Q1023" s="593">
        <v>62</v>
      </c>
      <c r="R1023" s="593">
        <v>638</v>
      </c>
      <c r="S1023" s="593">
        <v>62</v>
      </c>
      <c r="T1023" s="593">
        <v>2016</v>
      </c>
      <c r="U1023" s="593">
        <v>2014</v>
      </c>
      <c r="V1023" s="589"/>
      <c r="W1023" s="589"/>
      <c r="X1023" s="589"/>
      <c r="Y1023" s="589"/>
      <c r="Z1023" s="589"/>
      <c r="AA1023" s="589"/>
      <c r="AB1023" s="589"/>
      <c r="AC1023" s="589"/>
      <c r="AD1023" s="589"/>
      <c r="AE1023" s="589"/>
      <c r="AF1023" s="589"/>
      <c r="AG1023" s="589"/>
      <c r="AH1023" s="589"/>
      <c r="AI1023" s="589"/>
      <c r="AJ1023" s="589"/>
      <c r="AK1023" s="589"/>
      <c r="AL1023" s="589"/>
      <c r="AM1023" s="589"/>
      <c r="AN1023" s="589"/>
      <c r="AO1023" s="589"/>
      <c r="AP1023" s="589"/>
      <c r="AQ1023" s="589"/>
      <c r="AR1023" s="589"/>
      <c r="AS1023" s="589"/>
    </row>
    <row r="1024" spans="1:45" ht="15">
      <c r="A1024" s="587" t="s">
        <v>125</v>
      </c>
      <c r="B1024" s="587" t="s">
        <v>245</v>
      </c>
      <c r="C1024" s="587" t="s">
        <v>774</v>
      </c>
      <c r="D1024" s="588">
        <v>2016</v>
      </c>
      <c r="E1024" s="587" t="s">
        <v>775</v>
      </c>
      <c r="F1024" s="588">
        <v>504</v>
      </c>
      <c r="G1024" s="588">
        <v>0</v>
      </c>
      <c r="H1024" s="588">
        <v>0</v>
      </c>
      <c r="I1024" s="588">
        <v>0</v>
      </c>
      <c r="J1024" s="588">
        <v>270</v>
      </c>
      <c r="K1024" s="588">
        <v>0</v>
      </c>
      <c r="L1024" s="588">
        <v>0</v>
      </c>
      <c r="M1024" s="588">
        <v>0</v>
      </c>
      <c r="N1024" s="588">
        <v>352</v>
      </c>
      <c r="O1024" s="588">
        <v>0</v>
      </c>
      <c r="P1024" s="588">
        <v>1161</v>
      </c>
      <c r="Q1024" s="588">
        <v>3</v>
      </c>
      <c r="R1024" s="588">
        <v>2287</v>
      </c>
      <c r="S1024" s="588">
        <v>3</v>
      </c>
      <c r="T1024" s="588">
        <v>2016</v>
      </c>
      <c r="U1024" s="588">
        <v>2015</v>
      </c>
      <c r="V1024" s="589"/>
      <c r="W1024" s="589"/>
      <c r="X1024" s="589"/>
      <c r="Y1024" s="589"/>
      <c r="Z1024" s="589"/>
      <c r="AA1024" s="589"/>
      <c r="AB1024" s="589"/>
      <c r="AC1024" s="589"/>
      <c r="AD1024" s="589"/>
      <c r="AE1024" s="589"/>
      <c r="AF1024" s="589"/>
      <c r="AG1024" s="589"/>
      <c r="AH1024" s="589"/>
      <c r="AI1024" s="589"/>
      <c r="AJ1024" s="589"/>
      <c r="AK1024" s="589"/>
      <c r="AL1024" s="589"/>
      <c r="AM1024" s="589"/>
      <c r="AN1024" s="589"/>
      <c r="AO1024" s="589"/>
      <c r="AP1024" s="589"/>
      <c r="AQ1024" s="589"/>
      <c r="AR1024" s="589"/>
      <c r="AS1024" s="589"/>
    </row>
    <row r="1025" spans="1:45" ht="15">
      <c r="A1025" s="590" t="s">
        <v>183</v>
      </c>
      <c r="B1025" s="591" t="s">
        <v>183</v>
      </c>
      <c r="C1025" s="591" t="s">
        <v>784</v>
      </c>
      <c r="D1025" s="592">
        <v>2016</v>
      </c>
      <c r="E1025" s="591" t="s">
        <v>775</v>
      </c>
      <c r="F1025" s="592">
        <v>285</v>
      </c>
      <c r="G1025" s="592">
        <v>19</v>
      </c>
      <c r="H1025" s="592">
        <v>19</v>
      </c>
      <c r="I1025" s="592">
        <v>0</v>
      </c>
      <c r="J1025" s="592">
        <v>179</v>
      </c>
      <c r="K1025" s="592">
        <v>1</v>
      </c>
      <c r="L1025" s="592">
        <v>1</v>
      </c>
      <c r="M1025" s="592">
        <v>0</v>
      </c>
      <c r="N1025" s="593">
        <v>201</v>
      </c>
      <c r="O1025" s="593">
        <v>3</v>
      </c>
      <c r="P1025" s="593">
        <v>478</v>
      </c>
      <c r="Q1025" s="593">
        <v>111</v>
      </c>
      <c r="R1025" s="593">
        <v>1143</v>
      </c>
      <c r="S1025" s="593">
        <v>134</v>
      </c>
      <c r="T1025" s="593">
        <v>2016</v>
      </c>
      <c r="U1025" s="593">
        <v>2014</v>
      </c>
      <c r="V1025" s="589"/>
      <c r="W1025" s="589"/>
      <c r="X1025" s="589"/>
      <c r="Y1025" s="589"/>
      <c r="Z1025" s="589"/>
      <c r="AA1025" s="589"/>
      <c r="AB1025" s="589"/>
      <c r="AC1025" s="589"/>
      <c r="AD1025" s="589"/>
      <c r="AE1025" s="589"/>
      <c r="AF1025" s="589"/>
      <c r="AG1025" s="589"/>
      <c r="AH1025" s="589"/>
      <c r="AI1025" s="589"/>
      <c r="AJ1025" s="589"/>
      <c r="AK1025" s="589"/>
      <c r="AL1025" s="589"/>
      <c r="AM1025" s="589"/>
      <c r="AN1025" s="589"/>
      <c r="AO1025" s="589"/>
      <c r="AP1025" s="589"/>
      <c r="AQ1025" s="589"/>
      <c r="AR1025" s="589"/>
      <c r="AS1025" s="589"/>
    </row>
    <row r="1026" spans="1:45" ht="15">
      <c r="A1026" s="587" t="s">
        <v>183</v>
      </c>
      <c r="B1026" s="587" t="s">
        <v>622</v>
      </c>
      <c r="C1026" s="587" t="s">
        <v>784</v>
      </c>
      <c r="D1026" s="588">
        <v>2016</v>
      </c>
      <c r="E1026" s="587" t="s">
        <v>775</v>
      </c>
      <c r="F1026" s="588">
        <v>336</v>
      </c>
      <c r="G1026" s="588">
        <v>20</v>
      </c>
      <c r="H1026" s="588">
        <v>14</v>
      </c>
      <c r="I1026" s="588">
        <v>6</v>
      </c>
      <c r="J1026" s="588">
        <v>211</v>
      </c>
      <c r="K1026" s="588">
        <v>43</v>
      </c>
      <c r="L1026" s="588">
        <v>34</v>
      </c>
      <c r="M1026" s="588">
        <v>9</v>
      </c>
      <c r="N1026" s="588">
        <v>237</v>
      </c>
      <c r="O1026" s="588">
        <v>48</v>
      </c>
      <c r="P1026" s="588">
        <v>563</v>
      </c>
      <c r="Q1026" s="588">
        <v>278</v>
      </c>
      <c r="R1026" s="588">
        <v>1347</v>
      </c>
      <c r="S1026" s="588">
        <v>389</v>
      </c>
      <c r="T1026" s="588">
        <v>2016</v>
      </c>
      <c r="U1026" s="588">
        <v>2014</v>
      </c>
      <c r="V1026" s="589"/>
      <c r="W1026" s="589"/>
      <c r="X1026" s="589"/>
      <c r="Y1026" s="589"/>
      <c r="Z1026" s="589"/>
      <c r="AA1026" s="589"/>
      <c r="AB1026" s="589"/>
      <c r="AC1026" s="589"/>
      <c r="AD1026" s="589"/>
      <c r="AE1026" s="589"/>
      <c r="AF1026" s="589"/>
      <c r="AG1026" s="589"/>
      <c r="AH1026" s="589"/>
      <c r="AI1026" s="589"/>
      <c r="AJ1026" s="589"/>
      <c r="AK1026" s="589"/>
      <c r="AL1026" s="589"/>
      <c r="AM1026" s="589"/>
      <c r="AN1026" s="589"/>
      <c r="AO1026" s="589"/>
      <c r="AP1026" s="589"/>
      <c r="AQ1026" s="589"/>
      <c r="AR1026" s="589"/>
      <c r="AS1026" s="589"/>
    </row>
    <row r="1027" spans="1:45" ht="15">
      <c r="A1027" s="590" t="s">
        <v>179</v>
      </c>
      <c r="B1027" s="591" t="s">
        <v>604</v>
      </c>
      <c r="C1027" s="591" t="s">
        <v>855</v>
      </c>
      <c r="D1027" s="592">
        <v>2016</v>
      </c>
      <c r="E1027" s="591" t="s">
        <v>775</v>
      </c>
      <c r="F1027" s="592">
        <v>1043</v>
      </c>
      <c r="G1027" s="592">
        <v>0</v>
      </c>
      <c r="H1027" s="592">
        <v>0</v>
      </c>
      <c r="I1027" s="592">
        <v>0</v>
      </c>
      <c r="J1027" s="592">
        <v>793</v>
      </c>
      <c r="K1027" s="592">
        <v>0</v>
      </c>
      <c r="L1027" s="592">
        <v>0</v>
      </c>
      <c r="M1027" s="592">
        <v>0</v>
      </c>
      <c r="N1027" s="593">
        <v>734</v>
      </c>
      <c r="O1027" s="593">
        <v>0</v>
      </c>
      <c r="P1027" s="593">
        <v>1613</v>
      </c>
      <c r="Q1027" s="593">
        <v>329</v>
      </c>
      <c r="R1027" s="593">
        <v>4183</v>
      </c>
      <c r="S1027" s="593">
        <v>329</v>
      </c>
      <c r="T1027" s="593">
        <v>2016</v>
      </c>
      <c r="U1027" s="593">
        <v>2013</v>
      </c>
      <c r="V1027" s="589"/>
      <c r="W1027" s="589"/>
      <c r="X1027" s="589"/>
      <c r="Y1027" s="589"/>
      <c r="Z1027" s="589"/>
      <c r="AA1027" s="589"/>
      <c r="AB1027" s="589"/>
      <c r="AC1027" s="589"/>
      <c r="AD1027" s="589"/>
      <c r="AE1027" s="589"/>
      <c r="AF1027" s="589"/>
      <c r="AG1027" s="589"/>
      <c r="AH1027" s="589"/>
      <c r="AI1027" s="589"/>
      <c r="AJ1027" s="589"/>
      <c r="AK1027" s="589"/>
      <c r="AL1027" s="589"/>
      <c r="AM1027" s="589"/>
      <c r="AN1027" s="589"/>
      <c r="AO1027" s="589"/>
      <c r="AP1027" s="589"/>
      <c r="AQ1027" s="589"/>
      <c r="AR1027" s="589"/>
      <c r="AS1027" s="589"/>
    </row>
    <row r="1028" spans="1:45" ht="15">
      <c r="A1028" s="587" t="s">
        <v>153</v>
      </c>
      <c r="B1028" s="587" t="s">
        <v>417</v>
      </c>
      <c r="C1028" s="587" t="s">
        <v>812</v>
      </c>
      <c r="D1028" s="588">
        <v>2016</v>
      </c>
      <c r="E1028" s="587" t="s">
        <v>775</v>
      </c>
      <c r="F1028" s="588">
        <v>1</v>
      </c>
      <c r="G1028" s="588">
        <v>0</v>
      </c>
      <c r="H1028" s="588">
        <v>0</v>
      </c>
      <c r="I1028" s="588">
        <v>0</v>
      </c>
      <c r="J1028" s="588">
        <v>1</v>
      </c>
      <c r="K1028" s="588">
        <v>0</v>
      </c>
      <c r="L1028" s="588">
        <v>0</v>
      </c>
      <c r="M1028" s="588">
        <v>0</v>
      </c>
      <c r="N1028" s="588">
        <v>0</v>
      </c>
      <c r="O1028" s="588">
        <v>2</v>
      </c>
      <c r="P1028" s="588">
        <v>0</v>
      </c>
      <c r="Q1028" s="588">
        <v>8</v>
      </c>
      <c r="R1028" s="588">
        <v>2</v>
      </c>
      <c r="S1028" s="588">
        <v>10</v>
      </c>
      <c r="T1028" s="588">
        <v>2016</v>
      </c>
      <c r="U1028" s="588">
        <v>2014</v>
      </c>
      <c r="V1028" s="589"/>
      <c r="W1028" s="589"/>
      <c r="X1028" s="589"/>
      <c r="Y1028" s="589"/>
      <c r="Z1028" s="589"/>
      <c r="AA1028" s="589"/>
      <c r="AB1028" s="589"/>
      <c r="AC1028" s="589"/>
      <c r="AD1028" s="589"/>
      <c r="AE1028" s="589"/>
      <c r="AF1028" s="589"/>
      <c r="AG1028" s="589"/>
      <c r="AH1028" s="589"/>
      <c r="AI1028" s="589"/>
      <c r="AJ1028" s="589"/>
      <c r="AK1028" s="589"/>
      <c r="AL1028" s="589"/>
      <c r="AM1028" s="589"/>
      <c r="AN1028" s="589"/>
      <c r="AO1028" s="589"/>
      <c r="AP1028" s="589"/>
      <c r="AQ1028" s="589"/>
      <c r="AR1028" s="589"/>
      <c r="AS1028" s="589"/>
    </row>
    <row r="1029" spans="1:45" ht="15">
      <c r="A1029" s="590" t="s">
        <v>184</v>
      </c>
      <c r="B1029" s="591" t="s">
        <v>184</v>
      </c>
      <c r="C1029" s="591" t="s">
        <v>774</v>
      </c>
      <c r="D1029" s="592">
        <v>2016</v>
      </c>
      <c r="E1029" s="591" t="s">
        <v>775</v>
      </c>
      <c r="F1029" s="592">
        <v>859</v>
      </c>
      <c r="G1029" s="592">
        <v>12</v>
      </c>
      <c r="H1029" s="592">
        <v>12</v>
      </c>
      <c r="I1029" s="592">
        <v>0</v>
      </c>
      <c r="J1029" s="592">
        <v>469</v>
      </c>
      <c r="K1029" s="592">
        <v>3</v>
      </c>
      <c r="L1029" s="592">
        <v>3</v>
      </c>
      <c r="M1029" s="592">
        <v>0</v>
      </c>
      <c r="N1029" s="593">
        <v>530</v>
      </c>
      <c r="O1029" s="593">
        <v>2</v>
      </c>
      <c r="P1029" s="593">
        <v>1242</v>
      </c>
      <c r="Q1029" s="593">
        <v>172</v>
      </c>
      <c r="R1029" s="593">
        <v>3100</v>
      </c>
      <c r="S1029" s="593">
        <v>189</v>
      </c>
      <c r="T1029" s="593">
        <v>2016</v>
      </c>
      <c r="U1029" s="593">
        <v>2015</v>
      </c>
      <c r="V1029" s="589"/>
      <c r="W1029" s="589"/>
      <c r="X1029" s="589"/>
      <c r="Y1029" s="589"/>
      <c r="Z1029" s="589"/>
      <c r="AA1029" s="589"/>
      <c r="AB1029" s="589"/>
      <c r="AC1029" s="589"/>
      <c r="AD1029" s="589"/>
      <c r="AE1029" s="589"/>
      <c r="AF1029" s="589"/>
      <c r="AG1029" s="589"/>
      <c r="AH1029" s="589"/>
      <c r="AI1029" s="589"/>
      <c r="AJ1029" s="589"/>
      <c r="AK1029" s="589"/>
      <c r="AL1029" s="589"/>
      <c r="AM1029" s="589"/>
      <c r="AN1029" s="589"/>
      <c r="AO1029" s="589"/>
      <c r="AP1029" s="589"/>
      <c r="AQ1029" s="589"/>
      <c r="AR1029" s="589"/>
      <c r="AS1029" s="589"/>
    </row>
    <row r="1030" spans="1:45" ht="15">
      <c r="A1030" s="587" t="s">
        <v>184</v>
      </c>
      <c r="B1030" s="587" t="s">
        <v>640</v>
      </c>
      <c r="C1030" s="587" t="s">
        <v>774</v>
      </c>
      <c r="D1030" s="588">
        <v>2016</v>
      </c>
      <c r="E1030" s="587" t="s">
        <v>775</v>
      </c>
      <c r="F1030" s="588">
        <v>153</v>
      </c>
      <c r="G1030" s="588">
        <v>0</v>
      </c>
      <c r="H1030" s="588">
        <v>0</v>
      </c>
      <c r="I1030" s="588">
        <v>0</v>
      </c>
      <c r="J1030" s="588">
        <v>103</v>
      </c>
      <c r="K1030" s="588">
        <v>3</v>
      </c>
      <c r="L1030" s="588">
        <v>0</v>
      </c>
      <c r="M1030" s="588">
        <v>3</v>
      </c>
      <c r="N1030" s="588">
        <v>102</v>
      </c>
      <c r="O1030" s="588">
        <v>7</v>
      </c>
      <c r="P1030" s="588">
        <v>555</v>
      </c>
      <c r="Q1030" s="588">
        <v>50</v>
      </c>
      <c r="R1030" s="588">
        <v>913</v>
      </c>
      <c r="S1030" s="588">
        <v>60</v>
      </c>
      <c r="T1030" s="588">
        <v>2016</v>
      </c>
      <c r="U1030" s="588">
        <v>2015</v>
      </c>
      <c r="V1030" s="589"/>
      <c r="W1030" s="589"/>
      <c r="X1030" s="589"/>
      <c r="Y1030" s="589"/>
      <c r="Z1030" s="589"/>
      <c r="AA1030" s="589"/>
      <c r="AB1030" s="589"/>
      <c r="AC1030" s="589"/>
      <c r="AD1030" s="589"/>
      <c r="AE1030" s="589"/>
      <c r="AF1030" s="589"/>
      <c r="AG1030" s="589"/>
      <c r="AH1030" s="589"/>
      <c r="AI1030" s="589"/>
      <c r="AJ1030" s="589"/>
      <c r="AK1030" s="589"/>
      <c r="AL1030" s="589"/>
      <c r="AM1030" s="589"/>
      <c r="AN1030" s="589"/>
      <c r="AO1030" s="589"/>
      <c r="AP1030" s="589"/>
      <c r="AQ1030" s="589"/>
      <c r="AR1030" s="589"/>
      <c r="AS1030" s="589"/>
    </row>
    <row r="1031" spans="1:45" ht="15">
      <c r="A1031" s="590" t="s">
        <v>136</v>
      </c>
      <c r="B1031" s="591" t="s">
        <v>282</v>
      </c>
      <c r="C1031" s="591" t="s">
        <v>774</v>
      </c>
      <c r="D1031" s="592">
        <v>2016</v>
      </c>
      <c r="E1031" s="591" t="s">
        <v>775</v>
      </c>
      <c r="F1031" s="592">
        <v>56</v>
      </c>
      <c r="G1031" s="592">
        <v>0</v>
      </c>
      <c r="H1031" s="592">
        <v>0</v>
      </c>
      <c r="I1031" s="592">
        <v>0</v>
      </c>
      <c r="J1031" s="592">
        <v>53</v>
      </c>
      <c r="K1031" s="592">
        <v>2</v>
      </c>
      <c r="L1031" s="592">
        <v>2</v>
      </c>
      <c r="M1031" s="592">
        <v>0</v>
      </c>
      <c r="N1031" s="593">
        <v>75</v>
      </c>
      <c r="O1031" s="593">
        <v>5</v>
      </c>
      <c r="P1031" s="593">
        <v>265</v>
      </c>
      <c r="Q1031" s="593">
        <v>0</v>
      </c>
      <c r="R1031" s="593">
        <v>449</v>
      </c>
      <c r="S1031" s="593">
        <v>7</v>
      </c>
      <c r="T1031" s="593">
        <v>2016</v>
      </c>
      <c r="U1031" s="593">
        <v>2015</v>
      </c>
      <c r="V1031" s="589"/>
      <c r="W1031" s="589"/>
      <c r="X1031" s="589"/>
      <c r="Y1031" s="589"/>
      <c r="Z1031" s="589"/>
      <c r="AA1031" s="589"/>
      <c r="AB1031" s="589"/>
      <c r="AC1031" s="589"/>
      <c r="AD1031" s="589"/>
      <c r="AE1031" s="589"/>
      <c r="AF1031" s="589"/>
      <c r="AG1031" s="589"/>
      <c r="AH1031" s="589"/>
      <c r="AI1031" s="589"/>
      <c r="AJ1031" s="589"/>
      <c r="AK1031" s="589"/>
      <c r="AL1031" s="589"/>
      <c r="AM1031" s="589"/>
      <c r="AN1031" s="589"/>
      <c r="AO1031" s="589"/>
      <c r="AP1031" s="589"/>
      <c r="AQ1031" s="589"/>
      <c r="AR1031" s="589"/>
      <c r="AS1031" s="589"/>
    </row>
    <row r="1032" spans="1:45" ht="15">
      <c r="A1032" s="587" t="s">
        <v>157</v>
      </c>
      <c r="B1032" s="587" t="s">
        <v>445</v>
      </c>
      <c r="C1032" s="587" t="s">
        <v>774</v>
      </c>
      <c r="D1032" s="588">
        <v>2016</v>
      </c>
      <c r="E1032" s="587" t="s">
        <v>775</v>
      </c>
      <c r="F1032" s="588">
        <v>240</v>
      </c>
      <c r="G1032" s="588">
        <v>0</v>
      </c>
      <c r="H1032" s="588">
        <v>0</v>
      </c>
      <c r="I1032" s="588">
        <v>0</v>
      </c>
      <c r="J1032" s="588">
        <v>148</v>
      </c>
      <c r="K1032" s="588">
        <v>5</v>
      </c>
      <c r="L1032" s="588">
        <v>5</v>
      </c>
      <c r="M1032" s="588">
        <v>0</v>
      </c>
      <c r="N1032" s="588">
        <v>181</v>
      </c>
      <c r="O1032" s="588">
        <v>0</v>
      </c>
      <c r="P1032" s="588">
        <v>438</v>
      </c>
      <c r="Q1032" s="588">
        <v>21</v>
      </c>
      <c r="R1032" s="588">
        <v>1007</v>
      </c>
      <c r="S1032" s="588">
        <v>26</v>
      </c>
      <c r="T1032" s="588">
        <v>2016</v>
      </c>
      <c r="U1032" s="588">
        <v>2015</v>
      </c>
      <c r="V1032" s="589"/>
      <c r="W1032" s="589"/>
      <c r="X1032" s="589"/>
      <c r="Y1032" s="589"/>
      <c r="Z1032" s="589"/>
      <c r="AA1032" s="589"/>
      <c r="AB1032" s="589"/>
      <c r="AC1032" s="589"/>
      <c r="AD1032" s="589"/>
      <c r="AE1032" s="589"/>
      <c r="AF1032" s="589"/>
      <c r="AG1032" s="589"/>
      <c r="AH1032" s="589"/>
      <c r="AI1032" s="589"/>
      <c r="AJ1032" s="589"/>
      <c r="AK1032" s="589"/>
      <c r="AL1032" s="589"/>
      <c r="AM1032" s="589"/>
      <c r="AN1032" s="589"/>
      <c r="AO1032" s="589"/>
      <c r="AP1032" s="589"/>
      <c r="AQ1032" s="589"/>
      <c r="AR1032" s="589"/>
      <c r="AS1032" s="589"/>
    </row>
    <row r="1033" spans="1:45" ht="15">
      <c r="A1033" s="590" t="s">
        <v>136</v>
      </c>
      <c r="B1033" s="591" t="s">
        <v>283</v>
      </c>
      <c r="C1033" s="591" t="s">
        <v>774</v>
      </c>
      <c r="D1033" s="592">
        <v>2016</v>
      </c>
      <c r="E1033" s="591" t="s">
        <v>775</v>
      </c>
      <c r="F1033" s="592">
        <v>516</v>
      </c>
      <c r="G1033" s="592">
        <v>20</v>
      </c>
      <c r="H1033" s="592">
        <v>20</v>
      </c>
      <c r="I1033" s="592">
        <v>0</v>
      </c>
      <c r="J1033" s="592">
        <v>279</v>
      </c>
      <c r="K1033" s="592">
        <v>82</v>
      </c>
      <c r="L1033" s="592">
        <v>82</v>
      </c>
      <c r="M1033" s="592">
        <v>0</v>
      </c>
      <c r="N1033" s="593">
        <v>282</v>
      </c>
      <c r="O1033" s="593">
        <v>162</v>
      </c>
      <c r="P1033" s="593">
        <v>340</v>
      </c>
      <c r="Q1033" s="593">
        <v>618</v>
      </c>
      <c r="R1033" s="593">
        <v>1417</v>
      </c>
      <c r="S1033" s="593">
        <v>882</v>
      </c>
      <c r="T1033" s="593">
        <v>2016</v>
      </c>
      <c r="U1033" s="593">
        <v>2015</v>
      </c>
      <c r="V1033" s="589"/>
      <c r="W1033" s="589"/>
      <c r="X1033" s="589"/>
      <c r="Y1033" s="589"/>
      <c r="Z1033" s="589"/>
      <c r="AA1033" s="589"/>
      <c r="AB1033" s="589"/>
      <c r="AC1033" s="589"/>
      <c r="AD1033" s="589"/>
      <c r="AE1033" s="589"/>
      <c r="AF1033" s="589"/>
      <c r="AG1033" s="589"/>
      <c r="AH1033" s="589"/>
      <c r="AI1033" s="589"/>
      <c r="AJ1033" s="589"/>
      <c r="AK1033" s="589"/>
      <c r="AL1033" s="589"/>
      <c r="AM1033" s="589"/>
      <c r="AN1033" s="589"/>
      <c r="AO1033" s="589"/>
      <c r="AP1033" s="589"/>
      <c r="AQ1033" s="589"/>
      <c r="AR1033" s="589"/>
      <c r="AS1033" s="589"/>
    </row>
    <row r="1034" spans="1:45" ht="15">
      <c r="A1034" s="587" t="s">
        <v>141</v>
      </c>
      <c r="B1034" s="587" t="s">
        <v>302</v>
      </c>
      <c r="C1034" s="587" t="s">
        <v>177</v>
      </c>
      <c r="D1034" s="588">
        <v>2016</v>
      </c>
      <c r="E1034" s="587" t="s">
        <v>775</v>
      </c>
      <c r="F1034" s="588">
        <v>312</v>
      </c>
      <c r="G1034" s="588">
        <v>0</v>
      </c>
      <c r="H1034" s="588">
        <v>0</v>
      </c>
      <c r="I1034" s="588">
        <v>0</v>
      </c>
      <c r="J1034" s="588">
        <v>175</v>
      </c>
      <c r="K1034" s="588">
        <v>0</v>
      </c>
      <c r="L1034" s="588">
        <v>0</v>
      </c>
      <c r="M1034" s="588">
        <v>0</v>
      </c>
      <c r="N1034" s="588">
        <v>163</v>
      </c>
      <c r="O1034" s="588">
        <v>0</v>
      </c>
      <c r="P1034" s="588">
        <v>568</v>
      </c>
      <c r="Q1034" s="588">
        <v>0</v>
      </c>
      <c r="R1034" s="588">
        <v>1218</v>
      </c>
      <c r="S1034" s="588">
        <v>0</v>
      </c>
      <c r="T1034" s="588">
        <v>2016</v>
      </c>
      <c r="U1034" s="588">
        <v>2016</v>
      </c>
      <c r="V1034" s="589"/>
      <c r="W1034" s="589"/>
      <c r="X1034" s="589"/>
      <c r="Y1034" s="589"/>
      <c r="Z1034" s="589"/>
      <c r="AA1034" s="589"/>
      <c r="AB1034" s="589"/>
      <c r="AC1034" s="589"/>
      <c r="AD1034" s="589"/>
      <c r="AE1034" s="589"/>
      <c r="AF1034" s="589"/>
      <c r="AG1034" s="589"/>
      <c r="AH1034" s="589"/>
      <c r="AI1034" s="589"/>
      <c r="AJ1034" s="589"/>
      <c r="AK1034" s="589"/>
      <c r="AL1034" s="589"/>
      <c r="AM1034" s="589"/>
      <c r="AN1034" s="589"/>
      <c r="AO1034" s="589"/>
      <c r="AP1034" s="589"/>
      <c r="AQ1034" s="589"/>
      <c r="AR1034" s="589"/>
      <c r="AS1034" s="589"/>
    </row>
    <row r="1035" spans="1:45" ht="15">
      <c r="A1035" s="590" t="s">
        <v>169</v>
      </c>
      <c r="B1035" s="591" t="s">
        <v>512</v>
      </c>
      <c r="C1035" s="591" t="s">
        <v>812</v>
      </c>
      <c r="D1035" s="592">
        <v>2016</v>
      </c>
      <c r="E1035" s="591" t="s">
        <v>775</v>
      </c>
      <c r="F1035" s="592">
        <v>45</v>
      </c>
      <c r="G1035" s="592">
        <v>0</v>
      </c>
      <c r="H1035" s="592">
        <v>0</v>
      </c>
      <c r="I1035" s="592">
        <v>0</v>
      </c>
      <c r="J1035" s="592">
        <v>32</v>
      </c>
      <c r="K1035" s="592">
        <v>12</v>
      </c>
      <c r="L1035" s="592">
        <v>12</v>
      </c>
      <c r="M1035" s="592">
        <v>0</v>
      </c>
      <c r="N1035" s="593">
        <v>37</v>
      </c>
      <c r="O1035" s="593">
        <v>5</v>
      </c>
      <c r="P1035" s="593">
        <v>90</v>
      </c>
      <c r="Q1035" s="593">
        <v>285</v>
      </c>
      <c r="R1035" s="593">
        <v>204</v>
      </c>
      <c r="S1035" s="593">
        <v>302</v>
      </c>
      <c r="T1035" s="593">
        <v>2016</v>
      </c>
      <c r="U1035" s="593">
        <v>2014</v>
      </c>
      <c r="V1035" s="589"/>
      <c r="W1035" s="589"/>
      <c r="X1035" s="589"/>
      <c r="Y1035" s="589"/>
      <c r="Z1035" s="589"/>
      <c r="AA1035" s="589"/>
      <c r="AB1035" s="589"/>
      <c r="AC1035" s="589"/>
      <c r="AD1035" s="589"/>
      <c r="AE1035" s="589"/>
      <c r="AF1035" s="589"/>
      <c r="AG1035" s="589"/>
      <c r="AH1035" s="589"/>
      <c r="AI1035" s="589"/>
      <c r="AJ1035" s="589"/>
      <c r="AK1035" s="589"/>
      <c r="AL1035" s="589"/>
      <c r="AM1035" s="589"/>
      <c r="AN1035" s="589"/>
      <c r="AO1035" s="589"/>
      <c r="AP1035" s="589"/>
      <c r="AQ1035" s="589"/>
      <c r="AR1035" s="589"/>
      <c r="AS1035" s="589"/>
    </row>
    <row r="1036" spans="1:45" ht="15">
      <c r="A1036" s="587" t="s">
        <v>185</v>
      </c>
      <c r="B1036" s="587" t="s">
        <v>185</v>
      </c>
      <c r="C1036" s="587" t="s">
        <v>868</v>
      </c>
      <c r="D1036" s="588">
        <v>2016</v>
      </c>
      <c r="E1036" s="587" t="s">
        <v>775</v>
      </c>
      <c r="F1036" s="588">
        <v>962</v>
      </c>
      <c r="G1036" s="588">
        <v>61</v>
      </c>
      <c r="H1036" s="588">
        <v>61</v>
      </c>
      <c r="I1036" s="588">
        <v>0</v>
      </c>
      <c r="J1036" s="588">
        <v>701</v>
      </c>
      <c r="K1036" s="588">
        <v>36</v>
      </c>
      <c r="L1036" s="588">
        <v>36</v>
      </c>
      <c r="M1036" s="588">
        <v>0</v>
      </c>
      <c r="N1036" s="588">
        <v>820</v>
      </c>
      <c r="O1036" s="588">
        <v>0</v>
      </c>
      <c r="P1036" s="588">
        <v>1617</v>
      </c>
      <c r="Q1036" s="588">
        <v>159</v>
      </c>
      <c r="R1036" s="588">
        <v>4100</v>
      </c>
      <c r="S1036" s="588">
        <v>256</v>
      </c>
      <c r="T1036" s="588">
        <v>2016</v>
      </c>
      <c r="U1036" s="588">
        <v>2015</v>
      </c>
      <c r="V1036" s="589"/>
      <c r="W1036" s="589"/>
      <c r="X1036" s="589"/>
      <c r="Y1036" s="589"/>
      <c r="Z1036" s="589"/>
      <c r="AA1036" s="589"/>
      <c r="AB1036" s="589"/>
      <c r="AC1036" s="589"/>
      <c r="AD1036" s="589"/>
      <c r="AE1036" s="589"/>
      <c r="AF1036" s="589"/>
      <c r="AG1036" s="589"/>
      <c r="AH1036" s="589"/>
      <c r="AI1036" s="589"/>
      <c r="AJ1036" s="589"/>
      <c r="AK1036" s="589"/>
      <c r="AL1036" s="589"/>
      <c r="AM1036" s="589"/>
      <c r="AN1036" s="589"/>
      <c r="AO1036" s="589"/>
      <c r="AP1036" s="589"/>
      <c r="AQ1036" s="589"/>
      <c r="AR1036" s="589"/>
      <c r="AS1036" s="589"/>
    </row>
    <row r="1037" spans="1:45" ht="15">
      <c r="A1037" s="590" t="s">
        <v>185</v>
      </c>
      <c r="B1037" s="591" t="s">
        <v>648</v>
      </c>
      <c r="C1037" s="591" t="s">
        <v>868</v>
      </c>
      <c r="D1037" s="592">
        <v>2016</v>
      </c>
      <c r="E1037" s="591" t="s">
        <v>775</v>
      </c>
      <c r="F1037" s="592">
        <v>159</v>
      </c>
      <c r="G1037" s="592">
        <v>0</v>
      </c>
      <c r="H1037" s="592">
        <v>0</v>
      </c>
      <c r="I1037" s="592">
        <v>0</v>
      </c>
      <c r="J1037" s="592">
        <v>106</v>
      </c>
      <c r="K1037" s="592">
        <v>7</v>
      </c>
      <c r="L1037" s="592">
        <v>0</v>
      </c>
      <c r="M1037" s="592">
        <v>7</v>
      </c>
      <c r="N1037" s="593">
        <v>112</v>
      </c>
      <c r="O1037" s="593">
        <v>13</v>
      </c>
      <c r="P1037" s="593">
        <v>284</v>
      </c>
      <c r="Q1037" s="593">
        <v>31</v>
      </c>
      <c r="R1037" s="593">
        <v>661</v>
      </c>
      <c r="S1037" s="593">
        <v>51</v>
      </c>
      <c r="T1037" s="593">
        <v>2016</v>
      </c>
      <c r="U1037" s="593">
        <v>2015</v>
      </c>
      <c r="V1037" s="589"/>
      <c r="W1037" s="589"/>
      <c r="X1037" s="589"/>
      <c r="Y1037" s="589"/>
      <c r="Z1037" s="589"/>
      <c r="AA1037" s="589"/>
      <c r="AB1037" s="589"/>
      <c r="AC1037" s="589"/>
      <c r="AD1037" s="589"/>
      <c r="AE1037" s="589"/>
      <c r="AF1037" s="589"/>
      <c r="AG1037" s="589"/>
      <c r="AH1037" s="589"/>
      <c r="AI1037" s="589"/>
      <c r="AJ1037" s="589"/>
      <c r="AK1037" s="589"/>
      <c r="AL1037" s="589"/>
      <c r="AM1037" s="589"/>
      <c r="AN1037" s="589"/>
      <c r="AO1037" s="589"/>
      <c r="AP1037" s="589"/>
      <c r="AQ1037" s="589"/>
      <c r="AR1037" s="589"/>
      <c r="AS1037" s="589"/>
    </row>
    <row r="1038" spans="1:45" ht="15">
      <c r="A1038" s="587" t="s">
        <v>187</v>
      </c>
      <c r="B1038" s="587" t="s">
        <v>187</v>
      </c>
      <c r="C1038" s="587" t="s">
        <v>774</v>
      </c>
      <c r="D1038" s="588">
        <v>2016</v>
      </c>
      <c r="E1038" s="587" t="s">
        <v>775</v>
      </c>
      <c r="F1038" s="588">
        <v>1050</v>
      </c>
      <c r="G1038" s="588">
        <v>1</v>
      </c>
      <c r="H1038" s="588">
        <v>1</v>
      </c>
      <c r="I1038" s="588">
        <v>0</v>
      </c>
      <c r="J1038" s="588">
        <v>695</v>
      </c>
      <c r="K1038" s="588">
        <v>1</v>
      </c>
      <c r="L1038" s="588">
        <v>1</v>
      </c>
      <c r="M1038" s="588">
        <v>0</v>
      </c>
      <c r="N1038" s="588">
        <v>755</v>
      </c>
      <c r="O1038" s="588">
        <v>16</v>
      </c>
      <c r="P1038" s="588">
        <v>1593</v>
      </c>
      <c r="Q1038" s="588">
        <v>399</v>
      </c>
      <c r="R1038" s="588">
        <v>4093</v>
      </c>
      <c r="S1038" s="588">
        <v>417</v>
      </c>
      <c r="T1038" s="588">
        <v>2016</v>
      </c>
      <c r="U1038" s="588">
        <v>2015</v>
      </c>
      <c r="V1038" s="589"/>
      <c r="W1038" s="589"/>
      <c r="X1038" s="589"/>
      <c r="Y1038" s="589"/>
      <c r="Z1038" s="589"/>
      <c r="AA1038" s="589"/>
      <c r="AB1038" s="589"/>
      <c r="AC1038" s="589"/>
      <c r="AD1038" s="589"/>
      <c r="AE1038" s="589"/>
      <c r="AF1038" s="589"/>
      <c r="AG1038" s="589"/>
      <c r="AH1038" s="589"/>
      <c r="AI1038" s="589"/>
      <c r="AJ1038" s="589"/>
      <c r="AK1038" s="589"/>
      <c r="AL1038" s="589"/>
      <c r="AM1038" s="589"/>
      <c r="AN1038" s="589"/>
      <c r="AO1038" s="589"/>
      <c r="AP1038" s="589"/>
      <c r="AQ1038" s="589"/>
      <c r="AR1038" s="589"/>
      <c r="AS1038" s="589"/>
    </row>
    <row r="1039" spans="1:45" ht="15">
      <c r="A1039" s="590" t="s">
        <v>187</v>
      </c>
      <c r="B1039" s="591" t="s">
        <v>663</v>
      </c>
      <c r="C1039" s="591" t="s">
        <v>774</v>
      </c>
      <c r="D1039" s="592">
        <v>2016</v>
      </c>
      <c r="E1039" s="591" t="s">
        <v>775</v>
      </c>
      <c r="F1039" s="592">
        <v>22</v>
      </c>
      <c r="G1039" s="592">
        <v>11</v>
      </c>
      <c r="H1039" s="592">
        <v>11</v>
      </c>
      <c r="I1039" s="592">
        <v>0</v>
      </c>
      <c r="J1039" s="592">
        <v>13</v>
      </c>
      <c r="K1039" s="592">
        <v>0</v>
      </c>
      <c r="L1039" s="592">
        <v>0</v>
      </c>
      <c r="M1039" s="592">
        <v>0</v>
      </c>
      <c r="N1039" s="593">
        <v>214</v>
      </c>
      <c r="O1039" s="593">
        <v>0</v>
      </c>
      <c r="P1039" s="593">
        <v>28</v>
      </c>
      <c r="Q1039" s="593">
        <v>66</v>
      </c>
      <c r="R1039" s="593">
        <v>277</v>
      </c>
      <c r="S1039" s="593">
        <v>77</v>
      </c>
      <c r="T1039" s="593">
        <v>2016</v>
      </c>
      <c r="U1039" s="593">
        <v>2015</v>
      </c>
      <c r="V1039" s="589"/>
      <c r="W1039" s="589"/>
      <c r="X1039" s="589"/>
      <c r="Y1039" s="589"/>
      <c r="Z1039" s="589"/>
      <c r="AA1039" s="589"/>
      <c r="AB1039" s="589"/>
      <c r="AC1039" s="589"/>
      <c r="AD1039" s="589"/>
      <c r="AE1039" s="589"/>
      <c r="AF1039" s="589"/>
      <c r="AG1039" s="589"/>
      <c r="AH1039" s="589"/>
      <c r="AI1039" s="589"/>
      <c r="AJ1039" s="589"/>
      <c r="AK1039" s="589"/>
      <c r="AL1039" s="589"/>
      <c r="AM1039" s="589"/>
      <c r="AN1039" s="589"/>
      <c r="AO1039" s="589"/>
      <c r="AP1039" s="589"/>
      <c r="AQ1039" s="589"/>
      <c r="AR1039" s="589"/>
      <c r="AS1039" s="589"/>
    </row>
    <row r="1040" spans="1:45" ht="15">
      <c r="A1040" s="587" t="s">
        <v>153</v>
      </c>
      <c r="B1040" s="587" t="s">
        <v>418</v>
      </c>
      <c r="C1040" s="587" t="s">
        <v>812</v>
      </c>
      <c r="D1040" s="588">
        <v>2016</v>
      </c>
      <c r="E1040" s="587" t="s">
        <v>775</v>
      </c>
      <c r="F1040" s="588">
        <v>2645</v>
      </c>
      <c r="G1040" s="588">
        <v>10</v>
      </c>
      <c r="H1040" s="588">
        <v>10</v>
      </c>
      <c r="I1040" s="588">
        <v>0</v>
      </c>
      <c r="J1040" s="588">
        <v>1678</v>
      </c>
      <c r="K1040" s="588">
        <v>19</v>
      </c>
      <c r="L1040" s="588">
        <v>19</v>
      </c>
      <c r="M1040" s="588">
        <v>0</v>
      </c>
      <c r="N1040" s="588">
        <v>1532</v>
      </c>
      <c r="O1040" s="588">
        <v>0</v>
      </c>
      <c r="P1040" s="588">
        <v>5126</v>
      </c>
      <c r="Q1040" s="588">
        <v>433</v>
      </c>
      <c r="R1040" s="588">
        <v>10981</v>
      </c>
      <c r="S1040" s="588">
        <v>462</v>
      </c>
      <c r="T1040" s="588">
        <v>2016</v>
      </c>
      <c r="U1040" s="588">
        <v>2014</v>
      </c>
      <c r="V1040" s="589"/>
      <c r="W1040" s="589"/>
      <c r="X1040" s="589"/>
      <c r="Y1040" s="589"/>
      <c r="Z1040" s="589"/>
      <c r="AA1040" s="589"/>
      <c r="AB1040" s="589"/>
      <c r="AC1040" s="589"/>
      <c r="AD1040" s="589"/>
      <c r="AE1040" s="589"/>
      <c r="AF1040" s="589"/>
      <c r="AG1040" s="589"/>
      <c r="AH1040" s="589"/>
      <c r="AI1040" s="589"/>
      <c r="AJ1040" s="589"/>
      <c r="AK1040" s="589"/>
      <c r="AL1040" s="589"/>
      <c r="AM1040" s="589"/>
      <c r="AN1040" s="589"/>
      <c r="AO1040" s="589"/>
      <c r="AP1040" s="589"/>
      <c r="AQ1040" s="589"/>
      <c r="AR1040" s="589"/>
      <c r="AS1040" s="589"/>
    </row>
    <row r="1041" spans="1:45" ht="15">
      <c r="A1041" s="590" t="s">
        <v>188</v>
      </c>
      <c r="B1041" s="591" t="s">
        <v>188</v>
      </c>
      <c r="C1041" s="591" t="s">
        <v>177</v>
      </c>
      <c r="D1041" s="592">
        <v>2016</v>
      </c>
      <c r="E1041" s="591" t="s">
        <v>775</v>
      </c>
      <c r="F1041" s="592">
        <v>180</v>
      </c>
      <c r="G1041" s="592">
        <v>1</v>
      </c>
      <c r="H1041" s="592">
        <v>1</v>
      </c>
      <c r="I1041" s="592">
        <v>0</v>
      </c>
      <c r="J1041" s="592">
        <v>118</v>
      </c>
      <c r="K1041" s="592">
        <v>15</v>
      </c>
      <c r="L1041" s="592">
        <v>15</v>
      </c>
      <c r="M1041" s="592">
        <v>0</v>
      </c>
      <c r="N1041" s="593">
        <v>136</v>
      </c>
      <c r="O1041" s="593">
        <v>112</v>
      </c>
      <c r="P1041" s="593">
        <v>313</v>
      </c>
      <c r="Q1041" s="593">
        <v>44</v>
      </c>
      <c r="R1041" s="593">
        <v>747</v>
      </c>
      <c r="S1041" s="593">
        <v>172</v>
      </c>
      <c r="T1041" s="593">
        <v>2016</v>
      </c>
      <c r="U1041" s="593">
        <v>2016</v>
      </c>
      <c r="V1041" s="589"/>
      <c r="W1041" s="589"/>
      <c r="X1041" s="589"/>
      <c r="Y1041" s="589"/>
      <c r="Z1041" s="589"/>
      <c r="AA1041" s="589"/>
      <c r="AB1041" s="589"/>
      <c r="AC1041" s="589"/>
      <c r="AD1041" s="589"/>
      <c r="AE1041" s="589"/>
      <c r="AF1041" s="589"/>
      <c r="AG1041" s="589"/>
      <c r="AH1041" s="589"/>
      <c r="AI1041" s="589"/>
      <c r="AJ1041" s="589"/>
      <c r="AK1041" s="589"/>
      <c r="AL1041" s="589"/>
      <c r="AM1041" s="589"/>
      <c r="AN1041" s="589"/>
      <c r="AO1041" s="589"/>
      <c r="AP1041" s="589"/>
      <c r="AQ1041" s="589"/>
      <c r="AR1041" s="589"/>
      <c r="AS1041" s="589"/>
    </row>
    <row r="1042" spans="1:45" ht="15">
      <c r="A1042" s="587" t="s">
        <v>188</v>
      </c>
      <c r="B1042" s="587" t="s">
        <v>667</v>
      </c>
      <c r="C1042" s="587" t="s">
        <v>177</v>
      </c>
      <c r="D1042" s="588">
        <v>2016</v>
      </c>
      <c r="E1042" s="587" t="s">
        <v>775</v>
      </c>
      <c r="F1042" s="588">
        <v>317</v>
      </c>
      <c r="G1042" s="588">
        <v>42</v>
      </c>
      <c r="H1042" s="588">
        <v>42</v>
      </c>
      <c r="I1042" s="588">
        <v>0</v>
      </c>
      <c r="J1042" s="588">
        <v>207</v>
      </c>
      <c r="K1042" s="588">
        <v>23</v>
      </c>
      <c r="L1042" s="588">
        <v>23</v>
      </c>
      <c r="M1042" s="588">
        <v>0</v>
      </c>
      <c r="N1042" s="588">
        <v>239</v>
      </c>
      <c r="O1042" s="588">
        <v>35</v>
      </c>
      <c r="P1042" s="588">
        <v>551</v>
      </c>
      <c r="Q1042" s="588">
        <v>17</v>
      </c>
      <c r="R1042" s="588">
        <v>1314</v>
      </c>
      <c r="S1042" s="588">
        <v>117</v>
      </c>
      <c r="T1042" s="588">
        <v>2016</v>
      </c>
      <c r="U1042" s="588">
        <v>2016</v>
      </c>
      <c r="V1042" s="589"/>
      <c r="W1042" s="589"/>
      <c r="X1042" s="589"/>
      <c r="Y1042" s="589"/>
      <c r="Z1042" s="589"/>
      <c r="AA1042" s="589"/>
      <c r="AB1042" s="589"/>
      <c r="AC1042" s="589"/>
      <c r="AD1042" s="589"/>
      <c r="AE1042" s="589"/>
      <c r="AF1042" s="589"/>
      <c r="AG1042" s="589"/>
      <c r="AH1042" s="589"/>
      <c r="AI1042" s="589"/>
      <c r="AJ1042" s="589"/>
      <c r="AK1042" s="589"/>
      <c r="AL1042" s="589"/>
      <c r="AM1042" s="589"/>
      <c r="AN1042" s="589"/>
      <c r="AO1042" s="589"/>
      <c r="AP1042" s="589"/>
      <c r="AQ1042" s="589"/>
      <c r="AR1042" s="589"/>
      <c r="AS1042" s="589"/>
    </row>
    <row r="1043" spans="1:45" ht="15">
      <c r="A1043" s="590" t="s">
        <v>153</v>
      </c>
      <c r="B1043" s="591" t="s">
        <v>419</v>
      </c>
      <c r="C1043" s="591" t="s">
        <v>812</v>
      </c>
      <c r="D1043" s="592">
        <v>2016</v>
      </c>
      <c r="E1043" s="591" t="s">
        <v>775</v>
      </c>
      <c r="F1043" s="592">
        <v>82</v>
      </c>
      <c r="G1043" s="592">
        <v>0</v>
      </c>
      <c r="H1043" s="592">
        <v>0</v>
      </c>
      <c r="I1043" s="592">
        <v>0</v>
      </c>
      <c r="J1043" s="592">
        <v>50</v>
      </c>
      <c r="K1043" s="592">
        <v>0</v>
      </c>
      <c r="L1043" s="592">
        <v>0</v>
      </c>
      <c r="M1043" s="592">
        <v>0</v>
      </c>
      <c r="N1043" s="593">
        <v>53</v>
      </c>
      <c r="O1043" s="593">
        <v>0</v>
      </c>
      <c r="P1043" s="593">
        <v>139</v>
      </c>
      <c r="Q1043" s="593">
        <v>0</v>
      </c>
      <c r="R1043" s="593">
        <v>324</v>
      </c>
      <c r="S1043" s="593">
        <v>0</v>
      </c>
      <c r="T1043" s="593">
        <v>2016</v>
      </c>
      <c r="U1043" s="593">
        <v>2014</v>
      </c>
      <c r="V1043" s="589"/>
      <c r="W1043" s="589"/>
      <c r="X1043" s="589"/>
      <c r="Y1043" s="589"/>
      <c r="Z1043" s="589"/>
      <c r="AA1043" s="589"/>
      <c r="AB1043" s="589"/>
      <c r="AC1043" s="589"/>
      <c r="AD1043" s="589"/>
      <c r="AE1043" s="589"/>
      <c r="AF1043" s="589"/>
      <c r="AG1043" s="589"/>
      <c r="AH1043" s="589"/>
      <c r="AI1043" s="589"/>
      <c r="AJ1043" s="589"/>
      <c r="AK1043" s="589"/>
      <c r="AL1043" s="589"/>
      <c r="AM1043" s="589"/>
      <c r="AN1043" s="589"/>
      <c r="AO1043" s="589"/>
      <c r="AP1043" s="589"/>
      <c r="AQ1043" s="589"/>
      <c r="AR1043" s="589"/>
      <c r="AS1043" s="589"/>
    </row>
    <row r="1044" spans="1:45" ht="15">
      <c r="A1044" s="587" t="s">
        <v>185</v>
      </c>
      <c r="B1044" s="587" t="s">
        <v>649</v>
      </c>
      <c r="C1044" s="587" t="s">
        <v>868</v>
      </c>
      <c r="D1044" s="588">
        <v>2016</v>
      </c>
      <c r="E1044" s="587" t="s">
        <v>775</v>
      </c>
      <c r="F1044" s="588">
        <v>985</v>
      </c>
      <c r="G1044" s="588">
        <v>27</v>
      </c>
      <c r="H1044" s="588">
        <v>27</v>
      </c>
      <c r="I1044" s="588">
        <v>0</v>
      </c>
      <c r="J1044" s="588">
        <v>656</v>
      </c>
      <c r="K1044" s="588">
        <v>59</v>
      </c>
      <c r="L1044" s="588">
        <v>59</v>
      </c>
      <c r="M1044" s="588">
        <v>0</v>
      </c>
      <c r="N1044" s="588">
        <v>730</v>
      </c>
      <c r="O1044" s="588">
        <v>14</v>
      </c>
      <c r="P1044" s="588">
        <v>1731</v>
      </c>
      <c r="Q1044" s="588">
        <v>191</v>
      </c>
      <c r="R1044" s="588">
        <v>4102</v>
      </c>
      <c r="S1044" s="588">
        <v>291</v>
      </c>
      <c r="T1044" s="588">
        <v>2016</v>
      </c>
      <c r="U1044" s="588">
        <v>2015</v>
      </c>
      <c r="V1044" s="589"/>
      <c r="W1044" s="589"/>
      <c r="X1044" s="589"/>
      <c r="Y1044" s="589"/>
      <c r="Z1044" s="589"/>
      <c r="AA1044" s="589"/>
      <c r="AB1044" s="589"/>
      <c r="AC1044" s="589"/>
      <c r="AD1044" s="589"/>
      <c r="AE1044" s="589"/>
      <c r="AF1044" s="589"/>
      <c r="AG1044" s="589"/>
      <c r="AH1044" s="589"/>
      <c r="AI1044" s="589"/>
      <c r="AJ1044" s="589"/>
      <c r="AK1044" s="589"/>
      <c r="AL1044" s="589"/>
      <c r="AM1044" s="589"/>
      <c r="AN1044" s="589"/>
      <c r="AO1044" s="589"/>
      <c r="AP1044" s="589"/>
      <c r="AQ1044" s="589"/>
      <c r="AR1044" s="589"/>
      <c r="AS1044" s="589"/>
    </row>
    <row r="1045" spans="1:45" ht="15">
      <c r="A1045" s="590" t="s">
        <v>153</v>
      </c>
      <c r="B1045" s="591" t="s">
        <v>420</v>
      </c>
      <c r="C1045" s="591" t="s">
        <v>812</v>
      </c>
      <c r="D1045" s="592">
        <v>2016</v>
      </c>
      <c r="E1045" s="591" t="s">
        <v>775</v>
      </c>
      <c r="F1045" s="592">
        <v>428</v>
      </c>
      <c r="G1045" s="592">
        <v>6</v>
      </c>
      <c r="H1045" s="592">
        <v>6</v>
      </c>
      <c r="I1045" s="592">
        <v>0</v>
      </c>
      <c r="J1045" s="592">
        <v>263</v>
      </c>
      <c r="K1045" s="592">
        <v>6</v>
      </c>
      <c r="L1045" s="592">
        <v>6</v>
      </c>
      <c r="M1045" s="592">
        <v>0</v>
      </c>
      <c r="N1045" s="593">
        <v>283</v>
      </c>
      <c r="O1045" s="593">
        <v>0</v>
      </c>
      <c r="P1045" s="593">
        <v>700</v>
      </c>
      <c r="Q1045" s="593">
        <v>244</v>
      </c>
      <c r="R1045" s="593">
        <v>1674</v>
      </c>
      <c r="S1045" s="593">
        <v>256</v>
      </c>
      <c r="T1045" s="593">
        <v>2016</v>
      </c>
      <c r="U1045" s="593">
        <v>2014</v>
      </c>
      <c r="V1045" s="589"/>
      <c r="W1045" s="589"/>
      <c r="X1045" s="589"/>
      <c r="Y1045" s="589"/>
      <c r="Z1045" s="589"/>
      <c r="AA1045" s="589"/>
      <c r="AB1045" s="589"/>
      <c r="AC1045" s="589"/>
      <c r="AD1045" s="589"/>
      <c r="AE1045" s="589"/>
      <c r="AF1045" s="589"/>
      <c r="AG1045" s="589"/>
      <c r="AH1045" s="589"/>
      <c r="AI1045" s="589"/>
      <c r="AJ1045" s="589"/>
      <c r="AK1045" s="589"/>
      <c r="AL1045" s="589"/>
      <c r="AM1045" s="589"/>
      <c r="AN1045" s="589"/>
      <c r="AO1045" s="589"/>
      <c r="AP1045" s="589"/>
      <c r="AQ1045" s="589"/>
      <c r="AR1045" s="589"/>
      <c r="AS1045" s="589"/>
    </row>
    <row r="1046" spans="1:45" ht="15">
      <c r="A1046" s="587" t="s">
        <v>193</v>
      </c>
      <c r="B1046" s="587" t="s">
        <v>699</v>
      </c>
      <c r="C1046" s="587" t="s">
        <v>774</v>
      </c>
      <c r="D1046" s="588">
        <v>2016</v>
      </c>
      <c r="E1046" s="587" t="s">
        <v>775</v>
      </c>
      <c r="F1046" s="588">
        <v>1041</v>
      </c>
      <c r="G1046" s="588">
        <v>38</v>
      </c>
      <c r="H1046" s="588">
        <v>38</v>
      </c>
      <c r="I1046" s="588">
        <v>0</v>
      </c>
      <c r="J1046" s="588">
        <v>671</v>
      </c>
      <c r="K1046" s="588">
        <v>3</v>
      </c>
      <c r="L1046" s="588">
        <v>3</v>
      </c>
      <c r="M1046" s="588">
        <v>0</v>
      </c>
      <c r="N1046" s="588">
        <v>759</v>
      </c>
      <c r="O1046" s="588">
        <v>16</v>
      </c>
      <c r="P1046" s="588">
        <v>2612</v>
      </c>
      <c r="Q1046" s="588">
        <v>246</v>
      </c>
      <c r="R1046" s="588">
        <v>5083</v>
      </c>
      <c r="S1046" s="588">
        <v>303</v>
      </c>
      <c r="T1046" s="588">
        <v>2016</v>
      </c>
      <c r="U1046" s="588">
        <v>2015</v>
      </c>
      <c r="V1046" s="589"/>
      <c r="W1046" s="589"/>
      <c r="X1046" s="589"/>
      <c r="Y1046" s="589"/>
      <c r="Z1046" s="589"/>
      <c r="AA1046" s="589"/>
      <c r="AB1046" s="589"/>
      <c r="AC1046" s="589"/>
      <c r="AD1046" s="589"/>
      <c r="AE1046" s="589"/>
      <c r="AF1046" s="589"/>
      <c r="AG1046" s="589"/>
      <c r="AH1046" s="589"/>
      <c r="AI1046" s="589"/>
      <c r="AJ1046" s="589"/>
      <c r="AK1046" s="589"/>
      <c r="AL1046" s="589"/>
      <c r="AM1046" s="589"/>
      <c r="AN1046" s="589"/>
      <c r="AO1046" s="589"/>
      <c r="AP1046" s="589"/>
      <c r="AQ1046" s="589"/>
      <c r="AR1046" s="589"/>
      <c r="AS1046" s="589"/>
    </row>
    <row r="1047" spans="1:45" ht="15">
      <c r="A1047" s="590" t="s">
        <v>179</v>
      </c>
      <c r="B1047" s="591" t="s">
        <v>605</v>
      </c>
      <c r="C1047" s="591" t="s">
        <v>855</v>
      </c>
      <c r="D1047" s="592">
        <v>2016</v>
      </c>
      <c r="E1047" s="591" t="s">
        <v>775</v>
      </c>
      <c r="F1047" s="592">
        <v>914</v>
      </c>
      <c r="G1047" s="592">
        <v>0</v>
      </c>
      <c r="H1047" s="592">
        <v>0</v>
      </c>
      <c r="I1047" s="592">
        <v>0</v>
      </c>
      <c r="J1047" s="592">
        <v>694</v>
      </c>
      <c r="K1047" s="592">
        <v>2</v>
      </c>
      <c r="L1047" s="592">
        <v>0</v>
      </c>
      <c r="M1047" s="592">
        <v>2</v>
      </c>
      <c r="N1047" s="593">
        <v>642</v>
      </c>
      <c r="O1047" s="593">
        <v>0</v>
      </c>
      <c r="P1047" s="593">
        <v>1410</v>
      </c>
      <c r="Q1047" s="593">
        <v>50</v>
      </c>
      <c r="R1047" s="593">
        <v>3660</v>
      </c>
      <c r="S1047" s="593">
        <v>52</v>
      </c>
      <c r="T1047" s="593">
        <v>2016</v>
      </c>
      <c r="U1047" s="593">
        <v>2013</v>
      </c>
      <c r="V1047" s="589"/>
      <c r="W1047" s="589"/>
      <c r="X1047" s="589"/>
      <c r="Y1047" s="589"/>
      <c r="Z1047" s="589"/>
      <c r="AA1047" s="589"/>
      <c r="AB1047" s="589"/>
      <c r="AC1047" s="589"/>
      <c r="AD1047" s="589"/>
      <c r="AE1047" s="589"/>
      <c r="AF1047" s="589"/>
      <c r="AG1047" s="589"/>
      <c r="AH1047" s="589"/>
      <c r="AI1047" s="589"/>
      <c r="AJ1047" s="589"/>
      <c r="AK1047" s="589"/>
      <c r="AL1047" s="589"/>
      <c r="AM1047" s="589"/>
      <c r="AN1047" s="589"/>
      <c r="AO1047" s="589"/>
      <c r="AP1047" s="589"/>
      <c r="AQ1047" s="589"/>
      <c r="AR1047" s="589"/>
      <c r="AS1047" s="589"/>
    </row>
    <row r="1048" spans="1:45" ht="15">
      <c r="A1048" s="587" t="s">
        <v>187</v>
      </c>
      <c r="B1048" s="587" t="s">
        <v>664</v>
      </c>
      <c r="C1048" s="587" t="s">
        <v>774</v>
      </c>
      <c r="D1048" s="588">
        <v>2016</v>
      </c>
      <c r="E1048" s="587" t="s">
        <v>775</v>
      </c>
      <c r="F1048" s="588">
        <v>147</v>
      </c>
      <c r="G1048" s="588">
        <v>0</v>
      </c>
      <c r="H1048" s="588">
        <v>0</v>
      </c>
      <c r="I1048" s="588">
        <v>0</v>
      </c>
      <c r="J1048" s="588">
        <v>95</v>
      </c>
      <c r="K1048" s="588">
        <v>11</v>
      </c>
      <c r="L1048" s="588">
        <v>11</v>
      </c>
      <c r="M1048" s="588">
        <v>0</v>
      </c>
      <c r="N1048" s="588">
        <v>104</v>
      </c>
      <c r="O1048" s="588">
        <v>1</v>
      </c>
      <c r="P1048" s="588">
        <v>93</v>
      </c>
      <c r="Q1048" s="588">
        <v>6</v>
      </c>
      <c r="R1048" s="588">
        <v>439</v>
      </c>
      <c r="S1048" s="588">
        <v>18</v>
      </c>
      <c r="T1048" s="588">
        <v>2016</v>
      </c>
      <c r="U1048" s="588">
        <v>2015</v>
      </c>
      <c r="V1048" s="589"/>
      <c r="W1048" s="589"/>
      <c r="X1048" s="589"/>
      <c r="Y1048" s="589"/>
      <c r="Z1048" s="589"/>
      <c r="AA1048" s="589"/>
      <c r="AB1048" s="589"/>
      <c r="AC1048" s="589"/>
      <c r="AD1048" s="589"/>
      <c r="AE1048" s="589"/>
      <c r="AF1048" s="589"/>
      <c r="AG1048" s="589"/>
      <c r="AH1048" s="589"/>
      <c r="AI1048" s="589"/>
      <c r="AJ1048" s="589"/>
      <c r="AK1048" s="589"/>
      <c r="AL1048" s="589"/>
      <c r="AM1048" s="589"/>
      <c r="AN1048" s="589"/>
      <c r="AO1048" s="589"/>
      <c r="AP1048" s="589"/>
      <c r="AQ1048" s="589"/>
      <c r="AR1048" s="589"/>
      <c r="AS1048" s="589"/>
    </row>
    <row r="1049" spans="1:45" ht="15">
      <c r="A1049" s="590" t="s">
        <v>157</v>
      </c>
      <c r="B1049" s="591" t="s">
        <v>446</v>
      </c>
      <c r="C1049" s="591" t="s">
        <v>774</v>
      </c>
      <c r="D1049" s="592">
        <v>2016</v>
      </c>
      <c r="E1049" s="591" t="s">
        <v>775</v>
      </c>
      <c r="F1049" s="592">
        <v>26</v>
      </c>
      <c r="G1049" s="592">
        <v>1</v>
      </c>
      <c r="H1049" s="592">
        <v>1</v>
      </c>
      <c r="I1049" s="592">
        <v>0</v>
      </c>
      <c r="J1049" s="592">
        <v>14</v>
      </c>
      <c r="K1049" s="592">
        <v>1</v>
      </c>
      <c r="L1049" s="592">
        <v>1</v>
      </c>
      <c r="M1049" s="592">
        <v>0</v>
      </c>
      <c r="N1049" s="593">
        <v>16</v>
      </c>
      <c r="O1049" s="593">
        <v>0</v>
      </c>
      <c r="P1049" s="593">
        <v>23</v>
      </c>
      <c r="Q1049" s="593">
        <v>3</v>
      </c>
      <c r="R1049" s="593">
        <v>79</v>
      </c>
      <c r="S1049" s="593">
        <v>5</v>
      </c>
      <c r="T1049" s="593">
        <v>2016</v>
      </c>
      <c r="U1049" s="593">
        <v>2015</v>
      </c>
      <c r="V1049" s="589"/>
      <c r="W1049" s="589"/>
      <c r="X1049" s="589"/>
      <c r="Y1049" s="589"/>
      <c r="Z1049" s="589"/>
      <c r="AA1049" s="589"/>
      <c r="AB1049" s="589"/>
      <c r="AC1049" s="589"/>
      <c r="AD1049" s="589"/>
      <c r="AE1049" s="589"/>
      <c r="AF1049" s="589"/>
      <c r="AG1049" s="589"/>
      <c r="AH1049" s="589"/>
      <c r="AI1049" s="589"/>
      <c r="AJ1049" s="589"/>
      <c r="AK1049" s="589"/>
      <c r="AL1049" s="589"/>
      <c r="AM1049" s="589"/>
      <c r="AN1049" s="589"/>
      <c r="AO1049" s="589"/>
      <c r="AP1049" s="589"/>
      <c r="AQ1049" s="589"/>
      <c r="AR1049" s="589"/>
      <c r="AS1049" s="589"/>
    </row>
    <row r="1050" spans="1:45" ht="15">
      <c r="A1050" s="587" t="s">
        <v>188</v>
      </c>
      <c r="B1050" s="587" t="s">
        <v>668</v>
      </c>
      <c r="C1050" s="587" t="s">
        <v>177</v>
      </c>
      <c r="D1050" s="588">
        <v>2016</v>
      </c>
      <c r="E1050" s="587" t="s">
        <v>775</v>
      </c>
      <c r="F1050" s="588">
        <v>34</v>
      </c>
      <c r="G1050" s="588">
        <v>0</v>
      </c>
      <c r="H1050" s="588">
        <v>0</v>
      </c>
      <c r="I1050" s="588">
        <v>0</v>
      </c>
      <c r="J1050" s="588">
        <v>22</v>
      </c>
      <c r="K1050" s="588">
        <v>0</v>
      </c>
      <c r="L1050" s="588">
        <v>0</v>
      </c>
      <c r="M1050" s="588">
        <v>0</v>
      </c>
      <c r="N1050" s="588">
        <v>26</v>
      </c>
      <c r="O1050" s="588">
        <v>0</v>
      </c>
      <c r="P1050" s="588">
        <v>58</v>
      </c>
      <c r="Q1050" s="588">
        <v>9</v>
      </c>
      <c r="R1050" s="588">
        <v>140</v>
      </c>
      <c r="S1050" s="588">
        <v>9</v>
      </c>
      <c r="T1050" s="588">
        <v>2016</v>
      </c>
      <c r="U1050" s="588">
        <v>2016</v>
      </c>
      <c r="V1050" s="589"/>
      <c r="W1050" s="589"/>
      <c r="X1050" s="589"/>
      <c r="Y1050" s="589"/>
      <c r="Z1050" s="589"/>
      <c r="AA1050" s="589"/>
      <c r="AB1050" s="589"/>
      <c r="AC1050" s="589"/>
      <c r="AD1050" s="589"/>
      <c r="AE1050" s="589"/>
      <c r="AF1050" s="589"/>
      <c r="AG1050" s="589"/>
      <c r="AH1050" s="589"/>
      <c r="AI1050" s="589"/>
      <c r="AJ1050" s="589"/>
      <c r="AK1050" s="589"/>
      <c r="AL1050" s="589"/>
      <c r="AM1050" s="589"/>
      <c r="AN1050" s="589"/>
      <c r="AO1050" s="589"/>
      <c r="AP1050" s="589"/>
      <c r="AQ1050" s="589"/>
      <c r="AR1050" s="589"/>
      <c r="AS1050" s="589"/>
    </row>
    <row r="1051" spans="1:45" ht="15">
      <c r="A1051" s="590" t="s">
        <v>164</v>
      </c>
      <c r="B1051" s="591" t="s">
        <v>474</v>
      </c>
      <c r="C1051" s="591" t="s">
        <v>177</v>
      </c>
      <c r="D1051" s="592">
        <v>2016</v>
      </c>
      <c r="E1051" s="591" t="s">
        <v>775</v>
      </c>
      <c r="F1051" s="592">
        <v>95</v>
      </c>
      <c r="G1051" s="592">
        <v>0</v>
      </c>
      <c r="H1051" s="592">
        <v>0</v>
      </c>
      <c r="I1051" s="592">
        <v>0</v>
      </c>
      <c r="J1051" s="592">
        <v>62</v>
      </c>
      <c r="K1051" s="592">
        <v>0</v>
      </c>
      <c r="L1051" s="592">
        <v>0</v>
      </c>
      <c r="M1051" s="592">
        <v>0</v>
      </c>
      <c r="N1051" s="593">
        <v>72</v>
      </c>
      <c r="O1051" s="593">
        <v>1</v>
      </c>
      <c r="P1051" s="593">
        <v>164</v>
      </c>
      <c r="Q1051" s="593">
        <v>0</v>
      </c>
      <c r="R1051" s="593">
        <v>393</v>
      </c>
      <c r="S1051" s="593">
        <v>1</v>
      </c>
      <c r="T1051" s="593">
        <v>2016</v>
      </c>
      <c r="U1051" s="593">
        <v>2016</v>
      </c>
      <c r="V1051" s="589"/>
      <c r="W1051" s="589"/>
      <c r="X1051" s="589"/>
      <c r="Y1051" s="589"/>
      <c r="Z1051" s="589"/>
      <c r="AA1051" s="589"/>
      <c r="AB1051" s="589"/>
      <c r="AC1051" s="589"/>
      <c r="AD1051" s="589"/>
      <c r="AE1051" s="589"/>
      <c r="AF1051" s="589"/>
      <c r="AG1051" s="589"/>
      <c r="AH1051" s="589"/>
      <c r="AI1051" s="589"/>
      <c r="AJ1051" s="589"/>
      <c r="AK1051" s="589"/>
      <c r="AL1051" s="589"/>
      <c r="AM1051" s="589"/>
      <c r="AN1051" s="589"/>
      <c r="AO1051" s="589"/>
      <c r="AP1051" s="589"/>
      <c r="AQ1051" s="589"/>
      <c r="AR1051" s="589"/>
      <c r="AS1051" s="589"/>
    </row>
    <row r="1052" spans="1:45" ht="15">
      <c r="A1052" s="587" t="s">
        <v>193</v>
      </c>
      <c r="B1052" s="587" t="s">
        <v>700</v>
      </c>
      <c r="C1052" s="587" t="s">
        <v>774</v>
      </c>
      <c r="D1052" s="588">
        <v>2016</v>
      </c>
      <c r="E1052" s="587" t="s">
        <v>775</v>
      </c>
      <c r="F1052" s="588">
        <v>22</v>
      </c>
      <c r="G1052" s="588">
        <v>0</v>
      </c>
      <c r="H1052" s="588">
        <v>0</v>
      </c>
      <c r="I1052" s="588">
        <v>0</v>
      </c>
      <c r="J1052" s="588">
        <v>17</v>
      </c>
      <c r="K1052" s="588">
        <v>0</v>
      </c>
      <c r="L1052" s="588">
        <v>0</v>
      </c>
      <c r="M1052" s="588">
        <v>0</v>
      </c>
      <c r="N1052" s="588">
        <v>19</v>
      </c>
      <c r="O1052" s="588">
        <v>6</v>
      </c>
      <c r="P1052" s="588">
        <v>62</v>
      </c>
      <c r="Q1052" s="588">
        <v>2</v>
      </c>
      <c r="R1052" s="588">
        <v>120</v>
      </c>
      <c r="S1052" s="588">
        <v>8</v>
      </c>
      <c r="T1052" s="588">
        <v>2016</v>
      </c>
      <c r="U1052" s="588">
        <v>2015</v>
      </c>
      <c r="V1052" s="589"/>
      <c r="W1052" s="589"/>
      <c r="X1052" s="589"/>
      <c r="Y1052" s="589"/>
      <c r="Z1052" s="589"/>
      <c r="AA1052" s="589"/>
      <c r="AB1052" s="589"/>
      <c r="AC1052" s="589"/>
      <c r="AD1052" s="589"/>
      <c r="AE1052" s="589"/>
      <c r="AF1052" s="589"/>
      <c r="AG1052" s="589"/>
      <c r="AH1052" s="589"/>
      <c r="AI1052" s="589"/>
      <c r="AJ1052" s="589"/>
      <c r="AK1052" s="589"/>
      <c r="AL1052" s="589"/>
      <c r="AM1052" s="589"/>
      <c r="AN1052" s="589"/>
      <c r="AO1052" s="589"/>
      <c r="AP1052" s="589"/>
      <c r="AQ1052" s="589"/>
      <c r="AR1052" s="589"/>
      <c r="AS1052" s="589"/>
    </row>
    <row r="1053" spans="1:45" ht="15">
      <c r="A1053" s="590" t="s">
        <v>141</v>
      </c>
      <c r="B1053" s="591" t="s">
        <v>303</v>
      </c>
      <c r="C1053" s="591" t="s">
        <v>177</v>
      </c>
      <c r="D1053" s="592">
        <v>2016</v>
      </c>
      <c r="E1053" s="591" t="s">
        <v>775</v>
      </c>
      <c r="F1053" s="592">
        <v>140</v>
      </c>
      <c r="G1053" s="592">
        <v>18</v>
      </c>
      <c r="H1053" s="592">
        <v>18</v>
      </c>
      <c r="I1053" s="592">
        <v>0</v>
      </c>
      <c r="J1053" s="592">
        <v>115</v>
      </c>
      <c r="K1053" s="592">
        <v>29</v>
      </c>
      <c r="L1053" s="592">
        <v>29</v>
      </c>
      <c r="M1053" s="592">
        <v>0</v>
      </c>
      <c r="N1053" s="593">
        <v>69</v>
      </c>
      <c r="O1053" s="593">
        <v>0</v>
      </c>
      <c r="P1053" s="593">
        <v>281</v>
      </c>
      <c r="Q1053" s="593">
        <v>0</v>
      </c>
      <c r="R1053" s="593">
        <v>605</v>
      </c>
      <c r="S1053" s="593">
        <v>47</v>
      </c>
      <c r="T1053" s="593">
        <v>2016</v>
      </c>
      <c r="U1053" s="593">
        <v>2016</v>
      </c>
      <c r="V1053" s="589"/>
      <c r="W1053" s="589"/>
      <c r="X1053" s="589"/>
      <c r="Y1053" s="589"/>
      <c r="Z1053" s="589"/>
      <c r="AA1053" s="589"/>
      <c r="AB1053" s="589"/>
      <c r="AC1053" s="589"/>
      <c r="AD1053" s="589"/>
      <c r="AE1053" s="589"/>
      <c r="AF1053" s="589"/>
      <c r="AG1053" s="589"/>
      <c r="AH1053" s="589"/>
      <c r="AI1053" s="589"/>
      <c r="AJ1053" s="589"/>
      <c r="AK1053" s="589"/>
      <c r="AL1053" s="589"/>
      <c r="AM1053" s="589"/>
      <c r="AN1053" s="589"/>
      <c r="AO1053" s="589"/>
      <c r="AP1053" s="589"/>
      <c r="AQ1053" s="589"/>
      <c r="AR1053" s="589"/>
      <c r="AS1053" s="589"/>
    </row>
    <row r="1054" spans="1:45" ht="15">
      <c r="A1054" s="587" t="s">
        <v>189</v>
      </c>
      <c r="B1054" s="587" t="s">
        <v>673</v>
      </c>
      <c r="C1054" s="587" t="s">
        <v>784</v>
      </c>
      <c r="D1054" s="588">
        <v>2016</v>
      </c>
      <c r="E1054" s="587" t="s">
        <v>775</v>
      </c>
      <c r="F1054" s="588">
        <v>32</v>
      </c>
      <c r="G1054" s="588">
        <v>2</v>
      </c>
      <c r="H1054" s="588">
        <v>2</v>
      </c>
      <c r="I1054" s="588">
        <v>0</v>
      </c>
      <c r="J1054" s="588">
        <v>21</v>
      </c>
      <c r="K1054" s="588">
        <v>0</v>
      </c>
      <c r="L1054" s="588">
        <v>0</v>
      </c>
      <c r="M1054" s="588">
        <v>0</v>
      </c>
      <c r="N1054" s="588">
        <v>23</v>
      </c>
      <c r="O1054" s="588">
        <v>8</v>
      </c>
      <c r="P1054" s="588">
        <v>58</v>
      </c>
      <c r="Q1054" s="588">
        <v>0</v>
      </c>
      <c r="R1054" s="588">
        <v>134</v>
      </c>
      <c r="S1054" s="588">
        <v>10</v>
      </c>
      <c r="T1054" s="588">
        <v>2016</v>
      </c>
      <c r="U1054" s="588">
        <v>2014</v>
      </c>
      <c r="V1054" s="589"/>
      <c r="W1054" s="589"/>
      <c r="X1054" s="589"/>
      <c r="Y1054" s="589"/>
      <c r="Z1054" s="589"/>
      <c r="AA1054" s="589"/>
      <c r="AB1054" s="589"/>
      <c r="AC1054" s="589"/>
      <c r="AD1054" s="589"/>
      <c r="AE1054" s="589"/>
      <c r="AF1054" s="589"/>
      <c r="AG1054" s="589"/>
      <c r="AH1054" s="589"/>
      <c r="AI1054" s="589"/>
      <c r="AJ1054" s="589"/>
      <c r="AK1054" s="589"/>
      <c r="AL1054" s="589"/>
      <c r="AM1054" s="589"/>
      <c r="AN1054" s="589"/>
      <c r="AO1054" s="589"/>
      <c r="AP1054" s="589"/>
      <c r="AQ1054" s="589"/>
      <c r="AR1054" s="589"/>
      <c r="AS1054" s="589"/>
    </row>
    <row r="1055" spans="1:45" ht="15">
      <c r="A1055" s="590" t="s">
        <v>153</v>
      </c>
      <c r="B1055" s="591" t="s">
        <v>421</v>
      </c>
      <c r="C1055" s="591" t="s">
        <v>812</v>
      </c>
      <c r="D1055" s="592">
        <v>2016</v>
      </c>
      <c r="E1055" s="591" t="s">
        <v>775</v>
      </c>
      <c r="F1055" s="592">
        <v>14</v>
      </c>
      <c r="G1055" s="592">
        <v>0</v>
      </c>
      <c r="H1055" s="592">
        <v>0</v>
      </c>
      <c r="I1055" s="592">
        <v>0</v>
      </c>
      <c r="J1055" s="592">
        <v>9</v>
      </c>
      <c r="K1055" s="592">
        <v>1</v>
      </c>
      <c r="L1055" s="592">
        <v>0</v>
      </c>
      <c r="M1055" s="592">
        <v>1</v>
      </c>
      <c r="N1055" s="593">
        <v>9</v>
      </c>
      <c r="O1055" s="593">
        <v>0</v>
      </c>
      <c r="P1055" s="593">
        <v>23</v>
      </c>
      <c r="Q1055" s="593">
        <v>0</v>
      </c>
      <c r="R1055" s="593">
        <v>55</v>
      </c>
      <c r="S1055" s="593">
        <v>1</v>
      </c>
      <c r="T1055" s="593">
        <v>2016</v>
      </c>
      <c r="U1055" s="593">
        <v>2014</v>
      </c>
      <c r="V1055" s="589"/>
      <c r="W1055" s="589"/>
      <c r="X1055" s="589"/>
      <c r="Y1055" s="589"/>
      <c r="Z1055" s="589"/>
      <c r="AA1055" s="589"/>
      <c r="AB1055" s="589"/>
      <c r="AC1055" s="589"/>
      <c r="AD1055" s="589"/>
      <c r="AE1055" s="589"/>
      <c r="AF1055" s="589"/>
      <c r="AG1055" s="589"/>
      <c r="AH1055" s="589"/>
      <c r="AI1055" s="589"/>
      <c r="AJ1055" s="589"/>
      <c r="AK1055" s="589"/>
      <c r="AL1055" s="589"/>
      <c r="AM1055" s="589"/>
      <c r="AN1055" s="589"/>
      <c r="AO1055" s="589"/>
      <c r="AP1055" s="589"/>
      <c r="AQ1055" s="589"/>
      <c r="AR1055" s="589"/>
      <c r="AS1055" s="589"/>
    </row>
    <row r="1056" spans="1:45" ht="15">
      <c r="A1056" s="587" t="s">
        <v>153</v>
      </c>
      <c r="B1056" s="587" t="s">
        <v>422</v>
      </c>
      <c r="C1056" s="587" t="s">
        <v>812</v>
      </c>
      <c r="D1056" s="588">
        <v>2016</v>
      </c>
      <c r="E1056" s="587" t="s">
        <v>775</v>
      </c>
      <c r="F1056" s="588">
        <v>44</v>
      </c>
      <c r="G1056" s="588">
        <v>0</v>
      </c>
      <c r="H1056" s="588">
        <v>0</v>
      </c>
      <c r="I1056" s="588">
        <v>0</v>
      </c>
      <c r="J1056" s="588">
        <v>27</v>
      </c>
      <c r="K1056" s="588">
        <v>0</v>
      </c>
      <c r="L1056" s="588">
        <v>0</v>
      </c>
      <c r="M1056" s="588">
        <v>0</v>
      </c>
      <c r="N1056" s="588">
        <v>28</v>
      </c>
      <c r="O1056" s="588">
        <v>0</v>
      </c>
      <c r="P1056" s="588">
        <v>70</v>
      </c>
      <c r="Q1056" s="588">
        <v>3</v>
      </c>
      <c r="R1056" s="588">
        <v>169</v>
      </c>
      <c r="S1056" s="588">
        <v>3</v>
      </c>
      <c r="T1056" s="588">
        <v>2016</v>
      </c>
      <c r="U1056" s="588">
        <v>2014</v>
      </c>
      <c r="V1056" s="589"/>
      <c r="W1056" s="589"/>
      <c r="X1056" s="589"/>
      <c r="Y1056" s="589"/>
      <c r="Z1056" s="589"/>
      <c r="AA1056" s="589"/>
      <c r="AB1056" s="589"/>
      <c r="AC1056" s="589"/>
      <c r="AD1056" s="589"/>
      <c r="AE1056" s="589"/>
      <c r="AF1056" s="589"/>
      <c r="AG1056" s="589"/>
      <c r="AH1056" s="589"/>
      <c r="AI1056" s="589"/>
      <c r="AJ1056" s="589"/>
      <c r="AK1056" s="589"/>
      <c r="AL1056" s="589"/>
      <c r="AM1056" s="589"/>
      <c r="AN1056" s="589"/>
      <c r="AO1056" s="589"/>
      <c r="AP1056" s="589"/>
      <c r="AQ1056" s="589"/>
      <c r="AR1056" s="589"/>
      <c r="AS1056" s="589"/>
    </row>
    <row r="1057" spans="1:45" ht="15">
      <c r="A1057" s="590" t="s">
        <v>201</v>
      </c>
      <c r="B1057" s="591" t="s">
        <v>738</v>
      </c>
      <c r="C1057" s="591" t="s">
        <v>812</v>
      </c>
      <c r="D1057" s="592">
        <v>2016</v>
      </c>
      <c r="E1057" s="591" t="s">
        <v>775</v>
      </c>
      <c r="F1057" s="592">
        <v>310</v>
      </c>
      <c r="G1057" s="592">
        <v>0</v>
      </c>
      <c r="H1057" s="592">
        <v>0</v>
      </c>
      <c r="I1057" s="592">
        <v>0</v>
      </c>
      <c r="J1057" s="592">
        <v>208</v>
      </c>
      <c r="K1057" s="592">
        <v>1</v>
      </c>
      <c r="L1057" s="592">
        <v>1</v>
      </c>
      <c r="M1057" s="592">
        <v>0</v>
      </c>
      <c r="N1057" s="593">
        <v>229</v>
      </c>
      <c r="O1057" s="593">
        <v>0</v>
      </c>
      <c r="P1057" s="593">
        <v>509</v>
      </c>
      <c r="Q1057" s="593">
        <v>152</v>
      </c>
      <c r="R1057" s="593">
        <v>1256</v>
      </c>
      <c r="S1057" s="593">
        <v>153</v>
      </c>
      <c r="T1057" s="593">
        <v>2016</v>
      </c>
      <c r="U1057" s="593">
        <v>2014</v>
      </c>
      <c r="V1057" s="589"/>
      <c r="W1057" s="589"/>
      <c r="X1057" s="589"/>
      <c r="Y1057" s="589"/>
      <c r="Z1057" s="589"/>
      <c r="AA1057" s="589"/>
      <c r="AB1057" s="589"/>
      <c r="AC1057" s="589"/>
      <c r="AD1057" s="589"/>
      <c r="AE1057" s="589"/>
      <c r="AF1057" s="589"/>
      <c r="AG1057" s="589"/>
      <c r="AH1057" s="589"/>
      <c r="AI1057" s="589"/>
      <c r="AJ1057" s="589"/>
      <c r="AK1057" s="589"/>
      <c r="AL1057" s="589"/>
      <c r="AM1057" s="589"/>
      <c r="AN1057" s="589"/>
      <c r="AO1057" s="589"/>
      <c r="AP1057" s="589"/>
      <c r="AQ1057" s="589"/>
      <c r="AR1057" s="589"/>
      <c r="AS1057" s="589"/>
    </row>
    <row r="1058" spans="1:45" ht="15">
      <c r="A1058" s="587" t="s">
        <v>179</v>
      </c>
      <c r="B1058" s="587" t="s">
        <v>606</v>
      </c>
      <c r="C1058" s="587" t="s">
        <v>855</v>
      </c>
      <c r="D1058" s="588">
        <v>2016</v>
      </c>
      <c r="E1058" s="587" t="s">
        <v>775</v>
      </c>
      <c r="F1058" s="588">
        <v>85</v>
      </c>
      <c r="G1058" s="588">
        <v>0</v>
      </c>
      <c r="H1058" s="588">
        <v>0</v>
      </c>
      <c r="I1058" s="588">
        <v>0</v>
      </c>
      <c r="J1058" s="588">
        <v>65</v>
      </c>
      <c r="K1058" s="588">
        <v>1</v>
      </c>
      <c r="L1058" s="588">
        <v>1</v>
      </c>
      <c r="M1058" s="588">
        <v>0</v>
      </c>
      <c r="N1058" s="588">
        <v>59</v>
      </c>
      <c r="O1058" s="588">
        <v>0</v>
      </c>
      <c r="P1058" s="588">
        <v>131</v>
      </c>
      <c r="Q1058" s="588">
        <v>5</v>
      </c>
      <c r="R1058" s="588">
        <v>340</v>
      </c>
      <c r="S1058" s="588">
        <v>6</v>
      </c>
      <c r="T1058" s="588">
        <v>2016</v>
      </c>
      <c r="U1058" s="588">
        <v>2013</v>
      </c>
      <c r="V1058" s="589"/>
      <c r="W1058" s="589"/>
      <c r="X1058" s="589"/>
      <c r="Y1058" s="589"/>
      <c r="Z1058" s="589"/>
      <c r="AA1058" s="589"/>
      <c r="AB1058" s="589"/>
      <c r="AC1058" s="589"/>
      <c r="AD1058" s="589"/>
      <c r="AE1058" s="589"/>
      <c r="AF1058" s="589"/>
      <c r="AG1058" s="589"/>
      <c r="AH1058" s="589"/>
      <c r="AI1058" s="589"/>
      <c r="AJ1058" s="589"/>
      <c r="AK1058" s="589"/>
      <c r="AL1058" s="589"/>
      <c r="AM1058" s="589"/>
      <c r="AN1058" s="589"/>
      <c r="AO1058" s="589"/>
      <c r="AP1058" s="589"/>
      <c r="AQ1058" s="589"/>
      <c r="AR1058" s="589"/>
      <c r="AS1058" s="589"/>
    </row>
    <row r="1059" spans="1:45" ht="15">
      <c r="A1059" s="590" t="s">
        <v>192</v>
      </c>
      <c r="B1059" s="591" t="s">
        <v>690</v>
      </c>
      <c r="C1059" s="591" t="s">
        <v>774</v>
      </c>
      <c r="D1059" s="592">
        <v>2016</v>
      </c>
      <c r="E1059" s="591" t="s">
        <v>775</v>
      </c>
      <c r="F1059" s="592">
        <v>26</v>
      </c>
      <c r="G1059" s="592">
        <v>3</v>
      </c>
      <c r="H1059" s="592">
        <v>0</v>
      </c>
      <c r="I1059" s="592">
        <v>3</v>
      </c>
      <c r="J1059" s="592">
        <v>15</v>
      </c>
      <c r="K1059" s="592">
        <v>8</v>
      </c>
      <c r="L1059" s="592">
        <v>0</v>
      </c>
      <c r="M1059" s="592">
        <v>8</v>
      </c>
      <c r="N1059" s="593">
        <v>19</v>
      </c>
      <c r="O1059" s="593">
        <v>5</v>
      </c>
      <c r="P1059" s="593">
        <v>43</v>
      </c>
      <c r="Q1059" s="593">
        <v>16</v>
      </c>
      <c r="R1059" s="593">
        <v>103</v>
      </c>
      <c r="S1059" s="593">
        <v>32</v>
      </c>
      <c r="T1059" s="593">
        <v>2016</v>
      </c>
      <c r="U1059" s="593">
        <v>2015</v>
      </c>
      <c r="V1059" s="589"/>
      <c r="W1059" s="589"/>
      <c r="X1059" s="589"/>
      <c r="Y1059" s="589"/>
      <c r="Z1059" s="589"/>
      <c r="AA1059" s="589"/>
      <c r="AB1059" s="589"/>
      <c r="AC1059" s="589"/>
      <c r="AD1059" s="589"/>
      <c r="AE1059" s="589"/>
      <c r="AF1059" s="589"/>
      <c r="AG1059" s="589"/>
      <c r="AH1059" s="589"/>
      <c r="AI1059" s="589"/>
      <c r="AJ1059" s="589"/>
      <c r="AK1059" s="589"/>
      <c r="AL1059" s="589"/>
      <c r="AM1059" s="589"/>
      <c r="AN1059" s="589"/>
      <c r="AO1059" s="589"/>
      <c r="AP1059" s="589"/>
      <c r="AQ1059" s="589"/>
      <c r="AR1059" s="589"/>
      <c r="AS1059" s="589"/>
    </row>
    <row r="1060" spans="1:45" ht="15">
      <c r="A1060" s="587" t="s">
        <v>164</v>
      </c>
      <c r="B1060" s="587" t="s">
        <v>475</v>
      </c>
      <c r="C1060" s="587" t="s">
        <v>177</v>
      </c>
      <c r="D1060" s="588">
        <v>2016</v>
      </c>
      <c r="E1060" s="587" t="s">
        <v>775</v>
      </c>
      <c r="F1060" s="588">
        <v>46</v>
      </c>
      <c r="G1060" s="588">
        <v>0</v>
      </c>
      <c r="H1060" s="588">
        <v>0</v>
      </c>
      <c r="I1060" s="588">
        <v>0</v>
      </c>
      <c r="J1060" s="588">
        <v>30</v>
      </c>
      <c r="K1060" s="588">
        <v>0</v>
      </c>
      <c r="L1060" s="588">
        <v>0</v>
      </c>
      <c r="M1060" s="588">
        <v>0</v>
      </c>
      <c r="N1060" s="588">
        <v>35</v>
      </c>
      <c r="O1060" s="588">
        <v>0</v>
      </c>
      <c r="P1060" s="588">
        <v>80</v>
      </c>
      <c r="Q1060" s="588">
        <v>83</v>
      </c>
      <c r="R1060" s="588">
        <v>191</v>
      </c>
      <c r="S1060" s="588">
        <v>83</v>
      </c>
      <c r="T1060" s="588">
        <v>2016</v>
      </c>
      <c r="U1060" s="588">
        <v>2016</v>
      </c>
      <c r="V1060" s="589"/>
      <c r="W1060" s="589"/>
      <c r="X1060" s="589"/>
      <c r="Y1060" s="589"/>
      <c r="Z1060" s="589"/>
      <c r="AA1060" s="589"/>
      <c r="AB1060" s="589"/>
      <c r="AC1060" s="589"/>
      <c r="AD1060" s="589"/>
      <c r="AE1060" s="589"/>
      <c r="AF1060" s="589"/>
      <c r="AG1060" s="589"/>
      <c r="AH1060" s="589"/>
      <c r="AI1060" s="589"/>
      <c r="AJ1060" s="589"/>
      <c r="AK1060" s="589"/>
      <c r="AL1060" s="589"/>
      <c r="AM1060" s="589"/>
      <c r="AN1060" s="589"/>
      <c r="AO1060" s="589"/>
      <c r="AP1060" s="589"/>
      <c r="AQ1060" s="589"/>
      <c r="AR1060" s="589"/>
      <c r="AS1060" s="589"/>
    </row>
    <row r="1061" spans="1:45" ht="15">
      <c r="A1061" s="590" t="s">
        <v>185</v>
      </c>
      <c r="B1061" s="591" t="s">
        <v>650</v>
      </c>
      <c r="C1061" s="591" t="s">
        <v>868</v>
      </c>
      <c r="D1061" s="592">
        <v>2016</v>
      </c>
      <c r="E1061" s="591" t="s">
        <v>775</v>
      </c>
      <c r="F1061" s="592">
        <v>42</v>
      </c>
      <c r="G1061" s="592">
        <v>35</v>
      </c>
      <c r="H1061" s="592">
        <v>35</v>
      </c>
      <c r="I1061" s="592">
        <v>0</v>
      </c>
      <c r="J1061" s="592">
        <v>28</v>
      </c>
      <c r="K1061" s="592">
        <v>10</v>
      </c>
      <c r="L1061" s="592">
        <v>10</v>
      </c>
      <c r="M1061" s="592">
        <v>0</v>
      </c>
      <c r="N1061" s="593">
        <v>30</v>
      </c>
      <c r="O1061" s="593">
        <v>0</v>
      </c>
      <c r="P1061" s="593">
        <v>75</v>
      </c>
      <c r="Q1061" s="593">
        <v>23</v>
      </c>
      <c r="R1061" s="593">
        <v>175</v>
      </c>
      <c r="S1061" s="593">
        <v>68</v>
      </c>
      <c r="T1061" s="593">
        <v>2016</v>
      </c>
      <c r="U1061" s="593">
        <v>2015</v>
      </c>
      <c r="V1061" s="589"/>
      <c r="W1061" s="589"/>
      <c r="X1061" s="589"/>
      <c r="Y1061" s="589"/>
      <c r="Z1061" s="589"/>
      <c r="AA1061" s="589"/>
      <c r="AB1061" s="589"/>
      <c r="AC1061" s="589"/>
      <c r="AD1061" s="589"/>
      <c r="AE1061" s="589"/>
      <c r="AF1061" s="589"/>
      <c r="AG1061" s="589"/>
      <c r="AH1061" s="589"/>
      <c r="AI1061" s="589"/>
      <c r="AJ1061" s="589"/>
      <c r="AK1061" s="589"/>
      <c r="AL1061" s="589"/>
      <c r="AM1061" s="589"/>
      <c r="AN1061" s="589"/>
      <c r="AO1061" s="589"/>
      <c r="AP1061" s="589"/>
      <c r="AQ1061" s="589"/>
      <c r="AR1061" s="589"/>
      <c r="AS1061" s="589"/>
    </row>
    <row r="1062" spans="1:45" ht="15">
      <c r="A1062" s="587" t="s">
        <v>193</v>
      </c>
      <c r="B1062" s="587" t="s">
        <v>193</v>
      </c>
      <c r="C1062" s="587" t="s">
        <v>774</v>
      </c>
      <c r="D1062" s="588">
        <v>2016</v>
      </c>
      <c r="E1062" s="587" t="s">
        <v>775</v>
      </c>
      <c r="F1062" s="588">
        <v>24</v>
      </c>
      <c r="G1062" s="588">
        <v>0</v>
      </c>
      <c r="H1062" s="588">
        <v>0</v>
      </c>
      <c r="I1062" s="588">
        <v>0</v>
      </c>
      <c r="J1062" s="588">
        <v>23</v>
      </c>
      <c r="K1062" s="588">
        <v>0</v>
      </c>
      <c r="L1062" s="588">
        <v>0</v>
      </c>
      <c r="M1062" s="588">
        <v>0</v>
      </c>
      <c r="N1062" s="588">
        <v>27</v>
      </c>
      <c r="O1062" s="588">
        <v>0</v>
      </c>
      <c r="P1062" s="588">
        <v>63</v>
      </c>
      <c r="Q1062" s="588">
        <v>12</v>
      </c>
      <c r="R1062" s="588">
        <v>137</v>
      </c>
      <c r="S1062" s="588">
        <v>12</v>
      </c>
      <c r="T1062" s="588">
        <v>2016</v>
      </c>
      <c r="U1062" s="588">
        <v>2015</v>
      </c>
      <c r="V1062" s="589"/>
      <c r="W1062" s="589"/>
      <c r="X1062" s="589"/>
      <c r="Y1062" s="589"/>
      <c r="Z1062" s="589"/>
      <c r="AA1062" s="589"/>
      <c r="AB1062" s="589"/>
      <c r="AC1062" s="589"/>
      <c r="AD1062" s="589"/>
      <c r="AE1062" s="589"/>
      <c r="AF1062" s="589"/>
      <c r="AG1062" s="589"/>
      <c r="AH1062" s="589"/>
      <c r="AI1062" s="589"/>
      <c r="AJ1062" s="589"/>
      <c r="AK1062" s="589"/>
      <c r="AL1062" s="589"/>
      <c r="AM1062" s="589"/>
      <c r="AN1062" s="589"/>
      <c r="AO1062" s="589"/>
      <c r="AP1062" s="589"/>
      <c r="AQ1062" s="589"/>
      <c r="AR1062" s="589"/>
      <c r="AS1062" s="589"/>
    </row>
    <row r="1063" spans="1:45" ht="15">
      <c r="A1063" s="590" t="s">
        <v>193</v>
      </c>
      <c r="B1063" s="591" t="s">
        <v>701</v>
      </c>
      <c r="C1063" s="591" t="s">
        <v>774</v>
      </c>
      <c r="D1063" s="592">
        <v>2016</v>
      </c>
      <c r="E1063" s="591" t="s">
        <v>775</v>
      </c>
      <c r="F1063" s="592">
        <v>126</v>
      </c>
      <c r="G1063" s="592">
        <v>78</v>
      </c>
      <c r="H1063" s="592">
        <v>78</v>
      </c>
      <c r="I1063" s="592">
        <v>0</v>
      </c>
      <c r="J1063" s="592">
        <v>37</v>
      </c>
      <c r="K1063" s="592">
        <v>18</v>
      </c>
      <c r="L1063" s="592">
        <v>17</v>
      </c>
      <c r="M1063" s="592">
        <v>1</v>
      </c>
      <c r="N1063" s="593">
        <v>160</v>
      </c>
      <c r="O1063" s="593">
        <v>55</v>
      </c>
      <c r="P1063" s="593">
        <v>192</v>
      </c>
      <c r="Q1063" s="593">
        <v>154</v>
      </c>
      <c r="R1063" s="593">
        <v>515</v>
      </c>
      <c r="S1063" s="593">
        <v>305</v>
      </c>
      <c r="T1063" s="593">
        <v>2016</v>
      </c>
      <c r="U1063" s="593">
        <v>2015</v>
      </c>
      <c r="V1063" s="589"/>
      <c r="W1063" s="589"/>
      <c r="X1063" s="589"/>
      <c r="Y1063" s="589"/>
      <c r="Z1063" s="589"/>
      <c r="AA1063" s="589"/>
      <c r="AB1063" s="589"/>
      <c r="AC1063" s="589"/>
      <c r="AD1063" s="589"/>
      <c r="AE1063" s="589"/>
      <c r="AF1063" s="589"/>
      <c r="AG1063" s="589"/>
      <c r="AH1063" s="589"/>
      <c r="AI1063" s="589"/>
      <c r="AJ1063" s="589"/>
      <c r="AK1063" s="589"/>
      <c r="AL1063" s="589"/>
      <c r="AM1063" s="589"/>
      <c r="AN1063" s="589"/>
      <c r="AO1063" s="589"/>
      <c r="AP1063" s="589"/>
      <c r="AQ1063" s="589"/>
      <c r="AR1063" s="589"/>
      <c r="AS1063" s="589"/>
    </row>
    <row r="1064" spans="1:45" ht="15">
      <c r="A1064" s="587" t="s">
        <v>200</v>
      </c>
      <c r="B1064" s="587" t="s">
        <v>728</v>
      </c>
      <c r="C1064" s="587" t="s">
        <v>784</v>
      </c>
      <c r="D1064" s="588">
        <v>2016</v>
      </c>
      <c r="E1064" s="587" t="s">
        <v>775</v>
      </c>
      <c r="F1064" s="588">
        <v>23</v>
      </c>
      <c r="G1064" s="588">
        <v>0</v>
      </c>
      <c r="H1064" s="588">
        <v>0</v>
      </c>
      <c r="I1064" s="588">
        <v>0</v>
      </c>
      <c r="J1064" s="588">
        <v>16</v>
      </c>
      <c r="K1064" s="588">
        <v>8</v>
      </c>
      <c r="L1064" s="588">
        <v>8</v>
      </c>
      <c r="M1064" s="588">
        <v>0</v>
      </c>
      <c r="N1064" s="588">
        <v>19</v>
      </c>
      <c r="O1064" s="588">
        <v>2</v>
      </c>
      <c r="P1064" s="588">
        <v>42</v>
      </c>
      <c r="Q1064" s="588">
        <v>4</v>
      </c>
      <c r="R1064" s="588">
        <v>100</v>
      </c>
      <c r="S1064" s="588">
        <v>14</v>
      </c>
      <c r="T1064" s="588">
        <v>2016</v>
      </c>
      <c r="U1064" s="588">
        <v>2014</v>
      </c>
      <c r="V1064" s="589"/>
      <c r="W1064" s="589"/>
      <c r="X1064" s="589"/>
      <c r="Y1064" s="589"/>
      <c r="Z1064" s="589"/>
      <c r="AA1064" s="589"/>
      <c r="AB1064" s="589"/>
      <c r="AC1064" s="589"/>
      <c r="AD1064" s="589"/>
      <c r="AE1064" s="589"/>
      <c r="AF1064" s="589"/>
      <c r="AG1064" s="589"/>
      <c r="AH1064" s="589"/>
      <c r="AI1064" s="589"/>
      <c r="AJ1064" s="589"/>
      <c r="AK1064" s="589"/>
      <c r="AL1064" s="589"/>
      <c r="AM1064" s="589"/>
      <c r="AN1064" s="589"/>
      <c r="AO1064" s="589"/>
      <c r="AP1064" s="589"/>
      <c r="AQ1064" s="589"/>
      <c r="AR1064" s="589"/>
      <c r="AS1064" s="589"/>
    </row>
    <row r="1065" spans="1:45" ht="15">
      <c r="A1065" s="590" t="s">
        <v>153</v>
      </c>
      <c r="B1065" s="591" t="s">
        <v>423</v>
      </c>
      <c r="C1065" s="591" t="s">
        <v>812</v>
      </c>
      <c r="D1065" s="592">
        <v>2016</v>
      </c>
      <c r="E1065" s="591" t="s">
        <v>775</v>
      </c>
      <c r="F1065" s="592">
        <v>43</v>
      </c>
      <c r="G1065" s="592">
        <v>0</v>
      </c>
      <c r="H1065" s="592">
        <v>0</v>
      </c>
      <c r="I1065" s="592">
        <v>0</v>
      </c>
      <c r="J1065" s="592">
        <v>25</v>
      </c>
      <c r="K1065" s="592">
        <v>6</v>
      </c>
      <c r="L1065" s="592">
        <v>0</v>
      </c>
      <c r="M1065" s="592">
        <v>6</v>
      </c>
      <c r="N1065" s="593">
        <v>28</v>
      </c>
      <c r="O1065" s="593">
        <v>0</v>
      </c>
      <c r="P1065" s="593">
        <v>76</v>
      </c>
      <c r="Q1065" s="593">
        <v>25</v>
      </c>
      <c r="R1065" s="593">
        <v>172</v>
      </c>
      <c r="S1065" s="593">
        <v>31</v>
      </c>
      <c r="T1065" s="593">
        <v>2016</v>
      </c>
      <c r="U1065" s="593">
        <v>2014</v>
      </c>
      <c r="V1065" s="589"/>
      <c r="W1065" s="589"/>
      <c r="X1065" s="589"/>
      <c r="Y1065" s="589"/>
      <c r="Z1065" s="589"/>
      <c r="AA1065" s="589"/>
      <c r="AB1065" s="589"/>
      <c r="AC1065" s="589"/>
      <c r="AD1065" s="589"/>
      <c r="AE1065" s="589"/>
      <c r="AF1065" s="589"/>
      <c r="AG1065" s="589"/>
      <c r="AH1065" s="589"/>
      <c r="AI1065" s="589"/>
      <c r="AJ1065" s="589"/>
      <c r="AK1065" s="589"/>
      <c r="AL1065" s="589"/>
      <c r="AM1065" s="589"/>
      <c r="AN1065" s="589"/>
      <c r="AO1065" s="589"/>
      <c r="AP1065" s="589"/>
      <c r="AQ1065" s="589"/>
      <c r="AR1065" s="589"/>
      <c r="AS1065" s="589"/>
    </row>
    <row r="1066" spans="1:45" ht="15">
      <c r="A1066" s="587" t="s">
        <v>153</v>
      </c>
      <c r="B1066" s="587" t="s">
        <v>424</v>
      </c>
      <c r="C1066" s="587" t="s">
        <v>812</v>
      </c>
      <c r="D1066" s="588">
        <v>2016</v>
      </c>
      <c r="E1066" s="587" t="s">
        <v>775</v>
      </c>
      <c r="F1066" s="588">
        <v>314</v>
      </c>
      <c r="G1066" s="588">
        <v>0</v>
      </c>
      <c r="H1066" s="588">
        <v>0</v>
      </c>
      <c r="I1066" s="588">
        <v>0</v>
      </c>
      <c r="J1066" s="588">
        <v>185</v>
      </c>
      <c r="K1066" s="588">
        <v>0</v>
      </c>
      <c r="L1066" s="588">
        <v>0</v>
      </c>
      <c r="M1066" s="588">
        <v>0</v>
      </c>
      <c r="N1066" s="588">
        <v>205</v>
      </c>
      <c r="O1066" s="588">
        <v>15</v>
      </c>
      <c r="P1066" s="588">
        <v>558</v>
      </c>
      <c r="Q1066" s="588">
        <v>4</v>
      </c>
      <c r="R1066" s="588">
        <v>1262</v>
      </c>
      <c r="S1066" s="588">
        <v>19</v>
      </c>
      <c r="T1066" s="588">
        <v>2016</v>
      </c>
      <c r="U1066" s="588">
        <v>2014</v>
      </c>
      <c r="V1066" s="589"/>
      <c r="W1066" s="589"/>
      <c r="X1066" s="589"/>
      <c r="Y1066" s="589"/>
      <c r="Z1066" s="589"/>
      <c r="AA1066" s="589"/>
      <c r="AB1066" s="589"/>
      <c r="AC1066" s="589"/>
      <c r="AD1066" s="589"/>
      <c r="AE1066" s="589"/>
      <c r="AF1066" s="589"/>
      <c r="AG1066" s="589"/>
      <c r="AH1066" s="589"/>
      <c r="AI1066" s="589"/>
      <c r="AJ1066" s="589"/>
      <c r="AK1066" s="589"/>
      <c r="AL1066" s="589"/>
      <c r="AM1066" s="589"/>
      <c r="AN1066" s="589"/>
      <c r="AO1066" s="589"/>
      <c r="AP1066" s="589"/>
      <c r="AQ1066" s="589"/>
      <c r="AR1066" s="589"/>
      <c r="AS1066" s="589"/>
    </row>
    <row r="1067" spans="1:45" ht="15">
      <c r="A1067" s="590" t="s">
        <v>153</v>
      </c>
      <c r="B1067" s="591" t="s">
        <v>425</v>
      </c>
      <c r="C1067" s="591" t="s">
        <v>812</v>
      </c>
      <c r="D1067" s="592">
        <v>2016</v>
      </c>
      <c r="E1067" s="591" t="s">
        <v>775</v>
      </c>
      <c r="F1067" s="592">
        <v>17</v>
      </c>
      <c r="G1067" s="592">
        <v>0</v>
      </c>
      <c r="H1067" s="592">
        <v>0</v>
      </c>
      <c r="I1067" s="592">
        <v>0</v>
      </c>
      <c r="J1067" s="592">
        <v>10</v>
      </c>
      <c r="K1067" s="592">
        <v>0</v>
      </c>
      <c r="L1067" s="592">
        <v>0</v>
      </c>
      <c r="M1067" s="592">
        <v>0</v>
      </c>
      <c r="N1067" s="593">
        <v>11</v>
      </c>
      <c r="O1067" s="593">
        <v>0</v>
      </c>
      <c r="P1067" s="593">
        <v>25</v>
      </c>
      <c r="Q1067" s="593">
        <v>11</v>
      </c>
      <c r="R1067" s="593">
        <v>63</v>
      </c>
      <c r="S1067" s="593">
        <v>11</v>
      </c>
      <c r="T1067" s="593">
        <v>2016</v>
      </c>
      <c r="U1067" s="593">
        <v>2014</v>
      </c>
      <c r="V1067" s="589"/>
      <c r="W1067" s="589"/>
      <c r="X1067" s="589"/>
      <c r="Y1067" s="589"/>
      <c r="Z1067" s="589"/>
      <c r="AA1067" s="589"/>
      <c r="AB1067" s="589"/>
      <c r="AC1067" s="589"/>
      <c r="AD1067" s="589"/>
      <c r="AE1067" s="589"/>
      <c r="AF1067" s="589"/>
      <c r="AG1067" s="589"/>
      <c r="AH1067" s="589"/>
      <c r="AI1067" s="589"/>
      <c r="AJ1067" s="589"/>
      <c r="AK1067" s="589"/>
      <c r="AL1067" s="589"/>
      <c r="AM1067" s="589"/>
      <c r="AN1067" s="589"/>
      <c r="AO1067" s="589"/>
      <c r="AP1067" s="589"/>
      <c r="AQ1067" s="589"/>
      <c r="AR1067" s="589"/>
      <c r="AS1067" s="589"/>
    </row>
    <row r="1068" spans="1:45" ht="15">
      <c r="A1068" s="587" t="s">
        <v>184</v>
      </c>
      <c r="B1068" s="587" t="s">
        <v>641</v>
      </c>
      <c r="C1068" s="587" t="s">
        <v>774</v>
      </c>
      <c r="D1068" s="588">
        <v>2016</v>
      </c>
      <c r="E1068" s="587" t="s">
        <v>775</v>
      </c>
      <c r="F1068" s="588">
        <v>565</v>
      </c>
      <c r="G1068" s="588">
        <v>0</v>
      </c>
      <c r="H1068" s="588">
        <v>0</v>
      </c>
      <c r="I1068" s="588">
        <v>0</v>
      </c>
      <c r="J1068" s="588">
        <v>281</v>
      </c>
      <c r="K1068" s="588">
        <v>1</v>
      </c>
      <c r="L1068" s="588">
        <v>1</v>
      </c>
      <c r="M1068" s="588">
        <v>0</v>
      </c>
      <c r="N1068" s="588">
        <v>313</v>
      </c>
      <c r="O1068" s="588">
        <v>13</v>
      </c>
      <c r="P1068" s="588">
        <v>705</v>
      </c>
      <c r="Q1068" s="588">
        <v>92</v>
      </c>
      <c r="R1068" s="588">
        <v>1864</v>
      </c>
      <c r="S1068" s="588">
        <v>106</v>
      </c>
      <c r="T1068" s="588">
        <v>2016</v>
      </c>
      <c r="U1068" s="588">
        <v>2015</v>
      </c>
      <c r="V1068" s="589"/>
      <c r="W1068" s="589"/>
      <c r="X1068" s="589"/>
      <c r="Y1068" s="589"/>
      <c r="Z1068" s="589"/>
      <c r="AA1068" s="589"/>
      <c r="AB1068" s="589"/>
      <c r="AC1068" s="589"/>
      <c r="AD1068" s="589"/>
      <c r="AE1068" s="589"/>
      <c r="AF1068" s="589"/>
      <c r="AG1068" s="589"/>
      <c r="AH1068" s="589"/>
      <c r="AI1068" s="589"/>
      <c r="AJ1068" s="589"/>
      <c r="AK1068" s="589"/>
      <c r="AL1068" s="589"/>
      <c r="AM1068" s="589"/>
      <c r="AN1068" s="589"/>
      <c r="AO1068" s="589"/>
      <c r="AP1068" s="589"/>
      <c r="AQ1068" s="589"/>
      <c r="AR1068" s="589"/>
      <c r="AS1068" s="589"/>
    </row>
    <row r="1069" spans="1:45" ht="15">
      <c r="A1069" s="590" t="s">
        <v>195</v>
      </c>
      <c r="B1069" s="591" t="s">
        <v>710</v>
      </c>
      <c r="C1069" s="591" t="s">
        <v>177</v>
      </c>
      <c r="D1069" s="592">
        <v>2016</v>
      </c>
      <c r="E1069" s="591" t="s">
        <v>775</v>
      </c>
      <c r="F1069" s="592">
        <v>538</v>
      </c>
      <c r="G1069" s="592">
        <v>0</v>
      </c>
      <c r="H1069" s="592">
        <v>0</v>
      </c>
      <c r="I1069" s="592">
        <v>0</v>
      </c>
      <c r="J1069" s="592">
        <v>345</v>
      </c>
      <c r="K1069" s="592">
        <v>10</v>
      </c>
      <c r="L1069" s="592">
        <v>0</v>
      </c>
      <c r="M1069" s="592">
        <v>10</v>
      </c>
      <c r="N1069" s="593">
        <v>391</v>
      </c>
      <c r="O1069" s="593">
        <v>3</v>
      </c>
      <c r="P1069" s="593">
        <v>967</v>
      </c>
      <c r="Q1069" s="593">
        <v>121</v>
      </c>
      <c r="R1069" s="593">
        <v>2241</v>
      </c>
      <c r="S1069" s="593">
        <v>134</v>
      </c>
      <c r="T1069" s="593">
        <v>2016</v>
      </c>
      <c r="U1069" s="593">
        <v>2016</v>
      </c>
      <c r="V1069" s="589"/>
      <c r="W1069" s="589"/>
      <c r="X1069" s="589"/>
      <c r="Y1069" s="589"/>
      <c r="Z1069" s="589"/>
      <c r="AA1069" s="589"/>
      <c r="AB1069" s="589"/>
      <c r="AC1069" s="589"/>
      <c r="AD1069" s="589"/>
      <c r="AE1069" s="589"/>
      <c r="AF1069" s="589"/>
      <c r="AG1069" s="589"/>
      <c r="AH1069" s="589"/>
      <c r="AI1069" s="589"/>
      <c r="AJ1069" s="589"/>
      <c r="AK1069" s="589"/>
      <c r="AL1069" s="589"/>
      <c r="AM1069" s="589"/>
      <c r="AN1069" s="589"/>
      <c r="AO1069" s="589"/>
      <c r="AP1069" s="589"/>
      <c r="AQ1069" s="589"/>
      <c r="AR1069" s="589"/>
      <c r="AS1069" s="589"/>
    </row>
    <row r="1070" spans="1:45" ht="15">
      <c r="A1070" s="587" t="s">
        <v>169</v>
      </c>
      <c r="B1070" s="587" t="s">
        <v>514</v>
      </c>
      <c r="C1070" s="587" t="s">
        <v>812</v>
      </c>
      <c r="D1070" s="588">
        <v>2016</v>
      </c>
      <c r="E1070" s="587" t="s">
        <v>775</v>
      </c>
      <c r="F1070" s="588">
        <v>68</v>
      </c>
      <c r="G1070" s="588">
        <v>0</v>
      </c>
      <c r="H1070" s="588">
        <v>0</v>
      </c>
      <c r="I1070" s="588">
        <v>0</v>
      </c>
      <c r="J1070" s="588">
        <v>49</v>
      </c>
      <c r="K1070" s="588">
        <v>0</v>
      </c>
      <c r="L1070" s="588">
        <v>0</v>
      </c>
      <c r="M1070" s="588">
        <v>0</v>
      </c>
      <c r="N1070" s="588">
        <v>56</v>
      </c>
      <c r="O1070" s="588">
        <v>0</v>
      </c>
      <c r="P1070" s="588">
        <v>140</v>
      </c>
      <c r="Q1070" s="588">
        <v>25</v>
      </c>
      <c r="R1070" s="588">
        <v>313</v>
      </c>
      <c r="S1070" s="588">
        <v>25</v>
      </c>
      <c r="T1070" s="588">
        <v>2016</v>
      </c>
      <c r="U1070" s="588">
        <v>2014</v>
      </c>
      <c r="V1070" s="589"/>
      <c r="W1070" s="589"/>
      <c r="X1070" s="589"/>
      <c r="Y1070" s="589"/>
      <c r="Z1070" s="589"/>
      <c r="AA1070" s="589"/>
      <c r="AB1070" s="589"/>
      <c r="AC1070" s="589"/>
      <c r="AD1070" s="589"/>
      <c r="AE1070" s="589"/>
      <c r="AF1070" s="589"/>
      <c r="AG1070" s="589"/>
      <c r="AH1070" s="589"/>
      <c r="AI1070" s="589"/>
      <c r="AJ1070" s="589"/>
      <c r="AK1070" s="589"/>
      <c r="AL1070" s="589"/>
      <c r="AM1070" s="589"/>
      <c r="AN1070" s="589"/>
      <c r="AO1070" s="589"/>
      <c r="AP1070" s="589"/>
      <c r="AQ1070" s="589"/>
      <c r="AR1070" s="589"/>
      <c r="AS1070" s="589"/>
    </row>
    <row r="1071" spans="1:45" ht="15">
      <c r="A1071" s="590" t="s">
        <v>192</v>
      </c>
      <c r="B1071" s="591" t="s">
        <v>691</v>
      </c>
      <c r="C1071" s="591" t="s">
        <v>774</v>
      </c>
      <c r="D1071" s="592">
        <v>2016</v>
      </c>
      <c r="E1071" s="591" t="s">
        <v>775</v>
      </c>
      <c r="F1071" s="592">
        <v>147</v>
      </c>
      <c r="G1071" s="592">
        <v>0</v>
      </c>
      <c r="H1071" s="592">
        <v>0</v>
      </c>
      <c r="I1071" s="592">
        <v>0</v>
      </c>
      <c r="J1071" s="592">
        <v>57</v>
      </c>
      <c r="K1071" s="592">
        <v>0</v>
      </c>
      <c r="L1071" s="592">
        <v>0</v>
      </c>
      <c r="M1071" s="592">
        <v>0</v>
      </c>
      <c r="N1071" s="593">
        <v>60</v>
      </c>
      <c r="O1071" s="593">
        <v>0</v>
      </c>
      <c r="P1071" s="593">
        <v>241</v>
      </c>
      <c r="Q1071" s="593">
        <v>52</v>
      </c>
      <c r="R1071" s="593">
        <v>505</v>
      </c>
      <c r="S1071" s="593">
        <v>52</v>
      </c>
      <c r="T1071" s="593">
        <v>2016</v>
      </c>
      <c r="U1071" s="593">
        <v>2015</v>
      </c>
      <c r="V1071" s="589"/>
      <c r="W1071" s="589"/>
      <c r="X1071" s="589"/>
      <c r="Y1071" s="589"/>
      <c r="Z1071" s="589"/>
      <c r="AA1071" s="589"/>
      <c r="AB1071" s="589"/>
      <c r="AC1071" s="589"/>
      <c r="AD1071" s="589"/>
      <c r="AE1071" s="589"/>
      <c r="AF1071" s="589"/>
      <c r="AG1071" s="589"/>
      <c r="AH1071" s="589"/>
      <c r="AI1071" s="589"/>
      <c r="AJ1071" s="589"/>
      <c r="AK1071" s="589"/>
      <c r="AL1071" s="589"/>
      <c r="AM1071" s="589"/>
      <c r="AN1071" s="589"/>
      <c r="AO1071" s="589"/>
      <c r="AP1071" s="589"/>
      <c r="AQ1071" s="589"/>
      <c r="AR1071" s="589"/>
      <c r="AS1071" s="589"/>
    </row>
    <row r="1072" spans="1:45" ht="15">
      <c r="A1072" s="587" t="s">
        <v>187</v>
      </c>
      <c r="B1072" s="587" t="s">
        <v>665</v>
      </c>
      <c r="C1072" s="587" t="s">
        <v>774</v>
      </c>
      <c r="D1072" s="588">
        <v>2016</v>
      </c>
      <c r="E1072" s="587" t="s">
        <v>775</v>
      </c>
      <c r="F1072" s="588">
        <v>1640</v>
      </c>
      <c r="G1072" s="588">
        <v>0</v>
      </c>
      <c r="H1072" s="588">
        <v>0</v>
      </c>
      <c r="I1072" s="588">
        <v>0</v>
      </c>
      <c r="J1072" s="588">
        <v>906</v>
      </c>
      <c r="K1072" s="588">
        <v>1</v>
      </c>
      <c r="L1072" s="588">
        <v>1</v>
      </c>
      <c r="M1072" s="588">
        <v>0</v>
      </c>
      <c r="N1072" s="588">
        <v>932</v>
      </c>
      <c r="O1072" s="588">
        <v>32</v>
      </c>
      <c r="P1072" s="588">
        <v>1974</v>
      </c>
      <c r="Q1072" s="588">
        <v>222</v>
      </c>
      <c r="R1072" s="588">
        <v>5452</v>
      </c>
      <c r="S1072" s="588">
        <v>255</v>
      </c>
      <c r="T1072" s="588">
        <v>2016</v>
      </c>
      <c r="U1072" s="588">
        <v>2015</v>
      </c>
      <c r="V1072" s="589"/>
      <c r="W1072" s="589"/>
      <c r="X1072" s="589"/>
      <c r="Y1072" s="589"/>
      <c r="Z1072" s="589"/>
      <c r="AA1072" s="589"/>
      <c r="AB1072" s="589"/>
      <c r="AC1072" s="589"/>
      <c r="AD1072" s="589"/>
      <c r="AE1072" s="589"/>
      <c r="AF1072" s="589"/>
      <c r="AG1072" s="589"/>
      <c r="AH1072" s="589"/>
      <c r="AI1072" s="589"/>
      <c r="AJ1072" s="589"/>
      <c r="AK1072" s="589"/>
      <c r="AL1072" s="589"/>
      <c r="AM1072" s="589"/>
      <c r="AN1072" s="589"/>
      <c r="AO1072" s="589"/>
      <c r="AP1072" s="589"/>
      <c r="AQ1072" s="589"/>
      <c r="AR1072" s="589"/>
      <c r="AS1072" s="589"/>
    </row>
    <row r="1073" spans="1:45" ht="15">
      <c r="A1073" s="590" t="s">
        <v>196</v>
      </c>
      <c r="B1073" s="591" t="s">
        <v>714</v>
      </c>
      <c r="C1073" s="591" t="s">
        <v>799</v>
      </c>
      <c r="D1073" s="592">
        <v>2016</v>
      </c>
      <c r="E1073" s="591" t="s">
        <v>775</v>
      </c>
      <c r="F1073" s="592">
        <v>85</v>
      </c>
      <c r="G1073" s="592">
        <v>0</v>
      </c>
      <c r="H1073" s="592">
        <v>0</v>
      </c>
      <c r="I1073" s="592">
        <v>0</v>
      </c>
      <c r="J1073" s="592">
        <v>60</v>
      </c>
      <c r="K1073" s="592">
        <v>0</v>
      </c>
      <c r="L1073" s="592">
        <v>0</v>
      </c>
      <c r="M1073" s="592">
        <v>0</v>
      </c>
      <c r="N1073" s="593">
        <v>62</v>
      </c>
      <c r="O1073" s="593">
        <v>2</v>
      </c>
      <c r="P1073" s="593">
        <v>128</v>
      </c>
      <c r="Q1073" s="593">
        <v>8</v>
      </c>
      <c r="R1073" s="593">
        <v>335</v>
      </c>
      <c r="S1073" s="593">
        <v>10</v>
      </c>
      <c r="T1073" s="593">
        <v>2016</v>
      </c>
      <c r="U1073" s="593">
        <v>2014</v>
      </c>
      <c r="V1073" s="589"/>
      <c r="W1073" s="589"/>
      <c r="X1073" s="589"/>
      <c r="Y1073" s="589"/>
      <c r="Z1073" s="589"/>
      <c r="AA1073" s="589"/>
      <c r="AB1073" s="589"/>
      <c r="AC1073" s="589"/>
      <c r="AD1073" s="589"/>
      <c r="AE1073" s="589"/>
      <c r="AF1073" s="589"/>
      <c r="AG1073" s="589"/>
      <c r="AH1073" s="589"/>
      <c r="AI1073" s="589"/>
      <c r="AJ1073" s="589"/>
      <c r="AK1073" s="589"/>
      <c r="AL1073" s="589"/>
      <c r="AM1073" s="589"/>
      <c r="AN1073" s="589"/>
      <c r="AO1073" s="589"/>
      <c r="AP1073" s="589"/>
      <c r="AQ1073" s="589"/>
      <c r="AR1073" s="589"/>
      <c r="AS1073" s="589"/>
    </row>
    <row r="1074" spans="1:45" ht="15">
      <c r="A1074" s="587" t="s">
        <v>130</v>
      </c>
      <c r="B1074" s="587" t="s">
        <v>254</v>
      </c>
      <c r="C1074" s="587" t="s">
        <v>784</v>
      </c>
      <c r="D1074" s="588">
        <v>2016</v>
      </c>
      <c r="E1074" s="587" t="s">
        <v>775</v>
      </c>
      <c r="F1074" s="588">
        <v>2</v>
      </c>
      <c r="G1074" s="588">
        <v>0</v>
      </c>
      <c r="H1074" s="588">
        <v>0</v>
      </c>
      <c r="I1074" s="588">
        <v>0</v>
      </c>
      <c r="J1074" s="588">
        <v>2</v>
      </c>
      <c r="K1074" s="588">
        <v>0</v>
      </c>
      <c r="L1074" s="588">
        <v>0</v>
      </c>
      <c r="M1074" s="588">
        <v>0</v>
      </c>
      <c r="N1074" s="588">
        <v>2</v>
      </c>
      <c r="O1074" s="588">
        <v>1</v>
      </c>
      <c r="P1074" s="588">
        <v>4</v>
      </c>
      <c r="Q1074" s="588">
        <v>10</v>
      </c>
      <c r="R1074" s="588">
        <v>10</v>
      </c>
      <c r="S1074" s="588">
        <v>11</v>
      </c>
      <c r="T1074" s="588">
        <v>2016</v>
      </c>
      <c r="U1074" s="588">
        <v>2014</v>
      </c>
      <c r="V1074" s="589"/>
      <c r="W1074" s="589"/>
      <c r="X1074" s="589"/>
      <c r="Y1074" s="589"/>
      <c r="Z1074" s="589"/>
      <c r="AA1074" s="589"/>
      <c r="AB1074" s="589"/>
      <c r="AC1074" s="589"/>
      <c r="AD1074" s="589"/>
      <c r="AE1074" s="589"/>
      <c r="AF1074" s="589"/>
      <c r="AG1074" s="589"/>
      <c r="AH1074" s="589"/>
      <c r="AI1074" s="589"/>
      <c r="AJ1074" s="589"/>
      <c r="AK1074" s="589"/>
      <c r="AL1074" s="589"/>
      <c r="AM1074" s="589"/>
      <c r="AN1074" s="589"/>
      <c r="AO1074" s="589"/>
      <c r="AP1074" s="589"/>
      <c r="AQ1074" s="589"/>
      <c r="AR1074" s="589"/>
      <c r="AS1074" s="589"/>
    </row>
    <row r="1075" spans="1:45" ht="15">
      <c r="A1075" s="590" t="s">
        <v>148</v>
      </c>
      <c r="B1075" s="591" t="s">
        <v>333</v>
      </c>
      <c r="C1075" s="591" t="s">
        <v>177</v>
      </c>
      <c r="D1075" s="592">
        <v>2016</v>
      </c>
      <c r="E1075" s="591" t="s">
        <v>775</v>
      </c>
      <c r="F1075" s="592">
        <v>52</v>
      </c>
      <c r="G1075" s="592">
        <v>0</v>
      </c>
      <c r="H1075" s="592">
        <v>0</v>
      </c>
      <c r="I1075" s="592">
        <v>0</v>
      </c>
      <c r="J1075" s="592">
        <v>26</v>
      </c>
      <c r="K1075" s="592">
        <v>0</v>
      </c>
      <c r="L1075" s="592">
        <v>0</v>
      </c>
      <c r="M1075" s="592">
        <v>0</v>
      </c>
      <c r="N1075" s="593">
        <v>30</v>
      </c>
      <c r="O1075" s="593">
        <v>0</v>
      </c>
      <c r="P1075" s="593">
        <v>146</v>
      </c>
      <c r="Q1075" s="593">
        <v>9</v>
      </c>
      <c r="R1075" s="593">
        <v>254</v>
      </c>
      <c r="S1075" s="593">
        <v>9</v>
      </c>
      <c r="T1075" s="593">
        <v>2016</v>
      </c>
      <c r="U1075" s="593">
        <v>2016</v>
      </c>
      <c r="V1075" s="589"/>
      <c r="W1075" s="589"/>
      <c r="X1075" s="589"/>
      <c r="Y1075" s="589"/>
      <c r="Z1075" s="589"/>
      <c r="AA1075" s="589"/>
      <c r="AB1075" s="589"/>
      <c r="AC1075" s="589"/>
      <c r="AD1075" s="589"/>
      <c r="AE1075" s="589"/>
      <c r="AF1075" s="589"/>
      <c r="AG1075" s="589"/>
      <c r="AH1075" s="589"/>
      <c r="AI1075" s="589"/>
      <c r="AJ1075" s="589"/>
      <c r="AK1075" s="589"/>
      <c r="AL1075" s="589"/>
      <c r="AM1075" s="589"/>
      <c r="AN1075" s="589"/>
      <c r="AO1075" s="589"/>
      <c r="AP1075" s="589"/>
      <c r="AQ1075" s="589"/>
      <c r="AR1075" s="589"/>
      <c r="AS1075" s="589"/>
    </row>
    <row r="1076" spans="1:45" ht="15">
      <c r="A1076" s="587" t="s">
        <v>197</v>
      </c>
      <c r="B1076" s="587" t="s">
        <v>718</v>
      </c>
      <c r="C1076" s="587" t="s">
        <v>784</v>
      </c>
      <c r="D1076" s="588">
        <v>2016</v>
      </c>
      <c r="E1076" s="587" t="s">
        <v>775</v>
      </c>
      <c r="F1076" s="588">
        <v>112</v>
      </c>
      <c r="G1076" s="588">
        <v>0</v>
      </c>
      <c r="H1076" s="588">
        <v>0</v>
      </c>
      <c r="I1076" s="588">
        <v>0</v>
      </c>
      <c r="J1076" s="588">
        <v>76</v>
      </c>
      <c r="K1076" s="588">
        <v>23</v>
      </c>
      <c r="L1076" s="588">
        <v>23</v>
      </c>
      <c r="M1076" s="588">
        <v>0</v>
      </c>
      <c r="N1076" s="588">
        <v>89</v>
      </c>
      <c r="O1076" s="588">
        <v>8</v>
      </c>
      <c r="P1076" s="588">
        <v>209</v>
      </c>
      <c r="Q1076" s="588">
        <v>0</v>
      </c>
      <c r="R1076" s="588">
        <v>486</v>
      </c>
      <c r="S1076" s="588">
        <v>31</v>
      </c>
      <c r="T1076" s="588">
        <v>2016</v>
      </c>
      <c r="U1076" s="588">
        <v>2014</v>
      </c>
      <c r="V1076" s="589"/>
      <c r="W1076" s="589"/>
      <c r="X1076" s="589"/>
      <c r="Y1076" s="589"/>
      <c r="Z1076" s="589"/>
      <c r="AA1076" s="589"/>
      <c r="AB1076" s="589"/>
      <c r="AC1076" s="589"/>
      <c r="AD1076" s="589"/>
      <c r="AE1076" s="589"/>
      <c r="AF1076" s="589"/>
      <c r="AG1076" s="589"/>
      <c r="AH1076" s="589"/>
      <c r="AI1076" s="589"/>
      <c r="AJ1076" s="589"/>
      <c r="AK1076" s="589"/>
      <c r="AL1076" s="589"/>
      <c r="AM1076" s="589"/>
      <c r="AN1076" s="589"/>
      <c r="AO1076" s="589"/>
      <c r="AP1076" s="589"/>
      <c r="AQ1076" s="589"/>
      <c r="AR1076" s="589"/>
      <c r="AS1076" s="589"/>
    </row>
    <row r="1077" spans="1:45" ht="15">
      <c r="A1077" s="590" t="s">
        <v>173</v>
      </c>
      <c r="B1077" s="591" t="s">
        <v>554</v>
      </c>
      <c r="C1077" s="591" t="s">
        <v>812</v>
      </c>
      <c r="D1077" s="592">
        <v>2016</v>
      </c>
      <c r="E1077" s="591" t="s">
        <v>775</v>
      </c>
      <c r="F1077" s="592">
        <v>375</v>
      </c>
      <c r="G1077" s="592">
        <v>0</v>
      </c>
      <c r="H1077" s="592">
        <v>0</v>
      </c>
      <c r="I1077" s="592">
        <v>0</v>
      </c>
      <c r="J1077" s="592">
        <v>251</v>
      </c>
      <c r="K1077" s="592">
        <v>0</v>
      </c>
      <c r="L1077" s="592">
        <v>0</v>
      </c>
      <c r="M1077" s="592">
        <v>0</v>
      </c>
      <c r="N1077" s="593">
        <v>271</v>
      </c>
      <c r="O1077" s="593">
        <v>0</v>
      </c>
      <c r="P1077" s="593">
        <v>596</v>
      </c>
      <c r="Q1077" s="593">
        <v>299</v>
      </c>
      <c r="R1077" s="593">
        <v>1493</v>
      </c>
      <c r="S1077" s="593">
        <v>299</v>
      </c>
      <c r="T1077" s="593">
        <v>2016</v>
      </c>
      <c r="U1077" s="593">
        <v>2014</v>
      </c>
      <c r="V1077" s="589"/>
      <c r="W1077" s="589"/>
      <c r="X1077" s="589"/>
      <c r="Y1077" s="589"/>
      <c r="Z1077" s="589"/>
      <c r="AA1077" s="589"/>
      <c r="AB1077" s="589"/>
      <c r="AC1077" s="589"/>
      <c r="AD1077" s="589"/>
      <c r="AE1077" s="589"/>
      <c r="AF1077" s="589"/>
      <c r="AG1077" s="589"/>
      <c r="AH1077" s="589"/>
      <c r="AI1077" s="589"/>
      <c r="AJ1077" s="589"/>
      <c r="AK1077" s="589"/>
      <c r="AL1077" s="589"/>
      <c r="AM1077" s="589"/>
      <c r="AN1077" s="589"/>
      <c r="AO1077" s="589"/>
      <c r="AP1077" s="589"/>
      <c r="AQ1077" s="589"/>
      <c r="AR1077" s="589"/>
      <c r="AS1077" s="589"/>
    </row>
    <row r="1078" spans="1:45" ht="15">
      <c r="A1078" s="587" t="s">
        <v>153</v>
      </c>
      <c r="B1078" s="587" t="s">
        <v>426</v>
      </c>
      <c r="C1078" s="587" t="s">
        <v>812</v>
      </c>
      <c r="D1078" s="588">
        <v>2016</v>
      </c>
      <c r="E1078" s="587" t="s">
        <v>775</v>
      </c>
      <c r="F1078" s="588">
        <v>159</v>
      </c>
      <c r="G1078" s="588">
        <v>0</v>
      </c>
      <c r="H1078" s="588">
        <v>0</v>
      </c>
      <c r="I1078" s="588">
        <v>0</v>
      </c>
      <c r="J1078" s="588">
        <v>93</v>
      </c>
      <c r="K1078" s="588">
        <v>5</v>
      </c>
      <c r="L1078" s="588">
        <v>5</v>
      </c>
      <c r="M1078" s="588">
        <v>0</v>
      </c>
      <c r="N1078" s="588">
        <v>99</v>
      </c>
      <c r="O1078" s="588">
        <v>0</v>
      </c>
      <c r="P1078" s="588">
        <v>252</v>
      </c>
      <c r="Q1078" s="588">
        <v>97</v>
      </c>
      <c r="R1078" s="588">
        <v>603</v>
      </c>
      <c r="S1078" s="588">
        <v>102</v>
      </c>
      <c r="T1078" s="588">
        <v>2016</v>
      </c>
      <c r="U1078" s="588">
        <v>2014</v>
      </c>
      <c r="V1078" s="589"/>
      <c r="W1078" s="589"/>
      <c r="X1078" s="589"/>
      <c r="Y1078" s="589"/>
      <c r="Z1078" s="589"/>
      <c r="AA1078" s="589"/>
      <c r="AB1078" s="589"/>
      <c r="AC1078" s="589"/>
      <c r="AD1078" s="589"/>
      <c r="AE1078" s="589"/>
      <c r="AF1078" s="589"/>
      <c r="AG1078" s="589"/>
      <c r="AH1078" s="589"/>
      <c r="AI1078" s="589"/>
      <c r="AJ1078" s="589"/>
      <c r="AK1078" s="589"/>
      <c r="AL1078" s="589"/>
      <c r="AM1078" s="589"/>
      <c r="AN1078" s="589"/>
      <c r="AO1078" s="589"/>
      <c r="AP1078" s="589"/>
      <c r="AQ1078" s="589"/>
      <c r="AR1078" s="589"/>
      <c r="AS1078" s="589"/>
    </row>
    <row r="1079" spans="1:45" ht="15">
      <c r="A1079" s="590" t="s">
        <v>201</v>
      </c>
      <c r="B1079" s="591" t="s">
        <v>739</v>
      </c>
      <c r="C1079" s="591" t="s">
        <v>812</v>
      </c>
      <c r="D1079" s="592">
        <v>2016</v>
      </c>
      <c r="E1079" s="591" t="s">
        <v>775</v>
      </c>
      <c r="F1079" s="592">
        <v>47</v>
      </c>
      <c r="G1079" s="592">
        <v>0</v>
      </c>
      <c r="H1079" s="592">
        <v>0</v>
      </c>
      <c r="I1079" s="592">
        <v>0</v>
      </c>
      <c r="J1079" s="592">
        <v>32</v>
      </c>
      <c r="K1079" s="592">
        <v>0</v>
      </c>
      <c r="L1079" s="592">
        <v>0</v>
      </c>
      <c r="M1079" s="592">
        <v>0</v>
      </c>
      <c r="N1079" s="593">
        <v>36</v>
      </c>
      <c r="O1079" s="593">
        <v>38</v>
      </c>
      <c r="P1079" s="593">
        <v>77</v>
      </c>
      <c r="Q1079" s="593">
        <v>62</v>
      </c>
      <c r="R1079" s="593">
        <v>192</v>
      </c>
      <c r="S1079" s="593">
        <v>100</v>
      </c>
      <c r="T1079" s="593">
        <v>2016</v>
      </c>
      <c r="U1079" s="593">
        <v>2014</v>
      </c>
      <c r="V1079" s="589"/>
      <c r="W1079" s="589"/>
      <c r="X1079" s="589"/>
      <c r="Y1079" s="589"/>
      <c r="Z1079" s="589"/>
      <c r="AA1079" s="589"/>
      <c r="AB1079" s="589"/>
      <c r="AC1079" s="589"/>
      <c r="AD1079" s="589"/>
      <c r="AE1079" s="589"/>
      <c r="AF1079" s="589"/>
      <c r="AG1079" s="589"/>
      <c r="AH1079" s="589"/>
      <c r="AI1079" s="589"/>
      <c r="AJ1079" s="589"/>
      <c r="AK1079" s="589"/>
      <c r="AL1079" s="589"/>
      <c r="AM1079" s="589"/>
      <c r="AN1079" s="589"/>
      <c r="AO1079" s="589"/>
      <c r="AP1079" s="589"/>
      <c r="AQ1079" s="589"/>
      <c r="AR1079" s="589"/>
      <c r="AS1079" s="589"/>
    </row>
    <row r="1080" spans="1:45" ht="15">
      <c r="A1080" s="587" t="s">
        <v>157</v>
      </c>
      <c r="B1080" s="587" t="s">
        <v>447</v>
      </c>
      <c r="C1080" s="587" t="s">
        <v>774</v>
      </c>
      <c r="D1080" s="588">
        <v>2016</v>
      </c>
      <c r="E1080" s="587" t="s">
        <v>775</v>
      </c>
      <c r="F1080" s="588">
        <v>24</v>
      </c>
      <c r="G1080" s="588">
        <v>0</v>
      </c>
      <c r="H1080" s="588">
        <v>0</v>
      </c>
      <c r="I1080" s="588">
        <v>0</v>
      </c>
      <c r="J1080" s="588">
        <v>16</v>
      </c>
      <c r="K1080" s="588">
        <v>0</v>
      </c>
      <c r="L1080" s="588">
        <v>0</v>
      </c>
      <c r="M1080" s="588">
        <v>0</v>
      </c>
      <c r="N1080" s="588">
        <v>19</v>
      </c>
      <c r="O1080" s="588">
        <v>0</v>
      </c>
      <c r="P1080" s="588">
        <v>19</v>
      </c>
      <c r="Q1080" s="588">
        <v>2</v>
      </c>
      <c r="R1080" s="588">
        <v>78</v>
      </c>
      <c r="S1080" s="588">
        <v>2</v>
      </c>
      <c r="T1080" s="588">
        <v>2016</v>
      </c>
      <c r="U1080" s="588">
        <v>2015</v>
      </c>
      <c r="V1080" s="589"/>
      <c r="W1080" s="589"/>
      <c r="X1080" s="589"/>
      <c r="Y1080" s="589"/>
      <c r="Z1080" s="589"/>
      <c r="AA1080" s="589"/>
      <c r="AB1080" s="589"/>
      <c r="AC1080" s="589"/>
      <c r="AD1080" s="589"/>
      <c r="AE1080" s="589"/>
      <c r="AF1080" s="589"/>
      <c r="AG1080" s="589"/>
      <c r="AH1080" s="589"/>
      <c r="AI1080" s="589"/>
      <c r="AJ1080" s="589"/>
      <c r="AK1080" s="589"/>
      <c r="AL1080" s="589"/>
      <c r="AM1080" s="589"/>
      <c r="AN1080" s="589"/>
      <c r="AO1080" s="589"/>
      <c r="AP1080" s="589"/>
      <c r="AQ1080" s="589"/>
      <c r="AR1080" s="589"/>
      <c r="AS1080" s="589"/>
    </row>
    <row r="1081" spans="1:45" ht="15">
      <c r="A1081" s="590" t="s">
        <v>153</v>
      </c>
      <c r="B1081" s="591" t="s">
        <v>427</v>
      </c>
      <c r="C1081" s="591" t="s">
        <v>812</v>
      </c>
      <c r="D1081" s="592">
        <v>2016</v>
      </c>
      <c r="E1081" s="591" t="s">
        <v>775</v>
      </c>
      <c r="F1081" s="592">
        <v>380</v>
      </c>
      <c r="G1081" s="592">
        <v>0</v>
      </c>
      <c r="H1081" s="592">
        <v>0</v>
      </c>
      <c r="I1081" s="592">
        <v>0</v>
      </c>
      <c r="J1081" s="592">
        <v>227</v>
      </c>
      <c r="K1081" s="592">
        <v>0</v>
      </c>
      <c r="L1081" s="592">
        <v>0</v>
      </c>
      <c r="M1081" s="592">
        <v>0</v>
      </c>
      <c r="N1081" s="593">
        <v>243</v>
      </c>
      <c r="O1081" s="593">
        <v>1</v>
      </c>
      <c r="P1081" s="593">
        <v>600</v>
      </c>
      <c r="Q1081" s="593">
        <v>49</v>
      </c>
      <c r="R1081" s="593">
        <v>1450</v>
      </c>
      <c r="S1081" s="593">
        <v>50</v>
      </c>
      <c r="T1081" s="593">
        <v>2016</v>
      </c>
      <c r="U1081" s="593">
        <v>2014</v>
      </c>
      <c r="V1081" s="589"/>
      <c r="W1081" s="589"/>
      <c r="X1081" s="589"/>
      <c r="Y1081" s="589"/>
      <c r="Z1081" s="589"/>
      <c r="AA1081" s="589"/>
      <c r="AB1081" s="589"/>
      <c r="AC1081" s="589"/>
      <c r="AD1081" s="589"/>
      <c r="AE1081" s="589"/>
      <c r="AF1081" s="589"/>
      <c r="AG1081" s="589"/>
      <c r="AH1081" s="589"/>
      <c r="AI1081" s="589"/>
      <c r="AJ1081" s="589"/>
      <c r="AK1081" s="589"/>
      <c r="AL1081" s="589"/>
      <c r="AM1081" s="589"/>
      <c r="AN1081" s="589"/>
      <c r="AO1081" s="589"/>
      <c r="AP1081" s="589"/>
      <c r="AQ1081" s="589"/>
      <c r="AR1081" s="589"/>
      <c r="AS1081" s="589"/>
    </row>
    <row r="1082" spans="1:45" ht="15">
      <c r="A1082" s="587" t="s">
        <v>182</v>
      </c>
      <c r="B1082" s="587" t="s">
        <v>615</v>
      </c>
      <c r="C1082" s="587" t="s">
        <v>177</v>
      </c>
      <c r="D1082" s="588">
        <v>2016</v>
      </c>
      <c r="E1082" s="587" t="s">
        <v>775</v>
      </c>
      <c r="F1082" s="588">
        <v>980</v>
      </c>
      <c r="G1082" s="588">
        <v>0</v>
      </c>
      <c r="H1082" s="588">
        <v>0</v>
      </c>
      <c r="I1082" s="588">
        <v>0</v>
      </c>
      <c r="J1082" s="588">
        <v>705</v>
      </c>
      <c r="K1082" s="588">
        <v>0</v>
      </c>
      <c r="L1082" s="588">
        <v>0</v>
      </c>
      <c r="M1082" s="588">
        <v>0</v>
      </c>
      <c r="N1082" s="588">
        <v>828</v>
      </c>
      <c r="O1082" s="588">
        <v>2</v>
      </c>
      <c r="P1082" s="588">
        <v>2463</v>
      </c>
      <c r="Q1082" s="588">
        <v>1003</v>
      </c>
      <c r="R1082" s="588">
        <v>4976</v>
      </c>
      <c r="S1082" s="588">
        <v>1005</v>
      </c>
      <c r="T1082" s="588">
        <v>2016</v>
      </c>
      <c r="U1082" s="588">
        <v>2016</v>
      </c>
      <c r="V1082" s="589"/>
      <c r="W1082" s="589"/>
      <c r="X1082" s="589"/>
      <c r="Y1082" s="589"/>
      <c r="Z1082" s="589"/>
      <c r="AA1082" s="589"/>
      <c r="AB1082" s="589"/>
      <c r="AC1082" s="589"/>
      <c r="AD1082" s="589"/>
      <c r="AE1082" s="589"/>
      <c r="AF1082" s="589"/>
      <c r="AG1082" s="589"/>
      <c r="AH1082" s="589"/>
      <c r="AI1082" s="589"/>
      <c r="AJ1082" s="589"/>
      <c r="AK1082" s="589"/>
      <c r="AL1082" s="589"/>
      <c r="AM1082" s="589"/>
      <c r="AN1082" s="589"/>
      <c r="AO1082" s="589"/>
      <c r="AP1082" s="589"/>
      <c r="AQ1082" s="589"/>
      <c r="AR1082" s="589"/>
      <c r="AS1082" s="589"/>
    </row>
    <row r="1083" spans="1:45" ht="15">
      <c r="A1083" s="590" t="s">
        <v>168</v>
      </c>
      <c r="B1083" s="591" t="s">
        <v>484</v>
      </c>
      <c r="C1083" s="591" t="s">
        <v>784</v>
      </c>
      <c r="D1083" s="592">
        <v>2016</v>
      </c>
      <c r="E1083" s="591" t="s">
        <v>775</v>
      </c>
      <c r="F1083" s="592">
        <v>108</v>
      </c>
      <c r="G1083" s="592">
        <v>0</v>
      </c>
      <c r="H1083" s="592">
        <v>0</v>
      </c>
      <c r="I1083" s="592">
        <v>0</v>
      </c>
      <c r="J1083" s="592">
        <v>75</v>
      </c>
      <c r="K1083" s="592">
        <v>0</v>
      </c>
      <c r="L1083" s="592">
        <v>0</v>
      </c>
      <c r="M1083" s="592">
        <v>0</v>
      </c>
      <c r="N1083" s="593">
        <v>78</v>
      </c>
      <c r="O1083" s="593">
        <v>0</v>
      </c>
      <c r="P1083" s="593">
        <v>199</v>
      </c>
      <c r="Q1083" s="593">
        <v>116</v>
      </c>
      <c r="R1083" s="593">
        <v>460</v>
      </c>
      <c r="S1083" s="593">
        <v>116</v>
      </c>
      <c r="T1083" s="593">
        <v>2016</v>
      </c>
      <c r="U1083" s="593">
        <v>2014</v>
      </c>
      <c r="V1083" s="589"/>
      <c r="W1083" s="589"/>
      <c r="X1083" s="589"/>
      <c r="Y1083" s="589"/>
      <c r="Z1083" s="589"/>
      <c r="AA1083" s="589"/>
      <c r="AB1083" s="589"/>
      <c r="AC1083" s="589"/>
      <c r="AD1083" s="589"/>
      <c r="AE1083" s="589"/>
      <c r="AF1083" s="589"/>
      <c r="AG1083" s="589"/>
      <c r="AH1083" s="589"/>
      <c r="AI1083" s="589"/>
      <c r="AJ1083" s="589"/>
      <c r="AK1083" s="589"/>
      <c r="AL1083" s="589"/>
      <c r="AM1083" s="589"/>
      <c r="AN1083" s="589"/>
      <c r="AO1083" s="589"/>
      <c r="AP1083" s="589"/>
      <c r="AQ1083" s="589"/>
      <c r="AR1083" s="589"/>
      <c r="AS1083" s="589"/>
    </row>
    <row r="1084" spans="1:45" ht="15">
      <c r="A1084" s="587" t="s">
        <v>199</v>
      </c>
      <c r="B1084" s="587" t="s">
        <v>199</v>
      </c>
      <c r="C1084" s="587" t="s">
        <v>177</v>
      </c>
      <c r="D1084" s="588">
        <v>2016</v>
      </c>
      <c r="E1084" s="587" t="s">
        <v>775</v>
      </c>
      <c r="F1084" s="588">
        <v>920</v>
      </c>
      <c r="G1084" s="588">
        <v>0</v>
      </c>
      <c r="H1084" s="588">
        <v>0</v>
      </c>
      <c r="I1084" s="588">
        <v>0</v>
      </c>
      <c r="J1084" s="588">
        <v>609</v>
      </c>
      <c r="K1084" s="588">
        <v>0</v>
      </c>
      <c r="L1084" s="588">
        <v>0</v>
      </c>
      <c r="M1084" s="588">
        <v>0</v>
      </c>
      <c r="N1084" s="588">
        <v>613</v>
      </c>
      <c r="O1084" s="588">
        <v>0</v>
      </c>
      <c r="P1084" s="588">
        <v>1452</v>
      </c>
      <c r="Q1084" s="588">
        <v>335</v>
      </c>
      <c r="R1084" s="588">
        <v>3594</v>
      </c>
      <c r="S1084" s="588">
        <v>335</v>
      </c>
      <c r="T1084" s="588">
        <v>2016</v>
      </c>
      <c r="U1084" s="588">
        <v>2016</v>
      </c>
      <c r="V1084" s="589"/>
      <c r="W1084" s="589"/>
      <c r="X1084" s="589"/>
      <c r="Y1084" s="589"/>
      <c r="Z1084" s="589"/>
      <c r="AA1084" s="589"/>
      <c r="AB1084" s="589"/>
      <c r="AC1084" s="589"/>
      <c r="AD1084" s="589"/>
      <c r="AE1084" s="589"/>
      <c r="AF1084" s="589"/>
      <c r="AG1084" s="589"/>
      <c r="AH1084" s="589"/>
      <c r="AI1084" s="589"/>
      <c r="AJ1084" s="589"/>
      <c r="AK1084" s="589"/>
      <c r="AL1084" s="589"/>
      <c r="AM1084" s="589"/>
      <c r="AN1084" s="589"/>
      <c r="AO1084" s="589"/>
      <c r="AP1084" s="589"/>
      <c r="AQ1084" s="589"/>
      <c r="AR1084" s="589"/>
      <c r="AS1084" s="589"/>
    </row>
    <row r="1085" spans="1:45" ht="15">
      <c r="A1085" s="590" t="s">
        <v>199</v>
      </c>
      <c r="B1085" s="591" t="s">
        <v>725</v>
      </c>
      <c r="C1085" s="591" t="s">
        <v>177</v>
      </c>
      <c r="D1085" s="592">
        <v>2016</v>
      </c>
      <c r="E1085" s="591" t="s">
        <v>775</v>
      </c>
      <c r="F1085" s="592">
        <v>1477</v>
      </c>
      <c r="G1085" s="592">
        <v>67</v>
      </c>
      <c r="H1085" s="592">
        <v>0</v>
      </c>
      <c r="I1085" s="592">
        <v>67</v>
      </c>
      <c r="J1085" s="592">
        <v>1065</v>
      </c>
      <c r="K1085" s="592">
        <v>27</v>
      </c>
      <c r="L1085" s="592">
        <v>0</v>
      </c>
      <c r="M1085" s="592">
        <v>27</v>
      </c>
      <c r="N1085" s="593">
        <v>1169</v>
      </c>
      <c r="O1085" s="593">
        <v>57</v>
      </c>
      <c r="P1085" s="593">
        <v>3370</v>
      </c>
      <c r="Q1085" s="593">
        <v>58</v>
      </c>
      <c r="R1085" s="593">
        <v>7081</v>
      </c>
      <c r="S1085" s="593">
        <v>209</v>
      </c>
      <c r="T1085" s="593">
        <v>2016</v>
      </c>
      <c r="U1085" s="593">
        <v>2016</v>
      </c>
      <c r="V1085" s="589"/>
      <c r="W1085" s="589"/>
      <c r="X1085" s="589"/>
      <c r="Y1085" s="589"/>
      <c r="Z1085" s="589"/>
      <c r="AA1085" s="589"/>
      <c r="AB1085" s="589"/>
      <c r="AC1085" s="589"/>
      <c r="AD1085" s="589"/>
      <c r="AE1085" s="589"/>
      <c r="AF1085" s="589"/>
      <c r="AG1085" s="589"/>
      <c r="AH1085" s="589"/>
      <c r="AI1085" s="589"/>
      <c r="AJ1085" s="589"/>
      <c r="AK1085" s="589"/>
      <c r="AL1085" s="589"/>
      <c r="AM1085" s="589"/>
      <c r="AN1085" s="589"/>
      <c r="AO1085" s="589"/>
      <c r="AP1085" s="589"/>
      <c r="AQ1085" s="589"/>
      <c r="AR1085" s="589"/>
      <c r="AS1085" s="589"/>
    </row>
    <row r="1086" spans="1:45" ht="15">
      <c r="A1086" s="587" t="s">
        <v>200</v>
      </c>
      <c r="B1086" s="587" t="s">
        <v>729</v>
      </c>
      <c r="C1086" s="587" t="s">
        <v>784</v>
      </c>
      <c r="D1086" s="588">
        <v>2016</v>
      </c>
      <c r="E1086" s="587" t="s">
        <v>775</v>
      </c>
      <c r="F1086" s="588">
        <v>102</v>
      </c>
      <c r="G1086" s="588">
        <v>0</v>
      </c>
      <c r="H1086" s="588">
        <v>0</v>
      </c>
      <c r="I1086" s="588">
        <v>0</v>
      </c>
      <c r="J1086" s="588">
        <v>74</v>
      </c>
      <c r="K1086" s="588">
        <v>2</v>
      </c>
      <c r="L1086" s="588">
        <v>2</v>
      </c>
      <c r="M1086" s="588">
        <v>0</v>
      </c>
      <c r="N1086" s="588">
        <v>81</v>
      </c>
      <c r="O1086" s="588">
        <v>0</v>
      </c>
      <c r="P1086" s="588">
        <v>193</v>
      </c>
      <c r="Q1086" s="588">
        <v>0</v>
      </c>
      <c r="R1086" s="588">
        <v>450</v>
      </c>
      <c r="S1086" s="588">
        <v>2</v>
      </c>
      <c r="T1086" s="588">
        <v>2016</v>
      </c>
      <c r="U1086" s="588">
        <v>2014</v>
      </c>
      <c r="V1086" s="589"/>
      <c r="W1086" s="589"/>
      <c r="X1086" s="589"/>
      <c r="Y1086" s="589"/>
      <c r="Z1086" s="589"/>
      <c r="AA1086" s="589"/>
      <c r="AB1086" s="589"/>
      <c r="AC1086" s="589"/>
      <c r="AD1086" s="589"/>
      <c r="AE1086" s="589"/>
      <c r="AF1086" s="589"/>
      <c r="AG1086" s="589"/>
      <c r="AH1086" s="589"/>
      <c r="AI1086" s="589"/>
      <c r="AJ1086" s="589"/>
      <c r="AK1086" s="589"/>
      <c r="AL1086" s="589"/>
      <c r="AM1086" s="589"/>
      <c r="AN1086" s="589"/>
      <c r="AO1086" s="589"/>
      <c r="AP1086" s="589"/>
      <c r="AQ1086" s="589"/>
      <c r="AR1086" s="589"/>
      <c r="AS1086" s="589"/>
    </row>
    <row r="1087" spans="1:45" ht="15">
      <c r="A1087" s="590" t="s">
        <v>195</v>
      </c>
      <c r="B1087" s="591" t="s">
        <v>711</v>
      </c>
      <c r="C1087" s="591" t="s">
        <v>177</v>
      </c>
      <c r="D1087" s="592">
        <v>2016</v>
      </c>
      <c r="E1087" s="591" t="s">
        <v>775</v>
      </c>
      <c r="F1087" s="592">
        <v>877</v>
      </c>
      <c r="G1087" s="592">
        <v>1</v>
      </c>
      <c r="H1087" s="592">
        <v>1</v>
      </c>
      <c r="I1087" s="592">
        <v>0</v>
      </c>
      <c r="J1087" s="592">
        <v>562</v>
      </c>
      <c r="K1087" s="592">
        <v>120</v>
      </c>
      <c r="L1087" s="592">
        <v>120</v>
      </c>
      <c r="M1087" s="592">
        <v>0</v>
      </c>
      <c r="N1087" s="593">
        <v>627</v>
      </c>
      <c r="O1087" s="593">
        <v>547</v>
      </c>
      <c r="P1087" s="593">
        <v>1552</v>
      </c>
      <c r="Q1087" s="593">
        <v>13</v>
      </c>
      <c r="R1087" s="593">
        <v>3618</v>
      </c>
      <c r="S1087" s="593">
        <v>681</v>
      </c>
      <c r="T1087" s="593">
        <v>2016</v>
      </c>
      <c r="U1087" s="593">
        <v>2016</v>
      </c>
      <c r="V1087" s="589"/>
      <c r="W1087" s="589"/>
      <c r="X1087" s="589"/>
      <c r="Y1087" s="589"/>
      <c r="Z1087" s="589"/>
      <c r="AA1087" s="589"/>
      <c r="AB1087" s="589"/>
      <c r="AC1087" s="589"/>
      <c r="AD1087" s="589"/>
      <c r="AE1087" s="589"/>
      <c r="AF1087" s="589"/>
      <c r="AG1087" s="589"/>
      <c r="AH1087" s="589"/>
      <c r="AI1087" s="589"/>
      <c r="AJ1087" s="589"/>
      <c r="AK1087" s="589"/>
      <c r="AL1087" s="589"/>
      <c r="AM1087" s="589"/>
      <c r="AN1087" s="589"/>
      <c r="AO1087" s="589"/>
      <c r="AP1087" s="589"/>
      <c r="AQ1087" s="589"/>
      <c r="AR1087" s="589"/>
      <c r="AS1087" s="589"/>
    </row>
    <row r="1088" spans="1:45" ht="15">
      <c r="A1088" s="587" t="s">
        <v>169</v>
      </c>
      <c r="B1088" s="587" t="s">
        <v>515</v>
      </c>
      <c r="C1088" s="587" t="s">
        <v>812</v>
      </c>
      <c r="D1088" s="588">
        <v>2016</v>
      </c>
      <c r="E1088" s="587" t="s">
        <v>775</v>
      </c>
      <c r="F1088" s="588">
        <v>283</v>
      </c>
      <c r="G1088" s="588">
        <v>1</v>
      </c>
      <c r="H1088" s="588">
        <v>1</v>
      </c>
      <c r="I1088" s="588">
        <v>0</v>
      </c>
      <c r="J1088" s="588">
        <v>195</v>
      </c>
      <c r="K1088" s="588">
        <v>0</v>
      </c>
      <c r="L1088" s="588">
        <v>0</v>
      </c>
      <c r="M1088" s="588">
        <v>0</v>
      </c>
      <c r="N1088" s="588">
        <v>224</v>
      </c>
      <c r="O1088" s="588">
        <v>0</v>
      </c>
      <c r="P1088" s="588">
        <v>525</v>
      </c>
      <c r="Q1088" s="588">
        <v>157</v>
      </c>
      <c r="R1088" s="588">
        <v>1227</v>
      </c>
      <c r="S1088" s="588">
        <v>158</v>
      </c>
      <c r="T1088" s="588">
        <v>2016</v>
      </c>
      <c r="U1088" s="588">
        <v>2014</v>
      </c>
      <c r="V1088" s="589"/>
      <c r="W1088" s="589"/>
      <c r="X1088" s="589"/>
      <c r="Y1088" s="589"/>
      <c r="Z1088" s="589"/>
      <c r="AA1088" s="589"/>
      <c r="AB1088" s="589"/>
      <c r="AC1088" s="589"/>
      <c r="AD1088" s="589"/>
      <c r="AE1088" s="589"/>
      <c r="AF1088" s="589"/>
      <c r="AG1088" s="589"/>
      <c r="AH1088" s="589"/>
      <c r="AI1088" s="589"/>
      <c r="AJ1088" s="589"/>
      <c r="AK1088" s="589"/>
      <c r="AL1088" s="589"/>
      <c r="AM1088" s="589"/>
      <c r="AN1088" s="589"/>
      <c r="AO1088" s="589"/>
      <c r="AP1088" s="589"/>
      <c r="AQ1088" s="589"/>
      <c r="AR1088" s="589"/>
      <c r="AS1088" s="589"/>
    </row>
    <row r="1089" spans="1:45" ht="15">
      <c r="A1089" s="590" t="s">
        <v>178</v>
      </c>
      <c r="B1089" s="591" t="s">
        <v>585</v>
      </c>
      <c r="C1089" s="591" t="s">
        <v>812</v>
      </c>
      <c r="D1089" s="592">
        <v>2016</v>
      </c>
      <c r="E1089" s="591" t="s">
        <v>775</v>
      </c>
      <c r="F1089" s="592">
        <v>103</v>
      </c>
      <c r="G1089" s="592">
        <v>0</v>
      </c>
      <c r="H1089" s="592">
        <v>0</v>
      </c>
      <c r="I1089" s="592">
        <v>0</v>
      </c>
      <c r="J1089" s="592">
        <v>72</v>
      </c>
      <c r="K1089" s="592">
        <v>0</v>
      </c>
      <c r="L1089" s="592">
        <v>0</v>
      </c>
      <c r="M1089" s="592">
        <v>0</v>
      </c>
      <c r="N1089" s="593">
        <v>84</v>
      </c>
      <c r="O1089" s="593">
        <v>1</v>
      </c>
      <c r="P1089" s="593">
        <v>195</v>
      </c>
      <c r="Q1089" s="593">
        <v>0</v>
      </c>
      <c r="R1089" s="593">
        <v>454</v>
      </c>
      <c r="S1089" s="593">
        <v>1</v>
      </c>
      <c r="T1089" s="593">
        <v>2016</v>
      </c>
      <c r="U1089" s="593">
        <v>2014</v>
      </c>
      <c r="V1089" s="589"/>
      <c r="W1089" s="589"/>
      <c r="X1089" s="589"/>
      <c r="Y1089" s="589"/>
      <c r="Z1089" s="589"/>
      <c r="AA1089" s="589"/>
      <c r="AB1089" s="589"/>
      <c r="AC1089" s="589"/>
      <c r="AD1089" s="589"/>
      <c r="AE1089" s="589"/>
      <c r="AF1089" s="589"/>
      <c r="AG1089" s="589"/>
      <c r="AH1089" s="589"/>
      <c r="AI1089" s="589"/>
      <c r="AJ1089" s="589"/>
      <c r="AK1089" s="589"/>
      <c r="AL1089" s="589"/>
      <c r="AM1089" s="589"/>
      <c r="AN1089" s="589"/>
      <c r="AO1089" s="589"/>
      <c r="AP1089" s="589"/>
      <c r="AQ1089" s="589"/>
      <c r="AR1089" s="589"/>
      <c r="AS1089" s="589"/>
    </row>
    <row r="1090" spans="1:45" ht="15">
      <c r="A1090" s="587" t="s">
        <v>159</v>
      </c>
      <c r="B1090" s="587" t="s">
        <v>452</v>
      </c>
      <c r="C1090" s="587" t="s">
        <v>784</v>
      </c>
      <c r="D1090" s="588">
        <v>2016</v>
      </c>
      <c r="E1090" s="587" t="s">
        <v>775</v>
      </c>
      <c r="F1090" s="588">
        <v>11</v>
      </c>
      <c r="G1090" s="588">
        <v>0</v>
      </c>
      <c r="H1090" s="588">
        <v>0</v>
      </c>
      <c r="I1090" s="588">
        <v>0</v>
      </c>
      <c r="J1090" s="588">
        <v>7</v>
      </c>
      <c r="K1090" s="588">
        <v>0</v>
      </c>
      <c r="L1090" s="588">
        <v>0</v>
      </c>
      <c r="M1090" s="588">
        <v>0</v>
      </c>
      <c r="N1090" s="588">
        <v>7</v>
      </c>
      <c r="O1090" s="588">
        <v>0</v>
      </c>
      <c r="P1090" s="588">
        <v>20</v>
      </c>
      <c r="Q1090" s="588">
        <v>7</v>
      </c>
      <c r="R1090" s="588">
        <v>45</v>
      </c>
      <c r="S1090" s="588">
        <v>7</v>
      </c>
      <c r="T1090" s="588">
        <v>2016</v>
      </c>
      <c r="U1090" s="588">
        <v>2014</v>
      </c>
      <c r="V1090" s="589"/>
      <c r="W1090" s="589"/>
      <c r="X1090" s="589"/>
      <c r="Y1090" s="589"/>
      <c r="Z1090" s="589"/>
      <c r="AA1090" s="589"/>
      <c r="AB1090" s="589"/>
      <c r="AC1090" s="589"/>
      <c r="AD1090" s="589"/>
      <c r="AE1090" s="589"/>
      <c r="AF1090" s="589"/>
      <c r="AG1090" s="589"/>
      <c r="AH1090" s="589"/>
      <c r="AI1090" s="589"/>
      <c r="AJ1090" s="589"/>
      <c r="AK1090" s="589"/>
      <c r="AL1090" s="589"/>
      <c r="AM1090" s="589"/>
      <c r="AN1090" s="589"/>
      <c r="AO1090" s="589"/>
      <c r="AP1090" s="589"/>
      <c r="AQ1090" s="589"/>
      <c r="AR1090" s="589"/>
      <c r="AS1090" s="589"/>
    </row>
    <row r="1091" spans="1:45" ht="15">
      <c r="A1091" s="590" t="s">
        <v>125</v>
      </c>
      <c r="B1091" s="591" t="s">
        <v>246</v>
      </c>
      <c r="C1091" s="591" t="s">
        <v>774</v>
      </c>
      <c r="D1091" s="592">
        <v>2016</v>
      </c>
      <c r="E1091" s="591" t="s">
        <v>775</v>
      </c>
      <c r="F1091" s="592">
        <v>317</v>
      </c>
      <c r="G1091" s="592">
        <v>0</v>
      </c>
      <c r="H1091" s="592">
        <v>0</v>
      </c>
      <c r="I1091" s="592">
        <v>0</v>
      </c>
      <c r="J1091" s="592">
        <v>180</v>
      </c>
      <c r="K1091" s="592">
        <v>0</v>
      </c>
      <c r="L1091" s="592">
        <v>0</v>
      </c>
      <c r="M1091" s="592">
        <v>0</v>
      </c>
      <c r="N1091" s="593">
        <v>192</v>
      </c>
      <c r="O1091" s="593">
        <v>1</v>
      </c>
      <c r="P1091" s="593">
        <v>417</v>
      </c>
      <c r="Q1091" s="593">
        <v>1</v>
      </c>
      <c r="R1091" s="593">
        <v>1106</v>
      </c>
      <c r="S1091" s="593">
        <v>2</v>
      </c>
      <c r="T1091" s="593">
        <v>2016</v>
      </c>
      <c r="U1091" s="593">
        <v>2015</v>
      </c>
      <c r="V1091" s="589"/>
      <c r="W1091" s="589"/>
      <c r="X1091" s="589"/>
      <c r="Y1091" s="589"/>
      <c r="Z1091" s="589"/>
      <c r="AA1091" s="589"/>
      <c r="AB1091" s="589"/>
      <c r="AC1091" s="589"/>
      <c r="AD1091" s="589"/>
      <c r="AE1091" s="589"/>
      <c r="AF1091" s="589"/>
      <c r="AG1091" s="589"/>
      <c r="AH1091" s="589"/>
      <c r="AI1091" s="589"/>
      <c r="AJ1091" s="589"/>
      <c r="AK1091" s="589"/>
      <c r="AL1091" s="589"/>
      <c r="AM1091" s="589"/>
      <c r="AN1091" s="589"/>
      <c r="AO1091" s="589"/>
      <c r="AP1091" s="589"/>
      <c r="AQ1091" s="589"/>
      <c r="AR1091" s="589"/>
      <c r="AS1091" s="589"/>
    </row>
    <row r="1092" spans="1:45" ht="15">
      <c r="A1092" s="587" t="s">
        <v>178</v>
      </c>
      <c r="B1092" s="587" t="s">
        <v>586</v>
      </c>
      <c r="C1092" s="587" t="s">
        <v>812</v>
      </c>
      <c r="D1092" s="588">
        <v>2016</v>
      </c>
      <c r="E1092" s="587" t="s">
        <v>775</v>
      </c>
      <c r="F1092" s="588">
        <v>382</v>
      </c>
      <c r="G1092" s="588">
        <v>0</v>
      </c>
      <c r="H1092" s="588">
        <v>0</v>
      </c>
      <c r="I1092" s="588">
        <v>0</v>
      </c>
      <c r="J1092" s="588">
        <v>260</v>
      </c>
      <c r="K1092" s="588">
        <v>0</v>
      </c>
      <c r="L1092" s="588">
        <v>0</v>
      </c>
      <c r="M1092" s="588">
        <v>0</v>
      </c>
      <c r="N1092" s="588">
        <v>294</v>
      </c>
      <c r="O1092" s="588">
        <v>0</v>
      </c>
      <c r="P1092" s="588">
        <v>653</v>
      </c>
      <c r="Q1092" s="588">
        <v>103</v>
      </c>
      <c r="R1092" s="588">
        <v>1589</v>
      </c>
      <c r="S1092" s="588">
        <v>103</v>
      </c>
      <c r="T1092" s="588">
        <v>2016</v>
      </c>
      <c r="U1092" s="588">
        <v>2014</v>
      </c>
      <c r="V1092" s="589"/>
      <c r="W1092" s="589"/>
      <c r="X1092" s="589"/>
      <c r="Y1092" s="589"/>
      <c r="Z1092" s="589"/>
      <c r="AA1092" s="589"/>
      <c r="AB1092" s="589"/>
      <c r="AC1092" s="589"/>
      <c r="AD1092" s="589"/>
      <c r="AE1092" s="589"/>
      <c r="AF1092" s="589"/>
      <c r="AG1092" s="589"/>
      <c r="AH1092" s="589"/>
      <c r="AI1092" s="589"/>
      <c r="AJ1092" s="589"/>
      <c r="AK1092" s="589"/>
      <c r="AL1092" s="589"/>
      <c r="AM1092" s="589"/>
      <c r="AN1092" s="589"/>
      <c r="AO1092" s="589"/>
      <c r="AP1092" s="589"/>
      <c r="AQ1092" s="589"/>
      <c r="AR1092" s="589"/>
      <c r="AS1092" s="589"/>
    </row>
    <row r="1093" spans="1:45" ht="15">
      <c r="A1093" s="590" t="s">
        <v>192</v>
      </c>
      <c r="B1093" s="591" t="s">
        <v>692</v>
      </c>
      <c r="C1093" s="591" t="s">
        <v>774</v>
      </c>
      <c r="D1093" s="592">
        <v>2016</v>
      </c>
      <c r="E1093" s="591" t="s">
        <v>775</v>
      </c>
      <c r="F1093" s="592">
        <v>287</v>
      </c>
      <c r="G1093" s="592">
        <v>0</v>
      </c>
      <c r="H1093" s="592">
        <v>0</v>
      </c>
      <c r="I1093" s="592">
        <v>0</v>
      </c>
      <c r="J1093" s="592">
        <v>134</v>
      </c>
      <c r="K1093" s="592">
        <v>0</v>
      </c>
      <c r="L1093" s="592">
        <v>0</v>
      </c>
      <c r="M1093" s="592">
        <v>0</v>
      </c>
      <c r="N1093" s="593">
        <v>173</v>
      </c>
      <c r="O1093" s="593">
        <v>160</v>
      </c>
      <c r="P1093" s="593">
        <v>490</v>
      </c>
      <c r="Q1093" s="593">
        <v>177</v>
      </c>
      <c r="R1093" s="593">
        <v>1084</v>
      </c>
      <c r="S1093" s="593">
        <v>337</v>
      </c>
      <c r="T1093" s="593">
        <v>2016</v>
      </c>
      <c r="U1093" s="593">
        <v>2015</v>
      </c>
      <c r="V1093" s="589"/>
      <c r="W1093" s="589"/>
      <c r="X1093" s="589"/>
      <c r="Y1093" s="589"/>
      <c r="Z1093" s="589"/>
      <c r="AA1093" s="589"/>
      <c r="AB1093" s="589"/>
      <c r="AC1093" s="589"/>
      <c r="AD1093" s="589"/>
      <c r="AE1093" s="589"/>
      <c r="AF1093" s="589"/>
      <c r="AG1093" s="589"/>
      <c r="AH1093" s="589"/>
      <c r="AI1093" s="589"/>
      <c r="AJ1093" s="589"/>
      <c r="AK1093" s="589"/>
      <c r="AL1093" s="589"/>
      <c r="AM1093" s="589"/>
      <c r="AN1093" s="589"/>
      <c r="AO1093" s="589"/>
      <c r="AP1093" s="589"/>
      <c r="AQ1093" s="589"/>
      <c r="AR1093" s="589"/>
      <c r="AS1093" s="589"/>
    </row>
    <row r="1094" spans="1:45" ht="15">
      <c r="A1094" s="587" t="s">
        <v>192</v>
      </c>
      <c r="B1094" s="587" t="s">
        <v>693</v>
      </c>
      <c r="C1094" s="587" t="s">
        <v>774</v>
      </c>
      <c r="D1094" s="588">
        <v>2016</v>
      </c>
      <c r="E1094" s="587" t="s">
        <v>775</v>
      </c>
      <c r="F1094" s="588">
        <v>283</v>
      </c>
      <c r="G1094" s="588">
        <v>0</v>
      </c>
      <c r="H1094" s="588">
        <v>0</v>
      </c>
      <c r="I1094" s="588">
        <v>0</v>
      </c>
      <c r="J1094" s="588">
        <v>178</v>
      </c>
      <c r="K1094" s="588">
        <v>0</v>
      </c>
      <c r="L1094" s="588">
        <v>0</v>
      </c>
      <c r="M1094" s="588">
        <v>0</v>
      </c>
      <c r="N1094" s="588">
        <v>211</v>
      </c>
      <c r="O1094" s="588">
        <v>0</v>
      </c>
      <c r="P1094" s="588">
        <v>690</v>
      </c>
      <c r="Q1094" s="588">
        <v>47</v>
      </c>
      <c r="R1094" s="588">
        <v>1362</v>
      </c>
      <c r="S1094" s="588">
        <v>47</v>
      </c>
      <c r="T1094" s="588">
        <v>2016</v>
      </c>
      <c r="U1094" s="588">
        <v>2015</v>
      </c>
      <c r="V1094" s="589"/>
      <c r="W1094" s="589"/>
      <c r="X1094" s="589"/>
      <c r="Y1094" s="589"/>
      <c r="Z1094" s="589"/>
      <c r="AA1094" s="589"/>
      <c r="AB1094" s="589"/>
      <c r="AC1094" s="589"/>
      <c r="AD1094" s="589"/>
      <c r="AE1094" s="589"/>
      <c r="AF1094" s="589"/>
      <c r="AG1094" s="589"/>
      <c r="AH1094" s="589"/>
      <c r="AI1094" s="589"/>
      <c r="AJ1094" s="589"/>
      <c r="AK1094" s="589"/>
      <c r="AL1094" s="589"/>
      <c r="AM1094" s="589"/>
      <c r="AN1094" s="589"/>
      <c r="AO1094" s="589"/>
      <c r="AP1094" s="589"/>
      <c r="AQ1094" s="589"/>
      <c r="AR1094" s="589"/>
      <c r="AS1094" s="589"/>
    </row>
    <row r="1095" spans="1:45" ht="15">
      <c r="A1095" s="590" t="s">
        <v>201</v>
      </c>
      <c r="B1095" s="591" t="s">
        <v>740</v>
      </c>
      <c r="C1095" s="591" t="s">
        <v>812</v>
      </c>
      <c r="D1095" s="592">
        <v>2016</v>
      </c>
      <c r="E1095" s="591" t="s">
        <v>775</v>
      </c>
      <c r="F1095" s="592">
        <v>246</v>
      </c>
      <c r="G1095" s="592">
        <v>4</v>
      </c>
      <c r="H1095" s="592">
        <v>0</v>
      </c>
      <c r="I1095" s="592">
        <v>4</v>
      </c>
      <c r="J1095" s="592">
        <v>168</v>
      </c>
      <c r="K1095" s="592">
        <v>8</v>
      </c>
      <c r="L1095" s="592">
        <v>0</v>
      </c>
      <c r="M1095" s="592">
        <v>8</v>
      </c>
      <c r="N1095" s="593">
        <v>189</v>
      </c>
      <c r="O1095" s="593">
        <v>7</v>
      </c>
      <c r="P1095" s="593">
        <v>412</v>
      </c>
      <c r="Q1095" s="593">
        <v>44</v>
      </c>
      <c r="R1095" s="593">
        <v>1015</v>
      </c>
      <c r="S1095" s="593">
        <v>63</v>
      </c>
      <c r="T1095" s="593">
        <v>2016</v>
      </c>
      <c r="U1095" s="593">
        <v>2014</v>
      </c>
      <c r="V1095" s="589"/>
      <c r="W1095" s="589"/>
      <c r="X1095" s="589"/>
      <c r="Y1095" s="589"/>
      <c r="Z1095" s="589"/>
      <c r="AA1095" s="589"/>
      <c r="AB1095" s="589"/>
      <c r="AC1095" s="589"/>
      <c r="AD1095" s="589"/>
      <c r="AE1095" s="589"/>
      <c r="AF1095" s="589"/>
      <c r="AG1095" s="589"/>
      <c r="AH1095" s="589"/>
      <c r="AI1095" s="589"/>
      <c r="AJ1095" s="589"/>
      <c r="AK1095" s="589"/>
      <c r="AL1095" s="589"/>
      <c r="AM1095" s="589"/>
      <c r="AN1095" s="589"/>
      <c r="AO1095" s="589"/>
      <c r="AP1095" s="589"/>
      <c r="AQ1095" s="589"/>
      <c r="AR1095" s="589"/>
      <c r="AS1095" s="589"/>
    </row>
    <row r="1096" spans="1:45" ht="15">
      <c r="A1096" s="587" t="s">
        <v>199</v>
      </c>
      <c r="B1096" s="587" t="s">
        <v>726</v>
      </c>
      <c r="C1096" s="587" t="s">
        <v>177</v>
      </c>
      <c r="D1096" s="588">
        <v>2016</v>
      </c>
      <c r="E1096" s="587" t="s">
        <v>775</v>
      </c>
      <c r="F1096" s="588">
        <v>2616</v>
      </c>
      <c r="G1096" s="588">
        <v>78</v>
      </c>
      <c r="H1096" s="588">
        <v>36</v>
      </c>
      <c r="I1096" s="588">
        <v>42</v>
      </c>
      <c r="J1096" s="588">
        <v>1931</v>
      </c>
      <c r="K1096" s="588">
        <v>118</v>
      </c>
      <c r="L1096" s="588">
        <v>0</v>
      </c>
      <c r="M1096" s="588">
        <v>118</v>
      </c>
      <c r="N1096" s="588">
        <v>1802</v>
      </c>
      <c r="O1096" s="588">
        <v>279</v>
      </c>
      <c r="P1096" s="588">
        <v>3672</v>
      </c>
      <c r="Q1096" s="588">
        <v>246</v>
      </c>
      <c r="R1096" s="588">
        <v>10021</v>
      </c>
      <c r="S1096" s="588">
        <v>721</v>
      </c>
      <c r="T1096" s="588">
        <v>2016</v>
      </c>
      <c r="U1096" s="588">
        <v>2016</v>
      </c>
      <c r="V1096" s="589"/>
      <c r="W1096" s="589"/>
      <c r="X1096" s="589"/>
      <c r="Y1096" s="589"/>
      <c r="Z1096" s="589"/>
      <c r="AA1096" s="589"/>
      <c r="AB1096" s="589"/>
      <c r="AC1096" s="589"/>
      <c r="AD1096" s="589"/>
      <c r="AE1096" s="589"/>
      <c r="AF1096" s="589"/>
      <c r="AG1096" s="589"/>
      <c r="AH1096" s="589"/>
      <c r="AI1096" s="589"/>
      <c r="AJ1096" s="589"/>
      <c r="AK1096" s="589"/>
      <c r="AL1096" s="589"/>
      <c r="AM1096" s="589"/>
      <c r="AN1096" s="589"/>
      <c r="AO1096" s="589"/>
      <c r="AP1096" s="589"/>
      <c r="AQ1096" s="589"/>
      <c r="AR1096" s="589"/>
      <c r="AS1096" s="589"/>
    </row>
    <row r="1097" spans="1:45" ht="15">
      <c r="A1097" s="590" t="s">
        <v>179</v>
      </c>
      <c r="B1097" s="591" t="s">
        <v>607</v>
      </c>
      <c r="C1097" s="591" t="s">
        <v>855</v>
      </c>
      <c r="D1097" s="592">
        <v>2016</v>
      </c>
      <c r="E1097" s="591" t="s">
        <v>775</v>
      </c>
      <c r="F1097" s="592">
        <v>343</v>
      </c>
      <c r="G1097" s="592">
        <v>0</v>
      </c>
      <c r="H1097" s="592">
        <v>0</v>
      </c>
      <c r="I1097" s="592">
        <v>0</v>
      </c>
      <c r="J1097" s="592">
        <v>260</v>
      </c>
      <c r="K1097" s="592">
        <v>0</v>
      </c>
      <c r="L1097" s="592">
        <v>0</v>
      </c>
      <c r="M1097" s="592">
        <v>0</v>
      </c>
      <c r="N1097" s="593">
        <v>241</v>
      </c>
      <c r="O1097" s="593">
        <v>0</v>
      </c>
      <c r="P1097" s="593">
        <v>530</v>
      </c>
      <c r="Q1097" s="593">
        <v>35</v>
      </c>
      <c r="R1097" s="593">
        <v>1374</v>
      </c>
      <c r="S1097" s="593">
        <v>35</v>
      </c>
      <c r="T1097" s="593">
        <v>2016</v>
      </c>
      <c r="U1097" s="593">
        <v>2013</v>
      </c>
      <c r="V1097" s="589"/>
      <c r="W1097" s="589"/>
      <c r="X1097" s="589"/>
      <c r="Y1097" s="589"/>
      <c r="Z1097" s="589"/>
      <c r="AA1097" s="589"/>
      <c r="AB1097" s="589"/>
      <c r="AC1097" s="589"/>
      <c r="AD1097" s="589"/>
      <c r="AE1097" s="589"/>
      <c r="AF1097" s="589"/>
      <c r="AG1097" s="589"/>
      <c r="AH1097" s="589"/>
      <c r="AI1097" s="589"/>
      <c r="AJ1097" s="589"/>
      <c r="AK1097" s="589"/>
      <c r="AL1097" s="589"/>
      <c r="AM1097" s="589"/>
      <c r="AN1097" s="589"/>
      <c r="AO1097" s="589"/>
      <c r="AP1097" s="589"/>
      <c r="AQ1097" s="589"/>
      <c r="AR1097" s="589"/>
      <c r="AS1097" s="589"/>
    </row>
    <row r="1098" spans="1:45" ht="15">
      <c r="A1098" s="587" t="s">
        <v>153</v>
      </c>
      <c r="B1098" s="587" t="s">
        <v>429</v>
      </c>
      <c r="C1098" s="587" t="s">
        <v>812</v>
      </c>
      <c r="D1098" s="588">
        <v>2016</v>
      </c>
      <c r="E1098" s="587" t="s">
        <v>775</v>
      </c>
      <c r="F1098" s="588">
        <v>246</v>
      </c>
      <c r="G1098" s="588">
        <v>0</v>
      </c>
      <c r="H1098" s="588">
        <v>0</v>
      </c>
      <c r="I1098" s="588">
        <v>0</v>
      </c>
      <c r="J1098" s="588">
        <v>144</v>
      </c>
      <c r="K1098" s="588">
        <v>0</v>
      </c>
      <c r="L1098" s="588">
        <v>0</v>
      </c>
      <c r="M1098" s="588">
        <v>0</v>
      </c>
      <c r="N1098" s="588">
        <v>155</v>
      </c>
      <c r="O1098" s="588">
        <v>0</v>
      </c>
      <c r="P1098" s="588">
        <v>363</v>
      </c>
      <c r="Q1098" s="588">
        <v>12</v>
      </c>
      <c r="R1098" s="588">
        <v>908</v>
      </c>
      <c r="S1098" s="588">
        <v>12</v>
      </c>
      <c r="T1098" s="588">
        <v>2016</v>
      </c>
      <c r="U1098" s="588">
        <v>2014</v>
      </c>
      <c r="V1098" s="589"/>
      <c r="W1098" s="589"/>
      <c r="X1098" s="589"/>
      <c r="Y1098" s="589"/>
      <c r="Z1098" s="589"/>
      <c r="AA1098" s="589"/>
      <c r="AB1098" s="589"/>
      <c r="AC1098" s="589"/>
      <c r="AD1098" s="589"/>
      <c r="AE1098" s="589"/>
      <c r="AF1098" s="589"/>
      <c r="AG1098" s="589"/>
      <c r="AH1098" s="589"/>
      <c r="AI1098" s="589"/>
      <c r="AJ1098" s="589"/>
      <c r="AK1098" s="589"/>
      <c r="AL1098" s="589"/>
      <c r="AM1098" s="589"/>
      <c r="AN1098" s="589"/>
      <c r="AO1098" s="589"/>
      <c r="AP1098" s="589"/>
      <c r="AQ1098" s="589"/>
      <c r="AR1098" s="589"/>
      <c r="AS1098" s="589"/>
    </row>
    <row r="1099" spans="1:45" ht="15">
      <c r="A1099" s="590" t="s">
        <v>136</v>
      </c>
      <c r="B1099" s="591" t="s">
        <v>284</v>
      </c>
      <c r="C1099" s="591" t="s">
        <v>774</v>
      </c>
      <c r="D1099" s="592">
        <v>2016</v>
      </c>
      <c r="E1099" s="591" t="s">
        <v>775</v>
      </c>
      <c r="F1099" s="592">
        <v>604</v>
      </c>
      <c r="G1099" s="592">
        <v>42</v>
      </c>
      <c r="H1099" s="592">
        <v>42</v>
      </c>
      <c r="I1099" s="592">
        <v>0</v>
      </c>
      <c r="J1099" s="592">
        <v>355</v>
      </c>
      <c r="K1099" s="592">
        <v>16</v>
      </c>
      <c r="L1099" s="592">
        <v>16</v>
      </c>
      <c r="M1099" s="592">
        <v>0</v>
      </c>
      <c r="N1099" s="593">
        <v>381</v>
      </c>
      <c r="O1099" s="593">
        <v>12</v>
      </c>
      <c r="P1099" s="593">
        <v>895</v>
      </c>
      <c r="Q1099" s="593">
        <v>392</v>
      </c>
      <c r="R1099" s="593">
        <v>2235</v>
      </c>
      <c r="S1099" s="593">
        <v>462</v>
      </c>
      <c r="T1099" s="593">
        <v>2016</v>
      </c>
      <c r="U1099" s="593">
        <v>2015</v>
      </c>
      <c r="V1099" s="589"/>
      <c r="W1099" s="589"/>
      <c r="X1099" s="589"/>
      <c r="Y1099" s="589"/>
      <c r="Z1099" s="589"/>
      <c r="AA1099" s="589"/>
      <c r="AB1099" s="589"/>
      <c r="AC1099" s="589"/>
      <c r="AD1099" s="589"/>
      <c r="AE1099" s="589"/>
      <c r="AF1099" s="589"/>
      <c r="AG1099" s="589"/>
      <c r="AH1099" s="589"/>
      <c r="AI1099" s="589"/>
      <c r="AJ1099" s="589"/>
      <c r="AK1099" s="589"/>
      <c r="AL1099" s="589"/>
      <c r="AM1099" s="589"/>
      <c r="AN1099" s="589"/>
      <c r="AO1099" s="589"/>
      <c r="AP1099" s="589"/>
      <c r="AQ1099" s="589"/>
      <c r="AR1099" s="589"/>
      <c r="AS1099" s="589"/>
    </row>
    <row r="1100" spans="1:45" ht="15">
      <c r="A1100" s="587" t="s">
        <v>148</v>
      </c>
      <c r="B1100" s="587" t="s">
        <v>335</v>
      </c>
      <c r="C1100" s="587" t="s">
        <v>177</v>
      </c>
      <c r="D1100" s="588">
        <v>2016</v>
      </c>
      <c r="E1100" s="587" t="s">
        <v>775</v>
      </c>
      <c r="F1100" s="588">
        <v>350</v>
      </c>
      <c r="G1100" s="588">
        <v>0</v>
      </c>
      <c r="H1100" s="588">
        <v>0</v>
      </c>
      <c r="I1100" s="588">
        <v>0</v>
      </c>
      <c r="J1100" s="588">
        <v>275</v>
      </c>
      <c r="K1100" s="588">
        <v>16</v>
      </c>
      <c r="L1100" s="588">
        <v>0</v>
      </c>
      <c r="M1100" s="588">
        <v>16</v>
      </c>
      <c r="N1100" s="588">
        <v>280</v>
      </c>
      <c r="O1100" s="588">
        <v>3</v>
      </c>
      <c r="P1100" s="588">
        <v>521</v>
      </c>
      <c r="Q1100" s="588">
        <v>85</v>
      </c>
      <c r="R1100" s="588">
        <v>1426</v>
      </c>
      <c r="S1100" s="588">
        <v>104</v>
      </c>
      <c r="T1100" s="588">
        <v>2016</v>
      </c>
      <c r="U1100" s="588">
        <v>2016</v>
      </c>
      <c r="V1100" s="589"/>
      <c r="W1100" s="589"/>
      <c r="X1100" s="589"/>
      <c r="Y1100" s="589"/>
      <c r="Z1100" s="589"/>
      <c r="AA1100" s="589"/>
      <c r="AB1100" s="589"/>
      <c r="AC1100" s="589"/>
      <c r="AD1100" s="589"/>
      <c r="AE1100" s="589"/>
      <c r="AF1100" s="589"/>
      <c r="AG1100" s="589"/>
      <c r="AH1100" s="589"/>
      <c r="AI1100" s="589"/>
      <c r="AJ1100" s="589"/>
      <c r="AK1100" s="589"/>
      <c r="AL1100" s="589"/>
      <c r="AM1100" s="589"/>
      <c r="AN1100" s="589"/>
      <c r="AO1100" s="589"/>
      <c r="AP1100" s="589"/>
      <c r="AQ1100" s="589"/>
      <c r="AR1100" s="589"/>
      <c r="AS1100" s="589"/>
    </row>
    <row r="1101" spans="1:45" ht="15">
      <c r="A1101" s="590" t="s">
        <v>195</v>
      </c>
      <c r="B1101" s="591" t="s">
        <v>712</v>
      </c>
      <c r="C1101" s="591" t="s">
        <v>177</v>
      </c>
      <c r="D1101" s="592">
        <v>2016</v>
      </c>
      <c r="E1101" s="591" t="s">
        <v>775</v>
      </c>
      <c r="F1101" s="592">
        <v>131</v>
      </c>
      <c r="G1101" s="592">
        <v>0</v>
      </c>
      <c r="H1101" s="592">
        <v>0</v>
      </c>
      <c r="I1101" s="592">
        <v>0</v>
      </c>
      <c r="J1101" s="592">
        <v>84</v>
      </c>
      <c r="K1101" s="592">
        <v>0</v>
      </c>
      <c r="L1101" s="592">
        <v>0</v>
      </c>
      <c r="M1101" s="592">
        <v>0</v>
      </c>
      <c r="N1101" s="593">
        <v>89</v>
      </c>
      <c r="O1101" s="593">
        <v>0</v>
      </c>
      <c r="P1101" s="593">
        <v>221</v>
      </c>
      <c r="Q1101" s="593">
        <v>3</v>
      </c>
      <c r="R1101" s="593">
        <v>525</v>
      </c>
      <c r="S1101" s="593">
        <v>3</v>
      </c>
      <c r="T1101" s="593">
        <v>2016</v>
      </c>
      <c r="U1101" s="593">
        <v>2016</v>
      </c>
      <c r="V1101" s="589"/>
      <c r="W1101" s="589"/>
      <c r="X1101" s="589"/>
      <c r="Y1101" s="589"/>
      <c r="Z1101" s="589"/>
      <c r="AA1101" s="589"/>
      <c r="AB1101" s="589"/>
      <c r="AC1101" s="589"/>
      <c r="AD1101" s="589"/>
      <c r="AE1101" s="589"/>
      <c r="AF1101" s="589"/>
      <c r="AG1101" s="589"/>
      <c r="AH1101" s="589"/>
      <c r="AI1101" s="589"/>
      <c r="AJ1101" s="589"/>
      <c r="AK1101" s="589"/>
      <c r="AL1101" s="589"/>
      <c r="AM1101" s="589"/>
      <c r="AN1101" s="589"/>
      <c r="AO1101" s="589"/>
      <c r="AP1101" s="589"/>
      <c r="AQ1101" s="589"/>
      <c r="AR1101" s="589"/>
      <c r="AS1101" s="589"/>
    </row>
    <row r="1102" spans="1:45" ht="15">
      <c r="A1102" s="587" t="s">
        <v>188</v>
      </c>
      <c r="B1102" s="587" t="s">
        <v>669</v>
      </c>
      <c r="C1102" s="587" t="s">
        <v>177</v>
      </c>
      <c r="D1102" s="588">
        <v>2016</v>
      </c>
      <c r="E1102" s="587" t="s">
        <v>775</v>
      </c>
      <c r="F1102" s="588">
        <v>169</v>
      </c>
      <c r="G1102" s="588">
        <v>20</v>
      </c>
      <c r="H1102" s="588">
        <v>20</v>
      </c>
      <c r="I1102" s="588">
        <v>0</v>
      </c>
      <c r="J1102" s="588">
        <v>110</v>
      </c>
      <c r="K1102" s="588">
        <v>2</v>
      </c>
      <c r="L1102" s="588">
        <v>2</v>
      </c>
      <c r="M1102" s="588">
        <v>0</v>
      </c>
      <c r="N1102" s="588">
        <v>128</v>
      </c>
      <c r="O1102" s="588">
        <v>4</v>
      </c>
      <c r="P1102" s="588">
        <v>293</v>
      </c>
      <c r="Q1102" s="588">
        <v>27</v>
      </c>
      <c r="R1102" s="588">
        <v>700</v>
      </c>
      <c r="S1102" s="588">
        <v>53</v>
      </c>
      <c r="T1102" s="588">
        <v>2016</v>
      </c>
      <c r="U1102" s="588">
        <v>2016</v>
      </c>
      <c r="V1102" s="589"/>
      <c r="W1102" s="589"/>
      <c r="X1102" s="589"/>
      <c r="Y1102" s="589"/>
      <c r="Z1102" s="589"/>
      <c r="AA1102" s="589"/>
      <c r="AB1102" s="589"/>
      <c r="AC1102" s="589"/>
      <c r="AD1102" s="589"/>
      <c r="AE1102" s="589"/>
      <c r="AF1102" s="589"/>
      <c r="AG1102" s="589"/>
      <c r="AH1102" s="589"/>
      <c r="AI1102" s="589"/>
      <c r="AJ1102" s="589"/>
      <c r="AK1102" s="589"/>
      <c r="AL1102" s="589"/>
      <c r="AM1102" s="589"/>
      <c r="AN1102" s="589"/>
      <c r="AO1102" s="589"/>
      <c r="AP1102" s="589"/>
      <c r="AQ1102" s="589"/>
      <c r="AR1102" s="589"/>
      <c r="AS1102" s="589"/>
    </row>
    <row r="1103" spans="1:45" ht="15">
      <c r="A1103" s="590" t="s">
        <v>191</v>
      </c>
      <c r="B1103" s="591" t="s">
        <v>684</v>
      </c>
      <c r="C1103" s="591" t="s">
        <v>784</v>
      </c>
      <c r="D1103" s="592">
        <v>2016</v>
      </c>
      <c r="E1103" s="591" t="s">
        <v>775</v>
      </c>
      <c r="F1103" s="592">
        <v>10</v>
      </c>
      <c r="G1103" s="592">
        <v>0</v>
      </c>
      <c r="H1103" s="592">
        <v>0</v>
      </c>
      <c r="I1103" s="592">
        <v>0</v>
      </c>
      <c r="J1103" s="592">
        <v>6</v>
      </c>
      <c r="K1103" s="592">
        <v>0</v>
      </c>
      <c r="L1103" s="592">
        <v>0</v>
      </c>
      <c r="M1103" s="592">
        <v>0</v>
      </c>
      <c r="N1103" s="593">
        <v>6</v>
      </c>
      <c r="O1103" s="593">
        <v>0</v>
      </c>
      <c r="P1103" s="593">
        <v>16</v>
      </c>
      <c r="Q1103" s="593">
        <v>3</v>
      </c>
      <c r="R1103" s="593">
        <v>38</v>
      </c>
      <c r="S1103" s="593">
        <v>3</v>
      </c>
      <c r="T1103" s="593">
        <v>2016</v>
      </c>
      <c r="U1103" s="593">
        <v>2014</v>
      </c>
      <c r="V1103" s="589"/>
      <c r="W1103" s="589"/>
      <c r="X1103" s="589"/>
      <c r="Y1103" s="589"/>
      <c r="Z1103" s="589"/>
      <c r="AA1103" s="589"/>
      <c r="AB1103" s="589"/>
      <c r="AC1103" s="589"/>
      <c r="AD1103" s="589"/>
      <c r="AE1103" s="589"/>
      <c r="AF1103" s="589"/>
      <c r="AG1103" s="589"/>
      <c r="AH1103" s="589"/>
      <c r="AI1103" s="589"/>
      <c r="AJ1103" s="589"/>
      <c r="AK1103" s="589"/>
      <c r="AL1103" s="589"/>
      <c r="AM1103" s="589"/>
      <c r="AN1103" s="589"/>
      <c r="AO1103" s="589"/>
      <c r="AP1103" s="589"/>
      <c r="AQ1103" s="589"/>
      <c r="AR1103" s="589"/>
      <c r="AS1103" s="589"/>
    </row>
    <row r="1104" spans="1:45" ht="15">
      <c r="A1104" s="587" t="s">
        <v>153</v>
      </c>
      <c r="B1104" s="587" t="s">
        <v>430</v>
      </c>
      <c r="C1104" s="587" t="s">
        <v>812</v>
      </c>
      <c r="D1104" s="588">
        <v>2016</v>
      </c>
      <c r="E1104" s="587" t="s">
        <v>775</v>
      </c>
      <c r="F1104" s="588">
        <v>217</v>
      </c>
      <c r="G1104" s="588">
        <v>0</v>
      </c>
      <c r="H1104" s="588">
        <v>0</v>
      </c>
      <c r="I1104" s="588">
        <v>0</v>
      </c>
      <c r="J1104" s="588">
        <v>129</v>
      </c>
      <c r="K1104" s="588">
        <v>0</v>
      </c>
      <c r="L1104" s="588">
        <v>0</v>
      </c>
      <c r="M1104" s="588">
        <v>0</v>
      </c>
      <c r="N1104" s="588">
        <v>138</v>
      </c>
      <c r="O1104" s="588">
        <v>0</v>
      </c>
      <c r="P1104" s="588">
        <v>347</v>
      </c>
      <c r="Q1104" s="588">
        <v>37</v>
      </c>
      <c r="R1104" s="588">
        <v>831</v>
      </c>
      <c r="S1104" s="588">
        <v>37</v>
      </c>
      <c r="T1104" s="588">
        <v>2016</v>
      </c>
      <c r="U1104" s="588">
        <v>2014</v>
      </c>
      <c r="V1104" s="589"/>
      <c r="W1104" s="589"/>
      <c r="X1104" s="589"/>
      <c r="Y1104" s="589"/>
      <c r="Z1104" s="589"/>
      <c r="AA1104" s="589"/>
      <c r="AB1104" s="589"/>
      <c r="AC1104" s="589"/>
      <c r="AD1104" s="589"/>
      <c r="AE1104" s="589"/>
      <c r="AF1104" s="589"/>
      <c r="AG1104" s="589"/>
      <c r="AH1104" s="589"/>
      <c r="AI1104" s="589"/>
      <c r="AJ1104" s="589"/>
      <c r="AK1104" s="589"/>
      <c r="AL1104" s="589"/>
      <c r="AM1104" s="589"/>
      <c r="AN1104" s="589"/>
      <c r="AO1104" s="589"/>
      <c r="AP1104" s="589"/>
      <c r="AQ1104" s="589"/>
      <c r="AR1104" s="589"/>
      <c r="AS1104" s="589"/>
    </row>
    <row r="1105" spans="1:45" ht="15">
      <c r="A1105" s="590" t="s">
        <v>153</v>
      </c>
      <c r="B1105" s="591" t="s">
        <v>431</v>
      </c>
      <c r="C1105" s="591" t="s">
        <v>812</v>
      </c>
      <c r="D1105" s="592">
        <v>2016</v>
      </c>
      <c r="E1105" s="591" t="s">
        <v>775</v>
      </c>
      <c r="F1105" s="592">
        <v>19</v>
      </c>
      <c r="G1105" s="592">
        <v>27</v>
      </c>
      <c r="H1105" s="592">
        <v>27</v>
      </c>
      <c r="I1105" s="592">
        <v>0</v>
      </c>
      <c r="J1105" s="592">
        <v>12</v>
      </c>
      <c r="K1105" s="592">
        <v>13</v>
      </c>
      <c r="L1105" s="592">
        <v>13</v>
      </c>
      <c r="M1105" s="592">
        <v>0</v>
      </c>
      <c r="N1105" s="593">
        <v>13</v>
      </c>
      <c r="O1105" s="593">
        <v>20</v>
      </c>
      <c r="P1105" s="593">
        <v>33</v>
      </c>
      <c r="Q1105" s="593">
        <v>589</v>
      </c>
      <c r="R1105" s="593">
        <v>77</v>
      </c>
      <c r="S1105" s="593">
        <v>649</v>
      </c>
      <c r="T1105" s="593">
        <v>2016</v>
      </c>
      <c r="U1105" s="593">
        <v>2014</v>
      </c>
      <c r="V1105" s="589"/>
      <c r="W1105" s="589"/>
      <c r="X1105" s="589"/>
      <c r="Y1105" s="589"/>
      <c r="Z1105" s="589"/>
      <c r="AA1105" s="589"/>
      <c r="AB1105" s="589"/>
      <c r="AC1105" s="589"/>
      <c r="AD1105" s="589"/>
      <c r="AE1105" s="589"/>
      <c r="AF1105" s="589"/>
      <c r="AG1105" s="589"/>
      <c r="AH1105" s="589"/>
      <c r="AI1105" s="589"/>
      <c r="AJ1105" s="589"/>
      <c r="AK1105" s="589"/>
      <c r="AL1105" s="589"/>
      <c r="AM1105" s="589"/>
      <c r="AN1105" s="589"/>
      <c r="AO1105" s="589"/>
      <c r="AP1105" s="589"/>
      <c r="AQ1105" s="589"/>
      <c r="AR1105" s="589"/>
      <c r="AS1105" s="589"/>
    </row>
    <row r="1106" spans="1:45" ht="15">
      <c r="A1106" s="587" t="s">
        <v>202</v>
      </c>
      <c r="B1106" s="587" t="s">
        <v>742</v>
      </c>
      <c r="C1106" s="587" t="s">
        <v>799</v>
      </c>
      <c r="D1106" s="588">
        <v>2016</v>
      </c>
      <c r="E1106" s="587" t="s">
        <v>775</v>
      </c>
      <c r="F1106" s="588">
        <v>1316</v>
      </c>
      <c r="G1106" s="588">
        <v>0</v>
      </c>
      <c r="H1106" s="588">
        <v>0</v>
      </c>
      <c r="I1106" s="588">
        <v>0</v>
      </c>
      <c r="J1106" s="588">
        <v>923</v>
      </c>
      <c r="K1106" s="588">
        <v>0</v>
      </c>
      <c r="L1106" s="588">
        <v>0</v>
      </c>
      <c r="M1106" s="588">
        <v>0</v>
      </c>
      <c r="N1106" s="588">
        <v>1111</v>
      </c>
      <c r="O1106" s="588">
        <v>83</v>
      </c>
      <c r="P1106" s="588">
        <v>2627</v>
      </c>
      <c r="Q1106" s="588">
        <v>20</v>
      </c>
      <c r="R1106" s="588">
        <v>5977</v>
      </c>
      <c r="S1106" s="588">
        <v>103</v>
      </c>
      <c r="T1106" s="588">
        <v>2016</v>
      </c>
      <c r="U1106" s="588">
        <v>2014</v>
      </c>
      <c r="V1106" s="589"/>
      <c r="W1106" s="589"/>
      <c r="X1106" s="589"/>
      <c r="Y1106" s="589"/>
      <c r="Z1106" s="589"/>
      <c r="AA1106" s="589"/>
      <c r="AB1106" s="589"/>
      <c r="AC1106" s="589"/>
      <c r="AD1106" s="589"/>
      <c r="AE1106" s="589"/>
      <c r="AF1106" s="589"/>
      <c r="AG1106" s="589"/>
      <c r="AH1106" s="589"/>
      <c r="AI1106" s="589"/>
      <c r="AJ1106" s="589"/>
      <c r="AK1106" s="589"/>
      <c r="AL1106" s="589"/>
      <c r="AM1106" s="589"/>
      <c r="AN1106" s="589"/>
      <c r="AO1106" s="589"/>
      <c r="AP1106" s="589"/>
      <c r="AQ1106" s="589"/>
      <c r="AR1106" s="589"/>
      <c r="AS1106" s="589"/>
    </row>
    <row r="1107" spans="1:45" ht="15">
      <c r="A1107" s="590" t="s">
        <v>169</v>
      </c>
      <c r="B1107" s="591" t="s">
        <v>517</v>
      </c>
      <c r="C1107" s="591" t="s">
        <v>812</v>
      </c>
      <c r="D1107" s="592">
        <v>2016</v>
      </c>
      <c r="E1107" s="591" t="s">
        <v>775</v>
      </c>
      <c r="F1107" s="592">
        <v>1</v>
      </c>
      <c r="G1107" s="592">
        <v>0</v>
      </c>
      <c r="H1107" s="592">
        <v>0</v>
      </c>
      <c r="I1107" s="592">
        <v>0</v>
      </c>
      <c r="J1107" s="592">
        <v>1</v>
      </c>
      <c r="K1107" s="592">
        <v>0</v>
      </c>
      <c r="L1107" s="592">
        <v>0</v>
      </c>
      <c r="M1107" s="592">
        <v>0</v>
      </c>
      <c r="N1107" s="593">
        <v>0</v>
      </c>
      <c r="O1107" s="593">
        <v>0</v>
      </c>
      <c r="P1107" s="593">
        <v>0</v>
      </c>
      <c r="Q1107" s="593">
        <v>9</v>
      </c>
      <c r="R1107" s="593">
        <v>2</v>
      </c>
      <c r="S1107" s="593">
        <v>9</v>
      </c>
      <c r="T1107" s="593">
        <v>2016</v>
      </c>
      <c r="U1107" s="593">
        <v>2014</v>
      </c>
      <c r="V1107" s="589"/>
      <c r="W1107" s="589"/>
      <c r="X1107" s="589"/>
      <c r="Y1107" s="589"/>
      <c r="Z1107" s="589"/>
      <c r="AA1107" s="589"/>
      <c r="AB1107" s="589"/>
      <c r="AC1107" s="589"/>
      <c r="AD1107" s="589"/>
      <c r="AE1107" s="589"/>
      <c r="AF1107" s="589"/>
      <c r="AG1107" s="589"/>
      <c r="AH1107" s="589"/>
      <c r="AI1107" s="589"/>
      <c r="AJ1107" s="589"/>
      <c r="AK1107" s="589"/>
      <c r="AL1107" s="589"/>
      <c r="AM1107" s="589"/>
      <c r="AN1107" s="589"/>
      <c r="AO1107" s="589"/>
      <c r="AP1107" s="589"/>
      <c r="AQ1107" s="589"/>
      <c r="AR1107" s="589"/>
      <c r="AS1107" s="589"/>
    </row>
    <row r="1108" spans="1:45" ht="15">
      <c r="A1108" s="587" t="s">
        <v>146</v>
      </c>
      <c r="B1108" s="587" t="s">
        <v>321</v>
      </c>
      <c r="C1108" s="587" t="s">
        <v>812</v>
      </c>
      <c r="D1108" s="588">
        <v>2016</v>
      </c>
      <c r="E1108" s="587" t="s">
        <v>775</v>
      </c>
      <c r="F1108" s="588">
        <v>57</v>
      </c>
      <c r="G1108" s="588">
        <v>0</v>
      </c>
      <c r="H1108" s="588">
        <v>0</v>
      </c>
      <c r="I1108" s="588">
        <v>0</v>
      </c>
      <c r="J1108" s="588">
        <v>35</v>
      </c>
      <c r="K1108" s="588">
        <v>0</v>
      </c>
      <c r="L1108" s="588">
        <v>0</v>
      </c>
      <c r="M1108" s="588">
        <v>0</v>
      </c>
      <c r="N1108" s="588">
        <v>36</v>
      </c>
      <c r="O1108" s="588">
        <v>0</v>
      </c>
      <c r="P1108" s="588">
        <v>105</v>
      </c>
      <c r="Q1108" s="588">
        <v>0</v>
      </c>
      <c r="R1108" s="588">
        <v>233</v>
      </c>
      <c r="S1108" s="588">
        <v>0</v>
      </c>
      <c r="T1108" s="588">
        <v>2016</v>
      </c>
      <c r="U1108" s="588">
        <v>2014</v>
      </c>
      <c r="V1108" s="589"/>
      <c r="W1108" s="589"/>
      <c r="X1108" s="589"/>
      <c r="Y1108" s="589"/>
      <c r="Z1108" s="589"/>
      <c r="AA1108" s="589"/>
      <c r="AB1108" s="589"/>
      <c r="AC1108" s="589"/>
      <c r="AD1108" s="589"/>
      <c r="AE1108" s="589"/>
      <c r="AF1108" s="589"/>
      <c r="AG1108" s="589"/>
      <c r="AH1108" s="589"/>
      <c r="AI1108" s="589"/>
      <c r="AJ1108" s="589"/>
      <c r="AK1108" s="589"/>
      <c r="AL1108" s="589"/>
      <c r="AM1108" s="589"/>
      <c r="AN1108" s="589"/>
      <c r="AO1108" s="589"/>
      <c r="AP1108" s="589"/>
      <c r="AQ1108" s="589"/>
      <c r="AR1108" s="589"/>
      <c r="AS1108" s="589"/>
    </row>
    <row r="1109" spans="1:45" ht="15">
      <c r="A1109" s="590" t="s">
        <v>153</v>
      </c>
      <c r="B1109" s="591" t="s">
        <v>433</v>
      </c>
      <c r="C1109" s="591" t="s">
        <v>812</v>
      </c>
      <c r="D1109" s="592">
        <v>2016</v>
      </c>
      <c r="E1109" s="591" t="s">
        <v>775</v>
      </c>
      <c r="F1109" s="592">
        <v>228</v>
      </c>
      <c r="G1109" s="592">
        <v>0</v>
      </c>
      <c r="H1109" s="592">
        <v>0</v>
      </c>
      <c r="I1109" s="592">
        <v>0</v>
      </c>
      <c r="J1109" s="592">
        <v>135</v>
      </c>
      <c r="K1109" s="592">
        <v>0</v>
      </c>
      <c r="L1109" s="592">
        <v>0</v>
      </c>
      <c r="M1109" s="592">
        <v>0</v>
      </c>
      <c r="N1109" s="593">
        <v>146</v>
      </c>
      <c r="O1109" s="593">
        <v>13</v>
      </c>
      <c r="P1109" s="593">
        <v>369</v>
      </c>
      <c r="Q1109" s="593">
        <v>38</v>
      </c>
      <c r="R1109" s="593">
        <v>878</v>
      </c>
      <c r="S1109" s="593">
        <v>51</v>
      </c>
      <c r="T1109" s="593">
        <v>2016</v>
      </c>
      <c r="U1109" s="593">
        <v>2014</v>
      </c>
      <c r="V1109" s="589"/>
      <c r="W1109" s="589"/>
      <c r="X1109" s="589"/>
      <c r="Y1109" s="589"/>
      <c r="Z1109" s="589"/>
      <c r="AA1109" s="589"/>
      <c r="AB1109" s="589"/>
      <c r="AC1109" s="589"/>
      <c r="AD1109" s="589"/>
      <c r="AE1109" s="589"/>
      <c r="AF1109" s="589"/>
      <c r="AG1109" s="589"/>
      <c r="AH1109" s="589"/>
      <c r="AI1109" s="589"/>
      <c r="AJ1109" s="589"/>
      <c r="AK1109" s="589"/>
      <c r="AL1109" s="589"/>
      <c r="AM1109" s="589"/>
      <c r="AN1109" s="589"/>
      <c r="AO1109" s="589"/>
      <c r="AP1109" s="589"/>
      <c r="AQ1109" s="589"/>
      <c r="AR1109" s="589"/>
      <c r="AS1109" s="589"/>
    </row>
    <row r="1110" spans="1:45" ht="15">
      <c r="A1110" s="587" t="s">
        <v>173</v>
      </c>
      <c r="B1110" s="587" t="s">
        <v>555</v>
      </c>
      <c r="C1110" s="587" t="s">
        <v>812</v>
      </c>
      <c r="D1110" s="588">
        <v>2016</v>
      </c>
      <c r="E1110" s="587" t="s">
        <v>775</v>
      </c>
      <c r="F1110" s="588">
        <v>621</v>
      </c>
      <c r="G1110" s="588">
        <v>0</v>
      </c>
      <c r="H1110" s="588">
        <v>0</v>
      </c>
      <c r="I1110" s="588">
        <v>0</v>
      </c>
      <c r="J1110" s="588">
        <v>415</v>
      </c>
      <c r="K1110" s="588">
        <v>0</v>
      </c>
      <c r="L1110" s="588">
        <v>0</v>
      </c>
      <c r="M1110" s="588">
        <v>0</v>
      </c>
      <c r="N1110" s="588">
        <v>461</v>
      </c>
      <c r="O1110" s="588">
        <v>9</v>
      </c>
      <c r="P1110" s="588">
        <v>1038</v>
      </c>
      <c r="Q1110" s="588">
        <v>141</v>
      </c>
      <c r="R1110" s="588">
        <v>2535</v>
      </c>
      <c r="S1110" s="588">
        <v>150</v>
      </c>
      <c r="T1110" s="588">
        <v>2016</v>
      </c>
      <c r="U1110" s="588">
        <v>2014</v>
      </c>
      <c r="V1110" s="589"/>
      <c r="W1110" s="589"/>
      <c r="X1110" s="589"/>
      <c r="Y1110" s="589"/>
      <c r="Z1110" s="589"/>
      <c r="AA1110" s="589"/>
      <c r="AB1110" s="589"/>
      <c r="AC1110" s="589"/>
      <c r="AD1110" s="589"/>
      <c r="AE1110" s="589"/>
      <c r="AF1110" s="589"/>
      <c r="AG1110" s="589"/>
      <c r="AH1110" s="589"/>
      <c r="AI1110" s="589"/>
      <c r="AJ1110" s="589"/>
      <c r="AK1110" s="589"/>
      <c r="AL1110" s="589"/>
      <c r="AM1110" s="589"/>
      <c r="AN1110" s="589"/>
      <c r="AO1110" s="589"/>
      <c r="AP1110" s="589"/>
      <c r="AQ1110" s="589"/>
      <c r="AR1110" s="589"/>
      <c r="AS1110" s="589"/>
    </row>
    <row r="1111" spans="1:45" ht="15">
      <c r="A1111" s="590" t="s">
        <v>144</v>
      </c>
      <c r="B1111" s="591" t="s">
        <v>306</v>
      </c>
      <c r="C1111" s="591" t="s">
        <v>784</v>
      </c>
      <c r="D1111" s="592">
        <v>2016</v>
      </c>
      <c r="E1111" s="591" t="s">
        <v>775</v>
      </c>
      <c r="F1111" s="592">
        <v>15</v>
      </c>
      <c r="G1111" s="592">
        <v>0</v>
      </c>
      <c r="H1111" s="592">
        <v>0</v>
      </c>
      <c r="I1111" s="592">
        <v>0</v>
      </c>
      <c r="J1111" s="592">
        <v>11</v>
      </c>
      <c r="K1111" s="592">
        <v>2</v>
      </c>
      <c r="L1111" s="592">
        <v>2</v>
      </c>
      <c r="M1111" s="592">
        <v>0</v>
      </c>
      <c r="N1111" s="593">
        <v>11</v>
      </c>
      <c r="O1111" s="593">
        <v>1</v>
      </c>
      <c r="P1111" s="593">
        <v>26</v>
      </c>
      <c r="Q1111" s="593">
        <v>0</v>
      </c>
      <c r="R1111" s="593">
        <v>63</v>
      </c>
      <c r="S1111" s="593">
        <v>3</v>
      </c>
      <c r="T1111" s="593">
        <v>2016</v>
      </c>
      <c r="U1111" s="593">
        <v>2014</v>
      </c>
      <c r="V1111" s="589"/>
      <c r="W1111" s="589"/>
      <c r="X1111" s="589"/>
      <c r="Y1111" s="589"/>
      <c r="Z1111" s="589"/>
      <c r="AA1111" s="589"/>
      <c r="AB1111" s="589"/>
      <c r="AC1111" s="589"/>
      <c r="AD1111" s="589"/>
      <c r="AE1111" s="589"/>
      <c r="AF1111" s="589"/>
      <c r="AG1111" s="589"/>
      <c r="AH1111" s="589"/>
      <c r="AI1111" s="589"/>
      <c r="AJ1111" s="589"/>
      <c r="AK1111" s="589"/>
      <c r="AL1111" s="589"/>
      <c r="AM1111" s="589"/>
      <c r="AN1111" s="589"/>
      <c r="AO1111" s="589"/>
      <c r="AP1111" s="589"/>
      <c r="AQ1111" s="589"/>
      <c r="AR1111" s="589"/>
      <c r="AS1111" s="589"/>
    </row>
    <row r="1112" spans="1:45" ht="15">
      <c r="A1112" s="587" t="s">
        <v>193</v>
      </c>
      <c r="B1112" s="587" t="s">
        <v>702</v>
      </c>
      <c r="C1112" s="587" t="s">
        <v>774</v>
      </c>
      <c r="D1112" s="588">
        <v>2016</v>
      </c>
      <c r="E1112" s="587" t="s">
        <v>775</v>
      </c>
      <c r="F1112" s="588">
        <v>120</v>
      </c>
      <c r="G1112" s="588">
        <v>0</v>
      </c>
      <c r="H1112" s="588">
        <v>0</v>
      </c>
      <c r="I1112" s="588">
        <v>0</v>
      </c>
      <c r="J1112" s="588">
        <v>65</v>
      </c>
      <c r="K1112" s="588">
        <v>0</v>
      </c>
      <c r="L1112" s="588">
        <v>0</v>
      </c>
      <c r="M1112" s="588">
        <v>0</v>
      </c>
      <c r="N1112" s="588">
        <v>67</v>
      </c>
      <c r="O1112" s="588">
        <v>0</v>
      </c>
      <c r="P1112" s="588">
        <v>188</v>
      </c>
      <c r="Q1112" s="588">
        <v>3</v>
      </c>
      <c r="R1112" s="588">
        <v>440</v>
      </c>
      <c r="S1112" s="588">
        <v>3</v>
      </c>
      <c r="T1112" s="588">
        <v>2016</v>
      </c>
      <c r="U1112" s="588">
        <v>2015</v>
      </c>
      <c r="V1112" s="589"/>
      <c r="W1112" s="589"/>
      <c r="X1112" s="589"/>
      <c r="Y1112" s="589"/>
      <c r="Z1112" s="589"/>
      <c r="AA1112" s="589"/>
      <c r="AB1112" s="589"/>
      <c r="AC1112" s="589"/>
      <c r="AD1112" s="589"/>
      <c r="AE1112" s="589"/>
      <c r="AF1112" s="589"/>
      <c r="AG1112" s="589"/>
      <c r="AH1112" s="589"/>
      <c r="AI1112" s="589"/>
      <c r="AJ1112" s="589"/>
      <c r="AK1112" s="589"/>
      <c r="AL1112" s="589"/>
      <c r="AM1112" s="589"/>
      <c r="AN1112" s="589"/>
      <c r="AO1112" s="589"/>
      <c r="AP1112" s="589"/>
      <c r="AQ1112" s="589"/>
      <c r="AR1112" s="589"/>
      <c r="AS1112" s="589"/>
    </row>
    <row r="1113" spans="1:45" ht="15">
      <c r="A1113" s="590" t="s">
        <v>202</v>
      </c>
      <c r="B1113" s="591" t="s">
        <v>743</v>
      </c>
      <c r="C1113" s="591" t="s">
        <v>799</v>
      </c>
      <c r="D1113" s="592">
        <v>2016</v>
      </c>
      <c r="E1113" s="591" t="s">
        <v>775</v>
      </c>
      <c r="F1113" s="592">
        <v>76</v>
      </c>
      <c r="G1113" s="592">
        <v>0</v>
      </c>
      <c r="H1113" s="592">
        <v>0</v>
      </c>
      <c r="I1113" s="592">
        <v>0</v>
      </c>
      <c r="J1113" s="592">
        <v>54</v>
      </c>
      <c r="K1113" s="592">
        <v>0</v>
      </c>
      <c r="L1113" s="592">
        <v>0</v>
      </c>
      <c r="M1113" s="592">
        <v>0</v>
      </c>
      <c r="N1113" s="593">
        <v>59</v>
      </c>
      <c r="O1113" s="593">
        <v>7</v>
      </c>
      <c r="P1113" s="593">
        <v>130</v>
      </c>
      <c r="Q1113" s="593">
        <v>26</v>
      </c>
      <c r="R1113" s="593">
        <v>319</v>
      </c>
      <c r="S1113" s="593">
        <v>33</v>
      </c>
      <c r="T1113" s="593">
        <v>2016</v>
      </c>
      <c r="U1113" s="593">
        <v>2014</v>
      </c>
      <c r="V1113" s="589"/>
      <c r="W1113" s="589"/>
      <c r="X1113" s="589"/>
      <c r="Y1113" s="589"/>
      <c r="Z1113" s="589"/>
      <c r="AA1113" s="589"/>
      <c r="AB1113" s="589"/>
      <c r="AC1113" s="589"/>
      <c r="AD1113" s="589"/>
      <c r="AE1113" s="589"/>
      <c r="AF1113" s="589"/>
      <c r="AG1113" s="589"/>
      <c r="AH1113" s="589"/>
      <c r="AI1113" s="589"/>
      <c r="AJ1113" s="589"/>
      <c r="AK1113" s="589"/>
      <c r="AL1113" s="589"/>
      <c r="AM1113" s="589"/>
      <c r="AN1113" s="589"/>
      <c r="AO1113" s="589"/>
      <c r="AP1113" s="589"/>
      <c r="AQ1113" s="589"/>
      <c r="AR1113" s="589"/>
      <c r="AS1113" s="589"/>
    </row>
    <row r="1114" spans="1:45" ht="15">
      <c r="A1114" s="587" t="s">
        <v>199</v>
      </c>
      <c r="B1114" s="587" t="s">
        <v>727</v>
      </c>
      <c r="C1114" s="587" t="s">
        <v>177</v>
      </c>
      <c r="D1114" s="588">
        <v>2016</v>
      </c>
      <c r="E1114" s="587" t="s">
        <v>775</v>
      </c>
      <c r="F1114" s="588">
        <v>71</v>
      </c>
      <c r="G1114" s="588">
        <v>3</v>
      </c>
      <c r="H1114" s="588">
        <v>0</v>
      </c>
      <c r="I1114" s="588">
        <v>3</v>
      </c>
      <c r="J1114" s="588">
        <v>41</v>
      </c>
      <c r="K1114" s="588">
        <v>3</v>
      </c>
      <c r="L1114" s="588">
        <v>0</v>
      </c>
      <c r="M1114" s="588">
        <v>3</v>
      </c>
      <c r="N1114" s="588">
        <v>69</v>
      </c>
      <c r="O1114" s="588">
        <v>1</v>
      </c>
      <c r="P1114" s="588">
        <v>191</v>
      </c>
      <c r="Q1114" s="588">
        <v>0</v>
      </c>
      <c r="R1114" s="588">
        <v>372</v>
      </c>
      <c r="S1114" s="588">
        <v>7</v>
      </c>
      <c r="T1114" s="588">
        <v>2016</v>
      </c>
      <c r="U1114" s="588">
        <v>2016</v>
      </c>
      <c r="V1114" s="589"/>
      <c r="W1114" s="589"/>
      <c r="X1114" s="589"/>
      <c r="Y1114" s="589"/>
      <c r="Z1114" s="589"/>
      <c r="AA1114" s="589"/>
      <c r="AB1114" s="589"/>
      <c r="AC1114" s="589"/>
      <c r="AD1114" s="589"/>
      <c r="AE1114" s="589"/>
      <c r="AF1114" s="589"/>
      <c r="AG1114" s="589"/>
      <c r="AH1114" s="589"/>
      <c r="AI1114" s="589"/>
      <c r="AJ1114" s="589"/>
      <c r="AK1114" s="589"/>
      <c r="AL1114" s="589"/>
      <c r="AM1114" s="589"/>
      <c r="AN1114" s="589"/>
      <c r="AO1114" s="589"/>
      <c r="AP1114" s="589"/>
      <c r="AQ1114" s="589"/>
      <c r="AR1114" s="589"/>
      <c r="AS1114" s="589"/>
    </row>
    <row r="1115" spans="1:45" ht="15">
      <c r="A1115" s="590" t="s">
        <v>202</v>
      </c>
      <c r="B1115" s="591" t="s">
        <v>744</v>
      </c>
      <c r="C1115" s="591" t="s">
        <v>799</v>
      </c>
      <c r="D1115" s="592">
        <v>2016</v>
      </c>
      <c r="E1115" s="591" t="s">
        <v>775</v>
      </c>
      <c r="F1115" s="592">
        <v>390</v>
      </c>
      <c r="G1115" s="592">
        <v>0</v>
      </c>
      <c r="H1115" s="592">
        <v>0</v>
      </c>
      <c r="I1115" s="592">
        <v>0</v>
      </c>
      <c r="J1115" s="592">
        <v>274</v>
      </c>
      <c r="K1115" s="592">
        <v>1</v>
      </c>
      <c r="L1115" s="592">
        <v>1</v>
      </c>
      <c r="M1115" s="592">
        <v>0</v>
      </c>
      <c r="N1115" s="593">
        <v>349</v>
      </c>
      <c r="O1115" s="593">
        <v>67</v>
      </c>
      <c r="P1115" s="593">
        <v>864</v>
      </c>
      <c r="Q1115" s="593">
        <v>199</v>
      </c>
      <c r="R1115" s="593">
        <v>1877</v>
      </c>
      <c r="S1115" s="593">
        <v>267</v>
      </c>
      <c r="T1115" s="593">
        <v>2016</v>
      </c>
      <c r="U1115" s="593">
        <v>2014</v>
      </c>
      <c r="V1115" s="589"/>
      <c r="W1115" s="589"/>
      <c r="X1115" s="589"/>
      <c r="Y1115" s="589"/>
      <c r="Z1115" s="589"/>
      <c r="AA1115" s="589"/>
      <c r="AB1115" s="589"/>
      <c r="AC1115" s="589"/>
      <c r="AD1115" s="589"/>
      <c r="AE1115" s="589"/>
      <c r="AF1115" s="589"/>
      <c r="AG1115" s="589"/>
      <c r="AH1115" s="589"/>
      <c r="AI1115" s="589"/>
      <c r="AJ1115" s="589"/>
      <c r="AK1115" s="589"/>
      <c r="AL1115" s="589"/>
      <c r="AM1115" s="589"/>
      <c r="AN1115" s="589"/>
      <c r="AO1115" s="589"/>
      <c r="AP1115" s="589"/>
      <c r="AQ1115" s="589"/>
      <c r="AR1115" s="589"/>
      <c r="AS1115" s="589"/>
    </row>
    <row r="1116" spans="1:45" ht="15">
      <c r="A1116" s="587" t="s">
        <v>184</v>
      </c>
      <c r="B1116" s="587" t="s">
        <v>642</v>
      </c>
      <c r="C1116" s="587" t="s">
        <v>774</v>
      </c>
      <c r="D1116" s="588">
        <v>2016</v>
      </c>
      <c r="E1116" s="587" t="s">
        <v>775</v>
      </c>
      <c r="F1116" s="588">
        <v>23</v>
      </c>
      <c r="G1116" s="588">
        <v>5</v>
      </c>
      <c r="H1116" s="588">
        <v>0</v>
      </c>
      <c r="I1116" s="588">
        <v>5</v>
      </c>
      <c r="J1116" s="588">
        <v>13</v>
      </c>
      <c r="K1116" s="588">
        <v>1</v>
      </c>
      <c r="L1116" s="588">
        <v>0</v>
      </c>
      <c r="M1116" s="588">
        <v>1</v>
      </c>
      <c r="N1116" s="588">
        <v>15</v>
      </c>
      <c r="O1116" s="588">
        <v>1</v>
      </c>
      <c r="P1116" s="588">
        <v>11</v>
      </c>
      <c r="Q1116" s="588">
        <v>8</v>
      </c>
      <c r="R1116" s="588">
        <v>62</v>
      </c>
      <c r="S1116" s="588">
        <v>15</v>
      </c>
      <c r="T1116" s="588">
        <v>2016</v>
      </c>
      <c r="U1116" s="588">
        <v>2015</v>
      </c>
      <c r="V1116" s="589"/>
      <c r="W1116" s="589"/>
      <c r="X1116" s="589"/>
      <c r="Y1116" s="589"/>
      <c r="Z1116" s="589"/>
      <c r="AA1116" s="589"/>
      <c r="AB1116" s="589"/>
      <c r="AC1116" s="589"/>
      <c r="AD1116" s="589"/>
      <c r="AE1116" s="589"/>
      <c r="AF1116" s="589"/>
      <c r="AG1116" s="589"/>
      <c r="AH1116" s="589"/>
      <c r="AI1116" s="589"/>
      <c r="AJ1116" s="589"/>
      <c r="AK1116" s="589"/>
      <c r="AL1116" s="589"/>
      <c r="AM1116" s="589"/>
      <c r="AN1116" s="589"/>
      <c r="AO1116" s="589"/>
      <c r="AP1116" s="589"/>
      <c r="AQ1116" s="589"/>
      <c r="AR1116" s="589"/>
      <c r="AS1116" s="589"/>
    </row>
    <row r="1117" spans="1:45" ht="15">
      <c r="A1117" s="590" t="s">
        <v>202</v>
      </c>
      <c r="B1117" s="591" t="s">
        <v>745</v>
      </c>
      <c r="C1117" s="591" t="s">
        <v>799</v>
      </c>
      <c r="D1117" s="592">
        <v>2016</v>
      </c>
      <c r="E1117" s="591" t="s">
        <v>775</v>
      </c>
      <c r="F1117" s="592">
        <v>427</v>
      </c>
      <c r="G1117" s="592">
        <v>40</v>
      </c>
      <c r="H1117" s="592">
        <v>40</v>
      </c>
      <c r="I1117" s="592">
        <v>0</v>
      </c>
      <c r="J1117" s="592">
        <v>299</v>
      </c>
      <c r="K1117" s="592">
        <v>4</v>
      </c>
      <c r="L1117" s="592">
        <v>0</v>
      </c>
      <c r="M1117" s="592">
        <v>4</v>
      </c>
      <c r="N1117" s="593">
        <v>351</v>
      </c>
      <c r="O1117" s="593">
        <v>7</v>
      </c>
      <c r="P1117" s="593">
        <v>813</v>
      </c>
      <c r="Q1117" s="593">
        <v>3</v>
      </c>
      <c r="R1117" s="593">
        <v>1890</v>
      </c>
      <c r="S1117" s="593">
        <v>54</v>
      </c>
      <c r="T1117" s="593">
        <v>2016</v>
      </c>
      <c r="U1117" s="593">
        <v>2014</v>
      </c>
      <c r="V1117" s="589"/>
      <c r="W1117" s="589"/>
      <c r="X1117" s="589"/>
      <c r="Y1117" s="589"/>
      <c r="Z1117" s="589"/>
      <c r="AA1117" s="589"/>
      <c r="AB1117" s="589"/>
      <c r="AC1117" s="589"/>
      <c r="AD1117" s="589"/>
      <c r="AE1117" s="589"/>
      <c r="AF1117" s="589"/>
      <c r="AG1117" s="589"/>
      <c r="AH1117" s="589"/>
      <c r="AI1117" s="589"/>
      <c r="AJ1117" s="589"/>
      <c r="AK1117" s="589"/>
      <c r="AL1117" s="589"/>
      <c r="AM1117" s="589"/>
      <c r="AN1117" s="589"/>
      <c r="AO1117" s="589"/>
      <c r="AP1117" s="589"/>
      <c r="AQ1117" s="589"/>
      <c r="AR1117" s="589"/>
      <c r="AS1117" s="589"/>
    </row>
    <row r="1118" spans="1:45" ht="15">
      <c r="A1118" s="587" t="s">
        <v>169</v>
      </c>
      <c r="B1118" s="587" t="s">
        <v>518</v>
      </c>
      <c r="C1118" s="587" t="s">
        <v>812</v>
      </c>
      <c r="D1118" s="588">
        <v>2016</v>
      </c>
      <c r="E1118" s="587" t="s">
        <v>775</v>
      </c>
      <c r="F1118" s="588">
        <v>160</v>
      </c>
      <c r="G1118" s="588">
        <v>24</v>
      </c>
      <c r="H1118" s="588">
        <v>20</v>
      </c>
      <c r="I1118" s="588">
        <v>4</v>
      </c>
      <c r="J1118" s="588">
        <v>113</v>
      </c>
      <c r="K1118" s="588">
        <v>4</v>
      </c>
      <c r="L1118" s="588">
        <v>4</v>
      </c>
      <c r="M1118" s="588">
        <v>0</v>
      </c>
      <c r="N1118" s="588">
        <v>126</v>
      </c>
      <c r="O1118" s="588">
        <v>0</v>
      </c>
      <c r="P1118" s="588">
        <v>270</v>
      </c>
      <c r="Q1118" s="588">
        <v>130</v>
      </c>
      <c r="R1118" s="588">
        <v>669</v>
      </c>
      <c r="S1118" s="588">
        <v>158</v>
      </c>
      <c r="T1118" s="588">
        <v>2016</v>
      </c>
      <c r="U1118" s="588">
        <v>2014</v>
      </c>
      <c r="V1118" s="589"/>
      <c r="W1118" s="589"/>
      <c r="X1118" s="589"/>
      <c r="Y1118" s="589"/>
      <c r="Z1118" s="589"/>
      <c r="AA1118" s="589"/>
      <c r="AB1118" s="589"/>
      <c r="AC1118" s="589"/>
      <c r="AD1118" s="589"/>
      <c r="AE1118" s="589"/>
      <c r="AF1118" s="589"/>
      <c r="AG1118" s="589"/>
      <c r="AH1118" s="589"/>
      <c r="AI1118" s="589"/>
      <c r="AJ1118" s="589"/>
      <c r="AK1118" s="589"/>
      <c r="AL1118" s="589"/>
      <c r="AM1118" s="589"/>
      <c r="AN1118" s="589"/>
      <c r="AO1118" s="589"/>
      <c r="AP1118" s="589"/>
      <c r="AQ1118" s="589"/>
      <c r="AR1118" s="589"/>
      <c r="AS1118" s="589"/>
    </row>
    <row r="1119" spans="1:45" ht="15">
      <c r="A1119" s="590" t="s">
        <v>166</v>
      </c>
      <c r="B1119" s="591" t="s">
        <v>480</v>
      </c>
      <c r="C1119" s="591" t="s">
        <v>774</v>
      </c>
      <c r="D1119" s="592">
        <v>2016</v>
      </c>
      <c r="E1119" s="591" t="s">
        <v>775</v>
      </c>
      <c r="F1119" s="592">
        <v>4</v>
      </c>
      <c r="G1119" s="592">
        <v>0</v>
      </c>
      <c r="H1119" s="592">
        <v>0</v>
      </c>
      <c r="I1119" s="592">
        <v>0</v>
      </c>
      <c r="J1119" s="592">
        <v>2</v>
      </c>
      <c r="K1119" s="592">
        <v>0</v>
      </c>
      <c r="L1119" s="592">
        <v>0</v>
      </c>
      <c r="M1119" s="592">
        <v>0</v>
      </c>
      <c r="N1119" s="593">
        <v>3</v>
      </c>
      <c r="O1119" s="593">
        <v>1</v>
      </c>
      <c r="P1119" s="593">
        <v>8</v>
      </c>
      <c r="Q1119" s="593">
        <v>0</v>
      </c>
      <c r="R1119" s="593">
        <v>17</v>
      </c>
      <c r="S1119" s="593">
        <v>1</v>
      </c>
      <c r="T1119" s="593">
        <v>2016</v>
      </c>
      <c r="U1119" s="593">
        <v>2015</v>
      </c>
      <c r="V1119" s="589"/>
      <c r="W1119" s="589"/>
      <c r="X1119" s="589"/>
      <c r="Y1119" s="589"/>
      <c r="Z1119" s="589"/>
      <c r="AA1119" s="589"/>
      <c r="AB1119" s="589"/>
      <c r="AC1119" s="589"/>
      <c r="AD1119" s="589"/>
      <c r="AE1119" s="589"/>
      <c r="AF1119" s="589"/>
      <c r="AG1119" s="589"/>
      <c r="AH1119" s="589"/>
      <c r="AI1119" s="589"/>
      <c r="AJ1119" s="589"/>
      <c r="AK1119" s="589"/>
      <c r="AL1119" s="589"/>
      <c r="AM1119" s="589"/>
      <c r="AN1119" s="589"/>
      <c r="AO1119" s="589"/>
      <c r="AP1119" s="589"/>
      <c r="AQ1119" s="589"/>
      <c r="AR1119" s="589"/>
      <c r="AS1119" s="589"/>
    </row>
    <row r="1120" spans="1:45" ht="15">
      <c r="A1120" s="587" t="s">
        <v>191</v>
      </c>
      <c r="B1120" s="587" t="s">
        <v>685</v>
      </c>
      <c r="C1120" s="587" t="s">
        <v>784</v>
      </c>
      <c r="D1120" s="588">
        <v>2016</v>
      </c>
      <c r="E1120" s="587" t="s">
        <v>775</v>
      </c>
      <c r="F1120" s="588">
        <v>25</v>
      </c>
      <c r="G1120" s="588">
        <v>0</v>
      </c>
      <c r="H1120" s="588">
        <v>0</v>
      </c>
      <c r="I1120" s="588">
        <v>0</v>
      </c>
      <c r="J1120" s="588">
        <v>17</v>
      </c>
      <c r="K1120" s="588">
        <v>0</v>
      </c>
      <c r="L1120" s="588">
        <v>0</v>
      </c>
      <c r="M1120" s="588">
        <v>0</v>
      </c>
      <c r="N1120" s="588">
        <v>18</v>
      </c>
      <c r="O1120" s="588">
        <v>0</v>
      </c>
      <c r="P1120" s="588">
        <v>43</v>
      </c>
      <c r="Q1120" s="588">
        <v>0</v>
      </c>
      <c r="R1120" s="588">
        <v>103</v>
      </c>
      <c r="S1120" s="588">
        <v>0</v>
      </c>
      <c r="T1120" s="588">
        <v>2016</v>
      </c>
      <c r="U1120" s="588">
        <v>2014</v>
      </c>
      <c r="V1120" s="589"/>
      <c r="W1120" s="589"/>
      <c r="X1120" s="589"/>
      <c r="Y1120" s="589"/>
      <c r="Z1120" s="589"/>
      <c r="AA1120" s="589"/>
      <c r="AB1120" s="589"/>
      <c r="AC1120" s="589"/>
      <c r="AD1120" s="589"/>
      <c r="AE1120" s="589"/>
      <c r="AF1120" s="589"/>
      <c r="AG1120" s="589"/>
      <c r="AH1120" s="589"/>
      <c r="AI1120" s="589"/>
      <c r="AJ1120" s="589"/>
      <c r="AK1120" s="589"/>
      <c r="AL1120" s="589"/>
      <c r="AM1120" s="589"/>
      <c r="AN1120" s="589"/>
      <c r="AO1120" s="589"/>
      <c r="AP1120" s="589"/>
      <c r="AQ1120" s="589"/>
      <c r="AR1120" s="589"/>
      <c r="AS1120" s="589"/>
    </row>
    <row r="1121" spans="1:45" ht="15">
      <c r="A1121" s="590" t="s">
        <v>196</v>
      </c>
      <c r="B1121" s="591" t="s">
        <v>715</v>
      </c>
      <c r="C1121" s="591" t="s">
        <v>799</v>
      </c>
      <c r="D1121" s="592">
        <v>2016</v>
      </c>
      <c r="E1121" s="591" t="s">
        <v>775</v>
      </c>
      <c r="F1121" s="592">
        <v>624</v>
      </c>
      <c r="G1121" s="592">
        <v>1</v>
      </c>
      <c r="H1121" s="592">
        <v>1</v>
      </c>
      <c r="I1121" s="592">
        <v>0</v>
      </c>
      <c r="J1121" s="592">
        <v>437</v>
      </c>
      <c r="K1121" s="592">
        <v>5</v>
      </c>
      <c r="L1121" s="592">
        <v>5</v>
      </c>
      <c r="M1121" s="592">
        <v>0</v>
      </c>
      <c r="N1121" s="593">
        <v>498</v>
      </c>
      <c r="O1121" s="593">
        <v>47</v>
      </c>
      <c r="P1121" s="593">
        <v>1120</v>
      </c>
      <c r="Q1121" s="593">
        <v>0</v>
      </c>
      <c r="R1121" s="593">
        <v>2679</v>
      </c>
      <c r="S1121" s="593">
        <v>53</v>
      </c>
      <c r="T1121" s="593">
        <v>2016</v>
      </c>
      <c r="U1121" s="593">
        <v>2014</v>
      </c>
      <c r="V1121" s="589"/>
      <c r="W1121" s="589"/>
      <c r="X1121" s="589"/>
      <c r="Y1121" s="589"/>
      <c r="Z1121" s="589"/>
      <c r="AA1121" s="589"/>
      <c r="AB1121" s="589"/>
      <c r="AC1121" s="589"/>
      <c r="AD1121" s="589"/>
      <c r="AE1121" s="589"/>
      <c r="AF1121" s="589"/>
      <c r="AG1121" s="589"/>
      <c r="AH1121" s="589"/>
      <c r="AI1121" s="589"/>
      <c r="AJ1121" s="589"/>
      <c r="AK1121" s="589"/>
      <c r="AL1121" s="589"/>
      <c r="AM1121" s="589"/>
      <c r="AN1121" s="589"/>
      <c r="AO1121" s="589"/>
      <c r="AP1121" s="589"/>
      <c r="AQ1121" s="589"/>
      <c r="AR1121" s="589"/>
      <c r="AS1121" s="589"/>
    </row>
    <row r="1122" spans="1:45" ht="15">
      <c r="A1122" s="587" t="s">
        <v>204</v>
      </c>
      <c r="B1122" s="587" t="s">
        <v>748</v>
      </c>
      <c r="C1122" s="587" t="s">
        <v>799</v>
      </c>
      <c r="D1122" s="588">
        <v>2016</v>
      </c>
      <c r="E1122" s="587" t="s">
        <v>775</v>
      </c>
      <c r="F1122" s="588">
        <v>1036</v>
      </c>
      <c r="G1122" s="588">
        <v>11</v>
      </c>
      <c r="H1122" s="588">
        <v>11</v>
      </c>
      <c r="I1122" s="588">
        <v>0</v>
      </c>
      <c r="J1122" s="588">
        <v>727</v>
      </c>
      <c r="K1122" s="588">
        <v>0</v>
      </c>
      <c r="L1122" s="588">
        <v>0</v>
      </c>
      <c r="M1122" s="588">
        <v>0</v>
      </c>
      <c r="N1122" s="588">
        <v>870</v>
      </c>
      <c r="O1122" s="588">
        <v>0</v>
      </c>
      <c r="P1122" s="588">
        <v>2043</v>
      </c>
      <c r="Q1122" s="588">
        <v>196</v>
      </c>
      <c r="R1122" s="588">
        <v>4676</v>
      </c>
      <c r="S1122" s="588">
        <v>207</v>
      </c>
      <c r="T1122" s="588">
        <v>2016</v>
      </c>
      <c r="U1122" s="588">
        <v>2014</v>
      </c>
      <c r="V1122" s="589"/>
      <c r="W1122" s="589"/>
      <c r="X1122" s="589"/>
      <c r="Y1122" s="589"/>
      <c r="Z1122" s="589"/>
      <c r="AA1122" s="589"/>
      <c r="AB1122" s="589"/>
      <c r="AC1122" s="589"/>
      <c r="AD1122" s="589"/>
      <c r="AE1122" s="589"/>
      <c r="AF1122" s="589"/>
      <c r="AG1122" s="589"/>
      <c r="AH1122" s="589"/>
      <c r="AI1122" s="589"/>
      <c r="AJ1122" s="589"/>
      <c r="AK1122" s="589"/>
      <c r="AL1122" s="589"/>
      <c r="AM1122" s="589"/>
      <c r="AN1122" s="589"/>
      <c r="AO1122" s="589"/>
      <c r="AP1122" s="589"/>
      <c r="AQ1122" s="589"/>
      <c r="AR1122" s="589"/>
      <c r="AS1122" s="589"/>
    </row>
    <row r="1123" spans="1:45" ht="15">
      <c r="A1123" s="590" t="s">
        <v>178</v>
      </c>
      <c r="B1123" s="591" t="s">
        <v>588</v>
      </c>
      <c r="C1123" s="591" t="s">
        <v>812</v>
      </c>
      <c r="D1123" s="592">
        <v>2016</v>
      </c>
      <c r="E1123" s="591" t="s">
        <v>775</v>
      </c>
      <c r="F1123" s="592">
        <v>376</v>
      </c>
      <c r="G1123" s="592">
        <v>0</v>
      </c>
      <c r="H1123" s="592">
        <v>0</v>
      </c>
      <c r="I1123" s="592">
        <v>0</v>
      </c>
      <c r="J1123" s="592">
        <v>261</v>
      </c>
      <c r="K1123" s="592">
        <v>30</v>
      </c>
      <c r="L1123" s="592">
        <v>30</v>
      </c>
      <c r="M1123" s="592">
        <v>0</v>
      </c>
      <c r="N1123" s="593">
        <v>299</v>
      </c>
      <c r="O1123" s="593">
        <v>17</v>
      </c>
      <c r="P1123" s="593">
        <v>669</v>
      </c>
      <c r="Q1123" s="593">
        <v>102</v>
      </c>
      <c r="R1123" s="593">
        <v>1605</v>
      </c>
      <c r="S1123" s="593">
        <v>149</v>
      </c>
      <c r="T1123" s="593">
        <v>2016</v>
      </c>
      <c r="U1123" s="593">
        <v>2014</v>
      </c>
      <c r="V1123" s="589"/>
      <c r="W1123" s="589"/>
      <c r="X1123" s="589"/>
      <c r="Y1123" s="589"/>
      <c r="Z1123" s="589"/>
      <c r="AA1123" s="589"/>
      <c r="AB1123" s="589"/>
      <c r="AC1123" s="589"/>
      <c r="AD1123" s="589"/>
      <c r="AE1123" s="589"/>
      <c r="AF1123" s="589"/>
      <c r="AG1123" s="589"/>
      <c r="AH1123" s="589"/>
      <c r="AI1123" s="589"/>
      <c r="AJ1123" s="589"/>
      <c r="AK1123" s="589"/>
      <c r="AL1123" s="589"/>
      <c r="AM1123" s="589"/>
      <c r="AN1123" s="589"/>
      <c r="AO1123" s="589"/>
      <c r="AP1123" s="589"/>
      <c r="AQ1123" s="589"/>
      <c r="AR1123" s="589"/>
      <c r="AS1123" s="589"/>
    </row>
    <row r="1124" spans="1:45" ht="15">
      <c r="A1124" s="587" t="s">
        <v>178</v>
      </c>
      <c r="B1124" s="587" t="s">
        <v>589</v>
      </c>
      <c r="C1124" s="587" t="s">
        <v>812</v>
      </c>
      <c r="D1124" s="588">
        <v>2016</v>
      </c>
      <c r="E1124" s="587" t="s">
        <v>775</v>
      </c>
      <c r="F1124" s="588">
        <v>209</v>
      </c>
      <c r="G1124" s="588">
        <v>0</v>
      </c>
      <c r="H1124" s="588">
        <v>0</v>
      </c>
      <c r="I1124" s="588">
        <v>0</v>
      </c>
      <c r="J1124" s="588">
        <v>149</v>
      </c>
      <c r="K1124" s="588">
        <v>0</v>
      </c>
      <c r="L1124" s="588">
        <v>0</v>
      </c>
      <c r="M1124" s="588">
        <v>0</v>
      </c>
      <c r="N1124" s="588">
        <v>172</v>
      </c>
      <c r="O1124" s="588">
        <v>0</v>
      </c>
      <c r="P1124" s="588">
        <v>400</v>
      </c>
      <c r="Q1124" s="588">
        <v>17</v>
      </c>
      <c r="R1124" s="588">
        <v>930</v>
      </c>
      <c r="S1124" s="588">
        <v>17</v>
      </c>
      <c r="T1124" s="588">
        <v>2016</v>
      </c>
      <c r="U1124" s="588">
        <v>2014</v>
      </c>
      <c r="V1124" s="589"/>
      <c r="W1124" s="589"/>
      <c r="X1124" s="589"/>
      <c r="Y1124" s="589"/>
      <c r="Z1124" s="589"/>
      <c r="AA1124" s="589"/>
      <c r="AB1124" s="589"/>
      <c r="AC1124" s="589"/>
      <c r="AD1124" s="589"/>
      <c r="AE1124" s="589"/>
      <c r="AF1124" s="589"/>
      <c r="AG1124" s="589"/>
      <c r="AH1124" s="589"/>
      <c r="AI1124" s="589"/>
      <c r="AJ1124" s="589"/>
      <c r="AK1124" s="589"/>
      <c r="AL1124" s="589"/>
      <c r="AM1124" s="589"/>
      <c r="AN1124" s="589"/>
      <c r="AO1124" s="589"/>
      <c r="AP1124" s="589"/>
      <c r="AQ1124" s="589"/>
      <c r="AR1124" s="589"/>
      <c r="AS1124" s="589"/>
    </row>
    <row r="1125" spans="1:45" ht="15">
      <c r="A1125" s="590" t="s">
        <v>153</v>
      </c>
      <c r="B1125" s="591" t="s">
        <v>346</v>
      </c>
      <c r="C1125" s="591" t="s">
        <v>812</v>
      </c>
      <c r="D1125" s="592">
        <v>2017</v>
      </c>
      <c r="E1125" s="591" t="s">
        <v>775</v>
      </c>
      <c r="F1125" s="592">
        <v>31</v>
      </c>
      <c r="G1125" s="592">
        <v>0</v>
      </c>
      <c r="H1125" s="592">
        <v>0</v>
      </c>
      <c r="I1125" s="592">
        <v>0</v>
      </c>
      <c r="J1125" s="592">
        <v>19</v>
      </c>
      <c r="K1125" s="592">
        <v>0</v>
      </c>
      <c r="L1125" s="592">
        <v>0</v>
      </c>
      <c r="M1125" s="592">
        <v>0</v>
      </c>
      <c r="N1125" s="593">
        <v>20</v>
      </c>
      <c r="O1125" s="593">
        <v>0</v>
      </c>
      <c r="P1125" s="593">
        <v>45</v>
      </c>
      <c r="Q1125" s="593">
        <v>7</v>
      </c>
      <c r="R1125" s="593">
        <v>115</v>
      </c>
      <c r="S1125" s="593">
        <v>7</v>
      </c>
      <c r="T1125" s="593">
        <v>2017</v>
      </c>
      <c r="U1125" s="593">
        <v>2014</v>
      </c>
      <c r="V1125" s="589"/>
      <c r="W1125" s="589"/>
      <c r="X1125" s="589"/>
      <c r="Y1125" s="589"/>
      <c r="Z1125" s="589"/>
      <c r="AA1125" s="589"/>
      <c r="AB1125" s="589"/>
      <c r="AC1125" s="589"/>
      <c r="AD1125" s="589"/>
      <c r="AE1125" s="589"/>
      <c r="AF1125" s="589"/>
      <c r="AG1125" s="589"/>
      <c r="AH1125" s="589"/>
      <c r="AI1125" s="589"/>
      <c r="AJ1125" s="589"/>
      <c r="AK1125" s="589"/>
      <c r="AL1125" s="589"/>
      <c r="AM1125" s="589"/>
      <c r="AN1125" s="589"/>
      <c r="AO1125" s="589"/>
      <c r="AP1125" s="589"/>
      <c r="AQ1125" s="589"/>
      <c r="AR1125" s="589"/>
      <c r="AS1125" s="589"/>
    </row>
    <row r="1126" spans="1:45" ht="15">
      <c r="A1126" s="587" t="s">
        <v>125</v>
      </c>
      <c r="B1126" s="587" t="s">
        <v>125</v>
      </c>
      <c r="C1126" s="587" t="s">
        <v>774</v>
      </c>
      <c r="D1126" s="588">
        <v>2017</v>
      </c>
      <c r="E1126" s="587" t="s">
        <v>775</v>
      </c>
      <c r="F1126" s="588">
        <v>444</v>
      </c>
      <c r="G1126" s="588">
        <v>18</v>
      </c>
      <c r="H1126" s="588">
        <v>18</v>
      </c>
      <c r="I1126" s="588">
        <v>0</v>
      </c>
      <c r="J1126" s="588">
        <v>248</v>
      </c>
      <c r="K1126" s="588">
        <v>4</v>
      </c>
      <c r="L1126" s="588">
        <v>4</v>
      </c>
      <c r="M1126" s="588">
        <v>0</v>
      </c>
      <c r="N1126" s="588">
        <v>283</v>
      </c>
      <c r="O1126" s="588">
        <v>5</v>
      </c>
      <c r="P1126" s="588">
        <v>748</v>
      </c>
      <c r="Q1126" s="588">
        <v>66</v>
      </c>
      <c r="R1126" s="588">
        <v>1723</v>
      </c>
      <c r="S1126" s="588">
        <v>93</v>
      </c>
      <c r="T1126" s="588">
        <v>2017</v>
      </c>
      <c r="U1126" s="588">
        <v>2015</v>
      </c>
      <c r="V1126" s="589"/>
      <c r="W1126" s="589"/>
      <c r="X1126" s="589"/>
      <c r="Y1126" s="589"/>
      <c r="Z1126" s="589"/>
      <c r="AA1126" s="589"/>
      <c r="AB1126" s="589"/>
      <c r="AC1126" s="589"/>
      <c r="AD1126" s="589"/>
      <c r="AE1126" s="589"/>
      <c r="AF1126" s="589"/>
      <c r="AG1126" s="589"/>
      <c r="AH1126" s="589"/>
      <c r="AI1126" s="589"/>
      <c r="AJ1126" s="589"/>
      <c r="AK1126" s="589"/>
      <c r="AL1126" s="589"/>
      <c r="AM1126" s="589"/>
      <c r="AN1126" s="589"/>
      <c r="AO1126" s="589"/>
      <c r="AP1126" s="589"/>
      <c r="AQ1126" s="589"/>
      <c r="AR1126" s="589"/>
      <c r="AS1126" s="589"/>
    </row>
    <row r="1127" spans="1:45" ht="15">
      <c r="A1127" s="590" t="s">
        <v>125</v>
      </c>
      <c r="B1127" s="591" t="s">
        <v>233</v>
      </c>
      <c r="C1127" s="591" t="s">
        <v>774</v>
      </c>
      <c r="D1127" s="592">
        <v>2017</v>
      </c>
      <c r="E1127" s="591" t="s">
        <v>775</v>
      </c>
      <c r="F1127" s="592">
        <v>430</v>
      </c>
      <c r="G1127" s="592">
        <v>0</v>
      </c>
      <c r="H1127" s="592">
        <v>0</v>
      </c>
      <c r="I1127" s="592">
        <v>0</v>
      </c>
      <c r="J1127" s="592">
        <v>227</v>
      </c>
      <c r="K1127" s="592">
        <v>3</v>
      </c>
      <c r="L1127" s="592">
        <v>0</v>
      </c>
      <c r="M1127" s="592">
        <v>3</v>
      </c>
      <c r="N1127" s="593">
        <v>295</v>
      </c>
      <c r="O1127" s="593">
        <v>0</v>
      </c>
      <c r="P1127" s="593">
        <v>817</v>
      </c>
      <c r="Q1127" s="593">
        <v>32</v>
      </c>
      <c r="R1127" s="593">
        <v>1769</v>
      </c>
      <c r="S1127" s="593">
        <v>35</v>
      </c>
      <c r="T1127" s="593">
        <v>2017</v>
      </c>
      <c r="U1127" s="593">
        <v>2015</v>
      </c>
      <c r="V1127" s="589"/>
      <c r="W1127" s="589"/>
      <c r="X1127" s="589"/>
      <c r="Y1127" s="589"/>
      <c r="Z1127" s="589"/>
      <c r="AA1127" s="589"/>
      <c r="AB1127" s="589"/>
      <c r="AC1127" s="589"/>
      <c r="AD1127" s="589"/>
      <c r="AE1127" s="589"/>
      <c r="AF1127" s="589"/>
      <c r="AG1127" s="589"/>
      <c r="AH1127" s="589"/>
      <c r="AI1127" s="589"/>
      <c r="AJ1127" s="589"/>
      <c r="AK1127" s="589"/>
      <c r="AL1127" s="589"/>
      <c r="AM1127" s="589"/>
      <c r="AN1127" s="589"/>
      <c r="AO1127" s="589"/>
      <c r="AP1127" s="589"/>
      <c r="AQ1127" s="589"/>
      <c r="AR1127" s="589"/>
      <c r="AS1127" s="589"/>
    </row>
    <row r="1128" spans="1:45" ht="15">
      <c r="A1128" s="587" t="s">
        <v>125</v>
      </c>
      <c r="B1128" s="587" t="s">
        <v>234</v>
      </c>
      <c r="C1128" s="587" t="s">
        <v>774</v>
      </c>
      <c r="D1128" s="588">
        <v>2017</v>
      </c>
      <c r="E1128" s="587" t="s">
        <v>775</v>
      </c>
      <c r="F1128" s="588">
        <v>80</v>
      </c>
      <c r="G1128" s="588">
        <v>0</v>
      </c>
      <c r="H1128" s="588">
        <v>0</v>
      </c>
      <c r="I1128" s="588">
        <v>0</v>
      </c>
      <c r="J1128" s="588">
        <v>53</v>
      </c>
      <c r="K1128" s="588">
        <v>0</v>
      </c>
      <c r="L1128" s="588">
        <v>0</v>
      </c>
      <c r="M1128" s="588">
        <v>0</v>
      </c>
      <c r="N1128" s="588">
        <v>57</v>
      </c>
      <c r="O1128" s="588">
        <v>4</v>
      </c>
      <c r="P1128" s="588">
        <v>145</v>
      </c>
      <c r="Q1128" s="588">
        <v>8</v>
      </c>
      <c r="R1128" s="588">
        <v>335</v>
      </c>
      <c r="S1128" s="588">
        <v>12</v>
      </c>
      <c r="T1128" s="588">
        <v>2017</v>
      </c>
      <c r="U1128" s="588">
        <v>2015</v>
      </c>
      <c r="V1128" s="589"/>
      <c r="W1128" s="589"/>
      <c r="X1128" s="589"/>
      <c r="Y1128" s="589"/>
      <c r="Z1128" s="589"/>
      <c r="AA1128" s="589"/>
      <c r="AB1128" s="589"/>
      <c r="AC1128" s="589"/>
      <c r="AD1128" s="589"/>
      <c r="AE1128" s="589"/>
      <c r="AF1128" s="589"/>
      <c r="AG1128" s="589"/>
      <c r="AH1128" s="589"/>
      <c r="AI1128" s="589"/>
      <c r="AJ1128" s="589"/>
      <c r="AK1128" s="589"/>
      <c r="AL1128" s="589"/>
      <c r="AM1128" s="589"/>
      <c r="AN1128" s="589"/>
      <c r="AO1128" s="589"/>
      <c r="AP1128" s="589"/>
      <c r="AQ1128" s="589"/>
      <c r="AR1128" s="589"/>
      <c r="AS1128" s="589"/>
    </row>
    <row r="1129" spans="1:45" ht="15">
      <c r="A1129" s="590" t="s">
        <v>153</v>
      </c>
      <c r="B1129" s="591" t="s">
        <v>347</v>
      </c>
      <c r="C1129" s="591" t="s">
        <v>812</v>
      </c>
      <c r="D1129" s="592">
        <v>2017</v>
      </c>
      <c r="E1129" s="591" t="s">
        <v>775</v>
      </c>
      <c r="F1129" s="592">
        <v>380</v>
      </c>
      <c r="G1129" s="592">
        <v>0</v>
      </c>
      <c r="H1129" s="592">
        <v>0</v>
      </c>
      <c r="I1129" s="592">
        <v>0</v>
      </c>
      <c r="J1129" s="592">
        <v>224</v>
      </c>
      <c r="K1129" s="592">
        <v>0</v>
      </c>
      <c r="L1129" s="592">
        <v>0</v>
      </c>
      <c r="M1129" s="592">
        <v>0</v>
      </c>
      <c r="N1129" s="593">
        <v>246</v>
      </c>
      <c r="O1129" s="593">
        <v>0</v>
      </c>
      <c r="P1129" s="593">
        <v>642</v>
      </c>
      <c r="Q1129" s="593">
        <v>74</v>
      </c>
      <c r="R1129" s="593">
        <v>1492</v>
      </c>
      <c r="S1129" s="593">
        <v>74</v>
      </c>
      <c r="T1129" s="593">
        <v>2017</v>
      </c>
      <c r="U1129" s="593">
        <v>2014</v>
      </c>
      <c r="V1129" s="589"/>
      <c r="W1129" s="589"/>
      <c r="X1129" s="589"/>
      <c r="Y1129" s="589"/>
      <c r="Z1129" s="589"/>
      <c r="AA1129" s="589"/>
      <c r="AB1129" s="589"/>
      <c r="AC1129" s="589"/>
      <c r="AD1129" s="589"/>
      <c r="AE1129" s="589"/>
      <c r="AF1129" s="589"/>
      <c r="AG1129" s="589"/>
      <c r="AH1129" s="589"/>
      <c r="AI1129" s="589"/>
      <c r="AJ1129" s="589"/>
      <c r="AK1129" s="589"/>
      <c r="AL1129" s="589"/>
      <c r="AM1129" s="589"/>
      <c r="AN1129" s="589"/>
      <c r="AO1129" s="589"/>
      <c r="AP1129" s="589"/>
      <c r="AQ1129" s="589"/>
      <c r="AR1129" s="589"/>
      <c r="AS1129" s="589"/>
    </row>
    <row r="1130" spans="1:45" ht="15">
      <c r="A1130" s="587" t="s">
        <v>169</v>
      </c>
      <c r="B1130" s="587" t="s">
        <v>485</v>
      </c>
      <c r="C1130" s="587" t="s">
        <v>812</v>
      </c>
      <c r="D1130" s="588">
        <v>2017</v>
      </c>
      <c r="E1130" s="587" t="s">
        <v>775</v>
      </c>
      <c r="F1130" s="588">
        <v>9</v>
      </c>
      <c r="G1130" s="588">
        <v>0</v>
      </c>
      <c r="H1130" s="588">
        <v>0</v>
      </c>
      <c r="I1130" s="588">
        <v>0</v>
      </c>
      <c r="J1130" s="588">
        <v>7</v>
      </c>
      <c r="K1130" s="588">
        <v>0</v>
      </c>
      <c r="L1130" s="588">
        <v>0</v>
      </c>
      <c r="M1130" s="588">
        <v>0</v>
      </c>
      <c r="N1130" s="588">
        <v>7</v>
      </c>
      <c r="O1130" s="588">
        <v>0</v>
      </c>
      <c r="P1130" s="588">
        <v>16</v>
      </c>
      <c r="Q1130" s="588">
        <v>0</v>
      </c>
      <c r="R1130" s="588">
        <v>39</v>
      </c>
      <c r="S1130" s="588">
        <v>0</v>
      </c>
      <c r="T1130" s="588">
        <v>2017</v>
      </c>
      <c r="U1130" s="588">
        <v>2014</v>
      </c>
      <c r="V1130" s="589"/>
      <c r="W1130" s="589"/>
      <c r="X1130" s="589"/>
      <c r="Y1130" s="589"/>
      <c r="Z1130" s="589"/>
      <c r="AA1130" s="589"/>
      <c r="AB1130" s="589"/>
      <c r="AC1130" s="589"/>
      <c r="AD1130" s="589"/>
      <c r="AE1130" s="589"/>
      <c r="AF1130" s="589"/>
      <c r="AG1130" s="589"/>
      <c r="AH1130" s="589"/>
      <c r="AI1130" s="589"/>
      <c r="AJ1130" s="589"/>
      <c r="AK1130" s="589"/>
      <c r="AL1130" s="589"/>
      <c r="AM1130" s="589"/>
      <c r="AN1130" s="589"/>
      <c r="AO1130" s="589"/>
      <c r="AP1130" s="589"/>
      <c r="AQ1130" s="589"/>
      <c r="AR1130" s="589"/>
      <c r="AS1130" s="589"/>
    </row>
    <row r="1131" spans="1:45" ht="15">
      <c r="A1131" s="590" t="s">
        <v>127</v>
      </c>
      <c r="B1131" s="591" t="s">
        <v>247</v>
      </c>
      <c r="C1131" s="591" t="s">
        <v>784</v>
      </c>
      <c r="D1131" s="592">
        <v>2017</v>
      </c>
      <c r="E1131" s="591" t="s">
        <v>775</v>
      </c>
      <c r="F1131" s="592">
        <v>7</v>
      </c>
      <c r="G1131" s="592">
        <v>0</v>
      </c>
      <c r="H1131" s="592">
        <v>0</v>
      </c>
      <c r="I1131" s="592">
        <v>0</v>
      </c>
      <c r="J1131" s="592">
        <v>6</v>
      </c>
      <c r="K1131" s="592">
        <v>2</v>
      </c>
      <c r="L1131" s="592">
        <v>0</v>
      </c>
      <c r="M1131" s="592">
        <v>2</v>
      </c>
      <c r="N1131" s="593">
        <v>6</v>
      </c>
      <c r="O1131" s="593">
        <v>3</v>
      </c>
      <c r="P1131" s="593">
        <v>11</v>
      </c>
      <c r="Q1131" s="593">
        <v>3</v>
      </c>
      <c r="R1131" s="593">
        <v>30</v>
      </c>
      <c r="S1131" s="593">
        <v>8</v>
      </c>
      <c r="T1131" s="593">
        <v>2017</v>
      </c>
      <c r="U1131" s="593">
        <v>2014</v>
      </c>
      <c r="V1131" s="589"/>
      <c r="W1131" s="589"/>
      <c r="X1131" s="589"/>
      <c r="Y1131" s="589"/>
      <c r="Z1131" s="589"/>
      <c r="AA1131" s="589"/>
      <c r="AB1131" s="589"/>
      <c r="AC1131" s="589"/>
      <c r="AD1131" s="589"/>
      <c r="AE1131" s="589"/>
      <c r="AF1131" s="589"/>
      <c r="AG1131" s="589"/>
      <c r="AH1131" s="589"/>
      <c r="AI1131" s="589"/>
      <c r="AJ1131" s="589"/>
      <c r="AK1131" s="589"/>
      <c r="AL1131" s="589"/>
      <c r="AM1131" s="589"/>
      <c r="AN1131" s="589"/>
      <c r="AO1131" s="589"/>
      <c r="AP1131" s="589"/>
      <c r="AQ1131" s="589"/>
      <c r="AR1131" s="589"/>
      <c r="AS1131" s="589"/>
    </row>
    <row r="1132" spans="1:45" ht="15">
      <c r="A1132" s="587" t="s">
        <v>130</v>
      </c>
      <c r="B1132" s="587" t="s">
        <v>250</v>
      </c>
      <c r="C1132" s="587" t="s">
        <v>784</v>
      </c>
      <c r="D1132" s="588">
        <v>2017</v>
      </c>
      <c r="E1132" s="587" t="s">
        <v>775</v>
      </c>
      <c r="F1132" s="588">
        <v>10</v>
      </c>
      <c r="G1132" s="588">
        <v>0</v>
      </c>
      <c r="H1132" s="588">
        <v>0</v>
      </c>
      <c r="I1132" s="588">
        <v>0</v>
      </c>
      <c r="J1132" s="588">
        <v>7</v>
      </c>
      <c r="K1132" s="588">
        <v>2</v>
      </c>
      <c r="L1132" s="588">
        <v>1</v>
      </c>
      <c r="M1132" s="588">
        <v>1</v>
      </c>
      <c r="N1132" s="588">
        <v>9</v>
      </c>
      <c r="O1132" s="588">
        <v>13</v>
      </c>
      <c r="P1132" s="588">
        <v>23</v>
      </c>
      <c r="Q1132" s="588">
        <v>17</v>
      </c>
      <c r="R1132" s="588">
        <v>49</v>
      </c>
      <c r="S1132" s="588">
        <v>32</v>
      </c>
      <c r="T1132" s="588">
        <v>2017</v>
      </c>
      <c r="U1132" s="588">
        <v>2014</v>
      </c>
      <c r="V1132" s="589"/>
      <c r="W1132" s="589"/>
      <c r="X1132" s="589"/>
      <c r="Y1132" s="589"/>
      <c r="Z1132" s="589"/>
      <c r="AA1132" s="589"/>
      <c r="AB1132" s="589"/>
      <c r="AC1132" s="589"/>
      <c r="AD1132" s="589"/>
      <c r="AE1132" s="589"/>
      <c r="AF1132" s="589"/>
      <c r="AG1132" s="589"/>
      <c r="AH1132" s="589"/>
      <c r="AI1132" s="589"/>
      <c r="AJ1132" s="589"/>
      <c r="AK1132" s="589"/>
      <c r="AL1132" s="589"/>
      <c r="AM1132" s="589"/>
      <c r="AN1132" s="589"/>
      <c r="AO1132" s="589"/>
      <c r="AP1132" s="589"/>
      <c r="AQ1132" s="589"/>
      <c r="AR1132" s="589"/>
      <c r="AS1132" s="589"/>
    </row>
    <row r="1133" spans="1:45" ht="15">
      <c r="A1133" s="590" t="s">
        <v>166</v>
      </c>
      <c r="B1133" s="591" t="s">
        <v>476</v>
      </c>
      <c r="C1133" s="591" t="s">
        <v>774</v>
      </c>
      <c r="D1133" s="592">
        <v>2017</v>
      </c>
      <c r="E1133" s="591" t="s">
        <v>775</v>
      </c>
      <c r="F1133" s="592">
        <v>116</v>
      </c>
      <c r="G1133" s="592">
        <v>49</v>
      </c>
      <c r="H1133" s="592">
        <v>49</v>
      </c>
      <c r="I1133" s="592">
        <v>0</v>
      </c>
      <c r="J1133" s="592">
        <v>54</v>
      </c>
      <c r="K1133" s="592">
        <v>20</v>
      </c>
      <c r="L1133" s="592">
        <v>20</v>
      </c>
      <c r="M1133" s="592">
        <v>0</v>
      </c>
      <c r="N1133" s="593">
        <v>58</v>
      </c>
      <c r="O1133" s="593">
        <v>1</v>
      </c>
      <c r="P1133" s="593">
        <v>164</v>
      </c>
      <c r="Q1133" s="593">
        <v>0</v>
      </c>
      <c r="R1133" s="593">
        <v>392</v>
      </c>
      <c r="S1133" s="593">
        <v>70</v>
      </c>
      <c r="T1133" s="593">
        <v>2017</v>
      </c>
      <c r="U1133" s="593">
        <v>2015</v>
      </c>
      <c r="V1133" s="589"/>
      <c r="W1133" s="589"/>
      <c r="X1133" s="589"/>
      <c r="Y1133" s="589"/>
      <c r="Z1133" s="589"/>
      <c r="AA1133" s="589"/>
      <c r="AB1133" s="589"/>
      <c r="AC1133" s="589"/>
      <c r="AD1133" s="589"/>
      <c r="AE1133" s="589"/>
      <c r="AF1133" s="589"/>
      <c r="AG1133" s="589"/>
      <c r="AH1133" s="589"/>
      <c r="AI1133" s="589"/>
      <c r="AJ1133" s="589"/>
      <c r="AK1133" s="589"/>
      <c r="AL1133" s="589"/>
      <c r="AM1133" s="589"/>
      <c r="AN1133" s="589"/>
      <c r="AO1133" s="589"/>
      <c r="AP1133" s="589"/>
      <c r="AQ1133" s="589"/>
      <c r="AR1133" s="589"/>
      <c r="AS1133" s="589"/>
    </row>
    <row r="1134" spans="1:45" ht="15">
      <c r="A1134" s="587" t="s">
        <v>169</v>
      </c>
      <c r="B1134" s="587" t="s">
        <v>486</v>
      </c>
      <c r="C1134" s="587" t="s">
        <v>812</v>
      </c>
      <c r="D1134" s="588">
        <v>2017</v>
      </c>
      <c r="E1134" s="587" t="s">
        <v>775</v>
      </c>
      <c r="F1134" s="588">
        <v>1256</v>
      </c>
      <c r="G1134" s="588">
        <v>2</v>
      </c>
      <c r="H1134" s="588">
        <v>2</v>
      </c>
      <c r="I1134" s="588">
        <v>0</v>
      </c>
      <c r="J1134" s="588">
        <v>907</v>
      </c>
      <c r="K1134" s="588">
        <v>0</v>
      </c>
      <c r="L1134" s="588">
        <v>0</v>
      </c>
      <c r="M1134" s="588">
        <v>0</v>
      </c>
      <c r="N1134" s="588">
        <v>1038</v>
      </c>
      <c r="O1134" s="588">
        <v>0</v>
      </c>
      <c r="P1134" s="588">
        <v>2501</v>
      </c>
      <c r="Q1134" s="588">
        <v>1533</v>
      </c>
      <c r="R1134" s="588">
        <v>5702</v>
      </c>
      <c r="S1134" s="588">
        <v>1535</v>
      </c>
      <c r="T1134" s="588">
        <v>2017</v>
      </c>
      <c r="U1134" s="588">
        <v>2014</v>
      </c>
      <c r="V1134" s="589"/>
      <c r="W1134" s="589"/>
      <c r="X1134" s="589"/>
      <c r="Y1134" s="589"/>
      <c r="Z1134" s="589"/>
      <c r="AA1134" s="589"/>
      <c r="AB1134" s="589"/>
      <c r="AC1134" s="589"/>
      <c r="AD1134" s="589"/>
      <c r="AE1134" s="589"/>
      <c r="AF1134" s="589"/>
      <c r="AG1134" s="589"/>
      <c r="AH1134" s="589"/>
      <c r="AI1134" s="589"/>
      <c r="AJ1134" s="589"/>
      <c r="AK1134" s="589"/>
      <c r="AL1134" s="589"/>
      <c r="AM1134" s="589"/>
      <c r="AN1134" s="589"/>
      <c r="AO1134" s="589"/>
      <c r="AP1134" s="589"/>
      <c r="AQ1134" s="589"/>
      <c r="AR1134" s="589"/>
      <c r="AS1134" s="589"/>
    </row>
    <row r="1135" spans="1:45" ht="15">
      <c r="A1135" s="590" t="s">
        <v>189</v>
      </c>
      <c r="B1135" s="591" t="s">
        <v>670</v>
      </c>
      <c r="C1135" s="591" t="s">
        <v>784</v>
      </c>
      <c r="D1135" s="592">
        <v>2017</v>
      </c>
      <c r="E1135" s="591" t="s">
        <v>775</v>
      </c>
      <c r="F1135" s="592">
        <v>32</v>
      </c>
      <c r="G1135" s="592">
        <v>23</v>
      </c>
      <c r="H1135" s="592">
        <v>23</v>
      </c>
      <c r="I1135" s="592">
        <v>0</v>
      </c>
      <c r="J1135" s="592">
        <v>21</v>
      </c>
      <c r="K1135" s="592">
        <v>15</v>
      </c>
      <c r="L1135" s="592">
        <v>15</v>
      </c>
      <c r="M1135" s="592">
        <v>0</v>
      </c>
      <c r="N1135" s="593">
        <v>24</v>
      </c>
      <c r="O1135" s="593">
        <v>40</v>
      </c>
      <c r="P1135" s="593">
        <v>59</v>
      </c>
      <c r="Q1135" s="593">
        <v>23</v>
      </c>
      <c r="R1135" s="593">
        <v>136</v>
      </c>
      <c r="S1135" s="593">
        <v>101</v>
      </c>
      <c r="T1135" s="593">
        <v>2017</v>
      </c>
      <c r="U1135" s="593">
        <v>2014</v>
      </c>
      <c r="V1135" s="589"/>
      <c r="W1135" s="589"/>
      <c r="X1135" s="589"/>
      <c r="Y1135" s="589"/>
      <c r="Z1135" s="589"/>
      <c r="AA1135" s="589"/>
      <c r="AB1135" s="589"/>
      <c r="AC1135" s="589"/>
      <c r="AD1135" s="589"/>
      <c r="AE1135" s="589"/>
      <c r="AF1135" s="589"/>
      <c r="AG1135" s="589"/>
      <c r="AH1135" s="589"/>
      <c r="AI1135" s="589"/>
      <c r="AJ1135" s="589"/>
      <c r="AK1135" s="589"/>
      <c r="AL1135" s="589"/>
      <c r="AM1135" s="589"/>
      <c r="AN1135" s="589"/>
      <c r="AO1135" s="589"/>
      <c r="AP1135" s="589"/>
      <c r="AQ1135" s="589"/>
      <c r="AR1135" s="589"/>
      <c r="AS1135" s="589"/>
    </row>
    <row r="1136" spans="1:45" ht="15">
      <c r="A1136" s="587" t="s">
        <v>136</v>
      </c>
      <c r="B1136" s="587" t="s">
        <v>265</v>
      </c>
      <c r="C1136" s="587" t="s">
        <v>774</v>
      </c>
      <c r="D1136" s="588">
        <v>2017</v>
      </c>
      <c r="E1136" s="587" t="s">
        <v>775</v>
      </c>
      <c r="F1136" s="588">
        <v>349</v>
      </c>
      <c r="G1136" s="588">
        <v>2</v>
      </c>
      <c r="H1136" s="588">
        <v>2</v>
      </c>
      <c r="I1136" s="588">
        <v>0</v>
      </c>
      <c r="J1136" s="588">
        <v>205</v>
      </c>
      <c r="K1136" s="588">
        <v>0</v>
      </c>
      <c r="L1136" s="588">
        <v>0</v>
      </c>
      <c r="M1136" s="588">
        <v>0</v>
      </c>
      <c r="N1136" s="588">
        <v>214</v>
      </c>
      <c r="O1136" s="588">
        <v>0</v>
      </c>
      <c r="P1136" s="588">
        <v>680</v>
      </c>
      <c r="Q1136" s="588">
        <v>41</v>
      </c>
      <c r="R1136" s="588">
        <v>1448</v>
      </c>
      <c r="S1136" s="588">
        <v>43</v>
      </c>
      <c r="T1136" s="588">
        <v>2017</v>
      </c>
      <c r="U1136" s="588">
        <v>2015</v>
      </c>
      <c r="V1136" s="589"/>
      <c r="W1136" s="589"/>
      <c r="X1136" s="589"/>
      <c r="Y1136" s="589"/>
      <c r="Z1136" s="589"/>
      <c r="AA1136" s="589"/>
      <c r="AB1136" s="589"/>
      <c r="AC1136" s="589"/>
      <c r="AD1136" s="589"/>
      <c r="AE1136" s="589"/>
      <c r="AF1136" s="589"/>
      <c r="AG1136" s="589"/>
      <c r="AH1136" s="589"/>
      <c r="AI1136" s="589"/>
      <c r="AJ1136" s="589"/>
      <c r="AK1136" s="589"/>
      <c r="AL1136" s="589"/>
      <c r="AM1136" s="589"/>
      <c r="AN1136" s="589"/>
      <c r="AO1136" s="589"/>
      <c r="AP1136" s="589"/>
      <c r="AQ1136" s="589"/>
      <c r="AR1136" s="589"/>
      <c r="AS1136" s="589"/>
    </row>
    <row r="1137" spans="1:45" ht="15">
      <c r="A1137" s="590" t="s">
        <v>178</v>
      </c>
      <c r="B1137" s="590" t="s">
        <v>567</v>
      </c>
      <c r="C1137" s="590" t="s">
        <v>812</v>
      </c>
      <c r="D1137" s="593">
        <v>2017</v>
      </c>
      <c r="E1137" s="590" t="s">
        <v>775</v>
      </c>
      <c r="F1137" s="593">
        <v>764</v>
      </c>
      <c r="G1137" s="593">
        <v>0</v>
      </c>
      <c r="H1137" s="593">
        <v>0</v>
      </c>
      <c r="I1137" s="593">
        <v>0</v>
      </c>
      <c r="J1137" s="593">
        <v>541</v>
      </c>
      <c r="K1137" s="593">
        <v>0</v>
      </c>
      <c r="L1137" s="593">
        <v>0</v>
      </c>
      <c r="M1137" s="593">
        <v>0</v>
      </c>
      <c r="N1137" s="593">
        <v>622</v>
      </c>
      <c r="O1137" s="593">
        <v>0</v>
      </c>
      <c r="P1137" s="593">
        <v>1407</v>
      </c>
      <c r="Q1137" s="593">
        <v>0</v>
      </c>
      <c r="R1137" s="593">
        <v>3334</v>
      </c>
      <c r="S1137" s="593">
        <v>0</v>
      </c>
      <c r="T1137" s="593">
        <v>2017</v>
      </c>
      <c r="U1137" s="593">
        <v>2014</v>
      </c>
      <c r="V1137" s="589"/>
      <c r="W1137" s="589"/>
      <c r="X1137" s="589"/>
      <c r="Y1137" s="589"/>
      <c r="Z1137" s="589"/>
      <c r="AA1137" s="589"/>
      <c r="AB1137" s="589"/>
      <c r="AC1137" s="589"/>
      <c r="AD1137" s="589"/>
      <c r="AE1137" s="589"/>
      <c r="AF1137" s="589"/>
      <c r="AG1137" s="589"/>
      <c r="AH1137" s="589"/>
      <c r="AI1137" s="589"/>
      <c r="AJ1137" s="589"/>
      <c r="AK1137" s="589"/>
      <c r="AL1137" s="589"/>
      <c r="AM1137" s="589"/>
      <c r="AN1137" s="589"/>
      <c r="AO1137" s="589"/>
      <c r="AP1137" s="589"/>
      <c r="AQ1137" s="589"/>
      <c r="AR1137" s="589"/>
      <c r="AS1137" s="589"/>
    </row>
    <row r="1138" spans="1:45" ht="15">
      <c r="A1138" s="587" t="s">
        <v>153</v>
      </c>
      <c r="B1138" s="587" t="s">
        <v>348</v>
      </c>
      <c r="C1138" s="587" t="s">
        <v>812</v>
      </c>
      <c r="D1138" s="588">
        <v>2017</v>
      </c>
      <c r="E1138" s="587" t="s">
        <v>775</v>
      </c>
      <c r="F1138" s="588">
        <v>276</v>
      </c>
      <c r="G1138" s="588">
        <v>0</v>
      </c>
      <c r="H1138" s="588">
        <v>0</v>
      </c>
      <c r="I1138" s="588">
        <v>0</v>
      </c>
      <c r="J1138" s="588">
        <v>167</v>
      </c>
      <c r="K1138" s="588">
        <v>0</v>
      </c>
      <c r="L1138" s="588">
        <v>0</v>
      </c>
      <c r="M1138" s="588">
        <v>0</v>
      </c>
      <c r="N1138" s="588">
        <v>177</v>
      </c>
      <c r="O1138" s="588">
        <v>38</v>
      </c>
      <c r="P1138" s="588">
        <v>434</v>
      </c>
      <c r="Q1138" s="588">
        <v>101</v>
      </c>
      <c r="R1138" s="588">
        <v>1054</v>
      </c>
      <c r="S1138" s="588">
        <v>139</v>
      </c>
      <c r="T1138" s="588">
        <v>2017</v>
      </c>
      <c r="U1138" s="588">
        <v>2014</v>
      </c>
      <c r="V1138" s="589"/>
      <c r="W1138" s="589"/>
      <c r="X1138" s="589"/>
      <c r="Y1138" s="589"/>
      <c r="Z1138" s="589"/>
      <c r="AA1138" s="589"/>
      <c r="AB1138" s="589"/>
      <c r="AC1138" s="589"/>
      <c r="AD1138" s="589"/>
      <c r="AE1138" s="589"/>
      <c r="AF1138" s="589"/>
      <c r="AG1138" s="589"/>
      <c r="AH1138" s="589"/>
      <c r="AI1138" s="589"/>
      <c r="AJ1138" s="589"/>
      <c r="AK1138" s="589"/>
      <c r="AL1138" s="589"/>
      <c r="AM1138" s="589"/>
      <c r="AN1138" s="589"/>
      <c r="AO1138" s="589"/>
      <c r="AP1138" s="589"/>
      <c r="AQ1138" s="589"/>
      <c r="AR1138" s="589"/>
      <c r="AS1138" s="589"/>
    </row>
    <row r="1139" spans="1:45" ht="15">
      <c r="A1139" s="590" t="s">
        <v>145</v>
      </c>
      <c r="B1139" s="590" t="s">
        <v>307</v>
      </c>
      <c r="C1139" s="590" t="s">
        <v>784</v>
      </c>
      <c r="D1139" s="593">
        <v>2017</v>
      </c>
      <c r="E1139" s="590" t="s">
        <v>775</v>
      </c>
      <c r="F1139" s="593">
        <v>85</v>
      </c>
      <c r="G1139" s="593">
        <v>0</v>
      </c>
      <c r="H1139" s="593">
        <v>0</v>
      </c>
      <c r="I1139" s="593">
        <v>0</v>
      </c>
      <c r="J1139" s="593">
        <v>56</v>
      </c>
      <c r="K1139" s="593">
        <v>0</v>
      </c>
      <c r="L1139" s="593">
        <v>0</v>
      </c>
      <c r="M1139" s="593">
        <v>0</v>
      </c>
      <c r="N1139" s="593">
        <v>62</v>
      </c>
      <c r="O1139" s="593">
        <v>164</v>
      </c>
      <c r="P1139" s="593">
        <v>160</v>
      </c>
      <c r="Q1139" s="593">
        <v>5</v>
      </c>
      <c r="R1139" s="593">
        <v>363</v>
      </c>
      <c r="S1139" s="593">
        <v>169</v>
      </c>
      <c r="T1139" s="593">
        <v>2017</v>
      </c>
      <c r="U1139" s="593">
        <v>2014</v>
      </c>
      <c r="V1139" s="589"/>
      <c r="W1139" s="589"/>
      <c r="X1139" s="589"/>
      <c r="Y1139" s="589"/>
      <c r="Z1139" s="589"/>
      <c r="AA1139" s="589"/>
      <c r="AB1139" s="589"/>
      <c r="AC1139" s="589"/>
      <c r="AD1139" s="589"/>
      <c r="AE1139" s="589"/>
      <c r="AF1139" s="589"/>
      <c r="AG1139" s="589"/>
      <c r="AH1139" s="589"/>
      <c r="AI1139" s="589"/>
      <c r="AJ1139" s="589"/>
      <c r="AK1139" s="589"/>
      <c r="AL1139" s="589"/>
      <c r="AM1139" s="589"/>
      <c r="AN1139" s="589"/>
      <c r="AO1139" s="589"/>
      <c r="AP1139" s="589"/>
      <c r="AQ1139" s="589"/>
      <c r="AR1139" s="589"/>
      <c r="AS1139" s="589"/>
    </row>
    <row r="1140" spans="1:45" ht="15">
      <c r="A1140" s="587" t="s">
        <v>183</v>
      </c>
      <c r="B1140" s="587" t="s">
        <v>616</v>
      </c>
      <c r="C1140" s="587" t="s">
        <v>784</v>
      </c>
      <c r="D1140" s="588">
        <v>2017</v>
      </c>
      <c r="E1140" s="587" t="s">
        <v>775</v>
      </c>
      <c r="F1140" s="588">
        <v>60</v>
      </c>
      <c r="G1140" s="588">
        <v>0</v>
      </c>
      <c r="H1140" s="588">
        <v>0</v>
      </c>
      <c r="I1140" s="588">
        <v>0</v>
      </c>
      <c r="J1140" s="588">
        <v>38</v>
      </c>
      <c r="K1140" s="588">
        <v>4</v>
      </c>
      <c r="L1140" s="588">
        <v>0</v>
      </c>
      <c r="M1140" s="588">
        <v>4</v>
      </c>
      <c r="N1140" s="588">
        <v>43</v>
      </c>
      <c r="O1140" s="588">
        <v>0</v>
      </c>
      <c r="P1140" s="588">
        <v>101</v>
      </c>
      <c r="Q1140" s="588">
        <v>37</v>
      </c>
      <c r="R1140" s="588">
        <v>242</v>
      </c>
      <c r="S1140" s="588">
        <v>41</v>
      </c>
      <c r="T1140" s="588">
        <v>2017</v>
      </c>
      <c r="U1140" s="588">
        <v>2014</v>
      </c>
      <c r="V1140" s="589"/>
      <c r="W1140" s="589"/>
      <c r="X1140" s="589"/>
      <c r="Y1140" s="589"/>
      <c r="Z1140" s="589"/>
      <c r="AA1140" s="589"/>
      <c r="AB1140" s="589"/>
      <c r="AC1140" s="589"/>
      <c r="AD1140" s="589"/>
      <c r="AE1140" s="589"/>
      <c r="AF1140" s="589"/>
      <c r="AG1140" s="589"/>
      <c r="AH1140" s="589"/>
      <c r="AI1140" s="589"/>
      <c r="AJ1140" s="589"/>
      <c r="AK1140" s="589"/>
      <c r="AL1140" s="589"/>
      <c r="AM1140" s="589"/>
      <c r="AN1140" s="589"/>
      <c r="AO1140" s="589"/>
      <c r="AP1140" s="589"/>
      <c r="AQ1140" s="589"/>
      <c r="AR1140" s="589"/>
      <c r="AS1140" s="589"/>
    </row>
    <row r="1141" spans="1:45" ht="15">
      <c r="A1141" s="590" t="s">
        <v>153</v>
      </c>
      <c r="B1141" s="590" t="s">
        <v>349</v>
      </c>
      <c r="C1141" s="590" t="s">
        <v>812</v>
      </c>
      <c r="D1141" s="593">
        <v>2017</v>
      </c>
      <c r="E1141" s="590" t="s">
        <v>775</v>
      </c>
      <c r="F1141" s="593">
        <v>31</v>
      </c>
      <c r="G1141" s="593">
        <v>0</v>
      </c>
      <c r="H1141" s="593">
        <v>0</v>
      </c>
      <c r="I1141" s="593">
        <v>0</v>
      </c>
      <c r="J1141" s="593">
        <v>18</v>
      </c>
      <c r="K1141" s="593">
        <v>0</v>
      </c>
      <c r="L1141" s="593">
        <v>0</v>
      </c>
      <c r="M1141" s="593">
        <v>0</v>
      </c>
      <c r="N1141" s="593">
        <v>20</v>
      </c>
      <c r="O1141" s="593">
        <v>0</v>
      </c>
      <c r="P1141" s="593">
        <v>51</v>
      </c>
      <c r="Q1141" s="593">
        <v>8</v>
      </c>
      <c r="R1141" s="593">
        <v>120</v>
      </c>
      <c r="S1141" s="593">
        <v>8</v>
      </c>
      <c r="T1141" s="593">
        <v>2017</v>
      </c>
      <c r="U1141" s="593">
        <v>2014</v>
      </c>
      <c r="V1141" s="589"/>
      <c r="W1141" s="589"/>
      <c r="X1141" s="589"/>
      <c r="Y1141" s="589"/>
      <c r="Z1141" s="589"/>
      <c r="AA1141" s="589"/>
      <c r="AB1141" s="589"/>
      <c r="AC1141" s="589"/>
      <c r="AD1141" s="589"/>
      <c r="AE1141" s="589"/>
      <c r="AF1141" s="589"/>
      <c r="AG1141" s="589"/>
      <c r="AH1141" s="589"/>
      <c r="AI1141" s="589"/>
      <c r="AJ1141" s="589"/>
      <c r="AK1141" s="589"/>
      <c r="AL1141" s="589"/>
      <c r="AM1141" s="589"/>
      <c r="AN1141" s="589"/>
      <c r="AO1141" s="589"/>
      <c r="AP1141" s="589"/>
      <c r="AQ1141" s="589"/>
      <c r="AR1141" s="589"/>
      <c r="AS1141" s="589"/>
    </row>
    <row r="1142" spans="1:45" ht="15">
      <c r="A1142" s="587" t="s">
        <v>148</v>
      </c>
      <c r="B1142" s="587" t="s">
        <v>324</v>
      </c>
      <c r="C1142" s="587" t="s">
        <v>177</v>
      </c>
      <c r="D1142" s="588">
        <v>2017</v>
      </c>
      <c r="E1142" s="587" t="s">
        <v>775</v>
      </c>
      <c r="F1142" s="588">
        <v>398</v>
      </c>
      <c r="G1142" s="588">
        <v>0</v>
      </c>
      <c r="H1142" s="588">
        <v>0</v>
      </c>
      <c r="I1142" s="588">
        <v>0</v>
      </c>
      <c r="J1142" s="588">
        <v>239</v>
      </c>
      <c r="K1142" s="588">
        <v>6</v>
      </c>
      <c r="L1142" s="588">
        <v>0</v>
      </c>
      <c r="M1142" s="588">
        <v>6</v>
      </c>
      <c r="N1142" s="588">
        <v>183</v>
      </c>
      <c r="O1142" s="588">
        <v>79</v>
      </c>
      <c r="P1142" s="588">
        <v>349</v>
      </c>
      <c r="Q1142" s="588">
        <v>0</v>
      </c>
      <c r="R1142" s="588">
        <v>1169</v>
      </c>
      <c r="S1142" s="588">
        <v>85</v>
      </c>
      <c r="T1142" s="588">
        <v>2017</v>
      </c>
      <c r="U1142" s="588">
        <v>2016</v>
      </c>
      <c r="V1142" s="589"/>
      <c r="W1142" s="589"/>
      <c r="X1142" s="589"/>
      <c r="Y1142" s="589"/>
      <c r="Z1142" s="589"/>
      <c r="AA1142" s="589"/>
      <c r="AB1142" s="589"/>
      <c r="AC1142" s="589"/>
      <c r="AD1142" s="589"/>
      <c r="AE1142" s="589"/>
      <c r="AF1142" s="589"/>
      <c r="AG1142" s="589"/>
      <c r="AH1142" s="589"/>
      <c r="AI1142" s="589"/>
      <c r="AJ1142" s="589"/>
      <c r="AK1142" s="589"/>
      <c r="AL1142" s="589"/>
      <c r="AM1142" s="589"/>
      <c r="AN1142" s="589"/>
      <c r="AO1142" s="589"/>
      <c r="AP1142" s="589"/>
      <c r="AQ1142" s="589"/>
      <c r="AR1142" s="589"/>
      <c r="AS1142" s="589"/>
    </row>
    <row r="1143" spans="1:45" ht="15">
      <c r="A1143" s="590" t="s">
        <v>183</v>
      </c>
      <c r="B1143" s="590" t="s">
        <v>617</v>
      </c>
      <c r="C1143" s="590" t="s">
        <v>784</v>
      </c>
      <c r="D1143" s="593">
        <v>2017</v>
      </c>
      <c r="E1143" s="590" t="s">
        <v>775</v>
      </c>
      <c r="F1143" s="593">
        <v>98</v>
      </c>
      <c r="G1143" s="593">
        <v>0</v>
      </c>
      <c r="H1143" s="593">
        <v>0</v>
      </c>
      <c r="I1143" s="593">
        <v>0</v>
      </c>
      <c r="J1143" s="593">
        <v>62</v>
      </c>
      <c r="K1143" s="593">
        <v>0</v>
      </c>
      <c r="L1143" s="593">
        <v>0</v>
      </c>
      <c r="M1143" s="593">
        <v>0</v>
      </c>
      <c r="N1143" s="593">
        <v>69</v>
      </c>
      <c r="O1143" s="593">
        <v>1</v>
      </c>
      <c r="P1143" s="593">
        <v>164</v>
      </c>
      <c r="Q1143" s="593">
        <v>76</v>
      </c>
      <c r="R1143" s="593">
        <v>393</v>
      </c>
      <c r="S1143" s="593">
        <v>77</v>
      </c>
      <c r="T1143" s="593">
        <v>2017</v>
      </c>
      <c r="U1143" s="593">
        <v>2014</v>
      </c>
      <c r="V1143" s="589"/>
      <c r="W1143" s="589"/>
      <c r="X1143" s="589"/>
      <c r="Y1143" s="589"/>
      <c r="Z1143" s="589"/>
      <c r="AA1143" s="589"/>
      <c r="AB1143" s="589"/>
      <c r="AC1143" s="589"/>
      <c r="AD1143" s="589"/>
      <c r="AE1143" s="589"/>
      <c r="AF1143" s="589"/>
      <c r="AG1143" s="589"/>
      <c r="AH1143" s="589"/>
      <c r="AI1143" s="589"/>
      <c r="AJ1143" s="589"/>
      <c r="AK1143" s="589"/>
      <c r="AL1143" s="589"/>
      <c r="AM1143" s="589"/>
      <c r="AN1143" s="589"/>
      <c r="AO1143" s="589"/>
      <c r="AP1143" s="589"/>
      <c r="AQ1143" s="589"/>
      <c r="AR1143" s="589"/>
      <c r="AS1143" s="589"/>
    </row>
    <row r="1144" spans="1:45" ht="15">
      <c r="A1144" s="587" t="s">
        <v>184</v>
      </c>
      <c r="B1144" s="587" t="s">
        <v>623</v>
      </c>
      <c r="C1144" s="587" t="s">
        <v>774</v>
      </c>
      <c r="D1144" s="588">
        <v>2017</v>
      </c>
      <c r="E1144" s="587" t="s">
        <v>775</v>
      </c>
      <c r="F1144" s="588">
        <v>35</v>
      </c>
      <c r="G1144" s="588">
        <v>6</v>
      </c>
      <c r="H1144" s="588">
        <v>0</v>
      </c>
      <c r="I1144" s="588">
        <v>6</v>
      </c>
      <c r="J1144" s="588">
        <v>26</v>
      </c>
      <c r="K1144" s="588">
        <v>5</v>
      </c>
      <c r="L1144" s="588">
        <v>0</v>
      </c>
      <c r="M1144" s="588">
        <v>5</v>
      </c>
      <c r="N1144" s="588">
        <v>29</v>
      </c>
      <c r="O1144" s="588">
        <v>0</v>
      </c>
      <c r="P1144" s="588">
        <v>3</v>
      </c>
      <c r="Q1144" s="588">
        <v>25</v>
      </c>
      <c r="R1144" s="588">
        <v>93</v>
      </c>
      <c r="S1144" s="588">
        <v>36</v>
      </c>
      <c r="T1144" s="588">
        <v>2017</v>
      </c>
      <c r="U1144" s="588">
        <v>2015</v>
      </c>
      <c r="V1144" s="589"/>
      <c r="W1144" s="589"/>
      <c r="X1144" s="589"/>
      <c r="Y1144" s="589"/>
      <c r="Z1144" s="589"/>
      <c r="AA1144" s="589"/>
      <c r="AB1144" s="589"/>
      <c r="AC1144" s="589"/>
      <c r="AD1144" s="589"/>
      <c r="AE1144" s="589"/>
      <c r="AF1144" s="589"/>
      <c r="AG1144" s="589"/>
      <c r="AH1144" s="589"/>
      <c r="AI1144" s="589"/>
      <c r="AJ1144" s="589"/>
      <c r="AK1144" s="589"/>
      <c r="AL1144" s="589"/>
      <c r="AM1144" s="589"/>
      <c r="AN1144" s="589"/>
      <c r="AO1144" s="589"/>
      <c r="AP1144" s="589"/>
      <c r="AQ1144" s="589"/>
      <c r="AR1144" s="589"/>
      <c r="AS1144" s="589"/>
    </row>
    <row r="1145" spans="1:45" ht="15">
      <c r="A1145" s="590" t="s">
        <v>160</v>
      </c>
      <c r="B1145" s="590" t="s">
        <v>454</v>
      </c>
      <c r="C1145" s="590" t="s">
        <v>828</v>
      </c>
      <c r="D1145" s="593">
        <v>2017</v>
      </c>
      <c r="E1145" s="590" t="s">
        <v>775</v>
      </c>
      <c r="F1145" s="593">
        <v>429</v>
      </c>
      <c r="G1145" s="593">
        <v>0</v>
      </c>
      <c r="H1145" s="593">
        <v>0</v>
      </c>
      <c r="I1145" s="593">
        <v>0</v>
      </c>
      <c r="J1145" s="593">
        <v>307</v>
      </c>
      <c r="K1145" s="593">
        <v>0</v>
      </c>
      <c r="L1145" s="593">
        <v>0</v>
      </c>
      <c r="M1145" s="593">
        <v>0</v>
      </c>
      <c r="N1145" s="593">
        <v>281</v>
      </c>
      <c r="O1145" s="593">
        <v>0</v>
      </c>
      <c r="P1145" s="593">
        <v>748</v>
      </c>
      <c r="Q1145" s="593">
        <v>133</v>
      </c>
      <c r="R1145" s="593">
        <v>1765</v>
      </c>
      <c r="S1145" s="593">
        <v>133</v>
      </c>
      <c r="T1145" s="593">
        <v>2017</v>
      </c>
      <c r="U1145" s="593">
        <v>2016</v>
      </c>
      <c r="V1145" s="589"/>
      <c r="W1145" s="589"/>
      <c r="X1145" s="589"/>
      <c r="Y1145" s="589"/>
      <c r="Z1145" s="589"/>
      <c r="AA1145" s="589"/>
      <c r="AB1145" s="589"/>
      <c r="AC1145" s="589"/>
      <c r="AD1145" s="589"/>
      <c r="AE1145" s="589"/>
      <c r="AF1145" s="589"/>
      <c r="AG1145" s="589"/>
      <c r="AH1145" s="589"/>
      <c r="AI1145" s="589"/>
      <c r="AJ1145" s="589"/>
      <c r="AK1145" s="589"/>
      <c r="AL1145" s="589"/>
      <c r="AM1145" s="589"/>
      <c r="AN1145" s="589"/>
      <c r="AO1145" s="589"/>
      <c r="AP1145" s="589"/>
      <c r="AQ1145" s="589"/>
      <c r="AR1145" s="589"/>
      <c r="AS1145" s="589"/>
    </row>
    <row r="1146" spans="1:45" ht="15">
      <c r="A1146" s="587" t="s">
        <v>170</v>
      </c>
      <c r="B1146" s="587" t="s">
        <v>519</v>
      </c>
      <c r="C1146" s="587" t="s">
        <v>799</v>
      </c>
      <c r="D1146" s="588">
        <v>2017</v>
      </c>
      <c r="E1146" s="587" t="s">
        <v>775</v>
      </c>
      <c r="F1146" s="588">
        <v>74</v>
      </c>
      <c r="G1146" s="588">
        <v>0</v>
      </c>
      <c r="H1146" s="588">
        <v>0</v>
      </c>
      <c r="I1146" s="588">
        <v>0</v>
      </c>
      <c r="J1146" s="588">
        <v>52</v>
      </c>
      <c r="K1146" s="588">
        <v>0</v>
      </c>
      <c r="L1146" s="588">
        <v>0</v>
      </c>
      <c r="M1146" s="588">
        <v>0</v>
      </c>
      <c r="N1146" s="588">
        <v>57</v>
      </c>
      <c r="O1146" s="588">
        <v>22</v>
      </c>
      <c r="P1146" s="588">
        <v>125</v>
      </c>
      <c r="Q1146" s="588">
        <v>17</v>
      </c>
      <c r="R1146" s="588">
        <v>308</v>
      </c>
      <c r="S1146" s="588">
        <v>39</v>
      </c>
      <c r="T1146" s="588">
        <v>2017</v>
      </c>
      <c r="U1146" s="588">
        <v>2014</v>
      </c>
      <c r="V1146" s="589"/>
      <c r="W1146" s="589"/>
      <c r="X1146" s="589"/>
      <c r="Y1146" s="589"/>
      <c r="Z1146" s="589"/>
      <c r="AA1146" s="589"/>
      <c r="AB1146" s="589"/>
      <c r="AC1146" s="589"/>
      <c r="AD1146" s="589"/>
      <c r="AE1146" s="589"/>
      <c r="AF1146" s="589"/>
      <c r="AG1146" s="589"/>
      <c r="AH1146" s="589"/>
      <c r="AI1146" s="589"/>
      <c r="AJ1146" s="589"/>
      <c r="AK1146" s="589"/>
      <c r="AL1146" s="589"/>
      <c r="AM1146" s="589"/>
      <c r="AN1146" s="589"/>
      <c r="AO1146" s="589"/>
      <c r="AP1146" s="589"/>
      <c r="AQ1146" s="589"/>
      <c r="AR1146" s="589"/>
      <c r="AS1146" s="589"/>
    </row>
    <row r="1147" spans="1:45" ht="15">
      <c r="A1147" s="590" t="s">
        <v>153</v>
      </c>
      <c r="B1147" s="590" t="s">
        <v>350</v>
      </c>
      <c r="C1147" s="590" t="s">
        <v>812</v>
      </c>
      <c r="D1147" s="593">
        <v>2017</v>
      </c>
      <c r="E1147" s="590" t="s">
        <v>775</v>
      </c>
      <c r="F1147" s="593">
        <v>20</v>
      </c>
      <c r="G1147" s="593">
        <v>0</v>
      </c>
      <c r="H1147" s="593">
        <v>0</v>
      </c>
      <c r="I1147" s="593">
        <v>0</v>
      </c>
      <c r="J1147" s="593">
        <v>12</v>
      </c>
      <c r="K1147" s="593">
        <v>0</v>
      </c>
      <c r="L1147" s="593">
        <v>0</v>
      </c>
      <c r="M1147" s="593">
        <v>0</v>
      </c>
      <c r="N1147" s="593">
        <v>14</v>
      </c>
      <c r="O1147" s="593">
        <v>0</v>
      </c>
      <c r="P1147" s="593">
        <v>34</v>
      </c>
      <c r="Q1147" s="593">
        <v>1</v>
      </c>
      <c r="R1147" s="593">
        <v>80</v>
      </c>
      <c r="S1147" s="593">
        <v>1</v>
      </c>
      <c r="T1147" s="593">
        <v>2017</v>
      </c>
      <c r="U1147" s="593">
        <v>2014</v>
      </c>
      <c r="V1147" s="589"/>
      <c r="W1147" s="589"/>
      <c r="X1147" s="589"/>
      <c r="Y1147" s="589"/>
      <c r="Z1147" s="589"/>
      <c r="AA1147" s="589"/>
      <c r="AB1147" s="589"/>
      <c r="AC1147" s="589"/>
      <c r="AD1147" s="589"/>
      <c r="AE1147" s="589"/>
      <c r="AF1147" s="589"/>
      <c r="AG1147" s="589"/>
      <c r="AH1147" s="589"/>
      <c r="AI1147" s="589"/>
      <c r="AJ1147" s="589"/>
      <c r="AK1147" s="589"/>
      <c r="AL1147" s="589"/>
      <c r="AM1147" s="589"/>
      <c r="AN1147" s="589"/>
      <c r="AO1147" s="589"/>
      <c r="AP1147" s="589"/>
      <c r="AQ1147" s="589"/>
      <c r="AR1147" s="589"/>
      <c r="AS1147" s="589"/>
    </row>
    <row r="1148" spans="1:45" ht="15">
      <c r="A1148" s="587" t="s">
        <v>149</v>
      </c>
      <c r="B1148" s="587" t="s">
        <v>336</v>
      </c>
      <c r="C1148" s="587" t="s">
        <v>819</v>
      </c>
      <c r="D1148" s="588">
        <v>2017</v>
      </c>
      <c r="E1148" s="587" t="s">
        <v>775</v>
      </c>
      <c r="F1148" s="588">
        <v>145</v>
      </c>
      <c r="G1148" s="588">
        <v>0</v>
      </c>
      <c r="H1148" s="588">
        <v>0</v>
      </c>
      <c r="I1148" s="588">
        <v>0</v>
      </c>
      <c r="J1148" s="588">
        <v>108</v>
      </c>
      <c r="K1148" s="588">
        <v>2</v>
      </c>
      <c r="L1148" s="588">
        <v>2</v>
      </c>
      <c r="M1148" s="588">
        <v>0</v>
      </c>
      <c r="N1148" s="588">
        <v>115</v>
      </c>
      <c r="O1148" s="588">
        <v>6</v>
      </c>
      <c r="P1148" s="588">
        <v>271</v>
      </c>
      <c r="Q1148" s="588">
        <v>0</v>
      </c>
      <c r="R1148" s="588">
        <v>639</v>
      </c>
      <c r="S1148" s="588">
        <v>8</v>
      </c>
      <c r="T1148" s="588">
        <v>2017</v>
      </c>
      <c r="U1148" s="588">
        <v>2016</v>
      </c>
      <c r="V1148" s="589"/>
      <c r="W1148" s="589"/>
      <c r="X1148" s="589"/>
      <c r="Y1148" s="589"/>
      <c r="Z1148" s="589"/>
      <c r="AA1148" s="589"/>
      <c r="AB1148" s="589"/>
      <c r="AC1148" s="589"/>
      <c r="AD1148" s="589"/>
      <c r="AE1148" s="589"/>
      <c r="AF1148" s="589"/>
      <c r="AG1148" s="589"/>
      <c r="AH1148" s="589"/>
      <c r="AI1148" s="589"/>
      <c r="AJ1148" s="589"/>
      <c r="AK1148" s="589"/>
      <c r="AL1148" s="589"/>
      <c r="AM1148" s="589"/>
      <c r="AN1148" s="589"/>
      <c r="AO1148" s="589"/>
      <c r="AP1148" s="589"/>
      <c r="AQ1148" s="589"/>
      <c r="AR1148" s="589"/>
      <c r="AS1148" s="589"/>
    </row>
    <row r="1149" spans="1:45" ht="15">
      <c r="A1149" s="590" t="s">
        <v>153</v>
      </c>
      <c r="B1149" s="590" t="s">
        <v>351</v>
      </c>
      <c r="C1149" s="590" t="s">
        <v>812</v>
      </c>
      <c r="D1149" s="593">
        <v>2017</v>
      </c>
      <c r="E1149" s="590" t="s">
        <v>775</v>
      </c>
      <c r="F1149" s="593">
        <v>198</v>
      </c>
      <c r="G1149" s="593">
        <v>0</v>
      </c>
      <c r="H1149" s="593">
        <v>0</v>
      </c>
      <c r="I1149" s="593">
        <v>0</v>
      </c>
      <c r="J1149" s="593">
        <v>118</v>
      </c>
      <c r="K1149" s="593">
        <v>0</v>
      </c>
      <c r="L1149" s="593">
        <v>0</v>
      </c>
      <c r="M1149" s="593">
        <v>0</v>
      </c>
      <c r="N1149" s="593">
        <v>127</v>
      </c>
      <c r="O1149" s="593">
        <v>158</v>
      </c>
      <c r="P1149" s="593">
        <v>336</v>
      </c>
      <c r="Q1149" s="593">
        <v>0</v>
      </c>
      <c r="R1149" s="593">
        <v>779</v>
      </c>
      <c r="S1149" s="593">
        <v>158</v>
      </c>
      <c r="T1149" s="593">
        <v>2017</v>
      </c>
      <c r="U1149" s="593">
        <v>2014</v>
      </c>
      <c r="V1149" s="589"/>
      <c r="W1149" s="589"/>
      <c r="X1149" s="589"/>
      <c r="Y1149" s="589"/>
      <c r="Z1149" s="589"/>
      <c r="AA1149" s="589"/>
      <c r="AB1149" s="589"/>
      <c r="AC1149" s="589"/>
      <c r="AD1149" s="589"/>
      <c r="AE1149" s="589"/>
      <c r="AF1149" s="589"/>
      <c r="AG1149" s="589"/>
      <c r="AH1149" s="589"/>
      <c r="AI1149" s="589"/>
      <c r="AJ1149" s="589"/>
      <c r="AK1149" s="589"/>
      <c r="AL1149" s="589"/>
      <c r="AM1149" s="589"/>
      <c r="AN1149" s="589"/>
      <c r="AO1149" s="589"/>
      <c r="AP1149" s="589"/>
      <c r="AQ1149" s="589"/>
      <c r="AR1149" s="589"/>
      <c r="AS1149" s="589"/>
    </row>
    <row r="1150" spans="1:45" ht="15">
      <c r="A1150" s="587" t="s">
        <v>148</v>
      </c>
      <c r="B1150" s="587" t="s">
        <v>325</v>
      </c>
      <c r="C1150" s="587" t="s">
        <v>177</v>
      </c>
      <c r="D1150" s="588">
        <v>2017</v>
      </c>
      <c r="E1150" s="587" t="s">
        <v>775</v>
      </c>
      <c r="F1150" s="588">
        <v>9706</v>
      </c>
      <c r="G1150" s="588">
        <v>182</v>
      </c>
      <c r="H1150" s="588">
        <v>182</v>
      </c>
      <c r="I1150" s="588">
        <v>0</v>
      </c>
      <c r="J1150" s="588">
        <v>5800</v>
      </c>
      <c r="K1150" s="588">
        <v>76</v>
      </c>
      <c r="L1150" s="588">
        <v>76</v>
      </c>
      <c r="M1150" s="588">
        <v>0</v>
      </c>
      <c r="N1150" s="588">
        <v>6453</v>
      </c>
      <c r="O1150" s="588">
        <v>4388</v>
      </c>
      <c r="P1150" s="588">
        <v>14331</v>
      </c>
      <c r="Q1150" s="588">
        <v>3117</v>
      </c>
      <c r="R1150" s="588">
        <v>36290</v>
      </c>
      <c r="S1150" s="588">
        <v>7763</v>
      </c>
      <c r="T1150" s="588">
        <v>2017</v>
      </c>
      <c r="U1150" s="588">
        <v>2016</v>
      </c>
      <c r="V1150" s="589"/>
      <c r="W1150" s="589"/>
      <c r="X1150" s="589"/>
      <c r="Y1150" s="589"/>
      <c r="Z1150" s="589"/>
      <c r="AA1150" s="589"/>
      <c r="AB1150" s="589"/>
      <c r="AC1150" s="589"/>
      <c r="AD1150" s="589"/>
      <c r="AE1150" s="589"/>
      <c r="AF1150" s="589"/>
      <c r="AG1150" s="589"/>
      <c r="AH1150" s="589"/>
      <c r="AI1150" s="589"/>
      <c r="AJ1150" s="589"/>
      <c r="AK1150" s="589"/>
      <c r="AL1150" s="589"/>
      <c r="AM1150" s="589"/>
      <c r="AN1150" s="589"/>
      <c r="AO1150" s="589"/>
      <c r="AP1150" s="589"/>
      <c r="AQ1150" s="589"/>
      <c r="AR1150" s="589"/>
      <c r="AS1150" s="589"/>
    </row>
    <row r="1151" spans="1:45" ht="15">
      <c r="A1151" s="590" t="s">
        <v>153</v>
      </c>
      <c r="B1151" s="590" t="s">
        <v>352</v>
      </c>
      <c r="C1151" s="590" t="s">
        <v>812</v>
      </c>
      <c r="D1151" s="593">
        <v>2017</v>
      </c>
      <c r="E1151" s="590" t="s">
        <v>775</v>
      </c>
      <c r="F1151" s="593">
        <v>142</v>
      </c>
      <c r="G1151" s="593">
        <v>0</v>
      </c>
      <c r="H1151" s="593">
        <v>0</v>
      </c>
      <c r="I1151" s="593">
        <v>0</v>
      </c>
      <c r="J1151" s="593">
        <v>83</v>
      </c>
      <c r="K1151" s="593">
        <v>0</v>
      </c>
      <c r="L1151" s="593">
        <v>0</v>
      </c>
      <c r="M1151" s="593">
        <v>0</v>
      </c>
      <c r="N1151" s="593">
        <v>90</v>
      </c>
      <c r="O1151" s="593">
        <v>1</v>
      </c>
      <c r="P1151" s="593">
        <v>242</v>
      </c>
      <c r="Q1151" s="593">
        <v>56</v>
      </c>
      <c r="R1151" s="593">
        <v>557</v>
      </c>
      <c r="S1151" s="593">
        <v>57</v>
      </c>
      <c r="T1151" s="593">
        <v>2017</v>
      </c>
      <c r="U1151" s="593">
        <v>2014</v>
      </c>
      <c r="V1151" s="589"/>
      <c r="W1151" s="589"/>
      <c r="X1151" s="589"/>
      <c r="Y1151" s="589"/>
      <c r="Z1151" s="589"/>
      <c r="AA1151" s="589"/>
      <c r="AB1151" s="589"/>
      <c r="AC1151" s="589"/>
      <c r="AD1151" s="589"/>
      <c r="AE1151" s="589"/>
      <c r="AF1151" s="589"/>
      <c r="AG1151" s="589"/>
      <c r="AH1151" s="589"/>
      <c r="AI1151" s="589"/>
      <c r="AJ1151" s="589"/>
      <c r="AK1151" s="589"/>
      <c r="AL1151" s="589"/>
      <c r="AM1151" s="589"/>
      <c r="AN1151" s="589"/>
      <c r="AO1151" s="589"/>
      <c r="AP1151" s="589"/>
      <c r="AQ1151" s="589"/>
      <c r="AR1151" s="589"/>
      <c r="AS1151" s="589"/>
    </row>
    <row r="1152" spans="1:45" ht="15">
      <c r="A1152" s="587" t="s">
        <v>173</v>
      </c>
      <c r="B1152" s="587" t="s">
        <v>528</v>
      </c>
      <c r="C1152" s="587" t="s">
        <v>812</v>
      </c>
      <c r="D1152" s="588">
        <v>2017</v>
      </c>
      <c r="E1152" s="587" t="s">
        <v>775</v>
      </c>
      <c r="F1152" s="588">
        <v>872</v>
      </c>
      <c r="G1152" s="588">
        <v>0</v>
      </c>
      <c r="H1152" s="588">
        <v>0</v>
      </c>
      <c r="I1152" s="588">
        <v>0</v>
      </c>
      <c r="J1152" s="588">
        <v>593</v>
      </c>
      <c r="K1152" s="588">
        <v>0</v>
      </c>
      <c r="L1152" s="588">
        <v>0</v>
      </c>
      <c r="M1152" s="588">
        <v>0</v>
      </c>
      <c r="N1152" s="588">
        <v>685</v>
      </c>
      <c r="O1152" s="588">
        <v>0</v>
      </c>
      <c r="P1152" s="588">
        <v>1642</v>
      </c>
      <c r="Q1152" s="588">
        <v>0</v>
      </c>
      <c r="R1152" s="588">
        <v>3792</v>
      </c>
      <c r="S1152" s="588">
        <v>0</v>
      </c>
      <c r="T1152" s="588">
        <v>2017</v>
      </c>
      <c r="U1152" s="588">
        <v>2014</v>
      </c>
      <c r="V1152" s="589"/>
      <c r="W1152" s="589"/>
      <c r="X1152" s="589"/>
      <c r="Y1152" s="589"/>
      <c r="Z1152" s="589"/>
      <c r="AA1152" s="589"/>
      <c r="AB1152" s="589"/>
      <c r="AC1152" s="589"/>
      <c r="AD1152" s="589"/>
      <c r="AE1152" s="589"/>
      <c r="AF1152" s="589"/>
      <c r="AG1152" s="589"/>
      <c r="AH1152" s="589"/>
      <c r="AI1152" s="589"/>
      <c r="AJ1152" s="589"/>
      <c r="AK1152" s="589"/>
      <c r="AL1152" s="589"/>
      <c r="AM1152" s="589"/>
      <c r="AN1152" s="589"/>
      <c r="AO1152" s="589"/>
      <c r="AP1152" s="589"/>
      <c r="AQ1152" s="589"/>
      <c r="AR1152" s="589"/>
      <c r="AS1152" s="589"/>
    </row>
    <row r="1153" spans="1:45" ht="15">
      <c r="A1153" s="590" t="s">
        <v>178</v>
      </c>
      <c r="B1153" s="590" t="s">
        <v>568</v>
      </c>
      <c r="C1153" s="590" t="s">
        <v>812</v>
      </c>
      <c r="D1153" s="593">
        <v>2017</v>
      </c>
      <c r="E1153" s="590" t="s">
        <v>775</v>
      </c>
      <c r="F1153" s="593">
        <v>188</v>
      </c>
      <c r="G1153" s="593">
        <v>0</v>
      </c>
      <c r="H1153" s="593">
        <v>0</v>
      </c>
      <c r="I1153" s="593">
        <v>0</v>
      </c>
      <c r="J1153" s="593">
        <v>138</v>
      </c>
      <c r="K1153" s="593">
        <v>0</v>
      </c>
      <c r="L1153" s="593">
        <v>0</v>
      </c>
      <c r="M1153" s="593">
        <v>0</v>
      </c>
      <c r="N1153" s="593">
        <v>154</v>
      </c>
      <c r="O1153" s="593">
        <v>2</v>
      </c>
      <c r="P1153" s="593">
        <v>363</v>
      </c>
      <c r="Q1153" s="593">
        <v>1</v>
      </c>
      <c r="R1153" s="593">
        <v>843</v>
      </c>
      <c r="S1153" s="593">
        <v>3</v>
      </c>
      <c r="T1153" s="593">
        <v>2017</v>
      </c>
      <c r="U1153" s="593">
        <v>2014</v>
      </c>
      <c r="V1153" s="589"/>
      <c r="W1153" s="589"/>
      <c r="X1153" s="589"/>
      <c r="Y1153" s="589"/>
      <c r="Z1153" s="589"/>
      <c r="AA1153" s="589"/>
      <c r="AB1153" s="589"/>
      <c r="AC1153" s="589"/>
      <c r="AD1153" s="589"/>
      <c r="AE1153" s="589"/>
      <c r="AF1153" s="589"/>
      <c r="AG1153" s="589"/>
      <c r="AH1153" s="589"/>
      <c r="AI1153" s="589"/>
      <c r="AJ1153" s="589"/>
      <c r="AK1153" s="589"/>
      <c r="AL1153" s="589"/>
      <c r="AM1153" s="589"/>
      <c r="AN1153" s="589"/>
      <c r="AO1153" s="589"/>
      <c r="AP1153" s="589"/>
      <c r="AQ1153" s="589"/>
      <c r="AR1153" s="589"/>
      <c r="AS1153" s="589"/>
    </row>
    <row r="1154" spans="1:45" ht="15">
      <c r="A1154" s="587" t="s">
        <v>173</v>
      </c>
      <c r="B1154" s="587" t="s">
        <v>529</v>
      </c>
      <c r="C1154" s="587" t="s">
        <v>812</v>
      </c>
      <c r="D1154" s="588">
        <v>2017</v>
      </c>
      <c r="E1154" s="587" t="s">
        <v>775</v>
      </c>
      <c r="F1154" s="588">
        <v>1267</v>
      </c>
      <c r="G1154" s="588">
        <v>0</v>
      </c>
      <c r="H1154" s="588">
        <v>0</v>
      </c>
      <c r="I1154" s="588">
        <v>0</v>
      </c>
      <c r="J1154" s="588">
        <v>854</v>
      </c>
      <c r="K1154" s="588">
        <v>0</v>
      </c>
      <c r="L1154" s="588">
        <v>0</v>
      </c>
      <c r="M1154" s="588">
        <v>0</v>
      </c>
      <c r="N1154" s="588">
        <v>969</v>
      </c>
      <c r="O1154" s="588">
        <v>323</v>
      </c>
      <c r="P1154" s="588">
        <v>2160</v>
      </c>
      <c r="Q1154" s="588">
        <v>423</v>
      </c>
      <c r="R1154" s="588">
        <v>5250</v>
      </c>
      <c r="S1154" s="588">
        <v>746</v>
      </c>
      <c r="T1154" s="588">
        <v>2017</v>
      </c>
      <c r="U1154" s="588">
        <v>2014</v>
      </c>
      <c r="V1154" s="589"/>
      <c r="W1154" s="589"/>
      <c r="X1154" s="589"/>
      <c r="Y1154" s="589"/>
      <c r="Z1154" s="589"/>
      <c r="AA1154" s="589"/>
      <c r="AB1154" s="589"/>
      <c r="AC1154" s="589"/>
      <c r="AD1154" s="589"/>
      <c r="AE1154" s="589"/>
      <c r="AF1154" s="589"/>
      <c r="AG1154" s="589"/>
      <c r="AH1154" s="589"/>
      <c r="AI1154" s="589"/>
      <c r="AJ1154" s="589"/>
      <c r="AK1154" s="589"/>
      <c r="AL1154" s="589"/>
      <c r="AM1154" s="589"/>
      <c r="AN1154" s="589"/>
      <c r="AO1154" s="589"/>
      <c r="AP1154" s="589"/>
      <c r="AQ1154" s="589"/>
      <c r="AR1154" s="589"/>
      <c r="AS1154" s="589"/>
    </row>
    <row r="1155" spans="1:45" ht="15">
      <c r="A1155" s="590" t="s">
        <v>153</v>
      </c>
      <c r="B1155" s="590" t="s">
        <v>353</v>
      </c>
      <c r="C1155" s="590" t="s">
        <v>812</v>
      </c>
      <c r="D1155" s="593">
        <v>2017</v>
      </c>
      <c r="E1155" s="590" t="s">
        <v>775</v>
      </c>
      <c r="F1155" s="593">
        <v>11</v>
      </c>
      <c r="G1155" s="593">
        <v>65</v>
      </c>
      <c r="H1155" s="593">
        <v>65</v>
      </c>
      <c r="I1155" s="593">
        <v>0</v>
      </c>
      <c r="J1155" s="593">
        <v>7</v>
      </c>
      <c r="K1155" s="593">
        <v>0</v>
      </c>
      <c r="L1155" s="593">
        <v>0</v>
      </c>
      <c r="M1155" s="593">
        <v>0</v>
      </c>
      <c r="N1155" s="593">
        <v>8</v>
      </c>
      <c r="O1155" s="593">
        <v>0</v>
      </c>
      <c r="P1155" s="593">
        <v>21</v>
      </c>
      <c r="Q1155" s="593">
        <v>62</v>
      </c>
      <c r="R1155" s="593">
        <v>47</v>
      </c>
      <c r="S1155" s="593">
        <v>127</v>
      </c>
      <c r="T1155" s="593">
        <v>2017</v>
      </c>
      <c r="U1155" s="593">
        <v>2014</v>
      </c>
      <c r="V1155" s="589"/>
      <c r="W1155" s="589"/>
      <c r="X1155" s="589"/>
      <c r="Y1155" s="589"/>
      <c r="Z1155" s="589"/>
      <c r="AA1155" s="589"/>
      <c r="AB1155" s="589"/>
      <c r="AC1155" s="589"/>
      <c r="AD1155" s="589"/>
      <c r="AE1155" s="589"/>
      <c r="AF1155" s="589"/>
      <c r="AG1155" s="589"/>
      <c r="AH1155" s="589"/>
      <c r="AI1155" s="589"/>
      <c r="AJ1155" s="589"/>
      <c r="AK1155" s="589"/>
      <c r="AL1155" s="589"/>
      <c r="AM1155" s="589"/>
      <c r="AN1155" s="589"/>
      <c r="AO1155" s="589"/>
      <c r="AP1155" s="589"/>
      <c r="AQ1155" s="589"/>
      <c r="AR1155" s="589"/>
      <c r="AS1155" s="589"/>
    </row>
    <row r="1156" spans="1:45" ht="15">
      <c r="A1156" s="587" t="s">
        <v>153</v>
      </c>
      <c r="B1156" s="587" t="s">
        <v>354</v>
      </c>
      <c r="C1156" s="587" t="s">
        <v>812</v>
      </c>
      <c r="D1156" s="588">
        <v>2017</v>
      </c>
      <c r="E1156" s="587" t="s">
        <v>775</v>
      </c>
      <c r="F1156" s="588">
        <v>11</v>
      </c>
      <c r="G1156" s="588">
        <v>0</v>
      </c>
      <c r="H1156" s="588">
        <v>0</v>
      </c>
      <c r="I1156" s="588">
        <v>0</v>
      </c>
      <c r="J1156" s="588">
        <v>7</v>
      </c>
      <c r="K1156" s="588">
        <v>0</v>
      </c>
      <c r="L1156" s="588">
        <v>0</v>
      </c>
      <c r="M1156" s="588">
        <v>0</v>
      </c>
      <c r="N1156" s="588">
        <v>8</v>
      </c>
      <c r="O1156" s="588">
        <v>5</v>
      </c>
      <c r="P1156" s="588">
        <v>20</v>
      </c>
      <c r="Q1156" s="588">
        <v>7</v>
      </c>
      <c r="R1156" s="588">
        <v>46</v>
      </c>
      <c r="S1156" s="588">
        <v>12</v>
      </c>
      <c r="T1156" s="588">
        <v>2017</v>
      </c>
      <c r="U1156" s="588">
        <v>2014</v>
      </c>
      <c r="V1156" s="589"/>
      <c r="W1156" s="589"/>
      <c r="X1156" s="589"/>
      <c r="Y1156" s="589"/>
      <c r="Z1156" s="589"/>
      <c r="AA1156" s="589"/>
      <c r="AB1156" s="589"/>
      <c r="AC1156" s="589"/>
      <c r="AD1156" s="589"/>
      <c r="AE1156" s="589"/>
      <c r="AF1156" s="589"/>
      <c r="AG1156" s="589"/>
      <c r="AH1156" s="589"/>
      <c r="AI1156" s="589"/>
      <c r="AJ1156" s="589"/>
      <c r="AK1156" s="589"/>
      <c r="AL1156" s="589"/>
      <c r="AM1156" s="589"/>
      <c r="AN1156" s="589"/>
      <c r="AO1156" s="589"/>
      <c r="AP1156" s="589"/>
      <c r="AQ1156" s="589"/>
      <c r="AR1156" s="589"/>
      <c r="AS1156" s="589"/>
    </row>
    <row r="1157" spans="1:45" ht="15">
      <c r="A1157" s="590" t="s">
        <v>153</v>
      </c>
      <c r="B1157" s="590" t="s">
        <v>355</v>
      </c>
      <c r="C1157" s="590" t="s">
        <v>812</v>
      </c>
      <c r="D1157" s="593">
        <v>2017</v>
      </c>
      <c r="E1157" s="590" t="s">
        <v>775</v>
      </c>
      <c r="F1157" s="593">
        <v>1</v>
      </c>
      <c r="G1157" s="593">
        <v>0</v>
      </c>
      <c r="H1157" s="593">
        <v>0</v>
      </c>
      <c r="I1157" s="593">
        <v>0</v>
      </c>
      <c r="J1157" s="593">
        <v>1</v>
      </c>
      <c r="K1157" s="593">
        <v>0</v>
      </c>
      <c r="L1157" s="593">
        <v>0</v>
      </c>
      <c r="M1157" s="593">
        <v>0</v>
      </c>
      <c r="N1157" s="593">
        <v>0</v>
      </c>
      <c r="O1157" s="593">
        <v>0</v>
      </c>
      <c r="P1157" s="593">
        <v>0</v>
      </c>
      <c r="Q1157" s="593">
        <v>64</v>
      </c>
      <c r="R1157" s="593">
        <v>2</v>
      </c>
      <c r="S1157" s="593">
        <v>64</v>
      </c>
      <c r="T1157" s="593">
        <v>2017</v>
      </c>
      <c r="U1157" s="593">
        <v>2014</v>
      </c>
      <c r="V1157" s="589"/>
      <c r="W1157" s="589"/>
      <c r="X1157" s="589"/>
      <c r="Y1157" s="589"/>
      <c r="Z1157" s="589"/>
      <c r="AA1157" s="589"/>
      <c r="AB1157" s="589"/>
      <c r="AC1157" s="589"/>
      <c r="AD1157" s="589"/>
      <c r="AE1157" s="589"/>
      <c r="AF1157" s="589"/>
      <c r="AG1157" s="589"/>
      <c r="AH1157" s="589"/>
      <c r="AI1157" s="589"/>
      <c r="AJ1157" s="589"/>
      <c r="AK1157" s="589"/>
      <c r="AL1157" s="589"/>
      <c r="AM1157" s="589"/>
      <c r="AN1157" s="589"/>
      <c r="AO1157" s="589"/>
      <c r="AP1157" s="589"/>
      <c r="AQ1157" s="589"/>
      <c r="AR1157" s="589"/>
      <c r="AS1157" s="589"/>
    </row>
    <row r="1158" spans="1:45" ht="15">
      <c r="A1158" s="587" t="s">
        <v>184</v>
      </c>
      <c r="B1158" s="587" t="s">
        <v>624</v>
      </c>
      <c r="C1158" s="587" t="s">
        <v>774</v>
      </c>
      <c r="D1158" s="588">
        <v>2017</v>
      </c>
      <c r="E1158" s="587" t="s">
        <v>775</v>
      </c>
      <c r="F1158" s="588">
        <v>116</v>
      </c>
      <c r="G1158" s="588">
        <v>0</v>
      </c>
      <c r="H1158" s="588">
        <v>0</v>
      </c>
      <c r="I1158" s="588">
        <v>0</v>
      </c>
      <c r="J1158" s="588">
        <v>63</v>
      </c>
      <c r="K1158" s="588">
        <v>0</v>
      </c>
      <c r="L1158" s="588">
        <v>0</v>
      </c>
      <c r="M1158" s="588">
        <v>0</v>
      </c>
      <c r="N1158" s="588">
        <v>67</v>
      </c>
      <c r="O1158" s="588">
        <v>4</v>
      </c>
      <c r="P1158" s="588">
        <v>222</v>
      </c>
      <c r="Q1158" s="588">
        <v>109</v>
      </c>
      <c r="R1158" s="588">
        <v>468</v>
      </c>
      <c r="S1158" s="588">
        <v>113</v>
      </c>
      <c r="T1158" s="588">
        <v>2017</v>
      </c>
      <c r="U1158" s="588">
        <v>2015</v>
      </c>
      <c r="V1158" s="589"/>
      <c r="W1158" s="589"/>
      <c r="X1158" s="589"/>
      <c r="Y1158" s="589"/>
      <c r="Z1158" s="589"/>
      <c r="AA1158" s="589"/>
      <c r="AB1158" s="589"/>
      <c r="AC1158" s="589"/>
      <c r="AD1158" s="589"/>
      <c r="AE1158" s="589"/>
      <c r="AF1158" s="589"/>
      <c r="AG1158" s="589"/>
      <c r="AH1158" s="589"/>
      <c r="AI1158" s="589"/>
      <c r="AJ1158" s="589"/>
      <c r="AK1158" s="589"/>
      <c r="AL1158" s="589"/>
      <c r="AM1158" s="589"/>
      <c r="AN1158" s="589"/>
      <c r="AO1158" s="589"/>
      <c r="AP1158" s="589"/>
      <c r="AQ1158" s="589"/>
      <c r="AR1158" s="589"/>
      <c r="AS1158" s="589"/>
    </row>
    <row r="1159" spans="1:45" ht="15">
      <c r="A1159" s="590" t="s">
        <v>157</v>
      </c>
      <c r="B1159" s="590" t="s">
        <v>436</v>
      </c>
      <c r="C1159" s="590" t="s">
        <v>774</v>
      </c>
      <c r="D1159" s="593">
        <v>2017</v>
      </c>
      <c r="E1159" s="590" t="s">
        <v>775</v>
      </c>
      <c r="F1159" s="593">
        <v>4</v>
      </c>
      <c r="G1159" s="593">
        <v>0</v>
      </c>
      <c r="H1159" s="593">
        <v>0</v>
      </c>
      <c r="I1159" s="593">
        <v>0</v>
      </c>
      <c r="J1159" s="593">
        <v>3</v>
      </c>
      <c r="K1159" s="593">
        <v>0</v>
      </c>
      <c r="L1159" s="593">
        <v>0</v>
      </c>
      <c r="M1159" s="593">
        <v>0</v>
      </c>
      <c r="N1159" s="593">
        <v>4</v>
      </c>
      <c r="O1159" s="593">
        <v>2</v>
      </c>
      <c r="P1159" s="593">
        <v>5</v>
      </c>
      <c r="Q1159" s="593">
        <v>0</v>
      </c>
      <c r="R1159" s="593">
        <v>16</v>
      </c>
      <c r="S1159" s="593">
        <v>2</v>
      </c>
      <c r="T1159" s="593">
        <v>2017</v>
      </c>
      <c r="U1159" s="593">
        <v>2015</v>
      </c>
      <c r="V1159" s="589"/>
      <c r="W1159" s="589"/>
      <c r="X1159" s="589"/>
      <c r="Y1159" s="589"/>
      <c r="Z1159" s="589"/>
      <c r="AA1159" s="589"/>
      <c r="AB1159" s="589"/>
      <c r="AC1159" s="589"/>
      <c r="AD1159" s="589"/>
      <c r="AE1159" s="589"/>
      <c r="AF1159" s="589"/>
      <c r="AG1159" s="589"/>
      <c r="AH1159" s="589"/>
      <c r="AI1159" s="589"/>
      <c r="AJ1159" s="589"/>
      <c r="AK1159" s="589"/>
      <c r="AL1159" s="589"/>
      <c r="AM1159" s="589"/>
      <c r="AN1159" s="589"/>
      <c r="AO1159" s="589"/>
      <c r="AP1159" s="589"/>
      <c r="AQ1159" s="589"/>
      <c r="AR1159" s="589"/>
      <c r="AS1159" s="589"/>
    </row>
    <row r="1160" spans="1:45" ht="15">
      <c r="A1160" s="587" t="s">
        <v>192</v>
      </c>
      <c r="B1160" s="587" t="s">
        <v>686</v>
      </c>
      <c r="C1160" s="587" t="s">
        <v>774</v>
      </c>
      <c r="D1160" s="588">
        <v>2017</v>
      </c>
      <c r="E1160" s="587" t="s">
        <v>775</v>
      </c>
      <c r="F1160" s="588">
        <v>94</v>
      </c>
      <c r="G1160" s="588">
        <v>1</v>
      </c>
      <c r="H1160" s="588">
        <v>1</v>
      </c>
      <c r="I1160" s="588">
        <v>0</v>
      </c>
      <c r="J1160" s="588">
        <v>54</v>
      </c>
      <c r="K1160" s="588">
        <v>0</v>
      </c>
      <c r="L1160" s="588">
        <v>0</v>
      </c>
      <c r="M1160" s="588">
        <v>0</v>
      </c>
      <c r="N1160" s="588">
        <v>56</v>
      </c>
      <c r="O1160" s="588">
        <v>0</v>
      </c>
      <c r="P1160" s="588">
        <v>123</v>
      </c>
      <c r="Q1160" s="588">
        <v>8</v>
      </c>
      <c r="R1160" s="588">
        <v>327</v>
      </c>
      <c r="S1160" s="588">
        <v>9</v>
      </c>
      <c r="T1160" s="588">
        <v>2017</v>
      </c>
      <c r="U1160" s="588">
        <v>2015</v>
      </c>
      <c r="V1160" s="589"/>
      <c r="W1160" s="589"/>
      <c r="X1160" s="589"/>
      <c r="Y1160" s="589"/>
      <c r="Z1160" s="589"/>
      <c r="AA1160" s="589"/>
      <c r="AB1160" s="589"/>
      <c r="AC1160" s="589"/>
      <c r="AD1160" s="589"/>
      <c r="AE1160" s="589"/>
      <c r="AF1160" s="589"/>
      <c r="AG1160" s="589"/>
      <c r="AH1160" s="589"/>
      <c r="AI1160" s="589"/>
      <c r="AJ1160" s="589"/>
      <c r="AK1160" s="589"/>
      <c r="AL1160" s="589"/>
      <c r="AM1160" s="589"/>
      <c r="AN1160" s="589"/>
      <c r="AO1160" s="589"/>
      <c r="AP1160" s="589"/>
      <c r="AQ1160" s="589"/>
      <c r="AR1160" s="589"/>
      <c r="AS1160" s="589"/>
    </row>
    <row r="1161" spans="1:45" ht="15">
      <c r="A1161" s="590" t="s">
        <v>125</v>
      </c>
      <c r="B1161" s="590" t="s">
        <v>235</v>
      </c>
      <c r="C1161" s="590" t="s">
        <v>774</v>
      </c>
      <c r="D1161" s="593">
        <v>2017</v>
      </c>
      <c r="E1161" s="590" t="s">
        <v>775</v>
      </c>
      <c r="F1161" s="593">
        <v>532</v>
      </c>
      <c r="G1161" s="593">
        <v>10</v>
      </c>
      <c r="H1161" s="593">
        <v>10</v>
      </c>
      <c r="I1161" s="593">
        <v>0</v>
      </c>
      <c r="J1161" s="593">
        <v>442</v>
      </c>
      <c r="K1161" s="593">
        <v>0</v>
      </c>
      <c r="L1161" s="593">
        <v>0</v>
      </c>
      <c r="M1161" s="593">
        <v>0</v>
      </c>
      <c r="N1161" s="593">
        <v>584</v>
      </c>
      <c r="O1161" s="593">
        <v>0</v>
      </c>
      <c r="P1161" s="593">
        <v>1401</v>
      </c>
      <c r="Q1161" s="593">
        <v>262</v>
      </c>
      <c r="R1161" s="593">
        <v>2959</v>
      </c>
      <c r="S1161" s="593">
        <v>272</v>
      </c>
      <c r="T1161" s="593">
        <v>2017</v>
      </c>
      <c r="U1161" s="593">
        <v>2015</v>
      </c>
      <c r="V1161" s="589"/>
      <c r="W1161" s="589"/>
      <c r="X1161" s="589"/>
      <c r="Y1161" s="589"/>
      <c r="Z1161" s="589"/>
      <c r="AA1161" s="589"/>
      <c r="AB1161" s="589"/>
      <c r="AC1161" s="589"/>
      <c r="AD1161" s="589"/>
      <c r="AE1161" s="589"/>
      <c r="AF1161" s="589"/>
      <c r="AG1161" s="589"/>
      <c r="AH1161" s="589"/>
      <c r="AI1161" s="589"/>
      <c r="AJ1161" s="589"/>
      <c r="AK1161" s="589"/>
      <c r="AL1161" s="589"/>
      <c r="AM1161" s="589"/>
      <c r="AN1161" s="589"/>
      <c r="AO1161" s="589"/>
      <c r="AP1161" s="589"/>
      <c r="AQ1161" s="589"/>
      <c r="AR1161" s="589"/>
      <c r="AS1161" s="589"/>
    </row>
    <row r="1162" spans="1:45" ht="15">
      <c r="A1162" s="587" t="s">
        <v>153</v>
      </c>
      <c r="B1162" s="587" t="s">
        <v>356</v>
      </c>
      <c r="C1162" s="587" t="s">
        <v>812</v>
      </c>
      <c r="D1162" s="588">
        <v>2017</v>
      </c>
      <c r="E1162" s="587" t="s">
        <v>775</v>
      </c>
      <c r="F1162" s="588">
        <v>1</v>
      </c>
      <c r="G1162" s="588">
        <v>0</v>
      </c>
      <c r="H1162" s="588">
        <v>0</v>
      </c>
      <c r="I1162" s="588">
        <v>0</v>
      </c>
      <c r="J1162" s="588">
        <v>1</v>
      </c>
      <c r="K1162" s="588">
        <v>0</v>
      </c>
      <c r="L1162" s="588">
        <v>0</v>
      </c>
      <c r="M1162" s="588">
        <v>0</v>
      </c>
      <c r="N1162" s="588">
        <v>1</v>
      </c>
      <c r="O1162" s="588">
        <v>0</v>
      </c>
      <c r="P1162" s="588">
        <v>0</v>
      </c>
      <c r="Q1162" s="588">
        <v>16</v>
      </c>
      <c r="R1162" s="588">
        <v>3</v>
      </c>
      <c r="S1162" s="588">
        <v>16</v>
      </c>
      <c r="T1162" s="588">
        <v>2017</v>
      </c>
      <c r="U1162" s="588">
        <v>2014</v>
      </c>
      <c r="V1162" s="589"/>
      <c r="W1162" s="589"/>
      <c r="X1162" s="589"/>
      <c r="Y1162" s="589"/>
      <c r="Z1162" s="589"/>
      <c r="AA1162" s="589"/>
      <c r="AB1162" s="589"/>
      <c r="AC1162" s="589"/>
      <c r="AD1162" s="589"/>
      <c r="AE1162" s="589"/>
      <c r="AF1162" s="589"/>
      <c r="AG1162" s="589"/>
      <c r="AH1162" s="589"/>
      <c r="AI1162" s="589"/>
      <c r="AJ1162" s="589"/>
      <c r="AK1162" s="589"/>
      <c r="AL1162" s="589"/>
      <c r="AM1162" s="589"/>
      <c r="AN1162" s="589"/>
      <c r="AO1162" s="589"/>
      <c r="AP1162" s="589"/>
      <c r="AQ1162" s="589"/>
      <c r="AR1162" s="589"/>
      <c r="AS1162" s="589"/>
    </row>
    <row r="1163" spans="1:45" ht="15">
      <c r="A1163" s="590" t="s">
        <v>178</v>
      </c>
      <c r="B1163" s="590" t="s">
        <v>569</v>
      </c>
      <c r="C1163" s="590" t="s">
        <v>812</v>
      </c>
      <c r="D1163" s="593">
        <v>2017</v>
      </c>
      <c r="E1163" s="590" t="s">
        <v>775</v>
      </c>
      <c r="F1163" s="593">
        <v>1</v>
      </c>
      <c r="G1163" s="593">
        <v>0</v>
      </c>
      <c r="H1163" s="593">
        <v>0</v>
      </c>
      <c r="I1163" s="593">
        <v>0</v>
      </c>
      <c r="J1163" s="593">
        <v>1</v>
      </c>
      <c r="K1163" s="593">
        <v>0</v>
      </c>
      <c r="L1163" s="593">
        <v>0</v>
      </c>
      <c r="M1163" s="593">
        <v>0</v>
      </c>
      <c r="N1163" s="593">
        <v>0</v>
      </c>
      <c r="O1163" s="593">
        <v>4</v>
      </c>
      <c r="P1163" s="593">
        <v>0</v>
      </c>
      <c r="Q1163" s="593">
        <v>23</v>
      </c>
      <c r="R1163" s="593">
        <v>2</v>
      </c>
      <c r="S1163" s="593">
        <v>27</v>
      </c>
      <c r="T1163" s="593">
        <v>2017</v>
      </c>
      <c r="U1163" s="593">
        <v>2014</v>
      </c>
      <c r="V1163" s="589"/>
      <c r="W1163" s="589"/>
      <c r="X1163" s="589"/>
      <c r="Y1163" s="589"/>
      <c r="Z1163" s="589"/>
      <c r="AA1163" s="589"/>
      <c r="AB1163" s="589"/>
      <c r="AC1163" s="589"/>
      <c r="AD1163" s="589"/>
      <c r="AE1163" s="589"/>
      <c r="AF1163" s="589"/>
      <c r="AG1163" s="589"/>
      <c r="AH1163" s="589"/>
      <c r="AI1163" s="589"/>
      <c r="AJ1163" s="589"/>
      <c r="AK1163" s="589"/>
      <c r="AL1163" s="589"/>
      <c r="AM1163" s="589"/>
      <c r="AN1163" s="589"/>
      <c r="AO1163" s="589"/>
      <c r="AP1163" s="589"/>
      <c r="AQ1163" s="589"/>
      <c r="AR1163" s="589"/>
      <c r="AS1163" s="589"/>
    </row>
    <row r="1164" spans="1:45" ht="15">
      <c r="A1164" s="587" t="s">
        <v>131</v>
      </c>
      <c r="B1164" s="587" t="s">
        <v>255</v>
      </c>
      <c r="C1164" s="587" t="s">
        <v>786</v>
      </c>
      <c r="D1164" s="588">
        <v>2017</v>
      </c>
      <c r="E1164" s="587" t="s">
        <v>775</v>
      </c>
      <c r="F1164" s="588">
        <v>48</v>
      </c>
      <c r="G1164" s="588">
        <v>0</v>
      </c>
      <c r="H1164" s="588">
        <v>0</v>
      </c>
      <c r="I1164" s="588">
        <v>0</v>
      </c>
      <c r="J1164" s="588">
        <v>30</v>
      </c>
      <c r="K1164" s="588">
        <v>0</v>
      </c>
      <c r="L1164" s="588">
        <v>0</v>
      </c>
      <c r="M1164" s="588">
        <v>0</v>
      </c>
      <c r="N1164" s="588">
        <v>24</v>
      </c>
      <c r="O1164" s="588">
        <v>1</v>
      </c>
      <c r="P1164" s="588">
        <v>82</v>
      </c>
      <c r="Q1164" s="588">
        <v>0</v>
      </c>
      <c r="R1164" s="588">
        <v>184</v>
      </c>
      <c r="S1164" s="588">
        <v>1</v>
      </c>
      <c r="T1164" s="588">
        <v>2017</v>
      </c>
      <c r="U1164" s="588">
        <v>2014</v>
      </c>
      <c r="V1164" s="589"/>
      <c r="W1164" s="589"/>
      <c r="X1164" s="589"/>
      <c r="Y1164" s="589"/>
      <c r="Z1164" s="589"/>
      <c r="AA1164" s="589"/>
      <c r="AB1164" s="589"/>
      <c r="AC1164" s="589"/>
      <c r="AD1164" s="589"/>
      <c r="AE1164" s="589"/>
      <c r="AF1164" s="589"/>
      <c r="AG1164" s="589"/>
      <c r="AH1164" s="589"/>
      <c r="AI1164" s="589"/>
      <c r="AJ1164" s="589"/>
      <c r="AK1164" s="589"/>
      <c r="AL1164" s="589"/>
      <c r="AM1164" s="589"/>
      <c r="AN1164" s="589"/>
      <c r="AO1164" s="589"/>
      <c r="AP1164" s="589"/>
      <c r="AQ1164" s="589"/>
      <c r="AR1164" s="589"/>
      <c r="AS1164" s="589"/>
    </row>
    <row r="1165" spans="1:45" ht="15">
      <c r="A1165" s="590" t="s">
        <v>147</v>
      </c>
      <c r="B1165" s="590" t="s">
        <v>322</v>
      </c>
      <c r="C1165" s="590" t="s">
        <v>784</v>
      </c>
      <c r="D1165" s="593">
        <v>2017</v>
      </c>
      <c r="E1165" s="590" t="s">
        <v>775</v>
      </c>
      <c r="F1165" s="593">
        <v>15</v>
      </c>
      <c r="G1165" s="593">
        <v>0</v>
      </c>
      <c r="H1165" s="593">
        <v>0</v>
      </c>
      <c r="I1165" s="593">
        <v>0</v>
      </c>
      <c r="J1165" s="593">
        <v>10</v>
      </c>
      <c r="K1165" s="593">
        <v>0</v>
      </c>
      <c r="L1165" s="593">
        <v>0</v>
      </c>
      <c r="M1165" s="593">
        <v>0</v>
      </c>
      <c r="N1165" s="593">
        <v>12</v>
      </c>
      <c r="O1165" s="593">
        <v>0</v>
      </c>
      <c r="P1165" s="593">
        <v>28</v>
      </c>
      <c r="Q1165" s="593">
        <v>0</v>
      </c>
      <c r="R1165" s="593">
        <v>65</v>
      </c>
      <c r="S1165" s="593">
        <v>0</v>
      </c>
      <c r="T1165" s="593">
        <v>2017</v>
      </c>
      <c r="U1165" s="593">
        <v>2014</v>
      </c>
      <c r="V1165" s="589"/>
      <c r="W1165" s="589"/>
      <c r="X1165" s="589"/>
      <c r="Y1165" s="589"/>
      <c r="Z1165" s="589"/>
      <c r="AA1165" s="589"/>
      <c r="AB1165" s="589"/>
      <c r="AC1165" s="589"/>
      <c r="AD1165" s="589"/>
      <c r="AE1165" s="589"/>
      <c r="AF1165" s="589"/>
      <c r="AG1165" s="589"/>
      <c r="AH1165" s="589"/>
      <c r="AI1165" s="589"/>
      <c r="AJ1165" s="589"/>
      <c r="AK1165" s="589"/>
      <c r="AL1165" s="589"/>
      <c r="AM1165" s="589"/>
      <c r="AN1165" s="589"/>
      <c r="AO1165" s="589"/>
      <c r="AP1165" s="589"/>
      <c r="AQ1165" s="589"/>
      <c r="AR1165" s="589"/>
      <c r="AS1165" s="589"/>
    </row>
    <row r="1166" spans="1:45" ht="15">
      <c r="A1166" s="587" t="s">
        <v>173</v>
      </c>
      <c r="B1166" s="587" t="s">
        <v>530</v>
      </c>
      <c r="C1166" s="587" t="s">
        <v>812</v>
      </c>
      <c r="D1166" s="588">
        <v>2017</v>
      </c>
      <c r="E1166" s="587" t="s">
        <v>775</v>
      </c>
      <c r="F1166" s="588">
        <v>91</v>
      </c>
      <c r="G1166" s="588">
        <v>0</v>
      </c>
      <c r="H1166" s="588">
        <v>0</v>
      </c>
      <c r="I1166" s="588">
        <v>0</v>
      </c>
      <c r="J1166" s="588">
        <v>64</v>
      </c>
      <c r="K1166" s="588">
        <v>0</v>
      </c>
      <c r="L1166" s="588">
        <v>0</v>
      </c>
      <c r="M1166" s="588">
        <v>0</v>
      </c>
      <c r="N1166" s="588">
        <v>75</v>
      </c>
      <c r="O1166" s="588">
        <v>2</v>
      </c>
      <c r="P1166" s="588">
        <v>172</v>
      </c>
      <c r="Q1166" s="588">
        <v>1</v>
      </c>
      <c r="R1166" s="588">
        <v>402</v>
      </c>
      <c r="S1166" s="588">
        <v>3</v>
      </c>
      <c r="T1166" s="588">
        <v>2017</v>
      </c>
      <c r="U1166" s="588">
        <v>2014</v>
      </c>
      <c r="V1166" s="589"/>
      <c r="W1166" s="589"/>
      <c r="X1166" s="589"/>
      <c r="Y1166" s="589"/>
      <c r="Z1166" s="589"/>
      <c r="AA1166" s="589"/>
      <c r="AB1166" s="589"/>
      <c r="AC1166" s="589"/>
      <c r="AD1166" s="589"/>
      <c r="AE1166" s="589"/>
      <c r="AF1166" s="589"/>
      <c r="AG1166" s="589"/>
      <c r="AH1166" s="589"/>
      <c r="AI1166" s="589"/>
      <c r="AJ1166" s="589"/>
      <c r="AK1166" s="589"/>
      <c r="AL1166" s="589"/>
      <c r="AM1166" s="589"/>
      <c r="AN1166" s="589"/>
      <c r="AO1166" s="589"/>
      <c r="AP1166" s="589"/>
      <c r="AQ1166" s="589"/>
      <c r="AR1166" s="589"/>
      <c r="AS1166" s="589"/>
    </row>
    <row r="1167" spans="1:45" ht="15">
      <c r="A1167" s="590" t="s">
        <v>146</v>
      </c>
      <c r="B1167" s="590" t="s">
        <v>315</v>
      </c>
      <c r="C1167" s="590" t="s">
        <v>812</v>
      </c>
      <c r="D1167" s="593">
        <v>2017</v>
      </c>
      <c r="E1167" s="590" t="s">
        <v>775</v>
      </c>
      <c r="F1167" s="593">
        <v>760</v>
      </c>
      <c r="G1167" s="593">
        <v>6</v>
      </c>
      <c r="H1167" s="593">
        <v>4</v>
      </c>
      <c r="I1167" s="593">
        <v>2</v>
      </c>
      <c r="J1167" s="593">
        <v>470</v>
      </c>
      <c r="K1167" s="593">
        <v>14</v>
      </c>
      <c r="L1167" s="593">
        <v>12</v>
      </c>
      <c r="M1167" s="593">
        <v>2</v>
      </c>
      <c r="N1167" s="593">
        <v>466</v>
      </c>
      <c r="O1167" s="593">
        <v>40</v>
      </c>
      <c r="P1167" s="593">
        <v>1338</v>
      </c>
      <c r="Q1167" s="593">
        <v>3</v>
      </c>
      <c r="R1167" s="593">
        <v>3034</v>
      </c>
      <c r="S1167" s="593">
        <v>63</v>
      </c>
      <c r="T1167" s="593">
        <v>2017</v>
      </c>
      <c r="U1167" s="593">
        <v>2014</v>
      </c>
      <c r="V1167" s="589"/>
      <c r="W1167" s="589"/>
      <c r="X1167" s="589"/>
      <c r="Y1167" s="589"/>
      <c r="Z1167" s="589"/>
      <c r="AA1167" s="589"/>
      <c r="AB1167" s="589"/>
      <c r="AC1167" s="589"/>
      <c r="AD1167" s="589"/>
      <c r="AE1167" s="589"/>
      <c r="AF1167" s="589"/>
      <c r="AG1167" s="589"/>
      <c r="AH1167" s="589"/>
      <c r="AI1167" s="589"/>
      <c r="AJ1167" s="589"/>
      <c r="AK1167" s="589"/>
      <c r="AL1167" s="589"/>
      <c r="AM1167" s="589"/>
      <c r="AN1167" s="589"/>
      <c r="AO1167" s="589"/>
      <c r="AP1167" s="589"/>
      <c r="AQ1167" s="589"/>
      <c r="AR1167" s="589"/>
      <c r="AS1167" s="589"/>
    </row>
    <row r="1168" spans="1:45" ht="15">
      <c r="A1168" s="587" t="s">
        <v>169</v>
      </c>
      <c r="B1168" s="587" t="s">
        <v>487</v>
      </c>
      <c r="C1168" s="587" t="s">
        <v>812</v>
      </c>
      <c r="D1168" s="588">
        <v>2017</v>
      </c>
      <c r="E1168" s="587" t="s">
        <v>775</v>
      </c>
      <c r="F1168" s="588">
        <v>426</v>
      </c>
      <c r="G1168" s="588">
        <v>0</v>
      </c>
      <c r="H1168" s="588">
        <v>0</v>
      </c>
      <c r="I1168" s="588">
        <v>0</v>
      </c>
      <c r="J1168" s="588">
        <v>305</v>
      </c>
      <c r="K1168" s="588">
        <v>0</v>
      </c>
      <c r="L1168" s="588">
        <v>0</v>
      </c>
      <c r="M1168" s="588">
        <v>0</v>
      </c>
      <c r="N1168" s="588">
        <v>335</v>
      </c>
      <c r="O1168" s="588">
        <v>21</v>
      </c>
      <c r="P1168" s="588">
        <v>785</v>
      </c>
      <c r="Q1168" s="588">
        <v>435</v>
      </c>
      <c r="R1168" s="588">
        <v>1851</v>
      </c>
      <c r="S1168" s="588">
        <v>456</v>
      </c>
      <c r="T1168" s="588">
        <v>2017</v>
      </c>
      <c r="U1168" s="588">
        <v>2014</v>
      </c>
      <c r="V1168" s="589"/>
      <c r="W1168" s="589"/>
      <c r="X1168" s="589"/>
      <c r="Y1168" s="589"/>
      <c r="Z1168" s="589"/>
      <c r="AA1168" s="589"/>
      <c r="AB1168" s="589"/>
      <c r="AC1168" s="589"/>
      <c r="AD1168" s="589"/>
      <c r="AE1168" s="589"/>
      <c r="AF1168" s="589"/>
      <c r="AG1168" s="589"/>
      <c r="AH1168" s="589"/>
      <c r="AI1168" s="589"/>
      <c r="AJ1168" s="589"/>
      <c r="AK1168" s="589"/>
      <c r="AL1168" s="589"/>
      <c r="AM1168" s="589"/>
      <c r="AN1168" s="589"/>
      <c r="AO1168" s="589"/>
      <c r="AP1168" s="589"/>
      <c r="AQ1168" s="589"/>
      <c r="AR1168" s="589"/>
      <c r="AS1168" s="589"/>
    </row>
    <row r="1169" spans="1:45" ht="15">
      <c r="A1169" s="590" t="s">
        <v>136</v>
      </c>
      <c r="B1169" s="590" t="s">
        <v>266</v>
      </c>
      <c r="C1169" s="590" t="s">
        <v>774</v>
      </c>
      <c r="D1169" s="593">
        <v>2017</v>
      </c>
      <c r="E1169" s="590" t="s">
        <v>775</v>
      </c>
      <c r="F1169" s="593">
        <v>234</v>
      </c>
      <c r="G1169" s="593">
        <v>2</v>
      </c>
      <c r="H1169" s="593">
        <v>2</v>
      </c>
      <c r="I1169" s="593">
        <v>0</v>
      </c>
      <c r="J1169" s="593">
        <v>124</v>
      </c>
      <c r="K1169" s="593">
        <v>0</v>
      </c>
      <c r="L1169" s="593">
        <v>0</v>
      </c>
      <c r="M1169" s="593">
        <v>0</v>
      </c>
      <c r="N1169" s="593">
        <v>123</v>
      </c>
      <c r="O1169" s="593">
        <v>1</v>
      </c>
      <c r="P1169" s="593">
        <v>279</v>
      </c>
      <c r="Q1169" s="593">
        <v>503</v>
      </c>
      <c r="R1169" s="593">
        <v>760</v>
      </c>
      <c r="S1169" s="593">
        <v>506</v>
      </c>
      <c r="T1169" s="593">
        <v>2017</v>
      </c>
      <c r="U1169" s="593">
        <v>2015</v>
      </c>
      <c r="V1169" s="589"/>
      <c r="W1169" s="589"/>
      <c r="X1169" s="589"/>
      <c r="Y1169" s="589"/>
      <c r="Z1169" s="589"/>
      <c r="AA1169" s="589"/>
      <c r="AB1169" s="589"/>
      <c r="AC1169" s="589"/>
      <c r="AD1169" s="589"/>
      <c r="AE1169" s="589"/>
      <c r="AF1169" s="589"/>
      <c r="AG1169" s="589"/>
      <c r="AH1169" s="589"/>
      <c r="AI1169" s="589"/>
      <c r="AJ1169" s="589"/>
      <c r="AK1169" s="589"/>
      <c r="AL1169" s="589"/>
      <c r="AM1169" s="589"/>
      <c r="AN1169" s="589"/>
      <c r="AO1169" s="589"/>
      <c r="AP1169" s="589"/>
      <c r="AQ1169" s="589"/>
      <c r="AR1169" s="589"/>
      <c r="AS1169" s="589"/>
    </row>
    <row r="1170" spans="1:45" ht="15">
      <c r="A1170" s="587" t="s">
        <v>184</v>
      </c>
      <c r="B1170" s="587" t="s">
        <v>625</v>
      </c>
      <c r="C1170" s="587" t="s">
        <v>774</v>
      </c>
      <c r="D1170" s="588">
        <v>2017</v>
      </c>
      <c r="E1170" s="587" t="s">
        <v>775</v>
      </c>
      <c r="F1170" s="588">
        <v>25</v>
      </c>
      <c r="G1170" s="588">
        <v>0</v>
      </c>
      <c r="H1170" s="588">
        <v>0</v>
      </c>
      <c r="I1170" s="588">
        <v>0</v>
      </c>
      <c r="J1170" s="588">
        <v>13</v>
      </c>
      <c r="K1170" s="588">
        <v>0</v>
      </c>
      <c r="L1170" s="588">
        <v>0</v>
      </c>
      <c r="M1170" s="588">
        <v>0</v>
      </c>
      <c r="N1170" s="588">
        <v>15</v>
      </c>
      <c r="O1170" s="588">
        <v>3</v>
      </c>
      <c r="P1170" s="588">
        <v>30</v>
      </c>
      <c r="Q1170" s="588">
        <v>4</v>
      </c>
      <c r="R1170" s="588">
        <v>83</v>
      </c>
      <c r="S1170" s="588">
        <v>7</v>
      </c>
      <c r="T1170" s="588">
        <v>2017</v>
      </c>
      <c r="U1170" s="588">
        <v>2015</v>
      </c>
      <c r="V1170" s="589"/>
      <c r="W1170" s="589"/>
      <c r="X1170" s="589"/>
      <c r="Y1170" s="589"/>
      <c r="Z1170" s="589"/>
      <c r="AA1170" s="589"/>
      <c r="AB1170" s="589"/>
      <c r="AC1170" s="589"/>
      <c r="AD1170" s="589"/>
      <c r="AE1170" s="589"/>
      <c r="AF1170" s="589"/>
      <c r="AG1170" s="589"/>
      <c r="AH1170" s="589"/>
      <c r="AI1170" s="589"/>
      <c r="AJ1170" s="589"/>
      <c r="AK1170" s="589"/>
      <c r="AL1170" s="589"/>
      <c r="AM1170" s="589"/>
      <c r="AN1170" s="589"/>
      <c r="AO1170" s="589"/>
      <c r="AP1170" s="589"/>
      <c r="AQ1170" s="589"/>
      <c r="AR1170" s="589"/>
      <c r="AS1170" s="589"/>
    </row>
    <row r="1171" spans="1:45" ht="15">
      <c r="A1171" s="590" t="s">
        <v>185</v>
      </c>
      <c r="B1171" s="590" t="s">
        <v>643</v>
      </c>
      <c r="C1171" s="590" t="s">
        <v>868</v>
      </c>
      <c r="D1171" s="593">
        <v>2017</v>
      </c>
      <c r="E1171" s="590" t="s">
        <v>775</v>
      </c>
      <c r="F1171" s="593">
        <v>66</v>
      </c>
      <c r="G1171" s="593">
        <v>0</v>
      </c>
      <c r="H1171" s="593">
        <v>0</v>
      </c>
      <c r="I1171" s="593">
        <v>0</v>
      </c>
      <c r="J1171" s="593">
        <v>44</v>
      </c>
      <c r="K1171" s="593">
        <v>0</v>
      </c>
      <c r="L1171" s="593">
        <v>0</v>
      </c>
      <c r="M1171" s="593">
        <v>0</v>
      </c>
      <c r="N1171" s="593">
        <v>41</v>
      </c>
      <c r="O1171" s="593">
        <v>1</v>
      </c>
      <c r="P1171" s="593">
        <v>124</v>
      </c>
      <c r="Q1171" s="593">
        <v>38</v>
      </c>
      <c r="R1171" s="593">
        <v>275</v>
      </c>
      <c r="S1171" s="593">
        <v>39</v>
      </c>
      <c r="T1171" s="593">
        <v>2017</v>
      </c>
      <c r="U1171" s="593">
        <v>2015</v>
      </c>
      <c r="V1171" s="589"/>
      <c r="W1171" s="589"/>
      <c r="X1171" s="589"/>
      <c r="Y1171" s="589"/>
      <c r="Z1171" s="589"/>
      <c r="AA1171" s="589"/>
      <c r="AB1171" s="589"/>
      <c r="AC1171" s="589"/>
      <c r="AD1171" s="589"/>
      <c r="AE1171" s="589"/>
      <c r="AF1171" s="589"/>
      <c r="AG1171" s="589"/>
      <c r="AH1171" s="589"/>
      <c r="AI1171" s="589"/>
      <c r="AJ1171" s="589"/>
      <c r="AK1171" s="589"/>
      <c r="AL1171" s="589"/>
      <c r="AM1171" s="589"/>
      <c r="AN1171" s="589"/>
      <c r="AO1171" s="589"/>
      <c r="AP1171" s="589"/>
      <c r="AQ1171" s="589"/>
      <c r="AR1171" s="589"/>
      <c r="AS1171" s="589"/>
    </row>
    <row r="1172" spans="1:45" ht="15">
      <c r="A1172" s="587" t="s">
        <v>169</v>
      </c>
      <c r="B1172" s="587" t="s">
        <v>488</v>
      </c>
      <c r="C1172" s="587" t="s">
        <v>812</v>
      </c>
      <c r="D1172" s="588">
        <v>2017</v>
      </c>
      <c r="E1172" s="587" t="s">
        <v>775</v>
      </c>
      <c r="F1172" s="588">
        <v>76</v>
      </c>
      <c r="G1172" s="588">
        <v>0</v>
      </c>
      <c r="H1172" s="588">
        <v>0</v>
      </c>
      <c r="I1172" s="588">
        <v>0</v>
      </c>
      <c r="J1172" s="588">
        <v>53</v>
      </c>
      <c r="K1172" s="588">
        <v>0</v>
      </c>
      <c r="L1172" s="588">
        <v>0</v>
      </c>
      <c r="M1172" s="588">
        <v>0</v>
      </c>
      <c r="N1172" s="588">
        <v>62</v>
      </c>
      <c r="O1172" s="588">
        <v>83</v>
      </c>
      <c r="P1172" s="588">
        <v>148</v>
      </c>
      <c r="Q1172" s="588">
        <v>0</v>
      </c>
      <c r="R1172" s="588">
        <v>339</v>
      </c>
      <c r="S1172" s="588">
        <v>83</v>
      </c>
      <c r="T1172" s="588">
        <v>2017</v>
      </c>
      <c r="U1172" s="588">
        <v>2014</v>
      </c>
      <c r="V1172" s="589"/>
      <c r="W1172" s="589"/>
      <c r="X1172" s="589"/>
      <c r="Y1172" s="589"/>
      <c r="Z1172" s="589"/>
      <c r="AA1172" s="589"/>
      <c r="AB1172" s="589"/>
      <c r="AC1172" s="589"/>
      <c r="AD1172" s="589"/>
      <c r="AE1172" s="589"/>
      <c r="AF1172" s="589"/>
      <c r="AG1172" s="589"/>
      <c r="AH1172" s="589"/>
      <c r="AI1172" s="589"/>
      <c r="AJ1172" s="589"/>
      <c r="AK1172" s="589"/>
      <c r="AL1172" s="589"/>
      <c r="AM1172" s="589"/>
      <c r="AN1172" s="589"/>
      <c r="AO1172" s="589"/>
      <c r="AP1172" s="589"/>
      <c r="AQ1172" s="589"/>
      <c r="AR1172" s="589"/>
      <c r="AS1172" s="589"/>
    </row>
    <row r="1173" spans="1:45" ht="15">
      <c r="A1173" s="590" t="s">
        <v>153</v>
      </c>
      <c r="B1173" s="590" t="s">
        <v>358</v>
      </c>
      <c r="C1173" s="590" t="s">
        <v>812</v>
      </c>
      <c r="D1173" s="593">
        <v>2017</v>
      </c>
      <c r="E1173" s="590" t="s">
        <v>775</v>
      </c>
      <c r="F1173" s="593">
        <v>694</v>
      </c>
      <c r="G1173" s="593">
        <v>0</v>
      </c>
      <c r="H1173" s="593">
        <v>0</v>
      </c>
      <c r="I1173" s="593">
        <v>0</v>
      </c>
      <c r="J1173" s="593">
        <v>413</v>
      </c>
      <c r="K1173" s="593">
        <v>0</v>
      </c>
      <c r="L1173" s="593">
        <v>0</v>
      </c>
      <c r="M1173" s="593">
        <v>0</v>
      </c>
      <c r="N1173" s="593">
        <v>443</v>
      </c>
      <c r="O1173" s="593">
        <v>0</v>
      </c>
      <c r="P1173" s="593">
        <v>1134</v>
      </c>
      <c r="Q1173" s="593">
        <v>17</v>
      </c>
      <c r="R1173" s="593">
        <v>2684</v>
      </c>
      <c r="S1173" s="593">
        <v>17</v>
      </c>
      <c r="T1173" s="593">
        <v>2017</v>
      </c>
      <c r="U1173" s="593">
        <v>2014</v>
      </c>
      <c r="V1173" s="589"/>
      <c r="W1173" s="589"/>
      <c r="X1173" s="589"/>
      <c r="Y1173" s="589"/>
      <c r="Z1173" s="589"/>
      <c r="AA1173" s="589"/>
      <c r="AB1173" s="589"/>
      <c r="AC1173" s="589"/>
      <c r="AD1173" s="589"/>
      <c r="AE1173" s="589"/>
      <c r="AF1173" s="589"/>
      <c r="AG1173" s="589"/>
      <c r="AH1173" s="589"/>
      <c r="AI1173" s="589"/>
      <c r="AJ1173" s="589"/>
      <c r="AK1173" s="589"/>
      <c r="AL1173" s="589"/>
      <c r="AM1173" s="589"/>
      <c r="AN1173" s="589"/>
      <c r="AO1173" s="589"/>
      <c r="AP1173" s="589"/>
      <c r="AQ1173" s="589"/>
      <c r="AR1173" s="589"/>
      <c r="AS1173" s="589"/>
    </row>
    <row r="1174" spans="1:45" ht="15">
      <c r="A1174" s="587" t="s">
        <v>184</v>
      </c>
      <c r="B1174" s="587" t="s">
        <v>626</v>
      </c>
      <c r="C1174" s="587" t="s">
        <v>774</v>
      </c>
      <c r="D1174" s="588">
        <v>2017</v>
      </c>
      <c r="E1174" s="587" t="s">
        <v>775</v>
      </c>
      <c r="F1174" s="588">
        <v>276</v>
      </c>
      <c r="G1174" s="588">
        <v>0</v>
      </c>
      <c r="H1174" s="588">
        <v>0</v>
      </c>
      <c r="I1174" s="588">
        <v>0</v>
      </c>
      <c r="J1174" s="588">
        <v>144</v>
      </c>
      <c r="K1174" s="588">
        <v>0</v>
      </c>
      <c r="L1174" s="588">
        <v>0</v>
      </c>
      <c r="M1174" s="588">
        <v>0</v>
      </c>
      <c r="N1174" s="588">
        <v>155</v>
      </c>
      <c r="O1174" s="588">
        <v>0</v>
      </c>
      <c r="P1174" s="588">
        <v>288</v>
      </c>
      <c r="Q1174" s="588">
        <v>13</v>
      </c>
      <c r="R1174" s="588">
        <v>863</v>
      </c>
      <c r="S1174" s="588">
        <v>13</v>
      </c>
      <c r="T1174" s="588">
        <v>2017</v>
      </c>
      <c r="U1174" s="588">
        <v>2015</v>
      </c>
      <c r="V1174" s="589"/>
      <c r="W1174" s="589"/>
      <c r="X1174" s="589"/>
      <c r="Y1174" s="589"/>
      <c r="Z1174" s="589"/>
      <c r="AA1174" s="589"/>
      <c r="AB1174" s="589"/>
      <c r="AC1174" s="589"/>
      <c r="AD1174" s="589"/>
      <c r="AE1174" s="589"/>
      <c r="AF1174" s="589"/>
      <c r="AG1174" s="589"/>
      <c r="AH1174" s="589"/>
      <c r="AI1174" s="589"/>
      <c r="AJ1174" s="589"/>
      <c r="AK1174" s="589"/>
      <c r="AL1174" s="589"/>
      <c r="AM1174" s="589"/>
      <c r="AN1174" s="589"/>
      <c r="AO1174" s="589"/>
      <c r="AP1174" s="589"/>
      <c r="AQ1174" s="589"/>
      <c r="AR1174" s="589"/>
      <c r="AS1174" s="589"/>
    </row>
    <row r="1175" spans="1:45" ht="15">
      <c r="A1175" s="590" t="s">
        <v>131</v>
      </c>
      <c r="B1175" s="590" t="s">
        <v>256</v>
      </c>
      <c r="C1175" s="590" t="s">
        <v>786</v>
      </c>
      <c r="D1175" s="593">
        <v>2017</v>
      </c>
      <c r="E1175" s="590" t="s">
        <v>775</v>
      </c>
      <c r="F1175" s="593">
        <v>682</v>
      </c>
      <c r="G1175" s="593">
        <v>0</v>
      </c>
      <c r="H1175" s="593">
        <v>0</v>
      </c>
      <c r="I1175" s="593">
        <v>0</v>
      </c>
      <c r="J1175" s="593">
        <v>545</v>
      </c>
      <c r="K1175" s="593">
        <v>8</v>
      </c>
      <c r="L1175" s="593">
        <v>8</v>
      </c>
      <c r="M1175" s="593">
        <v>0</v>
      </c>
      <c r="N1175" s="593">
        <v>480</v>
      </c>
      <c r="O1175" s="593">
        <v>25</v>
      </c>
      <c r="P1175" s="593">
        <v>1267</v>
      </c>
      <c r="Q1175" s="593">
        <v>117</v>
      </c>
      <c r="R1175" s="593">
        <v>2974</v>
      </c>
      <c r="S1175" s="593">
        <v>150</v>
      </c>
      <c r="T1175" s="593">
        <v>2017</v>
      </c>
      <c r="U1175" s="593">
        <v>2014</v>
      </c>
      <c r="V1175" s="589"/>
      <c r="W1175" s="589"/>
      <c r="X1175" s="589"/>
      <c r="Y1175" s="589"/>
      <c r="Z1175" s="589"/>
      <c r="AA1175" s="589"/>
      <c r="AB1175" s="589"/>
      <c r="AC1175" s="589"/>
      <c r="AD1175" s="589"/>
      <c r="AE1175" s="589"/>
      <c r="AF1175" s="589"/>
      <c r="AG1175" s="589"/>
      <c r="AH1175" s="589"/>
      <c r="AI1175" s="589"/>
      <c r="AJ1175" s="589"/>
      <c r="AK1175" s="589"/>
      <c r="AL1175" s="589"/>
      <c r="AM1175" s="589"/>
      <c r="AN1175" s="589"/>
      <c r="AO1175" s="589"/>
      <c r="AP1175" s="589"/>
      <c r="AQ1175" s="589"/>
      <c r="AR1175" s="589"/>
      <c r="AS1175" s="589"/>
    </row>
    <row r="1176" spans="1:45" ht="15">
      <c r="A1176" s="587" t="s">
        <v>153</v>
      </c>
      <c r="B1176" s="587" t="s">
        <v>359</v>
      </c>
      <c r="C1176" s="587" t="s">
        <v>812</v>
      </c>
      <c r="D1176" s="588">
        <v>2017</v>
      </c>
      <c r="E1176" s="587" t="s">
        <v>775</v>
      </c>
      <c r="F1176" s="588">
        <v>88</v>
      </c>
      <c r="G1176" s="588">
        <v>0</v>
      </c>
      <c r="H1176" s="588">
        <v>0</v>
      </c>
      <c r="I1176" s="588">
        <v>0</v>
      </c>
      <c r="J1176" s="588">
        <v>54</v>
      </c>
      <c r="K1176" s="588">
        <v>0</v>
      </c>
      <c r="L1176" s="588">
        <v>0</v>
      </c>
      <c r="M1176" s="588">
        <v>0</v>
      </c>
      <c r="N1176" s="588">
        <v>57</v>
      </c>
      <c r="O1176" s="588">
        <v>4</v>
      </c>
      <c r="P1176" s="588">
        <v>131</v>
      </c>
      <c r="Q1176" s="588">
        <v>18</v>
      </c>
      <c r="R1176" s="588">
        <v>330</v>
      </c>
      <c r="S1176" s="588">
        <v>22</v>
      </c>
      <c r="T1176" s="588">
        <v>2017</v>
      </c>
      <c r="U1176" s="588">
        <v>2014</v>
      </c>
      <c r="V1176" s="589"/>
      <c r="W1176" s="589"/>
      <c r="X1176" s="589"/>
      <c r="Y1176" s="589"/>
      <c r="Z1176" s="589"/>
      <c r="AA1176" s="589"/>
      <c r="AB1176" s="589"/>
      <c r="AC1176" s="589"/>
      <c r="AD1176" s="589"/>
      <c r="AE1176" s="589"/>
      <c r="AF1176" s="589"/>
      <c r="AG1176" s="589"/>
      <c r="AH1176" s="589"/>
      <c r="AI1176" s="589"/>
      <c r="AJ1176" s="589"/>
      <c r="AK1176" s="589"/>
      <c r="AL1176" s="589"/>
      <c r="AM1176" s="589"/>
      <c r="AN1176" s="589"/>
      <c r="AO1176" s="589"/>
      <c r="AP1176" s="589"/>
      <c r="AQ1176" s="589"/>
      <c r="AR1176" s="589"/>
      <c r="AS1176" s="589"/>
    </row>
    <row r="1177" spans="1:45" ht="15">
      <c r="A1177" s="590" t="s">
        <v>134</v>
      </c>
      <c r="B1177" s="590" t="s">
        <v>262</v>
      </c>
      <c r="C1177" s="590" t="s">
        <v>784</v>
      </c>
      <c r="D1177" s="593">
        <v>2017</v>
      </c>
      <c r="E1177" s="590" t="s">
        <v>775</v>
      </c>
      <c r="F1177" s="593">
        <v>241</v>
      </c>
      <c r="G1177" s="593">
        <v>25</v>
      </c>
      <c r="H1177" s="593">
        <v>0</v>
      </c>
      <c r="I1177" s="593">
        <v>25</v>
      </c>
      <c r="J1177" s="593">
        <v>175</v>
      </c>
      <c r="K1177" s="593">
        <v>27</v>
      </c>
      <c r="L1177" s="593">
        <v>0</v>
      </c>
      <c r="M1177" s="593">
        <v>27</v>
      </c>
      <c r="N1177" s="593">
        <v>192</v>
      </c>
      <c r="O1177" s="593">
        <v>29</v>
      </c>
      <c r="P1177" s="593">
        <v>471</v>
      </c>
      <c r="Q1177" s="593">
        <v>77</v>
      </c>
      <c r="R1177" s="593">
        <v>1079</v>
      </c>
      <c r="S1177" s="593">
        <v>158</v>
      </c>
      <c r="T1177" s="593">
        <v>2017</v>
      </c>
      <c r="U1177" s="593">
        <v>2014</v>
      </c>
      <c r="V1177" s="589"/>
      <c r="W1177" s="589"/>
      <c r="X1177" s="589"/>
      <c r="Y1177" s="589"/>
      <c r="Z1177" s="589"/>
      <c r="AA1177" s="589"/>
      <c r="AB1177" s="589"/>
      <c r="AC1177" s="589"/>
      <c r="AD1177" s="589"/>
      <c r="AE1177" s="589"/>
      <c r="AF1177" s="589"/>
      <c r="AG1177" s="589"/>
      <c r="AH1177" s="589"/>
      <c r="AI1177" s="589"/>
      <c r="AJ1177" s="589"/>
      <c r="AK1177" s="589"/>
      <c r="AL1177" s="589"/>
      <c r="AM1177" s="589"/>
      <c r="AN1177" s="589"/>
      <c r="AO1177" s="589"/>
      <c r="AP1177" s="589"/>
      <c r="AQ1177" s="589"/>
      <c r="AR1177" s="589"/>
      <c r="AS1177" s="589"/>
    </row>
    <row r="1178" spans="1:45" ht="15">
      <c r="A1178" s="587" t="s">
        <v>146</v>
      </c>
      <c r="B1178" s="587" t="s">
        <v>316</v>
      </c>
      <c r="C1178" s="587" t="s">
        <v>812</v>
      </c>
      <c r="D1178" s="588">
        <v>2017</v>
      </c>
      <c r="E1178" s="587" t="s">
        <v>775</v>
      </c>
      <c r="F1178" s="588">
        <v>817</v>
      </c>
      <c r="G1178" s="588">
        <v>0</v>
      </c>
      <c r="H1178" s="588">
        <v>0</v>
      </c>
      <c r="I1178" s="588">
        <v>0</v>
      </c>
      <c r="J1178" s="588">
        <v>489</v>
      </c>
      <c r="K1178" s="588">
        <v>0</v>
      </c>
      <c r="L1178" s="588">
        <v>0</v>
      </c>
      <c r="M1178" s="588">
        <v>0</v>
      </c>
      <c r="N1178" s="588">
        <v>490</v>
      </c>
      <c r="O1178" s="588">
        <v>10</v>
      </c>
      <c r="P1178" s="588">
        <v>1428</v>
      </c>
      <c r="Q1178" s="588">
        <v>0</v>
      </c>
      <c r="R1178" s="588">
        <v>3224</v>
      </c>
      <c r="S1178" s="588">
        <v>10</v>
      </c>
      <c r="T1178" s="588">
        <v>2017</v>
      </c>
      <c r="U1178" s="588">
        <v>2014</v>
      </c>
      <c r="V1178" s="589"/>
      <c r="W1178" s="589"/>
      <c r="X1178" s="589"/>
      <c r="Y1178" s="589"/>
      <c r="Z1178" s="589"/>
      <c r="AA1178" s="589"/>
      <c r="AB1178" s="589"/>
      <c r="AC1178" s="589"/>
      <c r="AD1178" s="589"/>
      <c r="AE1178" s="589"/>
      <c r="AF1178" s="589"/>
      <c r="AG1178" s="589"/>
      <c r="AH1178" s="589"/>
      <c r="AI1178" s="589"/>
      <c r="AJ1178" s="589"/>
      <c r="AK1178" s="589"/>
      <c r="AL1178" s="589"/>
      <c r="AM1178" s="589"/>
      <c r="AN1178" s="589"/>
      <c r="AO1178" s="589"/>
      <c r="AP1178" s="589"/>
      <c r="AQ1178" s="589"/>
      <c r="AR1178" s="589"/>
      <c r="AS1178" s="589"/>
    </row>
    <row r="1179" spans="1:45" ht="15">
      <c r="A1179" s="590" t="s">
        <v>173</v>
      </c>
      <c r="B1179" s="590" t="s">
        <v>531</v>
      </c>
      <c r="C1179" s="590" t="s">
        <v>812</v>
      </c>
      <c r="D1179" s="593">
        <v>2017</v>
      </c>
      <c r="E1179" s="590" t="s">
        <v>775</v>
      </c>
      <c r="F1179" s="593">
        <v>543</v>
      </c>
      <c r="G1179" s="593">
        <v>0</v>
      </c>
      <c r="H1179" s="593">
        <v>0</v>
      </c>
      <c r="I1179" s="593">
        <v>0</v>
      </c>
      <c r="J1179" s="593">
        <v>383</v>
      </c>
      <c r="K1179" s="593">
        <v>0</v>
      </c>
      <c r="L1179" s="593">
        <v>0</v>
      </c>
      <c r="M1179" s="593">
        <v>0</v>
      </c>
      <c r="N1179" s="593">
        <v>433</v>
      </c>
      <c r="O1179" s="593">
        <v>0</v>
      </c>
      <c r="P1179" s="593">
        <v>982</v>
      </c>
      <c r="Q1179" s="593">
        <v>43</v>
      </c>
      <c r="R1179" s="593">
        <v>2341</v>
      </c>
      <c r="S1179" s="593">
        <v>43</v>
      </c>
      <c r="T1179" s="593">
        <v>2017</v>
      </c>
      <c r="U1179" s="593">
        <v>2014</v>
      </c>
      <c r="V1179" s="589"/>
      <c r="W1179" s="589"/>
      <c r="X1179" s="589"/>
      <c r="Y1179" s="589"/>
      <c r="Z1179" s="589"/>
      <c r="AA1179" s="589"/>
      <c r="AB1179" s="589"/>
      <c r="AC1179" s="589"/>
      <c r="AD1179" s="589"/>
      <c r="AE1179" s="589"/>
      <c r="AF1179" s="589"/>
      <c r="AG1179" s="589"/>
      <c r="AH1179" s="589"/>
      <c r="AI1179" s="589"/>
      <c r="AJ1179" s="589"/>
      <c r="AK1179" s="589"/>
      <c r="AL1179" s="589"/>
      <c r="AM1179" s="589"/>
      <c r="AN1179" s="589"/>
      <c r="AO1179" s="589"/>
      <c r="AP1179" s="589"/>
      <c r="AQ1179" s="589"/>
      <c r="AR1179" s="589"/>
      <c r="AS1179" s="589"/>
    </row>
    <row r="1180" spans="1:45" ht="15">
      <c r="A1180" s="587" t="s">
        <v>146</v>
      </c>
      <c r="B1180" s="587" t="s">
        <v>317</v>
      </c>
      <c r="C1180" s="587" t="s">
        <v>812</v>
      </c>
      <c r="D1180" s="588">
        <v>2017</v>
      </c>
      <c r="E1180" s="587" t="s">
        <v>775</v>
      </c>
      <c r="F1180" s="588">
        <v>37</v>
      </c>
      <c r="G1180" s="588">
        <v>0</v>
      </c>
      <c r="H1180" s="588">
        <v>0</v>
      </c>
      <c r="I1180" s="588">
        <v>0</v>
      </c>
      <c r="J1180" s="588">
        <v>22</v>
      </c>
      <c r="K1180" s="588">
        <v>0</v>
      </c>
      <c r="L1180" s="588">
        <v>0</v>
      </c>
      <c r="M1180" s="588">
        <v>0</v>
      </c>
      <c r="N1180" s="588">
        <v>22</v>
      </c>
      <c r="O1180" s="588">
        <v>0</v>
      </c>
      <c r="P1180" s="588">
        <v>63</v>
      </c>
      <c r="Q1180" s="588">
        <v>0</v>
      </c>
      <c r="R1180" s="588">
        <v>144</v>
      </c>
      <c r="S1180" s="588">
        <v>0</v>
      </c>
      <c r="T1180" s="588">
        <v>2017</v>
      </c>
      <c r="U1180" s="588">
        <v>2014</v>
      </c>
      <c r="V1180" s="589"/>
      <c r="W1180" s="589"/>
      <c r="X1180" s="589"/>
      <c r="Y1180" s="589"/>
      <c r="Z1180" s="589"/>
      <c r="AA1180" s="589"/>
      <c r="AB1180" s="589"/>
      <c r="AC1180" s="589"/>
      <c r="AD1180" s="589"/>
      <c r="AE1180" s="589"/>
      <c r="AF1180" s="589"/>
      <c r="AG1180" s="589"/>
      <c r="AH1180" s="589"/>
      <c r="AI1180" s="589"/>
      <c r="AJ1180" s="589"/>
      <c r="AK1180" s="589"/>
      <c r="AL1180" s="589"/>
      <c r="AM1180" s="589"/>
      <c r="AN1180" s="589"/>
      <c r="AO1180" s="589"/>
      <c r="AP1180" s="589"/>
      <c r="AQ1180" s="589"/>
      <c r="AR1180" s="589"/>
      <c r="AS1180" s="589"/>
    </row>
    <row r="1181" spans="1:45" ht="15">
      <c r="A1181" s="590" t="s">
        <v>166</v>
      </c>
      <c r="B1181" s="590" t="s">
        <v>477</v>
      </c>
      <c r="C1181" s="590" t="s">
        <v>774</v>
      </c>
      <c r="D1181" s="593">
        <v>2017</v>
      </c>
      <c r="E1181" s="590" t="s">
        <v>775</v>
      </c>
      <c r="F1181" s="593">
        <v>6</v>
      </c>
      <c r="G1181" s="593">
        <v>23</v>
      </c>
      <c r="H1181" s="593">
        <v>23</v>
      </c>
      <c r="I1181" s="593">
        <v>0</v>
      </c>
      <c r="J1181" s="593">
        <v>2</v>
      </c>
      <c r="K1181" s="593">
        <v>7</v>
      </c>
      <c r="L1181" s="593">
        <v>6</v>
      </c>
      <c r="M1181" s="593">
        <v>1</v>
      </c>
      <c r="N1181" s="593">
        <v>4</v>
      </c>
      <c r="O1181" s="593">
        <v>3</v>
      </c>
      <c r="P1181" s="593">
        <v>15</v>
      </c>
      <c r="Q1181" s="593">
        <v>22</v>
      </c>
      <c r="R1181" s="593">
        <v>27</v>
      </c>
      <c r="S1181" s="593">
        <v>55</v>
      </c>
      <c r="T1181" s="593">
        <v>2017</v>
      </c>
      <c r="U1181" s="593">
        <v>2015</v>
      </c>
      <c r="V1181" s="589"/>
      <c r="W1181" s="589"/>
      <c r="X1181" s="589"/>
      <c r="Y1181" s="589"/>
      <c r="Z1181" s="589"/>
      <c r="AA1181" s="589"/>
      <c r="AB1181" s="589"/>
      <c r="AC1181" s="589"/>
      <c r="AD1181" s="589"/>
      <c r="AE1181" s="589"/>
      <c r="AF1181" s="589"/>
      <c r="AG1181" s="589"/>
      <c r="AH1181" s="589"/>
      <c r="AI1181" s="589"/>
      <c r="AJ1181" s="589"/>
      <c r="AK1181" s="589"/>
      <c r="AL1181" s="589"/>
      <c r="AM1181" s="589"/>
      <c r="AN1181" s="589"/>
      <c r="AO1181" s="589"/>
      <c r="AP1181" s="589"/>
      <c r="AQ1181" s="589"/>
      <c r="AR1181" s="589"/>
      <c r="AS1181" s="589"/>
    </row>
    <row r="1182" spans="1:45" ht="15">
      <c r="A1182" s="587" t="s">
        <v>201</v>
      </c>
      <c r="B1182" s="587" t="s">
        <v>730</v>
      </c>
      <c r="C1182" s="587" t="s">
        <v>812</v>
      </c>
      <c r="D1182" s="588">
        <v>2017</v>
      </c>
      <c r="E1182" s="587" t="s">
        <v>775</v>
      </c>
      <c r="F1182" s="588">
        <v>539</v>
      </c>
      <c r="G1182" s="588">
        <v>72</v>
      </c>
      <c r="H1182" s="588">
        <v>72</v>
      </c>
      <c r="I1182" s="588">
        <v>0</v>
      </c>
      <c r="J1182" s="588">
        <v>366</v>
      </c>
      <c r="K1182" s="588">
        <v>54</v>
      </c>
      <c r="L1182" s="588">
        <v>54</v>
      </c>
      <c r="M1182" s="588">
        <v>0</v>
      </c>
      <c r="N1182" s="588">
        <v>411</v>
      </c>
      <c r="O1182" s="588">
        <v>407</v>
      </c>
      <c r="P1182" s="588">
        <v>908</v>
      </c>
      <c r="Q1182" s="588">
        <v>200</v>
      </c>
      <c r="R1182" s="588">
        <v>2224</v>
      </c>
      <c r="S1182" s="588">
        <v>733</v>
      </c>
      <c r="T1182" s="588">
        <v>2017</v>
      </c>
      <c r="U1182" s="588">
        <v>2014</v>
      </c>
      <c r="V1182" s="589"/>
      <c r="W1182" s="589"/>
      <c r="X1182" s="589"/>
      <c r="Y1182" s="589"/>
      <c r="Z1182" s="589"/>
      <c r="AA1182" s="589"/>
      <c r="AB1182" s="589"/>
      <c r="AC1182" s="589"/>
      <c r="AD1182" s="589"/>
      <c r="AE1182" s="589"/>
      <c r="AF1182" s="589"/>
      <c r="AG1182" s="589"/>
      <c r="AH1182" s="589"/>
      <c r="AI1182" s="589"/>
      <c r="AJ1182" s="589"/>
      <c r="AK1182" s="589"/>
      <c r="AL1182" s="589"/>
      <c r="AM1182" s="589"/>
      <c r="AN1182" s="589"/>
      <c r="AO1182" s="589"/>
      <c r="AP1182" s="589"/>
      <c r="AQ1182" s="589"/>
      <c r="AR1182" s="589"/>
      <c r="AS1182" s="589"/>
    </row>
    <row r="1183" spans="1:45" ht="15">
      <c r="A1183" s="590" t="s">
        <v>187</v>
      </c>
      <c r="B1183" s="590" t="s">
        <v>651</v>
      </c>
      <c r="C1183" s="590" t="s">
        <v>774</v>
      </c>
      <c r="D1183" s="593">
        <v>2017</v>
      </c>
      <c r="E1183" s="590" t="s">
        <v>775</v>
      </c>
      <c r="F1183" s="593">
        <v>253</v>
      </c>
      <c r="G1183" s="593">
        <v>0</v>
      </c>
      <c r="H1183" s="593">
        <v>0</v>
      </c>
      <c r="I1183" s="593">
        <v>0</v>
      </c>
      <c r="J1183" s="593">
        <v>138</v>
      </c>
      <c r="K1183" s="593">
        <v>1</v>
      </c>
      <c r="L1183" s="593">
        <v>1</v>
      </c>
      <c r="M1183" s="593">
        <v>0</v>
      </c>
      <c r="N1183" s="593">
        <v>151</v>
      </c>
      <c r="O1183" s="593">
        <v>4</v>
      </c>
      <c r="P1183" s="593">
        <v>391</v>
      </c>
      <c r="Q1183" s="593">
        <v>59</v>
      </c>
      <c r="R1183" s="593">
        <v>933</v>
      </c>
      <c r="S1183" s="593">
        <v>64</v>
      </c>
      <c r="T1183" s="593">
        <v>2017</v>
      </c>
      <c r="U1183" s="593">
        <v>2015</v>
      </c>
      <c r="V1183" s="589"/>
      <c r="W1183" s="589"/>
      <c r="X1183" s="589"/>
      <c r="Y1183" s="589"/>
      <c r="Z1183" s="589"/>
      <c r="AA1183" s="589"/>
      <c r="AB1183" s="589"/>
      <c r="AC1183" s="589"/>
      <c r="AD1183" s="589"/>
      <c r="AE1183" s="589"/>
      <c r="AF1183" s="589"/>
      <c r="AG1183" s="589"/>
      <c r="AH1183" s="589"/>
      <c r="AI1183" s="589"/>
      <c r="AJ1183" s="589"/>
      <c r="AK1183" s="589"/>
      <c r="AL1183" s="589"/>
      <c r="AM1183" s="589"/>
      <c r="AN1183" s="589"/>
      <c r="AO1183" s="589"/>
      <c r="AP1183" s="589"/>
      <c r="AQ1183" s="589"/>
      <c r="AR1183" s="589"/>
      <c r="AS1183" s="589"/>
    </row>
    <row r="1184" spans="1:45" ht="15">
      <c r="A1184" s="587" t="s">
        <v>173</v>
      </c>
      <c r="B1184" s="587" t="s">
        <v>532</v>
      </c>
      <c r="C1184" s="587" t="s">
        <v>812</v>
      </c>
      <c r="D1184" s="588">
        <v>2017</v>
      </c>
      <c r="E1184" s="587" t="s">
        <v>775</v>
      </c>
      <c r="F1184" s="588">
        <v>21</v>
      </c>
      <c r="G1184" s="588">
        <v>0</v>
      </c>
      <c r="H1184" s="588">
        <v>0</v>
      </c>
      <c r="I1184" s="588">
        <v>0</v>
      </c>
      <c r="J1184" s="588">
        <v>14</v>
      </c>
      <c r="K1184" s="588">
        <v>0</v>
      </c>
      <c r="L1184" s="588">
        <v>0</v>
      </c>
      <c r="M1184" s="588">
        <v>0</v>
      </c>
      <c r="N1184" s="588">
        <v>16</v>
      </c>
      <c r="O1184" s="588">
        <v>2</v>
      </c>
      <c r="P1184" s="588">
        <v>32</v>
      </c>
      <c r="Q1184" s="588">
        <v>3</v>
      </c>
      <c r="R1184" s="588">
        <v>83</v>
      </c>
      <c r="S1184" s="588">
        <v>5</v>
      </c>
      <c r="T1184" s="588">
        <v>2017</v>
      </c>
      <c r="U1184" s="588">
        <v>2014</v>
      </c>
      <c r="V1184" s="589"/>
      <c r="W1184" s="589"/>
      <c r="X1184" s="589"/>
      <c r="Y1184" s="589"/>
      <c r="Z1184" s="589"/>
      <c r="AA1184" s="589"/>
      <c r="AB1184" s="589"/>
      <c r="AC1184" s="589"/>
      <c r="AD1184" s="589"/>
      <c r="AE1184" s="589"/>
      <c r="AF1184" s="589"/>
      <c r="AG1184" s="589"/>
      <c r="AH1184" s="589"/>
      <c r="AI1184" s="589"/>
      <c r="AJ1184" s="589"/>
      <c r="AK1184" s="589"/>
      <c r="AL1184" s="589"/>
      <c r="AM1184" s="589"/>
      <c r="AN1184" s="589"/>
      <c r="AO1184" s="589"/>
      <c r="AP1184" s="589"/>
      <c r="AQ1184" s="589"/>
      <c r="AR1184" s="589"/>
      <c r="AS1184" s="589"/>
    </row>
    <row r="1185" spans="1:45" ht="15">
      <c r="A1185" s="590" t="s">
        <v>188</v>
      </c>
      <c r="B1185" s="590" t="s">
        <v>666</v>
      </c>
      <c r="C1185" s="590" t="s">
        <v>177</v>
      </c>
      <c r="D1185" s="593">
        <v>2017</v>
      </c>
      <c r="E1185" s="590" t="s">
        <v>775</v>
      </c>
      <c r="F1185" s="593">
        <v>34</v>
      </c>
      <c r="G1185" s="593">
        <v>0</v>
      </c>
      <c r="H1185" s="593">
        <v>0</v>
      </c>
      <c r="I1185" s="593">
        <v>0</v>
      </c>
      <c r="J1185" s="593">
        <v>23</v>
      </c>
      <c r="K1185" s="593">
        <v>0</v>
      </c>
      <c r="L1185" s="593">
        <v>0</v>
      </c>
      <c r="M1185" s="593">
        <v>0</v>
      </c>
      <c r="N1185" s="593">
        <v>26</v>
      </c>
      <c r="O1185" s="593">
        <v>1</v>
      </c>
      <c r="P1185" s="593">
        <v>60</v>
      </c>
      <c r="Q1185" s="593">
        <v>20</v>
      </c>
      <c r="R1185" s="593">
        <v>143</v>
      </c>
      <c r="S1185" s="593">
        <v>21</v>
      </c>
      <c r="T1185" s="593">
        <v>2017</v>
      </c>
      <c r="U1185" s="593">
        <v>2016</v>
      </c>
      <c r="V1185" s="589"/>
      <c r="W1185" s="589"/>
      <c r="X1185" s="589"/>
      <c r="Y1185" s="589"/>
      <c r="Z1185" s="589"/>
      <c r="AA1185" s="589"/>
      <c r="AB1185" s="589"/>
      <c r="AC1185" s="589"/>
      <c r="AD1185" s="589"/>
      <c r="AE1185" s="589"/>
      <c r="AF1185" s="589"/>
      <c r="AG1185" s="589"/>
      <c r="AH1185" s="589"/>
      <c r="AI1185" s="589"/>
      <c r="AJ1185" s="589"/>
      <c r="AK1185" s="589"/>
      <c r="AL1185" s="589"/>
      <c r="AM1185" s="589"/>
      <c r="AN1185" s="589"/>
      <c r="AO1185" s="589"/>
      <c r="AP1185" s="589"/>
      <c r="AQ1185" s="589"/>
      <c r="AR1185" s="589"/>
      <c r="AS1185" s="589"/>
    </row>
    <row r="1186" spans="1:45" ht="15">
      <c r="A1186" s="587" t="s">
        <v>179</v>
      </c>
      <c r="B1186" s="587" t="s">
        <v>590</v>
      </c>
      <c r="C1186" s="587" t="s">
        <v>855</v>
      </c>
      <c r="D1186" s="588">
        <v>2017</v>
      </c>
      <c r="E1186" s="587" t="s">
        <v>775</v>
      </c>
      <c r="F1186" s="588">
        <v>912</v>
      </c>
      <c r="G1186" s="588">
        <v>0</v>
      </c>
      <c r="H1186" s="588">
        <v>0</v>
      </c>
      <c r="I1186" s="588">
        <v>0</v>
      </c>
      <c r="J1186" s="588">
        <v>693</v>
      </c>
      <c r="K1186" s="588">
        <v>10</v>
      </c>
      <c r="L1186" s="588">
        <v>8</v>
      </c>
      <c r="M1186" s="588">
        <v>2</v>
      </c>
      <c r="N1186" s="588">
        <v>1062</v>
      </c>
      <c r="O1186" s="588">
        <v>18</v>
      </c>
      <c r="P1186" s="588">
        <v>2332</v>
      </c>
      <c r="Q1186" s="588">
        <v>624</v>
      </c>
      <c r="R1186" s="588">
        <v>4999</v>
      </c>
      <c r="S1186" s="588">
        <v>652</v>
      </c>
      <c r="T1186" s="588">
        <v>2017</v>
      </c>
      <c r="U1186" s="588">
        <v>2013</v>
      </c>
      <c r="V1186" s="589"/>
      <c r="W1186" s="589"/>
      <c r="X1186" s="589"/>
      <c r="Y1186" s="589"/>
      <c r="Z1186" s="589"/>
      <c r="AA1186" s="589"/>
      <c r="AB1186" s="589"/>
      <c r="AC1186" s="589"/>
      <c r="AD1186" s="589"/>
      <c r="AE1186" s="589"/>
      <c r="AF1186" s="589"/>
      <c r="AG1186" s="589"/>
      <c r="AH1186" s="589"/>
      <c r="AI1186" s="589"/>
      <c r="AJ1186" s="589"/>
      <c r="AK1186" s="589"/>
      <c r="AL1186" s="589"/>
      <c r="AM1186" s="589"/>
      <c r="AN1186" s="589"/>
      <c r="AO1186" s="589"/>
      <c r="AP1186" s="589"/>
      <c r="AQ1186" s="589"/>
      <c r="AR1186" s="589"/>
      <c r="AS1186" s="589"/>
    </row>
    <row r="1187" spans="1:45" ht="15">
      <c r="A1187" s="590" t="s">
        <v>185</v>
      </c>
      <c r="B1187" s="590" t="s">
        <v>644</v>
      </c>
      <c r="C1187" s="590" t="s">
        <v>868</v>
      </c>
      <c r="D1187" s="593">
        <v>2017</v>
      </c>
      <c r="E1187" s="590" t="s">
        <v>775</v>
      </c>
      <c r="F1187" s="593">
        <v>39</v>
      </c>
      <c r="G1187" s="593">
        <v>0</v>
      </c>
      <c r="H1187" s="593">
        <v>0</v>
      </c>
      <c r="I1187" s="593">
        <v>0</v>
      </c>
      <c r="J1187" s="593">
        <v>26</v>
      </c>
      <c r="K1187" s="593">
        <v>3</v>
      </c>
      <c r="L1187" s="593">
        <v>3</v>
      </c>
      <c r="M1187" s="593">
        <v>0</v>
      </c>
      <c r="N1187" s="593">
        <v>34</v>
      </c>
      <c r="O1187" s="593">
        <v>0</v>
      </c>
      <c r="P1187" s="593">
        <v>64</v>
      </c>
      <c r="Q1187" s="593">
        <v>0</v>
      </c>
      <c r="R1187" s="593">
        <v>163</v>
      </c>
      <c r="S1187" s="593">
        <v>3</v>
      </c>
      <c r="T1187" s="593">
        <v>2017</v>
      </c>
      <c r="U1187" s="593">
        <v>2015</v>
      </c>
      <c r="V1187" s="589"/>
      <c r="W1187" s="589"/>
      <c r="X1187" s="589"/>
      <c r="Y1187" s="589"/>
      <c r="Z1187" s="589"/>
      <c r="AA1187" s="589"/>
      <c r="AB1187" s="589"/>
      <c r="AC1187" s="589"/>
      <c r="AD1187" s="589"/>
      <c r="AE1187" s="589"/>
      <c r="AF1187" s="589"/>
      <c r="AG1187" s="589"/>
      <c r="AH1187" s="589"/>
      <c r="AI1187" s="589"/>
      <c r="AJ1187" s="589"/>
      <c r="AK1187" s="589"/>
      <c r="AL1187" s="589"/>
      <c r="AM1187" s="589"/>
      <c r="AN1187" s="589"/>
      <c r="AO1187" s="589"/>
      <c r="AP1187" s="589"/>
      <c r="AQ1187" s="589"/>
      <c r="AR1187" s="589"/>
      <c r="AS1187" s="589"/>
    </row>
    <row r="1188" spans="1:45" ht="15">
      <c r="A1188" s="587" t="s">
        <v>153</v>
      </c>
      <c r="B1188" s="587" t="s">
        <v>360</v>
      </c>
      <c r="C1188" s="587" t="s">
        <v>812</v>
      </c>
      <c r="D1188" s="588">
        <v>2017</v>
      </c>
      <c r="E1188" s="587" t="s">
        <v>775</v>
      </c>
      <c r="F1188" s="588">
        <v>447</v>
      </c>
      <c r="G1188" s="588">
        <v>39</v>
      </c>
      <c r="H1188" s="588">
        <v>39</v>
      </c>
      <c r="I1188" s="588">
        <v>0</v>
      </c>
      <c r="J1188" s="588">
        <v>263</v>
      </c>
      <c r="K1188" s="588">
        <v>56</v>
      </c>
      <c r="L1188" s="588">
        <v>56</v>
      </c>
      <c r="M1188" s="588">
        <v>0</v>
      </c>
      <c r="N1188" s="588">
        <v>280</v>
      </c>
      <c r="O1188" s="588">
        <v>84</v>
      </c>
      <c r="P1188" s="588">
        <v>708</v>
      </c>
      <c r="Q1188" s="588">
        <v>0</v>
      </c>
      <c r="R1188" s="588">
        <v>1698</v>
      </c>
      <c r="S1188" s="588">
        <v>179</v>
      </c>
      <c r="T1188" s="588">
        <v>2017</v>
      </c>
      <c r="U1188" s="588">
        <v>2014</v>
      </c>
      <c r="V1188" s="589"/>
      <c r="W1188" s="589"/>
      <c r="X1188" s="589"/>
      <c r="Y1188" s="589"/>
      <c r="Z1188" s="589"/>
      <c r="AA1188" s="589"/>
      <c r="AB1188" s="589"/>
      <c r="AC1188" s="589"/>
      <c r="AD1188" s="589"/>
      <c r="AE1188" s="589"/>
      <c r="AF1188" s="589"/>
      <c r="AG1188" s="589"/>
      <c r="AH1188" s="589"/>
      <c r="AI1188" s="589"/>
      <c r="AJ1188" s="589"/>
      <c r="AK1188" s="589"/>
      <c r="AL1188" s="589"/>
      <c r="AM1188" s="589"/>
      <c r="AN1188" s="589"/>
      <c r="AO1188" s="589"/>
      <c r="AP1188" s="589"/>
      <c r="AQ1188" s="589"/>
      <c r="AR1188" s="589"/>
      <c r="AS1188" s="589"/>
    </row>
    <row r="1189" spans="1:45" ht="15">
      <c r="A1189" s="590" t="s">
        <v>173</v>
      </c>
      <c r="B1189" s="590" t="s">
        <v>533</v>
      </c>
      <c r="C1189" s="590" t="s">
        <v>812</v>
      </c>
      <c r="D1189" s="593">
        <v>2017</v>
      </c>
      <c r="E1189" s="590" t="s">
        <v>775</v>
      </c>
      <c r="F1189" s="593">
        <v>141</v>
      </c>
      <c r="G1189" s="593">
        <v>0</v>
      </c>
      <c r="H1189" s="593">
        <v>0</v>
      </c>
      <c r="I1189" s="593">
        <v>0</v>
      </c>
      <c r="J1189" s="593">
        <v>95</v>
      </c>
      <c r="K1189" s="593">
        <v>0</v>
      </c>
      <c r="L1189" s="593">
        <v>0</v>
      </c>
      <c r="M1189" s="593">
        <v>0</v>
      </c>
      <c r="N1189" s="593">
        <v>110</v>
      </c>
      <c r="O1189" s="593">
        <v>69</v>
      </c>
      <c r="P1189" s="593">
        <v>254</v>
      </c>
      <c r="Q1189" s="593">
        <v>0</v>
      </c>
      <c r="R1189" s="593">
        <v>600</v>
      </c>
      <c r="S1189" s="593">
        <v>69</v>
      </c>
      <c r="T1189" s="593">
        <v>2017</v>
      </c>
      <c r="U1189" s="593">
        <v>2014</v>
      </c>
      <c r="V1189" s="589"/>
      <c r="W1189" s="589"/>
      <c r="X1189" s="589"/>
      <c r="Y1189" s="589"/>
      <c r="Z1189" s="589"/>
      <c r="AA1189" s="589"/>
      <c r="AB1189" s="589"/>
      <c r="AC1189" s="589"/>
      <c r="AD1189" s="589"/>
      <c r="AE1189" s="589"/>
      <c r="AF1189" s="589"/>
      <c r="AG1189" s="589"/>
      <c r="AH1189" s="589"/>
      <c r="AI1189" s="589"/>
      <c r="AJ1189" s="589"/>
      <c r="AK1189" s="589"/>
      <c r="AL1189" s="589"/>
      <c r="AM1189" s="589"/>
      <c r="AN1189" s="589"/>
      <c r="AO1189" s="589"/>
      <c r="AP1189" s="589"/>
      <c r="AQ1189" s="589"/>
      <c r="AR1189" s="589"/>
      <c r="AS1189" s="589"/>
    </row>
    <row r="1190" spans="1:45" ht="15">
      <c r="A1190" s="587" t="s">
        <v>195</v>
      </c>
      <c r="B1190" s="587" t="s">
        <v>703</v>
      </c>
      <c r="C1190" s="587" t="s">
        <v>177</v>
      </c>
      <c r="D1190" s="588">
        <v>2017</v>
      </c>
      <c r="E1190" s="587" t="s">
        <v>775</v>
      </c>
      <c r="F1190" s="588">
        <v>622</v>
      </c>
      <c r="G1190" s="588">
        <v>0</v>
      </c>
      <c r="H1190" s="588">
        <v>0</v>
      </c>
      <c r="I1190" s="588">
        <v>0</v>
      </c>
      <c r="J1190" s="588">
        <v>399</v>
      </c>
      <c r="K1190" s="588">
        <v>0</v>
      </c>
      <c r="L1190" s="588">
        <v>0</v>
      </c>
      <c r="M1190" s="588">
        <v>0</v>
      </c>
      <c r="N1190" s="588">
        <v>446</v>
      </c>
      <c r="O1190" s="588">
        <v>5</v>
      </c>
      <c r="P1190" s="588">
        <v>1104</v>
      </c>
      <c r="Q1190" s="588">
        <v>0</v>
      </c>
      <c r="R1190" s="588">
        <v>2571</v>
      </c>
      <c r="S1190" s="588">
        <v>5</v>
      </c>
      <c r="T1190" s="588">
        <v>2017</v>
      </c>
      <c r="U1190" s="588">
        <v>2016</v>
      </c>
      <c r="V1190" s="589"/>
      <c r="W1190" s="589"/>
      <c r="X1190" s="589"/>
      <c r="Y1190" s="589"/>
      <c r="Z1190" s="589"/>
      <c r="AA1190" s="589"/>
      <c r="AB1190" s="589"/>
      <c r="AC1190" s="589"/>
      <c r="AD1190" s="589"/>
      <c r="AE1190" s="589"/>
      <c r="AF1190" s="589"/>
      <c r="AG1190" s="589"/>
      <c r="AH1190" s="589"/>
      <c r="AI1190" s="589"/>
      <c r="AJ1190" s="589"/>
      <c r="AK1190" s="589"/>
      <c r="AL1190" s="589"/>
      <c r="AM1190" s="589"/>
      <c r="AN1190" s="589"/>
      <c r="AO1190" s="589"/>
      <c r="AP1190" s="589"/>
      <c r="AQ1190" s="589"/>
      <c r="AR1190" s="589"/>
      <c r="AS1190" s="589"/>
    </row>
    <row r="1191" spans="1:45" ht="15">
      <c r="A1191" s="590" t="s">
        <v>153</v>
      </c>
      <c r="B1191" s="590" t="s">
        <v>361</v>
      </c>
      <c r="C1191" s="590" t="s">
        <v>812</v>
      </c>
      <c r="D1191" s="593">
        <v>2017</v>
      </c>
      <c r="E1191" s="590" t="s">
        <v>775</v>
      </c>
      <c r="F1191" s="593">
        <v>23</v>
      </c>
      <c r="G1191" s="593">
        <v>0</v>
      </c>
      <c r="H1191" s="593">
        <v>0</v>
      </c>
      <c r="I1191" s="593">
        <v>0</v>
      </c>
      <c r="J1191" s="593">
        <v>14</v>
      </c>
      <c r="K1191" s="593">
        <v>0</v>
      </c>
      <c r="L1191" s="593">
        <v>0</v>
      </c>
      <c r="M1191" s="593">
        <v>0</v>
      </c>
      <c r="N1191" s="593">
        <v>14</v>
      </c>
      <c r="O1191" s="593">
        <v>0</v>
      </c>
      <c r="P1191" s="593">
        <v>35</v>
      </c>
      <c r="Q1191" s="593">
        <v>0</v>
      </c>
      <c r="R1191" s="593">
        <v>86</v>
      </c>
      <c r="S1191" s="593">
        <v>0</v>
      </c>
      <c r="T1191" s="593">
        <v>2017</v>
      </c>
      <c r="U1191" s="593">
        <v>2014</v>
      </c>
      <c r="V1191" s="589"/>
      <c r="W1191" s="589"/>
      <c r="X1191" s="589"/>
      <c r="Y1191" s="589"/>
      <c r="Z1191" s="589"/>
      <c r="AA1191" s="589"/>
      <c r="AB1191" s="589"/>
      <c r="AC1191" s="589"/>
      <c r="AD1191" s="589"/>
      <c r="AE1191" s="589"/>
      <c r="AF1191" s="589"/>
      <c r="AG1191" s="589"/>
      <c r="AH1191" s="589"/>
      <c r="AI1191" s="589"/>
      <c r="AJ1191" s="589"/>
      <c r="AK1191" s="589"/>
      <c r="AL1191" s="589"/>
      <c r="AM1191" s="589"/>
      <c r="AN1191" s="589"/>
      <c r="AO1191" s="589"/>
      <c r="AP1191" s="589"/>
      <c r="AQ1191" s="589"/>
      <c r="AR1191" s="589"/>
      <c r="AS1191" s="589"/>
    </row>
    <row r="1192" spans="1:45" ht="15">
      <c r="A1192" s="587" t="s">
        <v>131</v>
      </c>
      <c r="B1192" s="587" t="s">
        <v>257</v>
      </c>
      <c r="C1192" s="587" t="s">
        <v>786</v>
      </c>
      <c r="D1192" s="588">
        <v>2017</v>
      </c>
      <c r="E1192" s="587" t="s">
        <v>775</v>
      </c>
      <c r="F1192" s="588">
        <v>974</v>
      </c>
      <c r="G1192" s="588">
        <v>0</v>
      </c>
      <c r="H1192" s="588">
        <v>0</v>
      </c>
      <c r="I1192" s="588">
        <v>0</v>
      </c>
      <c r="J1192" s="588">
        <v>643</v>
      </c>
      <c r="K1192" s="588">
        <v>2</v>
      </c>
      <c r="L1192" s="588">
        <v>2</v>
      </c>
      <c r="M1192" s="588">
        <v>0</v>
      </c>
      <c r="N1192" s="588">
        <v>708</v>
      </c>
      <c r="O1192" s="588">
        <v>260</v>
      </c>
      <c r="P1192" s="588">
        <v>1638</v>
      </c>
      <c r="Q1192" s="588">
        <v>376</v>
      </c>
      <c r="R1192" s="588">
        <v>3963</v>
      </c>
      <c r="S1192" s="588">
        <v>638</v>
      </c>
      <c r="T1192" s="588">
        <v>2017</v>
      </c>
      <c r="U1192" s="588">
        <v>2014</v>
      </c>
      <c r="V1192" s="589"/>
      <c r="W1192" s="589"/>
      <c r="X1192" s="589"/>
      <c r="Y1192" s="589"/>
      <c r="Z1192" s="589"/>
      <c r="AA1192" s="589"/>
      <c r="AB1192" s="589"/>
      <c r="AC1192" s="589"/>
      <c r="AD1192" s="589"/>
      <c r="AE1192" s="589"/>
      <c r="AF1192" s="589"/>
      <c r="AG1192" s="589"/>
      <c r="AH1192" s="589"/>
      <c r="AI1192" s="589"/>
      <c r="AJ1192" s="589"/>
      <c r="AK1192" s="589"/>
      <c r="AL1192" s="589"/>
      <c r="AM1192" s="589"/>
      <c r="AN1192" s="589"/>
      <c r="AO1192" s="589"/>
      <c r="AP1192" s="589"/>
      <c r="AQ1192" s="589"/>
      <c r="AR1192" s="589"/>
      <c r="AS1192" s="589"/>
    </row>
    <row r="1193" spans="1:45" ht="15">
      <c r="A1193" s="590" t="s">
        <v>178</v>
      </c>
      <c r="B1193" s="590" t="s">
        <v>570</v>
      </c>
      <c r="C1193" s="590" t="s">
        <v>812</v>
      </c>
      <c r="D1193" s="593">
        <v>2017</v>
      </c>
      <c r="E1193" s="590" t="s">
        <v>775</v>
      </c>
      <c r="F1193" s="593">
        <v>707</v>
      </c>
      <c r="G1193" s="593">
        <v>0</v>
      </c>
      <c r="H1193" s="593">
        <v>0</v>
      </c>
      <c r="I1193" s="593">
        <v>0</v>
      </c>
      <c r="J1193" s="593">
        <v>478</v>
      </c>
      <c r="K1193" s="593">
        <v>0</v>
      </c>
      <c r="L1193" s="593">
        <v>0</v>
      </c>
      <c r="M1193" s="593">
        <v>0</v>
      </c>
      <c r="N1193" s="593">
        <v>533</v>
      </c>
      <c r="O1193" s="593">
        <v>0</v>
      </c>
      <c r="P1193" s="593">
        <v>1176</v>
      </c>
      <c r="Q1193" s="593">
        <v>630</v>
      </c>
      <c r="R1193" s="593">
        <v>2894</v>
      </c>
      <c r="S1193" s="593">
        <v>630</v>
      </c>
      <c r="T1193" s="593">
        <v>2017</v>
      </c>
      <c r="U1193" s="593">
        <v>2014</v>
      </c>
      <c r="V1193" s="589"/>
      <c r="W1193" s="589"/>
      <c r="X1193" s="589"/>
      <c r="Y1193" s="589"/>
      <c r="Z1193" s="589"/>
      <c r="AA1193" s="589"/>
      <c r="AB1193" s="589"/>
      <c r="AC1193" s="589"/>
      <c r="AD1193" s="589"/>
      <c r="AE1193" s="589"/>
      <c r="AF1193" s="589"/>
      <c r="AG1193" s="589"/>
      <c r="AH1193" s="589"/>
      <c r="AI1193" s="589"/>
      <c r="AJ1193" s="589"/>
      <c r="AK1193" s="589"/>
      <c r="AL1193" s="589"/>
      <c r="AM1193" s="589"/>
      <c r="AN1193" s="589"/>
      <c r="AO1193" s="589"/>
      <c r="AP1193" s="589"/>
      <c r="AQ1193" s="589"/>
      <c r="AR1193" s="589"/>
      <c r="AS1193" s="589"/>
    </row>
    <row r="1194" spans="1:45" ht="15">
      <c r="A1194" s="587" t="s">
        <v>178</v>
      </c>
      <c r="B1194" s="587" t="s">
        <v>571</v>
      </c>
      <c r="C1194" s="587" t="s">
        <v>812</v>
      </c>
      <c r="D1194" s="588">
        <v>2017</v>
      </c>
      <c r="E1194" s="587" t="s">
        <v>775</v>
      </c>
      <c r="F1194" s="588">
        <v>217</v>
      </c>
      <c r="G1194" s="588">
        <v>0</v>
      </c>
      <c r="H1194" s="588">
        <v>0</v>
      </c>
      <c r="I1194" s="588">
        <v>0</v>
      </c>
      <c r="J1194" s="588">
        <v>148</v>
      </c>
      <c r="K1194" s="588">
        <v>0</v>
      </c>
      <c r="L1194" s="588">
        <v>0</v>
      </c>
      <c r="M1194" s="588">
        <v>0</v>
      </c>
      <c r="N1194" s="588">
        <v>164</v>
      </c>
      <c r="O1194" s="588">
        <v>668</v>
      </c>
      <c r="P1194" s="588">
        <v>333</v>
      </c>
      <c r="Q1194" s="588">
        <v>362</v>
      </c>
      <c r="R1194" s="588">
        <v>862</v>
      </c>
      <c r="S1194" s="588">
        <v>1030</v>
      </c>
      <c r="T1194" s="588">
        <v>2017</v>
      </c>
      <c r="U1194" s="588">
        <v>2014</v>
      </c>
      <c r="V1194" s="589"/>
      <c r="W1194" s="589"/>
      <c r="X1194" s="589"/>
      <c r="Y1194" s="589"/>
      <c r="Z1194" s="589"/>
      <c r="AA1194" s="589"/>
      <c r="AB1194" s="589"/>
      <c r="AC1194" s="589"/>
      <c r="AD1194" s="589"/>
      <c r="AE1194" s="589"/>
      <c r="AF1194" s="589"/>
      <c r="AG1194" s="589"/>
      <c r="AH1194" s="589"/>
      <c r="AI1194" s="589"/>
      <c r="AJ1194" s="589"/>
      <c r="AK1194" s="589"/>
      <c r="AL1194" s="589"/>
      <c r="AM1194" s="589"/>
      <c r="AN1194" s="589"/>
      <c r="AO1194" s="589"/>
      <c r="AP1194" s="589"/>
      <c r="AQ1194" s="589"/>
      <c r="AR1194" s="589"/>
      <c r="AS1194" s="589"/>
    </row>
    <row r="1195" spans="1:45" ht="15">
      <c r="A1195" s="590" t="s">
        <v>179</v>
      </c>
      <c r="B1195" s="590" t="s">
        <v>591</v>
      </c>
      <c r="C1195" s="590" t="s">
        <v>855</v>
      </c>
      <c r="D1195" s="593">
        <v>2017</v>
      </c>
      <c r="E1195" s="590" t="s">
        <v>775</v>
      </c>
      <c r="F1195" s="593">
        <v>3209</v>
      </c>
      <c r="G1195" s="593">
        <v>0</v>
      </c>
      <c r="H1195" s="593">
        <v>0</v>
      </c>
      <c r="I1195" s="593">
        <v>0</v>
      </c>
      <c r="J1195" s="593">
        <v>2439</v>
      </c>
      <c r="K1195" s="593">
        <v>0</v>
      </c>
      <c r="L1195" s="593">
        <v>0</v>
      </c>
      <c r="M1195" s="593">
        <v>0</v>
      </c>
      <c r="N1195" s="593">
        <v>2257</v>
      </c>
      <c r="O1195" s="593">
        <v>13</v>
      </c>
      <c r="P1195" s="593">
        <v>4956</v>
      </c>
      <c r="Q1195" s="593">
        <v>1043</v>
      </c>
      <c r="R1195" s="593">
        <v>12861</v>
      </c>
      <c r="S1195" s="593">
        <v>1056</v>
      </c>
      <c r="T1195" s="593">
        <v>2017</v>
      </c>
      <c r="U1195" s="593">
        <v>2013</v>
      </c>
      <c r="V1195" s="589"/>
      <c r="W1195" s="589"/>
      <c r="X1195" s="589"/>
      <c r="Y1195" s="589"/>
      <c r="Z1195" s="589"/>
      <c r="AA1195" s="589"/>
      <c r="AB1195" s="589"/>
      <c r="AC1195" s="589"/>
      <c r="AD1195" s="589"/>
      <c r="AE1195" s="589"/>
      <c r="AF1195" s="589"/>
      <c r="AG1195" s="589"/>
      <c r="AH1195" s="589"/>
      <c r="AI1195" s="589"/>
      <c r="AJ1195" s="589"/>
      <c r="AK1195" s="589"/>
      <c r="AL1195" s="589"/>
      <c r="AM1195" s="589"/>
      <c r="AN1195" s="589"/>
      <c r="AO1195" s="589"/>
      <c r="AP1195" s="589"/>
      <c r="AQ1195" s="589"/>
      <c r="AR1195" s="589"/>
      <c r="AS1195" s="589"/>
    </row>
    <row r="1196" spans="1:45" ht="15">
      <c r="A1196" s="587" t="s">
        <v>174</v>
      </c>
      <c r="B1196" s="587" t="s">
        <v>556</v>
      </c>
      <c r="C1196" s="587" t="s">
        <v>799</v>
      </c>
      <c r="D1196" s="588">
        <v>2017</v>
      </c>
      <c r="E1196" s="587" t="s">
        <v>775</v>
      </c>
      <c r="F1196" s="588">
        <v>146</v>
      </c>
      <c r="G1196" s="588">
        <v>1</v>
      </c>
      <c r="H1196" s="588">
        <v>0</v>
      </c>
      <c r="I1196" s="588">
        <v>1</v>
      </c>
      <c r="J1196" s="588">
        <v>102</v>
      </c>
      <c r="K1196" s="588">
        <v>0</v>
      </c>
      <c r="L1196" s="588">
        <v>0</v>
      </c>
      <c r="M1196" s="588">
        <v>0</v>
      </c>
      <c r="N1196" s="588">
        <v>130</v>
      </c>
      <c r="O1196" s="588">
        <v>0</v>
      </c>
      <c r="P1196" s="588">
        <v>318</v>
      </c>
      <c r="Q1196" s="588">
        <v>12</v>
      </c>
      <c r="R1196" s="588">
        <v>696</v>
      </c>
      <c r="S1196" s="588">
        <v>13</v>
      </c>
      <c r="T1196" s="588">
        <v>2017</v>
      </c>
      <c r="U1196" s="588">
        <v>2014</v>
      </c>
      <c r="V1196" s="589"/>
      <c r="W1196" s="589"/>
      <c r="X1196" s="589"/>
      <c r="Y1196" s="589"/>
      <c r="Z1196" s="589"/>
      <c r="AA1196" s="589"/>
      <c r="AB1196" s="589"/>
      <c r="AC1196" s="589"/>
      <c r="AD1196" s="589"/>
      <c r="AE1196" s="589"/>
      <c r="AF1196" s="589"/>
      <c r="AG1196" s="589"/>
      <c r="AH1196" s="589"/>
      <c r="AI1196" s="589"/>
      <c r="AJ1196" s="589"/>
      <c r="AK1196" s="589"/>
      <c r="AL1196" s="589"/>
      <c r="AM1196" s="589"/>
      <c r="AN1196" s="589"/>
      <c r="AO1196" s="589"/>
      <c r="AP1196" s="589"/>
      <c r="AQ1196" s="589"/>
      <c r="AR1196" s="589"/>
      <c r="AS1196" s="589"/>
    </row>
    <row r="1197" spans="1:45" ht="15">
      <c r="A1197" s="590" t="s">
        <v>153</v>
      </c>
      <c r="B1197" s="591" t="s">
        <v>362</v>
      </c>
      <c r="C1197" s="591" t="s">
        <v>812</v>
      </c>
      <c r="D1197" s="592">
        <v>2017</v>
      </c>
      <c r="E1197" s="591" t="s">
        <v>775</v>
      </c>
      <c r="F1197" s="592">
        <v>98</v>
      </c>
      <c r="G1197" s="592">
        <v>0</v>
      </c>
      <c r="H1197" s="592">
        <v>0</v>
      </c>
      <c r="I1197" s="592">
        <v>0</v>
      </c>
      <c r="J1197" s="592">
        <v>59</v>
      </c>
      <c r="K1197" s="592">
        <v>0</v>
      </c>
      <c r="L1197" s="592">
        <v>0</v>
      </c>
      <c r="M1197" s="592">
        <v>0</v>
      </c>
      <c r="N1197" s="593">
        <v>64</v>
      </c>
      <c r="O1197" s="593">
        <v>16</v>
      </c>
      <c r="P1197" s="593">
        <v>152</v>
      </c>
      <c r="Q1197" s="593">
        <v>316</v>
      </c>
      <c r="R1197" s="593">
        <v>373</v>
      </c>
      <c r="S1197" s="593">
        <v>332</v>
      </c>
      <c r="T1197" s="593">
        <v>2017</v>
      </c>
      <c r="U1197" s="593">
        <v>2014</v>
      </c>
      <c r="V1197" s="589"/>
      <c r="W1197" s="589"/>
      <c r="X1197" s="589"/>
      <c r="Y1197" s="589"/>
      <c r="Z1197" s="589"/>
      <c r="AA1197" s="589"/>
      <c r="AB1197" s="589"/>
      <c r="AC1197" s="589"/>
      <c r="AD1197" s="589"/>
      <c r="AE1197" s="589"/>
      <c r="AF1197" s="589"/>
      <c r="AG1197" s="589"/>
      <c r="AH1197" s="589"/>
      <c r="AI1197" s="589"/>
      <c r="AJ1197" s="589"/>
      <c r="AK1197" s="589"/>
      <c r="AL1197" s="589"/>
      <c r="AM1197" s="589"/>
      <c r="AN1197" s="589"/>
      <c r="AO1197" s="589"/>
      <c r="AP1197" s="589"/>
      <c r="AQ1197" s="589"/>
      <c r="AR1197" s="589"/>
      <c r="AS1197" s="589"/>
    </row>
    <row r="1198" spans="1:45" ht="15">
      <c r="A1198" s="587" t="s">
        <v>136</v>
      </c>
      <c r="B1198" s="587" t="s">
        <v>267</v>
      </c>
      <c r="C1198" s="587" t="s">
        <v>774</v>
      </c>
      <c r="D1198" s="588">
        <v>2017</v>
      </c>
      <c r="E1198" s="587" t="s">
        <v>775</v>
      </c>
      <c r="F1198" s="588">
        <v>51</v>
      </c>
      <c r="G1198" s="588">
        <v>0</v>
      </c>
      <c r="H1198" s="588">
        <v>0</v>
      </c>
      <c r="I1198" s="588">
        <v>0</v>
      </c>
      <c r="J1198" s="588">
        <v>25</v>
      </c>
      <c r="K1198" s="588">
        <v>1</v>
      </c>
      <c r="L1198" s="588">
        <v>0</v>
      </c>
      <c r="M1198" s="588">
        <v>1</v>
      </c>
      <c r="N1198" s="588">
        <v>31</v>
      </c>
      <c r="O1198" s="588">
        <v>0</v>
      </c>
      <c r="P1198" s="588">
        <v>34</v>
      </c>
      <c r="Q1198" s="588">
        <v>8</v>
      </c>
      <c r="R1198" s="588">
        <v>141</v>
      </c>
      <c r="S1198" s="588">
        <v>9</v>
      </c>
      <c r="T1198" s="588">
        <v>2017</v>
      </c>
      <c r="U1198" s="588">
        <v>2015</v>
      </c>
      <c r="V1198" s="589"/>
      <c r="W1198" s="589"/>
      <c r="X1198" s="589"/>
      <c r="Y1198" s="589"/>
      <c r="Z1198" s="589"/>
      <c r="AA1198" s="589"/>
      <c r="AB1198" s="589"/>
      <c r="AC1198" s="589"/>
      <c r="AD1198" s="589"/>
      <c r="AE1198" s="589"/>
      <c r="AF1198" s="589"/>
      <c r="AG1198" s="589"/>
      <c r="AH1198" s="589"/>
      <c r="AI1198" s="589"/>
      <c r="AJ1198" s="589"/>
      <c r="AK1198" s="589"/>
      <c r="AL1198" s="589"/>
      <c r="AM1198" s="589"/>
      <c r="AN1198" s="589"/>
      <c r="AO1198" s="589"/>
      <c r="AP1198" s="589"/>
      <c r="AQ1198" s="589"/>
      <c r="AR1198" s="589"/>
      <c r="AS1198" s="589"/>
    </row>
    <row r="1199" spans="1:45" ht="15">
      <c r="A1199" s="590" t="s">
        <v>151</v>
      </c>
      <c r="B1199" s="591" t="s">
        <v>341</v>
      </c>
      <c r="C1199" s="591" t="s">
        <v>784</v>
      </c>
      <c r="D1199" s="592">
        <v>2017</v>
      </c>
      <c r="E1199" s="591" t="s">
        <v>775</v>
      </c>
      <c r="F1199" s="592">
        <v>108</v>
      </c>
      <c r="G1199" s="592">
        <v>1</v>
      </c>
      <c r="H1199" s="592">
        <v>0</v>
      </c>
      <c r="I1199" s="592">
        <v>1</v>
      </c>
      <c r="J1199" s="592">
        <v>67</v>
      </c>
      <c r="K1199" s="592">
        <v>1</v>
      </c>
      <c r="L1199" s="592">
        <v>0</v>
      </c>
      <c r="M1199" s="592">
        <v>1</v>
      </c>
      <c r="N1199" s="593">
        <v>87</v>
      </c>
      <c r="O1199" s="593">
        <v>0</v>
      </c>
      <c r="P1199" s="593">
        <v>205</v>
      </c>
      <c r="Q1199" s="593">
        <v>0</v>
      </c>
      <c r="R1199" s="593">
        <v>467</v>
      </c>
      <c r="S1199" s="593">
        <v>2</v>
      </c>
      <c r="T1199" s="593">
        <v>2017</v>
      </c>
      <c r="U1199" s="593">
        <v>2014</v>
      </c>
      <c r="V1199" s="589"/>
      <c r="W1199" s="589"/>
      <c r="X1199" s="589"/>
      <c r="Y1199" s="589"/>
      <c r="Z1199" s="589"/>
      <c r="AA1199" s="589"/>
      <c r="AB1199" s="589"/>
      <c r="AC1199" s="589"/>
      <c r="AD1199" s="589"/>
      <c r="AE1199" s="589"/>
      <c r="AF1199" s="589"/>
      <c r="AG1199" s="589"/>
      <c r="AH1199" s="589"/>
      <c r="AI1199" s="589"/>
      <c r="AJ1199" s="589"/>
      <c r="AK1199" s="589"/>
      <c r="AL1199" s="589"/>
      <c r="AM1199" s="589"/>
      <c r="AN1199" s="589"/>
      <c r="AO1199" s="589"/>
      <c r="AP1199" s="589"/>
      <c r="AQ1199" s="589"/>
      <c r="AR1199" s="589"/>
      <c r="AS1199" s="589"/>
    </row>
    <row r="1200" spans="1:45" ht="15">
      <c r="A1200" s="587" t="s">
        <v>193</v>
      </c>
      <c r="B1200" s="587" t="s">
        <v>694</v>
      </c>
      <c r="C1200" s="587" t="s">
        <v>774</v>
      </c>
      <c r="D1200" s="588">
        <v>2017</v>
      </c>
      <c r="E1200" s="587" t="s">
        <v>775</v>
      </c>
      <c r="F1200" s="588">
        <v>39</v>
      </c>
      <c r="G1200" s="588">
        <v>0</v>
      </c>
      <c r="H1200" s="588">
        <v>0</v>
      </c>
      <c r="I1200" s="588">
        <v>0</v>
      </c>
      <c r="J1200" s="588">
        <v>29</v>
      </c>
      <c r="K1200" s="588">
        <v>0</v>
      </c>
      <c r="L1200" s="588">
        <v>0</v>
      </c>
      <c r="M1200" s="588">
        <v>0</v>
      </c>
      <c r="N1200" s="588">
        <v>31</v>
      </c>
      <c r="O1200" s="588">
        <v>3</v>
      </c>
      <c r="P1200" s="588">
        <v>112</v>
      </c>
      <c r="Q1200" s="588">
        <v>22</v>
      </c>
      <c r="R1200" s="588">
        <v>211</v>
      </c>
      <c r="S1200" s="588">
        <v>25</v>
      </c>
      <c r="T1200" s="588">
        <v>2017</v>
      </c>
      <c r="U1200" s="588">
        <v>2015</v>
      </c>
      <c r="V1200" s="589"/>
      <c r="W1200" s="589"/>
      <c r="X1200" s="589"/>
      <c r="Y1200" s="589"/>
      <c r="Z1200" s="589"/>
      <c r="AA1200" s="589"/>
      <c r="AB1200" s="589"/>
      <c r="AC1200" s="589"/>
      <c r="AD1200" s="589"/>
      <c r="AE1200" s="589"/>
      <c r="AF1200" s="589"/>
      <c r="AG1200" s="589"/>
      <c r="AH1200" s="589"/>
      <c r="AI1200" s="589"/>
      <c r="AJ1200" s="589"/>
      <c r="AK1200" s="589"/>
      <c r="AL1200" s="589"/>
      <c r="AM1200" s="589"/>
      <c r="AN1200" s="589"/>
      <c r="AO1200" s="589"/>
      <c r="AP1200" s="589"/>
      <c r="AQ1200" s="589"/>
      <c r="AR1200" s="589"/>
      <c r="AS1200" s="589"/>
    </row>
    <row r="1201" spans="1:45" ht="15">
      <c r="A1201" s="590" t="s">
        <v>141</v>
      </c>
      <c r="B1201" s="591" t="s">
        <v>290</v>
      </c>
      <c r="C1201" s="591" t="s">
        <v>177</v>
      </c>
      <c r="D1201" s="592">
        <v>2017</v>
      </c>
      <c r="E1201" s="591" t="s">
        <v>775</v>
      </c>
      <c r="F1201" s="592">
        <v>2321</v>
      </c>
      <c r="G1201" s="592">
        <v>0</v>
      </c>
      <c r="H1201" s="592">
        <v>0</v>
      </c>
      <c r="I1201" s="592">
        <v>0</v>
      </c>
      <c r="J1201" s="592">
        <v>1145</v>
      </c>
      <c r="K1201" s="592">
        <v>20</v>
      </c>
      <c r="L1201" s="592">
        <v>20</v>
      </c>
      <c r="M1201" s="592">
        <v>0</v>
      </c>
      <c r="N1201" s="593">
        <v>1018</v>
      </c>
      <c r="O1201" s="593">
        <v>480</v>
      </c>
      <c r="P1201" s="593">
        <v>1844</v>
      </c>
      <c r="Q1201" s="593">
        <v>542</v>
      </c>
      <c r="R1201" s="593">
        <v>6328</v>
      </c>
      <c r="S1201" s="593">
        <v>1042</v>
      </c>
      <c r="T1201" s="593">
        <v>2017</v>
      </c>
      <c r="U1201" s="593">
        <v>2016</v>
      </c>
      <c r="V1201" s="589"/>
      <c r="W1201" s="589"/>
      <c r="X1201" s="589"/>
      <c r="Y1201" s="589"/>
      <c r="Z1201" s="589"/>
      <c r="AA1201" s="589"/>
      <c r="AB1201" s="589"/>
      <c r="AC1201" s="589"/>
      <c r="AD1201" s="589"/>
      <c r="AE1201" s="589"/>
      <c r="AF1201" s="589"/>
      <c r="AG1201" s="589"/>
      <c r="AH1201" s="589"/>
      <c r="AI1201" s="589"/>
      <c r="AJ1201" s="589"/>
      <c r="AK1201" s="589"/>
      <c r="AL1201" s="589"/>
      <c r="AM1201" s="589"/>
      <c r="AN1201" s="589"/>
      <c r="AO1201" s="589"/>
      <c r="AP1201" s="589"/>
      <c r="AQ1201" s="589"/>
      <c r="AR1201" s="589"/>
      <c r="AS1201" s="589"/>
    </row>
    <row r="1202" spans="1:45" ht="15">
      <c r="A1202" s="587" t="s">
        <v>173</v>
      </c>
      <c r="B1202" s="587" t="s">
        <v>534</v>
      </c>
      <c r="C1202" s="587" t="s">
        <v>812</v>
      </c>
      <c r="D1202" s="588">
        <v>2017</v>
      </c>
      <c r="E1202" s="587" t="s">
        <v>775</v>
      </c>
      <c r="F1202" s="588">
        <v>1555</v>
      </c>
      <c r="G1202" s="588">
        <v>26</v>
      </c>
      <c r="H1202" s="588">
        <v>26</v>
      </c>
      <c r="I1202" s="588">
        <v>0</v>
      </c>
      <c r="J1202" s="588">
        <v>1059</v>
      </c>
      <c r="K1202" s="588">
        <v>19</v>
      </c>
      <c r="L1202" s="588">
        <v>19</v>
      </c>
      <c r="M1202" s="588">
        <v>0</v>
      </c>
      <c r="N1202" s="588">
        <v>1212</v>
      </c>
      <c r="O1202" s="588">
        <v>0</v>
      </c>
      <c r="P1202" s="588">
        <v>2945</v>
      </c>
      <c r="Q1202" s="588">
        <v>0</v>
      </c>
      <c r="R1202" s="588">
        <v>6771</v>
      </c>
      <c r="S1202" s="588">
        <v>45</v>
      </c>
      <c r="T1202" s="588">
        <v>2017</v>
      </c>
      <c r="U1202" s="588">
        <v>2014</v>
      </c>
      <c r="V1202" s="589"/>
      <c r="W1202" s="589"/>
      <c r="X1202" s="589"/>
      <c r="Y1202" s="589"/>
      <c r="Z1202" s="589"/>
      <c r="AA1202" s="589"/>
      <c r="AB1202" s="589"/>
      <c r="AC1202" s="589"/>
      <c r="AD1202" s="589"/>
      <c r="AE1202" s="589"/>
      <c r="AF1202" s="589"/>
      <c r="AG1202" s="589"/>
      <c r="AH1202" s="589"/>
      <c r="AI1202" s="589"/>
      <c r="AJ1202" s="589"/>
      <c r="AK1202" s="589"/>
      <c r="AL1202" s="589"/>
      <c r="AM1202" s="589"/>
      <c r="AN1202" s="589"/>
      <c r="AO1202" s="589"/>
      <c r="AP1202" s="589"/>
      <c r="AQ1202" s="589"/>
      <c r="AR1202" s="589"/>
      <c r="AS1202" s="589"/>
    </row>
    <row r="1203" spans="1:45" ht="15">
      <c r="A1203" s="590" t="s">
        <v>141</v>
      </c>
      <c r="B1203" s="591" t="s">
        <v>291</v>
      </c>
      <c r="C1203" s="591" t="s">
        <v>177</v>
      </c>
      <c r="D1203" s="592">
        <v>2017</v>
      </c>
      <c r="E1203" s="591" t="s">
        <v>775</v>
      </c>
      <c r="F1203" s="592">
        <v>150</v>
      </c>
      <c r="G1203" s="592">
        <v>0</v>
      </c>
      <c r="H1203" s="592">
        <v>0</v>
      </c>
      <c r="I1203" s="592">
        <v>0</v>
      </c>
      <c r="J1203" s="592">
        <v>115</v>
      </c>
      <c r="K1203" s="592">
        <v>0</v>
      </c>
      <c r="L1203" s="592">
        <v>0</v>
      </c>
      <c r="M1203" s="592">
        <v>0</v>
      </c>
      <c r="N1203" s="593">
        <v>123</v>
      </c>
      <c r="O1203" s="593">
        <v>3</v>
      </c>
      <c r="P1203" s="593">
        <v>201</v>
      </c>
      <c r="Q1203" s="593">
        <v>39</v>
      </c>
      <c r="R1203" s="593">
        <v>589</v>
      </c>
      <c r="S1203" s="593">
        <v>42</v>
      </c>
      <c r="T1203" s="593">
        <v>2017</v>
      </c>
      <c r="U1203" s="593">
        <v>2016</v>
      </c>
      <c r="V1203" s="589"/>
      <c r="W1203" s="589"/>
      <c r="X1203" s="589"/>
      <c r="Y1203" s="589"/>
      <c r="Z1203" s="589"/>
      <c r="AA1203" s="589"/>
      <c r="AB1203" s="589"/>
      <c r="AC1203" s="589"/>
      <c r="AD1203" s="589"/>
      <c r="AE1203" s="589"/>
      <c r="AF1203" s="589"/>
      <c r="AG1203" s="589"/>
      <c r="AH1203" s="589"/>
      <c r="AI1203" s="589"/>
      <c r="AJ1203" s="589"/>
      <c r="AK1203" s="589"/>
      <c r="AL1203" s="589"/>
      <c r="AM1203" s="589"/>
      <c r="AN1203" s="589"/>
      <c r="AO1203" s="589"/>
      <c r="AP1203" s="589"/>
      <c r="AQ1203" s="589"/>
      <c r="AR1203" s="589"/>
      <c r="AS1203" s="589"/>
    </row>
    <row r="1204" spans="1:45" ht="15">
      <c r="A1204" s="587" t="s">
        <v>170</v>
      </c>
      <c r="B1204" s="587" t="s">
        <v>520</v>
      </c>
      <c r="C1204" s="587" t="s">
        <v>799</v>
      </c>
      <c r="D1204" s="588">
        <v>2017</v>
      </c>
      <c r="E1204" s="587" t="s">
        <v>775</v>
      </c>
      <c r="F1204" s="588">
        <v>10</v>
      </c>
      <c r="G1204" s="588">
        <v>0</v>
      </c>
      <c r="H1204" s="588">
        <v>0</v>
      </c>
      <c r="I1204" s="588">
        <v>0</v>
      </c>
      <c r="J1204" s="588">
        <v>7</v>
      </c>
      <c r="K1204" s="588">
        <v>0</v>
      </c>
      <c r="L1204" s="588">
        <v>0</v>
      </c>
      <c r="M1204" s="588">
        <v>0</v>
      </c>
      <c r="N1204" s="588">
        <v>10</v>
      </c>
      <c r="O1204" s="588">
        <v>0</v>
      </c>
      <c r="P1204" s="588">
        <v>24</v>
      </c>
      <c r="Q1204" s="588">
        <v>0</v>
      </c>
      <c r="R1204" s="588">
        <v>51</v>
      </c>
      <c r="S1204" s="588">
        <v>0</v>
      </c>
      <c r="T1204" s="588">
        <v>2017</v>
      </c>
      <c r="U1204" s="588">
        <v>2014</v>
      </c>
      <c r="V1204" s="589"/>
      <c r="W1204" s="589"/>
      <c r="X1204" s="589"/>
      <c r="Y1204" s="589"/>
      <c r="Z1204" s="589"/>
      <c r="AA1204" s="589"/>
      <c r="AB1204" s="589"/>
      <c r="AC1204" s="589"/>
      <c r="AD1204" s="589"/>
      <c r="AE1204" s="589"/>
      <c r="AF1204" s="589"/>
      <c r="AG1204" s="589"/>
      <c r="AH1204" s="589"/>
      <c r="AI1204" s="589"/>
      <c r="AJ1204" s="589"/>
      <c r="AK1204" s="589"/>
      <c r="AL1204" s="589"/>
      <c r="AM1204" s="589"/>
      <c r="AN1204" s="589"/>
      <c r="AO1204" s="589"/>
      <c r="AP1204" s="589"/>
      <c r="AQ1204" s="589"/>
      <c r="AR1204" s="589"/>
      <c r="AS1204" s="589"/>
    </row>
    <row r="1205" spans="1:45" ht="15">
      <c r="A1205" s="590" t="s">
        <v>184</v>
      </c>
      <c r="B1205" s="591" t="s">
        <v>627</v>
      </c>
      <c r="C1205" s="591" t="s">
        <v>774</v>
      </c>
      <c r="D1205" s="592">
        <v>2017</v>
      </c>
      <c r="E1205" s="591" t="s">
        <v>775</v>
      </c>
      <c r="F1205" s="592">
        <v>20</v>
      </c>
      <c r="G1205" s="592">
        <v>0</v>
      </c>
      <c r="H1205" s="592">
        <v>0</v>
      </c>
      <c r="I1205" s="592">
        <v>0</v>
      </c>
      <c r="J1205" s="592">
        <v>8</v>
      </c>
      <c r="K1205" s="592">
        <v>0</v>
      </c>
      <c r="L1205" s="592">
        <v>0</v>
      </c>
      <c r="M1205" s="592">
        <v>0</v>
      </c>
      <c r="N1205" s="593">
        <v>9</v>
      </c>
      <c r="O1205" s="593">
        <v>0</v>
      </c>
      <c r="P1205" s="593">
        <v>22</v>
      </c>
      <c r="Q1205" s="593">
        <v>6</v>
      </c>
      <c r="R1205" s="593">
        <v>59</v>
      </c>
      <c r="S1205" s="593">
        <v>6</v>
      </c>
      <c r="T1205" s="593">
        <v>2017</v>
      </c>
      <c r="U1205" s="593">
        <v>2015</v>
      </c>
      <c r="V1205" s="589"/>
      <c r="W1205" s="589"/>
      <c r="X1205" s="589"/>
      <c r="Y1205" s="589"/>
      <c r="Z1205" s="589"/>
      <c r="AA1205" s="589"/>
      <c r="AB1205" s="589"/>
      <c r="AC1205" s="589"/>
      <c r="AD1205" s="589"/>
      <c r="AE1205" s="589"/>
      <c r="AF1205" s="589"/>
      <c r="AG1205" s="589"/>
      <c r="AH1205" s="589"/>
      <c r="AI1205" s="589"/>
      <c r="AJ1205" s="589"/>
      <c r="AK1205" s="589"/>
      <c r="AL1205" s="589"/>
      <c r="AM1205" s="589"/>
      <c r="AN1205" s="589"/>
      <c r="AO1205" s="589"/>
      <c r="AP1205" s="589"/>
      <c r="AQ1205" s="589"/>
      <c r="AR1205" s="589"/>
      <c r="AS1205" s="589"/>
    </row>
    <row r="1206" spans="1:45" ht="15">
      <c r="A1206" s="587" t="s">
        <v>178</v>
      </c>
      <c r="B1206" s="587" t="s">
        <v>572</v>
      </c>
      <c r="C1206" s="587" t="s">
        <v>812</v>
      </c>
      <c r="D1206" s="588">
        <v>2017</v>
      </c>
      <c r="E1206" s="587" t="s">
        <v>775</v>
      </c>
      <c r="F1206" s="588">
        <v>443</v>
      </c>
      <c r="G1206" s="588">
        <v>0</v>
      </c>
      <c r="H1206" s="588">
        <v>0</v>
      </c>
      <c r="I1206" s="588">
        <v>0</v>
      </c>
      <c r="J1206" s="588">
        <v>302</v>
      </c>
      <c r="K1206" s="588">
        <v>0</v>
      </c>
      <c r="L1206" s="588">
        <v>0</v>
      </c>
      <c r="M1206" s="588">
        <v>0</v>
      </c>
      <c r="N1206" s="588">
        <v>347</v>
      </c>
      <c r="O1206" s="588">
        <v>2</v>
      </c>
      <c r="P1206" s="588">
        <v>831</v>
      </c>
      <c r="Q1206" s="588">
        <v>16</v>
      </c>
      <c r="R1206" s="588">
        <v>1923</v>
      </c>
      <c r="S1206" s="588">
        <v>18</v>
      </c>
      <c r="T1206" s="588">
        <v>2017</v>
      </c>
      <c r="U1206" s="588">
        <v>2014</v>
      </c>
      <c r="V1206" s="589"/>
      <c r="W1206" s="589"/>
      <c r="X1206" s="589"/>
      <c r="Y1206" s="589"/>
      <c r="Z1206" s="589"/>
      <c r="AA1206" s="589"/>
      <c r="AB1206" s="589"/>
      <c r="AC1206" s="589"/>
      <c r="AD1206" s="589"/>
      <c r="AE1206" s="589"/>
      <c r="AF1206" s="589"/>
      <c r="AG1206" s="589"/>
      <c r="AH1206" s="589"/>
      <c r="AI1206" s="589"/>
      <c r="AJ1206" s="589"/>
      <c r="AK1206" s="589"/>
      <c r="AL1206" s="589"/>
      <c r="AM1206" s="589"/>
      <c r="AN1206" s="589"/>
      <c r="AO1206" s="589"/>
      <c r="AP1206" s="589"/>
      <c r="AQ1206" s="589"/>
      <c r="AR1206" s="589"/>
      <c r="AS1206" s="589"/>
    </row>
    <row r="1207" spans="1:45" ht="15">
      <c r="A1207" s="590" t="s">
        <v>135</v>
      </c>
      <c r="B1207" s="591" t="s">
        <v>263</v>
      </c>
      <c r="C1207" s="591" t="s">
        <v>784</v>
      </c>
      <c r="D1207" s="592">
        <v>2017</v>
      </c>
      <c r="E1207" s="591" t="s">
        <v>775</v>
      </c>
      <c r="F1207" s="592">
        <v>107</v>
      </c>
      <c r="G1207" s="592">
        <v>2</v>
      </c>
      <c r="H1207" s="592">
        <v>0</v>
      </c>
      <c r="I1207" s="592">
        <v>2</v>
      </c>
      <c r="J1207" s="592">
        <v>91</v>
      </c>
      <c r="K1207" s="592">
        <v>1</v>
      </c>
      <c r="L1207" s="592">
        <v>0</v>
      </c>
      <c r="M1207" s="592">
        <v>1</v>
      </c>
      <c r="N1207" s="593">
        <v>91</v>
      </c>
      <c r="O1207" s="593">
        <v>0</v>
      </c>
      <c r="P1207" s="593">
        <v>210</v>
      </c>
      <c r="Q1207" s="593">
        <v>6</v>
      </c>
      <c r="R1207" s="593">
        <v>499</v>
      </c>
      <c r="S1207" s="593">
        <v>9</v>
      </c>
      <c r="T1207" s="593">
        <v>2017</v>
      </c>
      <c r="U1207" s="593">
        <v>2014</v>
      </c>
      <c r="V1207" s="589"/>
      <c r="W1207" s="589"/>
      <c r="X1207" s="589"/>
      <c r="Y1207" s="589"/>
      <c r="Z1207" s="589"/>
      <c r="AA1207" s="589"/>
      <c r="AB1207" s="589"/>
      <c r="AC1207" s="589"/>
      <c r="AD1207" s="589"/>
      <c r="AE1207" s="589"/>
      <c r="AF1207" s="589"/>
      <c r="AG1207" s="589"/>
      <c r="AH1207" s="589"/>
      <c r="AI1207" s="589"/>
      <c r="AJ1207" s="589"/>
      <c r="AK1207" s="589"/>
      <c r="AL1207" s="589"/>
      <c r="AM1207" s="589"/>
      <c r="AN1207" s="589"/>
      <c r="AO1207" s="589"/>
      <c r="AP1207" s="589"/>
      <c r="AQ1207" s="589"/>
      <c r="AR1207" s="589"/>
      <c r="AS1207" s="589"/>
    </row>
    <row r="1208" spans="1:45" ht="15">
      <c r="A1208" s="587" t="s">
        <v>136</v>
      </c>
      <c r="B1208" s="587" t="s">
        <v>268</v>
      </c>
      <c r="C1208" s="587" t="s">
        <v>774</v>
      </c>
      <c r="D1208" s="588">
        <v>2017</v>
      </c>
      <c r="E1208" s="587" t="s">
        <v>775</v>
      </c>
      <c r="F1208" s="588">
        <v>798</v>
      </c>
      <c r="G1208" s="588">
        <v>0</v>
      </c>
      <c r="H1208" s="588">
        <v>0</v>
      </c>
      <c r="I1208" s="588">
        <v>0</v>
      </c>
      <c r="J1208" s="588">
        <v>444</v>
      </c>
      <c r="K1208" s="588">
        <v>0</v>
      </c>
      <c r="L1208" s="588">
        <v>0</v>
      </c>
      <c r="M1208" s="588">
        <v>0</v>
      </c>
      <c r="N1208" s="588">
        <v>559</v>
      </c>
      <c r="O1208" s="588">
        <v>0</v>
      </c>
      <c r="P1208" s="588">
        <v>1677</v>
      </c>
      <c r="Q1208" s="588">
        <v>53</v>
      </c>
      <c r="R1208" s="588">
        <v>3478</v>
      </c>
      <c r="S1208" s="588">
        <v>53</v>
      </c>
      <c r="T1208" s="588">
        <v>2017</v>
      </c>
      <c r="U1208" s="588">
        <v>2015</v>
      </c>
      <c r="V1208" s="589"/>
      <c r="W1208" s="589"/>
      <c r="X1208" s="589"/>
      <c r="Y1208" s="589"/>
      <c r="Z1208" s="589"/>
      <c r="AA1208" s="589"/>
      <c r="AB1208" s="589"/>
      <c r="AC1208" s="589"/>
      <c r="AD1208" s="589"/>
      <c r="AE1208" s="589"/>
      <c r="AF1208" s="589"/>
      <c r="AG1208" s="589"/>
      <c r="AH1208" s="589"/>
      <c r="AI1208" s="589"/>
      <c r="AJ1208" s="589"/>
      <c r="AK1208" s="589"/>
      <c r="AL1208" s="589"/>
      <c r="AM1208" s="589"/>
      <c r="AN1208" s="589"/>
      <c r="AO1208" s="589"/>
      <c r="AP1208" s="589"/>
      <c r="AQ1208" s="589"/>
      <c r="AR1208" s="589"/>
      <c r="AS1208" s="589"/>
    </row>
    <row r="1209" spans="1:45" ht="15">
      <c r="A1209" s="590" t="s">
        <v>136</v>
      </c>
      <c r="B1209" s="591" t="s">
        <v>269</v>
      </c>
      <c r="C1209" s="591" t="s">
        <v>774</v>
      </c>
      <c r="D1209" s="592">
        <v>2017</v>
      </c>
      <c r="E1209" s="591" t="s">
        <v>775</v>
      </c>
      <c r="F1209" s="592">
        <v>374</v>
      </c>
      <c r="G1209" s="592">
        <v>0</v>
      </c>
      <c r="H1209" s="592">
        <v>0</v>
      </c>
      <c r="I1209" s="592">
        <v>0</v>
      </c>
      <c r="J1209" s="592">
        <v>218</v>
      </c>
      <c r="K1209" s="592">
        <v>3</v>
      </c>
      <c r="L1209" s="592">
        <v>3</v>
      </c>
      <c r="M1209" s="592">
        <v>0</v>
      </c>
      <c r="N1209" s="593">
        <v>243</v>
      </c>
      <c r="O1209" s="593">
        <v>31</v>
      </c>
      <c r="P1209" s="593">
        <v>532</v>
      </c>
      <c r="Q1209" s="593">
        <v>244</v>
      </c>
      <c r="R1209" s="593">
        <v>1367</v>
      </c>
      <c r="S1209" s="593">
        <v>278</v>
      </c>
      <c r="T1209" s="593">
        <v>2017</v>
      </c>
      <c r="U1209" s="593">
        <v>2015</v>
      </c>
      <c r="V1209" s="589"/>
      <c r="W1209" s="589"/>
      <c r="X1209" s="589"/>
      <c r="Y1209" s="589"/>
      <c r="Z1209" s="589"/>
      <c r="AA1209" s="589"/>
      <c r="AB1209" s="589"/>
      <c r="AC1209" s="589"/>
      <c r="AD1209" s="589"/>
      <c r="AE1209" s="589"/>
      <c r="AF1209" s="589"/>
      <c r="AG1209" s="589"/>
      <c r="AH1209" s="589"/>
      <c r="AI1209" s="589"/>
      <c r="AJ1209" s="589"/>
      <c r="AK1209" s="589"/>
      <c r="AL1209" s="589"/>
      <c r="AM1209" s="589"/>
      <c r="AN1209" s="589"/>
      <c r="AO1209" s="589"/>
      <c r="AP1209" s="589"/>
      <c r="AQ1209" s="589"/>
      <c r="AR1209" s="589"/>
      <c r="AS1209" s="589"/>
    </row>
    <row r="1210" spans="1:45" ht="15">
      <c r="A1210" s="587" t="s">
        <v>173</v>
      </c>
      <c r="B1210" s="587" t="s">
        <v>535</v>
      </c>
      <c r="C1210" s="587" t="s">
        <v>812</v>
      </c>
      <c r="D1210" s="588">
        <v>2017</v>
      </c>
      <c r="E1210" s="587" t="s">
        <v>775</v>
      </c>
      <c r="F1210" s="588">
        <v>192</v>
      </c>
      <c r="G1210" s="588">
        <v>0</v>
      </c>
      <c r="H1210" s="588">
        <v>0</v>
      </c>
      <c r="I1210" s="588">
        <v>0</v>
      </c>
      <c r="J1210" s="588">
        <v>128</v>
      </c>
      <c r="K1210" s="588">
        <v>0</v>
      </c>
      <c r="L1210" s="588">
        <v>0</v>
      </c>
      <c r="M1210" s="588">
        <v>0</v>
      </c>
      <c r="N1210" s="588">
        <v>142</v>
      </c>
      <c r="O1210" s="588">
        <v>4</v>
      </c>
      <c r="P1210" s="588">
        <v>308</v>
      </c>
      <c r="Q1210" s="588">
        <v>207</v>
      </c>
      <c r="R1210" s="588">
        <v>770</v>
      </c>
      <c r="S1210" s="588">
        <v>211</v>
      </c>
      <c r="T1210" s="588">
        <v>2017</v>
      </c>
      <c r="U1210" s="588">
        <v>2014</v>
      </c>
      <c r="V1210" s="589"/>
      <c r="W1210" s="589"/>
      <c r="X1210" s="589"/>
      <c r="Y1210" s="589"/>
      <c r="Z1210" s="589"/>
      <c r="AA1210" s="589"/>
      <c r="AB1210" s="589"/>
      <c r="AC1210" s="589"/>
      <c r="AD1210" s="589"/>
      <c r="AE1210" s="589"/>
      <c r="AF1210" s="589"/>
      <c r="AG1210" s="589"/>
      <c r="AH1210" s="589"/>
      <c r="AI1210" s="589"/>
      <c r="AJ1210" s="589"/>
      <c r="AK1210" s="589"/>
      <c r="AL1210" s="589"/>
      <c r="AM1210" s="589"/>
      <c r="AN1210" s="589"/>
      <c r="AO1210" s="589"/>
      <c r="AP1210" s="589"/>
      <c r="AQ1210" s="589"/>
      <c r="AR1210" s="589"/>
      <c r="AS1210" s="589"/>
    </row>
    <row r="1211" spans="1:45" ht="15">
      <c r="A1211" s="590" t="s">
        <v>179</v>
      </c>
      <c r="B1211" s="591" t="s">
        <v>592</v>
      </c>
      <c r="C1211" s="591" t="s">
        <v>855</v>
      </c>
      <c r="D1211" s="592">
        <v>2017</v>
      </c>
      <c r="E1211" s="591" t="s">
        <v>775</v>
      </c>
      <c r="F1211" s="592">
        <v>13</v>
      </c>
      <c r="G1211" s="592">
        <v>0</v>
      </c>
      <c r="H1211" s="592">
        <v>0</v>
      </c>
      <c r="I1211" s="592">
        <v>0</v>
      </c>
      <c r="J1211" s="592">
        <v>9</v>
      </c>
      <c r="K1211" s="592">
        <v>0</v>
      </c>
      <c r="L1211" s="592">
        <v>0</v>
      </c>
      <c r="M1211" s="592">
        <v>0</v>
      </c>
      <c r="N1211" s="593">
        <v>9</v>
      </c>
      <c r="O1211" s="593">
        <v>0</v>
      </c>
      <c r="P1211" s="593">
        <v>19</v>
      </c>
      <c r="Q1211" s="593">
        <v>36</v>
      </c>
      <c r="R1211" s="593">
        <v>50</v>
      </c>
      <c r="S1211" s="593">
        <v>36</v>
      </c>
      <c r="T1211" s="593">
        <v>2017</v>
      </c>
      <c r="U1211" s="593">
        <v>2013</v>
      </c>
      <c r="V1211" s="589"/>
      <c r="W1211" s="589"/>
      <c r="X1211" s="589"/>
      <c r="Y1211" s="589"/>
      <c r="Z1211" s="589"/>
      <c r="AA1211" s="589"/>
      <c r="AB1211" s="589"/>
      <c r="AC1211" s="589"/>
      <c r="AD1211" s="589"/>
      <c r="AE1211" s="589"/>
      <c r="AF1211" s="589"/>
      <c r="AG1211" s="589"/>
      <c r="AH1211" s="589"/>
      <c r="AI1211" s="589"/>
      <c r="AJ1211" s="589"/>
      <c r="AK1211" s="589"/>
      <c r="AL1211" s="589"/>
      <c r="AM1211" s="589"/>
      <c r="AN1211" s="589"/>
      <c r="AO1211" s="589"/>
      <c r="AP1211" s="589"/>
      <c r="AQ1211" s="589"/>
      <c r="AR1211" s="589"/>
      <c r="AS1211" s="589"/>
    </row>
    <row r="1212" spans="1:45" ht="15">
      <c r="A1212" s="587" t="s">
        <v>157</v>
      </c>
      <c r="B1212" s="587" t="s">
        <v>437</v>
      </c>
      <c r="C1212" s="587" t="s">
        <v>774</v>
      </c>
      <c r="D1212" s="588">
        <v>2017</v>
      </c>
      <c r="E1212" s="587" t="s">
        <v>775</v>
      </c>
      <c r="F1212" s="588">
        <v>22</v>
      </c>
      <c r="G1212" s="588">
        <v>1</v>
      </c>
      <c r="H1212" s="588">
        <v>0</v>
      </c>
      <c r="I1212" s="588">
        <v>1</v>
      </c>
      <c r="J1212" s="588">
        <v>13</v>
      </c>
      <c r="K1212" s="588">
        <v>0</v>
      </c>
      <c r="L1212" s="588">
        <v>0</v>
      </c>
      <c r="M1212" s="588">
        <v>0</v>
      </c>
      <c r="N1212" s="588">
        <v>13</v>
      </c>
      <c r="O1212" s="588">
        <v>2</v>
      </c>
      <c r="P1212" s="588">
        <v>24</v>
      </c>
      <c r="Q1212" s="588">
        <v>2</v>
      </c>
      <c r="R1212" s="588">
        <v>72</v>
      </c>
      <c r="S1212" s="588">
        <v>5</v>
      </c>
      <c r="T1212" s="588">
        <v>2017</v>
      </c>
      <c r="U1212" s="588">
        <v>2015</v>
      </c>
      <c r="V1212" s="589"/>
      <c r="W1212" s="589"/>
      <c r="X1212" s="589"/>
      <c r="Y1212" s="589"/>
      <c r="Z1212" s="589"/>
      <c r="AA1212" s="589"/>
      <c r="AB1212" s="589"/>
      <c r="AC1212" s="589"/>
      <c r="AD1212" s="589"/>
      <c r="AE1212" s="589"/>
      <c r="AF1212" s="589"/>
      <c r="AG1212" s="589"/>
      <c r="AH1212" s="589"/>
      <c r="AI1212" s="589"/>
      <c r="AJ1212" s="589"/>
      <c r="AK1212" s="589"/>
      <c r="AL1212" s="589"/>
      <c r="AM1212" s="589"/>
      <c r="AN1212" s="589"/>
      <c r="AO1212" s="589"/>
      <c r="AP1212" s="589"/>
      <c r="AQ1212" s="589"/>
      <c r="AR1212" s="589"/>
      <c r="AS1212" s="589"/>
    </row>
    <row r="1213" spans="1:45" ht="15">
      <c r="A1213" s="590" t="s">
        <v>169</v>
      </c>
      <c r="B1213" s="591" t="s">
        <v>489</v>
      </c>
      <c r="C1213" s="591" t="s">
        <v>812</v>
      </c>
      <c r="D1213" s="592">
        <v>2017</v>
      </c>
      <c r="E1213" s="591" t="s">
        <v>775</v>
      </c>
      <c r="F1213" s="592">
        <v>1</v>
      </c>
      <c r="G1213" s="592">
        <v>0</v>
      </c>
      <c r="H1213" s="592">
        <v>0</v>
      </c>
      <c r="I1213" s="592">
        <v>0</v>
      </c>
      <c r="J1213" s="592">
        <v>1</v>
      </c>
      <c r="K1213" s="592">
        <v>0</v>
      </c>
      <c r="L1213" s="592">
        <v>0</v>
      </c>
      <c r="M1213" s="592">
        <v>0</v>
      </c>
      <c r="N1213" s="593">
        <v>0</v>
      </c>
      <c r="O1213" s="593">
        <v>0</v>
      </c>
      <c r="P1213" s="593">
        <v>0</v>
      </c>
      <c r="Q1213" s="593">
        <v>260</v>
      </c>
      <c r="R1213" s="593">
        <v>2</v>
      </c>
      <c r="S1213" s="593">
        <v>260</v>
      </c>
      <c r="T1213" s="593">
        <v>2017</v>
      </c>
      <c r="U1213" s="593">
        <v>2014</v>
      </c>
      <c r="V1213" s="589"/>
      <c r="W1213" s="589"/>
      <c r="X1213" s="589"/>
      <c r="Y1213" s="589"/>
      <c r="Z1213" s="589"/>
      <c r="AA1213" s="589"/>
      <c r="AB1213" s="589"/>
      <c r="AC1213" s="589"/>
      <c r="AD1213" s="589"/>
      <c r="AE1213" s="589"/>
      <c r="AF1213" s="589"/>
      <c r="AG1213" s="589"/>
      <c r="AH1213" s="589"/>
      <c r="AI1213" s="589"/>
      <c r="AJ1213" s="589"/>
      <c r="AK1213" s="589"/>
      <c r="AL1213" s="589"/>
      <c r="AM1213" s="589"/>
      <c r="AN1213" s="589"/>
      <c r="AO1213" s="589"/>
      <c r="AP1213" s="589"/>
      <c r="AQ1213" s="589"/>
      <c r="AR1213" s="589"/>
      <c r="AS1213" s="589"/>
    </row>
    <row r="1214" spans="1:45" ht="15">
      <c r="A1214" s="587" t="s">
        <v>193</v>
      </c>
      <c r="B1214" s="587" t="s">
        <v>695</v>
      </c>
      <c r="C1214" s="587" t="s">
        <v>774</v>
      </c>
      <c r="D1214" s="588">
        <v>2017</v>
      </c>
      <c r="E1214" s="587" t="s">
        <v>775</v>
      </c>
      <c r="F1214" s="588">
        <v>35</v>
      </c>
      <c r="G1214" s="588">
        <v>3</v>
      </c>
      <c r="H1214" s="588">
        <v>3</v>
      </c>
      <c r="I1214" s="588">
        <v>0</v>
      </c>
      <c r="J1214" s="588">
        <v>18</v>
      </c>
      <c r="K1214" s="588">
        <v>10</v>
      </c>
      <c r="L1214" s="588">
        <v>0</v>
      </c>
      <c r="M1214" s="588">
        <v>10</v>
      </c>
      <c r="N1214" s="588">
        <v>18</v>
      </c>
      <c r="O1214" s="588">
        <v>11</v>
      </c>
      <c r="P1214" s="588">
        <v>66</v>
      </c>
      <c r="Q1214" s="588">
        <v>22</v>
      </c>
      <c r="R1214" s="588">
        <v>137</v>
      </c>
      <c r="S1214" s="588">
        <v>46</v>
      </c>
      <c r="T1214" s="588">
        <v>2017</v>
      </c>
      <c r="U1214" s="588">
        <v>2015</v>
      </c>
      <c r="V1214" s="589"/>
      <c r="W1214" s="589"/>
      <c r="X1214" s="589"/>
      <c r="Y1214" s="589"/>
      <c r="Z1214" s="589"/>
      <c r="AA1214" s="589"/>
      <c r="AB1214" s="589"/>
      <c r="AC1214" s="589"/>
      <c r="AD1214" s="589"/>
      <c r="AE1214" s="589"/>
      <c r="AF1214" s="589"/>
      <c r="AG1214" s="589"/>
      <c r="AH1214" s="589"/>
      <c r="AI1214" s="589"/>
      <c r="AJ1214" s="589"/>
      <c r="AK1214" s="589"/>
      <c r="AL1214" s="589"/>
      <c r="AM1214" s="589"/>
      <c r="AN1214" s="589"/>
      <c r="AO1214" s="589"/>
      <c r="AP1214" s="589"/>
      <c r="AQ1214" s="589"/>
      <c r="AR1214" s="589"/>
      <c r="AS1214" s="589"/>
    </row>
    <row r="1215" spans="1:45" ht="15">
      <c r="A1215" s="590" t="s">
        <v>138</v>
      </c>
      <c r="B1215" s="591" t="s">
        <v>285</v>
      </c>
      <c r="C1215" s="591" t="s">
        <v>784</v>
      </c>
      <c r="D1215" s="592">
        <v>2017</v>
      </c>
      <c r="E1215" s="591" t="s">
        <v>775</v>
      </c>
      <c r="F1215" s="592">
        <v>20</v>
      </c>
      <c r="G1215" s="592">
        <v>0</v>
      </c>
      <c r="H1215" s="592">
        <v>0</v>
      </c>
      <c r="I1215" s="592">
        <v>0</v>
      </c>
      <c r="J1215" s="592">
        <v>13</v>
      </c>
      <c r="K1215" s="592">
        <v>0</v>
      </c>
      <c r="L1215" s="592">
        <v>0</v>
      </c>
      <c r="M1215" s="592">
        <v>0</v>
      </c>
      <c r="N1215" s="593">
        <v>10</v>
      </c>
      <c r="O1215" s="593">
        <v>8</v>
      </c>
      <c r="P1215" s="593">
        <v>34</v>
      </c>
      <c r="Q1215" s="593">
        <v>0</v>
      </c>
      <c r="R1215" s="593">
        <v>77</v>
      </c>
      <c r="S1215" s="593">
        <v>8</v>
      </c>
      <c r="T1215" s="593">
        <v>2017</v>
      </c>
      <c r="U1215" s="593">
        <v>2014</v>
      </c>
      <c r="V1215" s="589"/>
      <c r="W1215" s="589"/>
      <c r="X1215" s="589"/>
      <c r="Y1215" s="589"/>
      <c r="Z1215" s="589"/>
      <c r="AA1215" s="589"/>
      <c r="AB1215" s="589"/>
      <c r="AC1215" s="589"/>
      <c r="AD1215" s="589"/>
      <c r="AE1215" s="589"/>
      <c r="AF1215" s="589"/>
      <c r="AG1215" s="589"/>
      <c r="AH1215" s="589"/>
      <c r="AI1215" s="589"/>
      <c r="AJ1215" s="589"/>
      <c r="AK1215" s="589"/>
      <c r="AL1215" s="589"/>
      <c r="AM1215" s="589"/>
      <c r="AN1215" s="589"/>
      <c r="AO1215" s="589"/>
      <c r="AP1215" s="589"/>
      <c r="AQ1215" s="589"/>
      <c r="AR1215" s="589"/>
      <c r="AS1215" s="589"/>
    </row>
    <row r="1216" spans="1:45" ht="15">
      <c r="A1216" s="587" t="s">
        <v>153</v>
      </c>
      <c r="B1216" s="587" t="s">
        <v>366</v>
      </c>
      <c r="C1216" s="587" t="s">
        <v>812</v>
      </c>
      <c r="D1216" s="588">
        <v>2017</v>
      </c>
      <c r="E1216" s="587" t="s">
        <v>775</v>
      </c>
      <c r="F1216" s="588">
        <v>80</v>
      </c>
      <c r="G1216" s="588">
        <v>0</v>
      </c>
      <c r="H1216" s="588">
        <v>0</v>
      </c>
      <c r="I1216" s="588">
        <v>0</v>
      </c>
      <c r="J1216" s="588">
        <v>46</v>
      </c>
      <c r="K1216" s="588">
        <v>0</v>
      </c>
      <c r="L1216" s="588">
        <v>0</v>
      </c>
      <c r="M1216" s="588">
        <v>0</v>
      </c>
      <c r="N1216" s="588">
        <v>51</v>
      </c>
      <c r="O1216" s="588">
        <v>0</v>
      </c>
      <c r="P1216" s="588">
        <v>141</v>
      </c>
      <c r="Q1216" s="588">
        <v>0</v>
      </c>
      <c r="R1216" s="588">
        <v>318</v>
      </c>
      <c r="S1216" s="588">
        <v>0</v>
      </c>
      <c r="T1216" s="588">
        <v>2017</v>
      </c>
      <c r="U1216" s="588">
        <v>2014</v>
      </c>
      <c r="V1216" s="589"/>
      <c r="W1216" s="589"/>
      <c r="X1216" s="589"/>
      <c r="Y1216" s="589"/>
      <c r="Z1216" s="589"/>
      <c r="AA1216" s="589"/>
      <c r="AB1216" s="589"/>
      <c r="AC1216" s="589"/>
      <c r="AD1216" s="589"/>
      <c r="AE1216" s="589"/>
      <c r="AF1216" s="589"/>
      <c r="AG1216" s="589"/>
      <c r="AH1216" s="589"/>
      <c r="AI1216" s="589"/>
      <c r="AJ1216" s="589"/>
      <c r="AK1216" s="589"/>
      <c r="AL1216" s="589"/>
      <c r="AM1216" s="589"/>
      <c r="AN1216" s="589"/>
      <c r="AO1216" s="589"/>
      <c r="AP1216" s="589"/>
      <c r="AQ1216" s="589"/>
      <c r="AR1216" s="589"/>
      <c r="AS1216" s="589"/>
    </row>
    <row r="1217" spans="1:45" ht="15">
      <c r="A1217" s="590" t="s">
        <v>153</v>
      </c>
      <c r="B1217" s="591" t="s">
        <v>367</v>
      </c>
      <c r="C1217" s="591" t="s">
        <v>812</v>
      </c>
      <c r="D1217" s="592">
        <v>2017</v>
      </c>
      <c r="E1217" s="591" t="s">
        <v>775</v>
      </c>
      <c r="F1217" s="592">
        <v>48</v>
      </c>
      <c r="G1217" s="592">
        <v>6</v>
      </c>
      <c r="H1217" s="592">
        <v>6</v>
      </c>
      <c r="I1217" s="592">
        <v>0</v>
      </c>
      <c r="J1217" s="592">
        <v>29</v>
      </c>
      <c r="K1217" s="592">
        <v>0</v>
      </c>
      <c r="L1217" s="592">
        <v>0</v>
      </c>
      <c r="M1217" s="592">
        <v>0</v>
      </c>
      <c r="N1217" s="593">
        <v>31</v>
      </c>
      <c r="O1217" s="593">
        <v>0</v>
      </c>
      <c r="P1217" s="593">
        <v>77</v>
      </c>
      <c r="Q1217" s="593">
        <v>83</v>
      </c>
      <c r="R1217" s="593">
        <v>185</v>
      </c>
      <c r="S1217" s="593">
        <v>89</v>
      </c>
      <c r="T1217" s="593">
        <v>2017</v>
      </c>
      <c r="U1217" s="593">
        <v>2014</v>
      </c>
      <c r="V1217" s="589"/>
      <c r="W1217" s="589"/>
      <c r="X1217" s="589"/>
      <c r="Y1217" s="589"/>
      <c r="Z1217" s="589"/>
      <c r="AA1217" s="589"/>
      <c r="AB1217" s="589"/>
      <c r="AC1217" s="589"/>
      <c r="AD1217" s="589"/>
      <c r="AE1217" s="589"/>
      <c r="AF1217" s="589"/>
      <c r="AG1217" s="589"/>
      <c r="AH1217" s="589"/>
      <c r="AI1217" s="589"/>
      <c r="AJ1217" s="589"/>
      <c r="AK1217" s="589"/>
      <c r="AL1217" s="589"/>
      <c r="AM1217" s="589"/>
      <c r="AN1217" s="589"/>
      <c r="AO1217" s="589"/>
      <c r="AP1217" s="589"/>
      <c r="AQ1217" s="589"/>
      <c r="AR1217" s="589"/>
      <c r="AS1217" s="589"/>
    </row>
    <row r="1218" spans="1:45" ht="15">
      <c r="A1218" s="587" t="s">
        <v>187</v>
      </c>
      <c r="B1218" s="587" t="s">
        <v>652</v>
      </c>
      <c r="C1218" s="587" t="s">
        <v>774</v>
      </c>
      <c r="D1218" s="588">
        <v>2017</v>
      </c>
      <c r="E1218" s="587" t="s">
        <v>775</v>
      </c>
      <c r="F1218" s="588">
        <v>356</v>
      </c>
      <c r="G1218" s="588">
        <v>0</v>
      </c>
      <c r="H1218" s="588">
        <v>0</v>
      </c>
      <c r="I1218" s="588">
        <v>0</v>
      </c>
      <c r="J1218" s="588">
        <v>207</v>
      </c>
      <c r="K1218" s="588">
        <v>0</v>
      </c>
      <c r="L1218" s="588">
        <v>0</v>
      </c>
      <c r="M1218" s="588">
        <v>0</v>
      </c>
      <c r="N1218" s="588">
        <v>231</v>
      </c>
      <c r="O1218" s="588">
        <v>12</v>
      </c>
      <c r="P1218" s="588">
        <v>270</v>
      </c>
      <c r="Q1218" s="588">
        <v>16</v>
      </c>
      <c r="R1218" s="588">
        <v>1064</v>
      </c>
      <c r="S1218" s="588">
        <v>28</v>
      </c>
      <c r="T1218" s="588">
        <v>2017</v>
      </c>
      <c r="U1218" s="588">
        <v>2015</v>
      </c>
      <c r="V1218" s="589"/>
      <c r="W1218" s="589"/>
      <c r="X1218" s="589"/>
      <c r="Y1218" s="589"/>
      <c r="Z1218" s="589"/>
      <c r="AA1218" s="589"/>
      <c r="AB1218" s="589"/>
      <c r="AC1218" s="589"/>
      <c r="AD1218" s="589"/>
      <c r="AE1218" s="589"/>
      <c r="AF1218" s="589"/>
      <c r="AG1218" s="589"/>
      <c r="AH1218" s="589"/>
      <c r="AI1218" s="589"/>
      <c r="AJ1218" s="589"/>
      <c r="AK1218" s="589"/>
      <c r="AL1218" s="589"/>
      <c r="AM1218" s="589"/>
      <c r="AN1218" s="589"/>
      <c r="AO1218" s="589"/>
      <c r="AP1218" s="589"/>
      <c r="AQ1218" s="589"/>
      <c r="AR1218" s="589"/>
      <c r="AS1218" s="589"/>
    </row>
    <row r="1219" spans="1:45" ht="15">
      <c r="A1219" s="590" t="s">
        <v>169</v>
      </c>
      <c r="B1219" s="591" t="s">
        <v>490</v>
      </c>
      <c r="C1219" s="591" t="s">
        <v>812</v>
      </c>
      <c r="D1219" s="592">
        <v>2017</v>
      </c>
      <c r="E1219" s="591" t="s">
        <v>775</v>
      </c>
      <c r="F1219" s="592">
        <v>71</v>
      </c>
      <c r="G1219" s="592">
        <v>4</v>
      </c>
      <c r="H1219" s="592">
        <v>4</v>
      </c>
      <c r="I1219" s="592">
        <v>0</v>
      </c>
      <c r="J1219" s="592">
        <v>50</v>
      </c>
      <c r="K1219" s="592">
        <v>2</v>
      </c>
      <c r="L1219" s="592">
        <v>2</v>
      </c>
      <c r="M1219" s="592">
        <v>0</v>
      </c>
      <c r="N1219" s="593">
        <v>56</v>
      </c>
      <c r="O1219" s="593">
        <v>0</v>
      </c>
      <c r="P1219" s="593">
        <v>131</v>
      </c>
      <c r="Q1219" s="593">
        <v>144</v>
      </c>
      <c r="R1219" s="593">
        <v>308</v>
      </c>
      <c r="S1219" s="593">
        <v>150</v>
      </c>
      <c r="T1219" s="593">
        <v>2017</v>
      </c>
      <c r="U1219" s="593">
        <v>2014</v>
      </c>
      <c r="V1219" s="589"/>
      <c r="W1219" s="589"/>
      <c r="X1219" s="589"/>
      <c r="Y1219" s="589"/>
      <c r="Z1219" s="589"/>
      <c r="AA1219" s="589"/>
      <c r="AB1219" s="589"/>
      <c r="AC1219" s="589"/>
      <c r="AD1219" s="589"/>
      <c r="AE1219" s="589"/>
      <c r="AF1219" s="589"/>
      <c r="AG1219" s="589"/>
      <c r="AH1219" s="589"/>
      <c r="AI1219" s="589"/>
      <c r="AJ1219" s="589"/>
      <c r="AK1219" s="589"/>
      <c r="AL1219" s="589"/>
      <c r="AM1219" s="589"/>
      <c r="AN1219" s="589"/>
      <c r="AO1219" s="589"/>
      <c r="AP1219" s="589"/>
      <c r="AQ1219" s="589"/>
      <c r="AR1219" s="589"/>
      <c r="AS1219" s="589"/>
    </row>
    <row r="1220" spans="1:45" ht="15">
      <c r="A1220" s="587" t="s">
        <v>184</v>
      </c>
      <c r="B1220" s="587" t="s">
        <v>628</v>
      </c>
      <c r="C1220" s="587" t="s">
        <v>774</v>
      </c>
      <c r="D1220" s="588">
        <v>2017</v>
      </c>
      <c r="E1220" s="587" t="s">
        <v>775</v>
      </c>
      <c r="F1220" s="588">
        <v>400</v>
      </c>
      <c r="G1220" s="588">
        <v>21</v>
      </c>
      <c r="H1220" s="588">
        <v>21</v>
      </c>
      <c r="I1220" s="588">
        <v>0</v>
      </c>
      <c r="J1220" s="588">
        <v>188</v>
      </c>
      <c r="K1220" s="588">
        <v>200</v>
      </c>
      <c r="L1220" s="588">
        <v>183</v>
      </c>
      <c r="M1220" s="588">
        <v>17</v>
      </c>
      <c r="N1220" s="588">
        <v>221</v>
      </c>
      <c r="O1220" s="588">
        <v>18</v>
      </c>
      <c r="P1220" s="588">
        <v>541</v>
      </c>
      <c r="Q1220" s="588">
        <v>17</v>
      </c>
      <c r="R1220" s="588">
        <v>1350</v>
      </c>
      <c r="S1220" s="588">
        <v>256</v>
      </c>
      <c r="T1220" s="588">
        <v>2017</v>
      </c>
      <c r="U1220" s="588">
        <v>2015</v>
      </c>
      <c r="V1220" s="589"/>
      <c r="W1220" s="589"/>
      <c r="X1220" s="589"/>
      <c r="Y1220" s="589"/>
      <c r="Z1220" s="589"/>
      <c r="AA1220" s="589"/>
      <c r="AB1220" s="589"/>
      <c r="AC1220" s="589"/>
      <c r="AD1220" s="589"/>
      <c r="AE1220" s="589"/>
      <c r="AF1220" s="589"/>
      <c r="AG1220" s="589"/>
      <c r="AH1220" s="589"/>
      <c r="AI1220" s="589"/>
      <c r="AJ1220" s="589"/>
      <c r="AK1220" s="589"/>
      <c r="AL1220" s="589"/>
      <c r="AM1220" s="589"/>
      <c r="AN1220" s="589"/>
      <c r="AO1220" s="589"/>
      <c r="AP1220" s="589"/>
      <c r="AQ1220" s="589"/>
      <c r="AR1220" s="589"/>
      <c r="AS1220" s="589"/>
    </row>
    <row r="1221" spans="1:45" ht="15">
      <c r="A1221" s="590" t="s">
        <v>169</v>
      </c>
      <c r="B1221" s="591" t="s">
        <v>491</v>
      </c>
      <c r="C1221" s="591" t="s">
        <v>812</v>
      </c>
      <c r="D1221" s="592">
        <v>2017</v>
      </c>
      <c r="E1221" s="591" t="s">
        <v>775</v>
      </c>
      <c r="F1221" s="592">
        <v>76</v>
      </c>
      <c r="G1221" s="592">
        <v>0</v>
      </c>
      <c r="H1221" s="592">
        <v>0</v>
      </c>
      <c r="I1221" s="592">
        <v>0</v>
      </c>
      <c r="J1221" s="592">
        <v>53</v>
      </c>
      <c r="K1221" s="592">
        <v>0</v>
      </c>
      <c r="L1221" s="592">
        <v>0</v>
      </c>
      <c r="M1221" s="592">
        <v>0</v>
      </c>
      <c r="N1221" s="593">
        <v>61</v>
      </c>
      <c r="O1221" s="593">
        <v>8</v>
      </c>
      <c r="P1221" s="593">
        <v>137</v>
      </c>
      <c r="Q1221" s="593">
        <v>60</v>
      </c>
      <c r="R1221" s="593">
        <v>327</v>
      </c>
      <c r="S1221" s="593">
        <v>68</v>
      </c>
      <c r="T1221" s="593">
        <v>2017</v>
      </c>
      <c r="U1221" s="593">
        <v>2014</v>
      </c>
      <c r="V1221" s="589"/>
      <c r="W1221" s="589"/>
      <c r="X1221" s="589"/>
      <c r="Y1221" s="589"/>
      <c r="Z1221" s="589"/>
      <c r="AA1221" s="589"/>
      <c r="AB1221" s="589"/>
      <c r="AC1221" s="589"/>
      <c r="AD1221" s="589"/>
      <c r="AE1221" s="589"/>
      <c r="AF1221" s="589"/>
      <c r="AG1221" s="589"/>
      <c r="AH1221" s="589"/>
      <c r="AI1221" s="589"/>
      <c r="AJ1221" s="589"/>
      <c r="AK1221" s="589"/>
      <c r="AL1221" s="589"/>
      <c r="AM1221" s="589"/>
      <c r="AN1221" s="589"/>
      <c r="AO1221" s="589"/>
      <c r="AP1221" s="589"/>
      <c r="AQ1221" s="589"/>
      <c r="AR1221" s="589"/>
      <c r="AS1221" s="589"/>
    </row>
    <row r="1222" spans="1:45" ht="15">
      <c r="A1222" s="587" t="s">
        <v>136</v>
      </c>
      <c r="B1222" s="587" t="s">
        <v>270</v>
      </c>
      <c r="C1222" s="587" t="s">
        <v>774</v>
      </c>
      <c r="D1222" s="588">
        <v>2017</v>
      </c>
      <c r="E1222" s="587" t="s">
        <v>775</v>
      </c>
      <c r="F1222" s="588">
        <v>196</v>
      </c>
      <c r="G1222" s="588">
        <v>0</v>
      </c>
      <c r="H1222" s="588">
        <v>0</v>
      </c>
      <c r="I1222" s="588">
        <v>0</v>
      </c>
      <c r="J1222" s="588">
        <v>111</v>
      </c>
      <c r="K1222" s="588">
        <v>5</v>
      </c>
      <c r="L1222" s="588">
        <v>0</v>
      </c>
      <c r="M1222" s="588">
        <v>5</v>
      </c>
      <c r="N1222" s="588">
        <v>124</v>
      </c>
      <c r="O1222" s="588">
        <v>7</v>
      </c>
      <c r="P1222" s="588">
        <v>126</v>
      </c>
      <c r="Q1222" s="588">
        <v>36</v>
      </c>
      <c r="R1222" s="588">
        <v>557</v>
      </c>
      <c r="S1222" s="588">
        <v>48</v>
      </c>
      <c r="T1222" s="588">
        <v>2017</v>
      </c>
      <c r="U1222" s="588">
        <v>2015</v>
      </c>
      <c r="V1222" s="589"/>
      <c r="W1222" s="589"/>
      <c r="X1222" s="589"/>
      <c r="Y1222" s="589"/>
      <c r="Z1222" s="589"/>
      <c r="AA1222" s="589"/>
      <c r="AB1222" s="589"/>
      <c r="AC1222" s="589"/>
      <c r="AD1222" s="589"/>
      <c r="AE1222" s="589"/>
      <c r="AF1222" s="589"/>
      <c r="AG1222" s="589"/>
      <c r="AH1222" s="589"/>
      <c r="AI1222" s="589"/>
      <c r="AJ1222" s="589"/>
      <c r="AK1222" s="589"/>
      <c r="AL1222" s="589"/>
      <c r="AM1222" s="589"/>
      <c r="AN1222" s="589"/>
      <c r="AO1222" s="589"/>
      <c r="AP1222" s="589"/>
      <c r="AQ1222" s="589"/>
      <c r="AR1222" s="589"/>
      <c r="AS1222" s="589"/>
    </row>
    <row r="1223" spans="1:45" ht="15">
      <c r="A1223" s="590" t="s">
        <v>202</v>
      </c>
      <c r="B1223" s="591" t="s">
        <v>741</v>
      </c>
      <c r="C1223" s="591" t="s">
        <v>799</v>
      </c>
      <c r="D1223" s="592">
        <v>2017</v>
      </c>
      <c r="E1223" s="591" t="s">
        <v>775</v>
      </c>
      <c r="F1223" s="592">
        <v>248</v>
      </c>
      <c r="G1223" s="592">
        <v>1</v>
      </c>
      <c r="H1223" s="592">
        <v>1</v>
      </c>
      <c r="I1223" s="592">
        <v>0</v>
      </c>
      <c r="J1223" s="592">
        <v>174</v>
      </c>
      <c r="K1223" s="592">
        <v>10</v>
      </c>
      <c r="L1223" s="592">
        <v>10</v>
      </c>
      <c r="M1223" s="592">
        <v>0</v>
      </c>
      <c r="N1223" s="593">
        <v>198</v>
      </c>
      <c r="O1223" s="593">
        <v>15</v>
      </c>
      <c r="P1223" s="593">
        <v>446</v>
      </c>
      <c r="Q1223" s="593">
        <v>188</v>
      </c>
      <c r="R1223" s="593">
        <v>1066</v>
      </c>
      <c r="S1223" s="593">
        <v>214</v>
      </c>
      <c r="T1223" s="593">
        <v>2017</v>
      </c>
      <c r="U1223" s="593">
        <v>2014</v>
      </c>
      <c r="V1223" s="589"/>
      <c r="W1223" s="589"/>
      <c r="X1223" s="589"/>
      <c r="Y1223" s="589"/>
      <c r="Z1223" s="589"/>
      <c r="AA1223" s="589"/>
      <c r="AB1223" s="589"/>
      <c r="AC1223" s="589"/>
      <c r="AD1223" s="589"/>
      <c r="AE1223" s="589"/>
      <c r="AF1223" s="589"/>
      <c r="AG1223" s="589"/>
      <c r="AH1223" s="589"/>
      <c r="AI1223" s="589"/>
      <c r="AJ1223" s="589"/>
      <c r="AK1223" s="589"/>
      <c r="AL1223" s="589"/>
      <c r="AM1223" s="589"/>
      <c r="AN1223" s="589"/>
      <c r="AO1223" s="589"/>
      <c r="AP1223" s="589"/>
      <c r="AQ1223" s="589"/>
      <c r="AR1223" s="589"/>
      <c r="AS1223" s="589"/>
    </row>
    <row r="1224" spans="1:45" ht="15">
      <c r="A1224" s="587" t="s">
        <v>179</v>
      </c>
      <c r="B1224" s="587" t="s">
        <v>593</v>
      </c>
      <c r="C1224" s="587" t="s">
        <v>855</v>
      </c>
      <c r="D1224" s="588">
        <v>2017</v>
      </c>
      <c r="E1224" s="587" t="s">
        <v>775</v>
      </c>
      <c r="F1224" s="588">
        <v>7</v>
      </c>
      <c r="G1224" s="588">
        <v>0</v>
      </c>
      <c r="H1224" s="588">
        <v>0</v>
      </c>
      <c r="I1224" s="588">
        <v>0</v>
      </c>
      <c r="J1224" s="588">
        <v>5</v>
      </c>
      <c r="K1224" s="588">
        <v>0</v>
      </c>
      <c r="L1224" s="588">
        <v>0</v>
      </c>
      <c r="M1224" s="588">
        <v>0</v>
      </c>
      <c r="N1224" s="588">
        <v>15</v>
      </c>
      <c r="O1224" s="588">
        <v>0</v>
      </c>
      <c r="P1224" s="588">
        <v>34</v>
      </c>
      <c r="Q1224" s="588">
        <v>7</v>
      </c>
      <c r="R1224" s="588">
        <v>61</v>
      </c>
      <c r="S1224" s="588">
        <v>7</v>
      </c>
      <c r="T1224" s="588">
        <v>2017</v>
      </c>
      <c r="U1224" s="588">
        <v>2013</v>
      </c>
      <c r="V1224" s="589"/>
      <c r="W1224" s="589"/>
      <c r="X1224" s="589"/>
      <c r="Y1224" s="589"/>
      <c r="Z1224" s="589"/>
      <c r="AA1224" s="589"/>
      <c r="AB1224" s="589"/>
      <c r="AC1224" s="589"/>
      <c r="AD1224" s="589"/>
      <c r="AE1224" s="589"/>
      <c r="AF1224" s="589"/>
      <c r="AG1224" s="589"/>
      <c r="AH1224" s="589"/>
      <c r="AI1224" s="589"/>
      <c r="AJ1224" s="589"/>
      <c r="AK1224" s="589"/>
      <c r="AL1224" s="589"/>
      <c r="AM1224" s="589"/>
      <c r="AN1224" s="589"/>
      <c r="AO1224" s="589"/>
      <c r="AP1224" s="589"/>
      <c r="AQ1224" s="589"/>
      <c r="AR1224" s="589"/>
      <c r="AS1224" s="589"/>
    </row>
    <row r="1225" spans="1:45" ht="15">
      <c r="A1225" s="590" t="s">
        <v>138</v>
      </c>
      <c r="B1225" s="591" t="s">
        <v>286</v>
      </c>
      <c r="C1225" s="591" t="s">
        <v>784</v>
      </c>
      <c r="D1225" s="592">
        <v>2017</v>
      </c>
      <c r="E1225" s="591" t="s">
        <v>775</v>
      </c>
      <c r="F1225" s="592">
        <v>60</v>
      </c>
      <c r="G1225" s="592">
        <v>9</v>
      </c>
      <c r="H1225" s="592">
        <v>0</v>
      </c>
      <c r="I1225" s="592">
        <v>9</v>
      </c>
      <c r="J1225" s="592">
        <v>37</v>
      </c>
      <c r="K1225" s="592">
        <v>8</v>
      </c>
      <c r="L1225" s="592">
        <v>0</v>
      </c>
      <c r="M1225" s="592">
        <v>8</v>
      </c>
      <c r="N1225" s="593">
        <v>30</v>
      </c>
      <c r="O1225" s="593">
        <v>3</v>
      </c>
      <c r="P1225" s="593">
        <v>106</v>
      </c>
      <c r="Q1225" s="593">
        <v>14</v>
      </c>
      <c r="R1225" s="593">
        <v>233</v>
      </c>
      <c r="S1225" s="593">
        <v>34</v>
      </c>
      <c r="T1225" s="593">
        <v>2017</v>
      </c>
      <c r="U1225" s="593">
        <v>2014</v>
      </c>
      <c r="V1225" s="589"/>
      <c r="W1225" s="589"/>
      <c r="X1225" s="589"/>
      <c r="Y1225" s="589"/>
      <c r="Z1225" s="589"/>
      <c r="AA1225" s="589"/>
      <c r="AB1225" s="589"/>
      <c r="AC1225" s="589"/>
      <c r="AD1225" s="589"/>
      <c r="AE1225" s="589"/>
      <c r="AF1225" s="589"/>
      <c r="AG1225" s="589"/>
      <c r="AH1225" s="589"/>
      <c r="AI1225" s="589"/>
      <c r="AJ1225" s="589"/>
      <c r="AK1225" s="589"/>
      <c r="AL1225" s="589"/>
      <c r="AM1225" s="589"/>
      <c r="AN1225" s="589"/>
      <c r="AO1225" s="589"/>
      <c r="AP1225" s="589"/>
      <c r="AQ1225" s="589"/>
      <c r="AR1225" s="589"/>
      <c r="AS1225" s="589"/>
    </row>
    <row r="1226" spans="1:45" ht="15">
      <c r="A1226" s="587" t="s">
        <v>148</v>
      </c>
      <c r="B1226" s="587" t="s">
        <v>327</v>
      </c>
      <c r="C1226" s="587" t="s">
        <v>177</v>
      </c>
      <c r="D1226" s="588">
        <v>2017</v>
      </c>
      <c r="E1226" s="587" t="s">
        <v>775</v>
      </c>
      <c r="F1226" s="588">
        <v>396</v>
      </c>
      <c r="G1226" s="588">
        <v>0</v>
      </c>
      <c r="H1226" s="588">
        <v>0</v>
      </c>
      <c r="I1226" s="588">
        <v>0</v>
      </c>
      <c r="J1226" s="588">
        <v>277</v>
      </c>
      <c r="K1226" s="588">
        <v>0</v>
      </c>
      <c r="L1226" s="588">
        <v>0</v>
      </c>
      <c r="M1226" s="588">
        <v>0</v>
      </c>
      <c r="N1226" s="588">
        <v>243</v>
      </c>
      <c r="O1226" s="588">
        <v>9</v>
      </c>
      <c r="P1226" s="588">
        <v>546</v>
      </c>
      <c r="Q1226" s="588">
        <v>21</v>
      </c>
      <c r="R1226" s="588">
        <v>1462</v>
      </c>
      <c r="S1226" s="588">
        <v>30</v>
      </c>
      <c r="T1226" s="588">
        <v>2017</v>
      </c>
      <c r="U1226" s="588">
        <v>2016</v>
      </c>
      <c r="V1226" s="589"/>
      <c r="W1226" s="589"/>
      <c r="X1226" s="589"/>
      <c r="Y1226" s="589"/>
      <c r="Z1226" s="589"/>
      <c r="AA1226" s="589"/>
      <c r="AB1226" s="589"/>
      <c r="AC1226" s="589"/>
      <c r="AD1226" s="589"/>
      <c r="AE1226" s="589"/>
      <c r="AF1226" s="589"/>
      <c r="AG1226" s="589"/>
      <c r="AH1226" s="589"/>
      <c r="AI1226" s="589"/>
      <c r="AJ1226" s="589"/>
      <c r="AK1226" s="589"/>
      <c r="AL1226" s="589"/>
      <c r="AM1226" s="589"/>
      <c r="AN1226" s="589"/>
      <c r="AO1226" s="589"/>
      <c r="AP1226" s="589"/>
      <c r="AQ1226" s="589"/>
      <c r="AR1226" s="589"/>
      <c r="AS1226" s="589"/>
    </row>
    <row r="1227" spans="1:45" ht="15">
      <c r="A1227" s="590" t="s">
        <v>173</v>
      </c>
      <c r="B1227" s="591" t="s">
        <v>536</v>
      </c>
      <c r="C1227" s="591" t="s">
        <v>812</v>
      </c>
      <c r="D1227" s="592">
        <v>2017</v>
      </c>
      <c r="E1227" s="591" t="s">
        <v>775</v>
      </c>
      <c r="F1227" s="592">
        <v>946</v>
      </c>
      <c r="G1227" s="592">
        <v>43</v>
      </c>
      <c r="H1227" s="592">
        <v>0</v>
      </c>
      <c r="I1227" s="592">
        <v>43</v>
      </c>
      <c r="J1227" s="592">
        <v>661</v>
      </c>
      <c r="K1227" s="592">
        <v>0</v>
      </c>
      <c r="L1227" s="592">
        <v>0</v>
      </c>
      <c r="M1227" s="592">
        <v>0</v>
      </c>
      <c r="N1227" s="593">
        <v>772</v>
      </c>
      <c r="O1227" s="593">
        <v>0</v>
      </c>
      <c r="P1227" s="593">
        <v>1817</v>
      </c>
      <c r="Q1227" s="593">
        <v>0</v>
      </c>
      <c r="R1227" s="593">
        <v>4196</v>
      </c>
      <c r="S1227" s="593">
        <v>43</v>
      </c>
      <c r="T1227" s="593">
        <v>2017</v>
      </c>
      <c r="U1227" s="593">
        <v>2014</v>
      </c>
      <c r="V1227" s="589"/>
      <c r="W1227" s="589"/>
      <c r="X1227" s="589"/>
      <c r="Y1227" s="589"/>
      <c r="Z1227" s="589"/>
      <c r="AA1227" s="589"/>
      <c r="AB1227" s="589"/>
      <c r="AC1227" s="589"/>
      <c r="AD1227" s="589"/>
      <c r="AE1227" s="589"/>
      <c r="AF1227" s="589"/>
      <c r="AG1227" s="589"/>
      <c r="AH1227" s="589"/>
      <c r="AI1227" s="589"/>
      <c r="AJ1227" s="589"/>
      <c r="AK1227" s="589"/>
      <c r="AL1227" s="589"/>
      <c r="AM1227" s="589"/>
      <c r="AN1227" s="589"/>
      <c r="AO1227" s="589"/>
      <c r="AP1227" s="589"/>
      <c r="AQ1227" s="589"/>
      <c r="AR1227" s="589"/>
      <c r="AS1227" s="589"/>
    </row>
    <row r="1228" spans="1:45" ht="15">
      <c r="A1228" s="587" t="s">
        <v>153</v>
      </c>
      <c r="B1228" s="587" t="s">
        <v>368</v>
      </c>
      <c r="C1228" s="587" t="s">
        <v>812</v>
      </c>
      <c r="D1228" s="588">
        <v>2017</v>
      </c>
      <c r="E1228" s="587" t="s">
        <v>775</v>
      </c>
      <c r="F1228" s="588">
        <v>308</v>
      </c>
      <c r="G1228" s="588">
        <v>0</v>
      </c>
      <c r="H1228" s="588">
        <v>0</v>
      </c>
      <c r="I1228" s="588">
        <v>0</v>
      </c>
      <c r="J1228" s="588">
        <v>182</v>
      </c>
      <c r="K1228" s="588">
        <v>0</v>
      </c>
      <c r="L1228" s="588">
        <v>0</v>
      </c>
      <c r="M1228" s="588">
        <v>0</v>
      </c>
      <c r="N1228" s="588">
        <v>190</v>
      </c>
      <c r="O1228" s="588">
        <v>0</v>
      </c>
      <c r="P1228" s="588">
        <v>466</v>
      </c>
      <c r="Q1228" s="588">
        <v>77</v>
      </c>
      <c r="R1228" s="588">
        <v>1146</v>
      </c>
      <c r="S1228" s="588">
        <v>77</v>
      </c>
      <c r="T1228" s="588">
        <v>2017</v>
      </c>
      <c r="U1228" s="588">
        <v>2014</v>
      </c>
      <c r="V1228" s="589"/>
      <c r="W1228" s="589"/>
      <c r="X1228" s="589"/>
      <c r="Y1228" s="589"/>
      <c r="Z1228" s="589"/>
      <c r="AA1228" s="589"/>
      <c r="AB1228" s="589"/>
      <c r="AC1228" s="589"/>
      <c r="AD1228" s="589"/>
      <c r="AE1228" s="589"/>
      <c r="AF1228" s="589"/>
      <c r="AG1228" s="589"/>
      <c r="AH1228" s="589"/>
      <c r="AI1228" s="589"/>
      <c r="AJ1228" s="589"/>
      <c r="AK1228" s="589"/>
      <c r="AL1228" s="589"/>
      <c r="AM1228" s="589"/>
      <c r="AN1228" s="589"/>
      <c r="AO1228" s="589"/>
      <c r="AP1228" s="589"/>
      <c r="AQ1228" s="589"/>
      <c r="AR1228" s="589"/>
      <c r="AS1228" s="589"/>
    </row>
    <row r="1229" spans="1:45" ht="15">
      <c r="A1229" s="590" t="s">
        <v>199</v>
      </c>
      <c r="B1229" s="591" t="s">
        <v>720</v>
      </c>
      <c r="C1229" s="591" t="s">
        <v>177</v>
      </c>
      <c r="D1229" s="592">
        <v>2017</v>
      </c>
      <c r="E1229" s="591" t="s">
        <v>775</v>
      </c>
      <c r="F1229" s="592">
        <v>211</v>
      </c>
      <c r="G1229" s="592">
        <v>43</v>
      </c>
      <c r="H1229" s="592">
        <v>43</v>
      </c>
      <c r="I1229" s="592">
        <v>0</v>
      </c>
      <c r="J1229" s="592">
        <v>163</v>
      </c>
      <c r="K1229" s="592">
        <v>19</v>
      </c>
      <c r="L1229" s="592">
        <v>0</v>
      </c>
      <c r="M1229" s="592">
        <v>19</v>
      </c>
      <c r="N1229" s="593">
        <v>121</v>
      </c>
      <c r="O1229" s="593">
        <v>46</v>
      </c>
      <c r="P1229" s="593">
        <v>470</v>
      </c>
      <c r="Q1229" s="593">
        <v>11</v>
      </c>
      <c r="R1229" s="593">
        <v>965</v>
      </c>
      <c r="S1229" s="593">
        <v>119</v>
      </c>
      <c r="T1229" s="593">
        <v>2017</v>
      </c>
      <c r="U1229" s="593">
        <v>2016</v>
      </c>
      <c r="V1229" s="589"/>
      <c r="W1229" s="589"/>
      <c r="X1229" s="589"/>
      <c r="Y1229" s="589"/>
      <c r="Z1229" s="589"/>
      <c r="AA1229" s="589"/>
      <c r="AB1229" s="589"/>
      <c r="AC1229" s="589"/>
      <c r="AD1229" s="589"/>
      <c r="AE1229" s="589"/>
      <c r="AF1229" s="589"/>
      <c r="AG1229" s="589"/>
      <c r="AH1229" s="589"/>
      <c r="AI1229" s="589"/>
      <c r="AJ1229" s="589"/>
      <c r="AK1229" s="589"/>
      <c r="AL1229" s="589"/>
      <c r="AM1229" s="589"/>
      <c r="AN1229" s="589"/>
      <c r="AO1229" s="589"/>
      <c r="AP1229" s="589"/>
      <c r="AQ1229" s="589"/>
      <c r="AR1229" s="589"/>
      <c r="AS1229" s="589"/>
    </row>
    <row r="1230" spans="1:45" ht="15">
      <c r="A1230" s="587" t="s">
        <v>192</v>
      </c>
      <c r="B1230" s="587" t="s">
        <v>687</v>
      </c>
      <c r="C1230" s="587" t="s">
        <v>774</v>
      </c>
      <c r="D1230" s="588">
        <v>2017</v>
      </c>
      <c r="E1230" s="587" t="s">
        <v>775</v>
      </c>
      <c r="F1230" s="588">
        <v>50</v>
      </c>
      <c r="G1230" s="588">
        <v>0</v>
      </c>
      <c r="H1230" s="588">
        <v>0</v>
      </c>
      <c r="I1230" s="588">
        <v>0</v>
      </c>
      <c r="J1230" s="588">
        <v>24</v>
      </c>
      <c r="K1230" s="588">
        <v>0</v>
      </c>
      <c r="L1230" s="588">
        <v>0</v>
      </c>
      <c r="M1230" s="588">
        <v>0</v>
      </c>
      <c r="N1230" s="588">
        <v>30</v>
      </c>
      <c r="O1230" s="588">
        <v>0</v>
      </c>
      <c r="P1230" s="588">
        <v>93</v>
      </c>
      <c r="Q1230" s="588">
        <v>104</v>
      </c>
      <c r="R1230" s="588">
        <v>197</v>
      </c>
      <c r="S1230" s="588">
        <v>104</v>
      </c>
      <c r="T1230" s="588">
        <v>2017</v>
      </c>
      <c r="U1230" s="588">
        <v>2015</v>
      </c>
      <c r="V1230" s="589"/>
      <c r="W1230" s="589"/>
      <c r="X1230" s="589"/>
      <c r="Y1230" s="589"/>
      <c r="Z1230" s="589"/>
      <c r="AA1230" s="589"/>
      <c r="AB1230" s="589"/>
      <c r="AC1230" s="589"/>
      <c r="AD1230" s="589"/>
      <c r="AE1230" s="589"/>
      <c r="AF1230" s="589"/>
      <c r="AG1230" s="589"/>
      <c r="AH1230" s="589"/>
      <c r="AI1230" s="589"/>
      <c r="AJ1230" s="589"/>
      <c r="AK1230" s="589"/>
      <c r="AL1230" s="589"/>
      <c r="AM1230" s="589"/>
      <c r="AN1230" s="589"/>
      <c r="AO1230" s="589"/>
      <c r="AP1230" s="589"/>
      <c r="AQ1230" s="589"/>
      <c r="AR1230" s="589"/>
      <c r="AS1230" s="589"/>
    </row>
    <row r="1231" spans="1:45" ht="15">
      <c r="A1231" s="590" t="s">
        <v>191</v>
      </c>
      <c r="B1231" s="591" t="s">
        <v>676</v>
      </c>
      <c r="C1231" s="591" t="s">
        <v>784</v>
      </c>
      <c r="D1231" s="592">
        <v>2017</v>
      </c>
      <c r="E1231" s="591" t="s">
        <v>775</v>
      </c>
      <c r="F1231" s="592">
        <v>3</v>
      </c>
      <c r="G1231" s="592">
        <v>0</v>
      </c>
      <c r="H1231" s="592">
        <v>0</v>
      </c>
      <c r="I1231" s="592">
        <v>0</v>
      </c>
      <c r="J1231" s="592">
        <v>2</v>
      </c>
      <c r="K1231" s="592">
        <v>0</v>
      </c>
      <c r="L1231" s="592">
        <v>0</v>
      </c>
      <c r="M1231" s="592">
        <v>0</v>
      </c>
      <c r="N1231" s="593">
        <v>2</v>
      </c>
      <c r="O1231" s="593">
        <v>0</v>
      </c>
      <c r="P1231" s="593">
        <v>5</v>
      </c>
      <c r="Q1231" s="593">
        <v>0</v>
      </c>
      <c r="R1231" s="593">
        <v>12</v>
      </c>
      <c r="S1231" s="593">
        <v>0</v>
      </c>
      <c r="T1231" s="593">
        <v>2017</v>
      </c>
      <c r="U1231" s="593">
        <v>2014</v>
      </c>
      <c r="V1231" s="589"/>
      <c r="W1231" s="589"/>
      <c r="X1231" s="589"/>
      <c r="Y1231" s="589"/>
      <c r="Z1231" s="589"/>
      <c r="AA1231" s="589"/>
      <c r="AB1231" s="589"/>
      <c r="AC1231" s="589"/>
      <c r="AD1231" s="589"/>
      <c r="AE1231" s="589"/>
      <c r="AF1231" s="589"/>
      <c r="AG1231" s="589"/>
      <c r="AH1231" s="589"/>
      <c r="AI1231" s="589"/>
      <c r="AJ1231" s="589"/>
      <c r="AK1231" s="589"/>
      <c r="AL1231" s="589"/>
      <c r="AM1231" s="589"/>
      <c r="AN1231" s="589"/>
      <c r="AO1231" s="589"/>
      <c r="AP1231" s="589"/>
      <c r="AQ1231" s="589"/>
      <c r="AR1231" s="589"/>
      <c r="AS1231" s="589"/>
    </row>
    <row r="1232" spans="1:45" ht="15">
      <c r="A1232" s="587" t="s">
        <v>153</v>
      </c>
      <c r="B1232" s="587" t="s">
        <v>369</v>
      </c>
      <c r="C1232" s="587" t="s">
        <v>812</v>
      </c>
      <c r="D1232" s="588">
        <v>2017</v>
      </c>
      <c r="E1232" s="587" t="s">
        <v>775</v>
      </c>
      <c r="F1232" s="588">
        <v>210</v>
      </c>
      <c r="G1232" s="588">
        <v>0</v>
      </c>
      <c r="H1232" s="588">
        <v>0</v>
      </c>
      <c r="I1232" s="588">
        <v>0</v>
      </c>
      <c r="J1232" s="588">
        <v>123</v>
      </c>
      <c r="K1232" s="588">
        <v>0</v>
      </c>
      <c r="L1232" s="588">
        <v>0</v>
      </c>
      <c r="M1232" s="588">
        <v>0</v>
      </c>
      <c r="N1232" s="588">
        <v>135</v>
      </c>
      <c r="O1232" s="588">
        <v>0</v>
      </c>
      <c r="P1232" s="588">
        <v>346</v>
      </c>
      <c r="Q1232" s="588">
        <v>135</v>
      </c>
      <c r="R1232" s="588">
        <v>814</v>
      </c>
      <c r="S1232" s="588">
        <v>135</v>
      </c>
      <c r="T1232" s="588">
        <v>2017</v>
      </c>
      <c r="U1232" s="588">
        <v>2014</v>
      </c>
      <c r="V1232" s="589"/>
      <c r="W1232" s="589"/>
      <c r="X1232" s="589"/>
      <c r="Y1232" s="589"/>
      <c r="Z1232" s="589"/>
      <c r="AA1232" s="589"/>
      <c r="AB1232" s="589"/>
      <c r="AC1232" s="589"/>
      <c r="AD1232" s="589"/>
      <c r="AE1232" s="589"/>
      <c r="AF1232" s="589"/>
      <c r="AG1232" s="589"/>
      <c r="AH1232" s="589"/>
      <c r="AI1232" s="589"/>
      <c r="AJ1232" s="589"/>
      <c r="AK1232" s="589"/>
      <c r="AL1232" s="589"/>
      <c r="AM1232" s="589"/>
      <c r="AN1232" s="589"/>
      <c r="AO1232" s="589"/>
      <c r="AP1232" s="589"/>
      <c r="AQ1232" s="589"/>
      <c r="AR1232" s="589"/>
      <c r="AS1232" s="589"/>
    </row>
    <row r="1233" spans="1:45" ht="15">
      <c r="A1233" s="590" t="s">
        <v>153</v>
      </c>
      <c r="B1233" s="591" t="s">
        <v>370</v>
      </c>
      <c r="C1233" s="591" t="s">
        <v>812</v>
      </c>
      <c r="D1233" s="592">
        <v>2017</v>
      </c>
      <c r="E1233" s="591" t="s">
        <v>775</v>
      </c>
      <c r="F1233" s="592">
        <v>87</v>
      </c>
      <c r="G1233" s="592">
        <v>0</v>
      </c>
      <c r="H1233" s="592">
        <v>0</v>
      </c>
      <c r="I1233" s="592">
        <v>0</v>
      </c>
      <c r="J1233" s="592">
        <v>53</v>
      </c>
      <c r="K1233" s="592">
        <v>0</v>
      </c>
      <c r="L1233" s="592">
        <v>0</v>
      </c>
      <c r="M1233" s="592">
        <v>0</v>
      </c>
      <c r="N1233" s="593">
        <v>55</v>
      </c>
      <c r="O1233" s="593">
        <v>1</v>
      </c>
      <c r="P1233" s="593">
        <v>142</v>
      </c>
      <c r="Q1233" s="593">
        <v>1</v>
      </c>
      <c r="R1233" s="593">
        <v>337</v>
      </c>
      <c r="S1233" s="593">
        <v>2</v>
      </c>
      <c r="T1233" s="593">
        <v>2017</v>
      </c>
      <c r="U1233" s="593">
        <v>2014</v>
      </c>
      <c r="V1233" s="589"/>
      <c r="W1233" s="589"/>
      <c r="X1233" s="589"/>
      <c r="Y1233" s="589"/>
      <c r="Z1233" s="589"/>
      <c r="AA1233" s="589"/>
      <c r="AB1233" s="589"/>
      <c r="AC1233" s="589"/>
      <c r="AD1233" s="589"/>
      <c r="AE1233" s="589"/>
      <c r="AF1233" s="589"/>
      <c r="AG1233" s="589"/>
      <c r="AH1233" s="589"/>
      <c r="AI1233" s="589"/>
      <c r="AJ1233" s="589"/>
      <c r="AK1233" s="589"/>
      <c r="AL1233" s="589"/>
      <c r="AM1233" s="589"/>
      <c r="AN1233" s="589"/>
      <c r="AO1233" s="589"/>
      <c r="AP1233" s="589"/>
      <c r="AQ1233" s="589"/>
      <c r="AR1233" s="589"/>
      <c r="AS1233" s="589"/>
    </row>
    <row r="1234" spans="1:45" ht="15">
      <c r="A1234" s="587" t="s">
        <v>125</v>
      </c>
      <c r="B1234" s="587" t="s">
        <v>236</v>
      </c>
      <c r="C1234" s="587" t="s">
        <v>774</v>
      </c>
      <c r="D1234" s="588">
        <v>2017</v>
      </c>
      <c r="E1234" s="587" t="s">
        <v>775</v>
      </c>
      <c r="F1234" s="588">
        <v>796</v>
      </c>
      <c r="G1234" s="588">
        <v>0</v>
      </c>
      <c r="H1234" s="588">
        <v>0</v>
      </c>
      <c r="I1234" s="588">
        <v>0</v>
      </c>
      <c r="J1234" s="588">
        <v>446</v>
      </c>
      <c r="K1234" s="588">
        <v>0</v>
      </c>
      <c r="L1234" s="588">
        <v>0</v>
      </c>
      <c r="M1234" s="588">
        <v>0</v>
      </c>
      <c r="N1234" s="588">
        <v>425</v>
      </c>
      <c r="O1234" s="588">
        <v>8</v>
      </c>
      <c r="P1234" s="588">
        <v>618</v>
      </c>
      <c r="Q1234" s="588">
        <v>1187</v>
      </c>
      <c r="R1234" s="588">
        <v>2285</v>
      </c>
      <c r="S1234" s="588">
        <v>1195</v>
      </c>
      <c r="T1234" s="588">
        <v>2017</v>
      </c>
      <c r="U1234" s="588">
        <v>2015</v>
      </c>
      <c r="V1234" s="589"/>
      <c r="W1234" s="589"/>
      <c r="X1234" s="589"/>
      <c r="Y1234" s="589"/>
      <c r="Z1234" s="589"/>
      <c r="AA1234" s="589"/>
      <c r="AB1234" s="589"/>
      <c r="AC1234" s="589"/>
      <c r="AD1234" s="589"/>
      <c r="AE1234" s="589"/>
      <c r="AF1234" s="589"/>
      <c r="AG1234" s="589"/>
      <c r="AH1234" s="589"/>
      <c r="AI1234" s="589"/>
      <c r="AJ1234" s="589"/>
      <c r="AK1234" s="589"/>
      <c r="AL1234" s="589"/>
      <c r="AM1234" s="589"/>
      <c r="AN1234" s="589"/>
      <c r="AO1234" s="589"/>
      <c r="AP1234" s="589"/>
      <c r="AQ1234" s="589"/>
      <c r="AR1234" s="589"/>
      <c r="AS1234" s="589"/>
    </row>
    <row r="1235" spans="1:45" ht="15">
      <c r="A1235" s="590" t="s">
        <v>191</v>
      </c>
      <c r="B1235" s="591" t="s">
        <v>677</v>
      </c>
      <c r="C1235" s="591" t="s">
        <v>784</v>
      </c>
      <c r="D1235" s="592">
        <v>2017</v>
      </c>
      <c r="E1235" s="591" t="s">
        <v>775</v>
      </c>
      <c r="F1235" s="592">
        <v>6</v>
      </c>
      <c r="G1235" s="592">
        <v>0</v>
      </c>
      <c r="H1235" s="592">
        <v>0</v>
      </c>
      <c r="I1235" s="592">
        <v>0</v>
      </c>
      <c r="J1235" s="592">
        <v>4</v>
      </c>
      <c r="K1235" s="592">
        <v>0</v>
      </c>
      <c r="L1235" s="592">
        <v>0</v>
      </c>
      <c r="M1235" s="592">
        <v>0</v>
      </c>
      <c r="N1235" s="593">
        <v>4</v>
      </c>
      <c r="O1235" s="593">
        <v>0</v>
      </c>
      <c r="P1235" s="593">
        <v>9</v>
      </c>
      <c r="Q1235" s="593">
        <v>1</v>
      </c>
      <c r="R1235" s="593">
        <v>23</v>
      </c>
      <c r="S1235" s="593">
        <v>1</v>
      </c>
      <c r="T1235" s="593">
        <v>2017</v>
      </c>
      <c r="U1235" s="593">
        <v>2014</v>
      </c>
      <c r="V1235" s="589"/>
      <c r="W1235" s="589"/>
      <c r="X1235" s="589"/>
      <c r="Y1235" s="589"/>
      <c r="Z1235" s="589"/>
      <c r="AA1235" s="589"/>
      <c r="AB1235" s="589"/>
      <c r="AC1235" s="589"/>
      <c r="AD1235" s="589"/>
      <c r="AE1235" s="589"/>
      <c r="AF1235" s="589"/>
      <c r="AG1235" s="589"/>
      <c r="AH1235" s="589"/>
      <c r="AI1235" s="589"/>
      <c r="AJ1235" s="589"/>
      <c r="AK1235" s="589"/>
      <c r="AL1235" s="589"/>
      <c r="AM1235" s="589"/>
      <c r="AN1235" s="589"/>
      <c r="AO1235" s="589"/>
      <c r="AP1235" s="589"/>
      <c r="AQ1235" s="589"/>
      <c r="AR1235" s="589"/>
      <c r="AS1235" s="589"/>
    </row>
    <row r="1236" spans="1:45" ht="15">
      <c r="A1236" s="587" t="s">
        <v>184</v>
      </c>
      <c r="B1236" s="587" t="s">
        <v>629</v>
      </c>
      <c r="C1236" s="587" t="s">
        <v>774</v>
      </c>
      <c r="D1236" s="588">
        <v>2017</v>
      </c>
      <c r="E1236" s="587" t="s">
        <v>775</v>
      </c>
      <c r="F1236" s="588">
        <v>64</v>
      </c>
      <c r="G1236" s="588">
        <v>16</v>
      </c>
      <c r="H1236" s="588">
        <v>16</v>
      </c>
      <c r="I1236" s="588">
        <v>0</v>
      </c>
      <c r="J1236" s="588">
        <v>54</v>
      </c>
      <c r="K1236" s="588">
        <v>24</v>
      </c>
      <c r="L1236" s="588">
        <v>24</v>
      </c>
      <c r="M1236" s="588">
        <v>0</v>
      </c>
      <c r="N1236" s="588">
        <v>83</v>
      </c>
      <c r="O1236" s="588">
        <v>0</v>
      </c>
      <c r="P1236" s="588">
        <v>266</v>
      </c>
      <c r="Q1236" s="588">
        <v>5</v>
      </c>
      <c r="R1236" s="588">
        <v>467</v>
      </c>
      <c r="S1236" s="588">
        <v>45</v>
      </c>
      <c r="T1236" s="588">
        <v>2017</v>
      </c>
      <c r="U1236" s="588">
        <v>2015</v>
      </c>
      <c r="V1236" s="589"/>
      <c r="W1236" s="589"/>
      <c r="X1236" s="589"/>
      <c r="Y1236" s="589"/>
      <c r="Z1236" s="589"/>
      <c r="AA1236" s="589"/>
      <c r="AB1236" s="589"/>
      <c r="AC1236" s="589"/>
      <c r="AD1236" s="589"/>
      <c r="AE1236" s="589"/>
      <c r="AF1236" s="589"/>
      <c r="AG1236" s="589"/>
      <c r="AH1236" s="589"/>
      <c r="AI1236" s="589"/>
      <c r="AJ1236" s="589"/>
      <c r="AK1236" s="589"/>
      <c r="AL1236" s="589"/>
      <c r="AM1236" s="589"/>
      <c r="AN1236" s="589"/>
      <c r="AO1236" s="589"/>
      <c r="AP1236" s="589"/>
      <c r="AQ1236" s="589"/>
      <c r="AR1236" s="589"/>
      <c r="AS1236" s="589"/>
    </row>
    <row r="1237" spans="1:45" ht="15">
      <c r="A1237" s="590" t="s">
        <v>173</v>
      </c>
      <c r="B1237" s="591" t="s">
        <v>537</v>
      </c>
      <c r="C1237" s="591" t="s">
        <v>812</v>
      </c>
      <c r="D1237" s="592">
        <v>2017</v>
      </c>
      <c r="E1237" s="591" t="s">
        <v>775</v>
      </c>
      <c r="F1237" s="592">
        <v>374</v>
      </c>
      <c r="G1237" s="592">
        <v>0</v>
      </c>
      <c r="H1237" s="592">
        <v>0</v>
      </c>
      <c r="I1237" s="592">
        <v>0</v>
      </c>
      <c r="J1237" s="592">
        <v>250</v>
      </c>
      <c r="K1237" s="592">
        <v>0</v>
      </c>
      <c r="L1237" s="592">
        <v>0</v>
      </c>
      <c r="M1237" s="592">
        <v>0</v>
      </c>
      <c r="N1237" s="593">
        <v>274</v>
      </c>
      <c r="O1237" s="593">
        <v>0</v>
      </c>
      <c r="P1237" s="593">
        <v>565</v>
      </c>
      <c r="Q1237" s="593">
        <v>233</v>
      </c>
      <c r="R1237" s="593">
        <v>1463</v>
      </c>
      <c r="S1237" s="593">
        <v>233</v>
      </c>
      <c r="T1237" s="593">
        <v>2017</v>
      </c>
      <c r="U1237" s="593">
        <v>2014</v>
      </c>
      <c r="V1237" s="589"/>
      <c r="W1237" s="589"/>
      <c r="X1237" s="589"/>
      <c r="Y1237" s="589"/>
      <c r="Z1237" s="589"/>
      <c r="AA1237" s="589"/>
      <c r="AB1237" s="589"/>
      <c r="AC1237" s="589"/>
      <c r="AD1237" s="589"/>
      <c r="AE1237" s="589"/>
      <c r="AF1237" s="589"/>
      <c r="AG1237" s="589"/>
      <c r="AH1237" s="589"/>
      <c r="AI1237" s="589"/>
      <c r="AJ1237" s="589"/>
      <c r="AK1237" s="589"/>
      <c r="AL1237" s="589"/>
      <c r="AM1237" s="589"/>
      <c r="AN1237" s="589"/>
      <c r="AO1237" s="589"/>
      <c r="AP1237" s="589"/>
      <c r="AQ1237" s="589"/>
      <c r="AR1237" s="589"/>
      <c r="AS1237" s="589"/>
    </row>
    <row r="1238" spans="1:45" ht="15">
      <c r="A1238" s="587" t="s">
        <v>179</v>
      </c>
      <c r="B1238" s="587" t="s">
        <v>594</v>
      </c>
      <c r="C1238" s="587" t="s">
        <v>855</v>
      </c>
      <c r="D1238" s="588">
        <v>2017</v>
      </c>
      <c r="E1238" s="587" t="s">
        <v>775</v>
      </c>
      <c r="F1238" s="588">
        <v>1448</v>
      </c>
      <c r="G1238" s="588">
        <v>0</v>
      </c>
      <c r="H1238" s="588">
        <v>0</v>
      </c>
      <c r="I1238" s="588">
        <v>0</v>
      </c>
      <c r="J1238" s="588">
        <v>1101</v>
      </c>
      <c r="K1238" s="588">
        <v>0</v>
      </c>
      <c r="L1238" s="588">
        <v>0</v>
      </c>
      <c r="M1238" s="588">
        <v>0</v>
      </c>
      <c r="N1238" s="588">
        <v>1019</v>
      </c>
      <c r="O1238" s="588">
        <v>0</v>
      </c>
      <c r="P1238" s="588">
        <v>2237</v>
      </c>
      <c r="Q1238" s="588">
        <v>51</v>
      </c>
      <c r="R1238" s="588">
        <v>5805</v>
      </c>
      <c r="S1238" s="588">
        <v>51</v>
      </c>
      <c r="T1238" s="588">
        <v>2017</v>
      </c>
      <c r="U1238" s="588">
        <v>2013</v>
      </c>
      <c r="V1238" s="589"/>
      <c r="W1238" s="589"/>
      <c r="X1238" s="589"/>
      <c r="Y1238" s="589"/>
      <c r="Z1238" s="589"/>
      <c r="AA1238" s="589"/>
      <c r="AB1238" s="589"/>
      <c r="AC1238" s="589"/>
      <c r="AD1238" s="589"/>
      <c r="AE1238" s="589"/>
      <c r="AF1238" s="589"/>
      <c r="AG1238" s="589"/>
      <c r="AH1238" s="589"/>
      <c r="AI1238" s="589"/>
      <c r="AJ1238" s="589"/>
      <c r="AK1238" s="589"/>
      <c r="AL1238" s="589"/>
      <c r="AM1238" s="589"/>
      <c r="AN1238" s="589"/>
      <c r="AO1238" s="589"/>
      <c r="AP1238" s="589"/>
      <c r="AQ1238" s="589"/>
      <c r="AR1238" s="589"/>
      <c r="AS1238" s="589"/>
    </row>
    <row r="1239" spans="1:45" ht="15">
      <c r="A1239" s="590" t="s">
        <v>146</v>
      </c>
      <c r="B1239" s="591" t="s">
        <v>318</v>
      </c>
      <c r="C1239" s="591" t="s">
        <v>812</v>
      </c>
      <c r="D1239" s="592">
        <v>2017</v>
      </c>
      <c r="E1239" s="591" t="s">
        <v>775</v>
      </c>
      <c r="F1239" s="592">
        <v>487</v>
      </c>
      <c r="G1239" s="592">
        <v>0</v>
      </c>
      <c r="H1239" s="592">
        <v>0</v>
      </c>
      <c r="I1239" s="592">
        <v>0</v>
      </c>
      <c r="J1239" s="592">
        <v>300</v>
      </c>
      <c r="K1239" s="592">
        <v>67</v>
      </c>
      <c r="L1239" s="592">
        <v>0</v>
      </c>
      <c r="M1239" s="592">
        <v>67</v>
      </c>
      <c r="N1239" s="593">
        <v>297</v>
      </c>
      <c r="O1239" s="593">
        <v>7</v>
      </c>
      <c r="P1239" s="593">
        <v>840</v>
      </c>
      <c r="Q1239" s="593">
        <v>0</v>
      </c>
      <c r="R1239" s="593">
        <v>1924</v>
      </c>
      <c r="S1239" s="593">
        <v>74</v>
      </c>
      <c r="T1239" s="593">
        <v>2017</v>
      </c>
      <c r="U1239" s="593">
        <v>2014</v>
      </c>
      <c r="V1239" s="589"/>
      <c r="W1239" s="589"/>
      <c r="X1239" s="589"/>
      <c r="Y1239" s="589"/>
      <c r="Z1239" s="589"/>
      <c r="AA1239" s="589"/>
      <c r="AB1239" s="589"/>
      <c r="AC1239" s="589"/>
      <c r="AD1239" s="589"/>
      <c r="AE1239" s="589"/>
      <c r="AF1239" s="589"/>
      <c r="AG1239" s="589"/>
      <c r="AH1239" s="589"/>
      <c r="AI1239" s="589"/>
      <c r="AJ1239" s="589"/>
      <c r="AK1239" s="589"/>
      <c r="AL1239" s="589"/>
      <c r="AM1239" s="589"/>
      <c r="AN1239" s="589"/>
      <c r="AO1239" s="589"/>
      <c r="AP1239" s="589"/>
      <c r="AQ1239" s="589"/>
      <c r="AR1239" s="589"/>
      <c r="AS1239" s="589"/>
    </row>
    <row r="1240" spans="1:45" ht="15">
      <c r="A1240" s="587" t="s">
        <v>136</v>
      </c>
      <c r="B1240" s="587" t="s">
        <v>271</v>
      </c>
      <c r="C1240" s="587" t="s">
        <v>774</v>
      </c>
      <c r="D1240" s="588">
        <v>2017</v>
      </c>
      <c r="E1240" s="587" t="s">
        <v>775</v>
      </c>
      <c r="F1240" s="588">
        <v>100</v>
      </c>
      <c r="G1240" s="588">
        <v>62</v>
      </c>
      <c r="H1240" s="588">
        <v>62</v>
      </c>
      <c r="I1240" s="588">
        <v>0</v>
      </c>
      <c r="J1240" s="588">
        <v>63</v>
      </c>
      <c r="K1240" s="588">
        <v>0</v>
      </c>
      <c r="L1240" s="588">
        <v>0</v>
      </c>
      <c r="M1240" s="588">
        <v>0</v>
      </c>
      <c r="N1240" s="588">
        <v>69</v>
      </c>
      <c r="O1240" s="588">
        <v>0</v>
      </c>
      <c r="P1240" s="588">
        <v>166</v>
      </c>
      <c r="Q1240" s="588">
        <v>7</v>
      </c>
      <c r="R1240" s="588">
        <v>398</v>
      </c>
      <c r="S1240" s="588">
        <v>69</v>
      </c>
      <c r="T1240" s="588">
        <v>2017</v>
      </c>
      <c r="U1240" s="588">
        <v>2015</v>
      </c>
      <c r="V1240" s="589"/>
      <c r="W1240" s="589"/>
      <c r="X1240" s="589"/>
      <c r="Y1240" s="589"/>
      <c r="Z1240" s="589"/>
      <c r="AA1240" s="589"/>
      <c r="AB1240" s="589"/>
      <c r="AC1240" s="589"/>
      <c r="AD1240" s="589"/>
      <c r="AE1240" s="589"/>
      <c r="AF1240" s="589"/>
      <c r="AG1240" s="589"/>
      <c r="AH1240" s="589"/>
      <c r="AI1240" s="589"/>
      <c r="AJ1240" s="589"/>
      <c r="AK1240" s="589"/>
      <c r="AL1240" s="589"/>
      <c r="AM1240" s="589"/>
      <c r="AN1240" s="589"/>
      <c r="AO1240" s="589"/>
      <c r="AP1240" s="589"/>
      <c r="AQ1240" s="589"/>
      <c r="AR1240" s="589"/>
      <c r="AS1240" s="589"/>
    </row>
    <row r="1241" spans="1:45" ht="15">
      <c r="A1241" s="590" t="s">
        <v>139</v>
      </c>
      <c r="B1241" s="591" t="s">
        <v>287</v>
      </c>
      <c r="C1241" s="591" t="s">
        <v>799</v>
      </c>
      <c r="D1241" s="592">
        <v>2017</v>
      </c>
      <c r="E1241" s="591" t="s">
        <v>775</v>
      </c>
      <c r="F1241" s="592">
        <v>1086</v>
      </c>
      <c r="G1241" s="592">
        <v>16</v>
      </c>
      <c r="H1241" s="592">
        <v>16</v>
      </c>
      <c r="I1241" s="592">
        <v>0</v>
      </c>
      <c r="J1241" s="592">
        <v>762</v>
      </c>
      <c r="K1241" s="592">
        <v>59</v>
      </c>
      <c r="L1241" s="592">
        <v>31</v>
      </c>
      <c r="M1241" s="592">
        <v>28</v>
      </c>
      <c r="N1241" s="593">
        <v>823</v>
      </c>
      <c r="O1241" s="593">
        <v>15</v>
      </c>
      <c r="P1241" s="593">
        <v>1757</v>
      </c>
      <c r="Q1241" s="593">
        <v>697</v>
      </c>
      <c r="R1241" s="593">
        <v>4428</v>
      </c>
      <c r="S1241" s="593">
        <v>787</v>
      </c>
      <c r="T1241" s="593">
        <v>2017</v>
      </c>
      <c r="U1241" s="593">
        <v>2014</v>
      </c>
      <c r="V1241" s="589"/>
      <c r="W1241" s="589"/>
      <c r="X1241" s="589"/>
      <c r="Y1241" s="589"/>
      <c r="Z1241" s="589"/>
      <c r="AA1241" s="589"/>
      <c r="AB1241" s="589"/>
      <c r="AC1241" s="589"/>
      <c r="AD1241" s="589"/>
      <c r="AE1241" s="589"/>
      <c r="AF1241" s="589"/>
      <c r="AG1241" s="589"/>
      <c r="AH1241" s="589"/>
      <c r="AI1241" s="589"/>
      <c r="AJ1241" s="589"/>
      <c r="AK1241" s="589"/>
      <c r="AL1241" s="589"/>
      <c r="AM1241" s="589"/>
      <c r="AN1241" s="589"/>
      <c r="AO1241" s="589"/>
      <c r="AP1241" s="589"/>
      <c r="AQ1241" s="589"/>
      <c r="AR1241" s="589"/>
      <c r="AS1241" s="589"/>
    </row>
    <row r="1242" spans="1:45" ht="15">
      <c r="A1242" s="587" t="s">
        <v>153</v>
      </c>
      <c r="B1242" s="587" t="s">
        <v>371</v>
      </c>
      <c r="C1242" s="587" t="s">
        <v>812</v>
      </c>
      <c r="D1242" s="588">
        <v>2017</v>
      </c>
      <c r="E1242" s="587" t="s">
        <v>775</v>
      </c>
      <c r="F1242" s="588">
        <v>529</v>
      </c>
      <c r="G1242" s="588">
        <v>104</v>
      </c>
      <c r="H1242" s="588">
        <v>104</v>
      </c>
      <c r="I1242" s="588">
        <v>0</v>
      </c>
      <c r="J1242" s="588">
        <v>315</v>
      </c>
      <c r="K1242" s="588">
        <v>0</v>
      </c>
      <c r="L1242" s="588">
        <v>0</v>
      </c>
      <c r="M1242" s="588">
        <v>0</v>
      </c>
      <c r="N1242" s="588">
        <v>352</v>
      </c>
      <c r="O1242" s="588">
        <v>0</v>
      </c>
      <c r="P1242" s="588">
        <v>946</v>
      </c>
      <c r="Q1242" s="588">
        <v>191</v>
      </c>
      <c r="R1242" s="588">
        <v>2142</v>
      </c>
      <c r="S1242" s="588">
        <v>295</v>
      </c>
      <c r="T1242" s="588">
        <v>2017</v>
      </c>
      <c r="U1242" s="588">
        <v>2014</v>
      </c>
      <c r="V1242" s="589"/>
      <c r="W1242" s="589"/>
      <c r="X1242" s="589"/>
      <c r="Y1242" s="589"/>
      <c r="Z1242" s="589"/>
      <c r="AA1242" s="589"/>
      <c r="AB1242" s="589"/>
      <c r="AC1242" s="589"/>
      <c r="AD1242" s="589"/>
      <c r="AE1242" s="589"/>
      <c r="AF1242" s="589"/>
      <c r="AG1242" s="589"/>
      <c r="AH1242" s="589"/>
      <c r="AI1242" s="589"/>
      <c r="AJ1242" s="589"/>
      <c r="AK1242" s="589"/>
      <c r="AL1242" s="589"/>
      <c r="AM1242" s="589"/>
      <c r="AN1242" s="589"/>
      <c r="AO1242" s="589"/>
      <c r="AP1242" s="589"/>
      <c r="AQ1242" s="589"/>
      <c r="AR1242" s="589"/>
      <c r="AS1242" s="589"/>
    </row>
    <row r="1243" spans="1:45" ht="15">
      <c r="A1243" s="590" t="s">
        <v>174</v>
      </c>
      <c r="B1243" s="591" t="s">
        <v>557</v>
      </c>
      <c r="C1243" s="591" t="s">
        <v>799</v>
      </c>
      <c r="D1243" s="592">
        <v>2017</v>
      </c>
      <c r="E1243" s="591" t="s">
        <v>775</v>
      </c>
      <c r="F1243" s="592">
        <v>2035</v>
      </c>
      <c r="G1243" s="592">
        <v>35</v>
      </c>
      <c r="H1243" s="592">
        <v>35</v>
      </c>
      <c r="I1243" s="592">
        <v>0</v>
      </c>
      <c r="J1243" s="592">
        <v>1427</v>
      </c>
      <c r="K1243" s="592">
        <v>62</v>
      </c>
      <c r="L1243" s="592">
        <v>62</v>
      </c>
      <c r="M1243" s="592">
        <v>0</v>
      </c>
      <c r="N1243" s="593">
        <v>1377</v>
      </c>
      <c r="O1243" s="593">
        <v>0</v>
      </c>
      <c r="P1243" s="593">
        <v>2563</v>
      </c>
      <c r="Q1243" s="593">
        <v>433</v>
      </c>
      <c r="R1243" s="593">
        <v>7402</v>
      </c>
      <c r="S1243" s="593">
        <v>530</v>
      </c>
      <c r="T1243" s="593">
        <v>2017</v>
      </c>
      <c r="U1243" s="593">
        <v>2014</v>
      </c>
      <c r="V1243" s="589"/>
      <c r="W1243" s="589"/>
      <c r="X1243" s="589"/>
      <c r="Y1243" s="589"/>
      <c r="Z1243" s="589"/>
      <c r="AA1243" s="589"/>
      <c r="AB1243" s="589"/>
      <c r="AC1243" s="589"/>
      <c r="AD1243" s="589"/>
      <c r="AE1243" s="589"/>
      <c r="AF1243" s="589"/>
      <c r="AG1243" s="589"/>
      <c r="AH1243" s="589"/>
      <c r="AI1243" s="589"/>
      <c r="AJ1243" s="589"/>
      <c r="AK1243" s="589"/>
      <c r="AL1243" s="589"/>
      <c r="AM1243" s="589"/>
      <c r="AN1243" s="589"/>
      <c r="AO1243" s="589"/>
      <c r="AP1243" s="589"/>
      <c r="AQ1243" s="589"/>
      <c r="AR1243" s="589"/>
      <c r="AS1243" s="589"/>
    </row>
    <row r="1244" spans="1:45" ht="15">
      <c r="A1244" s="587" t="s">
        <v>125</v>
      </c>
      <c r="B1244" s="587" t="s">
        <v>237</v>
      </c>
      <c r="C1244" s="587" t="s">
        <v>774</v>
      </c>
      <c r="D1244" s="588">
        <v>2017</v>
      </c>
      <c r="E1244" s="587" t="s">
        <v>775</v>
      </c>
      <c r="F1244" s="588">
        <v>276</v>
      </c>
      <c r="G1244" s="588">
        <v>81</v>
      </c>
      <c r="H1244" s="588">
        <v>81</v>
      </c>
      <c r="I1244" s="588">
        <v>0</v>
      </c>
      <c r="J1244" s="588">
        <v>211</v>
      </c>
      <c r="K1244" s="588">
        <v>16</v>
      </c>
      <c r="L1244" s="588">
        <v>16</v>
      </c>
      <c r="M1244" s="588">
        <v>0</v>
      </c>
      <c r="N1244" s="588">
        <v>259</v>
      </c>
      <c r="O1244" s="588">
        <v>14</v>
      </c>
      <c r="P1244" s="588">
        <v>752</v>
      </c>
      <c r="Q1244" s="588">
        <v>201</v>
      </c>
      <c r="R1244" s="588">
        <v>1498</v>
      </c>
      <c r="S1244" s="588">
        <v>312</v>
      </c>
      <c r="T1244" s="588">
        <v>2017</v>
      </c>
      <c r="U1244" s="588">
        <v>2015</v>
      </c>
      <c r="V1244" s="589"/>
      <c r="W1244" s="589"/>
      <c r="X1244" s="589"/>
      <c r="Y1244" s="589"/>
      <c r="Z1244" s="589"/>
      <c r="AA1244" s="589"/>
      <c r="AB1244" s="589"/>
      <c r="AC1244" s="589"/>
      <c r="AD1244" s="589"/>
      <c r="AE1244" s="589"/>
      <c r="AF1244" s="589"/>
      <c r="AG1244" s="589"/>
      <c r="AH1244" s="589"/>
      <c r="AI1244" s="589"/>
      <c r="AJ1244" s="589"/>
      <c r="AK1244" s="589"/>
      <c r="AL1244" s="589"/>
      <c r="AM1244" s="589"/>
      <c r="AN1244" s="589"/>
      <c r="AO1244" s="589"/>
      <c r="AP1244" s="589"/>
      <c r="AQ1244" s="589"/>
      <c r="AR1244" s="589"/>
      <c r="AS1244" s="589"/>
    </row>
    <row r="1245" spans="1:45" ht="15">
      <c r="A1245" s="590" t="s">
        <v>179</v>
      </c>
      <c r="B1245" s="591" t="s">
        <v>595</v>
      </c>
      <c r="C1245" s="591" t="s">
        <v>855</v>
      </c>
      <c r="D1245" s="592">
        <v>2017</v>
      </c>
      <c r="E1245" s="591" t="s">
        <v>775</v>
      </c>
      <c r="F1245" s="592">
        <v>587</v>
      </c>
      <c r="G1245" s="592">
        <v>4</v>
      </c>
      <c r="H1245" s="592">
        <v>4</v>
      </c>
      <c r="I1245" s="592">
        <v>0</v>
      </c>
      <c r="J1245" s="592">
        <v>446</v>
      </c>
      <c r="K1245" s="592">
        <v>1</v>
      </c>
      <c r="L1245" s="592">
        <v>1</v>
      </c>
      <c r="M1245" s="592">
        <v>0</v>
      </c>
      <c r="N1245" s="593">
        <v>413</v>
      </c>
      <c r="O1245" s="593">
        <v>0</v>
      </c>
      <c r="P1245" s="593">
        <v>907</v>
      </c>
      <c r="Q1245" s="593">
        <v>109</v>
      </c>
      <c r="R1245" s="593">
        <v>2353</v>
      </c>
      <c r="S1245" s="593">
        <v>114</v>
      </c>
      <c r="T1245" s="593">
        <v>2017</v>
      </c>
      <c r="U1245" s="593">
        <v>2013</v>
      </c>
      <c r="V1245" s="589"/>
      <c r="W1245" s="589"/>
      <c r="X1245" s="589"/>
      <c r="Y1245" s="589"/>
      <c r="Z1245" s="589"/>
      <c r="AA1245" s="589"/>
      <c r="AB1245" s="589"/>
      <c r="AC1245" s="589"/>
      <c r="AD1245" s="589"/>
      <c r="AE1245" s="589"/>
      <c r="AF1245" s="589"/>
      <c r="AG1245" s="589"/>
      <c r="AH1245" s="589"/>
      <c r="AI1245" s="589"/>
      <c r="AJ1245" s="589"/>
      <c r="AK1245" s="589"/>
      <c r="AL1245" s="589"/>
      <c r="AM1245" s="589"/>
      <c r="AN1245" s="589"/>
      <c r="AO1245" s="589"/>
      <c r="AP1245" s="589"/>
      <c r="AQ1245" s="589"/>
      <c r="AR1245" s="589"/>
      <c r="AS1245" s="589"/>
    </row>
    <row r="1246" spans="1:45" ht="15">
      <c r="A1246" s="587" t="s">
        <v>179</v>
      </c>
      <c r="B1246" s="587" t="s">
        <v>596</v>
      </c>
      <c r="C1246" s="587" t="s">
        <v>855</v>
      </c>
      <c r="D1246" s="588">
        <v>2017</v>
      </c>
      <c r="E1246" s="587" t="s">
        <v>775</v>
      </c>
      <c r="F1246" s="588">
        <v>1042</v>
      </c>
      <c r="G1246" s="588">
        <v>46</v>
      </c>
      <c r="H1246" s="588">
        <v>46</v>
      </c>
      <c r="I1246" s="588">
        <v>0</v>
      </c>
      <c r="J1246" s="588">
        <v>791</v>
      </c>
      <c r="K1246" s="588">
        <v>34</v>
      </c>
      <c r="L1246" s="588">
        <v>34</v>
      </c>
      <c r="M1246" s="588">
        <v>0</v>
      </c>
      <c r="N1246" s="588">
        <v>733</v>
      </c>
      <c r="O1246" s="588">
        <v>5</v>
      </c>
      <c r="P1246" s="588">
        <v>1609</v>
      </c>
      <c r="Q1246" s="588">
        <v>410</v>
      </c>
      <c r="R1246" s="588">
        <v>4175</v>
      </c>
      <c r="S1246" s="588">
        <v>495</v>
      </c>
      <c r="T1246" s="588">
        <v>2017</v>
      </c>
      <c r="U1246" s="588">
        <v>2013</v>
      </c>
      <c r="V1246" s="589"/>
      <c r="W1246" s="589"/>
      <c r="X1246" s="589"/>
      <c r="Y1246" s="589"/>
      <c r="Z1246" s="589"/>
      <c r="AA1246" s="589"/>
      <c r="AB1246" s="589"/>
      <c r="AC1246" s="589"/>
      <c r="AD1246" s="589"/>
      <c r="AE1246" s="589"/>
      <c r="AF1246" s="589"/>
      <c r="AG1246" s="589"/>
      <c r="AH1246" s="589"/>
      <c r="AI1246" s="589"/>
      <c r="AJ1246" s="589"/>
      <c r="AK1246" s="589"/>
      <c r="AL1246" s="589"/>
      <c r="AM1246" s="589"/>
      <c r="AN1246" s="589"/>
      <c r="AO1246" s="589"/>
      <c r="AP1246" s="589"/>
      <c r="AQ1246" s="589"/>
      <c r="AR1246" s="589"/>
      <c r="AS1246" s="589"/>
    </row>
    <row r="1247" spans="1:45" ht="15">
      <c r="A1247" s="590" t="s">
        <v>191</v>
      </c>
      <c r="B1247" s="591" t="s">
        <v>678</v>
      </c>
      <c r="C1247" s="591" t="s">
        <v>784</v>
      </c>
      <c r="D1247" s="592">
        <v>2017</v>
      </c>
      <c r="E1247" s="591" t="s">
        <v>775</v>
      </c>
      <c r="F1247" s="592">
        <v>3</v>
      </c>
      <c r="G1247" s="592">
        <v>0</v>
      </c>
      <c r="H1247" s="592">
        <v>0</v>
      </c>
      <c r="I1247" s="592">
        <v>0</v>
      </c>
      <c r="J1247" s="592">
        <v>2</v>
      </c>
      <c r="K1247" s="592">
        <v>0</v>
      </c>
      <c r="L1247" s="592">
        <v>0</v>
      </c>
      <c r="M1247" s="592">
        <v>0</v>
      </c>
      <c r="N1247" s="593">
        <v>2</v>
      </c>
      <c r="O1247" s="593">
        <v>1</v>
      </c>
      <c r="P1247" s="593">
        <v>3</v>
      </c>
      <c r="Q1247" s="593">
        <v>0</v>
      </c>
      <c r="R1247" s="593">
        <v>10</v>
      </c>
      <c r="S1247" s="593">
        <v>1</v>
      </c>
      <c r="T1247" s="593">
        <v>2017</v>
      </c>
      <c r="U1247" s="593">
        <v>2014</v>
      </c>
      <c r="V1247" s="589"/>
      <c r="W1247" s="589"/>
      <c r="X1247" s="589"/>
      <c r="Y1247" s="589"/>
      <c r="Z1247" s="589"/>
      <c r="AA1247" s="589"/>
      <c r="AB1247" s="589"/>
      <c r="AC1247" s="589"/>
      <c r="AD1247" s="589"/>
      <c r="AE1247" s="589"/>
      <c r="AF1247" s="589"/>
      <c r="AG1247" s="589"/>
      <c r="AH1247" s="589"/>
      <c r="AI1247" s="589"/>
      <c r="AJ1247" s="589"/>
      <c r="AK1247" s="589"/>
      <c r="AL1247" s="589"/>
      <c r="AM1247" s="589"/>
      <c r="AN1247" s="589"/>
      <c r="AO1247" s="589"/>
      <c r="AP1247" s="589"/>
      <c r="AQ1247" s="589"/>
      <c r="AR1247" s="589"/>
      <c r="AS1247" s="589"/>
    </row>
    <row r="1248" spans="1:45" ht="15">
      <c r="A1248" s="587" t="s">
        <v>145</v>
      </c>
      <c r="B1248" s="587" t="s">
        <v>309</v>
      </c>
      <c r="C1248" s="587" t="s">
        <v>784</v>
      </c>
      <c r="D1248" s="588">
        <v>2017</v>
      </c>
      <c r="E1248" s="587" t="s">
        <v>775</v>
      </c>
      <c r="F1248" s="588">
        <v>145</v>
      </c>
      <c r="G1248" s="588">
        <v>0</v>
      </c>
      <c r="H1248" s="588">
        <v>0</v>
      </c>
      <c r="I1248" s="588">
        <v>0</v>
      </c>
      <c r="J1248" s="588">
        <v>96</v>
      </c>
      <c r="K1248" s="588">
        <v>0</v>
      </c>
      <c r="L1248" s="588">
        <v>0</v>
      </c>
      <c r="M1248" s="588">
        <v>0</v>
      </c>
      <c r="N1248" s="588">
        <v>104</v>
      </c>
      <c r="O1248" s="588">
        <v>0</v>
      </c>
      <c r="P1248" s="588">
        <v>264</v>
      </c>
      <c r="Q1248" s="588">
        <v>16</v>
      </c>
      <c r="R1248" s="588">
        <v>609</v>
      </c>
      <c r="S1248" s="588">
        <v>16</v>
      </c>
      <c r="T1248" s="588">
        <v>2017</v>
      </c>
      <c r="U1248" s="588">
        <v>2014</v>
      </c>
      <c r="V1248" s="589"/>
      <c r="W1248" s="589"/>
      <c r="X1248" s="589"/>
      <c r="Y1248" s="589"/>
      <c r="Z1248" s="589"/>
      <c r="AA1248" s="589"/>
      <c r="AB1248" s="589"/>
      <c r="AC1248" s="589"/>
      <c r="AD1248" s="589"/>
      <c r="AE1248" s="589"/>
      <c r="AF1248" s="589"/>
      <c r="AG1248" s="589"/>
      <c r="AH1248" s="589"/>
      <c r="AI1248" s="589"/>
      <c r="AJ1248" s="589"/>
      <c r="AK1248" s="589"/>
      <c r="AL1248" s="589"/>
      <c r="AM1248" s="589"/>
      <c r="AN1248" s="589"/>
      <c r="AO1248" s="589"/>
      <c r="AP1248" s="589"/>
      <c r="AQ1248" s="589"/>
      <c r="AR1248" s="589"/>
      <c r="AS1248" s="589"/>
    </row>
    <row r="1249" spans="1:45" ht="15">
      <c r="A1249" s="590" t="s">
        <v>199</v>
      </c>
      <c r="B1249" s="590" t="s">
        <v>721</v>
      </c>
      <c r="C1249" s="590" t="s">
        <v>177</v>
      </c>
      <c r="D1249" s="593">
        <v>2017</v>
      </c>
      <c r="E1249" s="590" t="s">
        <v>775</v>
      </c>
      <c r="F1249" s="593">
        <v>143</v>
      </c>
      <c r="G1249" s="593">
        <v>0</v>
      </c>
      <c r="H1249" s="593">
        <v>0</v>
      </c>
      <c r="I1249" s="593">
        <v>0</v>
      </c>
      <c r="J1249" s="593">
        <v>125</v>
      </c>
      <c r="K1249" s="593">
        <v>2</v>
      </c>
      <c r="L1249" s="593">
        <v>0</v>
      </c>
      <c r="M1249" s="593">
        <v>2</v>
      </c>
      <c r="N1249" s="593">
        <v>85</v>
      </c>
      <c r="O1249" s="593">
        <v>2</v>
      </c>
      <c r="P1249" s="593">
        <v>272</v>
      </c>
      <c r="Q1249" s="593">
        <v>6</v>
      </c>
      <c r="R1249" s="593">
        <v>625</v>
      </c>
      <c r="S1249" s="593">
        <v>10</v>
      </c>
      <c r="T1249" s="593">
        <v>2017</v>
      </c>
      <c r="U1249" s="593">
        <v>2016</v>
      </c>
      <c r="V1249" s="589"/>
      <c r="W1249" s="589"/>
      <c r="X1249" s="589"/>
      <c r="Y1249" s="589"/>
      <c r="Z1249" s="589"/>
      <c r="AA1249" s="589"/>
      <c r="AB1249" s="589"/>
      <c r="AC1249" s="589"/>
      <c r="AD1249" s="589"/>
      <c r="AE1249" s="589"/>
      <c r="AF1249" s="589"/>
      <c r="AG1249" s="589"/>
      <c r="AH1249" s="589"/>
      <c r="AI1249" s="589"/>
      <c r="AJ1249" s="589"/>
      <c r="AK1249" s="589"/>
      <c r="AL1249" s="589"/>
      <c r="AM1249" s="589"/>
      <c r="AN1249" s="589"/>
      <c r="AO1249" s="589"/>
      <c r="AP1249" s="589"/>
      <c r="AQ1249" s="589"/>
      <c r="AR1249" s="589"/>
      <c r="AS1249" s="589"/>
    </row>
    <row r="1250" spans="1:45" ht="15">
      <c r="A1250" s="587" t="s">
        <v>157</v>
      </c>
      <c r="B1250" s="587" t="s">
        <v>438</v>
      </c>
      <c r="C1250" s="587" t="s">
        <v>774</v>
      </c>
      <c r="D1250" s="588">
        <v>2017</v>
      </c>
      <c r="E1250" s="587" t="s">
        <v>775</v>
      </c>
      <c r="F1250" s="588">
        <v>16</v>
      </c>
      <c r="G1250" s="588">
        <v>1</v>
      </c>
      <c r="H1250" s="588">
        <v>1</v>
      </c>
      <c r="I1250" s="588">
        <v>0</v>
      </c>
      <c r="J1250" s="588">
        <v>11</v>
      </c>
      <c r="K1250" s="588">
        <v>1</v>
      </c>
      <c r="L1250" s="588">
        <v>1</v>
      </c>
      <c r="M1250" s="588">
        <v>0</v>
      </c>
      <c r="N1250" s="588">
        <v>11</v>
      </c>
      <c r="O1250" s="588">
        <v>1</v>
      </c>
      <c r="P1250" s="588">
        <v>23</v>
      </c>
      <c r="Q1250" s="588">
        <v>5</v>
      </c>
      <c r="R1250" s="588">
        <v>61</v>
      </c>
      <c r="S1250" s="588">
        <v>8</v>
      </c>
      <c r="T1250" s="588">
        <v>2017</v>
      </c>
      <c r="U1250" s="588">
        <v>2015</v>
      </c>
      <c r="V1250" s="589"/>
      <c r="W1250" s="589"/>
      <c r="X1250" s="589"/>
      <c r="Y1250" s="589"/>
      <c r="Z1250" s="589"/>
      <c r="AA1250" s="589"/>
      <c r="AB1250" s="589"/>
      <c r="AC1250" s="589"/>
      <c r="AD1250" s="589"/>
      <c r="AE1250" s="589"/>
      <c r="AF1250" s="589"/>
      <c r="AG1250" s="589"/>
      <c r="AH1250" s="589"/>
      <c r="AI1250" s="589"/>
      <c r="AJ1250" s="589"/>
      <c r="AK1250" s="589"/>
      <c r="AL1250" s="589"/>
      <c r="AM1250" s="589"/>
      <c r="AN1250" s="589"/>
      <c r="AO1250" s="589"/>
      <c r="AP1250" s="589"/>
      <c r="AQ1250" s="589"/>
      <c r="AR1250" s="589"/>
      <c r="AS1250" s="589"/>
    </row>
    <row r="1251" spans="1:45" ht="15">
      <c r="A1251" s="590" t="s">
        <v>192</v>
      </c>
      <c r="B1251" s="590" t="s">
        <v>688</v>
      </c>
      <c r="C1251" s="590" t="s">
        <v>774</v>
      </c>
      <c r="D1251" s="593">
        <v>2017</v>
      </c>
      <c r="E1251" s="590" t="s">
        <v>775</v>
      </c>
      <c r="F1251" s="593">
        <v>779</v>
      </c>
      <c r="G1251" s="593">
        <v>0</v>
      </c>
      <c r="H1251" s="593">
        <v>0</v>
      </c>
      <c r="I1251" s="593">
        <v>0</v>
      </c>
      <c r="J1251" s="593">
        <v>404</v>
      </c>
      <c r="K1251" s="593">
        <v>0</v>
      </c>
      <c r="L1251" s="593">
        <v>0</v>
      </c>
      <c r="M1251" s="593">
        <v>0</v>
      </c>
      <c r="N1251" s="593">
        <v>456</v>
      </c>
      <c r="O1251" s="593">
        <v>1</v>
      </c>
      <c r="P1251" s="593">
        <v>1461</v>
      </c>
      <c r="Q1251" s="593">
        <v>435</v>
      </c>
      <c r="R1251" s="593">
        <v>3100</v>
      </c>
      <c r="S1251" s="593">
        <v>436</v>
      </c>
      <c r="T1251" s="593">
        <v>2017</v>
      </c>
      <c r="U1251" s="593">
        <v>2015</v>
      </c>
      <c r="V1251" s="589"/>
      <c r="W1251" s="589"/>
      <c r="X1251" s="589"/>
      <c r="Y1251" s="589"/>
      <c r="Z1251" s="589"/>
      <c r="AA1251" s="589"/>
      <c r="AB1251" s="589"/>
      <c r="AC1251" s="589"/>
      <c r="AD1251" s="589"/>
      <c r="AE1251" s="589"/>
      <c r="AF1251" s="589"/>
      <c r="AG1251" s="589"/>
      <c r="AH1251" s="589"/>
      <c r="AI1251" s="589"/>
      <c r="AJ1251" s="589"/>
      <c r="AK1251" s="589"/>
      <c r="AL1251" s="589"/>
      <c r="AM1251" s="589"/>
      <c r="AN1251" s="589"/>
      <c r="AO1251" s="589"/>
      <c r="AP1251" s="589"/>
      <c r="AQ1251" s="589"/>
      <c r="AR1251" s="589"/>
      <c r="AS1251" s="589"/>
    </row>
    <row r="1252" spans="1:45" ht="15">
      <c r="A1252" s="587" t="s">
        <v>199</v>
      </c>
      <c r="B1252" s="587" t="s">
        <v>722</v>
      </c>
      <c r="C1252" s="587" t="s">
        <v>177</v>
      </c>
      <c r="D1252" s="588">
        <v>2017</v>
      </c>
      <c r="E1252" s="587" t="s">
        <v>775</v>
      </c>
      <c r="F1252" s="588">
        <v>74</v>
      </c>
      <c r="G1252" s="588">
        <v>6</v>
      </c>
      <c r="H1252" s="588">
        <v>0</v>
      </c>
      <c r="I1252" s="588">
        <v>6</v>
      </c>
      <c r="J1252" s="588">
        <v>65</v>
      </c>
      <c r="K1252" s="588">
        <v>7</v>
      </c>
      <c r="L1252" s="588">
        <v>0</v>
      </c>
      <c r="M1252" s="588">
        <v>7</v>
      </c>
      <c r="N1252" s="588">
        <v>68</v>
      </c>
      <c r="O1252" s="588">
        <v>5</v>
      </c>
      <c r="P1252" s="588">
        <v>259</v>
      </c>
      <c r="Q1252" s="588">
        <v>5</v>
      </c>
      <c r="R1252" s="588">
        <v>466</v>
      </c>
      <c r="S1252" s="588">
        <v>23</v>
      </c>
      <c r="T1252" s="588">
        <v>2017</v>
      </c>
      <c r="U1252" s="588">
        <v>2016</v>
      </c>
      <c r="V1252" s="589"/>
      <c r="W1252" s="589"/>
      <c r="X1252" s="589"/>
      <c r="Y1252" s="589"/>
      <c r="Z1252" s="589"/>
      <c r="AA1252" s="589"/>
      <c r="AB1252" s="589"/>
      <c r="AC1252" s="589"/>
      <c r="AD1252" s="589"/>
      <c r="AE1252" s="589"/>
      <c r="AF1252" s="589"/>
      <c r="AG1252" s="589"/>
      <c r="AH1252" s="589"/>
      <c r="AI1252" s="589"/>
      <c r="AJ1252" s="589"/>
      <c r="AK1252" s="589"/>
      <c r="AL1252" s="589"/>
      <c r="AM1252" s="589"/>
      <c r="AN1252" s="589"/>
      <c r="AO1252" s="589"/>
      <c r="AP1252" s="589"/>
      <c r="AQ1252" s="589"/>
      <c r="AR1252" s="589"/>
      <c r="AS1252" s="589"/>
    </row>
    <row r="1253" spans="1:45" ht="15">
      <c r="A1253" s="590" t="s">
        <v>145</v>
      </c>
      <c r="B1253" s="590" t="s">
        <v>310</v>
      </c>
      <c r="C1253" s="590" t="s">
        <v>784</v>
      </c>
      <c r="D1253" s="593">
        <v>2017</v>
      </c>
      <c r="E1253" s="590" t="s">
        <v>775</v>
      </c>
      <c r="F1253" s="593">
        <v>6</v>
      </c>
      <c r="G1253" s="593">
        <v>0</v>
      </c>
      <c r="H1253" s="593">
        <v>0</v>
      </c>
      <c r="I1253" s="593">
        <v>0</v>
      </c>
      <c r="J1253" s="593">
        <v>3</v>
      </c>
      <c r="K1253" s="593">
        <v>0</v>
      </c>
      <c r="L1253" s="593">
        <v>0</v>
      </c>
      <c r="M1253" s="593">
        <v>0</v>
      </c>
      <c r="N1253" s="593">
        <v>4</v>
      </c>
      <c r="O1253" s="593">
        <v>2</v>
      </c>
      <c r="P1253" s="593">
        <v>8</v>
      </c>
      <c r="Q1253" s="593">
        <v>0</v>
      </c>
      <c r="R1253" s="593">
        <v>21</v>
      </c>
      <c r="S1253" s="593">
        <v>2</v>
      </c>
      <c r="T1253" s="593">
        <v>2017</v>
      </c>
      <c r="U1253" s="593">
        <v>2014</v>
      </c>
      <c r="V1253" s="589"/>
      <c r="W1253" s="589"/>
      <c r="X1253" s="589"/>
      <c r="Y1253" s="589"/>
      <c r="Z1253" s="589"/>
      <c r="AA1253" s="589"/>
      <c r="AB1253" s="589"/>
      <c r="AC1253" s="589"/>
      <c r="AD1253" s="589"/>
      <c r="AE1253" s="589"/>
      <c r="AF1253" s="589"/>
      <c r="AG1253" s="589"/>
      <c r="AH1253" s="589"/>
      <c r="AI1253" s="589"/>
      <c r="AJ1253" s="589"/>
      <c r="AK1253" s="589"/>
      <c r="AL1253" s="589"/>
      <c r="AM1253" s="589"/>
      <c r="AN1253" s="589"/>
      <c r="AO1253" s="589"/>
      <c r="AP1253" s="589"/>
      <c r="AQ1253" s="589"/>
      <c r="AR1253" s="589"/>
      <c r="AS1253" s="589"/>
    </row>
    <row r="1254" spans="1:45" ht="15">
      <c r="A1254" s="587" t="s">
        <v>141</v>
      </c>
      <c r="B1254" s="587" t="s">
        <v>292</v>
      </c>
      <c r="C1254" s="587" t="s">
        <v>177</v>
      </c>
      <c r="D1254" s="588">
        <v>2017</v>
      </c>
      <c r="E1254" s="587" t="s">
        <v>775</v>
      </c>
      <c r="F1254" s="588">
        <v>128</v>
      </c>
      <c r="G1254" s="588">
        <v>15</v>
      </c>
      <c r="H1254" s="588">
        <v>15</v>
      </c>
      <c r="I1254" s="588">
        <v>0</v>
      </c>
      <c r="J1254" s="588">
        <v>169</v>
      </c>
      <c r="K1254" s="588">
        <v>15</v>
      </c>
      <c r="L1254" s="588">
        <v>15</v>
      </c>
      <c r="M1254" s="588">
        <v>0</v>
      </c>
      <c r="N1254" s="588">
        <v>204</v>
      </c>
      <c r="O1254" s="588">
        <v>0</v>
      </c>
      <c r="P1254" s="588">
        <v>211</v>
      </c>
      <c r="Q1254" s="588">
        <v>0</v>
      </c>
      <c r="R1254" s="588">
        <v>712</v>
      </c>
      <c r="S1254" s="588">
        <v>30</v>
      </c>
      <c r="T1254" s="588">
        <v>2017</v>
      </c>
      <c r="U1254" s="588">
        <v>2016</v>
      </c>
      <c r="V1254" s="589"/>
      <c r="W1254" s="589"/>
      <c r="X1254" s="589"/>
      <c r="Y1254" s="589"/>
      <c r="Z1254" s="589"/>
      <c r="AA1254" s="589"/>
      <c r="AB1254" s="589"/>
      <c r="AC1254" s="589"/>
      <c r="AD1254" s="589"/>
      <c r="AE1254" s="589"/>
      <c r="AF1254" s="589"/>
      <c r="AG1254" s="589"/>
      <c r="AH1254" s="589"/>
      <c r="AI1254" s="589"/>
      <c r="AJ1254" s="589"/>
      <c r="AK1254" s="589"/>
      <c r="AL1254" s="589"/>
      <c r="AM1254" s="589"/>
      <c r="AN1254" s="589"/>
      <c r="AO1254" s="589"/>
      <c r="AP1254" s="589"/>
      <c r="AQ1254" s="589"/>
      <c r="AR1254" s="589"/>
      <c r="AS1254" s="589"/>
    </row>
    <row r="1255" spans="1:45" ht="15">
      <c r="A1255" s="590" t="s">
        <v>174</v>
      </c>
      <c r="B1255" s="590" t="s">
        <v>558</v>
      </c>
      <c r="C1255" s="590" t="s">
        <v>799</v>
      </c>
      <c r="D1255" s="593">
        <v>2017</v>
      </c>
      <c r="E1255" s="590" t="s">
        <v>775</v>
      </c>
      <c r="F1255" s="593">
        <v>1218</v>
      </c>
      <c r="G1255" s="593">
        <v>6</v>
      </c>
      <c r="H1255" s="593">
        <v>6</v>
      </c>
      <c r="I1255" s="593">
        <v>0</v>
      </c>
      <c r="J1255" s="593">
        <v>854</v>
      </c>
      <c r="K1255" s="593">
        <v>0</v>
      </c>
      <c r="L1255" s="593">
        <v>0</v>
      </c>
      <c r="M1255" s="593">
        <v>0</v>
      </c>
      <c r="N1255" s="593">
        <v>862</v>
      </c>
      <c r="O1255" s="593">
        <v>358</v>
      </c>
      <c r="P1255" s="593">
        <v>1699</v>
      </c>
      <c r="Q1255" s="593">
        <v>138</v>
      </c>
      <c r="R1255" s="593">
        <v>4633</v>
      </c>
      <c r="S1255" s="593">
        <v>502</v>
      </c>
      <c r="T1255" s="593">
        <v>2017</v>
      </c>
      <c r="U1255" s="593">
        <v>2014</v>
      </c>
      <c r="V1255" s="589"/>
      <c r="W1255" s="589"/>
      <c r="X1255" s="589"/>
      <c r="Y1255" s="589"/>
      <c r="Z1255" s="589"/>
      <c r="AA1255" s="589"/>
      <c r="AB1255" s="589"/>
      <c r="AC1255" s="589"/>
      <c r="AD1255" s="589"/>
      <c r="AE1255" s="589"/>
      <c r="AF1255" s="589"/>
      <c r="AG1255" s="589"/>
      <c r="AH1255" s="589"/>
      <c r="AI1255" s="589"/>
      <c r="AJ1255" s="589"/>
      <c r="AK1255" s="589"/>
      <c r="AL1255" s="589"/>
      <c r="AM1255" s="589"/>
      <c r="AN1255" s="589"/>
      <c r="AO1255" s="589"/>
      <c r="AP1255" s="589"/>
      <c r="AQ1255" s="589"/>
      <c r="AR1255" s="589"/>
      <c r="AS1255" s="589"/>
    </row>
    <row r="1256" spans="1:45" ht="15">
      <c r="A1256" s="587" t="s">
        <v>178</v>
      </c>
      <c r="B1256" s="587" t="s">
        <v>573</v>
      </c>
      <c r="C1256" s="587" t="s">
        <v>812</v>
      </c>
      <c r="D1256" s="588">
        <v>2017</v>
      </c>
      <c r="E1256" s="587" t="s">
        <v>775</v>
      </c>
      <c r="F1256" s="588">
        <v>1442</v>
      </c>
      <c r="G1256" s="588">
        <v>0</v>
      </c>
      <c r="H1256" s="588">
        <v>0</v>
      </c>
      <c r="I1256" s="588">
        <v>0</v>
      </c>
      <c r="J1256" s="588">
        <v>974</v>
      </c>
      <c r="K1256" s="588">
        <v>0</v>
      </c>
      <c r="L1256" s="588">
        <v>0</v>
      </c>
      <c r="M1256" s="588">
        <v>0</v>
      </c>
      <c r="N1256" s="588">
        <v>1090</v>
      </c>
      <c r="O1256" s="588">
        <v>0</v>
      </c>
      <c r="P1256" s="588">
        <v>2471</v>
      </c>
      <c r="Q1256" s="588">
        <v>435</v>
      </c>
      <c r="R1256" s="588">
        <v>5977</v>
      </c>
      <c r="S1256" s="588">
        <v>435</v>
      </c>
      <c r="T1256" s="588">
        <v>2017</v>
      </c>
      <c r="U1256" s="588">
        <v>2014</v>
      </c>
      <c r="V1256" s="589"/>
      <c r="W1256" s="589"/>
      <c r="X1256" s="589"/>
      <c r="Y1256" s="589"/>
      <c r="Z1256" s="589"/>
      <c r="AA1256" s="589"/>
      <c r="AB1256" s="589"/>
      <c r="AC1256" s="589"/>
      <c r="AD1256" s="589"/>
      <c r="AE1256" s="589"/>
      <c r="AF1256" s="589"/>
      <c r="AG1256" s="589"/>
      <c r="AH1256" s="589"/>
      <c r="AI1256" s="589"/>
      <c r="AJ1256" s="589"/>
      <c r="AK1256" s="589"/>
      <c r="AL1256" s="589"/>
      <c r="AM1256" s="589"/>
      <c r="AN1256" s="589"/>
      <c r="AO1256" s="589"/>
      <c r="AP1256" s="589"/>
      <c r="AQ1256" s="589"/>
      <c r="AR1256" s="589"/>
      <c r="AS1256" s="589"/>
    </row>
    <row r="1257" spans="1:45" ht="15">
      <c r="A1257" s="590" t="s">
        <v>145</v>
      </c>
      <c r="B1257" s="590" t="s">
        <v>311</v>
      </c>
      <c r="C1257" s="590" t="s">
        <v>784</v>
      </c>
      <c r="D1257" s="593">
        <v>2017</v>
      </c>
      <c r="E1257" s="590" t="s">
        <v>775</v>
      </c>
      <c r="F1257" s="593">
        <v>39</v>
      </c>
      <c r="G1257" s="593">
        <v>0</v>
      </c>
      <c r="H1257" s="593">
        <v>0</v>
      </c>
      <c r="I1257" s="593">
        <v>0</v>
      </c>
      <c r="J1257" s="593">
        <v>24</v>
      </c>
      <c r="K1257" s="593">
        <v>0</v>
      </c>
      <c r="L1257" s="593">
        <v>0</v>
      </c>
      <c r="M1257" s="593">
        <v>0</v>
      </c>
      <c r="N1257" s="593">
        <v>27</v>
      </c>
      <c r="O1257" s="593">
        <v>4</v>
      </c>
      <c r="P1257" s="593">
        <v>71</v>
      </c>
      <c r="Q1257" s="593">
        <v>5</v>
      </c>
      <c r="R1257" s="593">
        <v>161</v>
      </c>
      <c r="S1257" s="593">
        <v>9</v>
      </c>
      <c r="T1257" s="593">
        <v>2017</v>
      </c>
      <c r="U1257" s="593">
        <v>2014</v>
      </c>
      <c r="V1257" s="589"/>
      <c r="W1257" s="589"/>
      <c r="X1257" s="589"/>
      <c r="Y1257" s="589"/>
      <c r="Z1257" s="589"/>
      <c r="AA1257" s="589"/>
      <c r="AB1257" s="589"/>
      <c r="AC1257" s="589"/>
      <c r="AD1257" s="589"/>
      <c r="AE1257" s="589"/>
      <c r="AF1257" s="589"/>
      <c r="AG1257" s="589"/>
      <c r="AH1257" s="589"/>
      <c r="AI1257" s="589"/>
      <c r="AJ1257" s="589"/>
      <c r="AK1257" s="589"/>
      <c r="AL1257" s="589"/>
      <c r="AM1257" s="589"/>
      <c r="AN1257" s="589"/>
      <c r="AO1257" s="589"/>
      <c r="AP1257" s="589"/>
      <c r="AQ1257" s="589"/>
      <c r="AR1257" s="589"/>
      <c r="AS1257" s="589"/>
    </row>
    <row r="1258" spans="1:45" ht="15">
      <c r="A1258" s="587" t="s">
        <v>184</v>
      </c>
      <c r="B1258" s="587" t="s">
        <v>630</v>
      </c>
      <c r="C1258" s="587" t="s">
        <v>774</v>
      </c>
      <c r="D1258" s="588">
        <v>2017</v>
      </c>
      <c r="E1258" s="587" t="s">
        <v>775</v>
      </c>
      <c r="F1258" s="588">
        <v>148</v>
      </c>
      <c r="G1258" s="588">
        <v>1</v>
      </c>
      <c r="H1258" s="588">
        <v>0</v>
      </c>
      <c r="I1258" s="588">
        <v>1</v>
      </c>
      <c r="J1258" s="588">
        <v>87</v>
      </c>
      <c r="K1258" s="588">
        <v>0</v>
      </c>
      <c r="L1258" s="588">
        <v>0</v>
      </c>
      <c r="M1258" s="588">
        <v>0</v>
      </c>
      <c r="N1258" s="588">
        <v>76</v>
      </c>
      <c r="O1258" s="588">
        <v>0</v>
      </c>
      <c r="P1258" s="588">
        <v>119</v>
      </c>
      <c r="Q1258" s="588">
        <v>0</v>
      </c>
      <c r="R1258" s="588">
        <v>430</v>
      </c>
      <c r="S1258" s="588">
        <v>1</v>
      </c>
      <c r="T1258" s="588">
        <v>2017</v>
      </c>
      <c r="U1258" s="588">
        <v>2015</v>
      </c>
      <c r="V1258" s="589"/>
      <c r="W1258" s="589"/>
      <c r="X1258" s="589"/>
      <c r="Y1258" s="589"/>
      <c r="Z1258" s="589"/>
      <c r="AA1258" s="589"/>
      <c r="AB1258" s="589"/>
      <c r="AC1258" s="589"/>
      <c r="AD1258" s="589"/>
      <c r="AE1258" s="589"/>
      <c r="AF1258" s="589"/>
      <c r="AG1258" s="589"/>
      <c r="AH1258" s="589"/>
      <c r="AI1258" s="589"/>
      <c r="AJ1258" s="589"/>
      <c r="AK1258" s="589"/>
      <c r="AL1258" s="589"/>
      <c r="AM1258" s="589"/>
      <c r="AN1258" s="589"/>
      <c r="AO1258" s="589"/>
      <c r="AP1258" s="589"/>
      <c r="AQ1258" s="589"/>
      <c r="AR1258" s="589"/>
      <c r="AS1258" s="589"/>
    </row>
    <row r="1259" spans="1:45" ht="15">
      <c r="A1259" s="590" t="s">
        <v>169</v>
      </c>
      <c r="B1259" s="590" t="s">
        <v>492</v>
      </c>
      <c r="C1259" s="590" t="s">
        <v>812</v>
      </c>
      <c r="D1259" s="593">
        <v>2017</v>
      </c>
      <c r="E1259" s="590" t="s">
        <v>775</v>
      </c>
      <c r="F1259" s="593">
        <v>83</v>
      </c>
      <c r="G1259" s="593">
        <v>0</v>
      </c>
      <c r="H1259" s="593">
        <v>0</v>
      </c>
      <c r="I1259" s="593">
        <v>0</v>
      </c>
      <c r="J1259" s="593">
        <v>59</v>
      </c>
      <c r="K1259" s="593">
        <v>0</v>
      </c>
      <c r="L1259" s="593">
        <v>0</v>
      </c>
      <c r="M1259" s="593">
        <v>0</v>
      </c>
      <c r="N1259" s="593">
        <v>65</v>
      </c>
      <c r="O1259" s="593">
        <v>6</v>
      </c>
      <c r="P1259" s="593">
        <v>151</v>
      </c>
      <c r="Q1259" s="593">
        <v>8</v>
      </c>
      <c r="R1259" s="593">
        <v>358</v>
      </c>
      <c r="S1259" s="593">
        <v>14</v>
      </c>
      <c r="T1259" s="593">
        <v>2017</v>
      </c>
      <c r="U1259" s="593">
        <v>2014</v>
      </c>
      <c r="V1259" s="589"/>
      <c r="W1259" s="589"/>
      <c r="X1259" s="589"/>
      <c r="Y1259" s="589"/>
      <c r="Z1259" s="589"/>
      <c r="AA1259" s="589"/>
      <c r="AB1259" s="589"/>
      <c r="AC1259" s="589"/>
      <c r="AD1259" s="589"/>
      <c r="AE1259" s="589"/>
      <c r="AF1259" s="589"/>
      <c r="AG1259" s="589"/>
      <c r="AH1259" s="589"/>
      <c r="AI1259" s="589"/>
      <c r="AJ1259" s="589"/>
      <c r="AK1259" s="589"/>
      <c r="AL1259" s="589"/>
      <c r="AM1259" s="589"/>
      <c r="AN1259" s="589"/>
      <c r="AO1259" s="589"/>
      <c r="AP1259" s="589"/>
      <c r="AQ1259" s="589"/>
      <c r="AR1259" s="589"/>
      <c r="AS1259" s="589"/>
    </row>
    <row r="1260" spans="1:45" ht="15">
      <c r="A1260" s="587" t="s">
        <v>141</v>
      </c>
      <c r="B1260" s="587" t="s">
        <v>293</v>
      </c>
      <c r="C1260" s="587" t="s">
        <v>177</v>
      </c>
      <c r="D1260" s="588">
        <v>2017</v>
      </c>
      <c r="E1260" s="587" t="s">
        <v>775</v>
      </c>
      <c r="F1260" s="588">
        <v>123</v>
      </c>
      <c r="G1260" s="588">
        <v>0</v>
      </c>
      <c r="H1260" s="588">
        <v>0</v>
      </c>
      <c r="I1260" s="588">
        <v>0</v>
      </c>
      <c r="J1260" s="588">
        <v>83</v>
      </c>
      <c r="K1260" s="588">
        <v>0</v>
      </c>
      <c r="L1260" s="588">
        <v>0</v>
      </c>
      <c r="M1260" s="588">
        <v>0</v>
      </c>
      <c r="N1260" s="588">
        <v>75</v>
      </c>
      <c r="O1260" s="588">
        <v>0</v>
      </c>
      <c r="P1260" s="588">
        <v>243</v>
      </c>
      <c r="Q1260" s="588">
        <v>27</v>
      </c>
      <c r="R1260" s="588">
        <v>524</v>
      </c>
      <c r="S1260" s="588">
        <v>27</v>
      </c>
      <c r="T1260" s="588">
        <v>2017</v>
      </c>
      <c r="U1260" s="588">
        <v>2016</v>
      </c>
      <c r="V1260" s="589"/>
      <c r="W1260" s="589"/>
      <c r="X1260" s="589"/>
      <c r="Y1260" s="589"/>
      <c r="Z1260" s="589"/>
      <c r="AA1260" s="589"/>
      <c r="AB1260" s="589"/>
      <c r="AC1260" s="589"/>
      <c r="AD1260" s="589"/>
      <c r="AE1260" s="589"/>
      <c r="AF1260" s="589"/>
      <c r="AG1260" s="589"/>
      <c r="AH1260" s="589"/>
      <c r="AI1260" s="589"/>
      <c r="AJ1260" s="589"/>
      <c r="AK1260" s="589"/>
      <c r="AL1260" s="589"/>
      <c r="AM1260" s="589"/>
      <c r="AN1260" s="589"/>
      <c r="AO1260" s="589"/>
      <c r="AP1260" s="589"/>
      <c r="AQ1260" s="589"/>
      <c r="AR1260" s="589"/>
      <c r="AS1260" s="589"/>
    </row>
    <row r="1261" spans="1:45" ht="15">
      <c r="A1261" s="590" t="s">
        <v>125</v>
      </c>
      <c r="B1261" s="590" t="s">
        <v>238</v>
      </c>
      <c r="C1261" s="590" t="s">
        <v>774</v>
      </c>
      <c r="D1261" s="593">
        <v>2017</v>
      </c>
      <c r="E1261" s="590" t="s">
        <v>775</v>
      </c>
      <c r="F1261" s="593">
        <v>1714</v>
      </c>
      <c r="G1261" s="593">
        <v>217</v>
      </c>
      <c r="H1261" s="593">
        <v>217</v>
      </c>
      <c r="I1261" s="593">
        <v>0</v>
      </c>
      <c r="J1261" s="593">
        <v>926</v>
      </c>
      <c r="K1261" s="593">
        <v>249</v>
      </c>
      <c r="L1261" s="593">
        <v>249</v>
      </c>
      <c r="M1261" s="593">
        <v>0</v>
      </c>
      <c r="N1261" s="593">
        <v>978</v>
      </c>
      <c r="O1261" s="593">
        <v>0</v>
      </c>
      <c r="P1261" s="593">
        <v>1837</v>
      </c>
      <c r="Q1261" s="593">
        <v>1601</v>
      </c>
      <c r="R1261" s="593">
        <v>5455</v>
      </c>
      <c r="S1261" s="593">
        <v>2067</v>
      </c>
      <c r="T1261" s="593">
        <v>2017</v>
      </c>
      <c r="U1261" s="593">
        <v>2015</v>
      </c>
      <c r="V1261" s="589"/>
      <c r="W1261" s="589"/>
      <c r="X1261" s="589"/>
      <c r="Y1261" s="589"/>
      <c r="Z1261" s="589"/>
      <c r="AA1261" s="589"/>
      <c r="AB1261" s="589"/>
      <c r="AC1261" s="589"/>
      <c r="AD1261" s="589"/>
      <c r="AE1261" s="589"/>
      <c r="AF1261" s="589"/>
      <c r="AG1261" s="589"/>
      <c r="AH1261" s="589"/>
      <c r="AI1261" s="589"/>
      <c r="AJ1261" s="589"/>
      <c r="AK1261" s="589"/>
      <c r="AL1261" s="589"/>
      <c r="AM1261" s="589"/>
      <c r="AN1261" s="589"/>
      <c r="AO1261" s="589"/>
      <c r="AP1261" s="589"/>
      <c r="AQ1261" s="589"/>
      <c r="AR1261" s="589"/>
      <c r="AS1261" s="589"/>
    </row>
    <row r="1262" spans="1:45" ht="15">
      <c r="A1262" s="587" t="s">
        <v>141</v>
      </c>
      <c r="B1262" s="587" t="s">
        <v>141</v>
      </c>
      <c r="C1262" s="587" t="s">
        <v>177</v>
      </c>
      <c r="D1262" s="588">
        <v>2017</v>
      </c>
      <c r="E1262" s="587" t="s">
        <v>775</v>
      </c>
      <c r="F1262" s="588">
        <v>5666</v>
      </c>
      <c r="G1262" s="588">
        <v>0</v>
      </c>
      <c r="H1262" s="588">
        <v>0</v>
      </c>
      <c r="I1262" s="588">
        <v>0</v>
      </c>
      <c r="J1262" s="588">
        <v>3289</v>
      </c>
      <c r="K1262" s="588">
        <v>4</v>
      </c>
      <c r="L1262" s="588">
        <v>4</v>
      </c>
      <c r="M1262" s="588">
        <v>0</v>
      </c>
      <c r="N1262" s="588">
        <v>3571</v>
      </c>
      <c r="O1262" s="588">
        <v>787</v>
      </c>
      <c r="P1262" s="588">
        <v>11039</v>
      </c>
      <c r="Q1262" s="588">
        <v>676</v>
      </c>
      <c r="R1262" s="588">
        <v>23565</v>
      </c>
      <c r="S1262" s="588">
        <v>1467</v>
      </c>
      <c r="T1262" s="588">
        <v>2017</v>
      </c>
      <c r="U1262" s="588">
        <v>2016</v>
      </c>
      <c r="V1262" s="589"/>
      <c r="W1262" s="589"/>
      <c r="X1262" s="589"/>
      <c r="Y1262" s="589"/>
      <c r="Z1262" s="589"/>
      <c r="AA1262" s="589"/>
      <c r="AB1262" s="589"/>
      <c r="AC1262" s="589"/>
      <c r="AD1262" s="589"/>
      <c r="AE1262" s="589"/>
      <c r="AF1262" s="589"/>
      <c r="AG1262" s="589"/>
      <c r="AH1262" s="589"/>
      <c r="AI1262" s="589"/>
      <c r="AJ1262" s="589"/>
      <c r="AK1262" s="589"/>
      <c r="AL1262" s="589"/>
      <c r="AM1262" s="589"/>
      <c r="AN1262" s="589"/>
      <c r="AO1262" s="589"/>
      <c r="AP1262" s="589"/>
      <c r="AQ1262" s="589"/>
      <c r="AR1262" s="589"/>
      <c r="AS1262" s="589"/>
    </row>
    <row r="1263" spans="1:45" ht="15">
      <c r="A1263" s="590" t="s">
        <v>141</v>
      </c>
      <c r="B1263" s="590" t="s">
        <v>294</v>
      </c>
      <c r="C1263" s="590" t="s">
        <v>177</v>
      </c>
      <c r="D1263" s="593">
        <v>2017</v>
      </c>
      <c r="E1263" s="590" t="s">
        <v>775</v>
      </c>
      <c r="F1263" s="593">
        <v>460</v>
      </c>
      <c r="G1263" s="593">
        <v>0</v>
      </c>
      <c r="H1263" s="593">
        <v>0</v>
      </c>
      <c r="I1263" s="593">
        <v>0</v>
      </c>
      <c r="J1263" s="593">
        <v>527</v>
      </c>
      <c r="K1263" s="593">
        <v>0</v>
      </c>
      <c r="L1263" s="593">
        <v>0</v>
      </c>
      <c r="M1263" s="593">
        <v>0</v>
      </c>
      <c r="N1263" s="593">
        <v>589</v>
      </c>
      <c r="O1263" s="593">
        <v>54</v>
      </c>
      <c r="P1263" s="593">
        <v>1146</v>
      </c>
      <c r="Q1263" s="593">
        <v>71</v>
      </c>
      <c r="R1263" s="593">
        <v>2722</v>
      </c>
      <c r="S1263" s="593">
        <v>125</v>
      </c>
      <c r="T1263" s="593">
        <v>2017</v>
      </c>
      <c r="U1263" s="593">
        <v>2016</v>
      </c>
      <c r="V1263" s="589"/>
      <c r="W1263" s="589"/>
      <c r="X1263" s="589"/>
      <c r="Y1263" s="589"/>
      <c r="Z1263" s="589"/>
      <c r="AA1263" s="589"/>
      <c r="AB1263" s="589"/>
      <c r="AC1263" s="589"/>
      <c r="AD1263" s="589"/>
      <c r="AE1263" s="589"/>
      <c r="AF1263" s="589"/>
      <c r="AG1263" s="589"/>
      <c r="AH1263" s="589"/>
      <c r="AI1263" s="589"/>
      <c r="AJ1263" s="589"/>
      <c r="AK1263" s="589"/>
      <c r="AL1263" s="589"/>
      <c r="AM1263" s="589"/>
      <c r="AN1263" s="589"/>
      <c r="AO1263" s="589"/>
      <c r="AP1263" s="589"/>
      <c r="AQ1263" s="589"/>
      <c r="AR1263" s="589"/>
      <c r="AS1263" s="589"/>
    </row>
    <row r="1264" spans="1:45" ht="15">
      <c r="A1264" s="587" t="s">
        <v>169</v>
      </c>
      <c r="B1264" s="587" t="s">
        <v>493</v>
      </c>
      <c r="C1264" s="587" t="s">
        <v>812</v>
      </c>
      <c r="D1264" s="588">
        <v>2017</v>
      </c>
      <c r="E1264" s="587" t="s">
        <v>775</v>
      </c>
      <c r="F1264" s="588">
        <v>411</v>
      </c>
      <c r="G1264" s="588">
        <v>39</v>
      </c>
      <c r="H1264" s="588">
        <v>39</v>
      </c>
      <c r="I1264" s="588">
        <v>0</v>
      </c>
      <c r="J1264" s="588">
        <v>299</v>
      </c>
      <c r="K1264" s="588">
        <v>17</v>
      </c>
      <c r="L1264" s="588">
        <v>17</v>
      </c>
      <c r="M1264" s="588">
        <v>0</v>
      </c>
      <c r="N1264" s="588">
        <v>337</v>
      </c>
      <c r="O1264" s="588">
        <v>2</v>
      </c>
      <c r="P1264" s="588">
        <v>794</v>
      </c>
      <c r="Q1264" s="588">
        <v>363</v>
      </c>
      <c r="R1264" s="588">
        <v>1841</v>
      </c>
      <c r="S1264" s="588">
        <v>421</v>
      </c>
      <c r="T1264" s="588">
        <v>2017</v>
      </c>
      <c r="U1264" s="588">
        <v>2014</v>
      </c>
      <c r="V1264" s="589"/>
      <c r="W1264" s="589"/>
      <c r="X1264" s="589"/>
      <c r="Y1264" s="589"/>
      <c r="Z1264" s="589"/>
      <c r="AA1264" s="589"/>
      <c r="AB1264" s="589"/>
      <c r="AC1264" s="589"/>
      <c r="AD1264" s="589"/>
      <c r="AE1264" s="589"/>
      <c r="AF1264" s="589"/>
      <c r="AG1264" s="589"/>
      <c r="AH1264" s="589"/>
      <c r="AI1264" s="589"/>
      <c r="AJ1264" s="589"/>
      <c r="AK1264" s="589"/>
      <c r="AL1264" s="589"/>
      <c r="AM1264" s="589"/>
      <c r="AN1264" s="589"/>
      <c r="AO1264" s="589"/>
      <c r="AP1264" s="589"/>
      <c r="AQ1264" s="589"/>
      <c r="AR1264" s="589"/>
      <c r="AS1264" s="589"/>
    </row>
    <row r="1265" spans="1:45" ht="15">
      <c r="A1265" s="590" t="s">
        <v>174</v>
      </c>
      <c r="B1265" s="590" t="s">
        <v>559</v>
      </c>
      <c r="C1265" s="590" t="s">
        <v>799</v>
      </c>
      <c r="D1265" s="593">
        <v>2017</v>
      </c>
      <c r="E1265" s="590" t="s">
        <v>775</v>
      </c>
      <c r="F1265" s="593">
        <v>131</v>
      </c>
      <c r="G1265" s="593">
        <v>0</v>
      </c>
      <c r="H1265" s="593">
        <v>0</v>
      </c>
      <c r="I1265" s="593">
        <v>0</v>
      </c>
      <c r="J1265" s="593">
        <v>91</v>
      </c>
      <c r="K1265" s="593">
        <v>0</v>
      </c>
      <c r="L1265" s="593">
        <v>0</v>
      </c>
      <c r="M1265" s="593">
        <v>0</v>
      </c>
      <c r="N1265" s="593">
        <v>126</v>
      </c>
      <c r="O1265" s="593">
        <v>0</v>
      </c>
      <c r="P1265" s="593">
        <v>331</v>
      </c>
      <c r="Q1265" s="593">
        <v>71</v>
      </c>
      <c r="R1265" s="593">
        <v>679</v>
      </c>
      <c r="S1265" s="593">
        <v>71</v>
      </c>
      <c r="T1265" s="593">
        <v>2017</v>
      </c>
      <c r="U1265" s="593">
        <v>2014</v>
      </c>
      <c r="V1265" s="589"/>
      <c r="W1265" s="589"/>
      <c r="X1265" s="589"/>
      <c r="Y1265" s="589"/>
      <c r="Z1265" s="589"/>
      <c r="AA1265" s="589"/>
      <c r="AB1265" s="589"/>
      <c r="AC1265" s="589"/>
      <c r="AD1265" s="589"/>
      <c r="AE1265" s="589"/>
      <c r="AF1265" s="589"/>
      <c r="AG1265" s="589"/>
      <c r="AH1265" s="589"/>
      <c r="AI1265" s="589"/>
      <c r="AJ1265" s="589"/>
      <c r="AK1265" s="589"/>
      <c r="AL1265" s="589"/>
      <c r="AM1265" s="589"/>
      <c r="AN1265" s="589"/>
      <c r="AO1265" s="589"/>
      <c r="AP1265" s="589"/>
      <c r="AQ1265" s="589"/>
      <c r="AR1265" s="589"/>
      <c r="AS1265" s="589"/>
    </row>
    <row r="1266" spans="1:45" ht="15">
      <c r="A1266" s="587" t="s">
        <v>169</v>
      </c>
      <c r="B1266" s="587" t="s">
        <v>494</v>
      </c>
      <c r="C1266" s="587" t="s">
        <v>812</v>
      </c>
      <c r="D1266" s="588">
        <v>2017</v>
      </c>
      <c r="E1266" s="587" t="s">
        <v>775</v>
      </c>
      <c r="F1266" s="588">
        <v>164</v>
      </c>
      <c r="G1266" s="588">
        <v>13</v>
      </c>
      <c r="H1266" s="588">
        <v>13</v>
      </c>
      <c r="I1266" s="588">
        <v>0</v>
      </c>
      <c r="J1266" s="588">
        <v>120</v>
      </c>
      <c r="K1266" s="588">
        <v>33</v>
      </c>
      <c r="L1266" s="588">
        <v>33</v>
      </c>
      <c r="M1266" s="588">
        <v>0</v>
      </c>
      <c r="N1266" s="588">
        <v>135</v>
      </c>
      <c r="O1266" s="588">
        <v>13</v>
      </c>
      <c r="P1266" s="588">
        <v>328</v>
      </c>
      <c r="Q1266" s="588">
        <v>9</v>
      </c>
      <c r="R1266" s="588">
        <v>747</v>
      </c>
      <c r="S1266" s="588">
        <v>68</v>
      </c>
      <c r="T1266" s="588">
        <v>2017</v>
      </c>
      <c r="U1266" s="588">
        <v>2014</v>
      </c>
      <c r="V1266" s="589"/>
      <c r="W1266" s="589"/>
      <c r="X1266" s="589"/>
      <c r="Y1266" s="589"/>
      <c r="Z1266" s="589"/>
      <c r="AA1266" s="589"/>
      <c r="AB1266" s="589"/>
      <c r="AC1266" s="589"/>
      <c r="AD1266" s="589"/>
      <c r="AE1266" s="589"/>
      <c r="AF1266" s="589"/>
      <c r="AG1266" s="589"/>
      <c r="AH1266" s="589"/>
      <c r="AI1266" s="589"/>
      <c r="AJ1266" s="589"/>
      <c r="AK1266" s="589"/>
      <c r="AL1266" s="589"/>
      <c r="AM1266" s="589"/>
      <c r="AN1266" s="589"/>
      <c r="AO1266" s="589"/>
      <c r="AP1266" s="589"/>
      <c r="AQ1266" s="589"/>
      <c r="AR1266" s="589"/>
      <c r="AS1266" s="589"/>
    </row>
    <row r="1267" spans="1:45" ht="15">
      <c r="A1267" s="590" t="s">
        <v>153</v>
      </c>
      <c r="B1267" s="590" t="s">
        <v>373</v>
      </c>
      <c r="C1267" s="590" t="s">
        <v>812</v>
      </c>
      <c r="D1267" s="593">
        <v>2017</v>
      </c>
      <c r="E1267" s="590" t="s">
        <v>775</v>
      </c>
      <c r="F1267" s="593">
        <v>98</v>
      </c>
      <c r="G1267" s="593">
        <v>0</v>
      </c>
      <c r="H1267" s="593">
        <v>0</v>
      </c>
      <c r="I1267" s="593">
        <v>0</v>
      </c>
      <c r="J1267" s="593">
        <v>60</v>
      </c>
      <c r="K1267" s="593">
        <v>0</v>
      </c>
      <c r="L1267" s="593">
        <v>0</v>
      </c>
      <c r="M1267" s="593">
        <v>0</v>
      </c>
      <c r="N1267" s="593">
        <v>66</v>
      </c>
      <c r="O1267" s="593">
        <v>6</v>
      </c>
      <c r="P1267" s="593">
        <v>173</v>
      </c>
      <c r="Q1267" s="593">
        <v>44</v>
      </c>
      <c r="R1267" s="593">
        <v>397</v>
      </c>
      <c r="S1267" s="593">
        <v>50</v>
      </c>
      <c r="T1267" s="593">
        <v>2017</v>
      </c>
      <c r="U1267" s="593">
        <v>2014</v>
      </c>
      <c r="V1267" s="589"/>
      <c r="W1267" s="589"/>
      <c r="X1267" s="589"/>
      <c r="Y1267" s="589"/>
      <c r="Z1267" s="589"/>
      <c r="AA1267" s="589"/>
      <c r="AB1267" s="589"/>
      <c r="AC1267" s="589"/>
      <c r="AD1267" s="589"/>
      <c r="AE1267" s="589"/>
      <c r="AF1267" s="589"/>
      <c r="AG1267" s="589"/>
      <c r="AH1267" s="589"/>
      <c r="AI1267" s="589"/>
      <c r="AJ1267" s="589"/>
      <c r="AK1267" s="589"/>
      <c r="AL1267" s="589"/>
      <c r="AM1267" s="589"/>
      <c r="AN1267" s="589"/>
      <c r="AO1267" s="589"/>
      <c r="AP1267" s="589"/>
      <c r="AQ1267" s="589"/>
      <c r="AR1267" s="589"/>
      <c r="AS1267" s="589"/>
    </row>
    <row r="1268" spans="1:45" ht="15">
      <c r="A1268" s="587" t="s">
        <v>187</v>
      </c>
      <c r="B1268" s="587" t="s">
        <v>653</v>
      </c>
      <c r="C1268" s="587" t="s">
        <v>774</v>
      </c>
      <c r="D1268" s="588">
        <v>2017</v>
      </c>
      <c r="E1268" s="587" t="s">
        <v>775</v>
      </c>
      <c r="F1268" s="588">
        <v>236</v>
      </c>
      <c r="G1268" s="588">
        <v>0</v>
      </c>
      <c r="H1268" s="588">
        <v>0</v>
      </c>
      <c r="I1268" s="588">
        <v>0</v>
      </c>
      <c r="J1268" s="588">
        <v>160</v>
      </c>
      <c r="K1268" s="588">
        <v>202</v>
      </c>
      <c r="L1268" s="588">
        <v>202</v>
      </c>
      <c r="M1268" s="588">
        <v>0</v>
      </c>
      <c r="N1268" s="588">
        <v>217</v>
      </c>
      <c r="O1268" s="588">
        <v>0</v>
      </c>
      <c r="P1268" s="588">
        <v>475</v>
      </c>
      <c r="Q1268" s="588">
        <v>243</v>
      </c>
      <c r="R1268" s="588">
        <v>1088</v>
      </c>
      <c r="S1268" s="588">
        <v>445</v>
      </c>
      <c r="T1268" s="588">
        <v>2017</v>
      </c>
      <c r="U1268" s="588">
        <v>2015</v>
      </c>
      <c r="V1268" s="589"/>
      <c r="W1268" s="589"/>
      <c r="X1268" s="589"/>
      <c r="Y1268" s="589"/>
      <c r="Z1268" s="589"/>
      <c r="AA1268" s="589"/>
      <c r="AB1268" s="589"/>
      <c r="AC1268" s="589"/>
      <c r="AD1268" s="589"/>
      <c r="AE1268" s="589"/>
      <c r="AF1268" s="589"/>
      <c r="AG1268" s="589"/>
      <c r="AH1268" s="589"/>
      <c r="AI1268" s="589"/>
      <c r="AJ1268" s="589"/>
      <c r="AK1268" s="589"/>
      <c r="AL1268" s="589"/>
      <c r="AM1268" s="589"/>
      <c r="AN1268" s="589"/>
      <c r="AO1268" s="589"/>
      <c r="AP1268" s="589"/>
      <c r="AQ1268" s="589"/>
      <c r="AR1268" s="589"/>
      <c r="AS1268" s="589"/>
    </row>
    <row r="1269" spans="1:45" ht="15">
      <c r="A1269" s="590" t="s">
        <v>153</v>
      </c>
      <c r="B1269" s="590" t="s">
        <v>374</v>
      </c>
      <c r="C1269" s="590" t="s">
        <v>812</v>
      </c>
      <c r="D1269" s="593">
        <v>2017</v>
      </c>
      <c r="E1269" s="590" t="s">
        <v>775</v>
      </c>
      <c r="F1269" s="593">
        <v>508</v>
      </c>
      <c r="G1269" s="593">
        <v>5</v>
      </c>
      <c r="H1269" s="593">
        <v>5</v>
      </c>
      <c r="I1269" s="593">
        <v>0</v>
      </c>
      <c r="J1269" s="593">
        <v>310</v>
      </c>
      <c r="K1269" s="593">
        <v>37</v>
      </c>
      <c r="L1269" s="593">
        <v>37</v>
      </c>
      <c r="M1269" s="593">
        <v>0</v>
      </c>
      <c r="N1269" s="593">
        <v>337</v>
      </c>
      <c r="O1269" s="593">
        <v>0</v>
      </c>
      <c r="P1269" s="593">
        <v>862</v>
      </c>
      <c r="Q1269" s="593">
        <v>610</v>
      </c>
      <c r="R1269" s="593">
        <v>2017</v>
      </c>
      <c r="S1269" s="593">
        <v>652</v>
      </c>
      <c r="T1269" s="593">
        <v>2017</v>
      </c>
      <c r="U1269" s="593">
        <v>2014</v>
      </c>
      <c r="V1269" s="589"/>
      <c r="W1269" s="589"/>
      <c r="X1269" s="589"/>
      <c r="Y1269" s="589"/>
      <c r="Z1269" s="589"/>
      <c r="AA1269" s="589"/>
      <c r="AB1269" s="589"/>
      <c r="AC1269" s="589"/>
      <c r="AD1269" s="589"/>
      <c r="AE1269" s="589"/>
      <c r="AF1269" s="589"/>
      <c r="AG1269" s="589"/>
      <c r="AH1269" s="589"/>
      <c r="AI1269" s="589"/>
      <c r="AJ1269" s="589"/>
      <c r="AK1269" s="589"/>
      <c r="AL1269" s="589"/>
      <c r="AM1269" s="589"/>
      <c r="AN1269" s="589"/>
      <c r="AO1269" s="589"/>
      <c r="AP1269" s="589"/>
      <c r="AQ1269" s="589"/>
      <c r="AR1269" s="589"/>
      <c r="AS1269" s="589"/>
    </row>
    <row r="1270" spans="1:45" ht="15">
      <c r="A1270" s="587" t="s">
        <v>153</v>
      </c>
      <c r="B1270" s="587" t="s">
        <v>375</v>
      </c>
      <c r="C1270" s="587" t="s">
        <v>812</v>
      </c>
      <c r="D1270" s="588">
        <v>2017</v>
      </c>
      <c r="E1270" s="587" t="s">
        <v>775</v>
      </c>
      <c r="F1270" s="588">
        <v>181</v>
      </c>
      <c r="G1270" s="588">
        <v>0</v>
      </c>
      <c r="H1270" s="588">
        <v>0</v>
      </c>
      <c r="I1270" s="588">
        <v>0</v>
      </c>
      <c r="J1270" s="588">
        <v>106</v>
      </c>
      <c r="K1270" s="588">
        <v>0</v>
      </c>
      <c r="L1270" s="588">
        <v>0</v>
      </c>
      <c r="M1270" s="588">
        <v>0</v>
      </c>
      <c r="N1270" s="588">
        <v>115</v>
      </c>
      <c r="O1270" s="588">
        <v>0</v>
      </c>
      <c r="P1270" s="588">
        <v>284</v>
      </c>
      <c r="Q1270" s="588">
        <v>84</v>
      </c>
      <c r="R1270" s="588">
        <v>686</v>
      </c>
      <c r="S1270" s="588">
        <v>84</v>
      </c>
      <c r="T1270" s="588">
        <v>2017</v>
      </c>
      <c r="U1270" s="588">
        <v>2014</v>
      </c>
      <c r="V1270" s="589"/>
      <c r="W1270" s="589"/>
      <c r="X1270" s="589"/>
      <c r="Y1270" s="589"/>
      <c r="Z1270" s="589"/>
      <c r="AA1270" s="589"/>
      <c r="AB1270" s="589"/>
      <c r="AC1270" s="589"/>
      <c r="AD1270" s="589"/>
      <c r="AE1270" s="589"/>
      <c r="AF1270" s="589"/>
      <c r="AG1270" s="589"/>
      <c r="AH1270" s="589"/>
      <c r="AI1270" s="589"/>
      <c r="AJ1270" s="589"/>
      <c r="AK1270" s="589"/>
      <c r="AL1270" s="589"/>
      <c r="AM1270" s="589"/>
      <c r="AN1270" s="589"/>
      <c r="AO1270" s="589"/>
      <c r="AP1270" s="589"/>
      <c r="AQ1270" s="589"/>
      <c r="AR1270" s="589"/>
      <c r="AS1270" s="589"/>
    </row>
    <row r="1271" spans="1:45" ht="15">
      <c r="A1271" s="590" t="s">
        <v>144</v>
      </c>
      <c r="B1271" s="590" t="s">
        <v>304</v>
      </c>
      <c r="C1271" s="590" t="s">
        <v>784</v>
      </c>
      <c r="D1271" s="593">
        <v>2017</v>
      </c>
      <c r="E1271" s="590" t="s">
        <v>775</v>
      </c>
      <c r="F1271" s="593">
        <v>25</v>
      </c>
      <c r="G1271" s="593">
        <v>4</v>
      </c>
      <c r="H1271" s="593">
        <v>0</v>
      </c>
      <c r="I1271" s="593">
        <v>4</v>
      </c>
      <c r="J1271" s="593">
        <v>19</v>
      </c>
      <c r="K1271" s="593">
        <v>3</v>
      </c>
      <c r="L1271" s="593">
        <v>0</v>
      </c>
      <c r="M1271" s="593">
        <v>3</v>
      </c>
      <c r="N1271" s="593">
        <v>25</v>
      </c>
      <c r="O1271" s="593">
        <v>5</v>
      </c>
      <c r="P1271" s="593">
        <v>48</v>
      </c>
      <c r="Q1271" s="593">
        <v>13</v>
      </c>
      <c r="R1271" s="593">
        <v>117</v>
      </c>
      <c r="S1271" s="593">
        <v>25</v>
      </c>
      <c r="T1271" s="593">
        <v>2017</v>
      </c>
      <c r="U1271" s="593">
        <v>2014</v>
      </c>
      <c r="V1271" s="589"/>
      <c r="W1271" s="589"/>
      <c r="X1271" s="589"/>
      <c r="Y1271" s="589"/>
      <c r="Z1271" s="589"/>
      <c r="AA1271" s="589"/>
      <c r="AB1271" s="589"/>
      <c r="AC1271" s="589"/>
      <c r="AD1271" s="589"/>
      <c r="AE1271" s="589"/>
      <c r="AF1271" s="589"/>
      <c r="AG1271" s="589"/>
      <c r="AH1271" s="589"/>
      <c r="AI1271" s="589"/>
      <c r="AJ1271" s="589"/>
      <c r="AK1271" s="589"/>
      <c r="AL1271" s="589"/>
      <c r="AM1271" s="589"/>
      <c r="AN1271" s="589"/>
      <c r="AO1271" s="589"/>
      <c r="AP1271" s="589"/>
      <c r="AQ1271" s="589"/>
      <c r="AR1271" s="589"/>
      <c r="AS1271" s="589"/>
    </row>
    <row r="1272" spans="1:45" ht="15">
      <c r="A1272" s="587" t="s">
        <v>185</v>
      </c>
      <c r="B1272" s="587" t="s">
        <v>645</v>
      </c>
      <c r="C1272" s="587" t="s">
        <v>868</v>
      </c>
      <c r="D1272" s="588">
        <v>2017</v>
      </c>
      <c r="E1272" s="587" t="s">
        <v>775</v>
      </c>
      <c r="F1272" s="588">
        <v>235</v>
      </c>
      <c r="G1272" s="588">
        <v>0</v>
      </c>
      <c r="H1272" s="588">
        <v>0</v>
      </c>
      <c r="I1272" s="588">
        <v>0</v>
      </c>
      <c r="J1272" s="588">
        <v>157</v>
      </c>
      <c r="K1272" s="588">
        <v>0</v>
      </c>
      <c r="L1272" s="588">
        <v>0</v>
      </c>
      <c r="M1272" s="588">
        <v>0</v>
      </c>
      <c r="N1272" s="588">
        <v>174</v>
      </c>
      <c r="O1272" s="588">
        <v>7</v>
      </c>
      <c r="P1272" s="588">
        <v>413</v>
      </c>
      <c r="Q1272" s="588">
        <v>210</v>
      </c>
      <c r="R1272" s="588">
        <v>979</v>
      </c>
      <c r="S1272" s="588">
        <v>217</v>
      </c>
      <c r="T1272" s="588">
        <v>2017</v>
      </c>
      <c r="U1272" s="588">
        <v>2015</v>
      </c>
      <c r="V1272" s="589"/>
      <c r="W1272" s="589"/>
      <c r="X1272" s="589"/>
      <c r="Y1272" s="589"/>
      <c r="Z1272" s="589"/>
      <c r="AA1272" s="589"/>
      <c r="AB1272" s="589"/>
      <c r="AC1272" s="589"/>
      <c r="AD1272" s="589"/>
      <c r="AE1272" s="589"/>
      <c r="AF1272" s="589"/>
      <c r="AG1272" s="589"/>
      <c r="AH1272" s="589"/>
      <c r="AI1272" s="589"/>
      <c r="AJ1272" s="589"/>
      <c r="AK1272" s="589"/>
      <c r="AL1272" s="589"/>
      <c r="AM1272" s="589"/>
      <c r="AN1272" s="589"/>
      <c r="AO1272" s="589"/>
      <c r="AP1272" s="589"/>
      <c r="AQ1272" s="589"/>
      <c r="AR1272" s="589"/>
      <c r="AS1272" s="589"/>
    </row>
    <row r="1273" spans="1:45" ht="15">
      <c r="A1273" s="590" t="s">
        <v>178</v>
      </c>
      <c r="B1273" s="590" t="s">
        <v>574</v>
      </c>
      <c r="C1273" s="590" t="s">
        <v>812</v>
      </c>
      <c r="D1273" s="593">
        <v>2017</v>
      </c>
      <c r="E1273" s="590" t="s">
        <v>775</v>
      </c>
      <c r="F1273" s="593">
        <v>28</v>
      </c>
      <c r="G1273" s="593">
        <v>0</v>
      </c>
      <c r="H1273" s="593">
        <v>0</v>
      </c>
      <c r="I1273" s="593">
        <v>0</v>
      </c>
      <c r="J1273" s="593">
        <v>19</v>
      </c>
      <c r="K1273" s="593">
        <v>0</v>
      </c>
      <c r="L1273" s="593">
        <v>0</v>
      </c>
      <c r="M1273" s="593">
        <v>0</v>
      </c>
      <c r="N1273" s="593">
        <v>22</v>
      </c>
      <c r="O1273" s="593">
        <v>1</v>
      </c>
      <c r="P1273" s="593">
        <v>49</v>
      </c>
      <c r="Q1273" s="593">
        <v>21</v>
      </c>
      <c r="R1273" s="593">
        <v>118</v>
      </c>
      <c r="S1273" s="593">
        <v>22</v>
      </c>
      <c r="T1273" s="593">
        <v>2017</v>
      </c>
      <c r="U1273" s="593">
        <v>2014</v>
      </c>
      <c r="V1273" s="589"/>
      <c r="W1273" s="589"/>
      <c r="X1273" s="589"/>
      <c r="Y1273" s="589"/>
      <c r="Z1273" s="589"/>
      <c r="AA1273" s="589"/>
      <c r="AB1273" s="589"/>
      <c r="AC1273" s="589"/>
      <c r="AD1273" s="589"/>
      <c r="AE1273" s="589"/>
      <c r="AF1273" s="589"/>
      <c r="AG1273" s="589"/>
      <c r="AH1273" s="589"/>
      <c r="AI1273" s="589"/>
      <c r="AJ1273" s="589"/>
      <c r="AK1273" s="589"/>
      <c r="AL1273" s="589"/>
      <c r="AM1273" s="589"/>
      <c r="AN1273" s="589"/>
      <c r="AO1273" s="589"/>
      <c r="AP1273" s="589"/>
      <c r="AQ1273" s="589"/>
      <c r="AR1273" s="589"/>
      <c r="AS1273" s="589"/>
    </row>
    <row r="1274" spans="1:45" ht="15">
      <c r="A1274" s="587" t="s">
        <v>168</v>
      </c>
      <c r="B1274" s="587" t="s">
        <v>481</v>
      </c>
      <c r="C1274" s="587" t="s">
        <v>784</v>
      </c>
      <c r="D1274" s="588">
        <v>2017</v>
      </c>
      <c r="E1274" s="587" t="s">
        <v>775</v>
      </c>
      <c r="F1274" s="588">
        <v>122</v>
      </c>
      <c r="G1274" s="588">
        <v>2</v>
      </c>
      <c r="H1274" s="588">
        <v>2</v>
      </c>
      <c r="I1274" s="588">
        <v>0</v>
      </c>
      <c r="J1274" s="588">
        <v>88</v>
      </c>
      <c r="K1274" s="588">
        <v>2</v>
      </c>
      <c r="L1274" s="588">
        <v>0</v>
      </c>
      <c r="M1274" s="588">
        <v>2</v>
      </c>
      <c r="N1274" s="588">
        <v>100</v>
      </c>
      <c r="O1274" s="588">
        <v>1</v>
      </c>
      <c r="P1274" s="588">
        <v>220</v>
      </c>
      <c r="Q1274" s="588">
        <v>38</v>
      </c>
      <c r="R1274" s="588">
        <v>530</v>
      </c>
      <c r="S1274" s="588">
        <v>43</v>
      </c>
      <c r="T1274" s="588">
        <v>2017</v>
      </c>
      <c r="U1274" s="588">
        <v>2014</v>
      </c>
      <c r="V1274" s="589"/>
      <c r="W1274" s="589"/>
      <c r="X1274" s="589"/>
      <c r="Y1274" s="589"/>
      <c r="Z1274" s="589"/>
      <c r="AA1274" s="589"/>
      <c r="AB1274" s="589"/>
      <c r="AC1274" s="589"/>
      <c r="AD1274" s="589"/>
      <c r="AE1274" s="589"/>
      <c r="AF1274" s="589"/>
      <c r="AG1274" s="589"/>
      <c r="AH1274" s="589"/>
      <c r="AI1274" s="589"/>
      <c r="AJ1274" s="589"/>
      <c r="AK1274" s="589"/>
      <c r="AL1274" s="589"/>
      <c r="AM1274" s="589"/>
      <c r="AN1274" s="589"/>
      <c r="AO1274" s="589"/>
      <c r="AP1274" s="589"/>
      <c r="AQ1274" s="589"/>
      <c r="AR1274" s="589"/>
      <c r="AS1274" s="589"/>
    </row>
    <row r="1275" spans="1:45" ht="15">
      <c r="A1275" s="590" t="s">
        <v>164</v>
      </c>
      <c r="B1275" s="590" t="s">
        <v>467</v>
      </c>
      <c r="C1275" s="590" t="s">
        <v>177</v>
      </c>
      <c r="D1275" s="593">
        <v>2017</v>
      </c>
      <c r="E1275" s="590" t="s">
        <v>775</v>
      </c>
      <c r="F1275" s="593">
        <v>87</v>
      </c>
      <c r="G1275" s="593">
        <v>49</v>
      </c>
      <c r="H1275" s="593">
        <v>49</v>
      </c>
      <c r="I1275" s="593">
        <v>0</v>
      </c>
      <c r="J1275" s="593">
        <v>57</v>
      </c>
      <c r="K1275" s="593">
        <v>14</v>
      </c>
      <c r="L1275" s="593">
        <v>14</v>
      </c>
      <c r="M1275" s="593">
        <v>0</v>
      </c>
      <c r="N1275" s="593">
        <v>66</v>
      </c>
      <c r="O1275" s="593">
        <v>2</v>
      </c>
      <c r="P1275" s="593">
        <v>153</v>
      </c>
      <c r="Q1275" s="593">
        <v>7</v>
      </c>
      <c r="R1275" s="593">
        <v>363</v>
      </c>
      <c r="S1275" s="593">
        <v>72</v>
      </c>
      <c r="T1275" s="593">
        <v>2017</v>
      </c>
      <c r="U1275" s="593">
        <v>2016</v>
      </c>
      <c r="V1275" s="589"/>
      <c r="W1275" s="589"/>
      <c r="X1275" s="589"/>
      <c r="Y1275" s="589"/>
      <c r="Z1275" s="589"/>
      <c r="AA1275" s="589"/>
      <c r="AB1275" s="589"/>
      <c r="AC1275" s="589"/>
      <c r="AD1275" s="589"/>
      <c r="AE1275" s="589"/>
      <c r="AF1275" s="589"/>
      <c r="AG1275" s="589"/>
      <c r="AH1275" s="589"/>
      <c r="AI1275" s="589"/>
      <c r="AJ1275" s="589"/>
      <c r="AK1275" s="589"/>
      <c r="AL1275" s="589"/>
      <c r="AM1275" s="589"/>
      <c r="AN1275" s="589"/>
      <c r="AO1275" s="589"/>
      <c r="AP1275" s="589"/>
      <c r="AQ1275" s="589"/>
      <c r="AR1275" s="589"/>
      <c r="AS1275" s="589"/>
    </row>
    <row r="1276" spans="1:45" ht="15">
      <c r="A1276" s="587" t="s">
        <v>131</v>
      </c>
      <c r="B1276" s="587" t="s">
        <v>258</v>
      </c>
      <c r="C1276" s="587" t="s">
        <v>786</v>
      </c>
      <c r="D1276" s="588">
        <v>2017</v>
      </c>
      <c r="E1276" s="587" t="s">
        <v>775</v>
      </c>
      <c r="F1276" s="588">
        <v>231</v>
      </c>
      <c r="G1276" s="588">
        <v>0</v>
      </c>
      <c r="H1276" s="588">
        <v>0</v>
      </c>
      <c r="I1276" s="588">
        <v>0</v>
      </c>
      <c r="J1276" s="588">
        <v>118</v>
      </c>
      <c r="K1276" s="588">
        <v>0</v>
      </c>
      <c r="L1276" s="588">
        <v>0</v>
      </c>
      <c r="M1276" s="588">
        <v>0</v>
      </c>
      <c r="N1276" s="588">
        <v>99</v>
      </c>
      <c r="O1276" s="588">
        <v>0</v>
      </c>
      <c r="P1276" s="588">
        <v>321</v>
      </c>
      <c r="Q1276" s="588">
        <v>19</v>
      </c>
      <c r="R1276" s="588">
        <v>769</v>
      </c>
      <c r="S1276" s="588">
        <v>19</v>
      </c>
      <c r="T1276" s="588">
        <v>2017</v>
      </c>
      <c r="U1276" s="588">
        <v>2014</v>
      </c>
      <c r="V1276" s="589"/>
      <c r="W1276" s="589"/>
      <c r="X1276" s="589"/>
      <c r="Y1276" s="589"/>
      <c r="Z1276" s="589"/>
      <c r="AA1276" s="589"/>
      <c r="AB1276" s="589"/>
      <c r="AC1276" s="589"/>
      <c r="AD1276" s="589"/>
      <c r="AE1276" s="589"/>
      <c r="AF1276" s="589"/>
      <c r="AG1276" s="589"/>
      <c r="AH1276" s="589"/>
      <c r="AI1276" s="589"/>
      <c r="AJ1276" s="589"/>
      <c r="AK1276" s="589"/>
      <c r="AL1276" s="589"/>
      <c r="AM1276" s="589"/>
      <c r="AN1276" s="589"/>
      <c r="AO1276" s="589"/>
      <c r="AP1276" s="589"/>
      <c r="AQ1276" s="589"/>
      <c r="AR1276" s="589"/>
      <c r="AS1276" s="589"/>
    </row>
    <row r="1277" spans="1:45" ht="15">
      <c r="A1277" s="590" t="s">
        <v>183</v>
      </c>
      <c r="B1277" s="590" t="s">
        <v>618</v>
      </c>
      <c r="C1277" s="590" t="s">
        <v>784</v>
      </c>
      <c r="D1277" s="593">
        <v>2017</v>
      </c>
      <c r="E1277" s="590" t="s">
        <v>775</v>
      </c>
      <c r="F1277" s="593">
        <v>41</v>
      </c>
      <c r="G1277" s="593">
        <v>0</v>
      </c>
      <c r="H1277" s="593">
        <v>0</v>
      </c>
      <c r="I1277" s="593">
        <v>0</v>
      </c>
      <c r="J1277" s="593">
        <v>26</v>
      </c>
      <c r="K1277" s="593">
        <v>0</v>
      </c>
      <c r="L1277" s="593">
        <v>0</v>
      </c>
      <c r="M1277" s="593">
        <v>0</v>
      </c>
      <c r="N1277" s="593">
        <v>29</v>
      </c>
      <c r="O1277" s="593">
        <v>0</v>
      </c>
      <c r="P1277" s="593">
        <v>69</v>
      </c>
      <c r="Q1277" s="593">
        <v>17</v>
      </c>
      <c r="R1277" s="593">
        <v>165</v>
      </c>
      <c r="S1277" s="593">
        <v>17</v>
      </c>
      <c r="T1277" s="593">
        <v>2017</v>
      </c>
      <c r="U1277" s="593">
        <v>2014</v>
      </c>
      <c r="V1277" s="589"/>
      <c r="W1277" s="589"/>
      <c r="X1277" s="589"/>
      <c r="Y1277" s="589"/>
      <c r="Z1277" s="589"/>
      <c r="AA1277" s="589"/>
      <c r="AB1277" s="589"/>
      <c r="AC1277" s="589"/>
      <c r="AD1277" s="589"/>
      <c r="AE1277" s="589"/>
      <c r="AF1277" s="589"/>
      <c r="AG1277" s="589"/>
      <c r="AH1277" s="589"/>
      <c r="AI1277" s="589"/>
      <c r="AJ1277" s="589"/>
      <c r="AK1277" s="589"/>
      <c r="AL1277" s="589"/>
      <c r="AM1277" s="589"/>
      <c r="AN1277" s="589"/>
      <c r="AO1277" s="589"/>
      <c r="AP1277" s="589"/>
      <c r="AQ1277" s="589"/>
      <c r="AR1277" s="589"/>
      <c r="AS1277" s="589"/>
    </row>
    <row r="1278" spans="1:45" ht="15">
      <c r="A1278" s="587" t="s">
        <v>184</v>
      </c>
      <c r="B1278" s="587" t="s">
        <v>631</v>
      </c>
      <c r="C1278" s="587" t="s">
        <v>774</v>
      </c>
      <c r="D1278" s="588">
        <v>2017</v>
      </c>
      <c r="E1278" s="587" t="s">
        <v>775</v>
      </c>
      <c r="F1278" s="588">
        <v>52</v>
      </c>
      <c r="G1278" s="588">
        <v>0</v>
      </c>
      <c r="H1278" s="588">
        <v>0</v>
      </c>
      <c r="I1278" s="588">
        <v>0</v>
      </c>
      <c r="J1278" s="588">
        <v>31</v>
      </c>
      <c r="K1278" s="588">
        <v>0</v>
      </c>
      <c r="L1278" s="588">
        <v>0</v>
      </c>
      <c r="M1278" s="588">
        <v>0</v>
      </c>
      <c r="N1278" s="588">
        <v>36</v>
      </c>
      <c r="O1278" s="588">
        <v>3</v>
      </c>
      <c r="P1278" s="588">
        <v>121</v>
      </c>
      <c r="Q1278" s="588">
        <v>12</v>
      </c>
      <c r="R1278" s="588">
        <v>240</v>
      </c>
      <c r="S1278" s="588">
        <v>15</v>
      </c>
      <c r="T1278" s="588">
        <v>2017</v>
      </c>
      <c r="U1278" s="588">
        <v>2015</v>
      </c>
      <c r="V1278" s="589"/>
      <c r="W1278" s="589"/>
      <c r="X1278" s="589"/>
      <c r="Y1278" s="589"/>
      <c r="Z1278" s="589"/>
      <c r="AA1278" s="589"/>
      <c r="AB1278" s="589"/>
      <c r="AC1278" s="589"/>
      <c r="AD1278" s="589"/>
      <c r="AE1278" s="589"/>
      <c r="AF1278" s="589"/>
      <c r="AG1278" s="589"/>
      <c r="AH1278" s="589"/>
      <c r="AI1278" s="589"/>
      <c r="AJ1278" s="589"/>
      <c r="AK1278" s="589"/>
      <c r="AL1278" s="589"/>
      <c r="AM1278" s="589"/>
      <c r="AN1278" s="589"/>
      <c r="AO1278" s="589"/>
      <c r="AP1278" s="589"/>
      <c r="AQ1278" s="589"/>
      <c r="AR1278" s="589"/>
      <c r="AS1278" s="589"/>
    </row>
    <row r="1279" spans="1:45" ht="15">
      <c r="A1279" s="590" t="s">
        <v>149</v>
      </c>
      <c r="B1279" s="590" t="s">
        <v>338</v>
      </c>
      <c r="C1279" s="590" t="s">
        <v>819</v>
      </c>
      <c r="D1279" s="593">
        <v>2017</v>
      </c>
      <c r="E1279" s="590" t="s">
        <v>775</v>
      </c>
      <c r="F1279" s="593">
        <v>1097</v>
      </c>
      <c r="G1279" s="593">
        <v>0</v>
      </c>
      <c r="H1279" s="593">
        <v>0</v>
      </c>
      <c r="I1279" s="593">
        <v>0</v>
      </c>
      <c r="J1279" s="593">
        <v>821</v>
      </c>
      <c r="K1279" s="593">
        <v>0</v>
      </c>
      <c r="L1279" s="593">
        <v>0</v>
      </c>
      <c r="M1279" s="593">
        <v>0</v>
      </c>
      <c r="N1279" s="593">
        <v>865</v>
      </c>
      <c r="O1279" s="593">
        <v>6</v>
      </c>
      <c r="P1279" s="593">
        <v>2049</v>
      </c>
      <c r="Q1279" s="593">
        <v>177</v>
      </c>
      <c r="R1279" s="593">
        <v>4832</v>
      </c>
      <c r="S1279" s="593">
        <v>183</v>
      </c>
      <c r="T1279" s="593">
        <v>2017</v>
      </c>
      <c r="U1279" s="593">
        <v>2016</v>
      </c>
      <c r="V1279" s="589"/>
      <c r="W1279" s="589"/>
      <c r="X1279" s="589"/>
      <c r="Y1279" s="589"/>
      <c r="Z1279" s="589"/>
      <c r="AA1279" s="589"/>
      <c r="AB1279" s="589"/>
      <c r="AC1279" s="589"/>
      <c r="AD1279" s="589"/>
      <c r="AE1279" s="589"/>
      <c r="AF1279" s="589"/>
      <c r="AG1279" s="589"/>
      <c r="AH1279" s="589"/>
      <c r="AI1279" s="589"/>
      <c r="AJ1279" s="589"/>
      <c r="AK1279" s="589"/>
      <c r="AL1279" s="589"/>
      <c r="AM1279" s="589"/>
      <c r="AN1279" s="589"/>
      <c r="AO1279" s="589"/>
      <c r="AP1279" s="589"/>
      <c r="AQ1279" s="589"/>
      <c r="AR1279" s="589"/>
      <c r="AS1279" s="589"/>
    </row>
    <row r="1280" spans="1:45" ht="15">
      <c r="A1280" s="587" t="s">
        <v>153</v>
      </c>
      <c r="B1280" s="587" t="s">
        <v>377</v>
      </c>
      <c r="C1280" s="587" t="s">
        <v>812</v>
      </c>
      <c r="D1280" s="588">
        <v>2017</v>
      </c>
      <c r="E1280" s="587" t="s">
        <v>775</v>
      </c>
      <c r="F1280" s="588">
        <v>170</v>
      </c>
      <c r="G1280" s="588">
        <v>0</v>
      </c>
      <c r="H1280" s="588">
        <v>0</v>
      </c>
      <c r="I1280" s="588">
        <v>0</v>
      </c>
      <c r="J1280" s="588">
        <v>101</v>
      </c>
      <c r="K1280" s="588">
        <v>0</v>
      </c>
      <c r="L1280" s="588">
        <v>0</v>
      </c>
      <c r="M1280" s="588">
        <v>0</v>
      </c>
      <c r="N1280" s="588">
        <v>112</v>
      </c>
      <c r="O1280" s="588">
        <v>5</v>
      </c>
      <c r="P1280" s="588">
        <v>300</v>
      </c>
      <c r="Q1280" s="588">
        <v>37</v>
      </c>
      <c r="R1280" s="588">
        <v>683</v>
      </c>
      <c r="S1280" s="588">
        <v>42</v>
      </c>
      <c r="T1280" s="588">
        <v>2017</v>
      </c>
      <c r="U1280" s="588">
        <v>2014</v>
      </c>
      <c r="V1280" s="589"/>
      <c r="W1280" s="589"/>
      <c r="X1280" s="589"/>
      <c r="Y1280" s="589"/>
      <c r="Z1280" s="589"/>
      <c r="AA1280" s="589"/>
      <c r="AB1280" s="589"/>
      <c r="AC1280" s="589"/>
      <c r="AD1280" s="589"/>
      <c r="AE1280" s="589"/>
      <c r="AF1280" s="589"/>
      <c r="AG1280" s="589"/>
      <c r="AH1280" s="589"/>
      <c r="AI1280" s="589"/>
      <c r="AJ1280" s="589"/>
      <c r="AK1280" s="589"/>
      <c r="AL1280" s="589"/>
      <c r="AM1280" s="589"/>
      <c r="AN1280" s="589"/>
      <c r="AO1280" s="589"/>
      <c r="AP1280" s="589"/>
      <c r="AQ1280" s="589"/>
      <c r="AR1280" s="589"/>
      <c r="AS1280" s="589"/>
    </row>
    <row r="1281" spans="1:45" ht="15">
      <c r="A1281" s="590" t="s">
        <v>125</v>
      </c>
      <c r="B1281" s="590" t="s">
        <v>239</v>
      </c>
      <c r="C1281" s="590" t="s">
        <v>774</v>
      </c>
      <c r="D1281" s="593">
        <v>2017</v>
      </c>
      <c r="E1281" s="590" t="s">
        <v>775</v>
      </c>
      <c r="F1281" s="593">
        <v>851</v>
      </c>
      <c r="G1281" s="593">
        <v>40</v>
      </c>
      <c r="H1281" s="593">
        <v>40</v>
      </c>
      <c r="I1281" s="593">
        <v>0</v>
      </c>
      <c r="J1281" s="593">
        <v>480</v>
      </c>
      <c r="K1281" s="593">
        <v>19</v>
      </c>
      <c r="L1281" s="593">
        <v>19</v>
      </c>
      <c r="M1281" s="593">
        <v>0</v>
      </c>
      <c r="N1281" s="593">
        <v>608</v>
      </c>
      <c r="O1281" s="593">
        <v>0</v>
      </c>
      <c r="P1281" s="593">
        <v>1981</v>
      </c>
      <c r="Q1281" s="593">
        <v>395</v>
      </c>
      <c r="R1281" s="593">
        <v>3920</v>
      </c>
      <c r="S1281" s="593">
        <v>454</v>
      </c>
      <c r="T1281" s="593">
        <v>2017</v>
      </c>
      <c r="U1281" s="593">
        <v>2015</v>
      </c>
      <c r="V1281" s="589"/>
      <c r="W1281" s="589"/>
      <c r="X1281" s="589"/>
      <c r="Y1281" s="589"/>
      <c r="Z1281" s="589"/>
      <c r="AA1281" s="589"/>
      <c r="AB1281" s="589"/>
      <c r="AC1281" s="589"/>
      <c r="AD1281" s="589"/>
      <c r="AE1281" s="589"/>
      <c r="AF1281" s="589"/>
      <c r="AG1281" s="589"/>
      <c r="AH1281" s="589"/>
      <c r="AI1281" s="589"/>
      <c r="AJ1281" s="589"/>
      <c r="AK1281" s="589"/>
      <c r="AL1281" s="589"/>
      <c r="AM1281" s="589"/>
      <c r="AN1281" s="589"/>
      <c r="AO1281" s="589"/>
      <c r="AP1281" s="589"/>
      <c r="AQ1281" s="589"/>
      <c r="AR1281" s="589"/>
      <c r="AS1281" s="589"/>
    </row>
    <row r="1282" spans="1:45" ht="15">
      <c r="A1282" s="587" t="s">
        <v>193</v>
      </c>
      <c r="B1282" s="587" t="s">
        <v>696</v>
      </c>
      <c r="C1282" s="587" t="s">
        <v>774</v>
      </c>
      <c r="D1282" s="588">
        <v>2017</v>
      </c>
      <c r="E1282" s="587" t="s">
        <v>775</v>
      </c>
      <c r="F1282" s="588">
        <v>31</v>
      </c>
      <c r="G1282" s="588">
        <v>12</v>
      </c>
      <c r="H1282" s="588">
        <v>12</v>
      </c>
      <c r="I1282" s="588">
        <v>0</v>
      </c>
      <c r="J1282" s="588">
        <v>24</v>
      </c>
      <c r="K1282" s="588">
        <v>20</v>
      </c>
      <c r="L1282" s="588">
        <v>20</v>
      </c>
      <c r="M1282" s="588">
        <v>0</v>
      </c>
      <c r="N1282" s="588">
        <v>26</v>
      </c>
      <c r="O1282" s="588">
        <v>29</v>
      </c>
      <c r="P1282" s="588">
        <v>76</v>
      </c>
      <c r="Q1282" s="588">
        <v>16</v>
      </c>
      <c r="R1282" s="588">
        <v>157</v>
      </c>
      <c r="S1282" s="588">
        <v>77</v>
      </c>
      <c r="T1282" s="588">
        <v>2017</v>
      </c>
      <c r="U1282" s="588">
        <v>2015</v>
      </c>
      <c r="V1282" s="589"/>
      <c r="W1282" s="589"/>
      <c r="X1282" s="589"/>
      <c r="Y1282" s="589"/>
      <c r="Z1282" s="589"/>
      <c r="AA1282" s="589"/>
      <c r="AB1282" s="589"/>
      <c r="AC1282" s="589"/>
      <c r="AD1282" s="589"/>
      <c r="AE1282" s="589"/>
      <c r="AF1282" s="589"/>
      <c r="AG1282" s="589"/>
      <c r="AH1282" s="589"/>
      <c r="AI1282" s="589"/>
      <c r="AJ1282" s="589"/>
      <c r="AK1282" s="589"/>
      <c r="AL1282" s="589"/>
      <c r="AM1282" s="589"/>
      <c r="AN1282" s="589"/>
      <c r="AO1282" s="589"/>
      <c r="AP1282" s="589"/>
      <c r="AQ1282" s="589"/>
      <c r="AR1282" s="589"/>
      <c r="AS1282" s="589"/>
    </row>
    <row r="1283" spans="1:45" ht="15">
      <c r="A1283" s="590" t="s">
        <v>173</v>
      </c>
      <c r="B1283" s="590" t="s">
        <v>538</v>
      </c>
      <c r="C1283" s="590" t="s">
        <v>812</v>
      </c>
      <c r="D1283" s="593">
        <v>2017</v>
      </c>
      <c r="E1283" s="590" t="s">
        <v>775</v>
      </c>
      <c r="F1283" s="593">
        <v>134</v>
      </c>
      <c r="G1283" s="593">
        <v>0</v>
      </c>
      <c r="H1283" s="593">
        <v>0</v>
      </c>
      <c r="I1283" s="593">
        <v>0</v>
      </c>
      <c r="J1283" s="593">
        <v>96</v>
      </c>
      <c r="K1283" s="593">
        <v>0</v>
      </c>
      <c r="L1283" s="593">
        <v>0</v>
      </c>
      <c r="M1283" s="593">
        <v>0</v>
      </c>
      <c r="N1283" s="593">
        <v>112</v>
      </c>
      <c r="O1283" s="593">
        <v>2</v>
      </c>
      <c r="P1283" s="593">
        <v>262</v>
      </c>
      <c r="Q1283" s="593">
        <v>12</v>
      </c>
      <c r="R1283" s="593">
        <v>604</v>
      </c>
      <c r="S1283" s="593">
        <v>14</v>
      </c>
      <c r="T1283" s="593">
        <v>2017</v>
      </c>
      <c r="U1283" s="593">
        <v>2014</v>
      </c>
      <c r="V1283" s="589"/>
      <c r="W1283" s="589"/>
      <c r="X1283" s="589"/>
      <c r="Y1283" s="589"/>
      <c r="Z1283" s="589"/>
      <c r="AA1283" s="589"/>
      <c r="AB1283" s="589"/>
      <c r="AC1283" s="589"/>
      <c r="AD1283" s="589"/>
      <c r="AE1283" s="589"/>
      <c r="AF1283" s="589"/>
      <c r="AG1283" s="589"/>
      <c r="AH1283" s="589"/>
      <c r="AI1283" s="589"/>
      <c r="AJ1283" s="589"/>
      <c r="AK1283" s="589"/>
      <c r="AL1283" s="589"/>
      <c r="AM1283" s="589"/>
      <c r="AN1283" s="589"/>
      <c r="AO1283" s="589"/>
      <c r="AP1283" s="589"/>
      <c r="AQ1283" s="589"/>
      <c r="AR1283" s="589"/>
      <c r="AS1283" s="589"/>
    </row>
    <row r="1284" spans="1:45" ht="15">
      <c r="A1284" s="587" t="s">
        <v>136</v>
      </c>
      <c r="B1284" s="587" t="s">
        <v>272</v>
      </c>
      <c r="C1284" s="587" t="s">
        <v>774</v>
      </c>
      <c r="D1284" s="588">
        <v>2017</v>
      </c>
      <c r="E1284" s="587" t="s">
        <v>775</v>
      </c>
      <c r="F1284" s="588">
        <v>220</v>
      </c>
      <c r="G1284" s="588">
        <v>0</v>
      </c>
      <c r="H1284" s="588">
        <v>0</v>
      </c>
      <c r="I1284" s="588">
        <v>0</v>
      </c>
      <c r="J1284" s="588">
        <v>118</v>
      </c>
      <c r="K1284" s="588">
        <v>0</v>
      </c>
      <c r="L1284" s="588">
        <v>0</v>
      </c>
      <c r="M1284" s="588">
        <v>0</v>
      </c>
      <c r="N1284" s="588">
        <v>100</v>
      </c>
      <c r="O1284" s="588">
        <v>0</v>
      </c>
      <c r="P1284" s="588">
        <v>244</v>
      </c>
      <c r="Q1284" s="588">
        <v>41</v>
      </c>
      <c r="R1284" s="588">
        <v>682</v>
      </c>
      <c r="S1284" s="588">
        <v>41</v>
      </c>
      <c r="T1284" s="588">
        <v>2017</v>
      </c>
      <c r="U1284" s="588">
        <v>2015</v>
      </c>
      <c r="V1284" s="589"/>
      <c r="W1284" s="589"/>
      <c r="X1284" s="589"/>
      <c r="Y1284" s="589"/>
      <c r="Z1284" s="589"/>
      <c r="AA1284" s="589"/>
      <c r="AB1284" s="589"/>
      <c r="AC1284" s="589"/>
      <c r="AD1284" s="589"/>
      <c r="AE1284" s="589"/>
      <c r="AF1284" s="589"/>
      <c r="AG1284" s="589"/>
      <c r="AH1284" s="589"/>
      <c r="AI1284" s="589"/>
      <c r="AJ1284" s="589"/>
      <c r="AK1284" s="589"/>
      <c r="AL1284" s="589"/>
      <c r="AM1284" s="589"/>
      <c r="AN1284" s="589"/>
      <c r="AO1284" s="589"/>
      <c r="AP1284" s="589"/>
      <c r="AQ1284" s="589"/>
      <c r="AR1284" s="589"/>
      <c r="AS1284" s="589"/>
    </row>
    <row r="1285" spans="1:45" ht="15">
      <c r="A1285" s="590" t="s">
        <v>178</v>
      </c>
      <c r="B1285" s="590" t="s">
        <v>575</v>
      </c>
      <c r="C1285" s="590" t="s">
        <v>812</v>
      </c>
      <c r="D1285" s="593">
        <v>2017</v>
      </c>
      <c r="E1285" s="590" t="s">
        <v>775</v>
      </c>
      <c r="F1285" s="593">
        <v>398</v>
      </c>
      <c r="G1285" s="593">
        <v>0</v>
      </c>
      <c r="H1285" s="593">
        <v>0</v>
      </c>
      <c r="I1285" s="593">
        <v>0</v>
      </c>
      <c r="J1285" s="593">
        <v>274</v>
      </c>
      <c r="K1285" s="593">
        <v>0</v>
      </c>
      <c r="L1285" s="593">
        <v>0</v>
      </c>
      <c r="M1285" s="593">
        <v>0</v>
      </c>
      <c r="N1285" s="593">
        <v>314</v>
      </c>
      <c r="O1285" s="593">
        <v>0</v>
      </c>
      <c r="P1285" s="593">
        <v>729</v>
      </c>
      <c r="Q1285" s="593">
        <v>230</v>
      </c>
      <c r="R1285" s="593">
        <v>1715</v>
      </c>
      <c r="S1285" s="593">
        <v>230</v>
      </c>
      <c r="T1285" s="593">
        <v>2017</v>
      </c>
      <c r="U1285" s="593">
        <v>2014</v>
      </c>
      <c r="V1285" s="589"/>
      <c r="W1285" s="589"/>
      <c r="X1285" s="589"/>
      <c r="Y1285" s="589"/>
      <c r="Z1285" s="589"/>
      <c r="AA1285" s="589"/>
      <c r="AB1285" s="589"/>
      <c r="AC1285" s="589"/>
      <c r="AD1285" s="589"/>
      <c r="AE1285" s="589"/>
      <c r="AF1285" s="589"/>
      <c r="AG1285" s="589"/>
      <c r="AH1285" s="589"/>
      <c r="AI1285" s="589"/>
      <c r="AJ1285" s="589"/>
      <c r="AK1285" s="589"/>
      <c r="AL1285" s="589"/>
      <c r="AM1285" s="589"/>
      <c r="AN1285" s="589"/>
      <c r="AO1285" s="589"/>
      <c r="AP1285" s="589"/>
      <c r="AQ1285" s="589"/>
      <c r="AR1285" s="589"/>
      <c r="AS1285" s="589"/>
    </row>
    <row r="1286" spans="1:45" ht="15">
      <c r="A1286" s="587" t="s">
        <v>178</v>
      </c>
      <c r="B1286" s="587" t="s">
        <v>576</v>
      </c>
      <c r="C1286" s="587" t="s">
        <v>812</v>
      </c>
      <c r="D1286" s="588">
        <v>2017</v>
      </c>
      <c r="E1286" s="587" t="s">
        <v>775</v>
      </c>
      <c r="F1286" s="588">
        <v>349</v>
      </c>
      <c r="G1286" s="588">
        <v>0</v>
      </c>
      <c r="H1286" s="588">
        <v>0</v>
      </c>
      <c r="I1286" s="588">
        <v>0</v>
      </c>
      <c r="J1286" s="588">
        <v>246</v>
      </c>
      <c r="K1286" s="588">
        <v>0</v>
      </c>
      <c r="L1286" s="588">
        <v>0</v>
      </c>
      <c r="M1286" s="588">
        <v>0</v>
      </c>
      <c r="N1286" s="588">
        <v>280</v>
      </c>
      <c r="O1286" s="588">
        <v>9</v>
      </c>
      <c r="P1286" s="588">
        <v>625</v>
      </c>
      <c r="Q1286" s="588">
        <v>70</v>
      </c>
      <c r="R1286" s="588">
        <v>1500</v>
      </c>
      <c r="S1286" s="588">
        <v>79</v>
      </c>
      <c r="T1286" s="588">
        <v>2017</v>
      </c>
      <c r="U1286" s="588">
        <v>2014</v>
      </c>
      <c r="V1286" s="589"/>
      <c r="W1286" s="589"/>
      <c r="X1286" s="589"/>
      <c r="Y1286" s="589"/>
      <c r="Z1286" s="589"/>
      <c r="AA1286" s="589"/>
      <c r="AB1286" s="589"/>
      <c r="AC1286" s="589"/>
      <c r="AD1286" s="589"/>
      <c r="AE1286" s="589"/>
      <c r="AF1286" s="589"/>
      <c r="AG1286" s="589"/>
      <c r="AH1286" s="589"/>
      <c r="AI1286" s="589"/>
      <c r="AJ1286" s="589"/>
      <c r="AK1286" s="589"/>
      <c r="AL1286" s="589"/>
      <c r="AM1286" s="589"/>
      <c r="AN1286" s="589"/>
      <c r="AO1286" s="589"/>
      <c r="AP1286" s="589"/>
      <c r="AQ1286" s="589"/>
      <c r="AR1286" s="589"/>
      <c r="AS1286" s="589"/>
    </row>
    <row r="1287" spans="1:45" ht="15">
      <c r="A1287" s="590" t="s">
        <v>184</v>
      </c>
      <c r="B1287" s="590" t="s">
        <v>632</v>
      </c>
      <c r="C1287" s="590" t="s">
        <v>774</v>
      </c>
      <c r="D1287" s="593">
        <v>2017</v>
      </c>
      <c r="E1287" s="590" t="s">
        <v>775</v>
      </c>
      <c r="F1287" s="593">
        <v>32</v>
      </c>
      <c r="G1287" s="593">
        <v>8</v>
      </c>
      <c r="H1287" s="593">
        <v>0</v>
      </c>
      <c r="I1287" s="593">
        <v>8</v>
      </c>
      <c r="J1287" s="593">
        <v>17</v>
      </c>
      <c r="K1287" s="593">
        <v>3</v>
      </c>
      <c r="L1287" s="593">
        <v>0</v>
      </c>
      <c r="M1287" s="593">
        <v>3</v>
      </c>
      <c r="N1287" s="593">
        <v>21</v>
      </c>
      <c r="O1287" s="593">
        <v>4</v>
      </c>
      <c r="P1287" s="593">
        <v>21</v>
      </c>
      <c r="Q1287" s="593">
        <v>3</v>
      </c>
      <c r="R1287" s="593">
        <v>91</v>
      </c>
      <c r="S1287" s="593">
        <v>18</v>
      </c>
      <c r="T1287" s="593">
        <v>2017</v>
      </c>
      <c r="U1287" s="593">
        <v>2015</v>
      </c>
      <c r="V1287" s="589"/>
      <c r="W1287" s="589"/>
      <c r="X1287" s="589"/>
      <c r="Y1287" s="589"/>
      <c r="Z1287" s="589"/>
      <c r="AA1287" s="589"/>
      <c r="AB1287" s="589"/>
      <c r="AC1287" s="589"/>
      <c r="AD1287" s="589"/>
      <c r="AE1287" s="589"/>
      <c r="AF1287" s="589"/>
      <c r="AG1287" s="589"/>
      <c r="AH1287" s="589"/>
      <c r="AI1287" s="589"/>
      <c r="AJ1287" s="589"/>
      <c r="AK1287" s="589"/>
      <c r="AL1287" s="589"/>
      <c r="AM1287" s="589"/>
      <c r="AN1287" s="589"/>
      <c r="AO1287" s="589"/>
      <c r="AP1287" s="589"/>
      <c r="AQ1287" s="589"/>
      <c r="AR1287" s="589"/>
      <c r="AS1287" s="589"/>
    </row>
    <row r="1288" spans="1:45" ht="15">
      <c r="A1288" s="587" t="s">
        <v>176</v>
      </c>
      <c r="B1288" s="587" t="s">
        <v>563</v>
      </c>
      <c r="C1288" s="587" t="s">
        <v>177</v>
      </c>
      <c r="D1288" s="588">
        <v>2017</v>
      </c>
      <c r="E1288" s="587" t="s">
        <v>775</v>
      </c>
      <c r="F1288" s="588">
        <v>312</v>
      </c>
      <c r="G1288" s="588">
        <v>0</v>
      </c>
      <c r="H1288" s="588">
        <v>0</v>
      </c>
      <c r="I1288" s="588">
        <v>0</v>
      </c>
      <c r="J1288" s="588">
        <v>189</v>
      </c>
      <c r="K1288" s="588">
        <v>0</v>
      </c>
      <c r="L1288" s="588">
        <v>0</v>
      </c>
      <c r="M1288" s="588">
        <v>0</v>
      </c>
      <c r="N1288" s="588">
        <v>258</v>
      </c>
      <c r="O1288" s="588">
        <v>91</v>
      </c>
      <c r="P1288" s="588">
        <v>557</v>
      </c>
      <c r="Q1288" s="588">
        <v>219</v>
      </c>
      <c r="R1288" s="588">
        <v>1316</v>
      </c>
      <c r="S1288" s="588">
        <v>310</v>
      </c>
      <c r="T1288" s="588">
        <v>2017</v>
      </c>
      <c r="U1288" s="588">
        <v>2016</v>
      </c>
      <c r="V1288" s="589"/>
      <c r="W1288" s="589"/>
      <c r="X1288" s="589"/>
      <c r="Y1288" s="589"/>
      <c r="Z1288" s="589"/>
      <c r="AA1288" s="589"/>
      <c r="AB1288" s="589"/>
      <c r="AC1288" s="589"/>
      <c r="AD1288" s="589"/>
      <c r="AE1288" s="589"/>
      <c r="AF1288" s="589"/>
      <c r="AG1288" s="589"/>
      <c r="AH1288" s="589"/>
      <c r="AI1288" s="589"/>
      <c r="AJ1288" s="589"/>
      <c r="AK1288" s="589"/>
      <c r="AL1288" s="589"/>
      <c r="AM1288" s="589"/>
      <c r="AN1288" s="589"/>
      <c r="AO1288" s="589"/>
      <c r="AP1288" s="589"/>
      <c r="AQ1288" s="589"/>
      <c r="AR1288" s="589"/>
      <c r="AS1288" s="589"/>
    </row>
    <row r="1289" spans="1:45" ht="15">
      <c r="A1289" s="590" t="s">
        <v>146</v>
      </c>
      <c r="B1289" s="590" t="s">
        <v>319</v>
      </c>
      <c r="C1289" s="590" t="s">
        <v>812</v>
      </c>
      <c r="D1289" s="593">
        <v>2017</v>
      </c>
      <c r="E1289" s="590" t="s">
        <v>775</v>
      </c>
      <c r="F1289" s="593">
        <v>54</v>
      </c>
      <c r="G1289" s="593">
        <v>0</v>
      </c>
      <c r="H1289" s="593">
        <v>0</v>
      </c>
      <c r="I1289" s="593">
        <v>0</v>
      </c>
      <c r="J1289" s="593">
        <v>31</v>
      </c>
      <c r="K1289" s="593">
        <v>1</v>
      </c>
      <c r="L1289" s="593">
        <v>0</v>
      </c>
      <c r="M1289" s="593">
        <v>1</v>
      </c>
      <c r="N1289" s="593">
        <v>32</v>
      </c>
      <c r="O1289" s="593">
        <v>1</v>
      </c>
      <c r="P1289" s="593">
        <v>92</v>
      </c>
      <c r="Q1289" s="593">
        <v>1</v>
      </c>
      <c r="R1289" s="593">
        <v>209</v>
      </c>
      <c r="S1289" s="593">
        <v>3</v>
      </c>
      <c r="T1289" s="593">
        <v>2017</v>
      </c>
      <c r="U1289" s="593">
        <v>2014</v>
      </c>
      <c r="V1289" s="589"/>
      <c r="W1289" s="589"/>
      <c r="X1289" s="589"/>
      <c r="Y1289" s="589"/>
      <c r="Z1289" s="589"/>
      <c r="AA1289" s="589"/>
      <c r="AB1289" s="589"/>
      <c r="AC1289" s="589"/>
      <c r="AD1289" s="589"/>
      <c r="AE1289" s="589"/>
      <c r="AF1289" s="589"/>
      <c r="AG1289" s="589"/>
      <c r="AH1289" s="589"/>
      <c r="AI1289" s="589"/>
      <c r="AJ1289" s="589"/>
      <c r="AK1289" s="589"/>
      <c r="AL1289" s="589"/>
      <c r="AM1289" s="589"/>
      <c r="AN1289" s="589"/>
      <c r="AO1289" s="589"/>
      <c r="AP1289" s="589"/>
      <c r="AQ1289" s="589"/>
      <c r="AR1289" s="589"/>
      <c r="AS1289" s="589"/>
    </row>
    <row r="1290" spans="1:45" ht="15">
      <c r="A1290" s="587" t="s">
        <v>195</v>
      </c>
      <c r="B1290" s="587" t="s">
        <v>704</v>
      </c>
      <c r="C1290" s="587" t="s">
        <v>177</v>
      </c>
      <c r="D1290" s="588">
        <v>2017</v>
      </c>
      <c r="E1290" s="587" t="s">
        <v>775</v>
      </c>
      <c r="F1290" s="588">
        <v>53</v>
      </c>
      <c r="G1290" s="588">
        <v>0</v>
      </c>
      <c r="H1290" s="588">
        <v>0</v>
      </c>
      <c r="I1290" s="588">
        <v>0</v>
      </c>
      <c r="J1290" s="588">
        <v>34</v>
      </c>
      <c r="K1290" s="588">
        <v>0</v>
      </c>
      <c r="L1290" s="588">
        <v>0</v>
      </c>
      <c r="M1290" s="588">
        <v>0</v>
      </c>
      <c r="N1290" s="588">
        <v>38</v>
      </c>
      <c r="O1290" s="588">
        <v>0</v>
      </c>
      <c r="P1290" s="588">
        <v>93</v>
      </c>
      <c r="Q1290" s="588">
        <v>16</v>
      </c>
      <c r="R1290" s="588">
        <v>218</v>
      </c>
      <c r="S1290" s="588">
        <v>16</v>
      </c>
      <c r="T1290" s="588">
        <v>2017</v>
      </c>
      <c r="U1290" s="588">
        <v>2016</v>
      </c>
      <c r="V1290" s="589"/>
      <c r="W1290" s="589"/>
      <c r="X1290" s="589"/>
      <c r="Y1290" s="589"/>
      <c r="Z1290" s="589"/>
      <c r="AA1290" s="589"/>
      <c r="AB1290" s="589"/>
      <c r="AC1290" s="589"/>
      <c r="AD1290" s="589"/>
      <c r="AE1290" s="589"/>
      <c r="AF1290" s="589"/>
      <c r="AG1290" s="589"/>
      <c r="AH1290" s="589"/>
      <c r="AI1290" s="589"/>
      <c r="AJ1290" s="589"/>
      <c r="AK1290" s="589"/>
      <c r="AL1290" s="589"/>
      <c r="AM1290" s="589"/>
      <c r="AN1290" s="589"/>
      <c r="AO1290" s="589"/>
      <c r="AP1290" s="589"/>
      <c r="AQ1290" s="589"/>
      <c r="AR1290" s="589"/>
      <c r="AS1290" s="589"/>
    </row>
    <row r="1291" spans="1:45" ht="15">
      <c r="A1291" s="590" t="s">
        <v>145</v>
      </c>
      <c r="B1291" s="590" t="s">
        <v>312</v>
      </c>
      <c r="C1291" s="590" t="s">
        <v>784</v>
      </c>
      <c r="D1291" s="593">
        <v>2017</v>
      </c>
      <c r="E1291" s="590" t="s">
        <v>775</v>
      </c>
      <c r="F1291" s="593">
        <v>212</v>
      </c>
      <c r="G1291" s="593">
        <v>7</v>
      </c>
      <c r="H1291" s="593">
        <v>0</v>
      </c>
      <c r="I1291" s="593">
        <v>7</v>
      </c>
      <c r="J1291" s="593">
        <v>135</v>
      </c>
      <c r="K1291" s="593">
        <v>15</v>
      </c>
      <c r="L1291" s="593">
        <v>0</v>
      </c>
      <c r="M1291" s="593">
        <v>15</v>
      </c>
      <c r="N1291" s="593">
        <v>146</v>
      </c>
      <c r="O1291" s="593">
        <v>86</v>
      </c>
      <c r="P1291" s="593">
        <v>366</v>
      </c>
      <c r="Q1291" s="593">
        <v>12</v>
      </c>
      <c r="R1291" s="593">
        <v>859</v>
      </c>
      <c r="S1291" s="593">
        <v>120</v>
      </c>
      <c r="T1291" s="593">
        <v>2017</v>
      </c>
      <c r="U1291" s="593">
        <v>2014</v>
      </c>
      <c r="V1291" s="589"/>
      <c r="W1291" s="589"/>
      <c r="X1291" s="589"/>
      <c r="Y1291" s="589"/>
      <c r="Z1291" s="589"/>
      <c r="AA1291" s="589"/>
      <c r="AB1291" s="589"/>
      <c r="AC1291" s="589"/>
      <c r="AD1291" s="589"/>
      <c r="AE1291" s="589"/>
      <c r="AF1291" s="589"/>
      <c r="AG1291" s="589"/>
      <c r="AH1291" s="589"/>
      <c r="AI1291" s="589"/>
      <c r="AJ1291" s="589"/>
      <c r="AK1291" s="589"/>
      <c r="AL1291" s="589"/>
      <c r="AM1291" s="589"/>
      <c r="AN1291" s="589"/>
      <c r="AO1291" s="589"/>
      <c r="AP1291" s="589"/>
      <c r="AQ1291" s="589"/>
      <c r="AR1291" s="589"/>
      <c r="AS1291" s="589"/>
    </row>
    <row r="1292" spans="1:45" ht="15">
      <c r="A1292" s="587" t="s">
        <v>141</v>
      </c>
      <c r="B1292" s="587" t="s">
        <v>295</v>
      </c>
      <c r="C1292" s="587" t="s">
        <v>177</v>
      </c>
      <c r="D1292" s="588">
        <v>2017</v>
      </c>
      <c r="E1292" s="587" t="s">
        <v>775</v>
      </c>
      <c r="F1292" s="588">
        <v>87</v>
      </c>
      <c r="G1292" s="588">
        <v>0</v>
      </c>
      <c r="H1292" s="588">
        <v>0</v>
      </c>
      <c r="I1292" s="588">
        <v>0</v>
      </c>
      <c r="J1292" s="588">
        <v>107</v>
      </c>
      <c r="K1292" s="588">
        <v>0</v>
      </c>
      <c r="L1292" s="588">
        <v>0</v>
      </c>
      <c r="M1292" s="588">
        <v>0</v>
      </c>
      <c r="N1292" s="588">
        <v>106</v>
      </c>
      <c r="O1292" s="588">
        <v>0</v>
      </c>
      <c r="P1292" s="588">
        <v>124</v>
      </c>
      <c r="Q1292" s="588">
        <v>0</v>
      </c>
      <c r="R1292" s="588">
        <v>424</v>
      </c>
      <c r="S1292" s="588">
        <v>0</v>
      </c>
      <c r="T1292" s="588">
        <v>2017</v>
      </c>
      <c r="U1292" s="588">
        <v>2016</v>
      </c>
      <c r="V1292" s="589"/>
      <c r="W1292" s="589"/>
      <c r="X1292" s="589"/>
      <c r="Y1292" s="589"/>
      <c r="Z1292" s="589"/>
      <c r="AA1292" s="589"/>
      <c r="AB1292" s="589"/>
      <c r="AC1292" s="589"/>
      <c r="AD1292" s="589"/>
      <c r="AE1292" s="589"/>
      <c r="AF1292" s="589"/>
      <c r="AG1292" s="589"/>
      <c r="AH1292" s="589"/>
      <c r="AI1292" s="589"/>
      <c r="AJ1292" s="589"/>
      <c r="AK1292" s="589"/>
      <c r="AL1292" s="589"/>
      <c r="AM1292" s="589"/>
      <c r="AN1292" s="589"/>
      <c r="AO1292" s="589"/>
      <c r="AP1292" s="589"/>
      <c r="AQ1292" s="589"/>
      <c r="AR1292" s="589"/>
      <c r="AS1292" s="589"/>
    </row>
    <row r="1293" spans="1:45" ht="15">
      <c r="A1293" s="590" t="s">
        <v>146</v>
      </c>
      <c r="B1293" s="591" t="s">
        <v>146</v>
      </c>
      <c r="C1293" s="591" t="s">
        <v>812</v>
      </c>
      <c r="D1293" s="592">
        <v>2017</v>
      </c>
      <c r="E1293" s="591" t="s">
        <v>775</v>
      </c>
      <c r="F1293" s="592">
        <v>349</v>
      </c>
      <c r="G1293" s="592">
        <v>0</v>
      </c>
      <c r="H1293" s="592">
        <v>0</v>
      </c>
      <c r="I1293" s="592">
        <v>0</v>
      </c>
      <c r="J1293" s="592">
        <v>205</v>
      </c>
      <c r="K1293" s="592">
        <v>0</v>
      </c>
      <c r="L1293" s="592">
        <v>0</v>
      </c>
      <c r="M1293" s="592">
        <v>0</v>
      </c>
      <c r="N1293" s="593">
        <v>202</v>
      </c>
      <c r="O1293" s="593">
        <v>79</v>
      </c>
      <c r="P1293" s="593">
        <v>553</v>
      </c>
      <c r="Q1293" s="593">
        <v>36</v>
      </c>
      <c r="R1293" s="593">
        <v>1309</v>
      </c>
      <c r="S1293" s="593">
        <v>115</v>
      </c>
      <c r="T1293" s="593">
        <v>2017</v>
      </c>
      <c r="U1293" s="593">
        <v>2014</v>
      </c>
      <c r="V1293" s="589"/>
      <c r="W1293" s="589"/>
      <c r="X1293" s="589"/>
      <c r="Y1293" s="589"/>
      <c r="Z1293" s="589"/>
      <c r="AA1293" s="589"/>
      <c r="AB1293" s="589"/>
      <c r="AC1293" s="589"/>
      <c r="AD1293" s="589"/>
      <c r="AE1293" s="589"/>
      <c r="AF1293" s="589"/>
      <c r="AG1293" s="589"/>
      <c r="AH1293" s="589"/>
      <c r="AI1293" s="589"/>
      <c r="AJ1293" s="589"/>
      <c r="AK1293" s="589"/>
      <c r="AL1293" s="589"/>
      <c r="AM1293" s="589"/>
      <c r="AN1293" s="589"/>
      <c r="AO1293" s="589"/>
      <c r="AP1293" s="589"/>
      <c r="AQ1293" s="589"/>
      <c r="AR1293" s="589"/>
      <c r="AS1293" s="589"/>
    </row>
    <row r="1294" spans="1:45" ht="15">
      <c r="A1294" s="587" t="s">
        <v>179</v>
      </c>
      <c r="B1294" s="587" t="s">
        <v>597</v>
      </c>
      <c r="C1294" s="587" t="s">
        <v>855</v>
      </c>
      <c r="D1294" s="588">
        <v>2017</v>
      </c>
      <c r="E1294" s="587" t="s">
        <v>775</v>
      </c>
      <c r="F1294" s="588">
        <v>63</v>
      </c>
      <c r="G1294" s="588">
        <v>0</v>
      </c>
      <c r="H1294" s="588">
        <v>0</v>
      </c>
      <c r="I1294" s="588">
        <v>0</v>
      </c>
      <c r="J1294" s="588">
        <v>48</v>
      </c>
      <c r="K1294" s="588">
        <v>0</v>
      </c>
      <c r="L1294" s="588">
        <v>0</v>
      </c>
      <c r="M1294" s="588">
        <v>0</v>
      </c>
      <c r="N1294" s="588">
        <v>45</v>
      </c>
      <c r="O1294" s="588">
        <v>0</v>
      </c>
      <c r="P1294" s="588">
        <v>98</v>
      </c>
      <c r="Q1294" s="588">
        <v>117</v>
      </c>
      <c r="R1294" s="588">
        <v>254</v>
      </c>
      <c r="S1294" s="588">
        <v>117</v>
      </c>
      <c r="T1294" s="588">
        <v>2017</v>
      </c>
      <c r="U1294" s="588">
        <v>2013</v>
      </c>
      <c r="V1294" s="589"/>
      <c r="W1294" s="589"/>
      <c r="X1294" s="589"/>
      <c r="Y1294" s="589"/>
      <c r="Z1294" s="589"/>
      <c r="AA1294" s="589"/>
      <c r="AB1294" s="589"/>
      <c r="AC1294" s="589"/>
      <c r="AD1294" s="589"/>
      <c r="AE1294" s="589"/>
      <c r="AF1294" s="589"/>
      <c r="AG1294" s="589"/>
      <c r="AH1294" s="589"/>
      <c r="AI1294" s="589"/>
      <c r="AJ1294" s="589"/>
      <c r="AK1294" s="589"/>
      <c r="AL1294" s="589"/>
      <c r="AM1294" s="589"/>
      <c r="AN1294" s="589"/>
      <c r="AO1294" s="589"/>
      <c r="AP1294" s="589"/>
      <c r="AQ1294" s="589"/>
      <c r="AR1294" s="589"/>
      <c r="AS1294" s="589"/>
    </row>
    <row r="1295" spans="1:45" ht="15">
      <c r="A1295" s="590" t="s">
        <v>146</v>
      </c>
      <c r="B1295" s="591" t="s">
        <v>320</v>
      </c>
      <c r="C1295" s="591" t="s">
        <v>812</v>
      </c>
      <c r="D1295" s="592">
        <v>2017</v>
      </c>
      <c r="E1295" s="591" t="s">
        <v>775</v>
      </c>
      <c r="F1295" s="592">
        <v>1633</v>
      </c>
      <c r="G1295" s="592">
        <v>0</v>
      </c>
      <c r="H1295" s="592">
        <v>0</v>
      </c>
      <c r="I1295" s="592">
        <v>0</v>
      </c>
      <c r="J1295" s="592">
        <v>1001</v>
      </c>
      <c r="K1295" s="592">
        <v>0</v>
      </c>
      <c r="L1295" s="592">
        <v>0</v>
      </c>
      <c r="M1295" s="592">
        <v>0</v>
      </c>
      <c r="N1295" s="593">
        <v>1001</v>
      </c>
      <c r="O1295" s="593">
        <v>13</v>
      </c>
      <c r="P1295" s="593">
        <v>2839</v>
      </c>
      <c r="Q1295" s="593">
        <v>0</v>
      </c>
      <c r="R1295" s="593">
        <v>6474</v>
      </c>
      <c r="S1295" s="593">
        <v>13</v>
      </c>
      <c r="T1295" s="593">
        <v>2017</v>
      </c>
      <c r="U1295" s="593">
        <v>2014</v>
      </c>
      <c r="V1295" s="589"/>
      <c r="W1295" s="589"/>
      <c r="X1295" s="589"/>
      <c r="Y1295" s="589"/>
      <c r="Z1295" s="589"/>
      <c r="AA1295" s="589"/>
      <c r="AB1295" s="589"/>
      <c r="AC1295" s="589"/>
      <c r="AD1295" s="589"/>
      <c r="AE1295" s="589"/>
      <c r="AF1295" s="589"/>
      <c r="AG1295" s="589"/>
      <c r="AH1295" s="589"/>
      <c r="AI1295" s="589"/>
      <c r="AJ1295" s="589"/>
      <c r="AK1295" s="589"/>
      <c r="AL1295" s="589"/>
      <c r="AM1295" s="589"/>
      <c r="AN1295" s="589"/>
      <c r="AO1295" s="589"/>
      <c r="AP1295" s="589"/>
      <c r="AQ1295" s="589"/>
      <c r="AR1295" s="589"/>
      <c r="AS1295" s="589"/>
    </row>
    <row r="1296" spans="1:45" ht="15">
      <c r="A1296" s="587" t="s">
        <v>173</v>
      </c>
      <c r="B1296" s="587" t="s">
        <v>539</v>
      </c>
      <c r="C1296" s="587" t="s">
        <v>812</v>
      </c>
      <c r="D1296" s="588">
        <v>2017</v>
      </c>
      <c r="E1296" s="587" t="s">
        <v>775</v>
      </c>
      <c r="F1296" s="588">
        <v>40</v>
      </c>
      <c r="G1296" s="588">
        <v>0</v>
      </c>
      <c r="H1296" s="588">
        <v>0</v>
      </c>
      <c r="I1296" s="588">
        <v>0</v>
      </c>
      <c r="J1296" s="588">
        <v>27</v>
      </c>
      <c r="K1296" s="588">
        <v>0</v>
      </c>
      <c r="L1296" s="588">
        <v>0</v>
      </c>
      <c r="M1296" s="588">
        <v>0</v>
      </c>
      <c r="N1296" s="588">
        <v>31</v>
      </c>
      <c r="O1296" s="588">
        <v>0</v>
      </c>
      <c r="P1296" s="588">
        <v>62</v>
      </c>
      <c r="Q1296" s="588">
        <v>24</v>
      </c>
      <c r="R1296" s="588">
        <v>160</v>
      </c>
      <c r="S1296" s="588">
        <v>24</v>
      </c>
      <c r="T1296" s="588">
        <v>2017</v>
      </c>
      <c r="U1296" s="588">
        <v>2014</v>
      </c>
      <c r="V1296" s="589"/>
      <c r="W1296" s="589"/>
      <c r="X1296" s="589"/>
      <c r="Y1296" s="589"/>
      <c r="Z1296" s="589"/>
      <c r="AA1296" s="589"/>
      <c r="AB1296" s="589"/>
      <c r="AC1296" s="589"/>
      <c r="AD1296" s="589"/>
      <c r="AE1296" s="589"/>
      <c r="AF1296" s="589"/>
      <c r="AG1296" s="589"/>
      <c r="AH1296" s="589"/>
      <c r="AI1296" s="589"/>
      <c r="AJ1296" s="589"/>
      <c r="AK1296" s="589"/>
      <c r="AL1296" s="589"/>
      <c r="AM1296" s="589"/>
      <c r="AN1296" s="589"/>
      <c r="AO1296" s="589"/>
      <c r="AP1296" s="589"/>
      <c r="AQ1296" s="589"/>
      <c r="AR1296" s="589"/>
      <c r="AS1296" s="589"/>
    </row>
    <row r="1297" spans="1:45" ht="15">
      <c r="A1297" s="590" t="s">
        <v>173</v>
      </c>
      <c r="B1297" s="591" t="s">
        <v>540</v>
      </c>
      <c r="C1297" s="591" t="s">
        <v>812</v>
      </c>
      <c r="D1297" s="592">
        <v>2017</v>
      </c>
      <c r="E1297" s="591" t="s">
        <v>775</v>
      </c>
      <c r="F1297" s="592">
        <v>714</v>
      </c>
      <c r="G1297" s="592">
        <v>0</v>
      </c>
      <c r="H1297" s="592">
        <v>0</v>
      </c>
      <c r="I1297" s="592">
        <v>0</v>
      </c>
      <c r="J1297" s="592">
        <v>487</v>
      </c>
      <c r="K1297" s="592">
        <v>0</v>
      </c>
      <c r="L1297" s="592">
        <v>0</v>
      </c>
      <c r="M1297" s="592">
        <v>0</v>
      </c>
      <c r="N1297" s="593">
        <v>553</v>
      </c>
      <c r="O1297" s="593">
        <v>0</v>
      </c>
      <c r="P1297" s="593">
        <v>1271</v>
      </c>
      <c r="Q1297" s="593">
        <v>247</v>
      </c>
      <c r="R1297" s="593">
        <v>3025</v>
      </c>
      <c r="S1297" s="593">
        <v>247</v>
      </c>
      <c r="T1297" s="593">
        <v>2017</v>
      </c>
      <c r="U1297" s="593">
        <v>2014</v>
      </c>
      <c r="V1297" s="589"/>
      <c r="W1297" s="589"/>
      <c r="X1297" s="589"/>
      <c r="Y1297" s="589"/>
      <c r="Z1297" s="589"/>
      <c r="AA1297" s="589"/>
      <c r="AB1297" s="589"/>
      <c r="AC1297" s="589"/>
      <c r="AD1297" s="589"/>
      <c r="AE1297" s="589"/>
      <c r="AF1297" s="589"/>
      <c r="AG1297" s="589"/>
      <c r="AH1297" s="589"/>
      <c r="AI1297" s="589"/>
      <c r="AJ1297" s="589"/>
      <c r="AK1297" s="589"/>
      <c r="AL1297" s="589"/>
      <c r="AM1297" s="589"/>
      <c r="AN1297" s="589"/>
      <c r="AO1297" s="589"/>
      <c r="AP1297" s="589"/>
      <c r="AQ1297" s="589"/>
      <c r="AR1297" s="589"/>
      <c r="AS1297" s="589"/>
    </row>
    <row r="1298" spans="1:45" ht="15">
      <c r="A1298" s="587" t="s">
        <v>153</v>
      </c>
      <c r="B1298" s="587" t="s">
        <v>381</v>
      </c>
      <c r="C1298" s="587" t="s">
        <v>812</v>
      </c>
      <c r="D1298" s="588">
        <v>2017</v>
      </c>
      <c r="E1298" s="587" t="s">
        <v>775</v>
      </c>
      <c r="F1298" s="588">
        <v>0</v>
      </c>
      <c r="G1298" s="588">
        <v>0</v>
      </c>
      <c r="H1298" s="588">
        <v>0</v>
      </c>
      <c r="I1298" s="588">
        <v>0</v>
      </c>
      <c r="J1298" s="588">
        <v>0</v>
      </c>
      <c r="K1298" s="588">
        <v>0</v>
      </c>
      <c r="L1298" s="588">
        <v>0</v>
      </c>
      <c r="M1298" s="588">
        <v>0</v>
      </c>
      <c r="N1298" s="588">
        <v>0</v>
      </c>
      <c r="O1298" s="588">
        <v>0</v>
      </c>
      <c r="P1298" s="588">
        <v>0</v>
      </c>
      <c r="Q1298" s="588">
        <v>0</v>
      </c>
      <c r="R1298" s="588">
        <v>0</v>
      </c>
      <c r="S1298" s="588">
        <v>0</v>
      </c>
      <c r="T1298" s="588">
        <v>2017</v>
      </c>
      <c r="U1298" s="588">
        <v>2014</v>
      </c>
      <c r="V1298" s="589"/>
      <c r="W1298" s="589"/>
      <c r="X1298" s="589"/>
      <c r="Y1298" s="589"/>
      <c r="Z1298" s="589"/>
      <c r="AA1298" s="589"/>
      <c r="AB1298" s="589"/>
      <c r="AC1298" s="589"/>
      <c r="AD1298" s="589"/>
      <c r="AE1298" s="589"/>
      <c r="AF1298" s="589"/>
      <c r="AG1298" s="589"/>
      <c r="AH1298" s="589"/>
      <c r="AI1298" s="589"/>
      <c r="AJ1298" s="589"/>
      <c r="AK1298" s="589"/>
      <c r="AL1298" s="589"/>
      <c r="AM1298" s="589"/>
      <c r="AN1298" s="589"/>
      <c r="AO1298" s="589"/>
      <c r="AP1298" s="589"/>
      <c r="AQ1298" s="589"/>
      <c r="AR1298" s="589"/>
      <c r="AS1298" s="589"/>
    </row>
    <row r="1299" spans="1:45" ht="15">
      <c r="A1299" s="590" t="s">
        <v>153</v>
      </c>
      <c r="B1299" s="591" t="s">
        <v>382</v>
      </c>
      <c r="C1299" s="591" t="s">
        <v>812</v>
      </c>
      <c r="D1299" s="592">
        <v>2017</v>
      </c>
      <c r="E1299" s="591" t="s">
        <v>775</v>
      </c>
      <c r="F1299" s="592">
        <v>250</v>
      </c>
      <c r="G1299" s="592">
        <v>39</v>
      </c>
      <c r="H1299" s="592">
        <v>39</v>
      </c>
      <c r="I1299" s="592">
        <v>0</v>
      </c>
      <c r="J1299" s="592">
        <v>150</v>
      </c>
      <c r="K1299" s="592">
        <v>1</v>
      </c>
      <c r="L1299" s="592">
        <v>1</v>
      </c>
      <c r="M1299" s="592">
        <v>0</v>
      </c>
      <c r="N1299" s="593">
        <v>167</v>
      </c>
      <c r="O1299" s="593">
        <v>0</v>
      </c>
      <c r="P1299" s="593">
        <v>446</v>
      </c>
      <c r="Q1299" s="593">
        <v>13</v>
      </c>
      <c r="R1299" s="593">
        <v>1013</v>
      </c>
      <c r="S1299" s="593">
        <v>53</v>
      </c>
      <c r="T1299" s="593">
        <v>2017</v>
      </c>
      <c r="U1299" s="593">
        <v>2014</v>
      </c>
      <c r="V1299" s="589"/>
      <c r="W1299" s="589"/>
      <c r="X1299" s="589"/>
      <c r="Y1299" s="589"/>
      <c r="Z1299" s="589"/>
      <c r="AA1299" s="589"/>
      <c r="AB1299" s="589"/>
      <c r="AC1299" s="589"/>
      <c r="AD1299" s="589"/>
      <c r="AE1299" s="589"/>
      <c r="AF1299" s="589"/>
      <c r="AG1299" s="589"/>
      <c r="AH1299" s="589"/>
      <c r="AI1299" s="589"/>
      <c r="AJ1299" s="589"/>
      <c r="AK1299" s="589"/>
      <c r="AL1299" s="589"/>
      <c r="AM1299" s="589"/>
      <c r="AN1299" s="589"/>
      <c r="AO1299" s="589"/>
      <c r="AP1299" s="589"/>
      <c r="AQ1299" s="589"/>
      <c r="AR1299" s="589"/>
      <c r="AS1299" s="589"/>
    </row>
    <row r="1300" spans="1:45" ht="15">
      <c r="A1300" s="587" t="s">
        <v>147</v>
      </c>
      <c r="B1300" s="587" t="s">
        <v>323</v>
      </c>
      <c r="C1300" s="587" t="s">
        <v>784</v>
      </c>
      <c r="D1300" s="588">
        <v>2017</v>
      </c>
      <c r="E1300" s="587" t="s">
        <v>775</v>
      </c>
      <c r="F1300" s="588">
        <v>35</v>
      </c>
      <c r="G1300" s="588">
        <v>0</v>
      </c>
      <c r="H1300" s="588">
        <v>0</v>
      </c>
      <c r="I1300" s="588">
        <v>0</v>
      </c>
      <c r="J1300" s="588">
        <v>25</v>
      </c>
      <c r="K1300" s="588">
        <v>0</v>
      </c>
      <c r="L1300" s="588">
        <v>0</v>
      </c>
      <c r="M1300" s="588">
        <v>0</v>
      </c>
      <c r="N1300" s="588">
        <v>28</v>
      </c>
      <c r="O1300" s="588">
        <v>0</v>
      </c>
      <c r="P1300" s="588">
        <v>72</v>
      </c>
      <c r="Q1300" s="588">
        <v>7</v>
      </c>
      <c r="R1300" s="588">
        <v>160</v>
      </c>
      <c r="S1300" s="588">
        <v>7</v>
      </c>
      <c r="T1300" s="588">
        <v>2017</v>
      </c>
      <c r="U1300" s="588">
        <v>2014</v>
      </c>
      <c r="V1300" s="589"/>
      <c r="W1300" s="589"/>
      <c r="X1300" s="589"/>
      <c r="Y1300" s="589"/>
      <c r="Z1300" s="589"/>
      <c r="AA1300" s="589"/>
      <c r="AB1300" s="589"/>
      <c r="AC1300" s="589"/>
      <c r="AD1300" s="589"/>
      <c r="AE1300" s="589"/>
      <c r="AF1300" s="589"/>
      <c r="AG1300" s="589"/>
      <c r="AH1300" s="589"/>
      <c r="AI1300" s="589"/>
      <c r="AJ1300" s="589"/>
      <c r="AK1300" s="589"/>
      <c r="AL1300" s="589"/>
      <c r="AM1300" s="589"/>
      <c r="AN1300" s="589"/>
      <c r="AO1300" s="589"/>
      <c r="AP1300" s="589"/>
      <c r="AQ1300" s="589"/>
      <c r="AR1300" s="589"/>
      <c r="AS1300" s="589"/>
    </row>
    <row r="1301" spans="1:45" ht="15">
      <c r="A1301" s="590" t="s">
        <v>130</v>
      </c>
      <c r="B1301" s="591" t="s">
        <v>251</v>
      </c>
      <c r="C1301" s="591" t="s">
        <v>784</v>
      </c>
      <c r="D1301" s="592">
        <v>2017</v>
      </c>
      <c r="E1301" s="591" t="s">
        <v>775</v>
      </c>
      <c r="F1301" s="592">
        <v>3</v>
      </c>
      <c r="G1301" s="592">
        <v>0</v>
      </c>
      <c r="H1301" s="592">
        <v>0</v>
      </c>
      <c r="I1301" s="592">
        <v>0</v>
      </c>
      <c r="J1301" s="592">
        <v>3</v>
      </c>
      <c r="K1301" s="592">
        <v>0</v>
      </c>
      <c r="L1301" s="592">
        <v>0</v>
      </c>
      <c r="M1301" s="592">
        <v>0</v>
      </c>
      <c r="N1301" s="593">
        <v>3</v>
      </c>
      <c r="O1301" s="593">
        <v>1</v>
      </c>
      <c r="P1301" s="593">
        <v>7</v>
      </c>
      <c r="Q1301" s="593">
        <v>31</v>
      </c>
      <c r="R1301" s="593">
        <v>16</v>
      </c>
      <c r="S1301" s="593">
        <v>32</v>
      </c>
      <c r="T1301" s="593">
        <v>2017</v>
      </c>
      <c r="U1301" s="593">
        <v>2014</v>
      </c>
      <c r="V1301" s="589"/>
      <c r="W1301" s="589"/>
      <c r="X1301" s="589"/>
      <c r="Y1301" s="589"/>
      <c r="Z1301" s="589"/>
      <c r="AA1301" s="589"/>
      <c r="AB1301" s="589"/>
      <c r="AC1301" s="589"/>
      <c r="AD1301" s="589"/>
      <c r="AE1301" s="589"/>
      <c r="AF1301" s="589"/>
      <c r="AG1301" s="589"/>
      <c r="AH1301" s="589"/>
      <c r="AI1301" s="589"/>
      <c r="AJ1301" s="589"/>
      <c r="AK1301" s="589"/>
      <c r="AL1301" s="589"/>
      <c r="AM1301" s="589"/>
      <c r="AN1301" s="589"/>
      <c r="AO1301" s="589"/>
      <c r="AP1301" s="589"/>
      <c r="AQ1301" s="589"/>
      <c r="AR1301" s="589"/>
      <c r="AS1301" s="589"/>
    </row>
    <row r="1302" spans="1:45" ht="15">
      <c r="A1302" s="587" t="s">
        <v>169</v>
      </c>
      <c r="B1302" s="587" t="s">
        <v>496</v>
      </c>
      <c r="C1302" s="587" t="s">
        <v>812</v>
      </c>
      <c r="D1302" s="588">
        <v>2017</v>
      </c>
      <c r="E1302" s="587" t="s">
        <v>775</v>
      </c>
      <c r="F1302" s="588">
        <v>2817</v>
      </c>
      <c r="G1302" s="588">
        <v>24</v>
      </c>
      <c r="H1302" s="588">
        <v>24</v>
      </c>
      <c r="I1302" s="588">
        <v>0</v>
      </c>
      <c r="J1302" s="588">
        <v>2034</v>
      </c>
      <c r="K1302" s="588">
        <v>0</v>
      </c>
      <c r="L1302" s="588">
        <v>0</v>
      </c>
      <c r="M1302" s="588">
        <v>0</v>
      </c>
      <c r="N1302" s="588">
        <v>2239</v>
      </c>
      <c r="O1302" s="588">
        <v>2158</v>
      </c>
      <c r="P1302" s="588">
        <v>5059</v>
      </c>
      <c r="Q1302" s="588">
        <v>2396</v>
      </c>
      <c r="R1302" s="588">
        <v>12149</v>
      </c>
      <c r="S1302" s="588">
        <v>4578</v>
      </c>
      <c r="T1302" s="588">
        <v>2017</v>
      </c>
      <c r="U1302" s="588">
        <v>2014</v>
      </c>
      <c r="V1302" s="589"/>
      <c r="W1302" s="589"/>
      <c r="X1302" s="589"/>
      <c r="Y1302" s="589"/>
      <c r="Z1302" s="589"/>
      <c r="AA1302" s="589"/>
      <c r="AB1302" s="589"/>
      <c r="AC1302" s="589"/>
      <c r="AD1302" s="589"/>
      <c r="AE1302" s="589"/>
      <c r="AF1302" s="589"/>
      <c r="AG1302" s="589"/>
      <c r="AH1302" s="589"/>
      <c r="AI1302" s="589"/>
      <c r="AJ1302" s="589"/>
      <c r="AK1302" s="589"/>
      <c r="AL1302" s="589"/>
      <c r="AM1302" s="589"/>
      <c r="AN1302" s="589"/>
      <c r="AO1302" s="589"/>
      <c r="AP1302" s="589"/>
      <c r="AQ1302" s="589"/>
      <c r="AR1302" s="589"/>
      <c r="AS1302" s="589"/>
    </row>
    <row r="1303" spans="1:45" ht="15">
      <c r="A1303" s="590" t="s">
        <v>153</v>
      </c>
      <c r="B1303" s="591" t="s">
        <v>383</v>
      </c>
      <c r="C1303" s="591" t="s">
        <v>812</v>
      </c>
      <c r="D1303" s="592">
        <v>2017</v>
      </c>
      <c r="E1303" s="591" t="s">
        <v>775</v>
      </c>
      <c r="F1303" s="592">
        <v>4</v>
      </c>
      <c r="G1303" s="592">
        <v>3</v>
      </c>
      <c r="H1303" s="592">
        <v>3</v>
      </c>
      <c r="I1303" s="592">
        <v>0</v>
      </c>
      <c r="J1303" s="592">
        <v>2</v>
      </c>
      <c r="K1303" s="592">
        <v>2</v>
      </c>
      <c r="L1303" s="592">
        <v>2</v>
      </c>
      <c r="M1303" s="592">
        <v>0</v>
      </c>
      <c r="N1303" s="593">
        <v>2</v>
      </c>
      <c r="O1303" s="593">
        <v>4</v>
      </c>
      <c r="P1303" s="593">
        <v>7</v>
      </c>
      <c r="Q1303" s="593">
        <v>0</v>
      </c>
      <c r="R1303" s="593">
        <v>15</v>
      </c>
      <c r="S1303" s="593">
        <v>9</v>
      </c>
      <c r="T1303" s="593">
        <v>2017</v>
      </c>
      <c r="U1303" s="593">
        <v>2014</v>
      </c>
      <c r="V1303" s="589"/>
      <c r="W1303" s="589"/>
      <c r="X1303" s="589"/>
      <c r="Y1303" s="589"/>
      <c r="Z1303" s="589"/>
      <c r="AA1303" s="589"/>
      <c r="AB1303" s="589"/>
      <c r="AC1303" s="589"/>
      <c r="AD1303" s="589"/>
      <c r="AE1303" s="589"/>
      <c r="AF1303" s="589"/>
      <c r="AG1303" s="589"/>
      <c r="AH1303" s="589"/>
      <c r="AI1303" s="589"/>
      <c r="AJ1303" s="589"/>
      <c r="AK1303" s="589"/>
      <c r="AL1303" s="589"/>
      <c r="AM1303" s="589"/>
      <c r="AN1303" s="589"/>
      <c r="AO1303" s="589"/>
      <c r="AP1303" s="589"/>
      <c r="AQ1303" s="589"/>
      <c r="AR1303" s="589"/>
      <c r="AS1303" s="589"/>
    </row>
    <row r="1304" spans="1:45" ht="15">
      <c r="A1304" s="587" t="s">
        <v>130</v>
      </c>
      <c r="B1304" s="587" t="s">
        <v>252</v>
      </c>
      <c r="C1304" s="587" t="s">
        <v>784</v>
      </c>
      <c r="D1304" s="588">
        <v>2017</v>
      </c>
      <c r="E1304" s="587" t="s">
        <v>775</v>
      </c>
      <c r="F1304" s="588">
        <v>4</v>
      </c>
      <c r="G1304" s="588">
        <v>0</v>
      </c>
      <c r="H1304" s="588">
        <v>0</v>
      </c>
      <c r="I1304" s="588">
        <v>0</v>
      </c>
      <c r="J1304" s="588">
        <v>3</v>
      </c>
      <c r="K1304" s="588">
        <v>0</v>
      </c>
      <c r="L1304" s="588">
        <v>0</v>
      </c>
      <c r="M1304" s="588">
        <v>0</v>
      </c>
      <c r="N1304" s="588">
        <v>4</v>
      </c>
      <c r="O1304" s="588">
        <v>13</v>
      </c>
      <c r="P1304" s="588">
        <v>8</v>
      </c>
      <c r="Q1304" s="588">
        <v>0</v>
      </c>
      <c r="R1304" s="588">
        <v>19</v>
      </c>
      <c r="S1304" s="588">
        <v>13</v>
      </c>
      <c r="T1304" s="588">
        <v>2017</v>
      </c>
      <c r="U1304" s="588">
        <v>2014</v>
      </c>
      <c r="V1304" s="589"/>
      <c r="W1304" s="589"/>
      <c r="X1304" s="589"/>
      <c r="Y1304" s="589"/>
      <c r="Z1304" s="589"/>
      <c r="AA1304" s="589"/>
      <c r="AB1304" s="589"/>
      <c r="AC1304" s="589"/>
      <c r="AD1304" s="589"/>
      <c r="AE1304" s="589"/>
      <c r="AF1304" s="589"/>
      <c r="AG1304" s="589"/>
      <c r="AH1304" s="589"/>
      <c r="AI1304" s="589"/>
      <c r="AJ1304" s="589"/>
      <c r="AK1304" s="589"/>
      <c r="AL1304" s="589"/>
      <c r="AM1304" s="589"/>
      <c r="AN1304" s="589"/>
      <c r="AO1304" s="589"/>
      <c r="AP1304" s="589"/>
      <c r="AQ1304" s="589"/>
      <c r="AR1304" s="589"/>
      <c r="AS1304" s="589"/>
    </row>
    <row r="1305" spans="1:45" ht="15">
      <c r="A1305" s="590" t="s">
        <v>141</v>
      </c>
      <c r="B1305" s="591" t="s">
        <v>296</v>
      </c>
      <c r="C1305" s="591" t="s">
        <v>177</v>
      </c>
      <c r="D1305" s="592">
        <v>2017</v>
      </c>
      <c r="E1305" s="591" t="s">
        <v>775</v>
      </c>
      <c r="F1305" s="592">
        <v>238</v>
      </c>
      <c r="G1305" s="592">
        <v>0</v>
      </c>
      <c r="H1305" s="592">
        <v>0</v>
      </c>
      <c r="I1305" s="592">
        <v>0</v>
      </c>
      <c r="J1305" s="592">
        <v>211</v>
      </c>
      <c r="K1305" s="592">
        <v>5</v>
      </c>
      <c r="L1305" s="592">
        <v>5</v>
      </c>
      <c r="M1305" s="592">
        <v>0</v>
      </c>
      <c r="N1305" s="593">
        <v>202</v>
      </c>
      <c r="O1305" s="593">
        <v>34</v>
      </c>
      <c r="P1305" s="593">
        <v>258</v>
      </c>
      <c r="Q1305" s="593">
        <v>9</v>
      </c>
      <c r="R1305" s="593">
        <v>909</v>
      </c>
      <c r="S1305" s="593">
        <v>48</v>
      </c>
      <c r="T1305" s="593">
        <v>2017</v>
      </c>
      <c r="U1305" s="593">
        <v>2016</v>
      </c>
      <c r="V1305" s="589"/>
      <c r="W1305" s="589"/>
      <c r="X1305" s="589"/>
      <c r="Y1305" s="589"/>
      <c r="Z1305" s="589"/>
      <c r="AA1305" s="589"/>
      <c r="AB1305" s="589"/>
      <c r="AC1305" s="589"/>
      <c r="AD1305" s="589"/>
      <c r="AE1305" s="589"/>
      <c r="AF1305" s="589"/>
      <c r="AG1305" s="589"/>
      <c r="AH1305" s="589"/>
      <c r="AI1305" s="589"/>
      <c r="AJ1305" s="589"/>
      <c r="AK1305" s="589"/>
      <c r="AL1305" s="589"/>
      <c r="AM1305" s="589"/>
      <c r="AN1305" s="589"/>
      <c r="AO1305" s="589"/>
      <c r="AP1305" s="589"/>
      <c r="AQ1305" s="589"/>
      <c r="AR1305" s="589"/>
      <c r="AS1305" s="589"/>
    </row>
    <row r="1306" spans="1:45" ht="15">
      <c r="A1306" s="587" t="s">
        <v>148</v>
      </c>
      <c r="B1306" s="587" t="s">
        <v>328</v>
      </c>
      <c r="C1306" s="587" t="s">
        <v>177</v>
      </c>
      <c r="D1306" s="588">
        <v>2017</v>
      </c>
      <c r="E1306" s="587" t="s">
        <v>775</v>
      </c>
      <c r="F1306" s="588">
        <v>4888</v>
      </c>
      <c r="G1306" s="588">
        <v>0</v>
      </c>
      <c r="H1306" s="588">
        <v>0</v>
      </c>
      <c r="I1306" s="588">
        <v>0</v>
      </c>
      <c r="J1306" s="588">
        <v>3107</v>
      </c>
      <c r="K1306" s="588">
        <v>0</v>
      </c>
      <c r="L1306" s="588">
        <v>0</v>
      </c>
      <c r="M1306" s="588">
        <v>0</v>
      </c>
      <c r="N1306" s="588">
        <v>3126</v>
      </c>
      <c r="O1306" s="588">
        <v>0</v>
      </c>
      <c r="P1306" s="588">
        <v>10462</v>
      </c>
      <c r="Q1306" s="588">
        <v>0</v>
      </c>
      <c r="R1306" s="588">
        <v>21583</v>
      </c>
      <c r="S1306" s="588">
        <v>0</v>
      </c>
      <c r="T1306" s="588">
        <v>2017</v>
      </c>
      <c r="U1306" s="588">
        <v>2016</v>
      </c>
      <c r="V1306" s="589"/>
      <c r="W1306" s="589"/>
      <c r="X1306" s="589"/>
      <c r="Y1306" s="589"/>
      <c r="Z1306" s="589"/>
      <c r="AA1306" s="589"/>
      <c r="AB1306" s="589"/>
      <c r="AC1306" s="589"/>
      <c r="AD1306" s="589"/>
      <c r="AE1306" s="589"/>
      <c r="AF1306" s="589"/>
      <c r="AG1306" s="589"/>
      <c r="AH1306" s="589"/>
      <c r="AI1306" s="589"/>
      <c r="AJ1306" s="589"/>
      <c r="AK1306" s="589"/>
      <c r="AL1306" s="589"/>
      <c r="AM1306" s="589"/>
      <c r="AN1306" s="589"/>
      <c r="AO1306" s="589"/>
      <c r="AP1306" s="589"/>
      <c r="AQ1306" s="589"/>
      <c r="AR1306" s="589"/>
      <c r="AS1306" s="589"/>
    </row>
    <row r="1307" spans="1:45" ht="15">
      <c r="A1307" s="590" t="s">
        <v>164</v>
      </c>
      <c r="B1307" s="591" t="s">
        <v>468</v>
      </c>
      <c r="C1307" s="591" t="s">
        <v>177</v>
      </c>
      <c r="D1307" s="592">
        <v>2017</v>
      </c>
      <c r="E1307" s="591" t="s">
        <v>775</v>
      </c>
      <c r="F1307" s="592">
        <v>43</v>
      </c>
      <c r="G1307" s="592">
        <v>0</v>
      </c>
      <c r="H1307" s="592">
        <v>0</v>
      </c>
      <c r="I1307" s="592">
        <v>0</v>
      </c>
      <c r="J1307" s="592">
        <v>28</v>
      </c>
      <c r="K1307" s="592">
        <v>2</v>
      </c>
      <c r="L1307" s="592">
        <v>2</v>
      </c>
      <c r="M1307" s="592">
        <v>0</v>
      </c>
      <c r="N1307" s="593">
        <v>33</v>
      </c>
      <c r="O1307" s="593">
        <v>5</v>
      </c>
      <c r="P1307" s="593">
        <v>76</v>
      </c>
      <c r="Q1307" s="593">
        <v>31</v>
      </c>
      <c r="R1307" s="593">
        <v>180</v>
      </c>
      <c r="S1307" s="593">
        <v>38</v>
      </c>
      <c r="T1307" s="593">
        <v>2017</v>
      </c>
      <c r="U1307" s="593">
        <v>2016</v>
      </c>
      <c r="V1307" s="589"/>
      <c r="W1307" s="589"/>
      <c r="X1307" s="589"/>
      <c r="Y1307" s="589"/>
      <c r="Z1307" s="589"/>
      <c r="AA1307" s="589"/>
      <c r="AB1307" s="589"/>
      <c r="AC1307" s="589"/>
      <c r="AD1307" s="589"/>
      <c r="AE1307" s="589"/>
      <c r="AF1307" s="589"/>
      <c r="AG1307" s="589"/>
      <c r="AH1307" s="589"/>
      <c r="AI1307" s="589"/>
      <c r="AJ1307" s="589"/>
      <c r="AK1307" s="589"/>
      <c r="AL1307" s="589"/>
      <c r="AM1307" s="589"/>
      <c r="AN1307" s="589"/>
      <c r="AO1307" s="589"/>
      <c r="AP1307" s="589"/>
      <c r="AQ1307" s="589"/>
      <c r="AR1307" s="589"/>
      <c r="AS1307" s="589"/>
    </row>
    <row r="1308" spans="1:45" ht="15">
      <c r="A1308" s="587" t="s">
        <v>149</v>
      </c>
      <c r="B1308" s="587" t="s">
        <v>339</v>
      </c>
      <c r="C1308" s="587" t="s">
        <v>819</v>
      </c>
      <c r="D1308" s="588">
        <v>2017</v>
      </c>
      <c r="E1308" s="587" t="s">
        <v>775</v>
      </c>
      <c r="F1308" s="588">
        <v>186</v>
      </c>
      <c r="G1308" s="588">
        <v>0</v>
      </c>
      <c r="H1308" s="588">
        <v>0</v>
      </c>
      <c r="I1308" s="588">
        <v>0</v>
      </c>
      <c r="J1308" s="588">
        <v>138</v>
      </c>
      <c r="K1308" s="588">
        <v>8</v>
      </c>
      <c r="L1308" s="588">
        <v>8</v>
      </c>
      <c r="M1308" s="588">
        <v>0</v>
      </c>
      <c r="N1308" s="588">
        <v>147</v>
      </c>
      <c r="O1308" s="588">
        <v>1</v>
      </c>
      <c r="P1308" s="588">
        <v>347</v>
      </c>
      <c r="Q1308" s="588">
        <v>8</v>
      </c>
      <c r="R1308" s="588">
        <v>818</v>
      </c>
      <c r="S1308" s="588">
        <v>17</v>
      </c>
      <c r="T1308" s="588">
        <v>2017</v>
      </c>
      <c r="U1308" s="588">
        <v>2016</v>
      </c>
      <c r="V1308" s="589"/>
      <c r="W1308" s="589"/>
      <c r="X1308" s="589"/>
      <c r="Y1308" s="589"/>
      <c r="Z1308" s="589"/>
      <c r="AA1308" s="589"/>
      <c r="AB1308" s="589"/>
      <c r="AC1308" s="589"/>
      <c r="AD1308" s="589"/>
      <c r="AE1308" s="589"/>
      <c r="AF1308" s="589"/>
      <c r="AG1308" s="589"/>
      <c r="AH1308" s="589"/>
      <c r="AI1308" s="589"/>
      <c r="AJ1308" s="589"/>
      <c r="AK1308" s="589"/>
      <c r="AL1308" s="589"/>
      <c r="AM1308" s="589"/>
      <c r="AN1308" s="589"/>
      <c r="AO1308" s="589"/>
      <c r="AP1308" s="589"/>
      <c r="AQ1308" s="589"/>
      <c r="AR1308" s="589"/>
      <c r="AS1308" s="589"/>
    </row>
    <row r="1309" spans="1:45" ht="15">
      <c r="A1309" s="590" t="s">
        <v>141</v>
      </c>
      <c r="B1309" s="591" t="s">
        <v>297</v>
      </c>
      <c r="C1309" s="591" t="s">
        <v>177</v>
      </c>
      <c r="D1309" s="592">
        <v>2017</v>
      </c>
      <c r="E1309" s="591" t="s">
        <v>775</v>
      </c>
      <c r="F1309" s="592">
        <v>113</v>
      </c>
      <c r="G1309" s="592">
        <v>0</v>
      </c>
      <c r="H1309" s="592">
        <v>0</v>
      </c>
      <c r="I1309" s="592">
        <v>0</v>
      </c>
      <c r="J1309" s="592">
        <v>70</v>
      </c>
      <c r="K1309" s="592">
        <v>0</v>
      </c>
      <c r="L1309" s="592">
        <v>0</v>
      </c>
      <c r="M1309" s="592">
        <v>0</v>
      </c>
      <c r="N1309" s="593">
        <v>60</v>
      </c>
      <c r="O1309" s="593">
        <v>19</v>
      </c>
      <c r="P1309" s="593">
        <v>131</v>
      </c>
      <c r="Q1309" s="593">
        <v>0</v>
      </c>
      <c r="R1309" s="593">
        <v>374</v>
      </c>
      <c r="S1309" s="593">
        <v>19</v>
      </c>
      <c r="T1309" s="593">
        <v>2017</v>
      </c>
      <c r="U1309" s="593">
        <v>2016</v>
      </c>
      <c r="V1309" s="589"/>
      <c r="W1309" s="589"/>
      <c r="X1309" s="589"/>
      <c r="Y1309" s="589"/>
      <c r="Z1309" s="589"/>
      <c r="AA1309" s="589"/>
      <c r="AB1309" s="589"/>
      <c r="AC1309" s="589"/>
      <c r="AD1309" s="589"/>
      <c r="AE1309" s="589"/>
      <c r="AF1309" s="589"/>
      <c r="AG1309" s="589"/>
      <c r="AH1309" s="589"/>
      <c r="AI1309" s="589"/>
      <c r="AJ1309" s="589"/>
      <c r="AK1309" s="589"/>
      <c r="AL1309" s="589"/>
      <c r="AM1309" s="589"/>
      <c r="AN1309" s="589"/>
      <c r="AO1309" s="589"/>
      <c r="AP1309" s="589"/>
      <c r="AQ1309" s="589"/>
      <c r="AR1309" s="589"/>
      <c r="AS1309" s="589"/>
    </row>
    <row r="1310" spans="1:45" ht="15">
      <c r="A1310" s="587" t="s">
        <v>153</v>
      </c>
      <c r="B1310" s="587" t="s">
        <v>384</v>
      </c>
      <c r="C1310" s="587" t="s">
        <v>812</v>
      </c>
      <c r="D1310" s="588">
        <v>2017</v>
      </c>
      <c r="E1310" s="587" t="s">
        <v>775</v>
      </c>
      <c r="F1310" s="588">
        <v>30</v>
      </c>
      <c r="G1310" s="588">
        <v>0</v>
      </c>
      <c r="H1310" s="588">
        <v>0</v>
      </c>
      <c r="I1310" s="588">
        <v>0</v>
      </c>
      <c r="J1310" s="588">
        <v>18</v>
      </c>
      <c r="K1310" s="588">
        <v>0</v>
      </c>
      <c r="L1310" s="588">
        <v>0</v>
      </c>
      <c r="M1310" s="588">
        <v>0</v>
      </c>
      <c r="N1310" s="588">
        <v>20</v>
      </c>
      <c r="O1310" s="588">
        <v>0</v>
      </c>
      <c r="P1310" s="588">
        <v>44</v>
      </c>
      <c r="Q1310" s="588">
        <v>11</v>
      </c>
      <c r="R1310" s="588">
        <v>112</v>
      </c>
      <c r="S1310" s="588">
        <v>11</v>
      </c>
      <c r="T1310" s="588">
        <v>2017</v>
      </c>
      <c r="U1310" s="588">
        <v>2014</v>
      </c>
      <c r="V1310" s="589"/>
      <c r="W1310" s="589"/>
      <c r="X1310" s="589"/>
      <c r="Y1310" s="589"/>
      <c r="Z1310" s="589"/>
      <c r="AA1310" s="589"/>
      <c r="AB1310" s="589"/>
      <c r="AC1310" s="589"/>
      <c r="AD1310" s="589"/>
      <c r="AE1310" s="589"/>
      <c r="AF1310" s="589"/>
      <c r="AG1310" s="589"/>
      <c r="AH1310" s="589"/>
      <c r="AI1310" s="589"/>
      <c r="AJ1310" s="589"/>
      <c r="AK1310" s="589"/>
      <c r="AL1310" s="589"/>
      <c r="AM1310" s="589"/>
      <c r="AN1310" s="589"/>
      <c r="AO1310" s="589"/>
      <c r="AP1310" s="589"/>
      <c r="AQ1310" s="589"/>
      <c r="AR1310" s="589"/>
      <c r="AS1310" s="589"/>
    </row>
    <row r="1311" spans="1:45" ht="15">
      <c r="A1311" s="590" t="s">
        <v>169</v>
      </c>
      <c r="B1311" s="591" t="s">
        <v>497</v>
      </c>
      <c r="C1311" s="591" t="s">
        <v>812</v>
      </c>
      <c r="D1311" s="592">
        <v>2017</v>
      </c>
      <c r="E1311" s="591" t="s">
        <v>775</v>
      </c>
      <c r="F1311" s="592">
        <v>1</v>
      </c>
      <c r="G1311" s="592">
        <v>0</v>
      </c>
      <c r="H1311" s="592">
        <v>0</v>
      </c>
      <c r="I1311" s="592">
        <v>0</v>
      </c>
      <c r="J1311" s="592">
        <v>1</v>
      </c>
      <c r="K1311" s="592">
        <v>0</v>
      </c>
      <c r="L1311" s="592">
        <v>0</v>
      </c>
      <c r="M1311" s="592">
        <v>0</v>
      </c>
      <c r="N1311" s="593">
        <v>1</v>
      </c>
      <c r="O1311" s="593">
        <v>0</v>
      </c>
      <c r="P1311" s="593">
        <v>1</v>
      </c>
      <c r="Q1311" s="593">
        <v>41</v>
      </c>
      <c r="R1311" s="593">
        <v>4</v>
      </c>
      <c r="S1311" s="593">
        <v>41</v>
      </c>
      <c r="T1311" s="593">
        <v>2017</v>
      </c>
      <c r="U1311" s="593">
        <v>2014</v>
      </c>
      <c r="V1311" s="589"/>
      <c r="W1311" s="589"/>
      <c r="X1311" s="589"/>
      <c r="Y1311" s="589"/>
      <c r="Z1311" s="589"/>
      <c r="AA1311" s="589"/>
      <c r="AB1311" s="589"/>
      <c r="AC1311" s="589"/>
      <c r="AD1311" s="589"/>
      <c r="AE1311" s="589"/>
      <c r="AF1311" s="589"/>
      <c r="AG1311" s="589"/>
      <c r="AH1311" s="589"/>
      <c r="AI1311" s="589"/>
      <c r="AJ1311" s="589"/>
      <c r="AK1311" s="589"/>
      <c r="AL1311" s="589"/>
      <c r="AM1311" s="589"/>
      <c r="AN1311" s="589"/>
      <c r="AO1311" s="589"/>
      <c r="AP1311" s="589"/>
      <c r="AQ1311" s="589"/>
      <c r="AR1311" s="589"/>
      <c r="AS1311" s="589"/>
    </row>
    <row r="1312" spans="1:45" ht="15">
      <c r="A1312" s="587" t="s">
        <v>179</v>
      </c>
      <c r="B1312" s="587" t="s">
        <v>598</v>
      </c>
      <c r="C1312" s="587" t="s">
        <v>855</v>
      </c>
      <c r="D1312" s="588">
        <v>2017</v>
      </c>
      <c r="E1312" s="587" t="s">
        <v>775</v>
      </c>
      <c r="F1312" s="588">
        <v>430</v>
      </c>
      <c r="G1312" s="588">
        <v>0</v>
      </c>
      <c r="H1312" s="588">
        <v>0</v>
      </c>
      <c r="I1312" s="588">
        <v>0</v>
      </c>
      <c r="J1312" s="588">
        <v>326</v>
      </c>
      <c r="K1312" s="588">
        <v>7</v>
      </c>
      <c r="L1312" s="588">
        <v>0</v>
      </c>
      <c r="M1312" s="588">
        <v>7</v>
      </c>
      <c r="N1312" s="588">
        <v>302</v>
      </c>
      <c r="O1312" s="588">
        <v>0</v>
      </c>
      <c r="P1312" s="588">
        <v>664</v>
      </c>
      <c r="Q1312" s="588">
        <v>24</v>
      </c>
      <c r="R1312" s="588">
        <v>1722</v>
      </c>
      <c r="S1312" s="588">
        <v>31</v>
      </c>
      <c r="T1312" s="588">
        <v>2017</v>
      </c>
      <c r="U1312" s="588">
        <v>2013</v>
      </c>
      <c r="V1312" s="589"/>
      <c r="W1312" s="589"/>
      <c r="X1312" s="589"/>
      <c r="Y1312" s="589"/>
      <c r="Z1312" s="589"/>
      <c r="AA1312" s="589"/>
      <c r="AB1312" s="589"/>
      <c r="AC1312" s="589"/>
      <c r="AD1312" s="589"/>
      <c r="AE1312" s="589"/>
      <c r="AF1312" s="589"/>
      <c r="AG1312" s="589"/>
      <c r="AH1312" s="589"/>
      <c r="AI1312" s="589"/>
      <c r="AJ1312" s="589"/>
      <c r="AK1312" s="589"/>
      <c r="AL1312" s="589"/>
      <c r="AM1312" s="589"/>
      <c r="AN1312" s="589"/>
      <c r="AO1312" s="589"/>
      <c r="AP1312" s="589"/>
      <c r="AQ1312" s="589"/>
      <c r="AR1312" s="589"/>
      <c r="AS1312" s="589"/>
    </row>
    <row r="1313" spans="1:45" ht="15">
      <c r="A1313" s="590" t="s">
        <v>153</v>
      </c>
      <c r="B1313" s="591" t="s">
        <v>386</v>
      </c>
      <c r="C1313" s="591" t="s">
        <v>812</v>
      </c>
      <c r="D1313" s="592">
        <v>2017</v>
      </c>
      <c r="E1313" s="591" t="s">
        <v>775</v>
      </c>
      <c r="F1313" s="592">
        <v>62</v>
      </c>
      <c r="G1313" s="592">
        <v>0</v>
      </c>
      <c r="H1313" s="592">
        <v>0</v>
      </c>
      <c r="I1313" s="592">
        <v>0</v>
      </c>
      <c r="J1313" s="592">
        <v>37</v>
      </c>
      <c r="K1313" s="592">
        <v>0</v>
      </c>
      <c r="L1313" s="592">
        <v>0</v>
      </c>
      <c r="M1313" s="592">
        <v>0</v>
      </c>
      <c r="N1313" s="593">
        <v>40</v>
      </c>
      <c r="O1313" s="593">
        <v>1</v>
      </c>
      <c r="P1313" s="593">
        <v>96</v>
      </c>
      <c r="Q1313" s="593">
        <v>31</v>
      </c>
      <c r="R1313" s="593">
        <v>235</v>
      </c>
      <c r="S1313" s="593">
        <v>32</v>
      </c>
      <c r="T1313" s="593">
        <v>2017</v>
      </c>
      <c r="U1313" s="593">
        <v>2014</v>
      </c>
      <c r="V1313" s="589"/>
      <c r="W1313" s="589"/>
      <c r="X1313" s="589"/>
      <c r="Y1313" s="589"/>
      <c r="Z1313" s="589"/>
      <c r="AA1313" s="589"/>
      <c r="AB1313" s="589"/>
      <c r="AC1313" s="589"/>
      <c r="AD1313" s="589"/>
      <c r="AE1313" s="589"/>
      <c r="AF1313" s="589"/>
      <c r="AG1313" s="589"/>
      <c r="AH1313" s="589"/>
      <c r="AI1313" s="589"/>
      <c r="AJ1313" s="589"/>
      <c r="AK1313" s="589"/>
      <c r="AL1313" s="589"/>
      <c r="AM1313" s="589"/>
      <c r="AN1313" s="589"/>
      <c r="AO1313" s="589"/>
      <c r="AP1313" s="589"/>
      <c r="AQ1313" s="589"/>
      <c r="AR1313" s="589"/>
      <c r="AS1313" s="589"/>
    </row>
    <row r="1314" spans="1:45" ht="15">
      <c r="A1314" s="587" t="s">
        <v>169</v>
      </c>
      <c r="B1314" s="587" t="s">
        <v>498</v>
      </c>
      <c r="C1314" s="587" t="s">
        <v>812</v>
      </c>
      <c r="D1314" s="588">
        <v>2017</v>
      </c>
      <c r="E1314" s="587" t="s">
        <v>775</v>
      </c>
      <c r="F1314" s="588">
        <v>2</v>
      </c>
      <c r="G1314" s="588">
        <v>0</v>
      </c>
      <c r="H1314" s="588">
        <v>0</v>
      </c>
      <c r="I1314" s="588">
        <v>0</v>
      </c>
      <c r="J1314" s="588">
        <v>2</v>
      </c>
      <c r="K1314" s="588">
        <v>0</v>
      </c>
      <c r="L1314" s="588">
        <v>0</v>
      </c>
      <c r="M1314" s="588">
        <v>0</v>
      </c>
      <c r="N1314" s="588">
        <v>2</v>
      </c>
      <c r="O1314" s="588">
        <v>0</v>
      </c>
      <c r="P1314" s="588">
        <v>3</v>
      </c>
      <c r="Q1314" s="588">
        <v>10</v>
      </c>
      <c r="R1314" s="588">
        <v>9</v>
      </c>
      <c r="S1314" s="588">
        <v>10</v>
      </c>
      <c r="T1314" s="588">
        <v>2017</v>
      </c>
      <c r="U1314" s="588">
        <v>2014</v>
      </c>
      <c r="V1314" s="589"/>
      <c r="W1314" s="589"/>
      <c r="X1314" s="589"/>
      <c r="Y1314" s="589"/>
      <c r="Z1314" s="589"/>
      <c r="AA1314" s="589"/>
      <c r="AB1314" s="589"/>
      <c r="AC1314" s="589"/>
      <c r="AD1314" s="589"/>
      <c r="AE1314" s="589"/>
      <c r="AF1314" s="589"/>
      <c r="AG1314" s="589"/>
      <c r="AH1314" s="589"/>
      <c r="AI1314" s="589"/>
      <c r="AJ1314" s="589"/>
      <c r="AK1314" s="589"/>
      <c r="AL1314" s="589"/>
      <c r="AM1314" s="589"/>
      <c r="AN1314" s="589"/>
      <c r="AO1314" s="589"/>
      <c r="AP1314" s="589"/>
      <c r="AQ1314" s="589"/>
      <c r="AR1314" s="589"/>
      <c r="AS1314" s="589"/>
    </row>
    <row r="1315" spans="1:45" ht="15">
      <c r="A1315" s="590" t="s">
        <v>173</v>
      </c>
      <c r="B1315" s="591" t="s">
        <v>542</v>
      </c>
      <c r="C1315" s="591" t="s">
        <v>812</v>
      </c>
      <c r="D1315" s="592">
        <v>2017</v>
      </c>
      <c r="E1315" s="591" t="s">
        <v>775</v>
      </c>
      <c r="F1315" s="592">
        <v>91</v>
      </c>
      <c r="G1315" s="592">
        <v>0</v>
      </c>
      <c r="H1315" s="592">
        <v>0</v>
      </c>
      <c r="I1315" s="592">
        <v>0</v>
      </c>
      <c r="J1315" s="592">
        <v>61</v>
      </c>
      <c r="K1315" s="592">
        <v>0</v>
      </c>
      <c r="L1315" s="592">
        <v>0</v>
      </c>
      <c r="M1315" s="592">
        <v>0</v>
      </c>
      <c r="N1315" s="593">
        <v>66</v>
      </c>
      <c r="O1315" s="593">
        <v>0</v>
      </c>
      <c r="P1315" s="593">
        <v>146</v>
      </c>
      <c r="Q1315" s="593">
        <v>102</v>
      </c>
      <c r="R1315" s="593">
        <v>364</v>
      </c>
      <c r="S1315" s="593">
        <v>102</v>
      </c>
      <c r="T1315" s="593">
        <v>2017</v>
      </c>
      <c r="U1315" s="593">
        <v>2014</v>
      </c>
      <c r="V1315" s="589"/>
      <c r="W1315" s="589"/>
      <c r="X1315" s="589"/>
      <c r="Y1315" s="589"/>
      <c r="Z1315" s="589"/>
      <c r="AA1315" s="589"/>
      <c r="AB1315" s="589"/>
      <c r="AC1315" s="589"/>
      <c r="AD1315" s="589"/>
      <c r="AE1315" s="589"/>
      <c r="AF1315" s="589"/>
      <c r="AG1315" s="589"/>
      <c r="AH1315" s="589"/>
      <c r="AI1315" s="589"/>
      <c r="AJ1315" s="589"/>
      <c r="AK1315" s="589"/>
      <c r="AL1315" s="589"/>
      <c r="AM1315" s="589"/>
      <c r="AN1315" s="589"/>
      <c r="AO1315" s="589"/>
      <c r="AP1315" s="589"/>
      <c r="AQ1315" s="589"/>
      <c r="AR1315" s="589"/>
      <c r="AS1315" s="589"/>
    </row>
    <row r="1316" spans="1:45" ht="15">
      <c r="A1316" s="587" t="s">
        <v>153</v>
      </c>
      <c r="B1316" s="587" t="s">
        <v>388</v>
      </c>
      <c r="C1316" s="587" t="s">
        <v>812</v>
      </c>
      <c r="D1316" s="588">
        <v>2017</v>
      </c>
      <c r="E1316" s="587" t="s">
        <v>775</v>
      </c>
      <c r="F1316" s="588">
        <v>147</v>
      </c>
      <c r="G1316" s="588">
        <v>1</v>
      </c>
      <c r="H1316" s="588">
        <v>1</v>
      </c>
      <c r="I1316" s="588">
        <v>0</v>
      </c>
      <c r="J1316" s="588">
        <v>88</v>
      </c>
      <c r="K1316" s="588">
        <v>0</v>
      </c>
      <c r="L1316" s="588">
        <v>0</v>
      </c>
      <c r="M1316" s="588">
        <v>0</v>
      </c>
      <c r="N1316" s="588">
        <v>94</v>
      </c>
      <c r="O1316" s="588">
        <v>0</v>
      </c>
      <c r="P1316" s="588">
        <v>233</v>
      </c>
      <c r="Q1316" s="588">
        <v>20</v>
      </c>
      <c r="R1316" s="588">
        <v>562</v>
      </c>
      <c r="S1316" s="588">
        <v>21</v>
      </c>
      <c r="T1316" s="588">
        <v>2017</v>
      </c>
      <c r="U1316" s="588">
        <v>2014</v>
      </c>
      <c r="V1316" s="589"/>
      <c r="W1316" s="589"/>
      <c r="X1316" s="589"/>
      <c r="Y1316" s="589"/>
      <c r="Z1316" s="589"/>
      <c r="AA1316" s="589"/>
      <c r="AB1316" s="589"/>
      <c r="AC1316" s="589"/>
      <c r="AD1316" s="589"/>
      <c r="AE1316" s="589"/>
      <c r="AF1316" s="589"/>
      <c r="AG1316" s="589"/>
      <c r="AH1316" s="589"/>
      <c r="AI1316" s="589"/>
      <c r="AJ1316" s="589"/>
      <c r="AK1316" s="589"/>
      <c r="AL1316" s="589"/>
      <c r="AM1316" s="589"/>
      <c r="AN1316" s="589"/>
      <c r="AO1316" s="589"/>
      <c r="AP1316" s="589"/>
      <c r="AQ1316" s="589"/>
      <c r="AR1316" s="589"/>
      <c r="AS1316" s="589"/>
    </row>
    <row r="1317" spans="1:45" ht="15">
      <c r="A1317" s="590" t="s">
        <v>136</v>
      </c>
      <c r="B1317" s="591" t="s">
        <v>273</v>
      </c>
      <c r="C1317" s="591" t="s">
        <v>774</v>
      </c>
      <c r="D1317" s="592">
        <v>2017</v>
      </c>
      <c r="E1317" s="591" t="s">
        <v>775</v>
      </c>
      <c r="F1317" s="592">
        <v>138</v>
      </c>
      <c r="G1317" s="592">
        <v>0</v>
      </c>
      <c r="H1317" s="592">
        <v>0</v>
      </c>
      <c r="I1317" s="592">
        <v>0</v>
      </c>
      <c r="J1317" s="592">
        <v>78</v>
      </c>
      <c r="K1317" s="592">
        <v>1</v>
      </c>
      <c r="L1317" s="592">
        <v>1</v>
      </c>
      <c r="M1317" s="592">
        <v>0</v>
      </c>
      <c r="N1317" s="593">
        <v>85</v>
      </c>
      <c r="O1317" s="593">
        <v>9</v>
      </c>
      <c r="P1317" s="593">
        <v>99</v>
      </c>
      <c r="Q1317" s="593">
        <v>25</v>
      </c>
      <c r="R1317" s="593">
        <v>400</v>
      </c>
      <c r="S1317" s="593">
        <v>35</v>
      </c>
      <c r="T1317" s="593">
        <v>2017</v>
      </c>
      <c r="U1317" s="593">
        <v>2015</v>
      </c>
      <c r="V1317" s="589"/>
      <c r="W1317" s="589"/>
      <c r="X1317" s="589"/>
      <c r="Y1317" s="589"/>
      <c r="Z1317" s="589"/>
      <c r="AA1317" s="589"/>
      <c r="AB1317" s="589"/>
      <c r="AC1317" s="589"/>
      <c r="AD1317" s="589"/>
      <c r="AE1317" s="589"/>
      <c r="AF1317" s="589"/>
      <c r="AG1317" s="589"/>
      <c r="AH1317" s="589"/>
      <c r="AI1317" s="589"/>
      <c r="AJ1317" s="589"/>
      <c r="AK1317" s="589"/>
      <c r="AL1317" s="589"/>
      <c r="AM1317" s="589"/>
      <c r="AN1317" s="589"/>
      <c r="AO1317" s="589"/>
      <c r="AP1317" s="589"/>
      <c r="AQ1317" s="589"/>
      <c r="AR1317" s="589"/>
      <c r="AS1317" s="589"/>
    </row>
    <row r="1318" spans="1:45" ht="15">
      <c r="A1318" s="587" t="s">
        <v>169</v>
      </c>
      <c r="B1318" s="587" t="s">
        <v>499</v>
      </c>
      <c r="C1318" s="587" t="s">
        <v>812</v>
      </c>
      <c r="D1318" s="588">
        <v>2017</v>
      </c>
      <c r="E1318" s="587" t="s">
        <v>775</v>
      </c>
      <c r="F1318" s="588">
        <v>1</v>
      </c>
      <c r="G1318" s="588">
        <v>0</v>
      </c>
      <c r="H1318" s="588">
        <v>0</v>
      </c>
      <c r="I1318" s="588">
        <v>0</v>
      </c>
      <c r="J1318" s="588">
        <v>1</v>
      </c>
      <c r="K1318" s="588">
        <v>1</v>
      </c>
      <c r="L1318" s="588">
        <v>1</v>
      </c>
      <c r="M1318" s="588">
        <v>0</v>
      </c>
      <c r="N1318" s="588">
        <v>0</v>
      </c>
      <c r="O1318" s="588">
        <v>3</v>
      </c>
      <c r="P1318" s="588">
        <v>0</v>
      </c>
      <c r="Q1318" s="588">
        <v>19</v>
      </c>
      <c r="R1318" s="588">
        <v>2</v>
      </c>
      <c r="S1318" s="588">
        <v>23</v>
      </c>
      <c r="T1318" s="588">
        <v>2017</v>
      </c>
      <c r="U1318" s="588">
        <v>2014</v>
      </c>
      <c r="V1318" s="589"/>
      <c r="W1318" s="589"/>
      <c r="X1318" s="589"/>
      <c r="Y1318" s="589"/>
      <c r="Z1318" s="589"/>
      <c r="AA1318" s="589"/>
      <c r="AB1318" s="589"/>
      <c r="AC1318" s="589"/>
      <c r="AD1318" s="589"/>
      <c r="AE1318" s="589"/>
      <c r="AF1318" s="589"/>
      <c r="AG1318" s="589"/>
      <c r="AH1318" s="589"/>
      <c r="AI1318" s="589"/>
      <c r="AJ1318" s="589"/>
      <c r="AK1318" s="589"/>
      <c r="AL1318" s="589"/>
      <c r="AM1318" s="589"/>
      <c r="AN1318" s="589"/>
      <c r="AO1318" s="589"/>
      <c r="AP1318" s="589"/>
      <c r="AQ1318" s="589"/>
      <c r="AR1318" s="589"/>
      <c r="AS1318" s="589"/>
    </row>
    <row r="1319" spans="1:45" ht="15">
      <c r="A1319" s="590" t="s">
        <v>169</v>
      </c>
      <c r="B1319" s="591" t="s">
        <v>500</v>
      </c>
      <c r="C1319" s="591" t="s">
        <v>812</v>
      </c>
      <c r="D1319" s="592">
        <v>2017</v>
      </c>
      <c r="E1319" s="591" t="s">
        <v>775</v>
      </c>
      <c r="F1319" s="592">
        <v>1</v>
      </c>
      <c r="G1319" s="592">
        <v>0</v>
      </c>
      <c r="H1319" s="592">
        <v>0</v>
      </c>
      <c r="I1319" s="592">
        <v>0</v>
      </c>
      <c r="J1319" s="592">
        <v>1</v>
      </c>
      <c r="K1319" s="592">
        <v>0</v>
      </c>
      <c r="L1319" s="592">
        <v>0</v>
      </c>
      <c r="M1319" s="592">
        <v>0</v>
      </c>
      <c r="N1319" s="593">
        <v>0</v>
      </c>
      <c r="O1319" s="593">
        <v>1</v>
      </c>
      <c r="P1319" s="593">
        <v>0</v>
      </c>
      <c r="Q1319" s="593">
        <v>1</v>
      </c>
      <c r="R1319" s="593">
        <v>2</v>
      </c>
      <c r="S1319" s="593">
        <v>2</v>
      </c>
      <c r="T1319" s="593">
        <v>2017</v>
      </c>
      <c r="U1319" s="593">
        <v>2014</v>
      </c>
      <c r="V1319" s="589"/>
      <c r="W1319" s="589"/>
      <c r="X1319" s="589"/>
      <c r="Y1319" s="589"/>
      <c r="Z1319" s="589"/>
      <c r="AA1319" s="589"/>
      <c r="AB1319" s="589"/>
      <c r="AC1319" s="589"/>
      <c r="AD1319" s="589"/>
      <c r="AE1319" s="589"/>
      <c r="AF1319" s="589"/>
      <c r="AG1319" s="589"/>
      <c r="AH1319" s="589"/>
      <c r="AI1319" s="589"/>
      <c r="AJ1319" s="589"/>
      <c r="AK1319" s="589"/>
      <c r="AL1319" s="589"/>
      <c r="AM1319" s="589"/>
      <c r="AN1319" s="589"/>
      <c r="AO1319" s="589"/>
      <c r="AP1319" s="589"/>
      <c r="AQ1319" s="589"/>
      <c r="AR1319" s="589"/>
      <c r="AS1319" s="589"/>
    </row>
    <row r="1320" spans="1:45" ht="15">
      <c r="A1320" s="587" t="s">
        <v>169</v>
      </c>
      <c r="B1320" s="587" t="s">
        <v>501</v>
      </c>
      <c r="C1320" s="587" t="s">
        <v>812</v>
      </c>
      <c r="D1320" s="588">
        <v>2017</v>
      </c>
      <c r="E1320" s="587" t="s">
        <v>775</v>
      </c>
      <c r="F1320" s="588">
        <v>43</v>
      </c>
      <c r="G1320" s="588">
        <v>0</v>
      </c>
      <c r="H1320" s="588">
        <v>0</v>
      </c>
      <c r="I1320" s="588">
        <v>0</v>
      </c>
      <c r="J1320" s="588">
        <v>30</v>
      </c>
      <c r="K1320" s="588">
        <v>24</v>
      </c>
      <c r="L1320" s="588">
        <v>24</v>
      </c>
      <c r="M1320" s="588">
        <v>0</v>
      </c>
      <c r="N1320" s="588">
        <v>34</v>
      </c>
      <c r="O1320" s="588">
        <v>0</v>
      </c>
      <c r="P1320" s="588">
        <v>75</v>
      </c>
      <c r="Q1320" s="588">
        <v>211</v>
      </c>
      <c r="R1320" s="588">
        <v>182</v>
      </c>
      <c r="S1320" s="588">
        <v>235</v>
      </c>
      <c r="T1320" s="588">
        <v>2017</v>
      </c>
      <c r="U1320" s="588">
        <v>2014</v>
      </c>
      <c r="V1320" s="589"/>
      <c r="W1320" s="589"/>
      <c r="X1320" s="589"/>
      <c r="Y1320" s="589"/>
      <c r="Z1320" s="589"/>
      <c r="AA1320" s="589"/>
      <c r="AB1320" s="589"/>
      <c r="AC1320" s="589"/>
      <c r="AD1320" s="589"/>
      <c r="AE1320" s="589"/>
      <c r="AF1320" s="589"/>
      <c r="AG1320" s="589"/>
      <c r="AH1320" s="589"/>
      <c r="AI1320" s="589"/>
      <c r="AJ1320" s="589"/>
      <c r="AK1320" s="589"/>
      <c r="AL1320" s="589"/>
      <c r="AM1320" s="589"/>
      <c r="AN1320" s="589"/>
      <c r="AO1320" s="589"/>
      <c r="AP1320" s="589"/>
      <c r="AQ1320" s="589"/>
      <c r="AR1320" s="589"/>
      <c r="AS1320" s="589"/>
    </row>
    <row r="1321" spans="1:45" ht="15">
      <c r="A1321" s="590" t="s">
        <v>169</v>
      </c>
      <c r="B1321" s="591" t="s">
        <v>502</v>
      </c>
      <c r="C1321" s="591" t="s">
        <v>812</v>
      </c>
      <c r="D1321" s="592">
        <v>2017</v>
      </c>
      <c r="E1321" s="591" t="s">
        <v>775</v>
      </c>
      <c r="F1321" s="592">
        <v>1</v>
      </c>
      <c r="G1321" s="592">
        <v>0</v>
      </c>
      <c r="H1321" s="592">
        <v>0</v>
      </c>
      <c r="I1321" s="592">
        <v>0</v>
      </c>
      <c r="J1321" s="592">
        <v>1</v>
      </c>
      <c r="K1321" s="592">
        <v>0</v>
      </c>
      <c r="L1321" s="592">
        <v>0</v>
      </c>
      <c r="M1321" s="592">
        <v>0</v>
      </c>
      <c r="N1321" s="593">
        <v>0</v>
      </c>
      <c r="O1321" s="593">
        <v>0</v>
      </c>
      <c r="P1321" s="593">
        <v>0</v>
      </c>
      <c r="Q1321" s="593">
        <v>0</v>
      </c>
      <c r="R1321" s="593">
        <v>2</v>
      </c>
      <c r="S1321" s="593">
        <v>0</v>
      </c>
      <c r="T1321" s="593">
        <v>2017</v>
      </c>
      <c r="U1321" s="593">
        <v>2014</v>
      </c>
      <c r="V1321" s="589"/>
      <c r="W1321" s="589"/>
      <c r="X1321" s="589"/>
      <c r="Y1321" s="589"/>
      <c r="Z1321" s="589"/>
      <c r="AA1321" s="589"/>
      <c r="AB1321" s="589"/>
      <c r="AC1321" s="589"/>
      <c r="AD1321" s="589"/>
      <c r="AE1321" s="589"/>
      <c r="AF1321" s="589"/>
      <c r="AG1321" s="589"/>
      <c r="AH1321" s="589"/>
      <c r="AI1321" s="589"/>
      <c r="AJ1321" s="589"/>
      <c r="AK1321" s="589"/>
      <c r="AL1321" s="589"/>
      <c r="AM1321" s="589"/>
      <c r="AN1321" s="589"/>
      <c r="AO1321" s="589"/>
      <c r="AP1321" s="589"/>
      <c r="AQ1321" s="589"/>
      <c r="AR1321" s="589"/>
      <c r="AS1321" s="589"/>
    </row>
    <row r="1322" spans="1:45" ht="15">
      <c r="A1322" s="587" t="s">
        <v>173</v>
      </c>
      <c r="B1322" s="587" t="s">
        <v>543</v>
      </c>
      <c r="C1322" s="587" t="s">
        <v>812</v>
      </c>
      <c r="D1322" s="588">
        <v>2017</v>
      </c>
      <c r="E1322" s="587" t="s">
        <v>775</v>
      </c>
      <c r="F1322" s="588">
        <v>1196</v>
      </c>
      <c r="G1322" s="588">
        <v>2</v>
      </c>
      <c r="H1322" s="588">
        <v>0</v>
      </c>
      <c r="I1322" s="588">
        <v>2</v>
      </c>
      <c r="J1322" s="588">
        <v>801</v>
      </c>
      <c r="K1322" s="588">
        <v>0</v>
      </c>
      <c r="L1322" s="588">
        <v>0</v>
      </c>
      <c r="M1322" s="588">
        <v>0</v>
      </c>
      <c r="N1322" s="588">
        <v>897</v>
      </c>
      <c r="O1322" s="588">
        <v>129</v>
      </c>
      <c r="P1322" s="588">
        <v>2035</v>
      </c>
      <c r="Q1322" s="588">
        <v>435</v>
      </c>
      <c r="R1322" s="588">
        <v>4929</v>
      </c>
      <c r="S1322" s="588">
        <v>566</v>
      </c>
      <c r="T1322" s="588">
        <v>2017</v>
      </c>
      <c r="U1322" s="588">
        <v>2014</v>
      </c>
      <c r="V1322" s="589"/>
      <c r="W1322" s="589"/>
      <c r="X1322" s="589"/>
      <c r="Y1322" s="589"/>
      <c r="Z1322" s="589"/>
      <c r="AA1322" s="589"/>
      <c r="AB1322" s="589"/>
      <c r="AC1322" s="589"/>
      <c r="AD1322" s="589"/>
      <c r="AE1322" s="589"/>
      <c r="AF1322" s="589"/>
      <c r="AG1322" s="589"/>
      <c r="AH1322" s="589"/>
      <c r="AI1322" s="589"/>
      <c r="AJ1322" s="589"/>
      <c r="AK1322" s="589"/>
      <c r="AL1322" s="589"/>
      <c r="AM1322" s="589"/>
      <c r="AN1322" s="589"/>
      <c r="AO1322" s="589"/>
      <c r="AP1322" s="589"/>
      <c r="AQ1322" s="589"/>
      <c r="AR1322" s="589"/>
      <c r="AS1322" s="589"/>
    </row>
    <row r="1323" spans="1:45" ht="15">
      <c r="A1323" s="590" t="s">
        <v>169</v>
      </c>
      <c r="B1323" s="591" t="s">
        <v>503</v>
      </c>
      <c r="C1323" s="591" t="s">
        <v>812</v>
      </c>
      <c r="D1323" s="592">
        <v>2017</v>
      </c>
      <c r="E1323" s="591" t="s">
        <v>775</v>
      </c>
      <c r="F1323" s="592">
        <v>647</v>
      </c>
      <c r="G1323" s="592">
        <v>0</v>
      </c>
      <c r="H1323" s="592">
        <v>0</v>
      </c>
      <c r="I1323" s="592">
        <v>0</v>
      </c>
      <c r="J1323" s="592">
        <v>450</v>
      </c>
      <c r="K1323" s="592">
        <v>0</v>
      </c>
      <c r="L1323" s="592">
        <v>0</v>
      </c>
      <c r="M1323" s="592">
        <v>0</v>
      </c>
      <c r="N1323" s="593">
        <v>497</v>
      </c>
      <c r="O1323" s="593">
        <v>2</v>
      </c>
      <c r="P1323" s="593">
        <v>1133</v>
      </c>
      <c r="Q1323" s="593">
        <v>749</v>
      </c>
      <c r="R1323" s="593">
        <v>2727</v>
      </c>
      <c r="S1323" s="593">
        <v>751</v>
      </c>
      <c r="T1323" s="593">
        <v>2017</v>
      </c>
      <c r="U1323" s="593">
        <v>2014</v>
      </c>
      <c r="V1323" s="589"/>
      <c r="W1323" s="589"/>
      <c r="X1323" s="589"/>
      <c r="Y1323" s="589"/>
      <c r="Z1323" s="589"/>
      <c r="AA1323" s="589"/>
      <c r="AB1323" s="589"/>
      <c r="AC1323" s="589"/>
      <c r="AD1323" s="589"/>
      <c r="AE1323" s="589"/>
      <c r="AF1323" s="589"/>
      <c r="AG1323" s="589"/>
      <c r="AH1323" s="589"/>
      <c r="AI1323" s="589"/>
      <c r="AJ1323" s="589"/>
      <c r="AK1323" s="589"/>
      <c r="AL1323" s="589"/>
      <c r="AM1323" s="589"/>
      <c r="AN1323" s="589"/>
      <c r="AO1323" s="589"/>
      <c r="AP1323" s="589"/>
      <c r="AQ1323" s="589"/>
      <c r="AR1323" s="589"/>
      <c r="AS1323" s="589"/>
    </row>
    <row r="1324" spans="1:45" ht="15">
      <c r="A1324" s="587" t="s">
        <v>151</v>
      </c>
      <c r="B1324" s="587" t="s">
        <v>343</v>
      </c>
      <c r="C1324" s="587" t="s">
        <v>784</v>
      </c>
      <c r="D1324" s="588">
        <v>2017</v>
      </c>
      <c r="E1324" s="587" t="s">
        <v>775</v>
      </c>
      <c r="F1324" s="588">
        <v>34</v>
      </c>
      <c r="G1324" s="588">
        <v>0</v>
      </c>
      <c r="H1324" s="588">
        <v>0</v>
      </c>
      <c r="I1324" s="588">
        <v>0</v>
      </c>
      <c r="J1324" s="588">
        <v>22</v>
      </c>
      <c r="K1324" s="588">
        <v>0</v>
      </c>
      <c r="L1324" s="588">
        <v>0</v>
      </c>
      <c r="M1324" s="588">
        <v>0</v>
      </c>
      <c r="N1324" s="588">
        <v>27</v>
      </c>
      <c r="O1324" s="588">
        <v>0</v>
      </c>
      <c r="P1324" s="588">
        <v>64</v>
      </c>
      <c r="Q1324" s="588">
        <v>4</v>
      </c>
      <c r="R1324" s="588">
        <v>147</v>
      </c>
      <c r="S1324" s="588">
        <v>4</v>
      </c>
      <c r="T1324" s="588">
        <v>2017</v>
      </c>
      <c r="U1324" s="588">
        <v>2014</v>
      </c>
      <c r="V1324" s="589"/>
      <c r="W1324" s="589"/>
      <c r="X1324" s="589"/>
      <c r="Y1324" s="589"/>
      <c r="Z1324" s="589"/>
      <c r="AA1324" s="589"/>
      <c r="AB1324" s="589"/>
      <c r="AC1324" s="589"/>
      <c r="AD1324" s="589"/>
      <c r="AE1324" s="589"/>
      <c r="AF1324" s="589"/>
      <c r="AG1324" s="589"/>
      <c r="AH1324" s="589"/>
      <c r="AI1324" s="589"/>
      <c r="AJ1324" s="589"/>
      <c r="AK1324" s="589"/>
      <c r="AL1324" s="589"/>
      <c r="AM1324" s="589"/>
      <c r="AN1324" s="589"/>
      <c r="AO1324" s="589"/>
      <c r="AP1324" s="589"/>
      <c r="AQ1324" s="589"/>
      <c r="AR1324" s="589"/>
      <c r="AS1324" s="589"/>
    </row>
    <row r="1325" spans="1:45" ht="15">
      <c r="A1325" s="590" t="s">
        <v>153</v>
      </c>
      <c r="B1325" s="591" t="s">
        <v>389</v>
      </c>
      <c r="C1325" s="591" t="s">
        <v>812</v>
      </c>
      <c r="D1325" s="592">
        <v>2017</v>
      </c>
      <c r="E1325" s="591" t="s">
        <v>775</v>
      </c>
      <c r="F1325" s="592">
        <v>107</v>
      </c>
      <c r="G1325" s="592">
        <v>2</v>
      </c>
      <c r="H1325" s="592">
        <v>0</v>
      </c>
      <c r="I1325" s="592">
        <v>2</v>
      </c>
      <c r="J1325" s="592">
        <v>63</v>
      </c>
      <c r="K1325" s="592">
        <v>0</v>
      </c>
      <c r="L1325" s="592">
        <v>0</v>
      </c>
      <c r="M1325" s="592">
        <v>0</v>
      </c>
      <c r="N1325" s="593">
        <v>67</v>
      </c>
      <c r="O1325" s="593">
        <v>0</v>
      </c>
      <c r="P1325" s="593">
        <v>166</v>
      </c>
      <c r="Q1325" s="593">
        <v>48</v>
      </c>
      <c r="R1325" s="593">
        <v>403</v>
      </c>
      <c r="S1325" s="593">
        <v>50</v>
      </c>
      <c r="T1325" s="593">
        <v>2017</v>
      </c>
      <c r="U1325" s="593">
        <v>2014</v>
      </c>
      <c r="V1325" s="589"/>
      <c r="W1325" s="589"/>
      <c r="X1325" s="589"/>
      <c r="Y1325" s="589"/>
      <c r="Z1325" s="589"/>
      <c r="AA1325" s="589"/>
      <c r="AB1325" s="589"/>
      <c r="AC1325" s="589"/>
      <c r="AD1325" s="589"/>
      <c r="AE1325" s="589"/>
      <c r="AF1325" s="589"/>
      <c r="AG1325" s="589"/>
      <c r="AH1325" s="589"/>
      <c r="AI1325" s="589"/>
      <c r="AJ1325" s="589"/>
      <c r="AK1325" s="589"/>
      <c r="AL1325" s="589"/>
      <c r="AM1325" s="589"/>
      <c r="AN1325" s="589"/>
      <c r="AO1325" s="589"/>
      <c r="AP1325" s="589"/>
      <c r="AQ1325" s="589"/>
      <c r="AR1325" s="589"/>
      <c r="AS1325" s="589"/>
    </row>
    <row r="1326" spans="1:45" ht="15">
      <c r="A1326" s="587" t="s">
        <v>157</v>
      </c>
      <c r="B1326" s="587" t="s">
        <v>439</v>
      </c>
      <c r="C1326" s="587" t="s">
        <v>774</v>
      </c>
      <c r="D1326" s="588">
        <v>2017</v>
      </c>
      <c r="E1326" s="587" t="s">
        <v>775</v>
      </c>
      <c r="F1326" s="588">
        <v>40</v>
      </c>
      <c r="G1326" s="588">
        <v>0</v>
      </c>
      <c r="H1326" s="588">
        <v>0</v>
      </c>
      <c r="I1326" s="588">
        <v>0</v>
      </c>
      <c r="J1326" s="588">
        <v>20</v>
      </c>
      <c r="K1326" s="588">
        <v>1</v>
      </c>
      <c r="L1326" s="588">
        <v>0</v>
      </c>
      <c r="M1326" s="588">
        <v>1</v>
      </c>
      <c r="N1326" s="588">
        <v>21</v>
      </c>
      <c r="O1326" s="588">
        <v>0</v>
      </c>
      <c r="P1326" s="588">
        <v>51</v>
      </c>
      <c r="Q1326" s="588">
        <v>0</v>
      </c>
      <c r="R1326" s="588">
        <v>132</v>
      </c>
      <c r="S1326" s="588">
        <v>1</v>
      </c>
      <c r="T1326" s="588">
        <v>2017</v>
      </c>
      <c r="U1326" s="588">
        <v>2015</v>
      </c>
      <c r="V1326" s="589"/>
      <c r="W1326" s="589"/>
      <c r="X1326" s="589"/>
      <c r="Y1326" s="589"/>
      <c r="Z1326" s="589"/>
      <c r="AA1326" s="589"/>
      <c r="AB1326" s="589"/>
      <c r="AC1326" s="589"/>
      <c r="AD1326" s="589"/>
      <c r="AE1326" s="589"/>
      <c r="AF1326" s="589"/>
      <c r="AG1326" s="589"/>
      <c r="AH1326" s="589"/>
      <c r="AI1326" s="589"/>
      <c r="AJ1326" s="589"/>
      <c r="AK1326" s="589"/>
      <c r="AL1326" s="589"/>
      <c r="AM1326" s="589"/>
      <c r="AN1326" s="589"/>
      <c r="AO1326" s="589"/>
      <c r="AP1326" s="589"/>
      <c r="AQ1326" s="589"/>
      <c r="AR1326" s="589"/>
      <c r="AS1326" s="589"/>
    </row>
    <row r="1327" spans="1:45" ht="15">
      <c r="A1327" s="590" t="s">
        <v>182</v>
      </c>
      <c r="B1327" s="591" t="s">
        <v>609</v>
      </c>
      <c r="C1327" s="591" t="s">
        <v>177</v>
      </c>
      <c r="D1327" s="592">
        <v>2017</v>
      </c>
      <c r="E1327" s="591" t="s">
        <v>775</v>
      </c>
      <c r="F1327" s="592">
        <v>1019</v>
      </c>
      <c r="G1327" s="592">
        <v>0</v>
      </c>
      <c r="H1327" s="592">
        <v>0</v>
      </c>
      <c r="I1327" s="592">
        <v>0</v>
      </c>
      <c r="J1327" s="592">
        <v>759</v>
      </c>
      <c r="K1327" s="592">
        <v>0</v>
      </c>
      <c r="L1327" s="592">
        <v>0</v>
      </c>
      <c r="M1327" s="592">
        <v>0</v>
      </c>
      <c r="N1327" s="593">
        <v>957</v>
      </c>
      <c r="O1327" s="593">
        <v>0</v>
      </c>
      <c r="P1327" s="593">
        <v>2421</v>
      </c>
      <c r="Q1327" s="593">
        <v>297</v>
      </c>
      <c r="R1327" s="593">
        <v>5156</v>
      </c>
      <c r="S1327" s="593">
        <v>297</v>
      </c>
      <c r="T1327" s="593">
        <v>2017</v>
      </c>
      <c r="U1327" s="593">
        <v>2016</v>
      </c>
      <c r="V1327" s="589"/>
      <c r="W1327" s="589"/>
      <c r="X1327" s="589"/>
      <c r="Y1327" s="589"/>
      <c r="Z1327" s="589"/>
      <c r="AA1327" s="589"/>
      <c r="AB1327" s="589"/>
      <c r="AC1327" s="589"/>
      <c r="AD1327" s="589"/>
      <c r="AE1327" s="589"/>
      <c r="AF1327" s="589"/>
      <c r="AG1327" s="589"/>
      <c r="AH1327" s="589"/>
      <c r="AI1327" s="589"/>
      <c r="AJ1327" s="589"/>
      <c r="AK1327" s="589"/>
      <c r="AL1327" s="589"/>
      <c r="AM1327" s="589"/>
      <c r="AN1327" s="589"/>
      <c r="AO1327" s="589"/>
      <c r="AP1327" s="589"/>
      <c r="AQ1327" s="589"/>
      <c r="AR1327" s="589"/>
      <c r="AS1327" s="589"/>
    </row>
    <row r="1328" spans="1:45" ht="15">
      <c r="A1328" s="587" t="s">
        <v>153</v>
      </c>
      <c r="B1328" s="587" t="s">
        <v>391</v>
      </c>
      <c r="C1328" s="587" t="s">
        <v>812</v>
      </c>
      <c r="D1328" s="588">
        <v>2017</v>
      </c>
      <c r="E1328" s="587" t="s">
        <v>775</v>
      </c>
      <c r="F1328" s="588">
        <v>96</v>
      </c>
      <c r="G1328" s="588">
        <v>0</v>
      </c>
      <c r="H1328" s="588">
        <v>0</v>
      </c>
      <c r="I1328" s="588">
        <v>0</v>
      </c>
      <c r="J1328" s="588">
        <v>57</v>
      </c>
      <c r="K1328" s="588">
        <v>0</v>
      </c>
      <c r="L1328" s="588">
        <v>0</v>
      </c>
      <c r="M1328" s="588">
        <v>0</v>
      </c>
      <c r="N1328" s="588">
        <v>62</v>
      </c>
      <c r="O1328" s="588">
        <v>0</v>
      </c>
      <c r="P1328" s="588">
        <v>166</v>
      </c>
      <c r="Q1328" s="588">
        <v>13</v>
      </c>
      <c r="R1328" s="588">
        <v>381</v>
      </c>
      <c r="S1328" s="588">
        <v>13</v>
      </c>
      <c r="T1328" s="588">
        <v>2017</v>
      </c>
      <c r="U1328" s="588">
        <v>2014</v>
      </c>
      <c r="V1328" s="589"/>
      <c r="W1328" s="589"/>
      <c r="X1328" s="589"/>
      <c r="Y1328" s="589"/>
      <c r="Z1328" s="589"/>
      <c r="AA1328" s="589"/>
      <c r="AB1328" s="589"/>
      <c r="AC1328" s="589"/>
      <c r="AD1328" s="589"/>
      <c r="AE1328" s="589"/>
      <c r="AF1328" s="589"/>
      <c r="AG1328" s="589"/>
      <c r="AH1328" s="589"/>
      <c r="AI1328" s="589"/>
      <c r="AJ1328" s="589"/>
      <c r="AK1328" s="589"/>
      <c r="AL1328" s="589"/>
      <c r="AM1328" s="589"/>
      <c r="AN1328" s="589"/>
      <c r="AO1328" s="589"/>
      <c r="AP1328" s="589"/>
      <c r="AQ1328" s="589"/>
      <c r="AR1328" s="589"/>
      <c r="AS1328" s="589"/>
    </row>
    <row r="1329" spans="1:45" ht="15">
      <c r="A1329" s="590" t="s">
        <v>179</v>
      </c>
      <c r="B1329" s="591" t="s">
        <v>599</v>
      </c>
      <c r="C1329" s="591" t="s">
        <v>855</v>
      </c>
      <c r="D1329" s="592">
        <v>2017</v>
      </c>
      <c r="E1329" s="591" t="s">
        <v>775</v>
      </c>
      <c r="F1329" s="592">
        <v>77</v>
      </c>
      <c r="G1329" s="592">
        <v>0</v>
      </c>
      <c r="H1329" s="592">
        <v>0</v>
      </c>
      <c r="I1329" s="592">
        <v>0</v>
      </c>
      <c r="J1329" s="592">
        <v>59</v>
      </c>
      <c r="K1329" s="592">
        <v>5</v>
      </c>
      <c r="L1329" s="592">
        <v>5</v>
      </c>
      <c r="M1329" s="592">
        <v>0</v>
      </c>
      <c r="N1329" s="593">
        <v>54</v>
      </c>
      <c r="O1329" s="593">
        <v>14</v>
      </c>
      <c r="P1329" s="593">
        <v>119</v>
      </c>
      <c r="Q1329" s="593">
        <v>7</v>
      </c>
      <c r="R1329" s="593">
        <v>309</v>
      </c>
      <c r="S1329" s="593">
        <v>26</v>
      </c>
      <c r="T1329" s="593">
        <v>2017</v>
      </c>
      <c r="U1329" s="593">
        <v>2013</v>
      </c>
      <c r="V1329" s="589"/>
      <c r="W1329" s="589"/>
      <c r="X1329" s="589"/>
      <c r="Y1329" s="589"/>
      <c r="Z1329" s="589"/>
      <c r="AA1329" s="589"/>
      <c r="AB1329" s="589"/>
      <c r="AC1329" s="589"/>
      <c r="AD1329" s="589"/>
      <c r="AE1329" s="589"/>
      <c r="AF1329" s="589"/>
      <c r="AG1329" s="589"/>
      <c r="AH1329" s="589"/>
      <c r="AI1329" s="589"/>
      <c r="AJ1329" s="589"/>
      <c r="AK1329" s="589"/>
      <c r="AL1329" s="589"/>
      <c r="AM1329" s="589"/>
      <c r="AN1329" s="589"/>
      <c r="AO1329" s="589"/>
      <c r="AP1329" s="589"/>
      <c r="AQ1329" s="589"/>
      <c r="AR1329" s="589"/>
      <c r="AS1329" s="589"/>
    </row>
    <row r="1330" spans="1:45" ht="15">
      <c r="A1330" s="587" t="s">
        <v>170</v>
      </c>
      <c r="B1330" s="587" t="s">
        <v>521</v>
      </c>
      <c r="C1330" s="587" t="s">
        <v>799</v>
      </c>
      <c r="D1330" s="588">
        <v>2017</v>
      </c>
      <c r="E1330" s="587" t="s">
        <v>775</v>
      </c>
      <c r="F1330" s="588">
        <v>953</v>
      </c>
      <c r="G1330" s="588">
        <v>0</v>
      </c>
      <c r="H1330" s="588">
        <v>0</v>
      </c>
      <c r="I1330" s="588">
        <v>0</v>
      </c>
      <c r="J1330" s="588">
        <v>668</v>
      </c>
      <c r="K1330" s="588">
        <v>0</v>
      </c>
      <c r="L1330" s="588">
        <v>0</v>
      </c>
      <c r="M1330" s="588">
        <v>0</v>
      </c>
      <c r="N1330" s="588">
        <v>705</v>
      </c>
      <c r="O1330" s="588">
        <v>4</v>
      </c>
      <c r="P1330" s="588">
        <v>1464</v>
      </c>
      <c r="Q1330" s="588">
        <v>223</v>
      </c>
      <c r="R1330" s="588">
        <v>3790</v>
      </c>
      <c r="S1330" s="588">
        <v>227</v>
      </c>
      <c r="T1330" s="588">
        <v>2017</v>
      </c>
      <c r="U1330" s="588">
        <v>2014</v>
      </c>
      <c r="V1330" s="589"/>
      <c r="W1330" s="589"/>
      <c r="X1330" s="589"/>
      <c r="Y1330" s="589"/>
      <c r="Z1330" s="589"/>
      <c r="AA1330" s="589"/>
      <c r="AB1330" s="589"/>
      <c r="AC1330" s="589"/>
      <c r="AD1330" s="589"/>
      <c r="AE1330" s="589"/>
      <c r="AF1330" s="589"/>
      <c r="AG1330" s="589"/>
      <c r="AH1330" s="589"/>
      <c r="AI1330" s="589"/>
      <c r="AJ1330" s="589"/>
      <c r="AK1330" s="589"/>
      <c r="AL1330" s="589"/>
      <c r="AM1330" s="589"/>
      <c r="AN1330" s="589"/>
      <c r="AO1330" s="589"/>
      <c r="AP1330" s="589"/>
      <c r="AQ1330" s="589"/>
      <c r="AR1330" s="589"/>
      <c r="AS1330" s="589"/>
    </row>
    <row r="1331" spans="1:45" ht="15">
      <c r="A1331" s="590" t="s">
        <v>199</v>
      </c>
      <c r="B1331" s="591" t="s">
        <v>723</v>
      </c>
      <c r="C1331" s="591" t="s">
        <v>177</v>
      </c>
      <c r="D1331" s="592">
        <v>2017</v>
      </c>
      <c r="E1331" s="591" t="s">
        <v>775</v>
      </c>
      <c r="F1331" s="592">
        <v>80</v>
      </c>
      <c r="G1331" s="592">
        <v>33</v>
      </c>
      <c r="H1331" s="592">
        <v>32</v>
      </c>
      <c r="I1331" s="592">
        <v>1</v>
      </c>
      <c r="J1331" s="592">
        <v>80</v>
      </c>
      <c r="K1331" s="592">
        <v>19</v>
      </c>
      <c r="L1331" s="592">
        <v>18</v>
      </c>
      <c r="M1331" s="592">
        <v>1</v>
      </c>
      <c r="N1331" s="593">
        <v>82</v>
      </c>
      <c r="O1331" s="593">
        <v>20</v>
      </c>
      <c r="P1331" s="593">
        <v>348</v>
      </c>
      <c r="Q1331" s="593">
        <v>0</v>
      </c>
      <c r="R1331" s="593">
        <v>590</v>
      </c>
      <c r="S1331" s="593">
        <v>72</v>
      </c>
      <c r="T1331" s="593">
        <v>2017</v>
      </c>
      <c r="U1331" s="593">
        <v>2016</v>
      </c>
      <c r="V1331" s="589"/>
      <c r="W1331" s="589"/>
      <c r="X1331" s="589"/>
      <c r="Y1331" s="589"/>
      <c r="Z1331" s="589"/>
      <c r="AA1331" s="589"/>
      <c r="AB1331" s="589"/>
      <c r="AC1331" s="589"/>
      <c r="AD1331" s="589"/>
      <c r="AE1331" s="589"/>
      <c r="AF1331" s="589"/>
      <c r="AG1331" s="589"/>
      <c r="AH1331" s="589"/>
      <c r="AI1331" s="589"/>
      <c r="AJ1331" s="589"/>
      <c r="AK1331" s="589"/>
      <c r="AL1331" s="589"/>
      <c r="AM1331" s="589"/>
      <c r="AN1331" s="589"/>
      <c r="AO1331" s="589"/>
      <c r="AP1331" s="589"/>
      <c r="AQ1331" s="589"/>
      <c r="AR1331" s="589"/>
      <c r="AS1331" s="589"/>
    </row>
    <row r="1332" spans="1:45" ht="15">
      <c r="A1332" s="587" t="s">
        <v>196</v>
      </c>
      <c r="B1332" s="587" t="s">
        <v>713</v>
      </c>
      <c r="C1332" s="587" t="s">
        <v>799</v>
      </c>
      <c r="D1332" s="588">
        <v>2017</v>
      </c>
      <c r="E1332" s="587" t="s">
        <v>775</v>
      </c>
      <c r="F1332" s="588">
        <v>104</v>
      </c>
      <c r="G1332" s="588">
        <v>0</v>
      </c>
      <c r="H1332" s="588">
        <v>0</v>
      </c>
      <c r="I1332" s="588">
        <v>0</v>
      </c>
      <c r="J1332" s="588">
        <v>72</v>
      </c>
      <c r="K1332" s="588">
        <v>0</v>
      </c>
      <c r="L1332" s="588">
        <v>0</v>
      </c>
      <c r="M1332" s="588">
        <v>0</v>
      </c>
      <c r="N1332" s="588">
        <v>83</v>
      </c>
      <c r="O1332" s="588">
        <v>0</v>
      </c>
      <c r="P1332" s="588">
        <v>190</v>
      </c>
      <c r="Q1332" s="588">
        <v>1</v>
      </c>
      <c r="R1332" s="588">
        <v>449</v>
      </c>
      <c r="S1332" s="588">
        <v>1</v>
      </c>
      <c r="T1332" s="588">
        <v>2017</v>
      </c>
      <c r="U1332" s="588">
        <v>2014</v>
      </c>
      <c r="V1332" s="589"/>
      <c r="W1332" s="589"/>
      <c r="X1332" s="589"/>
      <c r="Y1332" s="589"/>
      <c r="Z1332" s="589"/>
      <c r="AA1332" s="589"/>
      <c r="AB1332" s="589"/>
      <c r="AC1332" s="589"/>
      <c r="AD1332" s="589"/>
      <c r="AE1332" s="589"/>
      <c r="AF1332" s="589"/>
      <c r="AG1332" s="589"/>
      <c r="AH1332" s="589"/>
      <c r="AI1332" s="589"/>
      <c r="AJ1332" s="589"/>
      <c r="AK1332" s="589"/>
      <c r="AL1332" s="589"/>
      <c r="AM1332" s="589"/>
      <c r="AN1332" s="589"/>
      <c r="AO1332" s="589"/>
      <c r="AP1332" s="589"/>
      <c r="AQ1332" s="589"/>
      <c r="AR1332" s="589"/>
      <c r="AS1332" s="589"/>
    </row>
    <row r="1333" spans="1:45" ht="15">
      <c r="A1333" s="590" t="s">
        <v>125</v>
      </c>
      <c r="B1333" s="591" t="s">
        <v>240</v>
      </c>
      <c r="C1333" s="591" t="s">
        <v>774</v>
      </c>
      <c r="D1333" s="592">
        <v>2017</v>
      </c>
      <c r="E1333" s="591" t="s">
        <v>775</v>
      </c>
      <c r="F1333" s="592">
        <v>839</v>
      </c>
      <c r="G1333" s="592">
        <v>52</v>
      </c>
      <c r="H1333" s="592">
        <v>52</v>
      </c>
      <c r="I1333" s="592">
        <v>0</v>
      </c>
      <c r="J1333" s="592">
        <v>474</v>
      </c>
      <c r="K1333" s="592">
        <v>24</v>
      </c>
      <c r="L1333" s="592">
        <v>24</v>
      </c>
      <c r="M1333" s="592">
        <v>0</v>
      </c>
      <c r="N1333" s="593">
        <v>496</v>
      </c>
      <c r="O1333" s="593">
        <v>15</v>
      </c>
      <c r="P1333" s="593">
        <v>920</v>
      </c>
      <c r="Q1333" s="593">
        <v>311</v>
      </c>
      <c r="R1333" s="593">
        <v>2729</v>
      </c>
      <c r="S1333" s="593">
        <v>402</v>
      </c>
      <c r="T1333" s="593">
        <v>2017</v>
      </c>
      <c r="U1333" s="593">
        <v>2015</v>
      </c>
      <c r="V1333" s="589"/>
      <c r="W1333" s="589"/>
      <c r="X1333" s="589"/>
      <c r="Y1333" s="589"/>
      <c r="Z1333" s="589"/>
      <c r="AA1333" s="589"/>
      <c r="AB1333" s="589"/>
      <c r="AC1333" s="589"/>
      <c r="AD1333" s="589"/>
      <c r="AE1333" s="589"/>
      <c r="AF1333" s="589"/>
      <c r="AG1333" s="589"/>
      <c r="AH1333" s="589"/>
      <c r="AI1333" s="589"/>
      <c r="AJ1333" s="589"/>
      <c r="AK1333" s="589"/>
      <c r="AL1333" s="589"/>
      <c r="AM1333" s="589"/>
      <c r="AN1333" s="589"/>
      <c r="AO1333" s="589"/>
      <c r="AP1333" s="589"/>
      <c r="AQ1333" s="589"/>
      <c r="AR1333" s="589"/>
      <c r="AS1333" s="589"/>
    </row>
    <row r="1334" spans="1:45" ht="15">
      <c r="A1334" s="587" t="s">
        <v>160</v>
      </c>
      <c r="B1334" s="587" t="s">
        <v>457</v>
      </c>
      <c r="C1334" s="587" t="s">
        <v>828</v>
      </c>
      <c r="D1334" s="588">
        <v>2017</v>
      </c>
      <c r="E1334" s="587" t="s">
        <v>775</v>
      </c>
      <c r="F1334" s="588">
        <v>249</v>
      </c>
      <c r="G1334" s="588">
        <v>0</v>
      </c>
      <c r="H1334" s="588">
        <v>0</v>
      </c>
      <c r="I1334" s="588">
        <v>0</v>
      </c>
      <c r="J1334" s="588">
        <v>178</v>
      </c>
      <c r="K1334" s="588">
        <v>5</v>
      </c>
      <c r="L1334" s="588">
        <v>5</v>
      </c>
      <c r="M1334" s="588">
        <v>0</v>
      </c>
      <c r="N1334" s="588">
        <v>163</v>
      </c>
      <c r="O1334" s="588">
        <v>0</v>
      </c>
      <c r="P1334" s="588">
        <v>435</v>
      </c>
      <c r="Q1334" s="588">
        <v>69</v>
      </c>
      <c r="R1334" s="588">
        <v>1025</v>
      </c>
      <c r="S1334" s="588">
        <v>74</v>
      </c>
      <c r="T1334" s="588">
        <v>2017</v>
      </c>
      <c r="U1334" s="588">
        <v>2016</v>
      </c>
      <c r="V1334" s="589"/>
      <c r="W1334" s="589"/>
      <c r="X1334" s="589"/>
      <c r="Y1334" s="589"/>
      <c r="Z1334" s="589"/>
      <c r="AA1334" s="589"/>
      <c r="AB1334" s="589"/>
      <c r="AC1334" s="589"/>
      <c r="AD1334" s="589"/>
      <c r="AE1334" s="589"/>
      <c r="AF1334" s="589"/>
      <c r="AG1334" s="589"/>
      <c r="AH1334" s="589"/>
      <c r="AI1334" s="589"/>
      <c r="AJ1334" s="589"/>
      <c r="AK1334" s="589"/>
      <c r="AL1334" s="589"/>
      <c r="AM1334" s="589"/>
      <c r="AN1334" s="589"/>
      <c r="AO1334" s="589"/>
      <c r="AP1334" s="589"/>
      <c r="AQ1334" s="589"/>
      <c r="AR1334" s="589"/>
      <c r="AS1334" s="589"/>
    </row>
    <row r="1335" spans="1:45" ht="15">
      <c r="A1335" s="590" t="s">
        <v>182</v>
      </c>
      <c r="B1335" s="591" t="s">
        <v>610</v>
      </c>
      <c r="C1335" s="591" t="s">
        <v>177</v>
      </c>
      <c r="D1335" s="592">
        <v>2017</v>
      </c>
      <c r="E1335" s="591" t="s">
        <v>775</v>
      </c>
      <c r="F1335" s="592">
        <v>497</v>
      </c>
      <c r="G1335" s="592">
        <v>52</v>
      </c>
      <c r="H1335" s="592">
        <v>52</v>
      </c>
      <c r="I1335" s="592">
        <v>0</v>
      </c>
      <c r="J1335" s="592">
        <v>331</v>
      </c>
      <c r="K1335" s="592">
        <v>27</v>
      </c>
      <c r="L1335" s="592">
        <v>27</v>
      </c>
      <c r="M1335" s="592">
        <v>0</v>
      </c>
      <c r="N1335" s="593">
        <v>333</v>
      </c>
      <c r="O1335" s="593">
        <v>0</v>
      </c>
      <c r="P1335" s="593">
        <v>770</v>
      </c>
      <c r="Q1335" s="593">
        <v>211</v>
      </c>
      <c r="R1335" s="593">
        <v>1931</v>
      </c>
      <c r="S1335" s="593">
        <v>290</v>
      </c>
      <c r="T1335" s="593">
        <v>2017</v>
      </c>
      <c r="U1335" s="593">
        <v>2016</v>
      </c>
      <c r="V1335" s="589"/>
      <c r="W1335" s="589"/>
      <c r="X1335" s="589"/>
      <c r="Y1335" s="589"/>
      <c r="Z1335" s="589"/>
      <c r="AA1335" s="589"/>
      <c r="AB1335" s="589"/>
      <c r="AC1335" s="589"/>
      <c r="AD1335" s="589"/>
      <c r="AE1335" s="589"/>
      <c r="AF1335" s="589"/>
      <c r="AG1335" s="589"/>
      <c r="AH1335" s="589"/>
      <c r="AI1335" s="589"/>
      <c r="AJ1335" s="589"/>
      <c r="AK1335" s="589"/>
      <c r="AL1335" s="589"/>
      <c r="AM1335" s="589"/>
      <c r="AN1335" s="589"/>
      <c r="AO1335" s="589"/>
      <c r="AP1335" s="589"/>
      <c r="AQ1335" s="589"/>
      <c r="AR1335" s="589"/>
      <c r="AS1335" s="589"/>
    </row>
    <row r="1336" spans="1:45" ht="15">
      <c r="A1336" s="587" t="s">
        <v>153</v>
      </c>
      <c r="B1336" s="587" t="s">
        <v>392</v>
      </c>
      <c r="C1336" s="587" t="s">
        <v>812</v>
      </c>
      <c r="D1336" s="588">
        <v>2017</v>
      </c>
      <c r="E1336" s="587" t="s">
        <v>775</v>
      </c>
      <c r="F1336" s="588">
        <v>12</v>
      </c>
      <c r="G1336" s="588">
        <v>0</v>
      </c>
      <c r="H1336" s="588">
        <v>0</v>
      </c>
      <c r="I1336" s="588">
        <v>0</v>
      </c>
      <c r="J1336" s="588">
        <v>7</v>
      </c>
      <c r="K1336" s="588">
        <v>2</v>
      </c>
      <c r="L1336" s="588">
        <v>0</v>
      </c>
      <c r="M1336" s="588">
        <v>2</v>
      </c>
      <c r="N1336" s="588">
        <v>8</v>
      </c>
      <c r="O1336" s="588">
        <v>5</v>
      </c>
      <c r="P1336" s="588">
        <v>20</v>
      </c>
      <c r="Q1336" s="588">
        <v>11</v>
      </c>
      <c r="R1336" s="588">
        <v>47</v>
      </c>
      <c r="S1336" s="588">
        <v>18</v>
      </c>
      <c r="T1336" s="588">
        <v>2017</v>
      </c>
      <c r="U1336" s="588">
        <v>2014</v>
      </c>
      <c r="V1336" s="589"/>
      <c r="W1336" s="589"/>
      <c r="X1336" s="589"/>
      <c r="Y1336" s="589"/>
      <c r="Z1336" s="589"/>
      <c r="AA1336" s="589"/>
      <c r="AB1336" s="589"/>
      <c r="AC1336" s="589"/>
      <c r="AD1336" s="589"/>
      <c r="AE1336" s="589"/>
      <c r="AF1336" s="589"/>
      <c r="AG1336" s="589"/>
      <c r="AH1336" s="589"/>
      <c r="AI1336" s="589"/>
      <c r="AJ1336" s="589"/>
      <c r="AK1336" s="589"/>
      <c r="AL1336" s="589"/>
      <c r="AM1336" s="589"/>
      <c r="AN1336" s="589"/>
      <c r="AO1336" s="589"/>
      <c r="AP1336" s="589"/>
      <c r="AQ1336" s="589"/>
      <c r="AR1336" s="589"/>
      <c r="AS1336" s="589"/>
    </row>
    <row r="1337" spans="1:45" ht="15">
      <c r="A1337" s="590" t="s">
        <v>185</v>
      </c>
      <c r="B1337" s="591" t="s">
        <v>647</v>
      </c>
      <c r="C1337" s="591" t="s">
        <v>868</v>
      </c>
      <c r="D1337" s="592">
        <v>2017</v>
      </c>
      <c r="E1337" s="591" t="s">
        <v>775</v>
      </c>
      <c r="F1337" s="592">
        <v>126</v>
      </c>
      <c r="G1337" s="592">
        <v>0</v>
      </c>
      <c r="H1337" s="592">
        <v>0</v>
      </c>
      <c r="I1337" s="592">
        <v>0</v>
      </c>
      <c r="J1337" s="592">
        <v>84</v>
      </c>
      <c r="K1337" s="592">
        <v>0</v>
      </c>
      <c r="L1337" s="592">
        <v>0</v>
      </c>
      <c r="M1337" s="592">
        <v>0</v>
      </c>
      <c r="N1337" s="593">
        <v>95</v>
      </c>
      <c r="O1337" s="593">
        <v>0</v>
      </c>
      <c r="P1337" s="593">
        <v>221</v>
      </c>
      <c r="Q1337" s="593">
        <v>4</v>
      </c>
      <c r="R1337" s="593">
        <v>526</v>
      </c>
      <c r="S1337" s="593">
        <v>4</v>
      </c>
      <c r="T1337" s="593">
        <v>2017</v>
      </c>
      <c r="U1337" s="593">
        <v>2015</v>
      </c>
      <c r="V1337" s="589"/>
      <c r="W1337" s="589"/>
      <c r="X1337" s="589"/>
      <c r="Y1337" s="589"/>
      <c r="Z1337" s="589"/>
      <c r="AA1337" s="589"/>
      <c r="AB1337" s="589"/>
      <c r="AC1337" s="589"/>
      <c r="AD1337" s="589"/>
      <c r="AE1337" s="589"/>
      <c r="AF1337" s="589"/>
      <c r="AG1337" s="589"/>
      <c r="AH1337" s="589"/>
      <c r="AI1337" s="589"/>
      <c r="AJ1337" s="589"/>
      <c r="AK1337" s="589"/>
      <c r="AL1337" s="589"/>
      <c r="AM1337" s="589"/>
      <c r="AN1337" s="589"/>
      <c r="AO1337" s="589"/>
      <c r="AP1337" s="589"/>
      <c r="AQ1337" s="589"/>
      <c r="AR1337" s="589"/>
      <c r="AS1337" s="589"/>
    </row>
    <row r="1338" spans="1:45" ht="15">
      <c r="A1338" s="587" t="s">
        <v>153</v>
      </c>
      <c r="B1338" s="587" t="s">
        <v>393</v>
      </c>
      <c r="C1338" s="587" t="s">
        <v>812</v>
      </c>
      <c r="D1338" s="588">
        <v>2017</v>
      </c>
      <c r="E1338" s="587" t="s">
        <v>775</v>
      </c>
      <c r="F1338" s="588">
        <v>1773</v>
      </c>
      <c r="G1338" s="588">
        <v>158</v>
      </c>
      <c r="H1338" s="588">
        <v>158</v>
      </c>
      <c r="I1338" s="588">
        <v>0</v>
      </c>
      <c r="J1338" s="588">
        <v>1066</v>
      </c>
      <c r="K1338" s="588">
        <v>4</v>
      </c>
      <c r="L1338" s="588">
        <v>4</v>
      </c>
      <c r="M1338" s="588">
        <v>0</v>
      </c>
      <c r="N1338" s="588">
        <v>1170</v>
      </c>
      <c r="O1338" s="588">
        <v>0</v>
      </c>
      <c r="P1338" s="588">
        <v>3039</v>
      </c>
      <c r="Q1338" s="588">
        <v>363</v>
      </c>
      <c r="R1338" s="588">
        <v>7048</v>
      </c>
      <c r="S1338" s="588">
        <v>525</v>
      </c>
      <c r="T1338" s="588">
        <v>2017</v>
      </c>
      <c r="U1338" s="588">
        <v>2014</v>
      </c>
      <c r="V1338" s="589"/>
      <c r="W1338" s="589"/>
      <c r="X1338" s="589"/>
      <c r="Y1338" s="589"/>
      <c r="Z1338" s="589"/>
      <c r="AA1338" s="589"/>
      <c r="AB1338" s="589"/>
      <c r="AC1338" s="589"/>
      <c r="AD1338" s="589"/>
      <c r="AE1338" s="589"/>
      <c r="AF1338" s="589"/>
      <c r="AG1338" s="589"/>
      <c r="AH1338" s="589"/>
      <c r="AI1338" s="589"/>
      <c r="AJ1338" s="589"/>
      <c r="AK1338" s="589"/>
      <c r="AL1338" s="589"/>
      <c r="AM1338" s="589"/>
      <c r="AN1338" s="589"/>
      <c r="AO1338" s="589"/>
      <c r="AP1338" s="589"/>
      <c r="AQ1338" s="589"/>
      <c r="AR1338" s="589"/>
      <c r="AS1338" s="589"/>
    </row>
    <row r="1339" spans="1:45" ht="15">
      <c r="A1339" s="590" t="s">
        <v>170</v>
      </c>
      <c r="B1339" s="591" t="s">
        <v>522</v>
      </c>
      <c r="C1339" s="591" t="s">
        <v>799</v>
      </c>
      <c r="D1339" s="592">
        <v>2017</v>
      </c>
      <c r="E1339" s="591" t="s">
        <v>775</v>
      </c>
      <c r="F1339" s="592">
        <v>39</v>
      </c>
      <c r="G1339" s="592">
        <v>0</v>
      </c>
      <c r="H1339" s="592">
        <v>0</v>
      </c>
      <c r="I1339" s="592">
        <v>0</v>
      </c>
      <c r="J1339" s="592">
        <v>27</v>
      </c>
      <c r="K1339" s="592">
        <v>0</v>
      </c>
      <c r="L1339" s="592">
        <v>0</v>
      </c>
      <c r="M1339" s="592">
        <v>0</v>
      </c>
      <c r="N1339" s="593">
        <v>29</v>
      </c>
      <c r="O1339" s="593">
        <v>1</v>
      </c>
      <c r="P1339" s="593">
        <v>59</v>
      </c>
      <c r="Q1339" s="593">
        <v>11</v>
      </c>
      <c r="R1339" s="593">
        <v>154</v>
      </c>
      <c r="S1339" s="593">
        <v>12</v>
      </c>
      <c r="T1339" s="593">
        <v>2017</v>
      </c>
      <c r="U1339" s="593">
        <v>2014</v>
      </c>
      <c r="V1339" s="589"/>
      <c r="W1339" s="589"/>
      <c r="X1339" s="589"/>
      <c r="Y1339" s="589"/>
      <c r="Z1339" s="589"/>
      <c r="AA1339" s="589"/>
      <c r="AB1339" s="589"/>
      <c r="AC1339" s="589"/>
      <c r="AD1339" s="589"/>
      <c r="AE1339" s="589"/>
      <c r="AF1339" s="589"/>
      <c r="AG1339" s="589"/>
      <c r="AH1339" s="589"/>
      <c r="AI1339" s="589"/>
      <c r="AJ1339" s="589"/>
      <c r="AK1339" s="589"/>
      <c r="AL1339" s="589"/>
      <c r="AM1339" s="589"/>
      <c r="AN1339" s="589"/>
      <c r="AO1339" s="589"/>
      <c r="AP1339" s="589"/>
      <c r="AQ1339" s="589"/>
      <c r="AR1339" s="589"/>
      <c r="AS1339" s="589"/>
    </row>
    <row r="1340" spans="1:45" ht="15">
      <c r="A1340" s="587" t="s">
        <v>169</v>
      </c>
      <c r="B1340" s="587" t="s">
        <v>504</v>
      </c>
      <c r="C1340" s="587" t="s">
        <v>812</v>
      </c>
      <c r="D1340" s="588">
        <v>2017</v>
      </c>
      <c r="E1340" s="587" t="s">
        <v>775</v>
      </c>
      <c r="F1340" s="588">
        <v>14</v>
      </c>
      <c r="G1340" s="588">
        <v>0</v>
      </c>
      <c r="H1340" s="588">
        <v>0</v>
      </c>
      <c r="I1340" s="588">
        <v>0</v>
      </c>
      <c r="J1340" s="588">
        <v>10</v>
      </c>
      <c r="K1340" s="588">
        <v>0</v>
      </c>
      <c r="L1340" s="588">
        <v>0</v>
      </c>
      <c r="M1340" s="588">
        <v>0</v>
      </c>
      <c r="N1340" s="588">
        <v>11</v>
      </c>
      <c r="O1340" s="588">
        <v>0</v>
      </c>
      <c r="P1340" s="588">
        <v>26</v>
      </c>
      <c r="Q1340" s="588">
        <v>5</v>
      </c>
      <c r="R1340" s="588">
        <v>61</v>
      </c>
      <c r="S1340" s="588">
        <v>5</v>
      </c>
      <c r="T1340" s="588">
        <v>2017</v>
      </c>
      <c r="U1340" s="588">
        <v>2014</v>
      </c>
      <c r="V1340" s="589"/>
      <c r="W1340" s="589"/>
      <c r="X1340" s="589"/>
      <c r="Y1340" s="589"/>
      <c r="Z1340" s="589"/>
      <c r="AA1340" s="589"/>
      <c r="AB1340" s="589"/>
      <c r="AC1340" s="589"/>
      <c r="AD1340" s="589"/>
      <c r="AE1340" s="589"/>
      <c r="AF1340" s="589"/>
      <c r="AG1340" s="589"/>
      <c r="AH1340" s="589"/>
      <c r="AI1340" s="589"/>
      <c r="AJ1340" s="589"/>
      <c r="AK1340" s="589"/>
      <c r="AL1340" s="589"/>
      <c r="AM1340" s="589"/>
      <c r="AN1340" s="589"/>
      <c r="AO1340" s="589"/>
      <c r="AP1340" s="589"/>
      <c r="AQ1340" s="589"/>
      <c r="AR1340" s="589"/>
      <c r="AS1340" s="589"/>
    </row>
    <row r="1341" spans="1:45" ht="15">
      <c r="A1341" s="590" t="s">
        <v>187</v>
      </c>
      <c r="B1341" s="591" t="s">
        <v>654</v>
      </c>
      <c r="C1341" s="591" t="s">
        <v>774</v>
      </c>
      <c r="D1341" s="592">
        <v>2017</v>
      </c>
      <c r="E1341" s="591" t="s">
        <v>775</v>
      </c>
      <c r="F1341" s="592">
        <v>169</v>
      </c>
      <c r="G1341" s="592">
        <v>0</v>
      </c>
      <c r="H1341" s="592">
        <v>0</v>
      </c>
      <c r="I1341" s="592">
        <v>0</v>
      </c>
      <c r="J1341" s="592">
        <v>99</v>
      </c>
      <c r="K1341" s="592">
        <v>0</v>
      </c>
      <c r="L1341" s="592">
        <v>0</v>
      </c>
      <c r="M1341" s="592">
        <v>0</v>
      </c>
      <c r="N1341" s="593">
        <v>112</v>
      </c>
      <c r="O1341" s="593">
        <v>0</v>
      </c>
      <c r="P1341" s="593">
        <v>97</v>
      </c>
      <c r="Q1341" s="593">
        <v>49</v>
      </c>
      <c r="R1341" s="593">
        <v>477</v>
      </c>
      <c r="S1341" s="593">
        <v>49</v>
      </c>
      <c r="T1341" s="593">
        <v>2017</v>
      </c>
      <c r="U1341" s="593">
        <v>2015</v>
      </c>
      <c r="V1341" s="589"/>
      <c r="W1341" s="589"/>
      <c r="X1341" s="589"/>
      <c r="Y1341" s="589"/>
      <c r="Z1341" s="589"/>
      <c r="AA1341" s="589"/>
      <c r="AB1341" s="589"/>
      <c r="AC1341" s="589"/>
      <c r="AD1341" s="589"/>
      <c r="AE1341" s="589"/>
      <c r="AF1341" s="589"/>
      <c r="AG1341" s="589"/>
      <c r="AH1341" s="589"/>
      <c r="AI1341" s="589"/>
      <c r="AJ1341" s="589"/>
      <c r="AK1341" s="589"/>
      <c r="AL1341" s="589"/>
      <c r="AM1341" s="589"/>
      <c r="AN1341" s="589"/>
      <c r="AO1341" s="589"/>
      <c r="AP1341" s="589"/>
      <c r="AQ1341" s="589"/>
      <c r="AR1341" s="589"/>
      <c r="AS1341" s="589"/>
    </row>
    <row r="1342" spans="1:45" ht="15">
      <c r="A1342" s="587" t="s">
        <v>187</v>
      </c>
      <c r="B1342" s="587" t="s">
        <v>655</v>
      </c>
      <c r="C1342" s="587" t="s">
        <v>774</v>
      </c>
      <c r="D1342" s="588">
        <v>2017</v>
      </c>
      <c r="E1342" s="587" t="s">
        <v>775</v>
      </c>
      <c r="F1342" s="588">
        <v>46</v>
      </c>
      <c r="G1342" s="588">
        <v>5</v>
      </c>
      <c r="H1342" s="588">
        <v>5</v>
      </c>
      <c r="I1342" s="588">
        <v>0</v>
      </c>
      <c r="J1342" s="588">
        <v>28</v>
      </c>
      <c r="K1342" s="588">
        <v>2</v>
      </c>
      <c r="L1342" s="588">
        <v>2</v>
      </c>
      <c r="M1342" s="588">
        <v>0</v>
      </c>
      <c r="N1342" s="588">
        <v>32</v>
      </c>
      <c r="O1342" s="588">
        <v>2</v>
      </c>
      <c r="P1342" s="588">
        <v>15</v>
      </c>
      <c r="Q1342" s="588">
        <v>4</v>
      </c>
      <c r="R1342" s="588">
        <v>121</v>
      </c>
      <c r="S1342" s="588">
        <v>13</v>
      </c>
      <c r="T1342" s="588">
        <v>2017</v>
      </c>
      <c r="U1342" s="588">
        <v>2015</v>
      </c>
      <c r="V1342" s="589"/>
      <c r="W1342" s="589"/>
      <c r="X1342" s="589"/>
      <c r="Y1342" s="589"/>
      <c r="Z1342" s="589"/>
      <c r="AA1342" s="589"/>
      <c r="AB1342" s="589"/>
      <c r="AC1342" s="589"/>
      <c r="AD1342" s="589"/>
      <c r="AE1342" s="589"/>
      <c r="AF1342" s="589"/>
      <c r="AG1342" s="589"/>
      <c r="AH1342" s="589"/>
      <c r="AI1342" s="589"/>
      <c r="AJ1342" s="589"/>
      <c r="AK1342" s="589"/>
      <c r="AL1342" s="589"/>
      <c r="AM1342" s="589"/>
      <c r="AN1342" s="589"/>
      <c r="AO1342" s="589"/>
      <c r="AP1342" s="589"/>
      <c r="AQ1342" s="589"/>
      <c r="AR1342" s="589"/>
      <c r="AS1342" s="589"/>
    </row>
    <row r="1343" spans="1:45" ht="15">
      <c r="A1343" s="590" t="s">
        <v>153</v>
      </c>
      <c r="B1343" s="591" t="s">
        <v>153</v>
      </c>
      <c r="C1343" s="591" t="s">
        <v>812</v>
      </c>
      <c r="D1343" s="592">
        <v>2017</v>
      </c>
      <c r="E1343" s="591" t="s">
        <v>775</v>
      </c>
      <c r="F1343" s="592">
        <v>20427</v>
      </c>
      <c r="G1343" s="592">
        <v>697</v>
      </c>
      <c r="H1343" s="592">
        <v>697</v>
      </c>
      <c r="I1343" s="592">
        <v>0</v>
      </c>
      <c r="J1343" s="592">
        <v>12435</v>
      </c>
      <c r="K1343" s="592">
        <v>255</v>
      </c>
      <c r="L1343" s="592">
        <v>255</v>
      </c>
      <c r="M1343" s="592">
        <v>0</v>
      </c>
      <c r="N1343" s="593">
        <v>13728</v>
      </c>
      <c r="O1343" s="593">
        <v>27</v>
      </c>
      <c r="P1343" s="593">
        <v>35412</v>
      </c>
      <c r="Q1343" s="593">
        <v>13040</v>
      </c>
      <c r="R1343" s="593">
        <v>82002</v>
      </c>
      <c r="S1343" s="593">
        <v>14019</v>
      </c>
      <c r="T1343" s="593">
        <v>2017</v>
      </c>
      <c r="U1343" s="593">
        <v>2014</v>
      </c>
      <c r="V1343" s="589"/>
      <c r="W1343" s="589"/>
      <c r="X1343" s="589"/>
      <c r="Y1343" s="589"/>
      <c r="Z1343" s="589"/>
      <c r="AA1343" s="589"/>
      <c r="AB1343" s="589"/>
      <c r="AC1343" s="589"/>
      <c r="AD1343" s="589"/>
      <c r="AE1343" s="589"/>
      <c r="AF1343" s="589"/>
      <c r="AG1343" s="589"/>
      <c r="AH1343" s="589"/>
      <c r="AI1343" s="589"/>
      <c r="AJ1343" s="589"/>
      <c r="AK1343" s="589"/>
      <c r="AL1343" s="589"/>
      <c r="AM1343" s="589"/>
      <c r="AN1343" s="589"/>
      <c r="AO1343" s="589"/>
      <c r="AP1343" s="589"/>
      <c r="AQ1343" s="589"/>
      <c r="AR1343" s="589"/>
      <c r="AS1343" s="589"/>
    </row>
    <row r="1344" spans="1:45" ht="15">
      <c r="A1344" s="587" t="s">
        <v>153</v>
      </c>
      <c r="B1344" s="587" t="s">
        <v>394</v>
      </c>
      <c r="C1344" s="587" t="s">
        <v>812</v>
      </c>
      <c r="D1344" s="588">
        <v>2017</v>
      </c>
      <c r="E1344" s="587" t="s">
        <v>775</v>
      </c>
      <c r="F1344" s="588">
        <v>7359</v>
      </c>
      <c r="G1344" s="588">
        <v>354</v>
      </c>
      <c r="H1344" s="588">
        <v>354</v>
      </c>
      <c r="I1344" s="588">
        <v>0</v>
      </c>
      <c r="J1344" s="588">
        <v>4251</v>
      </c>
      <c r="K1344" s="588">
        <v>108</v>
      </c>
      <c r="L1344" s="588">
        <v>108</v>
      </c>
      <c r="M1344" s="588">
        <v>0</v>
      </c>
      <c r="N1344" s="588">
        <v>4898</v>
      </c>
      <c r="O1344" s="588">
        <v>0</v>
      </c>
      <c r="P1344" s="588">
        <v>10749</v>
      </c>
      <c r="Q1344" s="588">
        <v>622</v>
      </c>
      <c r="R1344" s="588">
        <v>27257</v>
      </c>
      <c r="S1344" s="588">
        <v>1084</v>
      </c>
      <c r="T1344" s="588">
        <v>2017</v>
      </c>
      <c r="U1344" s="588">
        <v>2014</v>
      </c>
      <c r="V1344" s="589"/>
      <c r="W1344" s="589"/>
      <c r="X1344" s="589"/>
      <c r="Y1344" s="589"/>
      <c r="Z1344" s="589"/>
      <c r="AA1344" s="589"/>
      <c r="AB1344" s="589"/>
      <c r="AC1344" s="589"/>
      <c r="AD1344" s="589"/>
      <c r="AE1344" s="589"/>
      <c r="AF1344" s="589"/>
      <c r="AG1344" s="589"/>
      <c r="AH1344" s="589"/>
      <c r="AI1344" s="589"/>
      <c r="AJ1344" s="589"/>
      <c r="AK1344" s="589"/>
      <c r="AL1344" s="589"/>
      <c r="AM1344" s="589"/>
      <c r="AN1344" s="589"/>
      <c r="AO1344" s="589"/>
      <c r="AP1344" s="589"/>
      <c r="AQ1344" s="589"/>
      <c r="AR1344" s="589"/>
      <c r="AS1344" s="589"/>
    </row>
    <row r="1345" spans="1:45" ht="15">
      <c r="A1345" s="590" t="s">
        <v>160</v>
      </c>
      <c r="B1345" s="591" t="s">
        <v>458</v>
      </c>
      <c r="C1345" s="591" t="s">
        <v>828</v>
      </c>
      <c r="D1345" s="592">
        <v>2017</v>
      </c>
      <c r="E1345" s="591" t="s">
        <v>775</v>
      </c>
      <c r="F1345" s="592">
        <v>604</v>
      </c>
      <c r="G1345" s="592">
        <v>0</v>
      </c>
      <c r="H1345" s="592">
        <v>0</v>
      </c>
      <c r="I1345" s="592">
        <v>0</v>
      </c>
      <c r="J1345" s="592">
        <v>431</v>
      </c>
      <c r="K1345" s="592">
        <v>0</v>
      </c>
      <c r="L1345" s="592">
        <v>0</v>
      </c>
      <c r="M1345" s="592">
        <v>0</v>
      </c>
      <c r="N1345" s="593">
        <v>396</v>
      </c>
      <c r="O1345" s="593">
        <v>0</v>
      </c>
      <c r="P1345" s="593">
        <v>1049</v>
      </c>
      <c r="Q1345" s="593">
        <v>217</v>
      </c>
      <c r="R1345" s="593">
        <v>2480</v>
      </c>
      <c r="S1345" s="593">
        <v>217</v>
      </c>
      <c r="T1345" s="593">
        <v>2017</v>
      </c>
      <c r="U1345" s="593">
        <v>2016</v>
      </c>
      <c r="V1345" s="589"/>
      <c r="W1345" s="589"/>
      <c r="X1345" s="589"/>
      <c r="Y1345" s="589"/>
      <c r="Z1345" s="589"/>
      <c r="AA1345" s="589"/>
      <c r="AB1345" s="589"/>
      <c r="AC1345" s="589"/>
      <c r="AD1345" s="589"/>
      <c r="AE1345" s="589"/>
      <c r="AF1345" s="589"/>
      <c r="AG1345" s="589"/>
      <c r="AH1345" s="589"/>
      <c r="AI1345" s="589"/>
      <c r="AJ1345" s="589"/>
      <c r="AK1345" s="589"/>
      <c r="AL1345" s="589"/>
      <c r="AM1345" s="589"/>
      <c r="AN1345" s="589"/>
      <c r="AO1345" s="589"/>
      <c r="AP1345" s="589"/>
      <c r="AQ1345" s="589"/>
      <c r="AR1345" s="589"/>
      <c r="AS1345" s="589"/>
    </row>
    <row r="1346" spans="1:45" ht="15">
      <c r="A1346" s="587" t="s">
        <v>187</v>
      </c>
      <c r="B1346" s="587" t="s">
        <v>656</v>
      </c>
      <c r="C1346" s="587" t="s">
        <v>774</v>
      </c>
      <c r="D1346" s="588">
        <v>2017</v>
      </c>
      <c r="E1346" s="587" t="s">
        <v>775</v>
      </c>
      <c r="F1346" s="588">
        <v>201</v>
      </c>
      <c r="G1346" s="588">
        <v>0</v>
      </c>
      <c r="H1346" s="588">
        <v>0</v>
      </c>
      <c r="I1346" s="588">
        <v>0</v>
      </c>
      <c r="J1346" s="588">
        <v>112</v>
      </c>
      <c r="K1346" s="588">
        <v>0</v>
      </c>
      <c r="L1346" s="588">
        <v>0</v>
      </c>
      <c r="M1346" s="588">
        <v>0</v>
      </c>
      <c r="N1346" s="588">
        <v>132</v>
      </c>
      <c r="O1346" s="588">
        <v>4</v>
      </c>
      <c r="P1346" s="588">
        <v>174</v>
      </c>
      <c r="Q1346" s="588">
        <v>9</v>
      </c>
      <c r="R1346" s="588">
        <v>619</v>
      </c>
      <c r="S1346" s="588">
        <v>13</v>
      </c>
      <c r="T1346" s="588">
        <v>2017</v>
      </c>
      <c r="U1346" s="588">
        <v>2015</v>
      </c>
      <c r="V1346" s="589"/>
      <c r="W1346" s="589"/>
      <c r="X1346" s="589"/>
      <c r="Y1346" s="589"/>
      <c r="Z1346" s="589"/>
      <c r="AA1346" s="589"/>
      <c r="AB1346" s="589"/>
      <c r="AC1346" s="589"/>
      <c r="AD1346" s="589"/>
      <c r="AE1346" s="589"/>
      <c r="AF1346" s="589"/>
      <c r="AG1346" s="589"/>
      <c r="AH1346" s="589"/>
      <c r="AI1346" s="589"/>
      <c r="AJ1346" s="589"/>
      <c r="AK1346" s="589"/>
      <c r="AL1346" s="589"/>
      <c r="AM1346" s="589"/>
      <c r="AN1346" s="589"/>
      <c r="AO1346" s="589"/>
      <c r="AP1346" s="589"/>
      <c r="AQ1346" s="589"/>
      <c r="AR1346" s="589"/>
      <c r="AS1346" s="589"/>
    </row>
    <row r="1347" spans="1:45" ht="15">
      <c r="A1347" s="590" t="s">
        <v>156</v>
      </c>
      <c r="B1347" s="591" t="s">
        <v>156</v>
      </c>
      <c r="C1347" s="591" t="s">
        <v>819</v>
      </c>
      <c r="D1347" s="592">
        <v>2017</v>
      </c>
      <c r="E1347" s="591" t="s">
        <v>775</v>
      </c>
      <c r="F1347" s="592">
        <v>1352</v>
      </c>
      <c r="G1347" s="592">
        <v>6</v>
      </c>
      <c r="H1347" s="592">
        <v>0</v>
      </c>
      <c r="I1347" s="592">
        <v>6</v>
      </c>
      <c r="J1347" s="592">
        <v>1056</v>
      </c>
      <c r="K1347" s="592">
        <v>56</v>
      </c>
      <c r="L1347" s="592">
        <v>0</v>
      </c>
      <c r="M1347" s="592">
        <v>56</v>
      </c>
      <c r="N1347" s="593">
        <v>1091</v>
      </c>
      <c r="O1347" s="593">
        <v>88</v>
      </c>
      <c r="P1347" s="593">
        <v>2600</v>
      </c>
      <c r="Q1347" s="593">
        <v>0</v>
      </c>
      <c r="R1347" s="593">
        <v>6099</v>
      </c>
      <c r="S1347" s="593">
        <v>150</v>
      </c>
      <c r="T1347" s="593">
        <v>2017</v>
      </c>
      <c r="U1347" s="593">
        <v>2016</v>
      </c>
      <c r="V1347" s="589"/>
      <c r="W1347" s="589"/>
      <c r="X1347" s="589"/>
      <c r="Y1347" s="589"/>
      <c r="Z1347" s="589"/>
      <c r="AA1347" s="589"/>
      <c r="AB1347" s="589"/>
      <c r="AC1347" s="589"/>
      <c r="AD1347" s="589"/>
      <c r="AE1347" s="589"/>
      <c r="AF1347" s="589"/>
      <c r="AG1347" s="589"/>
      <c r="AH1347" s="589"/>
      <c r="AI1347" s="589"/>
      <c r="AJ1347" s="589"/>
      <c r="AK1347" s="589"/>
      <c r="AL1347" s="589"/>
      <c r="AM1347" s="589"/>
      <c r="AN1347" s="589"/>
      <c r="AO1347" s="589"/>
      <c r="AP1347" s="589"/>
      <c r="AQ1347" s="589"/>
      <c r="AR1347" s="589"/>
      <c r="AS1347" s="589"/>
    </row>
    <row r="1348" spans="1:45" ht="15">
      <c r="A1348" s="587" t="s">
        <v>156</v>
      </c>
      <c r="B1348" s="587" t="s">
        <v>435</v>
      </c>
      <c r="C1348" s="587" t="s">
        <v>819</v>
      </c>
      <c r="D1348" s="588">
        <v>2017</v>
      </c>
      <c r="E1348" s="587" t="s">
        <v>775</v>
      </c>
      <c r="F1348" s="588">
        <v>1285</v>
      </c>
      <c r="G1348" s="588">
        <v>0</v>
      </c>
      <c r="H1348" s="588">
        <v>0</v>
      </c>
      <c r="I1348" s="588">
        <v>0</v>
      </c>
      <c r="J1348" s="588">
        <v>984</v>
      </c>
      <c r="K1348" s="588">
        <v>11</v>
      </c>
      <c r="L1348" s="588">
        <v>0</v>
      </c>
      <c r="M1348" s="588">
        <v>11</v>
      </c>
      <c r="N1348" s="588">
        <v>1015</v>
      </c>
      <c r="O1348" s="588">
        <v>0</v>
      </c>
      <c r="P1348" s="588">
        <v>2398</v>
      </c>
      <c r="Q1348" s="588">
        <v>148</v>
      </c>
      <c r="R1348" s="588">
        <v>5682</v>
      </c>
      <c r="S1348" s="588">
        <v>159</v>
      </c>
      <c r="T1348" s="588">
        <v>2017</v>
      </c>
      <c r="U1348" s="588">
        <v>2016</v>
      </c>
      <c r="V1348" s="589"/>
      <c r="W1348" s="589"/>
      <c r="X1348" s="589"/>
      <c r="Y1348" s="589"/>
      <c r="Z1348" s="589"/>
      <c r="AA1348" s="589"/>
      <c r="AB1348" s="589"/>
      <c r="AC1348" s="589"/>
      <c r="AD1348" s="589"/>
      <c r="AE1348" s="589"/>
      <c r="AF1348" s="589"/>
      <c r="AG1348" s="589"/>
      <c r="AH1348" s="589"/>
      <c r="AI1348" s="589"/>
      <c r="AJ1348" s="589"/>
      <c r="AK1348" s="589"/>
      <c r="AL1348" s="589"/>
      <c r="AM1348" s="589"/>
      <c r="AN1348" s="589"/>
      <c r="AO1348" s="589"/>
      <c r="AP1348" s="589"/>
      <c r="AQ1348" s="589"/>
      <c r="AR1348" s="589"/>
      <c r="AS1348" s="589"/>
    </row>
    <row r="1349" spans="1:45" ht="15">
      <c r="A1349" s="590" t="s">
        <v>153</v>
      </c>
      <c r="B1349" s="591" t="s">
        <v>396</v>
      </c>
      <c r="C1349" s="591" t="s">
        <v>812</v>
      </c>
      <c r="D1349" s="592">
        <v>2017</v>
      </c>
      <c r="E1349" s="591" t="s">
        <v>775</v>
      </c>
      <c r="F1349" s="592">
        <v>1</v>
      </c>
      <c r="G1349" s="592">
        <v>0</v>
      </c>
      <c r="H1349" s="592">
        <v>0</v>
      </c>
      <c r="I1349" s="592">
        <v>0</v>
      </c>
      <c r="J1349" s="592">
        <v>1</v>
      </c>
      <c r="K1349" s="592">
        <v>0</v>
      </c>
      <c r="L1349" s="592">
        <v>0</v>
      </c>
      <c r="M1349" s="592">
        <v>0</v>
      </c>
      <c r="N1349" s="593">
        <v>0</v>
      </c>
      <c r="O1349" s="593">
        <v>0</v>
      </c>
      <c r="P1349" s="593">
        <v>0</v>
      </c>
      <c r="Q1349" s="593">
        <v>17</v>
      </c>
      <c r="R1349" s="593">
        <v>2</v>
      </c>
      <c r="S1349" s="593">
        <v>17</v>
      </c>
      <c r="T1349" s="593">
        <v>2017</v>
      </c>
      <c r="U1349" s="593">
        <v>2014</v>
      </c>
      <c r="V1349" s="589"/>
      <c r="W1349" s="589"/>
      <c r="X1349" s="589"/>
      <c r="Y1349" s="589"/>
      <c r="Z1349" s="589"/>
      <c r="AA1349" s="589"/>
      <c r="AB1349" s="589"/>
      <c r="AC1349" s="589"/>
      <c r="AD1349" s="589"/>
      <c r="AE1349" s="589"/>
      <c r="AF1349" s="589"/>
      <c r="AG1349" s="589"/>
      <c r="AH1349" s="589"/>
      <c r="AI1349" s="589"/>
      <c r="AJ1349" s="589"/>
      <c r="AK1349" s="589"/>
      <c r="AL1349" s="589"/>
      <c r="AM1349" s="589"/>
      <c r="AN1349" s="589"/>
      <c r="AO1349" s="589"/>
      <c r="AP1349" s="589"/>
      <c r="AQ1349" s="589"/>
      <c r="AR1349" s="589"/>
      <c r="AS1349" s="589"/>
    </row>
    <row r="1350" spans="1:45" ht="15">
      <c r="A1350" s="587" t="s">
        <v>163</v>
      </c>
      <c r="B1350" s="587" t="s">
        <v>462</v>
      </c>
      <c r="C1350" s="587" t="s">
        <v>784</v>
      </c>
      <c r="D1350" s="588">
        <v>2017</v>
      </c>
      <c r="E1350" s="587" t="s">
        <v>775</v>
      </c>
      <c r="F1350" s="588">
        <v>17</v>
      </c>
      <c r="G1350" s="588">
        <v>0</v>
      </c>
      <c r="H1350" s="588">
        <v>0</v>
      </c>
      <c r="I1350" s="588">
        <v>0</v>
      </c>
      <c r="J1350" s="588">
        <v>12</v>
      </c>
      <c r="K1350" s="588">
        <v>0</v>
      </c>
      <c r="L1350" s="588">
        <v>0</v>
      </c>
      <c r="M1350" s="588">
        <v>0</v>
      </c>
      <c r="N1350" s="588">
        <v>14</v>
      </c>
      <c r="O1350" s="588">
        <v>0</v>
      </c>
      <c r="P1350" s="588">
        <v>31</v>
      </c>
      <c r="Q1350" s="588">
        <v>14</v>
      </c>
      <c r="R1350" s="588">
        <v>74</v>
      </c>
      <c r="S1350" s="588">
        <v>14</v>
      </c>
      <c r="T1350" s="588">
        <v>2017</v>
      </c>
      <c r="U1350" s="588">
        <v>2014</v>
      </c>
      <c r="V1350" s="589"/>
      <c r="W1350" s="589"/>
      <c r="X1350" s="589"/>
      <c r="Y1350" s="589"/>
      <c r="Z1350" s="589"/>
      <c r="AA1350" s="589"/>
      <c r="AB1350" s="589"/>
      <c r="AC1350" s="589"/>
      <c r="AD1350" s="589"/>
      <c r="AE1350" s="589"/>
      <c r="AF1350" s="589"/>
      <c r="AG1350" s="589"/>
      <c r="AH1350" s="589"/>
      <c r="AI1350" s="589"/>
      <c r="AJ1350" s="589"/>
      <c r="AK1350" s="589"/>
      <c r="AL1350" s="589"/>
      <c r="AM1350" s="589"/>
      <c r="AN1350" s="589"/>
      <c r="AO1350" s="589"/>
      <c r="AP1350" s="589"/>
      <c r="AQ1350" s="589"/>
      <c r="AR1350" s="589"/>
      <c r="AS1350" s="589"/>
    </row>
    <row r="1351" spans="1:45" ht="15">
      <c r="A1351" s="590" t="s">
        <v>153</v>
      </c>
      <c r="B1351" s="591" t="s">
        <v>397</v>
      </c>
      <c r="C1351" s="591" t="s">
        <v>812</v>
      </c>
      <c r="D1351" s="592">
        <v>2017</v>
      </c>
      <c r="E1351" s="591" t="s">
        <v>775</v>
      </c>
      <c r="F1351" s="592">
        <v>10</v>
      </c>
      <c r="G1351" s="592">
        <v>0</v>
      </c>
      <c r="H1351" s="592">
        <v>0</v>
      </c>
      <c r="I1351" s="592">
        <v>0</v>
      </c>
      <c r="J1351" s="592">
        <v>6</v>
      </c>
      <c r="K1351" s="592">
        <v>0</v>
      </c>
      <c r="L1351" s="592">
        <v>0</v>
      </c>
      <c r="M1351" s="592">
        <v>0</v>
      </c>
      <c r="N1351" s="593">
        <v>7</v>
      </c>
      <c r="O1351" s="593">
        <v>0</v>
      </c>
      <c r="P1351" s="593">
        <v>15</v>
      </c>
      <c r="Q1351" s="593">
        <v>81</v>
      </c>
      <c r="R1351" s="593">
        <v>38</v>
      </c>
      <c r="S1351" s="593">
        <v>81</v>
      </c>
      <c r="T1351" s="593">
        <v>2017</v>
      </c>
      <c r="U1351" s="593">
        <v>2014</v>
      </c>
      <c r="V1351" s="589"/>
      <c r="W1351" s="589"/>
      <c r="X1351" s="589"/>
      <c r="Y1351" s="589"/>
      <c r="Z1351" s="589"/>
      <c r="AA1351" s="589"/>
      <c r="AB1351" s="589"/>
      <c r="AC1351" s="589"/>
      <c r="AD1351" s="589"/>
      <c r="AE1351" s="589"/>
      <c r="AF1351" s="589"/>
      <c r="AG1351" s="589"/>
      <c r="AH1351" s="589"/>
      <c r="AI1351" s="589"/>
      <c r="AJ1351" s="589"/>
      <c r="AK1351" s="589"/>
      <c r="AL1351" s="589"/>
      <c r="AM1351" s="589"/>
      <c r="AN1351" s="589"/>
      <c r="AO1351" s="589"/>
      <c r="AP1351" s="589"/>
      <c r="AQ1351" s="589"/>
      <c r="AR1351" s="589"/>
      <c r="AS1351" s="589"/>
    </row>
    <row r="1352" spans="1:45" ht="15">
      <c r="A1352" s="587" t="s">
        <v>157</v>
      </c>
      <c r="B1352" s="587" t="s">
        <v>440</v>
      </c>
      <c r="C1352" s="587" t="s">
        <v>774</v>
      </c>
      <c r="D1352" s="588">
        <v>2017</v>
      </c>
      <c r="E1352" s="587" t="s">
        <v>775</v>
      </c>
      <c r="F1352" s="588">
        <v>55</v>
      </c>
      <c r="G1352" s="588">
        <v>1</v>
      </c>
      <c r="H1352" s="588">
        <v>0</v>
      </c>
      <c r="I1352" s="588">
        <v>1</v>
      </c>
      <c r="J1352" s="588">
        <v>32</v>
      </c>
      <c r="K1352" s="588">
        <v>5</v>
      </c>
      <c r="L1352" s="588">
        <v>2</v>
      </c>
      <c r="M1352" s="588">
        <v>3</v>
      </c>
      <c r="N1352" s="588">
        <v>37</v>
      </c>
      <c r="O1352" s="588">
        <v>1</v>
      </c>
      <c r="P1352" s="588">
        <v>61</v>
      </c>
      <c r="Q1352" s="588">
        <v>26</v>
      </c>
      <c r="R1352" s="588">
        <v>185</v>
      </c>
      <c r="S1352" s="588">
        <v>33</v>
      </c>
      <c r="T1352" s="588">
        <v>2017</v>
      </c>
      <c r="U1352" s="588">
        <v>2015</v>
      </c>
      <c r="V1352" s="589"/>
      <c r="W1352" s="589"/>
      <c r="X1352" s="589"/>
      <c r="Y1352" s="589"/>
      <c r="Z1352" s="589"/>
      <c r="AA1352" s="589"/>
      <c r="AB1352" s="589"/>
      <c r="AC1352" s="589"/>
      <c r="AD1352" s="589"/>
      <c r="AE1352" s="589"/>
      <c r="AF1352" s="589"/>
      <c r="AG1352" s="589"/>
      <c r="AH1352" s="589"/>
      <c r="AI1352" s="589"/>
      <c r="AJ1352" s="589"/>
      <c r="AK1352" s="589"/>
      <c r="AL1352" s="589"/>
      <c r="AM1352" s="589"/>
      <c r="AN1352" s="589"/>
      <c r="AO1352" s="589"/>
      <c r="AP1352" s="589"/>
      <c r="AQ1352" s="589"/>
      <c r="AR1352" s="589"/>
      <c r="AS1352" s="589"/>
    </row>
    <row r="1353" spans="1:45" ht="15">
      <c r="A1353" s="590" t="s">
        <v>164</v>
      </c>
      <c r="B1353" s="591" t="s">
        <v>469</v>
      </c>
      <c r="C1353" s="591" t="s">
        <v>177</v>
      </c>
      <c r="D1353" s="592">
        <v>2017</v>
      </c>
      <c r="E1353" s="591" t="s">
        <v>775</v>
      </c>
      <c r="F1353" s="592">
        <v>315</v>
      </c>
      <c r="G1353" s="592">
        <v>42</v>
      </c>
      <c r="H1353" s="592">
        <v>1</v>
      </c>
      <c r="I1353" s="592">
        <v>41</v>
      </c>
      <c r="J1353" s="592">
        <v>206</v>
      </c>
      <c r="K1353" s="592">
        <v>6</v>
      </c>
      <c r="L1353" s="592">
        <v>1</v>
      </c>
      <c r="M1353" s="592">
        <v>5</v>
      </c>
      <c r="N1353" s="593">
        <v>239</v>
      </c>
      <c r="O1353" s="593">
        <v>147</v>
      </c>
      <c r="P1353" s="593">
        <v>548</v>
      </c>
      <c r="Q1353" s="593">
        <v>22</v>
      </c>
      <c r="R1353" s="593">
        <v>1308</v>
      </c>
      <c r="S1353" s="593">
        <v>217</v>
      </c>
      <c r="T1353" s="593">
        <v>2017</v>
      </c>
      <c r="U1353" s="593">
        <v>2016</v>
      </c>
      <c r="V1353" s="589"/>
      <c r="W1353" s="589"/>
      <c r="X1353" s="589"/>
      <c r="Y1353" s="589"/>
      <c r="Z1353" s="589"/>
      <c r="AA1353" s="589"/>
      <c r="AB1353" s="589"/>
      <c r="AC1353" s="589"/>
      <c r="AD1353" s="589"/>
      <c r="AE1353" s="589"/>
      <c r="AF1353" s="589"/>
      <c r="AG1353" s="589"/>
      <c r="AH1353" s="589"/>
      <c r="AI1353" s="589"/>
      <c r="AJ1353" s="589"/>
      <c r="AK1353" s="589"/>
      <c r="AL1353" s="589"/>
      <c r="AM1353" s="589"/>
      <c r="AN1353" s="589"/>
      <c r="AO1353" s="589"/>
      <c r="AP1353" s="589"/>
      <c r="AQ1353" s="589"/>
      <c r="AR1353" s="589"/>
      <c r="AS1353" s="589"/>
    </row>
    <row r="1354" spans="1:45" ht="15">
      <c r="A1354" s="587" t="s">
        <v>158</v>
      </c>
      <c r="B1354" s="587" t="s">
        <v>448</v>
      </c>
      <c r="C1354" s="587" t="s">
        <v>784</v>
      </c>
      <c r="D1354" s="588">
        <v>2017</v>
      </c>
      <c r="E1354" s="587" t="s">
        <v>775</v>
      </c>
      <c r="F1354" s="588">
        <v>265</v>
      </c>
      <c r="G1354" s="588">
        <v>0</v>
      </c>
      <c r="H1354" s="588">
        <v>0</v>
      </c>
      <c r="I1354" s="588">
        <v>0</v>
      </c>
      <c r="J1354" s="588">
        <v>130</v>
      </c>
      <c r="K1354" s="588">
        <v>0</v>
      </c>
      <c r="L1354" s="588">
        <v>0</v>
      </c>
      <c r="M1354" s="588">
        <v>0</v>
      </c>
      <c r="N1354" s="588">
        <v>180</v>
      </c>
      <c r="O1354" s="588">
        <v>28</v>
      </c>
      <c r="P1354" s="588">
        <v>420</v>
      </c>
      <c r="Q1354" s="588">
        <v>9</v>
      </c>
      <c r="R1354" s="588">
        <v>995</v>
      </c>
      <c r="S1354" s="588">
        <v>37</v>
      </c>
      <c r="T1354" s="588">
        <v>2017</v>
      </c>
      <c r="U1354" s="588">
        <v>2014</v>
      </c>
      <c r="V1354" s="589"/>
      <c r="W1354" s="589"/>
      <c r="X1354" s="589"/>
      <c r="Y1354" s="589"/>
      <c r="Z1354" s="589"/>
      <c r="AA1354" s="589"/>
      <c r="AB1354" s="589"/>
      <c r="AC1354" s="589"/>
      <c r="AD1354" s="589"/>
      <c r="AE1354" s="589"/>
      <c r="AF1354" s="589"/>
      <c r="AG1354" s="589"/>
      <c r="AH1354" s="589"/>
      <c r="AI1354" s="589"/>
      <c r="AJ1354" s="589"/>
      <c r="AK1354" s="589"/>
      <c r="AL1354" s="589"/>
      <c r="AM1354" s="589"/>
      <c r="AN1354" s="589"/>
      <c r="AO1354" s="589"/>
      <c r="AP1354" s="589"/>
      <c r="AQ1354" s="589"/>
      <c r="AR1354" s="589"/>
      <c r="AS1354" s="589"/>
    </row>
    <row r="1355" spans="1:45" ht="15">
      <c r="A1355" s="590" t="s">
        <v>136</v>
      </c>
      <c r="B1355" s="591" t="s">
        <v>274</v>
      </c>
      <c r="C1355" s="591" t="s">
        <v>774</v>
      </c>
      <c r="D1355" s="592">
        <v>2017</v>
      </c>
      <c r="E1355" s="591" t="s">
        <v>775</v>
      </c>
      <c r="F1355" s="592">
        <v>124</v>
      </c>
      <c r="G1355" s="592">
        <v>0</v>
      </c>
      <c r="H1355" s="592">
        <v>0</v>
      </c>
      <c r="I1355" s="592">
        <v>0</v>
      </c>
      <c r="J1355" s="592">
        <v>72</v>
      </c>
      <c r="K1355" s="592">
        <v>0</v>
      </c>
      <c r="L1355" s="592">
        <v>0</v>
      </c>
      <c r="M1355" s="592">
        <v>0</v>
      </c>
      <c r="N1355" s="593">
        <v>78</v>
      </c>
      <c r="O1355" s="593">
        <v>0</v>
      </c>
      <c r="P1355" s="593">
        <v>195</v>
      </c>
      <c r="Q1355" s="593">
        <v>4</v>
      </c>
      <c r="R1355" s="593">
        <v>469</v>
      </c>
      <c r="S1355" s="593">
        <v>4</v>
      </c>
      <c r="T1355" s="593">
        <v>2017</v>
      </c>
      <c r="U1355" s="593">
        <v>2015</v>
      </c>
      <c r="V1355" s="589"/>
      <c r="W1355" s="589"/>
      <c r="X1355" s="589"/>
      <c r="Y1355" s="589"/>
      <c r="Z1355" s="589"/>
      <c r="AA1355" s="589"/>
      <c r="AB1355" s="589"/>
      <c r="AC1355" s="589"/>
      <c r="AD1355" s="589"/>
      <c r="AE1355" s="589"/>
      <c r="AF1355" s="589"/>
      <c r="AG1355" s="589"/>
      <c r="AH1355" s="589"/>
      <c r="AI1355" s="589"/>
      <c r="AJ1355" s="589"/>
      <c r="AK1355" s="589"/>
      <c r="AL1355" s="589"/>
      <c r="AM1355" s="589"/>
      <c r="AN1355" s="589"/>
      <c r="AO1355" s="589"/>
      <c r="AP1355" s="589"/>
      <c r="AQ1355" s="589"/>
      <c r="AR1355" s="589"/>
      <c r="AS1355" s="589"/>
    </row>
    <row r="1356" spans="1:45" ht="15">
      <c r="A1356" s="587" t="s">
        <v>204</v>
      </c>
      <c r="B1356" s="587" t="s">
        <v>746</v>
      </c>
      <c r="C1356" s="587" t="s">
        <v>799</v>
      </c>
      <c r="D1356" s="588">
        <v>2017</v>
      </c>
      <c r="E1356" s="587" t="s">
        <v>775</v>
      </c>
      <c r="F1356" s="588">
        <v>12</v>
      </c>
      <c r="G1356" s="588">
        <v>0</v>
      </c>
      <c r="H1356" s="588">
        <v>0</v>
      </c>
      <c r="I1356" s="588">
        <v>0</v>
      </c>
      <c r="J1356" s="588">
        <v>8</v>
      </c>
      <c r="K1356" s="588">
        <v>0</v>
      </c>
      <c r="L1356" s="588">
        <v>0</v>
      </c>
      <c r="M1356" s="588">
        <v>0</v>
      </c>
      <c r="N1356" s="588">
        <v>13</v>
      </c>
      <c r="O1356" s="588">
        <v>0</v>
      </c>
      <c r="P1356" s="588">
        <v>39</v>
      </c>
      <c r="Q1356" s="588">
        <v>1</v>
      </c>
      <c r="R1356" s="588">
        <v>72</v>
      </c>
      <c r="S1356" s="588">
        <v>1</v>
      </c>
      <c r="T1356" s="588">
        <v>2017</v>
      </c>
      <c r="U1356" s="588">
        <v>2014</v>
      </c>
      <c r="V1356" s="589"/>
      <c r="W1356" s="589"/>
      <c r="X1356" s="589"/>
      <c r="Y1356" s="589"/>
      <c r="Z1356" s="589"/>
      <c r="AA1356" s="589"/>
      <c r="AB1356" s="589"/>
      <c r="AC1356" s="589"/>
      <c r="AD1356" s="589"/>
      <c r="AE1356" s="589"/>
      <c r="AF1356" s="589"/>
      <c r="AG1356" s="589"/>
      <c r="AH1356" s="589"/>
      <c r="AI1356" s="589"/>
      <c r="AJ1356" s="589"/>
      <c r="AK1356" s="589"/>
      <c r="AL1356" s="589"/>
      <c r="AM1356" s="589"/>
      <c r="AN1356" s="589"/>
      <c r="AO1356" s="589"/>
      <c r="AP1356" s="589"/>
      <c r="AQ1356" s="589"/>
      <c r="AR1356" s="589"/>
      <c r="AS1356" s="589"/>
    </row>
    <row r="1357" spans="1:45" ht="15">
      <c r="A1357" s="590" t="s">
        <v>148</v>
      </c>
      <c r="B1357" s="591" t="s">
        <v>330</v>
      </c>
      <c r="C1357" s="591" t="s">
        <v>177</v>
      </c>
      <c r="D1357" s="592">
        <v>2017</v>
      </c>
      <c r="E1357" s="591" t="s">
        <v>775</v>
      </c>
      <c r="F1357" s="592">
        <v>93</v>
      </c>
      <c r="G1357" s="592">
        <v>0</v>
      </c>
      <c r="H1357" s="592">
        <v>0</v>
      </c>
      <c r="I1357" s="592">
        <v>0</v>
      </c>
      <c r="J1357" s="592">
        <v>73</v>
      </c>
      <c r="K1357" s="592">
        <v>0</v>
      </c>
      <c r="L1357" s="592">
        <v>0</v>
      </c>
      <c r="M1357" s="592">
        <v>0</v>
      </c>
      <c r="N1357" s="593">
        <v>66</v>
      </c>
      <c r="O1357" s="593">
        <v>25</v>
      </c>
      <c r="P1357" s="593">
        <v>79</v>
      </c>
      <c r="Q1357" s="593">
        <v>0</v>
      </c>
      <c r="R1357" s="593">
        <v>311</v>
      </c>
      <c r="S1357" s="593">
        <v>25</v>
      </c>
      <c r="T1357" s="593">
        <v>2017</v>
      </c>
      <c r="U1357" s="593">
        <v>2016</v>
      </c>
      <c r="V1357" s="589"/>
      <c r="W1357" s="589"/>
      <c r="X1357" s="589"/>
      <c r="Y1357" s="589"/>
      <c r="Z1357" s="589"/>
      <c r="AA1357" s="589"/>
      <c r="AB1357" s="589"/>
      <c r="AC1357" s="589"/>
      <c r="AD1357" s="589"/>
      <c r="AE1357" s="589"/>
      <c r="AF1357" s="589"/>
      <c r="AG1357" s="589"/>
      <c r="AH1357" s="589"/>
      <c r="AI1357" s="589"/>
      <c r="AJ1357" s="589"/>
      <c r="AK1357" s="589"/>
      <c r="AL1357" s="589"/>
      <c r="AM1357" s="589"/>
      <c r="AN1357" s="589"/>
      <c r="AO1357" s="589"/>
      <c r="AP1357" s="589"/>
      <c r="AQ1357" s="589"/>
      <c r="AR1357" s="589"/>
      <c r="AS1357" s="589"/>
    </row>
    <row r="1358" spans="1:45" ht="15">
      <c r="A1358" s="587" t="s">
        <v>159</v>
      </c>
      <c r="B1358" s="587" t="s">
        <v>450</v>
      </c>
      <c r="C1358" s="587" t="s">
        <v>784</v>
      </c>
      <c r="D1358" s="588">
        <v>2017</v>
      </c>
      <c r="E1358" s="587" t="s">
        <v>775</v>
      </c>
      <c r="F1358" s="588">
        <v>40</v>
      </c>
      <c r="G1358" s="588">
        <v>0</v>
      </c>
      <c r="H1358" s="588">
        <v>0</v>
      </c>
      <c r="I1358" s="588">
        <v>0</v>
      </c>
      <c r="J1358" s="588">
        <v>27</v>
      </c>
      <c r="K1358" s="588">
        <v>8</v>
      </c>
      <c r="L1358" s="588">
        <v>8</v>
      </c>
      <c r="M1358" s="588">
        <v>0</v>
      </c>
      <c r="N1358" s="588">
        <v>27</v>
      </c>
      <c r="O1358" s="588">
        <v>36</v>
      </c>
      <c r="P1358" s="588">
        <v>74</v>
      </c>
      <c r="Q1358" s="588">
        <v>65</v>
      </c>
      <c r="R1358" s="588">
        <v>168</v>
      </c>
      <c r="S1358" s="588">
        <v>109</v>
      </c>
      <c r="T1358" s="588">
        <v>2017</v>
      </c>
      <c r="U1358" s="588">
        <v>2014</v>
      </c>
      <c r="V1358" s="589"/>
      <c r="W1358" s="589"/>
      <c r="X1358" s="589"/>
      <c r="Y1358" s="589"/>
      <c r="Z1358" s="589"/>
      <c r="AA1358" s="589"/>
      <c r="AB1358" s="589"/>
      <c r="AC1358" s="589"/>
      <c r="AD1358" s="589"/>
      <c r="AE1358" s="589"/>
      <c r="AF1358" s="589"/>
      <c r="AG1358" s="589"/>
      <c r="AH1358" s="589"/>
      <c r="AI1358" s="589"/>
      <c r="AJ1358" s="589"/>
      <c r="AK1358" s="589"/>
      <c r="AL1358" s="589"/>
      <c r="AM1358" s="589"/>
      <c r="AN1358" s="589"/>
      <c r="AO1358" s="589"/>
      <c r="AP1358" s="589"/>
      <c r="AQ1358" s="589"/>
      <c r="AR1358" s="589"/>
      <c r="AS1358" s="589"/>
    </row>
    <row r="1359" spans="1:45" ht="15">
      <c r="A1359" s="590" t="s">
        <v>141</v>
      </c>
      <c r="B1359" s="591" t="s">
        <v>298</v>
      </c>
      <c r="C1359" s="591" t="s">
        <v>177</v>
      </c>
      <c r="D1359" s="592">
        <v>2017</v>
      </c>
      <c r="E1359" s="591" t="s">
        <v>775</v>
      </c>
      <c r="F1359" s="592">
        <v>80</v>
      </c>
      <c r="G1359" s="592">
        <v>0</v>
      </c>
      <c r="H1359" s="592">
        <v>0</v>
      </c>
      <c r="I1359" s="592">
        <v>0</v>
      </c>
      <c r="J1359" s="592">
        <v>56</v>
      </c>
      <c r="K1359" s="592">
        <v>0</v>
      </c>
      <c r="L1359" s="592">
        <v>0</v>
      </c>
      <c r="M1359" s="592">
        <v>0</v>
      </c>
      <c r="N1359" s="593">
        <v>77</v>
      </c>
      <c r="O1359" s="593">
        <v>61</v>
      </c>
      <c r="P1359" s="593">
        <v>341</v>
      </c>
      <c r="Q1359" s="593">
        <v>5</v>
      </c>
      <c r="R1359" s="593">
        <v>554</v>
      </c>
      <c r="S1359" s="593">
        <v>66</v>
      </c>
      <c r="T1359" s="593">
        <v>2017</v>
      </c>
      <c r="U1359" s="593">
        <v>2016</v>
      </c>
      <c r="V1359" s="589"/>
      <c r="W1359" s="589"/>
      <c r="X1359" s="589"/>
      <c r="Y1359" s="589"/>
      <c r="Z1359" s="589"/>
      <c r="AA1359" s="589"/>
      <c r="AB1359" s="589"/>
      <c r="AC1359" s="589"/>
      <c r="AD1359" s="589"/>
      <c r="AE1359" s="589"/>
      <c r="AF1359" s="589"/>
      <c r="AG1359" s="589"/>
      <c r="AH1359" s="589"/>
      <c r="AI1359" s="589"/>
      <c r="AJ1359" s="589"/>
      <c r="AK1359" s="589"/>
      <c r="AL1359" s="589"/>
      <c r="AM1359" s="589"/>
      <c r="AN1359" s="589"/>
      <c r="AO1359" s="589"/>
      <c r="AP1359" s="589"/>
      <c r="AQ1359" s="589"/>
      <c r="AR1359" s="589"/>
      <c r="AS1359" s="589"/>
    </row>
    <row r="1360" spans="1:45" ht="15">
      <c r="A1360" s="587" t="s">
        <v>173</v>
      </c>
      <c r="B1360" s="587" t="s">
        <v>544</v>
      </c>
      <c r="C1360" s="587" t="s">
        <v>812</v>
      </c>
      <c r="D1360" s="588">
        <v>2017</v>
      </c>
      <c r="E1360" s="587" t="s">
        <v>775</v>
      </c>
      <c r="F1360" s="588">
        <v>1488</v>
      </c>
      <c r="G1360" s="588">
        <v>3</v>
      </c>
      <c r="H1360" s="588">
        <v>0</v>
      </c>
      <c r="I1360" s="588">
        <v>3</v>
      </c>
      <c r="J1360" s="588">
        <v>1007</v>
      </c>
      <c r="K1360" s="588">
        <v>9</v>
      </c>
      <c r="L1360" s="588">
        <v>0</v>
      </c>
      <c r="M1360" s="588">
        <v>9</v>
      </c>
      <c r="N1360" s="588">
        <v>1140</v>
      </c>
      <c r="O1360" s="588">
        <v>168</v>
      </c>
      <c r="P1360" s="588">
        <v>2610</v>
      </c>
      <c r="Q1360" s="588">
        <v>514</v>
      </c>
      <c r="R1360" s="588">
        <v>6245</v>
      </c>
      <c r="S1360" s="588">
        <v>694</v>
      </c>
      <c r="T1360" s="588">
        <v>2017</v>
      </c>
      <c r="U1360" s="588">
        <v>2014</v>
      </c>
      <c r="V1360" s="589"/>
      <c r="W1360" s="589"/>
      <c r="X1360" s="589"/>
      <c r="Y1360" s="589"/>
      <c r="Z1360" s="589"/>
      <c r="AA1360" s="589"/>
      <c r="AB1360" s="589"/>
      <c r="AC1360" s="589"/>
      <c r="AD1360" s="589"/>
      <c r="AE1360" s="589"/>
      <c r="AF1360" s="589"/>
      <c r="AG1360" s="589"/>
      <c r="AH1360" s="589"/>
      <c r="AI1360" s="589"/>
      <c r="AJ1360" s="589"/>
      <c r="AK1360" s="589"/>
      <c r="AL1360" s="589"/>
      <c r="AM1360" s="589"/>
      <c r="AN1360" s="589"/>
      <c r="AO1360" s="589"/>
      <c r="AP1360" s="589"/>
      <c r="AQ1360" s="589"/>
      <c r="AR1360" s="589"/>
      <c r="AS1360" s="589"/>
    </row>
    <row r="1361" spans="1:45" ht="15">
      <c r="A1361" s="590" t="s">
        <v>184</v>
      </c>
      <c r="B1361" s="591" t="s">
        <v>633</v>
      </c>
      <c r="C1361" s="591" t="s">
        <v>774</v>
      </c>
      <c r="D1361" s="592">
        <v>2017</v>
      </c>
      <c r="E1361" s="591" t="s">
        <v>775</v>
      </c>
      <c r="F1361" s="592">
        <v>233</v>
      </c>
      <c r="G1361" s="592">
        <v>8</v>
      </c>
      <c r="H1361" s="592">
        <v>0</v>
      </c>
      <c r="I1361" s="592">
        <v>8</v>
      </c>
      <c r="J1361" s="592">
        <v>129</v>
      </c>
      <c r="K1361" s="592">
        <v>6</v>
      </c>
      <c r="L1361" s="592">
        <v>2</v>
      </c>
      <c r="M1361" s="592">
        <v>4</v>
      </c>
      <c r="N1361" s="593">
        <v>143</v>
      </c>
      <c r="O1361" s="593">
        <v>1</v>
      </c>
      <c r="P1361" s="593">
        <v>150</v>
      </c>
      <c r="Q1361" s="593">
        <v>20</v>
      </c>
      <c r="R1361" s="593">
        <v>655</v>
      </c>
      <c r="S1361" s="593">
        <v>35</v>
      </c>
      <c r="T1361" s="593">
        <v>2017</v>
      </c>
      <c r="U1361" s="593">
        <v>2015</v>
      </c>
      <c r="V1361" s="589"/>
      <c r="W1361" s="589"/>
      <c r="X1361" s="589"/>
      <c r="Y1361" s="589"/>
      <c r="Z1361" s="589"/>
      <c r="AA1361" s="589"/>
      <c r="AB1361" s="589"/>
      <c r="AC1361" s="589"/>
      <c r="AD1361" s="589"/>
      <c r="AE1361" s="589"/>
      <c r="AF1361" s="589"/>
      <c r="AG1361" s="589"/>
      <c r="AH1361" s="589"/>
      <c r="AI1361" s="589"/>
      <c r="AJ1361" s="589"/>
      <c r="AK1361" s="589"/>
      <c r="AL1361" s="589"/>
      <c r="AM1361" s="589"/>
      <c r="AN1361" s="589"/>
      <c r="AO1361" s="589"/>
      <c r="AP1361" s="589"/>
      <c r="AQ1361" s="589"/>
      <c r="AR1361" s="589"/>
      <c r="AS1361" s="589"/>
    </row>
    <row r="1362" spans="1:45" ht="15">
      <c r="A1362" s="587" t="s">
        <v>160</v>
      </c>
      <c r="B1362" s="587" t="s">
        <v>160</v>
      </c>
      <c r="C1362" s="587" t="s">
        <v>828</v>
      </c>
      <c r="D1362" s="588">
        <v>2017</v>
      </c>
      <c r="E1362" s="587" t="s">
        <v>775</v>
      </c>
      <c r="F1362" s="588">
        <v>1351</v>
      </c>
      <c r="G1362" s="588">
        <v>0</v>
      </c>
      <c r="H1362" s="588">
        <v>0</v>
      </c>
      <c r="I1362" s="588">
        <v>0</v>
      </c>
      <c r="J1362" s="588">
        <v>966</v>
      </c>
      <c r="K1362" s="588">
        <v>0</v>
      </c>
      <c r="L1362" s="588">
        <v>0</v>
      </c>
      <c r="M1362" s="588">
        <v>0</v>
      </c>
      <c r="N1362" s="588">
        <v>886</v>
      </c>
      <c r="O1362" s="588">
        <v>145</v>
      </c>
      <c r="P1362" s="588">
        <v>2348</v>
      </c>
      <c r="Q1362" s="588">
        <v>82</v>
      </c>
      <c r="R1362" s="588">
        <v>5551</v>
      </c>
      <c r="S1362" s="588">
        <v>227</v>
      </c>
      <c r="T1362" s="588">
        <v>2017</v>
      </c>
      <c r="U1362" s="588">
        <v>2016</v>
      </c>
      <c r="V1362" s="589"/>
      <c r="W1362" s="589"/>
      <c r="X1362" s="589"/>
      <c r="Y1362" s="589"/>
      <c r="Z1362" s="589"/>
      <c r="AA1362" s="589"/>
      <c r="AB1362" s="589"/>
      <c r="AC1362" s="589"/>
      <c r="AD1362" s="589"/>
      <c r="AE1362" s="589"/>
      <c r="AF1362" s="589"/>
      <c r="AG1362" s="589"/>
      <c r="AH1362" s="589"/>
      <c r="AI1362" s="589"/>
      <c r="AJ1362" s="589"/>
      <c r="AK1362" s="589"/>
      <c r="AL1362" s="589"/>
      <c r="AM1362" s="589"/>
      <c r="AN1362" s="589"/>
      <c r="AO1362" s="589"/>
      <c r="AP1362" s="589"/>
      <c r="AQ1362" s="589"/>
      <c r="AR1362" s="589"/>
      <c r="AS1362" s="589"/>
    </row>
    <row r="1363" spans="1:45" ht="15">
      <c r="A1363" s="590" t="s">
        <v>160</v>
      </c>
      <c r="B1363" s="591" t="s">
        <v>459</v>
      </c>
      <c r="C1363" s="591" t="s">
        <v>828</v>
      </c>
      <c r="D1363" s="592">
        <v>2017</v>
      </c>
      <c r="E1363" s="591" t="s">
        <v>775</v>
      </c>
      <c r="F1363" s="592">
        <v>1085</v>
      </c>
      <c r="G1363" s="592">
        <v>0</v>
      </c>
      <c r="H1363" s="592">
        <v>0</v>
      </c>
      <c r="I1363" s="592">
        <v>0</v>
      </c>
      <c r="J1363" s="592">
        <v>775</v>
      </c>
      <c r="K1363" s="592">
        <v>0</v>
      </c>
      <c r="L1363" s="592">
        <v>0</v>
      </c>
      <c r="M1363" s="592">
        <v>0</v>
      </c>
      <c r="N1363" s="593">
        <v>711</v>
      </c>
      <c r="O1363" s="593">
        <v>52</v>
      </c>
      <c r="P1363" s="593">
        <v>1885</v>
      </c>
      <c r="Q1363" s="593">
        <v>118</v>
      </c>
      <c r="R1363" s="593">
        <v>4456</v>
      </c>
      <c r="S1363" s="593">
        <v>170</v>
      </c>
      <c r="T1363" s="593">
        <v>2017</v>
      </c>
      <c r="U1363" s="593">
        <v>2016</v>
      </c>
      <c r="V1363" s="589"/>
      <c r="W1363" s="589"/>
      <c r="X1363" s="589"/>
      <c r="Y1363" s="589"/>
      <c r="Z1363" s="589"/>
      <c r="AA1363" s="589"/>
      <c r="AB1363" s="589"/>
      <c r="AC1363" s="589"/>
      <c r="AD1363" s="589"/>
      <c r="AE1363" s="589"/>
      <c r="AF1363" s="589"/>
      <c r="AG1363" s="589"/>
      <c r="AH1363" s="589"/>
      <c r="AI1363" s="589"/>
      <c r="AJ1363" s="589"/>
      <c r="AK1363" s="589"/>
      <c r="AL1363" s="589"/>
      <c r="AM1363" s="589"/>
      <c r="AN1363" s="589"/>
      <c r="AO1363" s="589"/>
      <c r="AP1363" s="589"/>
      <c r="AQ1363" s="589"/>
      <c r="AR1363" s="589"/>
      <c r="AS1363" s="589"/>
    </row>
    <row r="1364" spans="1:45" ht="15">
      <c r="A1364" s="587" t="s">
        <v>157</v>
      </c>
      <c r="B1364" s="587" t="s">
        <v>441</v>
      </c>
      <c r="C1364" s="587" t="s">
        <v>774</v>
      </c>
      <c r="D1364" s="588">
        <v>2017</v>
      </c>
      <c r="E1364" s="587" t="s">
        <v>775</v>
      </c>
      <c r="F1364" s="588">
        <v>41</v>
      </c>
      <c r="G1364" s="588">
        <v>6</v>
      </c>
      <c r="H1364" s="588">
        <v>0</v>
      </c>
      <c r="I1364" s="588">
        <v>6</v>
      </c>
      <c r="J1364" s="588">
        <v>24</v>
      </c>
      <c r="K1364" s="588">
        <v>5</v>
      </c>
      <c r="L1364" s="588">
        <v>0</v>
      </c>
      <c r="M1364" s="588">
        <v>5</v>
      </c>
      <c r="N1364" s="588">
        <v>26</v>
      </c>
      <c r="O1364" s="588">
        <v>5</v>
      </c>
      <c r="P1364" s="588">
        <v>38</v>
      </c>
      <c r="Q1364" s="588">
        <v>4</v>
      </c>
      <c r="R1364" s="588">
        <v>129</v>
      </c>
      <c r="S1364" s="588">
        <v>20</v>
      </c>
      <c r="T1364" s="588">
        <v>2017</v>
      </c>
      <c r="U1364" s="588">
        <v>2015</v>
      </c>
      <c r="V1364" s="589"/>
      <c r="W1364" s="589"/>
      <c r="X1364" s="589"/>
      <c r="Y1364" s="589"/>
      <c r="Z1364" s="589"/>
      <c r="AA1364" s="589"/>
      <c r="AB1364" s="589"/>
      <c r="AC1364" s="589"/>
      <c r="AD1364" s="589"/>
      <c r="AE1364" s="589"/>
      <c r="AF1364" s="589"/>
      <c r="AG1364" s="589"/>
      <c r="AH1364" s="589"/>
      <c r="AI1364" s="589"/>
      <c r="AJ1364" s="589"/>
      <c r="AK1364" s="589"/>
      <c r="AL1364" s="589"/>
      <c r="AM1364" s="589"/>
      <c r="AN1364" s="589"/>
      <c r="AO1364" s="589"/>
      <c r="AP1364" s="589"/>
      <c r="AQ1364" s="589"/>
      <c r="AR1364" s="589"/>
      <c r="AS1364" s="589"/>
    </row>
    <row r="1365" spans="1:45" ht="15">
      <c r="A1365" s="590" t="s">
        <v>184</v>
      </c>
      <c r="B1365" s="591" t="s">
        <v>634</v>
      </c>
      <c r="C1365" s="591" t="s">
        <v>774</v>
      </c>
      <c r="D1365" s="592">
        <v>2017</v>
      </c>
      <c r="E1365" s="591" t="s">
        <v>775</v>
      </c>
      <c r="F1365" s="592">
        <v>193</v>
      </c>
      <c r="G1365" s="592">
        <v>0</v>
      </c>
      <c r="H1365" s="592">
        <v>0</v>
      </c>
      <c r="I1365" s="592">
        <v>0</v>
      </c>
      <c r="J1365" s="592">
        <v>101</v>
      </c>
      <c r="K1365" s="592">
        <v>0</v>
      </c>
      <c r="L1365" s="592">
        <v>0</v>
      </c>
      <c r="M1365" s="592">
        <v>0</v>
      </c>
      <c r="N1365" s="593">
        <v>112</v>
      </c>
      <c r="O1365" s="593">
        <v>0</v>
      </c>
      <c r="P1365" s="593">
        <v>257</v>
      </c>
      <c r="Q1365" s="593">
        <v>3</v>
      </c>
      <c r="R1365" s="593">
        <v>663</v>
      </c>
      <c r="S1365" s="593">
        <v>3</v>
      </c>
      <c r="T1365" s="593">
        <v>2017</v>
      </c>
      <c r="U1365" s="593">
        <v>2015</v>
      </c>
      <c r="V1365" s="589"/>
      <c r="W1365" s="589"/>
      <c r="X1365" s="589"/>
      <c r="Y1365" s="589"/>
      <c r="Z1365" s="589"/>
      <c r="AA1365" s="589"/>
      <c r="AB1365" s="589"/>
      <c r="AC1365" s="589"/>
      <c r="AD1365" s="589"/>
      <c r="AE1365" s="589"/>
      <c r="AF1365" s="589"/>
      <c r="AG1365" s="589"/>
      <c r="AH1365" s="589"/>
      <c r="AI1365" s="589"/>
      <c r="AJ1365" s="589"/>
      <c r="AK1365" s="589"/>
      <c r="AL1365" s="589"/>
      <c r="AM1365" s="589"/>
      <c r="AN1365" s="589"/>
      <c r="AO1365" s="589"/>
      <c r="AP1365" s="589"/>
      <c r="AQ1365" s="589"/>
      <c r="AR1365" s="589"/>
      <c r="AS1365" s="589"/>
    </row>
    <row r="1366" spans="1:45" ht="15">
      <c r="A1366" s="587" t="s">
        <v>187</v>
      </c>
      <c r="B1366" s="587" t="s">
        <v>657</v>
      </c>
      <c r="C1366" s="587" t="s">
        <v>774</v>
      </c>
      <c r="D1366" s="588">
        <v>2017</v>
      </c>
      <c r="E1366" s="587" t="s">
        <v>775</v>
      </c>
      <c r="F1366" s="588">
        <v>1004</v>
      </c>
      <c r="G1366" s="588">
        <v>0</v>
      </c>
      <c r="H1366" s="588">
        <v>0</v>
      </c>
      <c r="I1366" s="588">
        <v>0</v>
      </c>
      <c r="J1366" s="588">
        <v>570</v>
      </c>
      <c r="K1366" s="588">
        <v>0</v>
      </c>
      <c r="L1366" s="588">
        <v>0</v>
      </c>
      <c r="M1366" s="588">
        <v>0</v>
      </c>
      <c r="N1366" s="588">
        <v>565</v>
      </c>
      <c r="O1366" s="588">
        <v>0</v>
      </c>
      <c r="P1366" s="588">
        <v>1151</v>
      </c>
      <c r="Q1366" s="588">
        <v>111</v>
      </c>
      <c r="R1366" s="588">
        <v>3290</v>
      </c>
      <c r="S1366" s="588">
        <v>111</v>
      </c>
      <c r="T1366" s="588">
        <v>2017</v>
      </c>
      <c r="U1366" s="588">
        <v>2015</v>
      </c>
      <c r="V1366" s="589"/>
      <c r="W1366" s="589"/>
      <c r="X1366" s="589"/>
      <c r="Y1366" s="589"/>
      <c r="Z1366" s="589"/>
      <c r="AA1366" s="589"/>
      <c r="AB1366" s="589"/>
      <c r="AC1366" s="589"/>
      <c r="AD1366" s="589"/>
      <c r="AE1366" s="589"/>
      <c r="AF1366" s="589"/>
      <c r="AG1366" s="589"/>
      <c r="AH1366" s="589"/>
      <c r="AI1366" s="589"/>
      <c r="AJ1366" s="589"/>
      <c r="AK1366" s="589"/>
      <c r="AL1366" s="589"/>
      <c r="AM1366" s="589"/>
      <c r="AN1366" s="589"/>
      <c r="AO1366" s="589"/>
      <c r="AP1366" s="589"/>
      <c r="AQ1366" s="589"/>
      <c r="AR1366" s="589"/>
      <c r="AS1366" s="589"/>
    </row>
    <row r="1367" spans="1:45" ht="15">
      <c r="A1367" s="590" t="s">
        <v>169</v>
      </c>
      <c r="B1367" s="591" t="s">
        <v>505</v>
      </c>
      <c r="C1367" s="591" t="s">
        <v>812</v>
      </c>
      <c r="D1367" s="592">
        <v>2017</v>
      </c>
      <c r="E1367" s="591" t="s">
        <v>775</v>
      </c>
      <c r="F1367" s="592">
        <v>42</v>
      </c>
      <c r="G1367" s="592">
        <v>0</v>
      </c>
      <c r="H1367" s="592">
        <v>0</v>
      </c>
      <c r="I1367" s="592">
        <v>0</v>
      </c>
      <c r="J1367" s="592">
        <v>29</v>
      </c>
      <c r="K1367" s="592">
        <v>0</v>
      </c>
      <c r="L1367" s="592">
        <v>0</v>
      </c>
      <c r="M1367" s="592">
        <v>0</v>
      </c>
      <c r="N1367" s="593">
        <v>33</v>
      </c>
      <c r="O1367" s="593">
        <v>0</v>
      </c>
      <c r="P1367" s="593">
        <v>73</v>
      </c>
      <c r="Q1367" s="593">
        <v>35</v>
      </c>
      <c r="R1367" s="593">
        <v>177</v>
      </c>
      <c r="S1367" s="593">
        <v>35</v>
      </c>
      <c r="T1367" s="593">
        <v>2017</v>
      </c>
      <c r="U1367" s="593">
        <v>2014</v>
      </c>
      <c r="V1367" s="589"/>
      <c r="W1367" s="589"/>
      <c r="X1367" s="589"/>
      <c r="Y1367" s="589"/>
      <c r="Z1367" s="589"/>
      <c r="AA1367" s="589"/>
      <c r="AB1367" s="589"/>
      <c r="AC1367" s="589"/>
      <c r="AD1367" s="589"/>
      <c r="AE1367" s="589"/>
      <c r="AF1367" s="589"/>
      <c r="AG1367" s="589"/>
      <c r="AH1367" s="589"/>
      <c r="AI1367" s="589"/>
      <c r="AJ1367" s="589"/>
      <c r="AK1367" s="589"/>
      <c r="AL1367" s="589"/>
      <c r="AM1367" s="589"/>
      <c r="AN1367" s="589"/>
      <c r="AO1367" s="589"/>
      <c r="AP1367" s="589"/>
      <c r="AQ1367" s="589"/>
      <c r="AR1367" s="589"/>
      <c r="AS1367" s="589"/>
    </row>
    <row r="1368" spans="1:45" ht="15">
      <c r="A1368" s="587" t="s">
        <v>195</v>
      </c>
      <c r="B1368" s="587" t="s">
        <v>705</v>
      </c>
      <c r="C1368" s="587" t="s">
        <v>177</v>
      </c>
      <c r="D1368" s="588">
        <v>2017</v>
      </c>
      <c r="E1368" s="587" t="s">
        <v>775</v>
      </c>
      <c r="F1368" s="588">
        <v>1546</v>
      </c>
      <c r="G1368" s="588">
        <v>0</v>
      </c>
      <c r="H1368" s="588">
        <v>0</v>
      </c>
      <c r="I1368" s="588">
        <v>0</v>
      </c>
      <c r="J1368" s="588">
        <v>991</v>
      </c>
      <c r="K1368" s="588">
        <v>0</v>
      </c>
      <c r="L1368" s="588">
        <v>0</v>
      </c>
      <c r="M1368" s="588">
        <v>0</v>
      </c>
      <c r="N1368" s="588">
        <v>1100</v>
      </c>
      <c r="O1368" s="588">
        <v>3</v>
      </c>
      <c r="P1368" s="588">
        <v>2724</v>
      </c>
      <c r="Q1368" s="588">
        <v>137</v>
      </c>
      <c r="R1368" s="588">
        <v>6361</v>
      </c>
      <c r="S1368" s="588">
        <v>140</v>
      </c>
      <c r="T1368" s="588">
        <v>2017</v>
      </c>
      <c r="U1368" s="588">
        <v>2016</v>
      </c>
      <c r="V1368" s="589"/>
      <c r="W1368" s="589"/>
      <c r="X1368" s="589"/>
      <c r="Y1368" s="589"/>
      <c r="Z1368" s="589"/>
      <c r="AA1368" s="589"/>
      <c r="AB1368" s="589"/>
      <c r="AC1368" s="589"/>
      <c r="AD1368" s="589"/>
      <c r="AE1368" s="589"/>
      <c r="AF1368" s="589"/>
      <c r="AG1368" s="589"/>
      <c r="AH1368" s="589"/>
      <c r="AI1368" s="589"/>
      <c r="AJ1368" s="589"/>
      <c r="AK1368" s="589"/>
      <c r="AL1368" s="589"/>
      <c r="AM1368" s="589"/>
      <c r="AN1368" s="589"/>
      <c r="AO1368" s="589"/>
      <c r="AP1368" s="589"/>
      <c r="AQ1368" s="589"/>
      <c r="AR1368" s="589"/>
      <c r="AS1368" s="589"/>
    </row>
    <row r="1369" spans="1:45" ht="15">
      <c r="A1369" s="590" t="s">
        <v>162</v>
      </c>
      <c r="B1369" s="591" t="s">
        <v>461</v>
      </c>
      <c r="C1369" s="591" t="s">
        <v>784</v>
      </c>
      <c r="D1369" s="592">
        <v>2017</v>
      </c>
      <c r="E1369" s="591" t="s">
        <v>775</v>
      </c>
      <c r="F1369" s="592">
        <v>2</v>
      </c>
      <c r="G1369" s="592">
        <v>0</v>
      </c>
      <c r="H1369" s="592">
        <v>0</v>
      </c>
      <c r="I1369" s="592">
        <v>0</v>
      </c>
      <c r="J1369" s="592">
        <v>2</v>
      </c>
      <c r="K1369" s="592">
        <v>1</v>
      </c>
      <c r="L1369" s="592">
        <v>0</v>
      </c>
      <c r="M1369" s="592">
        <v>1</v>
      </c>
      <c r="N1369" s="593">
        <v>1</v>
      </c>
      <c r="O1369" s="593">
        <v>4</v>
      </c>
      <c r="P1369" s="593">
        <v>5</v>
      </c>
      <c r="Q1369" s="593">
        <v>0</v>
      </c>
      <c r="R1369" s="593">
        <v>10</v>
      </c>
      <c r="S1369" s="593">
        <v>5</v>
      </c>
      <c r="T1369" s="593">
        <v>2017</v>
      </c>
      <c r="U1369" s="593">
        <v>2014</v>
      </c>
      <c r="V1369" s="589"/>
      <c r="W1369" s="589"/>
      <c r="X1369" s="589"/>
      <c r="Y1369" s="589"/>
      <c r="Z1369" s="589"/>
      <c r="AA1369" s="589"/>
      <c r="AB1369" s="589"/>
      <c r="AC1369" s="589"/>
      <c r="AD1369" s="589"/>
      <c r="AE1369" s="589"/>
      <c r="AF1369" s="589"/>
      <c r="AG1369" s="589"/>
      <c r="AH1369" s="589"/>
      <c r="AI1369" s="589"/>
      <c r="AJ1369" s="589"/>
      <c r="AK1369" s="589"/>
      <c r="AL1369" s="589"/>
      <c r="AM1369" s="589"/>
      <c r="AN1369" s="589"/>
      <c r="AO1369" s="589"/>
      <c r="AP1369" s="589"/>
      <c r="AQ1369" s="589"/>
      <c r="AR1369" s="589"/>
      <c r="AS1369" s="589"/>
    </row>
    <row r="1370" spans="1:45" ht="15">
      <c r="A1370" s="587" t="s">
        <v>163</v>
      </c>
      <c r="B1370" s="587" t="s">
        <v>463</v>
      </c>
      <c r="C1370" s="587" t="s">
        <v>784</v>
      </c>
      <c r="D1370" s="588">
        <v>2017</v>
      </c>
      <c r="E1370" s="587" t="s">
        <v>775</v>
      </c>
      <c r="F1370" s="588">
        <v>11</v>
      </c>
      <c r="G1370" s="588">
        <v>0</v>
      </c>
      <c r="H1370" s="588">
        <v>0</v>
      </c>
      <c r="I1370" s="588">
        <v>0</v>
      </c>
      <c r="J1370" s="588">
        <v>7</v>
      </c>
      <c r="K1370" s="588">
        <v>6</v>
      </c>
      <c r="L1370" s="588">
        <v>0</v>
      </c>
      <c r="M1370" s="588">
        <v>6</v>
      </c>
      <c r="N1370" s="588">
        <v>9</v>
      </c>
      <c r="O1370" s="588">
        <v>13</v>
      </c>
      <c r="P1370" s="588">
        <v>19</v>
      </c>
      <c r="Q1370" s="588">
        <v>10</v>
      </c>
      <c r="R1370" s="588">
        <v>46</v>
      </c>
      <c r="S1370" s="588">
        <v>29</v>
      </c>
      <c r="T1370" s="588">
        <v>2017</v>
      </c>
      <c r="U1370" s="588">
        <v>2014</v>
      </c>
      <c r="V1370" s="589"/>
      <c r="W1370" s="589"/>
      <c r="X1370" s="589"/>
      <c r="Y1370" s="589"/>
      <c r="Z1370" s="589"/>
      <c r="AA1370" s="589"/>
      <c r="AB1370" s="589"/>
      <c r="AC1370" s="589"/>
      <c r="AD1370" s="589"/>
      <c r="AE1370" s="589"/>
      <c r="AF1370" s="589"/>
      <c r="AG1370" s="589"/>
      <c r="AH1370" s="589"/>
      <c r="AI1370" s="589"/>
      <c r="AJ1370" s="589"/>
      <c r="AK1370" s="589"/>
      <c r="AL1370" s="589"/>
      <c r="AM1370" s="589"/>
      <c r="AN1370" s="589"/>
      <c r="AO1370" s="589"/>
      <c r="AP1370" s="589"/>
      <c r="AQ1370" s="589"/>
      <c r="AR1370" s="589"/>
      <c r="AS1370" s="589"/>
    </row>
    <row r="1371" spans="1:45" ht="15">
      <c r="A1371" s="590" t="s">
        <v>153</v>
      </c>
      <c r="B1371" s="591" t="s">
        <v>399</v>
      </c>
      <c r="C1371" s="591" t="s">
        <v>812</v>
      </c>
      <c r="D1371" s="592">
        <v>2017</v>
      </c>
      <c r="E1371" s="591" t="s">
        <v>775</v>
      </c>
      <c r="F1371" s="592">
        <v>101</v>
      </c>
      <c r="G1371" s="592">
        <v>0</v>
      </c>
      <c r="H1371" s="592">
        <v>0</v>
      </c>
      <c r="I1371" s="592">
        <v>0</v>
      </c>
      <c r="J1371" s="592">
        <v>61</v>
      </c>
      <c r="K1371" s="592">
        <v>0</v>
      </c>
      <c r="L1371" s="592">
        <v>0</v>
      </c>
      <c r="M1371" s="592">
        <v>0</v>
      </c>
      <c r="N1371" s="593">
        <v>65</v>
      </c>
      <c r="O1371" s="593">
        <v>2</v>
      </c>
      <c r="P1371" s="593">
        <v>162</v>
      </c>
      <c r="Q1371" s="593">
        <v>22</v>
      </c>
      <c r="R1371" s="593">
        <v>389</v>
      </c>
      <c r="S1371" s="593">
        <v>24</v>
      </c>
      <c r="T1371" s="593">
        <v>2017</v>
      </c>
      <c r="U1371" s="593">
        <v>2014</v>
      </c>
      <c r="V1371" s="589"/>
      <c r="W1371" s="589"/>
      <c r="X1371" s="589"/>
      <c r="Y1371" s="589"/>
      <c r="Z1371" s="589"/>
      <c r="AA1371" s="589"/>
      <c r="AB1371" s="589"/>
      <c r="AC1371" s="589"/>
      <c r="AD1371" s="589"/>
      <c r="AE1371" s="589"/>
      <c r="AF1371" s="589"/>
      <c r="AG1371" s="589"/>
      <c r="AH1371" s="589"/>
      <c r="AI1371" s="589"/>
      <c r="AJ1371" s="589"/>
      <c r="AK1371" s="589"/>
      <c r="AL1371" s="589"/>
      <c r="AM1371" s="589"/>
      <c r="AN1371" s="589"/>
      <c r="AO1371" s="589"/>
      <c r="AP1371" s="589"/>
      <c r="AQ1371" s="589"/>
      <c r="AR1371" s="589"/>
      <c r="AS1371" s="589"/>
    </row>
    <row r="1372" spans="1:45" ht="15">
      <c r="A1372" s="587" t="s">
        <v>191</v>
      </c>
      <c r="B1372" s="587" t="s">
        <v>680</v>
      </c>
      <c r="C1372" s="587" t="s">
        <v>784</v>
      </c>
      <c r="D1372" s="588">
        <v>2017</v>
      </c>
      <c r="E1372" s="587" t="s">
        <v>775</v>
      </c>
      <c r="F1372" s="588">
        <v>5</v>
      </c>
      <c r="G1372" s="588">
        <v>0</v>
      </c>
      <c r="H1372" s="588">
        <v>0</v>
      </c>
      <c r="I1372" s="588">
        <v>0</v>
      </c>
      <c r="J1372" s="588">
        <v>3</v>
      </c>
      <c r="K1372" s="588">
        <v>0</v>
      </c>
      <c r="L1372" s="588">
        <v>0</v>
      </c>
      <c r="M1372" s="588">
        <v>0</v>
      </c>
      <c r="N1372" s="588">
        <v>3</v>
      </c>
      <c r="O1372" s="588">
        <v>0</v>
      </c>
      <c r="P1372" s="588">
        <v>8</v>
      </c>
      <c r="Q1372" s="588">
        <v>0</v>
      </c>
      <c r="R1372" s="588">
        <v>19</v>
      </c>
      <c r="S1372" s="588">
        <v>0</v>
      </c>
      <c r="T1372" s="588">
        <v>2017</v>
      </c>
      <c r="U1372" s="588">
        <v>2014</v>
      </c>
      <c r="V1372" s="589"/>
      <c r="W1372" s="589"/>
      <c r="X1372" s="589"/>
      <c r="Y1372" s="589"/>
      <c r="Z1372" s="589"/>
      <c r="AA1372" s="589"/>
      <c r="AB1372" s="589"/>
      <c r="AC1372" s="589"/>
      <c r="AD1372" s="589"/>
      <c r="AE1372" s="589"/>
      <c r="AF1372" s="589"/>
      <c r="AG1372" s="589"/>
      <c r="AH1372" s="589"/>
      <c r="AI1372" s="589"/>
      <c r="AJ1372" s="589"/>
      <c r="AK1372" s="589"/>
      <c r="AL1372" s="589"/>
      <c r="AM1372" s="589"/>
      <c r="AN1372" s="589"/>
      <c r="AO1372" s="589"/>
      <c r="AP1372" s="589"/>
      <c r="AQ1372" s="589"/>
      <c r="AR1372" s="589"/>
      <c r="AS1372" s="589"/>
    </row>
    <row r="1373" spans="1:45" ht="15">
      <c r="A1373" s="590" t="s">
        <v>178</v>
      </c>
      <c r="B1373" s="591" t="s">
        <v>578</v>
      </c>
      <c r="C1373" s="591" t="s">
        <v>812</v>
      </c>
      <c r="D1373" s="592">
        <v>2017</v>
      </c>
      <c r="E1373" s="591" t="s">
        <v>775</v>
      </c>
      <c r="F1373" s="592">
        <v>164</v>
      </c>
      <c r="G1373" s="592">
        <v>0</v>
      </c>
      <c r="H1373" s="592">
        <v>0</v>
      </c>
      <c r="I1373" s="592">
        <v>0</v>
      </c>
      <c r="J1373" s="592">
        <v>114</v>
      </c>
      <c r="K1373" s="592">
        <v>0</v>
      </c>
      <c r="L1373" s="592">
        <v>0</v>
      </c>
      <c r="M1373" s="592">
        <v>0</v>
      </c>
      <c r="N1373" s="593">
        <v>125</v>
      </c>
      <c r="O1373" s="593">
        <v>0</v>
      </c>
      <c r="P1373" s="593">
        <v>294</v>
      </c>
      <c r="Q1373" s="593">
        <v>66</v>
      </c>
      <c r="R1373" s="593">
        <v>697</v>
      </c>
      <c r="S1373" s="593">
        <v>66</v>
      </c>
      <c r="T1373" s="593">
        <v>2017</v>
      </c>
      <c r="U1373" s="593">
        <v>2014</v>
      </c>
      <c r="V1373" s="589"/>
      <c r="W1373" s="589"/>
      <c r="X1373" s="589"/>
      <c r="Y1373" s="589"/>
      <c r="Z1373" s="589"/>
      <c r="AA1373" s="589"/>
      <c r="AB1373" s="589"/>
      <c r="AC1373" s="589"/>
      <c r="AD1373" s="589"/>
      <c r="AE1373" s="589"/>
      <c r="AF1373" s="589"/>
      <c r="AG1373" s="589"/>
      <c r="AH1373" s="589"/>
      <c r="AI1373" s="589"/>
      <c r="AJ1373" s="589"/>
      <c r="AK1373" s="589"/>
      <c r="AL1373" s="589"/>
      <c r="AM1373" s="589"/>
      <c r="AN1373" s="589"/>
      <c r="AO1373" s="589"/>
      <c r="AP1373" s="589"/>
      <c r="AQ1373" s="589"/>
      <c r="AR1373" s="589"/>
      <c r="AS1373" s="589"/>
    </row>
    <row r="1374" spans="1:45" ht="15">
      <c r="A1374" s="587" t="s">
        <v>187</v>
      </c>
      <c r="B1374" s="587" t="s">
        <v>658</v>
      </c>
      <c r="C1374" s="587" t="s">
        <v>774</v>
      </c>
      <c r="D1374" s="588">
        <v>2017</v>
      </c>
      <c r="E1374" s="587" t="s">
        <v>775</v>
      </c>
      <c r="F1374" s="588">
        <v>23</v>
      </c>
      <c r="G1374" s="588">
        <v>12</v>
      </c>
      <c r="H1374" s="588">
        <v>0</v>
      </c>
      <c r="I1374" s="588">
        <v>12</v>
      </c>
      <c r="J1374" s="588">
        <v>13</v>
      </c>
      <c r="K1374" s="588">
        <v>0</v>
      </c>
      <c r="L1374" s="588">
        <v>0</v>
      </c>
      <c r="M1374" s="588">
        <v>0</v>
      </c>
      <c r="N1374" s="588">
        <v>13</v>
      </c>
      <c r="O1374" s="588">
        <v>0</v>
      </c>
      <c r="P1374" s="588">
        <v>12</v>
      </c>
      <c r="Q1374" s="588">
        <v>4</v>
      </c>
      <c r="R1374" s="588">
        <v>61</v>
      </c>
      <c r="S1374" s="588">
        <v>16</v>
      </c>
      <c r="T1374" s="588">
        <v>2017</v>
      </c>
      <c r="U1374" s="588">
        <v>2015</v>
      </c>
      <c r="V1374" s="589"/>
      <c r="W1374" s="589"/>
      <c r="X1374" s="589"/>
      <c r="Y1374" s="589"/>
      <c r="Z1374" s="589"/>
      <c r="AA1374" s="589"/>
      <c r="AB1374" s="589"/>
      <c r="AC1374" s="589"/>
      <c r="AD1374" s="589"/>
      <c r="AE1374" s="589"/>
      <c r="AF1374" s="589"/>
      <c r="AG1374" s="589"/>
      <c r="AH1374" s="589"/>
      <c r="AI1374" s="589"/>
      <c r="AJ1374" s="589"/>
      <c r="AK1374" s="589"/>
      <c r="AL1374" s="589"/>
      <c r="AM1374" s="589"/>
      <c r="AN1374" s="589"/>
      <c r="AO1374" s="589"/>
      <c r="AP1374" s="589"/>
      <c r="AQ1374" s="589"/>
      <c r="AR1374" s="589"/>
      <c r="AS1374" s="589"/>
    </row>
    <row r="1375" spans="1:45" ht="15">
      <c r="A1375" s="590" t="s">
        <v>164</v>
      </c>
      <c r="B1375" s="591" t="s">
        <v>164</v>
      </c>
      <c r="C1375" s="591" t="s">
        <v>177</v>
      </c>
      <c r="D1375" s="592">
        <v>2017</v>
      </c>
      <c r="E1375" s="591" t="s">
        <v>775</v>
      </c>
      <c r="F1375" s="592">
        <v>157</v>
      </c>
      <c r="G1375" s="592">
        <v>19</v>
      </c>
      <c r="H1375" s="592">
        <v>19</v>
      </c>
      <c r="I1375" s="592">
        <v>0</v>
      </c>
      <c r="J1375" s="592">
        <v>102</v>
      </c>
      <c r="K1375" s="592">
        <v>0</v>
      </c>
      <c r="L1375" s="592">
        <v>0</v>
      </c>
      <c r="M1375" s="592">
        <v>0</v>
      </c>
      <c r="N1375" s="593">
        <v>119</v>
      </c>
      <c r="O1375" s="593">
        <v>0</v>
      </c>
      <c r="P1375" s="593">
        <v>272</v>
      </c>
      <c r="Q1375" s="593">
        <v>10</v>
      </c>
      <c r="R1375" s="593">
        <v>650</v>
      </c>
      <c r="S1375" s="593">
        <v>29</v>
      </c>
      <c r="T1375" s="593">
        <v>2017</v>
      </c>
      <c r="U1375" s="593">
        <v>2016</v>
      </c>
      <c r="V1375" s="589"/>
      <c r="W1375" s="589"/>
      <c r="X1375" s="589"/>
      <c r="Y1375" s="589"/>
      <c r="Z1375" s="589"/>
      <c r="AA1375" s="589"/>
      <c r="AB1375" s="589"/>
      <c r="AC1375" s="589"/>
      <c r="AD1375" s="589"/>
      <c r="AE1375" s="589"/>
      <c r="AF1375" s="589"/>
      <c r="AG1375" s="589"/>
      <c r="AH1375" s="589"/>
      <c r="AI1375" s="589"/>
      <c r="AJ1375" s="589"/>
      <c r="AK1375" s="589"/>
      <c r="AL1375" s="589"/>
      <c r="AM1375" s="589"/>
      <c r="AN1375" s="589"/>
      <c r="AO1375" s="589"/>
      <c r="AP1375" s="589"/>
      <c r="AQ1375" s="589"/>
      <c r="AR1375" s="589"/>
      <c r="AS1375" s="589"/>
    </row>
    <row r="1376" spans="1:45" ht="15">
      <c r="A1376" s="587" t="s">
        <v>164</v>
      </c>
      <c r="B1376" s="587" t="s">
        <v>470</v>
      </c>
      <c r="C1376" s="587" t="s">
        <v>177</v>
      </c>
      <c r="D1376" s="588">
        <v>2017</v>
      </c>
      <c r="E1376" s="587" t="s">
        <v>775</v>
      </c>
      <c r="F1376" s="588">
        <v>374</v>
      </c>
      <c r="G1376" s="588">
        <v>82</v>
      </c>
      <c r="H1376" s="588">
        <v>7</v>
      </c>
      <c r="I1376" s="588">
        <v>75</v>
      </c>
      <c r="J1376" s="588">
        <v>244</v>
      </c>
      <c r="K1376" s="588">
        <v>7</v>
      </c>
      <c r="L1376" s="588">
        <v>7</v>
      </c>
      <c r="M1376" s="588">
        <v>0</v>
      </c>
      <c r="N1376" s="588">
        <v>282</v>
      </c>
      <c r="O1376" s="588">
        <v>20</v>
      </c>
      <c r="P1376" s="588">
        <v>651</v>
      </c>
      <c r="Q1376" s="588">
        <v>316</v>
      </c>
      <c r="R1376" s="588">
        <v>1551</v>
      </c>
      <c r="S1376" s="588">
        <v>425</v>
      </c>
      <c r="T1376" s="588">
        <v>2017</v>
      </c>
      <c r="U1376" s="588">
        <v>2016</v>
      </c>
      <c r="V1376" s="589"/>
      <c r="W1376" s="589"/>
      <c r="X1376" s="589"/>
      <c r="Y1376" s="589"/>
      <c r="Z1376" s="589"/>
      <c r="AA1376" s="589"/>
      <c r="AB1376" s="589"/>
      <c r="AC1376" s="589"/>
      <c r="AD1376" s="589"/>
      <c r="AE1376" s="589"/>
      <c r="AF1376" s="589"/>
      <c r="AG1376" s="589"/>
      <c r="AH1376" s="589"/>
      <c r="AI1376" s="589"/>
      <c r="AJ1376" s="589"/>
      <c r="AK1376" s="589"/>
      <c r="AL1376" s="589"/>
      <c r="AM1376" s="589"/>
      <c r="AN1376" s="589"/>
      <c r="AO1376" s="589"/>
      <c r="AP1376" s="589"/>
      <c r="AQ1376" s="589"/>
      <c r="AR1376" s="589"/>
      <c r="AS1376" s="589"/>
    </row>
    <row r="1377" spans="1:45" ht="15">
      <c r="A1377" s="590" t="s">
        <v>153</v>
      </c>
      <c r="B1377" s="591" t="s">
        <v>401</v>
      </c>
      <c r="C1377" s="591" t="s">
        <v>812</v>
      </c>
      <c r="D1377" s="592">
        <v>2017</v>
      </c>
      <c r="E1377" s="591" t="s">
        <v>775</v>
      </c>
      <c r="F1377" s="592">
        <v>205</v>
      </c>
      <c r="G1377" s="592">
        <v>0</v>
      </c>
      <c r="H1377" s="592">
        <v>0</v>
      </c>
      <c r="I1377" s="592">
        <v>0</v>
      </c>
      <c r="J1377" s="592">
        <v>123</v>
      </c>
      <c r="K1377" s="592">
        <v>0</v>
      </c>
      <c r="L1377" s="592">
        <v>0</v>
      </c>
      <c r="M1377" s="592">
        <v>0</v>
      </c>
      <c r="N1377" s="593">
        <v>137</v>
      </c>
      <c r="O1377" s="593">
        <v>0</v>
      </c>
      <c r="P1377" s="593">
        <v>350</v>
      </c>
      <c r="Q1377" s="593">
        <v>14</v>
      </c>
      <c r="R1377" s="593">
        <v>815</v>
      </c>
      <c r="S1377" s="593">
        <v>14</v>
      </c>
      <c r="T1377" s="593">
        <v>2017</v>
      </c>
      <c r="U1377" s="593">
        <v>2014</v>
      </c>
      <c r="V1377" s="589"/>
      <c r="W1377" s="589"/>
      <c r="X1377" s="589"/>
      <c r="Y1377" s="589"/>
      <c r="Z1377" s="589"/>
      <c r="AA1377" s="589"/>
      <c r="AB1377" s="589"/>
      <c r="AC1377" s="589"/>
      <c r="AD1377" s="589"/>
      <c r="AE1377" s="589"/>
      <c r="AF1377" s="589"/>
      <c r="AG1377" s="589"/>
      <c r="AH1377" s="589"/>
      <c r="AI1377" s="589"/>
      <c r="AJ1377" s="589"/>
      <c r="AK1377" s="589"/>
      <c r="AL1377" s="589"/>
      <c r="AM1377" s="589"/>
      <c r="AN1377" s="589"/>
      <c r="AO1377" s="589"/>
      <c r="AP1377" s="589"/>
      <c r="AQ1377" s="589"/>
      <c r="AR1377" s="589"/>
      <c r="AS1377" s="589"/>
    </row>
    <row r="1378" spans="1:45" ht="15">
      <c r="A1378" s="587" t="s">
        <v>201</v>
      </c>
      <c r="B1378" s="587" t="s">
        <v>732</v>
      </c>
      <c r="C1378" s="587" t="s">
        <v>812</v>
      </c>
      <c r="D1378" s="588">
        <v>2017</v>
      </c>
      <c r="E1378" s="587" t="s">
        <v>775</v>
      </c>
      <c r="F1378" s="588">
        <v>289</v>
      </c>
      <c r="G1378" s="588">
        <v>0</v>
      </c>
      <c r="H1378" s="588">
        <v>0</v>
      </c>
      <c r="I1378" s="588">
        <v>0</v>
      </c>
      <c r="J1378" s="588">
        <v>197</v>
      </c>
      <c r="K1378" s="588">
        <v>0</v>
      </c>
      <c r="L1378" s="588">
        <v>0</v>
      </c>
      <c r="M1378" s="588">
        <v>0</v>
      </c>
      <c r="N1378" s="588">
        <v>216</v>
      </c>
      <c r="O1378" s="588">
        <v>0</v>
      </c>
      <c r="P1378" s="588">
        <v>462</v>
      </c>
      <c r="Q1378" s="588">
        <v>88</v>
      </c>
      <c r="R1378" s="588">
        <v>1164</v>
      </c>
      <c r="S1378" s="588">
        <v>88</v>
      </c>
      <c r="T1378" s="588">
        <v>2017</v>
      </c>
      <c r="U1378" s="588">
        <v>2014</v>
      </c>
      <c r="V1378" s="589"/>
      <c r="W1378" s="589"/>
      <c r="X1378" s="589"/>
      <c r="Y1378" s="589"/>
      <c r="Z1378" s="589"/>
      <c r="AA1378" s="589"/>
      <c r="AB1378" s="589"/>
      <c r="AC1378" s="589"/>
      <c r="AD1378" s="589"/>
      <c r="AE1378" s="589"/>
      <c r="AF1378" s="589"/>
      <c r="AG1378" s="589"/>
      <c r="AH1378" s="589"/>
      <c r="AI1378" s="589"/>
      <c r="AJ1378" s="589"/>
      <c r="AK1378" s="589"/>
      <c r="AL1378" s="589"/>
      <c r="AM1378" s="589"/>
      <c r="AN1378" s="589"/>
      <c r="AO1378" s="589"/>
      <c r="AP1378" s="589"/>
      <c r="AQ1378" s="589"/>
      <c r="AR1378" s="589"/>
      <c r="AS1378" s="589"/>
    </row>
    <row r="1379" spans="1:45" ht="15">
      <c r="A1379" s="590" t="s">
        <v>136</v>
      </c>
      <c r="B1379" s="591" t="s">
        <v>275</v>
      </c>
      <c r="C1379" s="591" t="s">
        <v>774</v>
      </c>
      <c r="D1379" s="592">
        <v>2017</v>
      </c>
      <c r="E1379" s="591" t="s">
        <v>775</v>
      </c>
      <c r="F1379" s="592">
        <v>75</v>
      </c>
      <c r="G1379" s="592">
        <v>0</v>
      </c>
      <c r="H1379" s="592">
        <v>0</v>
      </c>
      <c r="I1379" s="592">
        <v>0</v>
      </c>
      <c r="J1379" s="592">
        <v>44</v>
      </c>
      <c r="K1379" s="592">
        <v>0</v>
      </c>
      <c r="L1379" s="592">
        <v>0</v>
      </c>
      <c r="M1379" s="592">
        <v>0</v>
      </c>
      <c r="N1379" s="593">
        <v>50</v>
      </c>
      <c r="O1379" s="593">
        <v>0</v>
      </c>
      <c r="P1379" s="593">
        <v>60</v>
      </c>
      <c r="Q1379" s="593">
        <v>31</v>
      </c>
      <c r="R1379" s="593">
        <v>229</v>
      </c>
      <c r="S1379" s="593">
        <v>31</v>
      </c>
      <c r="T1379" s="593">
        <v>2017</v>
      </c>
      <c r="U1379" s="593">
        <v>2015</v>
      </c>
      <c r="V1379" s="589"/>
      <c r="W1379" s="589"/>
      <c r="X1379" s="589"/>
      <c r="Y1379" s="589"/>
      <c r="Z1379" s="589"/>
      <c r="AA1379" s="589"/>
      <c r="AB1379" s="589"/>
      <c r="AC1379" s="589"/>
      <c r="AD1379" s="589"/>
      <c r="AE1379" s="589"/>
      <c r="AF1379" s="589"/>
      <c r="AG1379" s="589"/>
      <c r="AH1379" s="589"/>
      <c r="AI1379" s="589"/>
      <c r="AJ1379" s="589"/>
      <c r="AK1379" s="589"/>
      <c r="AL1379" s="589"/>
      <c r="AM1379" s="589"/>
      <c r="AN1379" s="589"/>
      <c r="AO1379" s="589"/>
      <c r="AP1379" s="589"/>
      <c r="AQ1379" s="589"/>
      <c r="AR1379" s="589"/>
      <c r="AS1379" s="589"/>
    </row>
    <row r="1380" spans="1:45" ht="15">
      <c r="A1380" s="587" t="s">
        <v>173</v>
      </c>
      <c r="B1380" s="587" t="s">
        <v>545</v>
      </c>
      <c r="C1380" s="587" t="s">
        <v>812</v>
      </c>
      <c r="D1380" s="588">
        <v>2017</v>
      </c>
      <c r="E1380" s="587" t="s">
        <v>775</v>
      </c>
      <c r="F1380" s="588">
        <v>1500</v>
      </c>
      <c r="G1380" s="588">
        <v>0</v>
      </c>
      <c r="H1380" s="588">
        <v>0</v>
      </c>
      <c r="I1380" s="588">
        <v>0</v>
      </c>
      <c r="J1380" s="588">
        <v>993</v>
      </c>
      <c r="K1380" s="588">
        <v>0</v>
      </c>
      <c r="L1380" s="588">
        <v>0</v>
      </c>
      <c r="M1380" s="588">
        <v>0</v>
      </c>
      <c r="N1380" s="588">
        <v>1112</v>
      </c>
      <c r="O1380" s="588">
        <v>84</v>
      </c>
      <c r="P1380" s="588">
        <v>2564</v>
      </c>
      <c r="Q1380" s="588">
        <v>341</v>
      </c>
      <c r="R1380" s="588">
        <v>6169</v>
      </c>
      <c r="S1380" s="588">
        <v>425</v>
      </c>
      <c r="T1380" s="588">
        <v>2017</v>
      </c>
      <c r="U1380" s="588">
        <v>2014</v>
      </c>
      <c r="V1380" s="589"/>
      <c r="W1380" s="589"/>
      <c r="X1380" s="589"/>
      <c r="Y1380" s="589"/>
      <c r="Z1380" s="589"/>
      <c r="AA1380" s="589"/>
      <c r="AB1380" s="589"/>
      <c r="AC1380" s="589"/>
      <c r="AD1380" s="589"/>
      <c r="AE1380" s="589"/>
      <c r="AF1380" s="589"/>
      <c r="AG1380" s="589"/>
      <c r="AH1380" s="589"/>
      <c r="AI1380" s="589"/>
      <c r="AJ1380" s="589"/>
      <c r="AK1380" s="589"/>
      <c r="AL1380" s="589"/>
      <c r="AM1380" s="589"/>
      <c r="AN1380" s="589"/>
      <c r="AO1380" s="589"/>
      <c r="AP1380" s="589"/>
      <c r="AQ1380" s="589"/>
      <c r="AR1380" s="589"/>
      <c r="AS1380" s="589"/>
    </row>
    <row r="1381" spans="1:45" ht="15">
      <c r="A1381" s="590" t="s">
        <v>187</v>
      </c>
      <c r="B1381" s="591" t="s">
        <v>659</v>
      </c>
      <c r="C1381" s="591" t="s">
        <v>774</v>
      </c>
      <c r="D1381" s="592">
        <v>2017</v>
      </c>
      <c r="E1381" s="591" t="s">
        <v>775</v>
      </c>
      <c r="F1381" s="592">
        <v>273</v>
      </c>
      <c r="G1381" s="592">
        <v>0</v>
      </c>
      <c r="H1381" s="592">
        <v>0</v>
      </c>
      <c r="I1381" s="592">
        <v>0</v>
      </c>
      <c r="J1381" s="592">
        <v>154</v>
      </c>
      <c r="K1381" s="592">
        <v>13</v>
      </c>
      <c r="L1381" s="592">
        <v>13</v>
      </c>
      <c r="M1381" s="592">
        <v>0</v>
      </c>
      <c r="N1381" s="593">
        <v>185</v>
      </c>
      <c r="O1381" s="593">
        <v>9</v>
      </c>
      <c r="P1381" s="593">
        <v>316</v>
      </c>
      <c r="Q1381" s="593">
        <v>192</v>
      </c>
      <c r="R1381" s="593">
        <v>928</v>
      </c>
      <c r="S1381" s="593">
        <v>214</v>
      </c>
      <c r="T1381" s="593">
        <v>2017</v>
      </c>
      <c r="U1381" s="593">
        <v>2015</v>
      </c>
      <c r="V1381" s="589"/>
      <c r="W1381" s="589"/>
      <c r="X1381" s="589"/>
      <c r="Y1381" s="589"/>
      <c r="Z1381" s="589"/>
      <c r="AA1381" s="589"/>
      <c r="AB1381" s="589"/>
      <c r="AC1381" s="589"/>
      <c r="AD1381" s="589"/>
      <c r="AE1381" s="589"/>
      <c r="AF1381" s="589"/>
      <c r="AG1381" s="589"/>
      <c r="AH1381" s="589"/>
      <c r="AI1381" s="589"/>
      <c r="AJ1381" s="589"/>
      <c r="AK1381" s="589"/>
      <c r="AL1381" s="589"/>
      <c r="AM1381" s="589"/>
      <c r="AN1381" s="589"/>
      <c r="AO1381" s="589"/>
      <c r="AP1381" s="589"/>
      <c r="AQ1381" s="589"/>
      <c r="AR1381" s="589"/>
      <c r="AS1381" s="589"/>
    </row>
    <row r="1382" spans="1:45" ht="15">
      <c r="A1382" s="587" t="s">
        <v>191</v>
      </c>
      <c r="B1382" s="587" t="s">
        <v>681</v>
      </c>
      <c r="C1382" s="587" t="s">
        <v>784</v>
      </c>
      <c r="D1382" s="588">
        <v>2017</v>
      </c>
      <c r="E1382" s="587" t="s">
        <v>775</v>
      </c>
      <c r="F1382" s="588">
        <v>11</v>
      </c>
      <c r="G1382" s="588">
        <v>0</v>
      </c>
      <c r="H1382" s="588">
        <v>0</v>
      </c>
      <c r="I1382" s="588">
        <v>0</v>
      </c>
      <c r="J1382" s="588">
        <v>7</v>
      </c>
      <c r="K1382" s="588">
        <v>0</v>
      </c>
      <c r="L1382" s="588">
        <v>0</v>
      </c>
      <c r="M1382" s="588">
        <v>0</v>
      </c>
      <c r="N1382" s="588">
        <v>8</v>
      </c>
      <c r="O1382" s="588">
        <v>2</v>
      </c>
      <c r="P1382" s="588">
        <v>19</v>
      </c>
      <c r="Q1382" s="588">
        <v>0</v>
      </c>
      <c r="R1382" s="588">
        <v>45</v>
      </c>
      <c r="S1382" s="588">
        <v>2</v>
      </c>
      <c r="T1382" s="588">
        <v>2017</v>
      </c>
      <c r="U1382" s="588">
        <v>2014</v>
      </c>
      <c r="V1382" s="589"/>
      <c r="W1382" s="589"/>
      <c r="X1382" s="589"/>
      <c r="Y1382" s="589"/>
      <c r="Z1382" s="589"/>
      <c r="AA1382" s="589"/>
      <c r="AB1382" s="589"/>
      <c r="AC1382" s="589"/>
      <c r="AD1382" s="589"/>
      <c r="AE1382" s="589"/>
      <c r="AF1382" s="589"/>
      <c r="AG1382" s="589"/>
      <c r="AH1382" s="589"/>
      <c r="AI1382" s="589"/>
      <c r="AJ1382" s="589"/>
      <c r="AK1382" s="589"/>
      <c r="AL1382" s="589"/>
      <c r="AM1382" s="589"/>
      <c r="AN1382" s="589"/>
      <c r="AO1382" s="589"/>
      <c r="AP1382" s="589"/>
      <c r="AQ1382" s="589"/>
      <c r="AR1382" s="589"/>
      <c r="AS1382" s="589"/>
    </row>
    <row r="1383" spans="1:45" ht="15">
      <c r="A1383" s="590" t="s">
        <v>187</v>
      </c>
      <c r="B1383" s="591" t="s">
        <v>660</v>
      </c>
      <c r="C1383" s="591" t="s">
        <v>774</v>
      </c>
      <c r="D1383" s="592">
        <v>2017</v>
      </c>
      <c r="E1383" s="591" t="s">
        <v>775</v>
      </c>
      <c r="F1383" s="592">
        <v>814</v>
      </c>
      <c r="G1383" s="592">
        <v>98</v>
      </c>
      <c r="H1383" s="592">
        <v>98</v>
      </c>
      <c r="I1383" s="592">
        <v>0</v>
      </c>
      <c r="J1383" s="592">
        <v>492</v>
      </c>
      <c r="K1383" s="592">
        <v>23</v>
      </c>
      <c r="L1383" s="592">
        <v>23</v>
      </c>
      <c r="M1383" s="592">
        <v>0</v>
      </c>
      <c r="N1383" s="593">
        <v>527</v>
      </c>
      <c r="O1383" s="593">
        <v>0</v>
      </c>
      <c r="P1383" s="593">
        <v>1093</v>
      </c>
      <c r="Q1383" s="593">
        <v>1418</v>
      </c>
      <c r="R1383" s="593">
        <v>2926</v>
      </c>
      <c r="S1383" s="593">
        <v>1539</v>
      </c>
      <c r="T1383" s="593">
        <v>2017</v>
      </c>
      <c r="U1383" s="593">
        <v>2015</v>
      </c>
      <c r="V1383" s="589"/>
      <c r="W1383" s="589"/>
      <c r="X1383" s="589"/>
      <c r="Y1383" s="589"/>
      <c r="Z1383" s="589"/>
      <c r="AA1383" s="589"/>
      <c r="AB1383" s="589"/>
      <c r="AC1383" s="589"/>
      <c r="AD1383" s="589"/>
      <c r="AE1383" s="589"/>
      <c r="AF1383" s="589"/>
      <c r="AG1383" s="589"/>
      <c r="AH1383" s="589"/>
      <c r="AI1383" s="589"/>
      <c r="AJ1383" s="589"/>
      <c r="AK1383" s="589"/>
      <c r="AL1383" s="589"/>
      <c r="AM1383" s="589"/>
      <c r="AN1383" s="589"/>
      <c r="AO1383" s="589"/>
      <c r="AP1383" s="589"/>
      <c r="AQ1383" s="589"/>
      <c r="AR1383" s="589"/>
      <c r="AS1383" s="589"/>
    </row>
    <row r="1384" spans="1:45" ht="15">
      <c r="A1384" s="587" t="s">
        <v>173</v>
      </c>
      <c r="B1384" s="587" t="s">
        <v>546</v>
      </c>
      <c r="C1384" s="587" t="s">
        <v>812</v>
      </c>
      <c r="D1384" s="588">
        <v>2017</v>
      </c>
      <c r="E1384" s="587" t="s">
        <v>775</v>
      </c>
      <c r="F1384" s="588">
        <v>395</v>
      </c>
      <c r="G1384" s="588">
        <v>0</v>
      </c>
      <c r="H1384" s="588">
        <v>0</v>
      </c>
      <c r="I1384" s="588">
        <v>0</v>
      </c>
      <c r="J1384" s="588">
        <v>262</v>
      </c>
      <c r="K1384" s="588">
        <v>0</v>
      </c>
      <c r="L1384" s="588">
        <v>0</v>
      </c>
      <c r="M1384" s="588">
        <v>0</v>
      </c>
      <c r="N1384" s="588">
        <v>289</v>
      </c>
      <c r="O1384" s="588">
        <v>0</v>
      </c>
      <c r="P1384" s="588">
        <v>627</v>
      </c>
      <c r="Q1384" s="588">
        <v>225</v>
      </c>
      <c r="R1384" s="588">
        <v>1573</v>
      </c>
      <c r="S1384" s="588">
        <v>225</v>
      </c>
      <c r="T1384" s="588">
        <v>2017</v>
      </c>
      <c r="U1384" s="588">
        <v>2014</v>
      </c>
      <c r="V1384" s="589"/>
      <c r="W1384" s="589"/>
      <c r="X1384" s="589"/>
      <c r="Y1384" s="589"/>
      <c r="Z1384" s="589"/>
      <c r="AA1384" s="589"/>
      <c r="AB1384" s="589"/>
      <c r="AC1384" s="589"/>
      <c r="AD1384" s="589"/>
      <c r="AE1384" s="589"/>
      <c r="AF1384" s="589"/>
      <c r="AG1384" s="589"/>
      <c r="AH1384" s="589"/>
      <c r="AI1384" s="589"/>
      <c r="AJ1384" s="589"/>
      <c r="AK1384" s="589"/>
      <c r="AL1384" s="589"/>
      <c r="AM1384" s="589"/>
      <c r="AN1384" s="589"/>
      <c r="AO1384" s="589"/>
      <c r="AP1384" s="589"/>
      <c r="AQ1384" s="589"/>
      <c r="AR1384" s="589"/>
      <c r="AS1384" s="589"/>
    </row>
    <row r="1385" spans="1:45" ht="15">
      <c r="A1385" s="590" t="s">
        <v>166</v>
      </c>
      <c r="B1385" s="591" t="s">
        <v>166</v>
      </c>
      <c r="C1385" s="591" t="s">
        <v>774</v>
      </c>
      <c r="D1385" s="592">
        <v>2017</v>
      </c>
      <c r="E1385" s="591" t="s">
        <v>775</v>
      </c>
      <c r="F1385" s="592">
        <v>185</v>
      </c>
      <c r="G1385" s="592">
        <v>0</v>
      </c>
      <c r="H1385" s="592">
        <v>0</v>
      </c>
      <c r="I1385" s="592">
        <v>0</v>
      </c>
      <c r="J1385" s="592">
        <v>106</v>
      </c>
      <c r="K1385" s="592">
        <v>1</v>
      </c>
      <c r="L1385" s="592">
        <v>1</v>
      </c>
      <c r="M1385" s="592">
        <v>0</v>
      </c>
      <c r="N1385" s="593">
        <v>141</v>
      </c>
      <c r="O1385" s="593">
        <v>0</v>
      </c>
      <c r="P1385" s="593">
        <v>403</v>
      </c>
      <c r="Q1385" s="593">
        <v>37</v>
      </c>
      <c r="R1385" s="593">
        <v>835</v>
      </c>
      <c r="S1385" s="593">
        <v>38</v>
      </c>
      <c r="T1385" s="593">
        <v>2017</v>
      </c>
      <c r="U1385" s="593">
        <v>2015</v>
      </c>
      <c r="V1385" s="589"/>
      <c r="W1385" s="589"/>
      <c r="X1385" s="589"/>
      <c r="Y1385" s="589"/>
      <c r="Z1385" s="589"/>
      <c r="AA1385" s="589"/>
      <c r="AB1385" s="589"/>
      <c r="AC1385" s="589"/>
      <c r="AD1385" s="589"/>
      <c r="AE1385" s="589"/>
      <c r="AF1385" s="589"/>
      <c r="AG1385" s="589"/>
      <c r="AH1385" s="589"/>
      <c r="AI1385" s="589"/>
      <c r="AJ1385" s="589"/>
      <c r="AK1385" s="589"/>
      <c r="AL1385" s="589"/>
      <c r="AM1385" s="589"/>
      <c r="AN1385" s="589"/>
      <c r="AO1385" s="589"/>
      <c r="AP1385" s="589"/>
      <c r="AQ1385" s="589"/>
      <c r="AR1385" s="589"/>
      <c r="AS1385" s="589"/>
    </row>
    <row r="1386" spans="1:45" ht="15">
      <c r="A1386" s="587" t="s">
        <v>166</v>
      </c>
      <c r="B1386" s="587" t="s">
        <v>478</v>
      </c>
      <c r="C1386" s="587" t="s">
        <v>774</v>
      </c>
      <c r="D1386" s="588">
        <v>2017</v>
      </c>
      <c r="E1386" s="587" t="s">
        <v>775</v>
      </c>
      <c r="F1386" s="588">
        <v>51</v>
      </c>
      <c r="G1386" s="588">
        <v>0</v>
      </c>
      <c r="H1386" s="588">
        <v>0</v>
      </c>
      <c r="I1386" s="588">
        <v>0</v>
      </c>
      <c r="J1386" s="588">
        <v>30</v>
      </c>
      <c r="K1386" s="588">
        <v>0</v>
      </c>
      <c r="L1386" s="588">
        <v>0</v>
      </c>
      <c r="M1386" s="588">
        <v>0</v>
      </c>
      <c r="N1386" s="588">
        <v>32</v>
      </c>
      <c r="O1386" s="588">
        <v>16</v>
      </c>
      <c r="P1386" s="588">
        <v>67</v>
      </c>
      <c r="Q1386" s="588">
        <v>14</v>
      </c>
      <c r="R1386" s="588">
        <v>180</v>
      </c>
      <c r="S1386" s="588">
        <v>30</v>
      </c>
      <c r="T1386" s="588">
        <v>2017</v>
      </c>
      <c r="U1386" s="588">
        <v>2015</v>
      </c>
      <c r="V1386" s="589"/>
      <c r="W1386" s="589"/>
      <c r="X1386" s="589"/>
      <c r="Y1386" s="589"/>
      <c r="Z1386" s="589"/>
      <c r="AA1386" s="589"/>
      <c r="AB1386" s="589"/>
      <c r="AC1386" s="589"/>
      <c r="AD1386" s="589"/>
      <c r="AE1386" s="589"/>
      <c r="AF1386" s="589"/>
      <c r="AG1386" s="589"/>
      <c r="AH1386" s="589"/>
      <c r="AI1386" s="589"/>
      <c r="AJ1386" s="589"/>
      <c r="AK1386" s="589"/>
      <c r="AL1386" s="589"/>
      <c r="AM1386" s="589"/>
      <c r="AN1386" s="589"/>
      <c r="AO1386" s="589"/>
      <c r="AP1386" s="589"/>
      <c r="AQ1386" s="589"/>
      <c r="AR1386" s="589"/>
      <c r="AS1386" s="589"/>
    </row>
    <row r="1387" spans="1:45" ht="15">
      <c r="A1387" s="590" t="s">
        <v>179</v>
      </c>
      <c r="B1387" s="591" t="s">
        <v>600</v>
      </c>
      <c r="C1387" s="591" t="s">
        <v>855</v>
      </c>
      <c r="D1387" s="592">
        <v>2017</v>
      </c>
      <c r="E1387" s="591" t="s">
        <v>775</v>
      </c>
      <c r="F1387" s="592">
        <v>465</v>
      </c>
      <c r="G1387" s="592">
        <v>0</v>
      </c>
      <c r="H1387" s="592">
        <v>0</v>
      </c>
      <c r="I1387" s="592">
        <v>0</v>
      </c>
      <c r="J1387" s="592">
        <v>353</v>
      </c>
      <c r="K1387" s="592">
        <v>0</v>
      </c>
      <c r="L1387" s="592">
        <v>0</v>
      </c>
      <c r="M1387" s="592">
        <v>0</v>
      </c>
      <c r="N1387" s="593">
        <v>327</v>
      </c>
      <c r="O1387" s="593">
        <v>116</v>
      </c>
      <c r="P1387" s="593">
        <v>718</v>
      </c>
      <c r="Q1387" s="593">
        <v>7</v>
      </c>
      <c r="R1387" s="593">
        <v>1863</v>
      </c>
      <c r="S1387" s="593">
        <v>123</v>
      </c>
      <c r="T1387" s="593">
        <v>2017</v>
      </c>
      <c r="U1387" s="593">
        <v>2013</v>
      </c>
      <c r="V1387" s="589"/>
      <c r="W1387" s="589"/>
      <c r="X1387" s="589"/>
      <c r="Y1387" s="589"/>
      <c r="Z1387" s="589"/>
      <c r="AA1387" s="589"/>
      <c r="AB1387" s="589"/>
      <c r="AC1387" s="589"/>
      <c r="AD1387" s="589"/>
      <c r="AE1387" s="589"/>
      <c r="AF1387" s="589"/>
      <c r="AG1387" s="589"/>
      <c r="AH1387" s="589"/>
      <c r="AI1387" s="589"/>
      <c r="AJ1387" s="589"/>
      <c r="AK1387" s="589"/>
      <c r="AL1387" s="589"/>
      <c r="AM1387" s="589"/>
      <c r="AN1387" s="589"/>
      <c r="AO1387" s="589"/>
      <c r="AP1387" s="589"/>
      <c r="AQ1387" s="589"/>
      <c r="AR1387" s="589"/>
      <c r="AS1387" s="589"/>
    </row>
    <row r="1388" spans="1:45" ht="15">
      <c r="A1388" s="587" t="s">
        <v>178</v>
      </c>
      <c r="B1388" s="587" t="s">
        <v>579</v>
      </c>
      <c r="C1388" s="587" t="s">
        <v>812</v>
      </c>
      <c r="D1388" s="588">
        <v>2017</v>
      </c>
      <c r="E1388" s="587" t="s">
        <v>775</v>
      </c>
      <c r="F1388" s="588">
        <v>38</v>
      </c>
      <c r="G1388" s="588">
        <v>0</v>
      </c>
      <c r="H1388" s="588">
        <v>0</v>
      </c>
      <c r="I1388" s="588">
        <v>0</v>
      </c>
      <c r="J1388" s="588">
        <v>29</v>
      </c>
      <c r="K1388" s="588">
        <v>0</v>
      </c>
      <c r="L1388" s="588">
        <v>0</v>
      </c>
      <c r="M1388" s="588">
        <v>0</v>
      </c>
      <c r="N1388" s="588">
        <v>34</v>
      </c>
      <c r="O1388" s="588">
        <v>0</v>
      </c>
      <c r="P1388" s="588">
        <v>80</v>
      </c>
      <c r="Q1388" s="588">
        <v>3</v>
      </c>
      <c r="R1388" s="588">
        <v>181</v>
      </c>
      <c r="S1388" s="588">
        <v>3</v>
      </c>
      <c r="T1388" s="588">
        <v>2017</v>
      </c>
      <c r="U1388" s="588">
        <v>2014</v>
      </c>
      <c r="V1388" s="589"/>
      <c r="W1388" s="589"/>
      <c r="X1388" s="589"/>
      <c r="Y1388" s="589"/>
      <c r="Z1388" s="589"/>
      <c r="AA1388" s="589"/>
      <c r="AB1388" s="589"/>
      <c r="AC1388" s="589"/>
      <c r="AD1388" s="589"/>
      <c r="AE1388" s="589"/>
      <c r="AF1388" s="589"/>
      <c r="AG1388" s="589"/>
      <c r="AH1388" s="589"/>
      <c r="AI1388" s="589"/>
      <c r="AJ1388" s="589"/>
      <c r="AK1388" s="589"/>
      <c r="AL1388" s="589"/>
      <c r="AM1388" s="589"/>
      <c r="AN1388" s="589"/>
      <c r="AO1388" s="589"/>
      <c r="AP1388" s="589"/>
      <c r="AQ1388" s="589"/>
      <c r="AR1388" s="589"/>
      <c r="AS1388" s="589"/>
    </row>
    <row r="1389" spans="1:45" ht="15">
      <c r="A1389" s="590" t="s">
        <v>168</v>
      </c>
      <c r="B1389" s="591" t="s">
        <v>482</v>
      </c>
      <c r="C1389" s="591" t="s">
        <v>784</v>
      </c>
      <c r="D1389" s="592">
        <v>2017</v>
      </c>
      <c r="E1389" s="591" t="s">
        <v>775</v>
      </c>
      <c r="F1389" s="592">
        <v>19</v>
      </c>
      <c r="G1389" s="592">
        <v>0</v>
      </c>
      <c r="H1389" s="592">
        <v>0</v>
      </c>
      <c r="I1389" s="592">
        <v>0</v>
      </c>
      <c r="J1389" s="592">
        <v>14</v>
      </c>
      <c r="K1389" s="592">
        <v>1</v>
      </c>
      <c r="L1389" s="592">
        <v>0</v>
      </c>
      <c r="M1389" s="592">
        <v>1</v>
      </c>
      <c r="N1389" s="593">
        <v>16</v>
      </c>
      <c r="O1389" s="593">
        <v>3</v>
      </c>
      <c r="P1389" s="593">
        <v>36</v>
      </c>
      <c r="Q1389" s="593">
        <v>0</v>
      </c>
      <c r="R1389" s="593">
        <v>85</v>
      </c>
      <c r="S1389" s="593">
        <v>4</v>
      </c>
      <c r="T1389" s="593">
        <v>2017</v>
      </c>
      <c r="U1389" s="593">
        <v>2014</v>
      </c>
      <c r="V1389" s="589"/>
      <c r="W1389" s="589"/>
      <c r="X1389" s="589"/>
      <c r="Y1389" s="589"/>
      <c r="Z1389" s="589"/>
      <c r="AA1389" s="589"/>
      <c r="AB1389" s="589"/>
      <c r="AC1389" s="589"/>
      <c r="AD1389" s="589"/>
      <c r="AE1389" s="589"/>
      <c r="AF1389" s="589"/>
      <c r="AG1389" s="589"/>
      <c r="AH1389" s="589"/>
      <c r="AI1389" s="589"/>
      <c r="AJ1389" s="589"/>
      <c r="AK1389" s="589"/>
      <c r="AL1389" s="589"/>
      <c r="AM1389" s="589"/>
      <c r="AN1389" s="589"/>
      <c r="AO1389" s="589"/>
      <c r="AP1389" s="589"/>
      <c r="AQ1389" s="589"/>
      <c r="AR1389" s="589"/>
      <c r="AS1389" s="589"/>
    </row>
    <row r="1390" spans="1:45" ht="15">
      <c r="A1390" s="587" t="s">
        <v>168</v>
      </c>
      <c r="B1390" s="587" t="s">
        <v>483</v>
      </c>
      <c r="C1390" s="587" t="s">
        <v>784</v>
      </c>
      <c r="D1390" s="588">
        <v>2017</v>
      </c>
      <c r="E1390" s="587" t="s">
        <v>775</v>
      </c>
      <c r="F1390" s="588">
        <v>174</v>
      </c>
      <c r="G1390" s="588">
        <v>8</v>
      </c>
      <c r="H1390" s="588">
        <v>0</v>
      </c>
      <c r="I1390" s="588">
        <v>8</v>
      </c>
      <c r="J1390" s="588">
        <v>126</v>
      </c>
      <c r="K1390" s="588">
        <v>18</v>
      </c>
      <c r="L1390" s="588">
        <v>0</v>
      </c>
      <c r="M1390" s="588">
        <v>18</v>
      </c>
      <c r="N1390" s="588">
        <v>150</v>
      </c>
      <c r="O1390" s="588">
        <v>27</v>
      </c>
      <c r="P1390" s="588">
        <v>314</v>
      </c>
      <c r="Q1390" s="588">
        <v>60</v>
      </c>
      <c r="R1390" s="588">
        <v>764</v>
      </c>
      <c r="S1390" s="588">
        <v>113</v>
      </c>
      <c r="T1390" s="588">
        <v>2017</v>
      </c>
      <c r="U1390" s="588">
        <v>2014</v>
      </c>
      <c r="V1390" s="589"/>
      <c r="W1390" s="589"/>
      <c r="X1390" s="589"/>
      <c r="Y1390" s="589"/>
      <c r="Z1390" s="589"/>
      <c r="AA1390" s="589"/>
      <c r="AB1390" s="589"/>
      <c r="AC1390" s="589"/>
      <c r="AD1390" s="589"/>
      <c r="AE1390" s="589"/>
      <c r="AF1390" s="589"/>
      <c r="AG1390" s="589"/>
      <c r="AH1390" s="589"/>
      <c r="AI1390" s="589"/>
      <c r="AJ1390" s="589"/>
      <c r="AK1390" s="589"/>
      <c r="AL1390" s="589"/>
      <c r="AM1390" s="589"/>
      <c r="AN1390" s="589"/>
      <c r="AO1390" s="589"/>
      <c r="AP1390" s="589"/>
      <c r="AQ1390" s="589"/>
      <c r="AR1390" s="589"/>
      <c r="AS1390" s="589"/>
    </row>
    <row r="1391" spans="1:45" ht="15">
      <c r="A1391" s="590" t="s">
        <v>125</v>
      </c>
      <c r="B1391" s="591" t="s">
        <v>241</v>
      </c>
      <c r="C1391" s="591" t="s">
        <v>774</v>
      </c>
      <c r="D1391" s="592">
        <v>2017</v>
      </c>
      <c r="E1391" s="591" t="s">
        <v>775</v>
      </c>
      <c r="F1391" s="592">
        <v>330</v>
      </c>
      <c r="G1391" s="592">
        <v>0</v>
      </c>
      <c r="H1391" s="592">
        <v>0</v>
      </c>
      <c r="I1391" s="592">
        <v>0</v>
      </c>
      <c r="J1391" s="592">
        <v>167</v>
      </c>
      <c r="K1391" s="592">
        <v>0</v>
      </c>
      <c r="L1391" s="592">
        <v>0</v>
      </c>
      <c r="M1391" s="592">
        <v>0</v>
      </c>
      <c r="N1391" s="593">
        <v>158</v>
      </c>
      <c r="O1391" s="593">
        <v>0</v>
      </c>
      <c r="P1391" s="593">
        <v>423</v>
      </c>
      <c r="Q1391" s="593">
        <v>0</v>
      </c>
      <c r="R1391" s="593">
        <v>1078</v>
      </c>
      <c r="S1391" s="593">
        <v>0</v>
      </c>
      <c r="T1391" s="593">
        <v>2017</v>
      </c>
      <c r="U1391" s="593">
        <v>2015</v>
      </c>
      <c r="V1391" s="589"/>
      <c r="W1391" s="589"/>
      <c r="X1391" s="589"/>
      <c r="Y1391" s="589"/>
      <c r="Z1391" s="589"/>
      <c r="AA1391" s="589"/>
      <c r="AB1391" s="589"/>
      <c r="AC1391" s="589"/>
      <c r="AD1391" s="589"/>
      <c r="AE1391" s="589"/>
      <c r="AF1391" s="589"/>
      <c r="AG1391" s="589"/>
      <c r="AH1391" s="589"/>
      <c r="AI1391" s="589"/>
      <c r="AJ1391" s="589"/>
      <c r="AK1391" s="589"/>
      <c r="AL1391" s="589"/>
      <c r="AM1391" s="589"/>
      <c r="AN1391" s="589"/>
      <c r="AO1391" s="589"/>
      <c r="AP1391" s="589"/>
      <c r="AQ1391" s="589"/>
      <c r="AR1391" s="589"/>
      <c r="AS1391" s="589"/>
    </row>
    <row r="1392" spans="1:45" ht="15">
      <c r="A1392" s="587" t="s">
        <v>169</v>
      </c>
      <c r="B1392" s="587" t="s">
        <v>506</v>
      </c>
      <c r="C1392" s="587" t="s">
        <v>812</v>
      </c>
      <c r="D1392" s="588">
        <v>2017</v>
      </c>
      <c r="E1392" s="587" t="s">
        <v>775</v>
      </c>
      <c r="F1392" s="588">
        <v>1</v>
      </c>
      <c r="G1392" s="588">
        <v>91</v>
      </c>
      <c r="H1392" s="588">
        <v>91</v>
      </c>
      <c r="I1392" s="588">
        <v>0</v>
      </c>
      <c r="J1392" s="588">
        <v>1</v>
      </c>
      <c r="K1392" s="588">
        <v>0</v>
      </c>
      <c r="L1392" s="588">
        <v>0</v>
      </c>
      <c r="M1392" s="588">
        <v>0</v>
      </c>
      <c r="N1392" s="588">
        <v>1</v>
      </c>
      <c r="O1392" s="588">
        <v>0</v>
      </c>
      <c r="P1392" s="588">
        <v>2</v>
      </c>
      <c r="Q1392" s="588">
        <v>1087</v>
      </c>
      <c r="R1392" s="588">
        <v>5</v>
      </c>
      <c r="S1392" s="588">
        <v>1178</v>
      </c>
      <c r="T1392" s="588">
        <v>2017</v>
      </c>
      <c r="U1392" s="588">
        <v>2014</v>
      </c>
      <c r="V1392" s="589"/>
      <c r="W1392" s="589"/>
      <c r="X1392" s="589"/>
      <c r="Y1392" s="589"/>
      <c r="Z1392" s="589"/>
      <c r="AA1392" s="589"/>
      <c r="AB1392" s="589"/>
      <c r="AC1392" s="589"/>
      <c r="AD1392" s="589"/>
      <c r="AE1392" s="589"/>
      <c r="AF1392" s="589"/>
      <c r="AG1392" s="589"/>
      <c r="AH1392" s="589"/>
      <c r="AI1392" s="589"/>
      <c r="AJ1392" s="589"/>
      <c r="AK1392" s="589"/>
      <c r="AL1392" s="589"/>
      <c r="AM1392" s="589"/>
      <c r="AN1392" s="589"/>
      <c r="AO1392" s="589"/>
      <c r="AP1392" s="589"/>
      <c r="AQ1392" s="589"/>
      <c r="AR1392" s="589"/>
      <c r="AS1392" s="589"/>
    </row>
    <row r="1393" spans="1:45" ht="15">
      <c r="A1393" s="590" t="s">
        <v>173</v>
      </c>
      <c r="B1393" s="591" t="s">
        <v>547</v>
      </c>
      <c r="C1393" s="591" t="s">
        <v>812</v>
      </c>
      <c r="D1393" s="592">
        <v>2017</v>
      </c>
      <c r="E1393" s="591" t="s">
        <v>775</v>
      </c>
      <c r="F1393" s="592">
        <v>205</v>
      </c>
      <c r="G1393" s="592">
        <v>0</v>
      </c>
      <c r="H1393" s="592">
        <v>0</v>
      </c>
      <c r="I1393" s="592">
        <v>0</v>
      </c>
      <c r="J1393" s="592">
        <v>136</v>
      </c>
      <c r="K1393" s="592">
        <v>0</v>
      </c>
      <c r="L1393" s="592">
        <v>0</v>
      </c>
      <c r="M1393" s="592">
        <v>0</v>
      </c>
      <c r="N1393" s="593">
        <v>151</v>
      </c>
      <c r="O1393" s="593">
        <v>0</v>
      </c>
      <c r="P1393" s="593">
        <v>326</v>
      </c>
      <c r="Q1393" s="593">
        <v>2</v>
      </c>
      <c r="R1393" s="593">
        <v>818</v>
      </c>
      <c r="S1393" s="593">
        <v>2</v>
      </c>
      <c r="T1393" s="593">
        <v>2017</v>
      </c>
      <c r="U1393" s="593">
        <v>2014</v>
      </c>
      <c r="V1393" s="589"/>
      <c r="W1393" s="589"/>
      <c r="X1393" s="589"/>
      <c r="Y1393" s="589"/>
      <c r="Z1393" s="589"/>
      <c r="AA1393" s="589"/>
      <c r="AB1393" s="589"/>
      <c r="AC1393" s="589"/>
      <c r="AD1393" s="589"/>
      <c r="AE1393" s="589"/>
      <c r="AF1393" s="589"/>
      <c r="AG1393" s="589"/>
      <c r="AH1393" s="589"/>
      <c r="AI1393" s="589"/>
      <c r="AJ1393" s="589"/>
      <c r="AK1393" s="589"/>
      <c r="AL1393" s="589"/>
      <c r="AM1393" s="589"/>
      <c r="AN1393" s="589"/>
      <c r="AO1393" s="589"/>
      <c r="AP1393" s="589"/>
      <c r="AQ1393" s="589"/>
      <c r="AR1393" s="589"/>
      <c r="AS1393" s="589"/>
    </row>
    <row r="1394" spans="1:45" ht="15">
      <c r="A1394" s="587" t="s">
        <v>153</v>
      </c>
      <c r="B1394" s="587" t="s">
        <v>402</v>
      </c>
      <c r="C1394" s="587" t="s">
        <v>812</v>
      </c>
      <c r="D1394" s="588">
        <v>2017</v>
      </c>
      <c r="E1394" s="587" t="s">
        <v>775</v>
      </c>
      <c r="F1394" s="588">
        <v>52</v>
      </c>
      <c r="G1394" s="588">
        <v>1</v>
      </c>
      <c r="H1394" s="588">
        <v>0</v>
      </c>
      <c r="I1394" s="588">
        <v>1</v>
      </c>
      <c r="J1394" s="588">
        <v>31</v>
      </c>
      <c r="K1394" s="588">
        <v>0</v>
      </c>
      <c r="L1394" s="588">
        <v>0</v>
      </c>
      <c r="M1394" s="588">
        <v>0</v>
      </c>
      <c r="N1394" s="588">
        <v>33</v>
      </c>
      <c r="O1394" s="588">
        <v>7</v>
      </c>
      <c r="P1394" s="588">
        <v>85</v>
      </c>
      <c r="Q1394" s="588">
        <v>49</v>
      </c>
      <c r="R1394" s="588">
        <v>201</v>
      </c>
      <c r="S1394" s="588">
        <v>57</v>
      </c>
      <c r="T1394" s="588">
        <v>2017</v>
      </c>
      <c r="U1394" s="588">
        <v>2014</v>
      </c>
      <c r="V1394" s="589"/>
      <c r="W1394" s="589"/>
      <c r="X1394" s="589"/>
      <c r="Y1394" s="589"/>
      <c r="Z1394" s="589"/>
      <c r="AA1394" s="589"/>
      <c r="AB1394" s="589"/>
      <c r="AC1394" s="589"/>
      <c r="AD1394" s="589"/>
      <c r="AE1394" s="589"/>
      <c r="AF1394" s="589"/>
      <c r="AG1394" s="589"/>
      <c r="AH1394" s="589"/>
      <c r="AI1394" s="589"/>
      <c r="AJ1394" s="589"/>
      <c r="AK1394" s="589"/>
      <c r="AL1394" s="589"/>
      <c r="AM1394" s="589"/>
      <c r="AN1394" s="589"/>
      <c r="AO1394" s="589"/>
      <c r="AP1394" s="589"/>
      <c r="AQ1394" s="589"/>
      <c r="AR1394" s="589"/>
      <c r="AS1394" s="589"/>
    </row>
    <row r="1395" spans="1:45" ht="15">
      <c r="A1395" s="590" t="s">
        <v>157</v>
      </c>
      <c r="B1395" s="591" t="s">
        <v>442</v>
      </c>
      <c r="C1395" s="591" t="s">
        <v>774</v>
      </c>
      <c r="D1395" s="592">
        <v>2017</v>
      </c>
      <c r="E1395" s="591" t="s">
        <v>775</v>
      </c>
      <c r="F1395" s="592">
        <v>111</v>
      </c>
      <c r="G1395" s="592">
        <v>2</v>
      </c>
      <c r="H1395" s="592">
        <v>0</v>
      </c>
      <c r="I1395" s="592">
        <v>2</v>
      </c>
      <c r="J1395" s="592">
        <v>65</v>
      </c>
      <c r="K1395" s="592">
        <v>1</v>
      </c>
      <c r="L1395" s="592">
        <v>0</v>
      </c>
      <c r="M1395" s="592">
        <v>1</v>
      </c>
      <c r="N1395" s="593">
        <v>72</v>
      </c>
      <c r="O1395" s="593">
        <v>0</v>
      </c>
      <c r="P1395" s="593">
        <v>167</v>
      </c>
      <c r="Q1395" s="593">
        <v>6</v>
      </c>
      <c r="R1395" s="593">
        <v>415</v>
      </c>
      <c r="S1395" s="593">
        <v>9</v>
      </c>
      <c r="T1395" s="593">
        <v>2017</v>
      </c>
      <c r="U1395" s="593">
        <v>2015</v>
      </c>
      <c r="V1395" s="589"/>
      <c r="W1395" s="589"/>
      <c r="X1395" s="589"/>
      <c r="Y1395" s="589"/>
      <c r="Z1395" s="589"/>
      <c r="AA1395" s="589"/>
      <c r="AB1395" s="589"/>
      <c r="AC1395" s="589"/>
      <c r="AD1395" s="589"/>
      <c r="AE1395" s="589"/>
      <c r="AF1395" s="589"/>
      <c r="AG1395" s="589"/>
      <c r="AH1395" s="589"/>
      <c r="AI1395" s="589"/>
      <c r="AJ1395" s="589"/>
      <c r="AK1395" s="589"/>
      <c r="AL1395" s="589"/>
      <c r="AM1395" s="589"/>
      <c r="AN1395" s="589"/>
      <c r="AO1395" s="589"/>
      <c r="AP1395" s="589"/>
      <c r="AQ1395" s="589"/>
      <c r="AR1395" s="589"/>
      <c r="AS1395" s="589"/>
    </row>
    <row r="1396" spans="1:45" ht="15">
      <c r="A1396" s="587" t="s">
        <v>195</v>
      </c>
      <c r="B1396" s="587" t="s">
        <v>707</v>
      </c>
      <c r="C1396" s="587" t="s">
        <v>177</v>
      </c>
      <c r="D1396" s="588">
        <v>2017</v>
      </c>
      <c r="E1396" s="587" t="s">
        <v>775</v>
      </c>
      <c r="F1396" s="588">
        <v>315</v>
      </c>
      <c r="G1396" s="588">
        <v>0</v>
      </c>
      <c r="H1396" s="588">
        <v>0</v>
      </c>
      <c r="I1396" s="588">
        <v>0</v>
      </c>
      <c r="J1396" s="588">
        <v>202</v>
      </c>
      <c r="K1396" s="588">
        <v>0</v>
      </c>
      <c r="L1396" s="588">
        <v>0</v>
      </c>
      <c r="M1396" s="588">
        <v>0</v>
      </c>
      <c r="N1396" s="588">
        <v>210</v>
      </c>
      <c r="O1396" s="588">
        <v>76</v>
      </c>
      <c r="P1396" s="588">
        <v>520</v>
      </c>
      <c r="Q1396" s="588">
        <v>34</v>
      </c>
      <c r="R1396" s="588">
        <v>1247</v>
      </c>
      <c r="S1396" s="588">
        <v>110</v>
      </c>
      <c r="T1396" s="588">
        <v>2017</v>
      </c>
      <c r="U1396" s="588">
        <v>2016</v>
      </c>
      <c r="V1396" s="589"/>
      <c r="W1396" s="589"/>
      <c r="X1396" s="589"/>
      <c r="Y1396" s="589"/>
      <c r="Z1396" s="589"/>
      <c r="AA1396" s="589"/>
      <c r="AB1396" s="589"/>
      <c r="AC1396" s="589"/>
      <c r="AD1396" s="589"/>
      <c r="AE1396" s="589"/>
      <c r="AF1396" s="589"/>
      <c r="AG1396" s="589"/>
      <c r="AH1396" s="589"/>
      <c r="AI1396" s="589"/>
      <c r="AJ1396" s="589"/>
      <c r="AK1396" s="589"/>
      <c r="AL1396" s="589"/>
      <c r="AM1396" s="589"/>
      <c r="AN1396" s="589"/>
      <c r="AO1396" s="589"/>
      <c r="AP1396" s="589"/>
      <c r="AQ1396" s="589"/>
      <c r="AR1396" s="589"/>
      <c r="AS1396" s="589"/>
    </row>
    <row r="1397" spans="1:45" ht="15">
      <c r="A1397" s="590" t="s">
        <v>125</v>
      </c>
      <c r="B1397" s="591" t="s">
        <v>242</v>
      </c>
      <c r="C1397" s="591" t="s">
        <v>774</v>
      </c>
      <c r="D1397" s="592">
        <v>2017</v>
      </c>
      <c r="E1397" s="591" t="s">
        <v>775</v>
      </c>
      <c r="F1397" s="592">
        <v>2059</v>
      </c>
      <c r="G1397" s="592">
        <v>247</v>
      </c>
      <c r="H1397" s="592">
        <v>247</v>
      </c>
      <c r="I1397" s="592">
        <v>0</v>
      </c>
      <c r="J1397" s="592">
        <v>2075</v>
      </c>
      <c r="K1397" s="592">
        <v>66</v>
      </c>
      <c r="L1397" s="592">
        <v>66</v>
      </c>
      <c r="M1397" s="592">
        <v>0</v>
      </c>
      <c r="N1397" s="593">
        <v>2815</v>
      </c>
      <c r="O1397" s="593">
        <v>11</v>
      </c>
      <c r="P1397" s="593">
        <v>7816</v>
      </c>
      <c r="Q1397" s="593">
        <v>4019</v>
      </c>
      <c r="R1397" s="593">
        <v>14765</v>
      </c>
      <c r="S1397" s="593">
        <v>4343</v>
      </c>
      <c r="T1397" s="593">
        <v>2017</v>
      </c>
      <c r="U1397" s="593">
        <v>2015</v>
      </c>
      <c r="V1397" s="589"/>
      <c r="W1397" s="589"/>
      <c r="X1397" s="589"/>
      <c r="Y1397" s="589"/>
      <c r="Z1397" s="589"/>
      <c r="AA1397" s="589"/>
      <c r="AB1397" s="589"/>
      <c r="AC1397" s="589"/>
      <c r="AD1397" s="589"/>
      <c r="AE1397" s="589"/>
      <c r="AF1397" s="589"/>
      <c r="AG1397" s="589"/>
      <c r="AH1397" s="589"/>
      <c r="AI1397" s="589"/>
      <c r="AJ1397" s="589"/>
      <c r="AK1397" s="589"/>
      <c r="AL1397" s="589"/>
      <c r="AM1397" s="589"/>
      <c r="AN1397" s="589"/>
      <c r="AO1397" s="589"/>
      <c r="AP1397" s="589"/>
      <c r="AQ1397" s="589"/>
      <c r="AR1397" s="589"/>
      <c r="AS1397" s="589"/>
    </row>
    <row r="1398" spans="1:45" ht="15">
      <c r="A1398" s="587" t="s">
        <v>136</v>
      </c>
      <c r="B1398" s="587" t="s">
        <v>276</v>
      </c>
      <c r="C1398" s="587" t="s">
        <v>774</v>
      </c>
      <c r="D1398" s="588">
        <v>2017</v>
      </c>
      <c r="E1398" s="587" t="s">
        <v>775</v>
      </c>
      <c r="F1398" s="588">
        <v>317</v>
      </c>
      <c r="G1398" s="588">
        <v>8</v>
      </c>
      <c r="H1398" s="588">
        <v>8</v>
      </c>
      <c r="I1398" s="588">
        <v>0</v>
      </c>
      <c r="J1398" s="588">
        <v>174</v>
      </c>
      <c r="K1398" s="588">
        <v>66</v>
      </c>
      <c r="L1398" s="588">
        <v>66</v>
      </c>
      <c r="M1398" s="588">
        <v>0</v>
      </c>
      <c r="N1398" s="588">
        <v>175</v>
      </c>
      <c r="O1398" s="588">
        <v>51</v>
      </c>
      <c r="P1398" s="588">
        <v>502</v>
      </c>
      <c r="Q1398" s="588">
        <v>117</v>
      </c>
      <c r="R1398" s="588">
        <v>1168</v>
      </c>
      <c r="S1398" s="588">
        <v>242</v>
      </c>
      <c r="T1398" s="588">
        <v>2017</v>
      </c>
      <c r="U1398" s="588">
        <v>2015</v>
      </c>
      <c r="V1398" s="589"/>
      <c r="W1398" s="589"/>
      <c r="X1398" s="589"/>
      <c r="Y1398" s="589"/>
      <c r="Z1398" s="589"/>
      <c r="AA1398" s="589"/>
      <c r="AB1398" s="589"/>
      <c r="AC1398" s="589"/>
      <c r="AD1398" s="589"/>
      <c r="AE1398" s="589"/>
      <c r="AF1398" s="589"/>
      <c r="AG1398" s="589"/>
      <c r="AH1398" s="589"/>
      <c r="AI1398" s="589"/>
      <c r="AJ1398" s="589"/>
      <c r="AK1398" s="589"/>
      <c r="AL1398" s="589"/>
      <c r="AM1398" s="589"/>
      <c r="AN1398" s="589"/>
      <c r="AO1398" s="589"/>
      <c r="AP1398" s="589"/>
      <c r="AQ1398" s="589"/>
      <c r="AR1398" s="589"/>
      <c r="AS1398" s="589"/>
    </row>
    <row r="1399" spans="1:45" ht="15">
      <c r="A1399" s="590" t="s">
        <v>179</v>
      </c>
      <c r="B1399" s="591" t="s">
        <v>601</v>
      </c>
      <c r="C1399" s="591" t="s">
        <v>855</v>
      </c>
      <c r="D1399" s="592">
        <v>2017</v>
      </c>
      <c r="E1399" s="591" t="s">
        <v>775</v>
      </c>
      <c r="F1399" s="592">
        <v>1549</v>
      </c>
      <c r="G1399" s="592">
        <v>43</v>
      </c>
      <c r="H1399" s="592">
        <v>43</v>
      </c>
      <c r="I1399" s="592">
        <v>0</v>
      </c>
      <c r="J1399" s="592">
        <v>1178</v>
      </c>
      <c r="K1399" s="592">
        <v>117</v>
      </c>
      <c r="L1399" s="592">
        <v>117</v>
      </c>
      <c r="M1399" s="592">
        <v>0</v>
      </c>
      <c r="N1399" s="593">
        <v>1090</v>
      </c>
      <c r="O1399" s="593">
        <v>0</v>
      </c>
      <c r="P1399" s="593">
        <v>2393</v>
      </c>
      <c r="Q1399" s="593">
        <v>39</v>
      </c>
      <c r="R1399" s="593">
        <v>6210</v>
      </c>
      <c r="S1399" s="593">
        <v>199</v>
      </c>
      <c r="T1399" s="593">
        <v>2017</v>
      </c>
      <c r="U1399" s="593">
        <v>2013</v>
      </c>
      <c r="V1399" s="589"/>
      <c r="W1399" s="589"/>
      <c r="X1399" s="589"/>
      <c r="Y1399" s="589"/>
      <c r="Z1399" s="589"/>
      <c r="AA1399" s="589"/>
      <c r="AB1399" s="589"/>
      <c r="AC1399" s="589"/>
      <c r="AD1399" s="589"/>
      <c r="AE1399" s="589"/>
      <c r="AF1399" s="589"/>
      <c r="AG1399" s="589"/>
      <c r="AH1399" s="589"/>
      <c r="AI1399" s="589"/>
      <c r="AJ1399" s="589"/>
      <c r="AK1399" s="589"/>
      <c r="AL1399" s="589"/>
      <c r="AM1399" s="589"/>
      <c r="AN1399" s="589"/>
      <c r="AO1399" s="589"/>
      <c r="AP1399" s="589"/>
      <c r="AQ1399" s="589"/>
      <c r="AR1399" s="589"/>
      <c r="AS1399" s="589"/>
    </row>
    <row r="1400" spans="1:45" ht="15">
      <c r="A1400" s="587" t="s">
        <v>201</v>
      </c>
      <c r="B1400" s="587" t="s">
        <v>733</v>
      </c>
      <c r="C1400" s="587" t="s">
        <v>812</v>
      </c>
      <c r="D1400" s="588">
        <v>2017</v>
      </c>
      <c r="E1400" s="587" t="s">
        <v>775</v>
      </c>
      <c r="F1400" s="588">
        <v>87</v>
      </c>
      <c r="G1400" s="588">
        <v>0</v>
      </c>
      <c r="H1400" s="588">
        <v>0</v>
      </c>
      <c r="I1400" s="588">
        <v>0</v>
      </c>
      <c r="J1400" s="588">
        <v>59</v>
      </c>
      <c r="K1400" s="588">
        <v>0</v>
      </c>
      <c r="L1400" s="588">
        <v>0</v>
      </c>
      <c r="M1400" s="588">
        <v>0</v>
      </c>
      <c r="N1400" s="588">
        <v>70</v>
      </c>
      <c r="O1400" s="588">
        <v>2</v>
      </c>
      <c r="P1400" s="588">
        <v>155</v>
      </c>
      <c r="Q1400" s="588">
        <v>9</v>
      </c>
      <c r="R1400" s="588">
        <v>371</v>
      </c>
      <c r="S1400" s="588">
        <v>11</v>
      </c>
      <c r="T1400" s="588">
        <v>2017</v>
      </c>
      <c r="U1400" s="588">
        <v>2014</v>
      </c>
      <c r="V1400" s="589"/>
      <c r="W1400" s="589"/>
      <c r="X1400" s="589"/>
      <c r="Y1400" s="589"/>
      <c r="Z1400" s="589"/>
      <c r="AA1400" s="589"/>
      <c r="AB1400" s="589"/>
      <c r="AC1400" s="589"/>
      <c r="AD1400" s="589"/>
      <c r="AE1400" s="589"/>
      <c r="AF1400" s="589"/>
      <c r="AG1400" s="589"/>
      <c r="AH1400" s="589"/>
      <c r="AI1400" s="589"/>
      <c r="AJ1400" s="589"/>
      <c r="AK1400" s="589"/>
      <c r="AL1400" s="589"/>
      <c r="AM1400" s="589"/>
      <c r="AN1400" s="589"/>
      <c r="AO1400" s="589"/>
      <c r="AP1400" s="589"/>
      <c r="AQ1400" s="589"/>
      <c r="AR1400" s="589"/>
      <c r="AS1400" s="589"/>
    </row>
    <row r="1401" spans="1:45" ht="15">
      <c r="A1401" s="590" t="s">
        <v>178</v>
      </c>
      <c r="B1401" s="591" t="s">
        <v>580</v>
      </c>
      <c r="C1401" s="591" t="s">
        <v>812</v>
      </c>
      <c r="D1401" s="592">
        <v>2017</v>
      </c>
      <c r="E1401" s="591" t="s">
        <v>775</v>
      </c>
      <c r="F1401" s="592">
        <v>2592</v>
      </c>
      <c r="G1401" s="592">
        <v>0</v>
      </c>
      <c r="H1401" s="592">
        <v>0</v>
      </c>
      <c r="I1401" s="592">
        <v>0</v>
      </c>
      <c r="J1401" s="592">
        <v>1745</v>
      </c>
      <c r="K1401" s="592">
        <v>0</v>
      </c>
      <c r="L1401" s="592">
        <v>0</v>
      </c>
      <c r="M1401" s="592">
        <v>0</v>
      </c>
      <c r="N1401" s="593">
        <v>1977</v>
      </c>
      <c r="O1401" s="593">
        <v>520</v>
      </c>
      <c r="P1401" s="593">
        <v>4547</v>
      </c>
      <c r="Q1401" s="593">
        <v>1136</v>
      </c>
      <c r="R1401" s="593">
        <v>10861</v>
      </c>
      <c r="S1401" s="593">
        <v>1656</v>
      </c>
      <c r="T1401" s="593">
        <v>2017</v>
      </c>
      <c r="U1401" s="593">
        <v>2014</v>
      </c>
      <c r="V1401" s="589"/>
      <c r="W1401" s="589"/>
      <c r="X1401" s="589"/>
      <c r="Y1401" s="589"/>
      <c r="Z1401" s="589"/>
      <c r="AA1401" s="589"/>
      <c r="AB1401" s="589"/>
      <c r="AC1401" s="589"/>
      <c r="AD1401" s="589"/>
      <c r="AE1401" s="589"/>
      <c r="AF1401" s="589"/>
      <c r="AG1401" s="589"/>
      <c r="AH1401" s="589"/>
      <c r="AI1401" s="589"/>
      <c r="AJ1401" s="589"/>
      <c r="AK1401" s="589"/>
      <c r="AL1401" s="589"/>
      <c r="AM1401" s="589"/>
      <c r="AN1401" s="589"/>
      <c r="AO1401" s="589"/>
      <c r="AP1401" s="589"/>
      <c r="AQ1401" s="589"/>
      <c r="AR1401" s="589"/>
      <c r="AS1401" s="589"/>
    </row>
    <row r="1402" spans="1:45" ht="15">
      <c r="A1402" s="587" t="s">
        <v>169</v>
      </c>
      <c r="B1402" s="587" t="s">
        <v>169</v>
      </c>
      <c r="C1402" s="587" t="s">
        <v>812</v>
      </c>
      <c r="D1402" s="588">
        <v>2017</v>
      </c>
      <c r="E1402" s="587" t="s">
        <v>775</v>
      </c>
      <c r="F1402" s="588">
        <v>83</v>
      </c>
      <c r="G1402" s="588">
        <v>0</v>
      </c>
      <c r="H1402" s="588">
        <v>0</v>
      </c>
      <c r="I1402" s="588">
        <v>0</v>
      </c>
      <c r="J1402" s="588">
        <v>59</v>
      </c>
      <c r="K1402" s="588">
        <v>0</v>
      </c>
      <c r="L1402" s="588">
        <v>0</v>
      </c>
      <c r="M1402" s="588">
        <v>0</v>
      </c>
      <c r="N1402" s="588">
        <v>66</v>
      </c>
      <c r="O1402" s="588">
        <v>4</v>
      </c>
      <c r="P1402" s="588">
        <v>155</v>
      </c>
      <c r="Q1402" s="588">
        <v>75</v>
      </c>
      <c r="R1402" s="588">
        <v>363</v>
      </c>
      <c r="S1402" s="588">
        <v>79</v>
      </c>
      <c r="T1402" s="588">
        <v>2017</v>
      </c>
      <c r="U1402" s="588">
        <v>2014</v>
      </c>
      <c r="V1402" s="589"/>
      <c r="W1402" s="589"/>
      <c r="X1402" s="589"/>
      <c r="Y1402" s="589"/>
      <c r="Z1402" s="589"/>
      <c r="AA1402" s="589"/>
      <c r="AB1402" s="589"/>
      <c r="AC1402" s="589"/>
      <c r="AD1402" s="589"/>
      <c r="AE1402" s="589"/>
      <c r="AF1402" s="589"/>
      <c r="AG1402" s="589"/>
      <c r="AH1402" s="589"/>
      <c r="AI1402" s="589"/>
      <c r="AJ1402" s="589"/>
      <c r="AK1402" s="589"/>
      <c r="AL1402" s="589"/>
      <c r="AM1402" s="589"/>
      <c r="AN1402" s="589"/>
      <c r="AO1402" s="589"/>
      <c r="AP1402" s="589"/>
      <c r="AQ1402" s="589"/>
      <c r="AR1402" s="589"/>
      <c r="AS1402" s="589"/>
    </row>
    <row r="1403" spans="1:45" ht="15">
      <c r="A1403" s="590" t="s">
        <v>169</v>
      </c>
      <c r="B1403" s="591" t="s">
        <v>507</v>
      </c>
      <c r="C1403" s="591" t="s">
        <v>812</v>
      </c>
      <c r="D1403" s="592">
        <v>2017</v>
      </c>
      <c r="E1403" s="591" t="s">
        <v>775</v>
      </c>
      <c r="F1403" s="592">
        <v>1240</v>
      </c>
      <c r="G1403" s="592">
        <v>0</v>
      </c>
      <c r="H1403" s="592">
        <v>0</v>
      </c>
      <c r="I1403" s="592">
        <v>0</v>
      </c>
      <c r="J1403" s="592">
        <v>879</v>
      </c>
      <c r="K1403" s="592">
        <v>0</v>
      </c>
      <c r="L1403" s="592">
        <v>0</v>
      </c>
      <c r="M1403" s="592">
        <v>0</v>
      </c>
      <c r="N1403" s="593">
        <v>979</v>
      </c>
      <c r="O1403" s="593">
        <v>0</v>
      </c>
      <c r="P1403" s="593">
        <v>2174</v>
      </c>
      <c r="Q1403" s="593">
        <v>1388</v>
      </c>
      <c r="R1403" s="593">
        <v>5272</v>
      </c>
      <c r="S1403" s="593">
        <v>1388</v>
      </c>
      <c r="T1403" s="593">
        <v>2017</v>
      </c>
      <c r="U1403" s="593">
        <v>2014</v>
      </c>
      <c r="V1403" s="589"/>
      <c r="W1403" s="589"/>
      <c r="X1403" s="589"/>
      <c r="Y1403" s="589"/>
      <c r="Z1403" s="589"/>
      <c r="AA1403" s="589"/>
      <c r="AB1403" s="589"/>
      <c r="AC1403" s="589"/>
      <c r="AD1403" s="589"/>
      <c r="AE1403" s="589"/>
      <c r="AF1403" s="589"/>
      <c r="AG1403" s="589"/>
      <c r="AH1403" s="589"/>
      <c r="AI1403" s="589"/>
      <c r="AJ1403" s="589"/>
      <c r="AK1403" s="589"/>
      <c r="AL1403" s="589"/>
      <c r="AM1403" s="589"/>
      <c r="AN1403" s="589"/>
      <c r="AO1403" s="589"/>
      <c r="AP1403" s="589"/>
      <c r="AQ1403" s="589"/>
      <c r="AR1403" s="589"/>
      <c r="AS1403" s="589"/>
    </row>
    <row r="1404" spans="1:45" ht="15">
      <c r="A1404" s="587" t="s">
        <v>141</v>
      </c>
      <c r="B1404" s="587" t="s">
        <v>299</v>
      </c>
      <c r="C1404" s="587" t="s">
        <v>177</v>
      </c>
      <c r="D1404" s="588">
        <v>2017</v>
      </c>
      <c r="E1404" s="587" t="s">
        <v>775</v>
      </c>
      <c r="F1404" s="588">
        <v>111</v>
      </c>
      <c r="G1404" s="588">
        <v>0</v>
      </c>
      <c r="H1404" s="588">
        <v>0</v>
      </c>
      <c r="I1404" s="588">
        <v>0</v>
      </c>
      <c r="J1404" s="588">
        <v>86</v>
      </c>
      <c r="K1404" s="588">
        <v>2</v>
      </c>
      <c r="L1404" s="588">
        <v>0</v>
      </c>
      <c r="M1404" s="588">
        <v>2</v>
      </c>
      <c r="N1404" s="588">
        <v>105</v>
      </c>
      <c r="O1404" s="588">
        <v>0</v>
      </c>
      <c r="P1404" s="588">
        <v>367</v>
      </c>
      <c r="Q1404" s="588">
        <v>0</v>
      </c>
      <c r="R1404" s="588">
        <v>669</v>
      </c>
      <c r="S1404" s="588">
        <v>2</v>
      </c>
      <c r="T1404" s="588">
        <v>2017</v>
      </c>
      <c r="U1404" s="588">
        <v>2016</v>
      </c>
      <c r="V1404" s="589"/>
      <c r="W1404" s="589"/>
      <c r="X1404" s="589"/>
      <c r="Y1404" s="589"/>
      <c r="Z1404" s="589"/>
      <c r="AA1404" s="589"/>
      <c r="AB1404" s="589"/>
      <c r="AC1404" s="589"/>
      <c r="AD1404" s="589"/>
      <c r="AE1404" s="589"/>
      <c r="AF1404" s="589"/>
      <c r="AG1404" s="589"/>
      <c r="AH1404" s="589"/>
      <c r="AI1404" s="589"/>
      <c r="AJ1404" s="589"/>
      <c r="AK1404" s="589"/>
      <c r="AL1404" s="589"/>
      <c r="AM1404" s="589"/>
      <c r="AN1404" s="589"/>
      <c r="AO1404" s="589"/>
      <c r="AP1404" s="589"/>
      <c r="AQ1404" s="589"/>
      <c r="AR1404" s="589"/>
      <c r="AS1404" s="589"/>
    </row>
    <row r="1405" spans="1:45" ht="15">
      <c r="A1405" s="590" t="s">
        <v>136</v>
      </c>
      <c r="B1405" s="591" t="s">
        <v>277</v>
      </c>
      <c r="C1405" s="591" t="s">
        <v>774</v>
      </c>
      <c r="D1405" s="592">
        <v>2017</v>
      </c>
      <c r="E1405" s="591" t="s">
        <v>775</v>
      </c>
      <c r="F1405" s="592">
        <v>84</v>
      </c>
      <c r="G1405" s="592">
        <v>0</v>
      </c>
      <c r="H1405" s="592">
        <v>0</v>
      </c>
      <c r="I1405" s="592">
        <v>0</v>
      </c>
      <c r="J1405" s="592">
        <v>47</v>
      </c>
      <c r="K1405" s="592">
        <v>0</v>
      </c>
      <c r="L1405" s="592">
        <v>0</v>
      </c>
      <c r="M1405" s="592">
        <v>0</v>
      </c>
      <c r="N1405" s="593">
        <v>54</v>
      </c>
      <c r="O1405" s="593">
        <v>7</v>
      </c>
      <c r="P1405" s="593">
        <v>42</v>
      </c>
      <c r="Q1405" s="593">
        <v>37</v>
      </c>
      <c r="R1405" s="593">
        <v>227</v>
      </c>
      <c r="S1405" s="593">
        <v>44</v>
      </c>
      <c r="T1405" s="593">
        <v>2017</v>
      </c>
      <c r="U1405" s="593">
        <v>2015</v>
      </c>
      <c r="V1405" s="589"/>
      <c r="W1405" s="589"/>
      <c r="X1405" s="589"/>
      <c r="Y1405" s="589"/>
      <c r="Z1405" s="589"/>
      <c r="AA1405" s="589"/>
      <c r="AB1405" s="589"/>
      <c r="AC1405" s="589"/>
      <c r="AD1405" s="589"/>
      <c r="AE1405" s="589"/>
      <c r="AF1405" s="589"/>
      <c r="AG1405" s="589"/>
      <c r="AH1405" s="589"/>
      <c r="AI1405" s="589"/>
      <c r="AJ1405" s="589"/>
      <c r="AK1405" s="589"/>
      <c r="AL1405" s="589"/>
      <c r="AM1405" s="589"/>
      <c r="AN1405" s="589"/>
      <c r="AO1405" s="589"/>
      <c r="AP1405" s="589"/>
      <c r="AQ1405" s="589"/>
      <c r="AR1405" s="589"/>
      <c r="AS1405" s="589"/>
    </row>
    <row r="1406" spans="1:45" ht="15">
      <c r="A1406" s="587" t="s">
        <v>144</v>
      </c>
      <c r="B1406" s="587" t="s">
        <v>305</v>
      </c>
      <c r="C1406" s="587" t="s">
        <v>784</v>
      </c>
      <c r="D1406" s="588">
        <v>2017</v>
      </c>
      <c r="E1406" s="587" t="s">
        <v>775</v>
      </c>
      <c r="F1406" s="588">
        <v>20</v>
      </c>
      <c r="G1406" s="588">
        <v>0</v>
      </c>
      <c r="H1406" s="588">
        <v>0</v>
      </c>
      <c r="I1406" s="588">
        <v>0</v>
      </c>
      <c r="J1406" s="588">
        <v>10</v>
      </c>
      <c r="K1406" s="588">
        <v>0</v>
      </c>
      <c r="L1406" s="588">
        <v>0</v>
      </c>
      <c r="M1406" s="588">
        <v>0</v>
      </c>
      <c r="N1406" s="588">
        <v>14</v>
      </c>
      <c r="O1406" s="588">
        <v>7</v>
      </c>
      <c r="P1406" s="588">
        <v>36</v>
      </c>
      <c r="Q1406" s="588">
        <v>0</v>
      </c>
      <c r="R1406" s="588">
        <v>80</v>
      </c>
      <c r="S1406" s="588">
        <v>7</v>
      </c>
      <c r="T1406" s="588">
        <v>2017</v>
      </c>
      <c r="U1406" s="588">
        <v>2014</v>
      </c>
      <c r="V1406" s="589"/>
      <c r="W1406" s="589"/>
      <c r="X1406" s="589"/>
      <c r="Y1406" s="589"/>
      <c r="Z1406" s="589"/>
      <c r="AA1406" s="589"/>
      <c r="AB1406" s="589"/>
      <c r="AC1406" s="589"/>
      <c r="AD1406" s="589"/>
      <c r="AE1406" s="589"/>
      <c r="AF1406" s="589"/>
      <c r="AG1406" s="589"/>
      <c r="AH1406" s="589"/>
      <c r="AI1406" s="589"/>
      <c r="AJ1406" s="589"/>
      <c r="AK1406" s="589"/>
      <c r="AL1406" s="589"/>
      <c r="AM1406" s="589"/>
      <c r="AN1406" s="589"/>
      <c r="AO1406" s="589"/>
      <c r="AP1406" s="589"/>
      <c r="AQ1406" s="589"/>
      <c r="AR1406" s="589"/>
      <c r="AS1406" s="589"/>
    </row>
    <row r="1407" spans="1:45" ht="15">
      <c r="A1407" s="590" t="s">
        <v>131</v>
      </c>
      <c r="B1407" s="591" t="s">
        <v>259</v>
      </c>
      <c r="C1407" s="591" t="s">
        <v>786</v>
      </c>
      <c r="D1407" s="592">
        <v>2017</v>
      </c>
      <c r="E1407" s="591" t="s">
        <v>775</v>
      </c>
      <c r="F1407" s="592">
        <v>419</v>
      </c>
      <c r="G1407" s="592">
        <v>0</v>
      </c>
      <c r="H1407" s="592">
        <v>0</v>
      </c>
      <c r="I1407" s="592">
        <v>0</v>
      </c>
      <c r="J1407" s="592">
        <v>284</v>
      </c>
      <c r="K1407" s="592">
        <v>0</v>
      </c>
      <c r="L1407" s="592">
        <v>0</v>
      </c>
      <c r="M1407" s="592">
        <v>0</v>
      </c>
      <c r="N1407" s="593">
        <v>306</v>
      </c>
      <c r="O1407" s="593">
        <v>0</v>
      </c>
      <c r="P1407" s="593">
        <v>784</v>
      </c>
      <c r="Q1407" s="593">
        <v>3</v>
      </c>
      <c r="R1407" s="593">
        <v>1793</v>
      </c>
      <c r="S1407" s="593">
        <v>3</v>
      </c>
      <c r="T1407" s="593">
        <v>2017</v>
      </c>
      <c r="U1407" s="593">
        <v>2014</v>
      </c>
      <c r="V1407" s="589"/>
      <c r="W1407" s="589"/>
      <c r="X1407" s="589"/>
      <c r="Y1407" s="589"/>
      <c r="Z1407" s="589"/>
      <c r="AA1407" s="589"/>
      <c r="AB1407" s="589"/>
      <c r="AC1407" s="589"/>
      <c r="AD1407" s="589"/>
      <c r="AE1407" s="589"/>
      <c r="AF1407" s="589"/>
      <c r="AG1407" s="589"/>
      <c r="AH1407" s="589"/>
      <c r="AI1407" s="589"/>
      <c r="AJ1407" s="589"/>
      <c r="AK1407" s="589"/>
      <c r="AL1407" s="589"/>
      <c r="AM1407" s="589"/>
      <c r="AN1407" s="589"/>
      <c r="AO1407" s="589"/>
      <c r="AP1407" s="589"/>
      <c r="AQ1407" s="589"/>
      <c r="AR1407" s="589"/>
      <c r="AS1407" s="589"/>
    </row>
    <row r="1408" spans="1:45" ht="15">
      <c r="A1408" s="587" t="s">
        <v>201</v>
      </c>
      <c r="B1408" s="587" t="s">
        <v>734</v>
      </c>
      <c r="C1408" s="587" t="s">
        <v>812</v>
      </c>
      <c r="D1408" s="588">
        <v>2017</v>
      </c>
      <c r="E1408" s="587" t="s">
        <v>775</v>
      </c>
      <c r="F1408" s="588">
        <v>1688</v>
      </c>
      <c r="G1408" s="588">
        <v>30</v>
      </c>
      <c r="H1408" s="588">
        <v>30</v>
      </c>
      <c r="I1408" s="588">
        <v>0</v>
      </c>
      <c r="J1408" s="588">
        <v>1160</v>
      </c>
      <c r="K1408" s="588">
        <v>234</v>
      </c>
      <c r="L1408" s="588">
        <v>234</v>
      </c>
      <c r="M1408" s="588">
        <v>0</v>
      </c>
      <c r="N1408" s="588">
        <v>1351</v>
      </c>
      <c r="O1408" s="588">
        <v>371</v>
      </c>
      <c r="P1408" s="588">
        <v>3102</v>
      </c>
      <c r="Q1408" s="588">
        <v>138</v>
      </c>
      <c r="R1408" s="588">
        <v>7301</v>
      </c>
      <c r="S1408" s="588">
        <v>773</v>
      </c>
      <c r="T1408" s="588">
        <v>2017</v>
      </c>
      <c r="U1408" s="588">
        <v>2014</v>
      </c>
      <c r="V1408" s="589"/>
      <c r="W1408" s="589"/>
      <c r="X1408" s="589"/>
      <c r="Y1408" s="589"/>
      <c r="Z1408" s="589"/>
      <c r="AA1408" s="589"/>
      <c r="AB1408" s="589"/>
      <c r="AC1408" s="589"/>
      <c r="AD1408" s="589"/>
      <c r="AE1408" s="589"/>
      <c r="AF1408" s="589"/>
      <c r="AG1408" s="589"/>
      <c r="AH1408" s="589"/>
      <c r="AI1408" s="589"/>
      <c r="AJ1408" s="589"/>
      <c r="AK1408" s="589"/>
      <c r="AL1408" s="589"/>
      <c r="AM1408" s="589"/>
      <c r="AN1408" s="589"/>
      <c r="AO1408" s="589"/>
      <c r="AP1408" s="589"/>
      <c r="AQ1408" s="589"/>
      <c r="AR1408" s="589"/>
      <c r="AS1408" s="589"/>
    </row>
    <row r="1409" spans="1:45" ht="15">
      <c r="A1409" s="590" t="s">
        <v>164</v>
      </c>
      <c r="B1409" s="590" t="s">
        <v>471</v>
      </c>
      <c r="C1409" s="590" t="s">
        <v>177</v>
      </c>
      <c r="D1409" s="593">
        <v>2017</v>
      </c>
      <c r="E1409" s="590" t="s">
        <v>775</v>
      </c>
      <c r="F1409" s="593">
        <v>28</v>
      </c>
      <c r="G1409" s="593">
        <v>0</v>
      </c>
      <c r="H1409" s="593">
        <v>0</v>
      </c>
      <c r="I1409" s="593">
        <v>0</v>
      </c>
      <c r="J1409" s="593">
        <v>18</v>
      </c>
      <c r="K1409" s="593">
        <v>0</v>
      </c>
      <c r="L1409" s="593">
        <v>0</v>
      </c>
      <c r="M1409" s="593">
        <v>0</v>
      </c>
      <c r="N1409" s="593">
        <v>21</v>
      </c>
      <c r="O1409" s="593">
        <v>0</v>
      </c>
      <c r="P1409" s="593">
        <v>48</v>
      </c>
      <c r="Q1409" s="593">
        <v>1</v>
      </c>
      <c r="R1409" s="593">
        <v>115</v>
      </c>
      <c r="S1409" s="593">
        <v>1</v>
      </c>
      <c r="T1409" s="593">
        <v>2017</v>
      </c>
      <c r="U1409" s="593">
        <v>2016</v>
      </c>
      <c r="V1409" s="589"/>
      <c r="W1409" s="589"/>
      <c r="X1409" s="589"/>
      <c r="Y1409" s="589"/>
      <c r="Z1409" s="589"/>
      <c r="AA1409" s="589"/>
      <c r="AB1409" s="589"/>
      <c r="AC1409" s="589"/>
      <c r="AD1409" s="589"/>
      <c r="AE1409" s="589"/>
      <c r="AF1409" s="589"/>
      <c r="AG1409" s="589"/>
      <c r="AH1409" s="589"/>
      <c r="AI1409" s="589"/>
      <c r="AJ1409" s="589"/>
      <c r="AK1409" s="589"/>
      <c r="AL1409" s="589"/>
      <c r="AM1409" s="589"/>
      <c r="AN1409" s="589"/>
      <c r="AO1409" s="589"/>
      <c r="AP1409" s="589"/>
      <c r="AQ1409" s="589"/>
      <c r="AR1409" s="589"/>
      <c r="AS1409" s="589"/>
    </row>
    <row r="1410" spans="1:45" ht="15">
      <c r="A1410" s="587" t="s">
        <v>184</v>
      </c>
      <c r="B1410" s="587" t="s">
        <v>635</v>
      </c>
      <c r="C1410" s="587" t="s">
        <v>774</v>
      </c>
      <c r="D1410" s="588">
        <v>2017</v>
      </c>
      <c r="E1410" s="587" t="s">
        <v>775</v>
      </c>
      <c r="F1410" s="588">
        <v>121</v>
      </c>
      <c r="G1410" s="588">
        <v>0</v>
      </c>
      <c r="H1410" s="588">
        <v>0</v>
      </c>
      <c r="I1410" s="588">
        <v>0</v>
      </c>
      <c r="J1410" s="588">
        <v>68</v>
      </c>
      <c r="K1410" s="588">
        <v>0</v>
      </c>
      <c r="L1410" s="588">
        <v>0</v>
      </c>
      <c r="M1410" s="588">
        <v>0</v>
      </c>
      <c r="N1410" s="588">
        <v>70</v>
      </c>
      <c r="O1410" s="588">
        <v>4</v>
      </c>
      <c r="P1410" s="588">
        <v>154</v>
      </c>
      <c r="Q1410" s="588">
        <v>5</v>
      </c>
      <c r="R1410" s="588">
        <v>413</v>
      </c>
      <c r="S1410" s="588">
        <v>9</v>
      </c>
      <c r="T1410" s="588">
        <v>2017</v>
      </c>
      <c r="U1410" s="588">
        <v>2015</v>
      </c>
      <c r="V1410" s="589"/>
      <c r="W1410" s="589"/>
      <c r="X1410" s="589"/>
      <c r="Y1410" s="589"/>
      <c r="Z1410" s="589"/>
      <c r="AA1410" s="589"/>
      <c r="AB1410" s="589"/>
      <c r="AC1410" s="589"/>
      <c r="AD1410" s="589"/>
      <c r="AE1410" s="589"/>
      <c r="AF1410" s="589"/>
      <c r="AG1410" s="589"/>
      <c r="AH1410" s="589"/>
      <c r="AI1410" s="589"/>
      <c r="AJ1410" s="589"/>
      <c r="AK1410" s="589"/>
      <c r="AL1410" s="589"/>
      <c r="AM1410" s="589"/>
      <c r="AN1410" s="589"/>
      <c r="AO1410" s="589"/>
      <c r="AP1410" s="589"/>
      <c r="AQ1410" s="589"/>
      <c r="AR1410" s="589"/>
      <c r="AS1410" s="589"/>
    </row>
    <row r="1411" spans="1:45" ht="15">
      <c r="A1411" s="590" t="s">
        <v>173</v>
      </c>
      <c r="B1411" s="590" t="s">
        <v>548</v>
      </c>
      <c r="C1411" s="590" t="s">
        <v>812</v>
      </c>
      <c r="D1411" s="593">
        <v>2017</v>
      </c>
      <c r="E1411" s="590" t="s">
        <v>775</v>
      </c>
      <c r="F1411" s="593">
        <v>98</v>
      </c>
      <c r="G1411" s="593">
        <v>0</v>
      </c>
      <c r="H1411" s="593">
        <v>0</v>
      </c>
      <c r="I1411" s="593">
        <v>0</v>
      </c>
      <c r="J1411" s="593">
        <v>67</v>
      </c>
      <c r="K1411" s="593">
        <v>0</v>
      </c>
      <c r="L1411" s="593">
        <v>0</v>
      </c>
      <c r="M1411" s="593">
        <v>0</v>
      </c>
      <c r="N1411" s="593">
        <v>76</v>
      </c>
      <c r="O1411" s="593">
        <v>0</v>
      </c>
      <c r="P1411" s="593">
        <v>172</v>
      </c>
      <c r="Q1411" s="593">
        <v>95</v>
      </c>
      <c r="R1411" s="593">
        <v>413</v>
      </c>
      <c r="S1411" s="593">
        <v>95</v>
      </c>
      <c r="T1411" s="593">
        <v>2017</v>
      </c>
      <c r="U1411" s="593">
        <v>2014</v>
      </c>
      <c r="V1411" s="589"/>
      <c r="W1411" s="589"/>
      <c r="X1411" s="589"/>
      <c r="Y1411" s="589"/>
      <c r="Z1411" s="589"/>
      <c r="AA1411" s="589"/>
      <c r="AB1411" s="589"/>
      <c r="AC1411" s="589"/>
      <c r="AD1411" s="589"/>
      <c r="AE1411" s="589"/>
      <c r="AF1411" s="589"/>
      <c r="AG1411" s="589"/>
      <c r="AH1411" s="589"/>
      <c r="AI1411" s="589"/>
      <c r="AJ1411" s="589"/>
      <c r="AK1411" s="589"/>
      <c r="AL1411" s="589"/>
      <c r="AM1411" s="589"/>
      <c r="AN1411" s="589"/>
      <c r="AO1411" s="589"/>
      <c r="AP1411" s="589"/>
      <c r="AQ1411" s="589"/>
      <c r="AR1411" s="589"/>
      <c r="AS1411" s="589"/>
    </row>
    <row r="1412" spans="1:45" ht="15">
      <c r="A1412" s="587" t="s">
        <v>173</v>
      </c>
      <c r="B1412" s="587" t="s">
        <v>549</v>
      </c>
      <c r="C1412" s="587" t="s">
        <v>812</v>
      </c>
      <c r="D1412" s="588">
        <v>2017</v>
      </c>
      <c r="E1412" s="587" t="s">
        <v>775</v>
      </c>
      <c r="F1412" s="588">
        <v>63</v>
      </c>
      <c r="G1412" s="588">
        <v>0</v>
      </c>
      <c r="H1412" s="588">
        <v>0</v>
      </c>
      <c r="I1412" s="588">
        <v>0</v>
      </c>
      <c r="J1412" s="588">
        <v>43</v>
      </c>
      <c r="K1412" s="588">
        <v>0</v>
      </c>
      <c r="L1412" s="588">
        <v>0</v>
      </c>
      <c r="M1412" s="588">
        <v>0</v>
      </c>
      <c r="N1412" s="588">
        <v>50</v>
      </c>
      <c r="O1412" s="588">
        <v>0</v>
      </c>
      <c r="P1412" s="588">
        <v>116</v>
      </c>
      <c r="Q1412" s="588">
        <v>394</v>
      </c>
      <c r="R1412" s="588">
        <v>272</v>
      </c>
      <c r="S1412" s="588">
        <v>394</v>
      </c>
      <c r="T1412" s="588">
        <v>2017</v>
      </c>
      <c r="U1412" s="588">
        <v>2014</v>
      </c>
      <c r="V1412" s="589"/>
      <c r="W1412" s="589"/>
      <c r="X1412" s="589"/>
      <c r="Y1412" s="589"/>
      <c r="Z1412" s="589"/>
      <c r="AA1412" s="589"/>
      <c r="AB1412" s="589"/>
      <c r="AC1412" s="589"/>
      <c r="AD1412" s="589"/>
      <c r="AE1412" s="589"/>
      <c r="AF1412" s="589"/>
      <c r="AG1412" s="589"/>
      <c r="AH1412" s="589"/>
      <c r="AI1412" s="589"/>
      <c r="AJ1412" s="589"/>
      <c r="AK1412" s="589"/>
      <c r="AL1412" s="589"/>
      <c r="AM1412" s="589"/>
      <c r="AN1412" s="589"/>
      <c r="AO1412" s="589"/>
      <c r="AP1412" s="589"/>
      <c r="AQ1412" s="589"/>
      <c r="AR1412" s="589"/>
      <c r="AS1412" s="589"/>
    </row>
    <row r="1413" spans="1:45" ht="15">
      <c r="A1413" s="590" t="s">
        <v>153</v>
      </c>
      <c r="B1413" s="590" t="s">
        <v>403</v>
      </c>
      <c r="C1413" s="590" t="s">
        <v>812</v>
      </c>
      <c r="D1413" s="593">
        <v>2017</v>
      </c>
      <c r="E1413" s="590" t="s">
        <v>775</v>
      </c>
      <c r="F1413" s="593">
        <v>1397</v>
      </c>
      <c r="G1413" s="593">
        <v>91</v>
      </c>
      <c r="H1413" s="593">
        <v>91</v>
      </c>
      <c r="I1413" s="593">
        <v>0</v>
      </c>
      <c r="J1413" s="593">
        <v>828</v>
      </c>
      <c r="K1413" s="593">
        <v>70</v>
      </c>
      <c r="L1413" s="593">
        <v>70</v>
      </c>
      <c r="M1413" s="593">
        <v>0</v>
      </c>
      <c r="N1413" s="593">
        <v>899</v>
      </c>
      <c r="O1413" s="593">
        <v>86</v>
      </c>
      <c r="P1413" s="593">
        <v>2334</v>
      </c>
      <c r="Q1413" s="593">
        <v>0</v>
      </c>
      <c r="R1413" s="593">
        <v>5458</v>
      </c>
      <c r="S1413" s="593">
        <v>247</v>
      </c>
      <c r="T1413" s="593">
        <v>2017</v>
      </c>
      <c r="U1413" s="593">
        <v>2014</v>
      </c>
      <c r="V1413" s="589"/>
      <c r="W1413" s="589"/>
      <c r="X1413" s="589"/>
      <c r="Y1413" s="589"/>
      <c r="Z1413" s="589"/>
      <c r="AA1413" s="589"/>
      <c r="AB1413" s="589"/>
      <c r="AC1413" s="589"/>
      <c r="AD1413" s="589"/>
      <c r="AE1413" s="589"/>
      <c r="AF1413" s="589"/>
      <c r="AG1413" s="589"/>
      <c r="AH1413" s="589"/>
      <c r="AI1413" s="589"/>
      <c r="AJ1413" s="589"/>
      <c r="AK1413" s="589"/>
      <c r="AL1413" s="589"/>
      <c r="AM1413" s="589"/>
      <c r="AN1413" s="589"/>
      <c r="AO1413" s="589"/>
      <c r="AP1413" s="589"/>
      <c r="AQ1413" s="589"/>
      <c r="AR1413" s="589"/>
      <c r="AS1413" s="589"/>
    </row>
    <row r="1414" spans="1:45" ht="15">
      <c r="A1414" s="587" t="s">
        <v>187</v>
      </c>
      <c r="B1414" s="587" t="s">
        <v>661</v>
      </c>
      <c r="C1414" s="587" t="s">
        <v>774</v>
      </c>
      <c r="D1414" s="588">
        <v>2017</v>
      </c>
      <c r="E1414" s="587" t="s">
        <v>775</v>
      </c>
      <c r="F1414" s="588">
        <v>691</v>
      </c>
      <c r="G1414" s="588">
        <v>0</v>
      </c>
      <c r="H1414" s="588">
        <v>0</v>
      </c>
      <c r="I1414" s="588">
        <v>0</v>
      </c>
      <c r="J1414" s="588">
        <v>432</v>
      </c>
      <c r="K1414" s="588">
        <v>0</v>
      </c>
      <c r="L1414" s="588">
        <v>0</v>
      </c>
      <c r="M1414" s="588">
        <v>0</v>
      </c>
      <c r="N1414" s="588">
        <v>278</v>
      </c>
      <c r="O1414" s="588">
        <v>28</v>
      </c>
      <c r="P1414" s="588">
        <v>587</v>
      </c>
      <c r="Q1414" s="588">
        <v>61</v>
      </c>
      <c r="R1414" s="588">
        <v>1988</v>
      </c>
      <c r="S1414" s="588">
        <v>89</v>
      </c>
      <c r="T1414" s="588">
        <v>2017</v>
      </c>
      <c r="U1414" s="588">
        <v>2015</v>
      </c>
      <c r="V1414" s="589"/>
      <c r="W1414" s="589"/>
      <c r="X1414" s="589"/>
      <c r="Y1414" s="589"/>
      <c r="Z1414" s="589"/>
      <c r="AA1414" s="589"/>
      <c r="AB1414" s="589"/>
      <c r="AC1414" s="589"/>
      <c r="AD1414" s="589"/>
      <c r="AE1414" s="589"/>
      <c r="AF1414" s="589"/>
      <c r="AG1414" s="589"/>
      <c r="AH1414" s="589"/>
      <c r="AI1414" s="589"/>
      <c r="AJ1414" s="589"/>
      <c r="AK1414" s="589"/>
      <c r="AL1414" s="589"/>
      <c r="AM1414" s="589"/>
      <c r="AN1414" s="589"/>
      <c r="AO1414" s="589"/>
      <c r="AP1414" s="589"/>
      <c r="AQ1414" s="589"/>
      <c r="AR1414" s="589"/>
      <c r="AS1414" s="589"/>
    </row>
    <row r="1415" spans="1:45" ht="15">
      <c r="A1415" s="590" t="s">
        <v>131</v>
      </c>
      <c r="B1415" s="590" t="s">
        <v>260</v>
      </c>
      <c r="C1415" s="590" t="s">
        <v>786</v>
      </c>
      <c r="D1415" s="593">
        <v>2017</v>
      </c>
      <c r="E1415" s="590" t="s">
        <v>775</v>
      </c>
      <c r="F1415" s="593">
        <v>141</v>
      </c>
      <c r="G1415" s="593">
        <v>0</v>
      </c>
      <c r="H1415" s="593">
        <v>0</v>
      </c>
      <c r="I1415" s="593">
        <v>0</v>
      </c>
      <c r="J1415" s="593">
        <v>100</v>
      </c>
      <c r="K1415" s="593">
        <v>2</v>
      </c>
      <c r="L1415" s="593">
        <v>2</v>
      </c>
      <c r="M1415" s="593">
        <v>0</v>
      </c>
      <c r="N1415" s="593">
        <v>93</v>
      </c>
      <c r="O1415" s="593">
        <v>1</v>
      </c>
      <c r="P1415" s="593">
        <v>303</v>
      </c>
      <c r="Q1415" s="593">
        <v>16</v>
      </c>
      <c r="R1415" s="593">
        <v>637</v>
      </c>
      <c r="S1415" s="593">
        <v>19</v>
      </c>
      <c r="T1415" s="593">
        <v>2017</v>
      </c>
      <c r="U1415" s="593">
        <v>2014</v>
      </c>
      <c r="V1415" s="589"/>
      <c r="W1415" s="589"/>
      <c r="X1415" s="589"/>
      <c r="Y1415" s="589"/>
      <c r="Z1415" s="589"/>
      <c r="AA1415" s="589"/>
      <c r="AB1415" s="589"/>
      <c r="AC1415" s="589"/>
      <c r="AD1415" s="589"/>
      <c r="AE1415" s="589"/>
      <c r="AF1415" s="589"/>
      <c r="AG1415" s="589"/>
      <c r="AH1415" s="589"/>
      <c r="AI1415" s="589"/>
      <c r="AJ1415" s="589"/>
      <c r="AK1415" s="589"/>
      <c r="AL1415" s="589"/>
      <c r="AM1415" s="589"/>
      <c r="AN1415" s="589"/>
      <c r="AO1415" s="589"/>
      <c r="AP1415" s="589"/>
      <c r="AQ1415" s="589"/>
      <c r="AR1415" s="589"/>
      <c r="AS1415" s="589"/>
    </row>
    <row r="1416" spans="1:45" ht="15">
      <c r="A1416" s="587" t="s">
        <v>153</v>
      </c>
      <c r="B1416" s="587" t="s">
        <v>405</v>
      </c>
      <c r="C1416" s="587" t="s">
        <v>812</v>
      </c>
      <c r="D1416" s="588">
        <v>2017</v>
      </c>
      <c r="E1416" s="587" t="s">
        <v>775</v>
      </c>
      <c r="F1416" s="588">
        <v>26</v>
      </c>
      <c r="G1416" s="588">
        <v>0</v>
      </c>
      <c r="H1416" s="588">
        <v>0</v>
      </c>
      <c r="I1416" s="588">
        <v>0</v>
      </c>
      <c r="J1416" s="588">
        <v>16</v>
      </c>
      <c r="K1416" s="588">
        <v>0</v>
      </c>
      <c r="L1416" s="588">
        <v>0</v>
      </c>
      <c r="M1416" s="588">
        <v>0</v>
      </c>
      <c r="N1416" s="588">
        <v>17</v>
      </c>
      <c r="O1416" s="588">
        <v>0</v>
      </c>
      <c r="P1416" s="588">
        <v>46</v>
      </c>
      <c r="Q1416" s="588">
        <v>1</v>
      </c>
      <c r="R1416" s="588">
        <v>105</v>
      </c>
      <c r="S1416" s="588">
        <v>1</v>
      </c>
      <c r="T1416" s="588">
        <v>2017</v>
      </c>
      <c r="U1416" s="588">
        <v>2014</v>
      </c>
      <c r="V1416" s="589"/>
      <c r="W1416" s="589"/>
      <c r="X1416" s="589"/>
      <c r="Y1416" s="589"/>
      <c r="Z1416" s="589"/>
      <c r="AA1416" s="589"/>
      <c r="AB1416" s="589"/>
      <c r="AC1416" s="589"/>
      <c r="AD1416" s="589"/>
      <c r="AE1416" s="589"/>
      <c r="AF1416" s="589"/>
      <c r="AG1416" s="589"/>
      <c r="AH1416" s="589"/>
      <c r="AI1416" s="589"/>
      <c r="AJ1416" s="589"/>
      <c r="AK1416" s="589"/>
      <c r="AL1416" s="589"/>
      <c r="AM1416" s="589"/>
      <c r="AN1416" s="589"/>
      <c r="AO1416" s="589"/>
      <c r="AP1416" s="589"/>
      <c r="AQ1416" s="589"/>
      <c r="AR1416" s="589"/>
      <c r="AS1416" s="589"/>
    </row>
    <row r="1417" spans="1:45" ht="15">
      <c r="A1417" s="590" t="s">
        <v>141</v>
      </c>
      <c r="B1417" s="590" t="s">
        <v>300</v>
      </c>
      <c r="C1417" s="590" t="s">
        <v>177</v>
      </c>
      <c r="D1417" s="593">
        <v>2017</v>
      </c>
      <c r="E1417" s="590" t="s">
        <v>775</v>
      </c>
      <c r="F1417" s="593">
        <v>110</v>
      </c>
      <c r="G1417" s="593">
        <v>7</v>
      </c>
      <c r="H1417" s="593">
        <v>4</v>
      </c>
      <c r="I1417" s="593">
        <v>3</v>
      </c>
      <c r="J1417" s="593">
        <v>82</v>
      </c>
      <c r="K1417" s="593">
        <v>27</v>
      </c>
      <c r="L1417" s="593">
        <v>17</v>
      </c>
      <c r="M1417" s="593">
        <v>10</v>
      </c>
      <c r="N1417" s="593">
        <v>77</v>
      </c>
      <c r="O1417" s="593">
        <v>0</v>
      </c>
      <c r="P1417" s="593">
        <v>319</v>
      </c>
      <c r="Q1417" s="593">
        <v>0</v>
      </c>
      <c r="R1417" s="593">
        <v>588</v>
      </c>
      <c r="S1417" s="593">
        <v>34</v>
      </c>
      <c r="T1417" s="593">
        <v>2017</v>
      </c>
      <c r="U1417" s="593">
        <v>2016</v>
      </c>
      <c r="V1417" s="589"/>
      <c r="W1417" s="589"/>
      <c r="X1417" s="589"/>
      <c r="Y1417" s="589"/>
      <c r="Z1417" s="589"/>
      <c r="AA1417" s="589"/>
      <c r="AB1417" s="589"/>
      <c r="AC1417" s="589"/>
      <c r="AD1417" s="589"/>
      <c r="AE1417" s="589"/>
      <c r="AF1417" s="589"/>
      <c r="AG1417" s="589"/>
      <c r="AH1417" s="589"/>
      <c r="AI1417" s="589"/>
      <c r="AJ1417" s="589"/>
      <c r="AK1417" s="589"/>
      <c r="AL1417" s="589"/>
      <c r="AM1417" s="589"/>
      <c r="AN1417" s="589"/>
      <c r="AO1417" s="589"/>
      <c r="AP1417" s="589"/>
      <c r="AQ1417" s="589"/>
      <c r="AR1417" s="589"/>
      <c r="AS1417" s="589"/>
    </row>
    <row r="1418" spans="1:45" ht="15">
      <c r="A1418" s="587" t="s">
        <v>153</v>
      </c>
      <c r="B1418" s="587" t="s">
        <v>406</v>
      </c>
      <c r="C1418" s="587" t="s">
        <v>812</v>
      </c>
      <c r="D1418" s="588">
        <v>2017</v>
      </c>
      <c r="E1418" s="587" t="s">
        <v>775</v>
      </c>
      <c r="F1418" s="588">
        <v>340</v>
      </c>
      <c r="G1418" s="588">
        <v>9</v>
      </c>
      <c r="H1418" s="588">
        <v>9</v>
      </c>
      <c r="I1418" s="588">
        <v>0</v>
      </c>
      <c r="J1418" s="588">
        <v>207</v>
      </c>
      <c r="K1418" s="588">
        <v>0</v>
      </c>
      <c r="L1418" s="588">
        <v>0</v>
      </c>
      <c r="M1418" s="588">
        <v>0</v>
      </c>
      <c r="N1418" s="588">
        <v>224</v>
      </c>
      <c r="O1418" s="588">
        <v>0</v>
      </c>
      <c r="P1418" s="588">
        <v>561</v>
      </c>
      <c r="Q1418" s="588">
        <v>213</v>
      </c>
      <c r="R1418" s="588">
        <v>1332</v>
      </c>
      <c r="S1418" s="588">
        <v>222</v>
      </c>
      <c r="T1418" s="588">
        <v>2017</v>
      </c>
      <c r="U1418" s="588">
        <v>2014</v>
      </c>
      <c r="V1418" s="589"/>
      <c r="W1418" s="589"/>
      <c r="X1418" s="589"/>
      <c r="Y1418" s="589"/>
      <c r="Z1418" s="589"/>
      <c r="AA1418" s="589"/>
      <c r="AB1418" s="589"/>
      <c r="AC1418" s="589"/>
      <c r="AD1418" s="589"/>
      <c r="AE1418" s="589"/>
      <c r="AF1418" s="589"/>
      <c r="AG1418" s="589"/>
      <c r="AH1418" s="589"/>
      <c r="AI1418" s="589"/>
      <c r="AJ1418" s="589"/>
      <c r="AK1418" s="589"/>
      <c r="AL1418" s="589"/>
      <c r="AM1418" s="589"/>
      <c r="AN1418" s="589"/>
      <c r="AO1418" s="589"/>
      <c r="AP1418" s="589"/>
      <c r="AQ1418" s="589"/>
      <c r="AR1418" s="589"/>
      <c r="AS1418" s="589"/>
    </row>
    <row r="1419" spans="1:45" ht="15">
      <c r="A1419" s="590" t="s">
        <v>183</v>
      </c>
      <c r="B1419" s="590" t="s">
        <v>620</v>
      </c>
      <c r="C1419" s="590" t="s">
        <v>784</v>
      </c>
      <c r="D1419" s="593">
        <v>2017</v>
      </c>
      <c r="E1419" s="590" t="s">
        <v>775</v>
      </c>
      <c r="F1419" s="593">
        <v>123</v>
      </c>
      <c r="G1419" s="593">
        <v>52</v>
      </c>
      <c r="H1419" s="593">
        <v>52</v>
      </c>
      <c r="I1419" s="593">
        <v>0</v>
      </c>
      <c r="J1419" s="593">
        <v>77</v>
      </c>
      <c r="K1419" s="593">
        <v>23</v>
      </c>
      <c r="L1419" s="593">
        <v>23</v>
      </c>
      <c r="M1419" s="593">
        <v>0</v>
      </c>
      <c r="N1419" s="593">
        <v>87</v>
      </c>
      <c r="O1419" s="593">
        <v>150</v>
      </c>
      <c r="P1419" s="593">
        <v>206</v>
      </c>
      <c r="Q1419" s="593">
        <v>17</v>
      </c>
      <c r="R1419" s="593">
        <v>493</v>
      </c>
      <c r="S1419" s="593">
        <v>242</v>
      </c>
      <c r="T1419" s="593">
        <v>2017</v>
      </c>
      <c r="U1419" s="593">
        <v>2014</v>
      </c>
      <c r="V1419" s="589"/>
      <c r="W1419" s="589"/>
      <c r="X1419" s="589"/>
      <c r="Y1419" s="589"/>
      <c r="Z1419" s="589"/>
      <c r="AA1419" s="589"/>
      <c r="AB1419" s="589"/>
      <c r="AC1419" s="589"/>
      <c r="AD1419" s="589"/>
      <c r="AE1419" s="589"/>
      <c r="AF1419" s="589"/>
      <c r="AG1419" s="589"/>
      <c r="AH1419" s="589"/>
      <c r="AI1419" s="589"/>
      <c r="AJ1419" s="589"/>
      <c r="AK1419" s="589"/>
      <c r="AL1419" s="589"/>
      <c r="AM1419" s="589"/>
      <c r="AN1419" s="589"/>
      <c r="AO1419" s="589"/>
      <c r="AP1419" s="589"/>
      <c r="AQ1419" s="589"/>
      <c r="AR1419" s="589"/>
      <c r="AS1419" s="589"/>
    </row>
    <row r="1420" spans="1:45" ht="15">
      <c r="A1420" s="587" t="s">
        <v>173</v>
      </c>
      <c r="B1420" s="587" t="s">
        <v>550</v>
      </c>
      <c r="C1420" s="587" t="s">
        <v>812</v>
      </c>
      <c r="D1420" s="588">
        <v>2017</v>
      </c>
      <c r="E1420" s="587" t="s">
        <v>775</v>
      </c>
      <c r="F1420" s="588">
        <v>1026</v>
      </c>
      <c r="G1420" s="588">
        <v>0</v>
      </c>
      <c r="H1420" s="588">
        <v>0</v>
      </c>
      <c r="I1420" s="588">
        <v>0</v>
      </c>
      <c r="J1420" s="588">
        <v>681</v>
      </c>
      <c r="K1420" s="588">
        <v>0</v>
      </c>
      <c r="L1420" s="588">
        <v>0</v>
      </c>
      <c r="M1420" s="588">
        <v>0</v>
      </c>
      <c r="N1420" s="588">
        <v>759</v>
      </c>
      <c r="O1420" s="588">
        <v>0</v>
      </c>
      <c r="P1420" s="588">
        <v>1814</v>
      </c>
      <c r="Q1420" s="588">
        <v>0</v>
      </c>
      <c r="R1420" s="588">
        <v>4280</v>
      </c>
      <c r="S1420" s="588">
        <v>0</v>
      </c>
      <c r="T1420" s="588">
        <v>2017</v>
      </c>
      <c r="U1420" s="588">
        <v>2014</v>
      </c>
      <c r="V1420" s="589"/>
      <c r="W1420" s="589"/>
      <c r="X1420" s="589"/>
      <c r="Y1420" s="589"/>
      <c r="Z1420" s="589"/>
      <c r="AA1420" s="589"/>
      <c r="AB1420" s="589"/>
      <c r="AC1420" s="589"/>
      <c r="AD1420" s="589"/>
      <c r="AE1420" s="589"/>
      <c r="AF1420" s="589"/>
      <c r="AG1420" s="589"/>
      <c r="AH1420" s="589"/>
      <c r="AI1420" s="589"/>
      <c r="AJ1420" s="589"/>
      <c r="AK1420" s="589"/>
      <c r="AL1420" s="589"/>
      <c r="AM1420" s="589"/>
      <c r="AN1420" s="589"/>
      <c r="AO1420" s="589"/>
      <c r="AP1420" s="589"/>
      <c r="AQ1420" s="589"/>
      <c r="AR1420" s="589"/>
      <c r="AS1420" s="589"/>
    </row>
    <row r="1421" spans="1:45" ht="15">
      <c r="A1421" s="590" t="s">
        <v>193</v>
      </c>
      <c r="B1421" s="590" t="s">
        <v>697</v>
      </c>
      <c r="C1421" s="590" t="s">
        <v>774</v>
      </c>
      <c r="D1421" s="593">
        <v>2017</v>
      </c>
      <c r="E1421" s="590" t="s">
        <v>775</v>
      </c>
      <c r="F1421" s="593">
        <v>199</v>
      </c>
      <c r="G1421" s="593">
        <v>9</v>
      </c>
      <c r="H1421" s="593">
        <v>9</v>
      </c>
      <c r="I1421" s="593">
        <v>0</v>
      </c>
      <c r="J1421" s="593">
        <v>103</v>
      </c>
      <c r="K1421" s="593">
        <v>14</v>
      </c>
      <c r="L1421" s="593">
        <v>14</v>
      </c>
      <c r="M1421" s="593">
        <v>0</v>
      </c>
      <c r="N1421" s="593">
        <v>121</v>
      </c>
      <c r="O1421" s="593">
        <v>9</v>
      </c>
      <c r="P1421" s="593">
        <v>322</v>
      </c>
      <c r="Q1421" s="593">
        <v>150</v>
      </c>
      <c r="R1421" s="593">
        <v>745</v>
      </c>
      <c r="S1421" s="593">
        <v>182</v>
      </c>
      <c r="T1421" s="593">
        <v>2017</v>
      </c>
      <c r="U1421" s="593">
        <v>2015</v>
      </c>
      <c r="V1421" s="589"/>
      <c r="W1421" s="589"/>
      <c r="X1421" s="589"/>
      <c r="Y1421" s="589"/>
      <c r="Z1421" s="589"/>
      <c r="AA1421" s="589"/>
      <c r="AB1421" s="589"/>
      <c r="AC1421" s="589"/>
      <c r="AD1421" s="589"/>
      <c r="AE1421" s="589"/>
      <c r="AF1421" s="589"/>
      <c r="AG1421" s="589"/>
      <c r="AH1421" s="589"/>
      <c r="AI1421" s="589"/>
      <c r="AJ1421" s="589"/>
      <c r="AK1421" s="589"/>
      <c r="AL1421" s="589"/>
      <c r="AM1421" s="589"/>
      <c r="AN1421" s="589"/>
      <c r="AO1421" s="589"/>
      <c r="AP1421" s="589"/>
      <c r="AQ1421" s="589"/>
      <c r="AR1421" s="589"/>
      <c r="AS1421" s="589"/>
    </row>
    <row r="1422" spans="1:45" ht="15">
      <c r="A1422" s="587" t="s">
        <v>125</v>
      </c>
      <c r="B1422" s="587" t="s">
        <v>243</v>
      </c>
      <c r="C1422" s="587" t="s">
        <v>774</v>
      </c>
      <c r="D1422" s="588">
        <v>2017</v>
      </c>
      <c r="E1422" s="587" t="s">
        <v>775</v>
      </c>
      <c r="F1422" s="588">
        <v>24</v>
      </c>
      <c r="G1422" s="588">
        <v>1</v>
      </c>
      <c r="H1422" s="588">
        <v>1</v>
      </c>
      <c r="I1422" s="588">
        <v>0</v>
      </c>
      <c r="J1422" s="588">
        <v>14</v>
      </c>
      <c r="K1422" s="588">
        <v>2</v>
      </c>
      <c r="L1422" s="588">
        <v>0</v>
      </c>
      <c r="M1422" s="588">
        <v>2</v>
      </c>
      <c r="N1422" s="588">
        <v>15</v>
      </c>
      <c r="O1422" s="588">
        <v>3</v>
      </c>
      <c r="P1422" s="588">
        <v>7</v>
      </c>
      <c r="Q1422" s="588">
        <v>1</v>
      </c>
      <c r="R1422" s="588">
        <v>60</v>
      </c>
      <c r="S1422" s="588">
        <v>7</v>
      </c>
      <c r="T1422" s="588">
        <v>2017</v>
      </c>
      <c r="U1422" s="588">
        <v>2015</v>
      </c>
      <c r="V1422" s="589"/>
      <c r="W1422" s="589"/>
      <c r="X1422" s="589"/>
      <c r="Y1422" s="589"/>
      <c r="Z1422" s="589"/>
      <c r="AA1422" s="589"/>
      <c r="AB1422" s="589"/>
      <c r="AC1422" s="589"/>
      <c r="AD1422" s="589"/>
      <c r="AE1422" s="589"/>
      <c r="AF1422" s="589"/>
      <c r="AG1422" s="589"/>
      <c r="AH1422" s="589"/>
      <c r="AI1422" s="589"/>
      <c r="AJ1422" s="589"/>
      <c r="AK1422" s="589"/>
      <c r="AL1422" s="589"/>
      <c r="AM1422" s="589"/>
      <c r="AN1422" s="589"/>
      <c r="AO1422" s="589"/>
      <c r="AP1422" s="589"/>
      <c r="AQ1422" s="589"/>
      <c r="AR1422" s="589"/>
      <c r="AS1422" s="589"/>
    </row>
    <row r="1423" spans="1:45" ht="15">
      <c r="A1423" s="590" t="s">
        <v>136</v>
      </c>
      <c r="B1423" s="590" t="s">
        <v>278</v>
      </c>
      <c r="C1423" s="590" t="s">
        <v>774</v>
      </c>
      <c r="D1423" s="593">
        <v>2017</v>
      </c>
      <c r="E1423" s="590" t="s">
        <v>775</v>
      </c>
      <c r="F1423" s="593">
        <v>80</v>
      </c>
      <c r="G1423" s="593">
        <v>0</v>
      </c>
      <c r="H1423" s="593">
        <v>0</v>
      </c>
      <c r="I1423" s="593">
        <v>0</v>
      </c>
      <c r="J1423" s="593">
        <v>48</v>
      </c>
      <c r="K1423" s="593">
        <v>0</v>
      </c>
      <c r="L1423" s="593">
        <v>0</v>
      </c>
      <c r="M1423" s="593">
        <v>0</v>
      </c>
      <c r="N1423" s="593">
        <v>43</v>
      </c>
      <c r="O1423" s="593">
        <v>0</v>
      </c>
      <c r="P1423" s="593">
        <v>126</v>
      </c>
      <c r="Q1423" s="593">
        <v>2</v>
      </c>
      <c r="R1423" s="593">
        <v>297</v>
      </c>
      <c r="S1423" s="593">
        <v>2</v>
      </c>
      <c r="T1423" s="593">
        <v>2017</v>
      </c>
      <c r="U1423" s="593">
        <v>2015</v>
      </c>
      <c r="V1423" s="589"/>
      <c r="W1423" s="589"/>
      <c r="X1423" s="589"/>
      <c r="Y1423" s="589"/>
      <c r="Z1423" s="589"/>
      <c r="AA1423" s="589"/>
      <c r="AB1423" s="589"/>
      <c r="AC1423" s="589"/>
      <c r="AD1423" s="589"/>
      <c r="AE1423" s="589"/>
      <c r="AF1423" s="589"/>
      <c r="AG1423" s="589"/>
      <c r="AH1423" s="589"/>
      <c r="AI1423" s="589"/>
      <c r="AJ1423" s="589"/>
      <c r="AK1423" s="589"/>
      <c r="AL1423" s="589"/>
      <c r="AM1423" s="589"/>
      <c r="AN1423" s="589"/>
      <c r="AO1423" s="589"/>
      <c r="AP1423" s="589"/>
      <c r="AQ1423" s="589"/>
      <c r="AR1423" s="589"/>
      <c r="AS1423" s="589"/>
    </row>
    <row r="1424" spans="1:45" ht="15">
      <c r="A1424" s="587" t="s">
        <v>183</v>
      </c>
      <c r="B1424" s="587" t="s">
        <v>621</v>
      </c>
      <c r="C1424" s="587" t="s">
        <v>784</v>
      </c>
      <c r="D1424" s="588">
        <v>2017</v>
      </c>
      <c r="E1424" s="587" t="s">
        <v>775</v>
      </c>
      <c r="F1424" s="588">
        <v>38</v>
      </c>
      <c r="G1424" s="588">
        <v>0</v>
      </c>
      <c r="H1424" s="588">
        <v>0</v>
      </c>
      <c r="I1424" s="588">
        <v>0</v>
      </c>
      <c r="J1424" s="588">
        <v>24</v>
      </c>
      <c r="K1424" s="588">
        <v>0</v>
      </c>
      <c r="L1424" s="588">
        <v>0</v>
      </c>
      <c r="M1424" s="588">
        <v>0</v>
      </c>
      <c r="N1424" s="588">
        <v>27</v>
      </c>
      <c r="O1424" s="588">
        <v>0</v>
      </c>
      <c r="P1424" s="588">
        <v>64</v>
      </c>
      <c r="Q1424" s="588">
        <v>32</v>
      </c>
      <c r="R1424" s="588">
        <v>153</v>
      </c>
      <c r="S1424" s="588">
        <v>32</v>
      </c>
      <c r="T1424" s="588">
        <v>2017</v>
      </c>
      <c r="U1424" s="588">
        <v>2014</v>
      </c>
      <c r="V1424" s="589"/>
      <c r="W1424" s="589"/>
      <c r="X1424" s="589"/>
      <c r="Y1424" s="589"/>
      <c r="Z1424" s="589"/>
      <c r="AA1424" s="589"/>
      <c r="AB1424" s="589"/>
      <c r="AC1424" s="589"/>
      <c r="AD1424" s="589"/>
      <c r="AE1424" s="589"/>
      <c r="AF1424" s="589"/>
      <c r="AG1424" s="589"/>
      <c r="AH1424" s="589"/>
      <c r="AI1424" s="589"/>
      <c r="AJ1424" s="589"/>
      <c r="AK1424" s="589"/>
      <c r="AL1424" s="589"/>
      <c r="AM1424" s="589"/>
      <c r="AN1424" s="589"/>
      <c r="AO1424" s="589"/>
      <c r="AP1424" s="589"/>
      <c r="AQ1424" s="589"/>
      <c r="AR1424" s="589"/>
      <c r="AS1424" s="589"/>
    </row>
    <row r="1425" spans="1:45" ht="15">
      <c r="A1425" s="590" t="s">
        <v>136</v>
      </c>
      <c r="B1425" s="590" t="s">
        <v>279</v>
      </c>
      <c r="C1425" s="590" t="s">
        <v>774</v>
      </c>
      <c r="D1425" s="593">
        <v>2017</v>
      </c>
      <c r="E1425" s="590" t="s">
        <v>775</v>
      </c>
      <c r="F1425" s="593">
        <v>392</v>
      </c>
      <c r="G1425" s="593">
        <v>0</v>
      </c>
      <c r="H1425" s="593">
        <v>0</v>
      </c>
      <c r="I1425" s="593">
        <v>0</v>
      </c>
      <c r="J1425" s="593">
        <v>254</v>
      </c>
      <c r="K1425" s="593">
        <v>6</v>
      </c>
      <c r="L1425" s="593">
        <v>6</v>
      </c>
      <c r="M1425" s="593">
        <v>0</v>
      </c>
      <c r="N1425" s="593">
        <v>316</v>
      </c>
      <c r="O1425" s="593">
        <v>0</v>
      </c>
      <c r="P1425" s="593">
        <v>1063</v>
      </c>
      <c r="Q1425" s="593">
        <v>147</v>
      </c>
      <c r="R1425" s="593">
        <v>2025</v>
      </c>
      <c r="S1425" s="593">
        <v>153</v>
      </c>
      <c r="T1425" s="593">
        <v>2017</v>
      </c>
      <c r="U1425" s="593">
        <v>2015</v>
      </c>
      <c r="V1425" s="589"/>
      <c r="W1425" s="589"/>
      <c r="X1425" s="589"/>
      <c r="Y1425" s="589"/>
      <c r="Z1425" s="589"/>
      <c r="AA1425" s="589"/>
      <c r="AB1425" s="589"/>
      <c r="AC1425" s="589"/>
      <c r="AD1425" s="589"/>
      <c r="AE1425" s="589"/>
      <c r="AF1425" s="589"/>
      <c r="AG1425" s="589"/>
      <c r="AH1425" s="589"/>
      <c r="AI1425" s="589"/>
      <c r="AJ1425" s="589"/>
      <c r="AK1425" s="589"/>
      <c r="AL1425" s="589"/>
      <c r="AM1425" s="589"/>
      <c r="AN1425" s="589"/>
      <c r="AO1425" s="589"/>
      <c r="AP1425" s="589"/>
      <c r="AQ1425" s="589"/>
      <c r="AR1425" s="589"/>
      <c r="AS1425" s="589"/>
    </row>
    <row r="1426" spans="1:45" ht="15">
      <c r="A1426" s="587" t="s">
        <v>169</v>
      </c>
      <c r="B1426" s="587" t="s">
        <v>508</v>
      </c>
      <c r="C1426" s="587" t="s">
        <v>812</v>
      </c>
      <c r="D1426" s="588">
        <v>2017</v>
      </c>
      <c r="E1426" s="587" t="s">
        <v>775</v>
      </c>
      <c r="F1426" s="588">
        <v>112</v>
      </c>
      <c r="G1426" s="588">
        <v>0</v>
      </c>
      <c r="H1426" s="588">
        <v>0</v>
      </c>
      <c r="I1426" s="588">
        <v>0</v>
      </c>
      <c r="J1426" s="588">
        <v>81</v>
      </c>
      <c r="K1426" s="588">
        <v>0</v>
      </c>
      <c r="L1426" s="588">
        <v>0</v>
      </c>
      <c r="M1426" s="588">
        <v>0</v>
      </c>
      <c r="N1426" s="588">
        <v>90</v>
      </c>
      <c r="O1426" s="588">
        <v>0</v>
      </c>
      <c r="P1426" s="588">
        <v>209</v>
      </c>
      <c r="Q1426" s="588">
        <v>9</v>
      </c>
      <c r="R1426" s="588">
        <v>492</v>
      </c>
      <c r="S1426" s="588">
        <v>9</v>
      </c>
      <c r="T1426" s="588">
        <v>2017</v>
      </c>
      <c r="U1426" s="588">
        <v>2014</v>
      </c>
      <c r="V1426" s="589"/>
      <c r="W1426" s="589"/>
      <c r="X1426" s="589"/>
      <c r="Y1426" s="589"/>
      <c r="Z1426" s="589"/>
      <c r="AA1426" s="589"/>
      <c r="AB1426" s="589"/>
      <c r="AC1426" s="589"/>
      <c r="AD1426" s="589"/>
      <c r="AE1426" s="589"/>
      <c r="AF1426" s="589"/>
      <c r="AG1426" s="589"/>
      <c r="AH1426" s="589"/>
      <c r="AI1426" s="589"/>
      <c r="AJ1426" s="589"/>
      <c r="AK1426" s="589"/>
      <c r="AL1426" s="589"/>
      <c r="AM1426" s="589"/>
      <c r="AN1426" s="589"/>
      <c r="AO1426" s="589"/>
      <c r="AP1426" s="589"/>
      <c r="AQ1426" s="589"/>
      <c r="AR1426" s="589"/>
      <c r="AS1426" s="589"/>
    </row>
    <row r="1427" spans="1:45" ht="15">
      <c r="A1427" s="590" t="s">
        <v>170</v>
      </c>
      <c r="B1427" s="590" t="s">
        <v>523</v>
      </c>
      <c r="C1427" s="590" t="s">
        <v>799</v>
      </c>
      <c r="D1427" s="593">
        <v>2017</v>
      </c>
      <c r="E1427" s="590" t="s">
        <v>775</v>
      </c>
      <c r="F1427" s="593">
        <v>1365</v>
      </c>
      <c r="G1427" s="593">
        <v>0</v>
      </c>
      <c r="H1427" s="593">
        <v>0</v>
      </c>
      <c r="I1427" s="593">
        <v>0</v>
      </c>
      <c r="J1427" s="593">
        <v>957</v>
      </c>
      <c r="K1427" s="593">
        <v>3</v>
      </c>
      <c r="L1427" s="593">
        <v>3</v>
      </c>
      <c r="M1427" s="593">
        <v>0</v>
      </c>
      <c r="N1427" s="593">
        <v>936</v>
      </c>
      <c r="O1427" s="593">
        <v>50</v>
      </c>
      <c r="P1427" s="593">
        <v>1773</v>
      </c>
      <c r="Q1427" s="593">
        <v>283</v>
      </c>
      <c r="R1427" s="593">
        <v>5031</v>
      </c>
      <c r="S1427" s="593">
        <v>336</v>
      </c>
      <c r="T1427" s="593">
        <v>2017</v>
      </c>
      <c r="U1427" s="593">
        <v>2014</v>
      </c>
      <c r="V1427" s="589"/>
      <c r="W1427" s="589"/>
      <c r="X1427" s="589"/>
      <c r="Y1427" s="589"/>
      <c r="Z1427" s="589"/>
      <c r="AA1427" s="589"/>
      <c r="AB1427" s="589"/>
      <c r="AC1427" s="589"/>
      <c r="AD1427" s="589"/>
      <c r="AE1427" s="589"/>
      <c r="AF1427" s="589"/>
      <c r="AG1427" s="589"/>
      <c r="AH1427" s="589"/>
      <c r="AI1427" s="589"/>
      <c r="AJ1427" s="589"/>
      <c r="AK1427" s="589"/>
      <c r="AL1427" s="589"/>
      <c r="AM1427" s="589"/>
      <c r="AN1427" s="589"/>
      <c r="AO1427" s="589"/>
      <c r="AP1427" s="589"/>
      <c r="AQ1427" s="589"/>
      <c r="AR1427" s="589"/>
      <c r="AS1427" s="589"/>
    </row>
    <row r="1428" spans="1:45" ht="15">
      <c r="A1428" s="587" t="s">
        <v>139</v>
      </c>
      <c r="B1428" s="587" t="s">
        <v>288</v>
      </c>
      <c r="C1428" s="587" t="s">
        <v>799</v>
      </c>
      <c r="D1428" s="588">
        <v>2017</v>
      </c>
      <c r="E1428" s="587" t="s">
        <v>775</v>
      </c>
      <c r="F1428" s="588">
        <v>78</v>
      </c>
      <c r="G1428" s="588">
        <v>0</v>
      </c>
      <c r="H1428" s="588">
        <v>0</v>
      </c>
      <c r="I1428" s="588">
        <v>0</v>
      </c>
      <c r="J1428" s="588">
        <v>55</v>
      </c>
      <c r="K1428" s="588">
        <v>0</v>
      </c>
      <c r="L1428" s="588">
        <v>0</v>
      </c>
      <c r="M1428" s="588">
        <v>0</v>
      </c>
      <c r="N1428" s="588">
        <v>69</v>
      </c>
      <c r="O1428" s="588">
        <v>18</v>
      </c>
      <c r="P1428" s="588">
        <v>170</v>
      </c>
      <c r="Q1428" s="588">
        <v>1</v>
      </c>
      <c r="R1428" s="588">
        <v>372</v>
      </c>
      <c r="S1428" s="588">
        <v>19</v>
      </c>
      <c r="T1428" s="588">
        <v>2017</v>
      </c>
      <c r="U1428" s="588">
        <v>2014</v>
      </c>
      <c r="V1428" s="589"/>
      <c r="W1428" s="589"/>
      <c r="X1428" s="589"/>
      <c r="Y1428" s="589"/>
      <c r="Z1428" s="589"/>
      <c r="AA1428" s="589"/>
      <c r="AB1428" s="589"/>
      <c r="AC1428" s="589"/>
      <c r="AD1428" s="589"/>
      <c r="AE1428" s="589"/>
      <c r="AF1428" s="589"/>
      <c r="AG1428" s="589"/>
      <c r="AH1428" s="589"/>
      <c r="AI1428" s="589"/>
      <c r="AJ1428" s="589"/>
      <c r="AK1428" s="589"/>
      <c r="AL1428" s="589"/>
      <c r="AM1428" s="589"/>
      <c r="AN1428" s="589"/>
      <c r="AO1428" s="589"/>
      <c r="AP1428" s="589"/>
      <c r="AQ1428" s="589"/>
      <c r="AR1428" s="589"/>
      <c r="AS1428" s="589"/>
    </row>
    <row r="1429" spans="1:45" ht="15">
      <c r="A1429" s="590" t="s">
        <v>136</v>
      </c>
      <c r="B1429" s="590" t="s">
        <v>280</v>
      </c>
      <c r="C1429" s="590" t="s">
        <v>774</v>
      </c>
      <c r="D1429" s="593">
        <v>2017</v>
      </c>
      <c r="E1429" s="590" t="s">
        <v>775</v>
      </c>
      <c r="F1429" s="593">
        <v>118</v>
      </c>
      <c r="G1429" s="593">
        <v>0</v>
      </c>
      <c r="H1429" s="593">
        <v>0</v>
      </c>
      <c r="I1429" s="593">
        <v>0</v>
      </c>
      <c r="J1429" s="593">
        <v>69</v>
      </c>
      <c r="K1429" s="593">
        <v>0</v>
      </c>
      <c r="L1429" s="593">
        <v>0</v>
      </c>
      <c r="M1429" s="593">
        <v>0</v>
      </c>
      <c r="N1429" s="593">
        <v>84</v>
      </c>
      <c r="O1429" s="593">
        <v>2</v>
      </c>
      <c r="P1429" s="593">
        <v>177</v>
      </c>
      <c r="Q1429" s="593">
        <v>5</v>
      </c>
      <c r="R1429" s="593">
        <v>448</v>
      </c>
      <c r="S1429" s="593">
        <v>7</v>
      </c>
      <c r="T1429" s="593">
        <v>2017</v>
      </c>
      <c r="U1429" s="593">
        <v>2015</v>
      </c>
      <c r="V1429" s="589"/>
      <c r="W1429" s="589"/>
      <c r="X1429" s="589"/>
      <c r="Y1429" s="589"/>
      <c r="Z1429" s="589"/>
      <c r="AA1429" s="589"/>
      <c r="AB1429" s="589"/>
      <c r="AC1429" s="589"/>
      <c r="AD1429" s="589"/>
      <c r="AE1429" s="589"/>
      <c r="AF1429" s="589"/>
      <c r="AG1429" s="589"/>
      <c r="AH1429" s="589"/>
      <c r="AI1429" s="589"/>
      <c r="AJ1429" s="589"/>
      <c r="AK1429" s="589"/>
      <c r="AL1429" s="589"/>
      <c r="AM1429" s="589"/>
      <c r="AN1429" s="589"/>
      <c r="AO1429" s="589"/>
      <c r="AP1429" s="589"/>
      <c r="AQ1429" s="589"/>
      <c r="AR1429" s="589"/>
      <c r="AS1429" s="589"/>
    </row>
    <row r="1430" spans="1:45" ht="15">
      <c r="A1430" s="587" t="s">
        <v>125</v>
      </c>
      <c r="B1430" s="587" t="s">
        <v>244</v>
      </c>
      <c r="C1430" s="587" t="s">
        <v>774</v>
      </c>
      <c r="D1430" s="588">
        <v>2017</v>
      </c>
      <c r="E1430" s="587" t="s">
        <v>775</v>
      </c>
      <c r="F1430" s="588">
        <v>716</v>
      </c>
      <c r="G1430" s="588">
        <v>0</v>
      </c>
      <c r="H1430" s="588">
        <v>0</v>
      </c>
      <c r="I1430" s="588">
        <v>0</v>
      </c>
      <c r="J1430" s="588">
        <v>391</v>
      </c>
      <c r="K1430" s="588">
        <v>7</v>
      </c>
      <c r="L1430" s="588">
        <v>6</v>
      </c>
      <c r="M1430" s="588">
        <v>1</v>
      </c>
      <c r="N1430" s="588">
        <v>407</v>
      </c>
      <c r="O1430" s="588">
        <v>6</v>
      </c>
      <c r="P1430" s="588">
        <v>553</v>
      </c>
      <c r="Q1430" s="588">
        <v>102</v>
      </c>
      <c r="R1430" s="588">
        <v>2067</v>
      </c>
      <c r="S1430" s="588">
        <v>115</v>
      </c>
      <c r="T1430" s="588">
        <v>2017</v>
      </c>
      <c r="U1430" s="588">
        <v>2015</v>
      </c>
      <c r="V1430" s="589"/>
      <c r="W1430" s="589"/>
      <c r="X1430" s="589"/>
      <c r="Y1430" s="589"/>
      <c r="Z1430" s="589"/>
      <c r="AA1430" s="589"/>
      <c r="AB1430" s="589"/>
      <c r="AC1430" s="589"/>
      <c r="AD1430" s="589"/>
      <c r="AE1430" s="589"/>
      <c r="AF1430" s="589"/>
      <c r="AG1430" s="589"/>
      <c r="AH1430" s="589"/>
      <c r="AI1430" s="589"/>
      <c r="AJ1430" s="589"/>
      <c r="AK1430" s="589"/>
      <c r="AL1430" s="589"/>
      <c r="AM1430" s="589"/>
      <c r="AN1430" s="589"/>
      <c r="AO1430" s="589"/>
      <c r="AP1430" s="589"/>
      <c r="AQ1430" s="589"/>
      <c r="AR1430" s="589"/>
      <c r="AS1430" s="589"/>
    </row>
    <row r="1431" spans="1:45" ht="15">
      <c r="A1431" s="590" t="s">
        <v>171</v>
      </c>
      <c r="B1431" s="590" t="s">
        <v>526</v>
      </c>
      <c r="C1431" s="590" t="s">
        <v>784</v>
      </c>
      <c r="D1431" s="593">
        <v>2017</v>
      </c>
      <c r="E1431" s="590" t="s">
        <v>775</v>
      </c>
      <c r="F1431" s="593">
        <v>12</v>
      </c>
      <c r="G1431" s="593">
        <v>0</v>
      </c>
      <c r="H1431" s="593">
        <v>0</v>
      </c>
      <c r="I1431" s="593">
        <v>0</v>
      </c>
      <c r="J1431" s="593">
        <v>8</v>
      </c>
      <c r="K1431" s="593">
        <v>0</v>
      </c>
      <c r="L1431" s="593">
        <v>0</v>
      </c>
      <c r="M1431" s="593">
        <v>0</v>
      </c>
      <c r="N1431" s="593">
        <v>12</v>
      </c>
      <c r="O1431" s="593">
        <v>15</v>
      </c>
      <c r="P1431" s="593">
        <v>25</v>
      </c>
      <c r="Q1431" s="593">
        <v>25</v>
      </c>
      <c r="R1431" s="593">
        <v>57</v>
      </c>
      <c r="S1431" s="593">
        <v>40</v>
      </c>
      <c r="T1431" s="593">
        <v>2017</v>
      </c>
      <c r="U1431" s="593">
        <v>2014</v>
      </c>
      <c r="V1431" s="589"/>
      <c r="W1431" s="589"/>
      <c r="X1431" s="589"/>
      <c r="Y1431" s="589"/>
      <c r="Z1431" s="589"/>
      <c r="AA1431" s="589"/>
      <c r="AB1431" s="589"/>
      <c r="AC1431" s="589"/>
      <c r="AD1431" s="589"/>
      <c r="AE1431" s="589"/>
      <c r="AF1431" s="589"/>
      <c r="AG1431" s="589"/>
      <c r="AH1431" s="589"/>
      <c r="AI1431" s="589"/>
      <c r="AJ1431" s="589"/>
      <c r="AK1431" s="589"/>
      <c r="AL1431" s="589"/>
      <c r="AM1431" s="589"/>
      <c r="AN1431" s="589"/>
      <c r="AO1431" s="589"/>
      <c r="AP1431" s="589"/>
      <c r="AQ1431" s="589"/>
      <c r="AR1431" s="589"/>
      <c r="AS1431" s="589"/>
    </row>
    <row r="1432" spans="1:45" ht="15">
      <c r="A1432" s="587" t="s">
        <v>130</v>
      </c>
      <c r="B1432" s="587" t="s">
        <v>253</v>
      </c>
      <c r="C1432" s="587" t="s">
        <v>784</v>
      </c>
      <c r="D1432" s="588">
        <v>2017</v>
      </c>
      <c r="E1432" s="587" t="s">
        <v>775</v>
      </c>
      <c r="F1432" s="588">
        <v>1</v>
      </c>
      <c r="G1432" s="588">
        <v>0</v>
      </c>
      <c r="H1432" s="588">
        <v>0</v>
      </c>
      <c r="I1432" s="588">
        <v>0</v>
      </c>
      <c r="J1432" s="588">
        <v>1</v>
      </c>
      <c r="K1432" s="588">
        <v>0</v>
      </c>
      <c r="L1432" s="588">
        <v>0</v>
      </c>
      <c r="M1432" s="588">
        <v>0</v>
      </c>
      <c r="N1432" s="588">
        <v>1</v>
      </c>
      <c r="O1432" s="588">
        <v>0</v>
      </c>
      <c r="P1432" s="588">
        <v>1</v>
      </c>
      <c r="Q1432" s="588">
        <v>18</v>
      </c>
      <c r="R1432" s="588">
        <v>4</v>
      </c>
      <c r="S1432" s="588">
        <v>18</v>
      </c>
      <c r="T1432" s="588">
        <v>2017</v>
      </c>
      <c r="U1432" s="588">
        <v>2014</v>
      </c>
      <c r="V1432" s="589"/>
      <c r="W1432" s="589"/>
      <c r="X1432" s="589"/>
      <c r="Y1432" s="589"/>
      <c r="Z1432" s="589"/>
      <c r="AA1432" s="589"/>
      <c r="AB1432" s="589"/>
      <c r="AC1432" s="589"/>
      <c r="AD1432" s="589"/>
      <c r="AE1432" s="589"/>
      <c r="AF1432" s="589"/>
      <c r="AG1432" s="589"/>
      <c r="AH1432" s="589"/>
      <c r="AI1432" s="589"/>
      <c r="AJ1432" s="589"/>
      <c r="AK1432" s="589"/>
      <c r="AL1432" s="589"/>
      <c r="AM1432" s="589"/>
      <c r="AN1432" s="589"/>
      <c r="AO1432" s="589"/>
      <c r="AP1432" s="589"/>
      <c r="AQ1432" s="589"/>
      <c r="AR1432" s="589"/>
      <c r="AS1432" s="589"/>
    </row>
    <row r="1433" spans="1:45" ht="15">
      <c r="A1433" s="590" t="s">
        <v>159</v>
      </c>
      <c r="B1433" s="590" t="s">
        <v>451</v>
      </c>
      <c r="C1433" s="590" t="s">
        <v>784</v>
      </c>
      <c r="D1433" s="593">
        <v>2017</v>
      </c>
      <c r="E1433" s="590" t="s">
        <v>775</v>
      </c>
      <c r="F1433" s="593">
        <v>1</v>
      </c>
      <c r="G1433" s="593">
        <v>0</v>
      </c>
      <c r="H1433" s="593">
        <v>0</v>
      </c>
      <c r="I1433" s="593">
        <v>0</v>
      </c>
      <c r="J1433" s="593">
        <v>1</v>
      </c>
      <c r="K1433" s="593">
        <v>0</v>
      </c>
      <c r="L1433" s="593">
        <v>0</v>
      </c>
      <c r="M1433" s="593">
        <v>0</v>
      </c>
      <c r="N1433" s="593">
        <v>1</v>
      </c>
      <c r="O1433" s="593">
        <v>0</v>
      </c>
      <c r="P1433" s="593">
        <v>1</v>
      </c>
      <c r="Q1433" s="593">
        <v>0</v>
      </c>
      <c r="R1433" s="593">
        <v>4</v>
      </c>
      <c r="S1433" s="593">
        <v>0</v>
      </c>
      <c r="T1433" s="593">
        <v>2017</v>
      </c>
      <c r="U1433" s="593">
        <v>2014</v>
      </c>
      <c r="V1433" s="589"/>
      <c r="W1433" s="589"/>
      <c r="X1433" s="589"/>
      <c r="Y1433" s="589"/>
      <c r="Z1433" s="589"/>
      <c r="AA1433" s="589"/>
      <c r="AB1433" s="589"/>
      <c r="AC1433" s="589"/>
      <c r="AD1433" s="589"/>
      <c r="AE1433" s="589"/>
      <c r="AF1433" s="589"/>
      <c r="AG1433" s="589"/>
      <c r="AH1433" s="589"/>
      <c r="AI1433" s="589"/>
      <c r="AJ1433" s="589"/>
      <c r="AK1433" s="589"/>
      <c r="AL1433" s="589"/>
      <c r="AM1433" s="589"/>
      <c r="AN1433" s="589"/>
      <c r="AO1433" s="589"/>
      <c r="AP1433" s="589"/>
      <c r="AQ1433" s="589"/>
      <c r="AR1433" s="589"/>
      <c r="AS1433" s="589"/>
    </row>
    <row r="1434" spans="1:45" ht="15">
      <c r="A1434" s="587" t="s">
        <v>201</v>
      </c>
      <c r="B1434" s="587" t="s">
        <v>735</v>
      </c>
      <c r="C1434" s="587" t="s">
        <v>812</v>
      </c>
      <c r="D1434" s="588">
        <v>2017</v>
      </c>
      <c r="E1434" s="587" t="s">
        <v>775</v>
      </c>
      <c r="F1434" s="588">
        <v>1</v>
      </c>
      <c r="G1434" s="588">
        <v>0</v>
      </c>
      <c r="H1434" s="588">
        <v>0</v>
      </c>
      <c r="I1434" s="588">
        <v>0</v>
      </c>
      <c r="J1434" s="588">
        <v>1</v>
      </c>
      <c r="K1434" s="588">
        <v>0</v>
      </c>
      <c r="L1434" s="588">
        <v>0</v>
      </c>
      <c r="M1434" s="588">
        <v>0</v>
      </c>
      <c r="N1434" s="588">
        <v>0</v>
      </c>
      <c r="O1434" s="588">
        <v>0</v>
      </c>
      <c r="P1434" s="588">
        <v>0</v>
      </c>
      <c r="Q1434" s="588">
        <v>0</v>
      </c>
      <c r="R1434" s="588">
        <v>2</v>
      </c>
      <c r="S1434" s="588">
        <v>0</v>
      </c>
      <c r="T1434" s="588">
        <v>2017</v>
      </c>
      <c r="U1434" s="588">
        <v>2014</v>
      </c>
      <c r="V1434" s="589"/>
      <c r="W1434" s="589"/>
      <c r="X1434" s="589"/>
      <c r="Y1434" s="589"/>
      <c r="Z1434" s="589"/>
      <c r="AA1434" s="589"/>
      <c r="AB1434" s="589"/>
      <c r="AC1434" s="589"/>
      <c r="AD1434" s="589"/>
      <c r="AE1434" s="589"/>
      <c r="AF1434" s="589"/>
      <c r="AG1434" s="589"/>
      <c r="AH1434" s="589"/>
      <c r="AI1434" s="589"/>
      <c r="AJ1434" s="589"/>
      <c r="AK1434" s="589"/>
      <c r="AL1434" s="589"/>
      <c r="AM1434" s="589"/>
      <c r="AN1434" s="589"/>
      <c r="AO1434" s="589"/>
      <c r="AP1434" s="589"/>
      <c r="AQ1434" s="589"/>
      <c r="AR1434" s="589"/>
      <c r="AS1434" s="589"/>
    </row>
    <row r="1435" spans="1:45" ht="15">
      <c r="A1435" s="590" t="s">
        <v>199</v>
      </c>
      <c r="B1435" s="590" t="s">
        <v>724</v>
      </c>
      <c r="C1435" s="590" t="s">
        <v>177</v>
      </c>
      <c r="D1435" s="593">
        <v>2017</v>
      </c>
      <c r="E1435" s="590" t="s">
        <v>775</v>
      </c>
      <c r="F1435" s="593">
        <v>623</v>
      </c>
      <c r="G1435" s="593">
        <v>0</v>
      </c>
      <c r="H1435" s="593">
        <v>0</v>
      </c>
      <c r="I1435" s="593">
        <v>0</v>
      </c>
      <c r="J1435" s="593">
        <v>576</v>
      </c>
      <c r="K1435" s="593">
        <v>2</v>
      </c>
      <c r="L1435" s="593">
        <v>2</v>
      </c>
      <c r="M1435" s="593">
        <v>0</v>
      </c>
      <c r="N1435" s="593">
        <v>566</v>
      </c>
      <c r="O1435" s="593">
        <v>15</v>
      </c>
      <c r="P1435" s="593">
        <v>1431</v>
      </c>
      <c r="Q1435" s="593">
        <v>2</v>
      </c>
      <c r="R1435" s="593">
        <v>3196</v>
      </c>
      <c r="S1435" s="593">
        <v>19</v>
      </c>
      <c r="T1435" s="593">
        <v>2017</v>
      </c>
      <c r="U1435" s="593">
        <v>2016</v>
      </c>
      <c r="V1435" s="589"/>
      <c r="W1435" s="589"/>
      <c r="X1435" s="589"/>
      <c r="Y1435" s="589"/>
      <c r="Z1435" s="589"/>
      <c r="AA1435" s="589"/>
      <c r="AB1435" s="589"/>
      <c r="AC1435" s="589"/>
      <c r="AD1435" s="589"/>
      <c r="AE1435" s="589"/>
      <c r="AF1435" s="589"/>
      <c r="AG1435" s="589"/>
      <c r="AH1435" s="589"/>
      <c r="AI1435" s="589"/>
      <c r="AJ1435" s="589"/>
      <c r="AK1435" s="589"/>
      <c r="AL1435" s="589"/>
      <c r="AM1435" s="589"/>
      <c r="AN1435" s="589"/>
      <c r="AO1435" s="589"/>
      <c r="AP1435" s="589"/>
      <c r="AQ1435" s="589"/>
      <c r="AR1435" s="589"/>
      <c r="AS1435" s="589"/>
    </row>
    <row r="1436" spans="1:45" ht="15">
      <c r="A1436" s="587" t="s">
        <v>184</v>
      </c>
      <c r="B1436" s="587" t="s">
        <v>636</v>
      </c>
      <c r="C1436" s="587" t="s">
        <v>774</v>
      </c>
      <c r="D1436" s="588">
        <v>2017</v>
      </c>
      <c r="E1436" s="587" t="s">
        <v>775</v>
      </c>
      <c r="F1436" s="588">
        <v>21</v>
      </c>
      <c r="G1436" s="588">
        <v>0</v>
      </c>
      <c r="H1436" s="588">
        <v>0</v>
      </c>
      <c r="I1436" s="588">
        <v>0</v>
      </c>
      <c r="J1436" s="588">
        <v>15</v>
      </c>
      <c r="K1436" s="588">
        <v>0</v>
      </c>
      <c r="L1436" s="588">
        <v>0</v>
      </c>
      <c r="M1436" s="588">
        <v>0</v>
      </c>
      <c r="N1436" s="588">
        <v>15</v>
      </c>
      <c r="O1436" s="588">
        <v>2</v>
      </c>
      <c r="P1436" s="588">
        <v>13</v>
      </c>
      <c r="Q1436" s="588">
        <v>6</v>
      </c>
      <c r="R1436" s="588">
        <v>64</v>
      </c>
      <c r="S1436" s="588">
        <v>8</v>
      </c>
      <c r="T1436" s="588">
        <v>2017</v>
      </c>
      <c r="U1436" s="588">
        <v>2015</v>
      </c>
      <c r="V1436" s="589"/>
      <c r="W1436" s="589"/>
      <c r="X1436" s="589"/>
      <c r="Y1436" s="589"/>
      <c r="Z1436" s="589"/>
      <c r="AA1436" s="589"/>
      <c r="AB1436" s="589"/>
      <c r="AC1436" s="589"/>
      <c r="AD1436" s="589"/>
      <c r="AE1436" s="589"/>
      <c r="AF1436" s="589"/>
      <c r="AG1436" s="589"/>
      <c r="AH1436" s="589"/>
      <c r="AI1436" s="589"/>
      <c r="AJ1436" s="589"/>
      <c r="AK1436" s="589"/>
      <c r="AL1436" s="589"/>
      <c r="AM1436" s="589"/>
      <c r="AN1436" s="589"/>
      <c r="AO1436" s="589"/>
      <c r="AP1436" s="589"/>
      <c r="AQ1436" s="589"/>
      <c r="AR1436" s="589"/>
      <c r="AS1436" s="589"/>
    </row>
    <row r="1437" spans="1:45" ht="15">
      <c r="A1437" s="590" t="s">
        <v>179</v>
      </c>
      <c r="B1437" s="590" t="s">
        <v>602</v>
      </c>
      <c r="C1437" s="590" t="s">
        <v>855</v>
      </c>
      <c r="D1437" s="593">
        <v>2017</v>
      </c>
      <c r="E1437" s="590" t="s">
        <v>775</v>
      </c>
      <c r="F1437" s="593">
        <v>201</v>
      </c>
      <c r="G1437" s="593">
        <v>0</v>
      </c>
      <c r="H1437" s="593">
        <v>0</v>
      </c>
      <c r="I1437" s="593">
        <v>0</v>
      </c>
      <c r="J1437" s="593">
        <v>152</v>
      </c>
      <c r="K1437" s="593">
        <v>0</v>
      </c>
      <c r="L1437" s="593">
        <v>0</v>
      </c>
      <c r="M1437" s="593">
        <v>0</v>
      </c>
      <c r="N1437" s="593">
        <v>282</v>
      </c>
      <c r="O1437" s="593">
        <v>0</v>
      </c>
      <c r="P1437" s="593">
        <v>618</v>
      </c>
      <c r="Q1437" s="593">
        <v>24</v>
      </c>
      <c r="R1437" s="593">
        <v>1253</v>
      </c>
      <c r="S1437" s="593">
        <v>24</v>
      </c>
      <c r="T1437" s="593">
        <v>2017</v>
      </c>
      <c r="U1437" s="593">
        <v>2013</v>
      </c>
      <c r="V1437" s="589"/>
      <c r="W1437" s="589"/>
      <c r="X1437" s="589"/>
      <c r="Y1437" s="589"/>
      <c r="Z1437" s="589"/>
      <c r="AA1437" s="589"/>
      <c r="AB1437" s="589"/>
      <c r="AC1437" s="589"/>
      <c r="AD1437" s="589"/>
      <c r="AE1437" s="589"/>
      <c r="AF1437" s="589"/>
      <c r="AG1437" s="589"/>
      <c r="AH1437" s="589"/>
      <c r="AI1437" s="589"/>
      <c r="AJ1437" s="589"/>
      <c r="AK1437" s="589"/>
      <c r="AL1437" s="589"/>
      <c r="AM1437" s="589"/>
      <c r="AN1437" s="589"/>
      <c r="AO1437" s="589"/>
      <c r="AP1437" s="589"/>
      <c r="AQ1437" s="589"/>
      <c r="AR1437" s="589"/>
      <c r="AS1437" s="589"/>
    </row>
    <row r="1438" spans="1:45" ht="15">
      <c r="A1438" s="587" t="s">
        <v>174</v>
      </c>
      <c r="B1438" s="587" t="s">
        <v>561</v>
      </c>
      <c r="C1438" s="587" t="s">
        <v>799</v>
      </c>
      <c r="D1438" s="588">
        <v>2017</v>
      </c>
      <c r="E1438" s="587" t="s">
        <v>775</v>
      </c>
      <c r="F1438" s="588">
        <v>1539</v>
      </c>
      <c r="G1438" s="588">
        <v>50</v>
      </c>
      <c r="H1438" s="588">
        <v>50</v>
      </c>
      <c r="I1438" s="588">
        <v>0</v>
      </c>
      <c r="J1438" s="588">
        <v>1079</v>
      </c>
      <c r="K1438" s="588">
        <v>0</v>
      </c>
      <c r="L1438" s="588">
        <v>0</v>
      </c>
      <c r="M1438" s="588">
        <v>0</v>
      </c>
      <c r="N1438" s="588">
        <v>1303</v>
      </c>
      <c r="O1438" s="588">
        <v>110</v>
      </c>
      <c r="P1438" s="588">
        <v>3087</v>
      </c>
      <c r="Q1438" s="588">
        <v>306</v>
      </c>
      <c r="R1438" s="588">
        <v>7008</v>
      </c>
      <c r="S1438" s="588">
        <v>466</v>
      </c>
      <c r="T1438" s="588">
        <v>2017</v>
      </c>
      <c r="U1438" s="588">
        <v>2014</v>
      </c>
      <c r="V1438" s="589"/>
      <c r="W1438" s="589"/>
      <c r="X1438" s="589"/>
      <c r="Y1438" s="589"/>
      <c r="Z1438" s="589"/>
      <c r="AA1438" s="589"/>
      <c r="AB1438" s="589"/>
      <c r="AC1438" s="589"/>
      <c r="AD1438" s="589"/>
      <c r="AE1438" s="589"/>
      <c r="AF1438" s="589"/>
      <c r="AG1438" s="589"/>
      <c r="AH1438" s="589"/>
      <c r="AI1438" s="589"/>
      <c r="AJ1438" s="589"/>
      <c r="AK1438" s="589"/>
      <c r="AL1438" s="589"/>
      <c r="AM1438" s="589"/>
      <c r="AN1438" s="589"/>
      <c r="AO1438" s="589"/>
      <c r="AP1438" s="589"/>
      <c r="AQ1438" s="589"/>
      <c r="AR1438" s="589"/>
      <c r="AS1438" s="589"/>
    </row>
    <row r="1439" spans="1:45" ht="15">
      <c r="A1439" s="590" t="s">
        <v>178</v>
      </c>
      <c r="B1439" s="590" t="s">
        <v>581</v>
      </c>
      <c r="C1439" s="590" t="s">
        <v>812</v>
      </c>
      <c r="D1439" s="593">
        <v>2017</v>
      </c>
      <c r="E1439" s="590" t="s">
        <v>775</v>
      </c>
      <c r="F1439" s="593">
        <v>209</v>
      </c>
      <c r="G1439" s="593">
        <v>18</v>
      </c>
      <c r="H1439" s="593">
        <v>18</v>
      </c>
      <c r="I1439" s="593">
        <v>0</v>
      </c>
      <c r="J1439" s="593">
        <v>141</v>
      </c>
      <c r="K1439" s="593">
        <v>11</v>
      </c>
      <c r="L1439" s="593">
        <v>11</v>
      </c>
      <c r="M1439" s="593">
        <v>0</v>
      </c>
      <c r="N1439" s="593">
        <v>158</v>
      </c>
      <c r="O1439" s="593">
        <v>31</v>
      </c>
      <c r="P1439" s="593">
        <v>340</v>
      </c>
      <c r="Q1439" s="593">
        <v>296</v>
      </c>
      <c r="R1439" s="593">
        <v>848</v>
      </c>
      <c r="S1439" s="593">
        <v>356</v>
      </c>
      <c r="T1439" s="593">
        <v>2017</v>
      </c>
      <c r="U1439" s="593">
        <v>2014</v>
      </c>
      <c r="V1439" s="589"/>
      <c r="W1439" s="589"/>
      <c r="X1439" s="589"/>
      <c r="Y1439" s="589"/>
      <c r="Z1439" s="589"/>
      <c r="AA1439" s="589"/>
      <c r="AB1439" s="589"/>
      <c r="AC1439" s="589"/>
      <c r="AD1439" s="589"/>
      <c r="AE1439" s="589"/>
      <c r="AF1439" s="589"/>
      <c r="AG1439" s="589"/>
      <c r="AH1439" s="589"/>
      <c r="AI1439" s="589"/>
      <c r="AJ1439" s="589"/>
      <c r="AK1439" s="589"/>
      <c r="AL1439" s="589"/>
      <c r="AM1439" s="589"/>
      <c r="AN1439" s="589"/>
      <c r="AO1439" s="589"/>
      <c r="AP1439" s="589"/>
      <c r="AQ1439" s="589"/>
      <c r="AR1439" s="589"/>
      <c r="AS1439" s="589"/>
    </row>
    <row r="1440" spans="1:45" ht="15">
      <c r="A1440" s="587" t="s">
        <v>173</v>
      </c>
      <c r="B1440" s="587" t="s">
        <v>551</v>
      </c>
      <c r="C1440" s="587" t="s">
        <v>812</v>
      </c>
      <c r="D1440" s="588">
        <v>2017</v>
      </c>
      <c r="E1440" s="587" t="s">
        <v>775</v>
      </c>
      <c r="F1440" s="588">
        <v>23</v>
      </c>
      <c r="G1440" s="588">
        <v>0</v>
      </c>
      <c r="H1440" s="588">
        <v>0</v>
      </c>
      <c r="I1440" s="588">
        <v>0</v>
      </c>
      <c r="J1440" s="588">
        <v>15</v>
      </c>
      <c r="K1440" s="588">
        <v>0</v>
      </c>
      <c r="L1440" s="588">
        <v>0</v>
      </c>
      <c r="M1440" s="588">
        <v>0</v>
      </c>
      <c r="N1440" s="588">
        <v>18</v>
      </c>
      <c r="O1440" s="588">
        <v>1</v>
      </c>
      <c r="P1440" s="588">
        <v>39</v>
      </c>
      <c r="Q1440" s="588">
        <v>36</v>
      </c>
      <c r="R1440" s="588">
        <v>95</v>
      </c>
      <c r="S1440" s="588">
        <v>37</v>
      </c>
      <c r="T1440" s="588">
        <v>2017</v>
      </c>
      <c r="U1440" s="588">
        <v>2014</v>
      </c>
      <c r="V1440" s="589"/>
      <c r="W1440" s="589"/>
      <c r="X1440" s="589"/>
      <c r="Y1440" s="589"/>
      <c r="Z1440" s="589"/>
      <c r="AA1440" s="589"/>
      <c r="AB1440" s="589"/>
      <c r="AC1440" s="589"/>
      <c r="AD1440" s="589"/>
      <c r="AE1440" s="589"/>
      <c r="AF1440" s="589"/>
      <c r="AG1440" s="589"/>
      <c r="AH1440" s="589"/>
      <c r="AI1440" s="589"/>
      <c r="AJ1440" s="589"/>
      <c r="AK1440" s="589"/>
      <c r="AL1440" s="589"/>
      <c r="AM1440" s="589"/>
      <c r="AN1440" s="589"/>
      <c r="AO1440" s="589"/>
      <c r="AP1440" s="589"/>
      <c r="AQ1440" s="589"/>
      <c r="AR1440" s="589"/>
      <c r="AS1440" s="589"/>
    </row>
    <row r="1441" spans="1:45" ht="15">
      <c r="A1441" s="590" t="s">
        <v>153</v>
      </c>
      <c r="B1441" s="590" t="s">
        <v>409</v>
      </c>
      <c r="C1441" s="590" t="s">
        <v>812</v>
      </c>
      <c r="D1441" s="593">
        <v>2017</v>
      </c>
      <c r="E1441" s="590" t="s">
        <v>775</v>
      </c>
      <c r="F1441" s="593">
        <v>8</v>
      </c>
      <c r="G1441" s="593">
        <v>1</v>
      </c>
      <c r="H1441" s="593">
        <v>1</v>
      </c>
      <c r="I1441" s="593">
        <v>0</v>
      </c>
      <c r="J1441" s="593">
        <v>5</v>
      </c>
      <c r="K1441" s="593">
        <v>0</v>
      </c>
      <c r="L1441" s="593">
        <v>0</v>
      </c>
      <c r="M1441" s="593">
        <v>0</v>
      </c>
      <c r="N1441" s="593">
        <v>5</v>
      </c>
      <c r="O1441" s="593">
        <v>0</v>
      </c>
      <c r="P1441" s="593">
        <v>13</v>
      </c>
      <c r="Q1441" s="593">
        <v>26</v>
      </c>
      <c r="R1441" s="593">
        <v>31</v>
      </c>
      <c r="S1441" s="593">
        <v>27</v>
      </c>
      <c r="T1441" s="593">
        <v>2017</v>
      </c>
      <c r="U1441" s="593">
        <v>2014</v>
      </c>
      <c r="V1441" s="589"/>
      <c r="W1441" s="589"/>
      <c r="X1441" s="589"/>
      <c r="Y1441" s="589"/>
      <c r="Z1441" s="589"/>
      <c r="AA1441" s="589"/>
      <c r="AB1441" s="589"/>
      <c r="AC1441" s="589"/>
      <c r="AD1441" s="589"/>
      <c r="AE1441" s="589"/>
      <c r="AF1441" s="589"/>
      <c r="AG1441" s="589"/>
      <c r="AH1441" s="589"/>
      <c r="AI1441" s="589"/>
      <c r="AJ1441" s="589"/>
      <c r="AK1441" s="589"/>
      <c r="AL1441" s="589"/>
      <c r="AM1441" s="589"/>
      <c r="AN1441" s="589"/>
      <c r="AO1441" s="589"/>
      <c r="AP1441" s="589"/>
      <c r="AQ1441" s="589"/>
      <c r="AR1441" s="589"/>
      <c r="AS1441" s="589"/>
    </row>
    <row r="1442" spans="1:45" ht="15">
      <c r="A1442" s="587" t="s">
        <v>169</v>
      </c>
      <c r="B1442" s="587" t="s">
        <v>509</v>
      </c>
      <c r="C1442" s="587" t="s">
        <v>812</v>
      </c>
      <c r="D1442" s="588">
        <v>2017</v>
      </c>
      <c r="E1442" s="587" t="s">
        <v>775</v>
      </c>
      <c r="F1442" s="588">
        <v>1</v>
      </c>
      <c r="G1442" s="588">
        <v>0</v>
      </c>
      <c r="H1442" s="588">
        <v>0</v>
      </c>
      <c r="I1442" s="588">
        <v>0</v>
      </c>
      <c r="J1442" s="588">
        <v>1</v>
      </c>
      <c r="K1442" s="588">
        <v>0</v>
      </c>
      <c r="L1442" s="588">
        <v>0</v>
      </c>
      <c r="M1442" s="588">
        <v>0</v>
      </c>
      <c r="N1442" s="588">
        <v>0</v>
      </c>
      <c r="O1442" s="588">
        <v>0</v>
      </c>
      <c r="P1442" s="588">
        <v>0</v>
      </c>
      <c r="Q1442" s="588">
        <v>0</v>
      </c>
      <c r="R1442" s="588">
        <v>2</v>
      </c>
      <c r="S1442" s="588">
        <v>0</v>
      </c>
      <c r="T1442" s="588">
        <v>2017</v>
      </c>
      <c r="U1442" s="588">
        <v>2014</v>
      </c>
      <c r="V1442" s="589"/>
      <c r="W1442" s="589"/>
      <c r="X1442" s="589"/>
      <c r="Y1442" s="589"/>
      <c r="Z1442" s="589"/>
      <c r="AA1442" s="589"/>
      <c r="AB1442" s="589"/>
      <c r="AC1442" s="589"/>
      <c r="AD1442" s="589"/>
      <c r="AE1442" s="589"/>
      <c r="AF1442" s="589"/>
      <c r="AG1442" s="589"/>
      <c r="AH1442" s="589"/>
      <c r="AI1442" s="589"/>
      <c r="AJ1442" s="589"/>
      <c r="AK1442" s="589"/>
      <c r="AL1442" s="589"/>
      <c r="AM1442" s="589"/>
      <c r="AN1442" s="589"/>
      <c r="AO1442" s="589"/>
      <c r="AP1442" s="589"/>
      <c r="AQ1442" s="589"/>
      <c r="AR1442" s="589"/>
      <c r="AS1442" s="589"/>
    </row>
    <row r="1443" spans="1:45" ht="15">
      <c r="A1443" s="590" t="s">
        <v>197</v>
      </c>
      <c r="B1443" s="590" t="s">
        <v>717</v>
      </c>
      <c r="C1443" s="590" t="s">
        <v>784</v>
      </c>
      <c r="D1443" s="593">
        <v>2017</v>
      </c>
      <c r="E1443" s="590" t="s">
        <v>775</v>
      </c>
      <c r="F1443" s="593">
        <v>73</v>
      </c>
      <c r="G1443" s="593">
        <v>0</v>
      </c>
      <c r="H1443" s="593">
        <v>0</v>
      </c>
      <c r="I1443" s="593">
        <v>0</v>
      </c>
      <c r="J1443" s="593">
        <v>52</v>
      </c>
      <c r="K1443" s="593">
        <v>18</v>
      </c>
      <c r="L1443" s="593">
        <v>0</v>
      </c>
      <c r="M1443" s="593">
        <v>18</v>
      </c>
      <c r="N1443" s="593">
        <v>61</v>
      </c>
      <c r="O1443" s="593">
        <v>20</v>
      </c>
      <c r="P1443" s="593">
        <v>137</v>
      </c>
      <c r="Q1443" s="593">
        <v>0</v>
      </c>
      <c r="R1443" s="593">
        <v>323</v>
      </c>
      <c r="S1443" s="593">
        <v>38</v>
      </c>
      <c r="T1443" s="593">
        <v>2017</v>
      </c>
      <c r="U1443" s="593">
        <v>2014</v>
      </c>
      <c r="V1443" s="589"/>
      <c r="W1443" s="589"/>
      <c r="X1443" s="589"/>
      <c r="Y1443" s="589"/>
      <c r="Z1443" s="589"/>
      <c r="AA1443" s="589"/>
      <c r="AB1443" s="589"/>
      <c r="AC1443" s="589"/>
      <c r="AD1443" s="589"/>
      <c r="AE1443" s="589"/>
      <c r="AF1443" s="589"/>
      <c r="AG1443" s="589"/>
      <c r="AH1443" s="589"/>
      <c r="AI1443" s="589"/>
      <c r="AJ1443" s="589"/>
      <c r="AK1443" s="589"/>
      <c r="AL1443" s="589"/>
      <c r="AM1443" s="589"/>
      <c r="AN1443" s="589"/>
      <c r="AO1443" s="589"/>
      <c r="AP1443" s="589"/>
      <c r="AQ1443" s="589"/>
      <c r="AR1443" s="589"/>
      <c r="AS1443" s="589"/>
    </row>
    <row r="1444" spans="1:45" ht="15">
      <c r="A1444" s="587" t="s">
        <v>189</v>
      </c>
      <c r="B1444" s="587" t="s">
        <v>671</v>
      </c>
      <c r="C1444" s="587" t="s">
        <v>784</v>
      </c>
      <c r="D1444" s="588">
        <v>2017</v>
      </c>
      <c r="E1444" s="587" t="s">
        <v>775</v>
      </c>
      <c r="F1444" s="588">
        <v>287</v>
      </c>
      <c r="G1444" s="588">
        <v>0</v>
      </c>
      <c r="H1444" s="588">
        <v>0</v>
      </c>
      <c r="I1444" s="588">
        <v>0</v>
      </c>
      <c r="J1444" s="588">
        <v>181</v>
      </c>
      <c r="K1444" s="588">
        <v>0</v>
      </c>
      <c r="L1444" s="588">
        <v>0</v>
      </c>
      <c r="M1444" s="588">
        <v>0</v>
      </c>
      <c r="N1444" s="588">
        <v>205</v>
      </c>
      <c r="O1444" s="588">
        <v>17</v>
      </c>
      <c r="P1444" s="588">
        <v>502</v>
      </c>
      <c r="Q1444" s="588">
        <v>135</v>
      </c>
      <c r="R1444" s="588">
        <v>1175</v>
      </c>
      <c r="S1444" s="588">
        <v>152</v>
      </c>
      <c r="T1444" s="588">
        <v>2017</v>
      </c>
      <c r="U1444" s="588">
        <v>2014</v>
      </c>
      <c r="V1444" s="589"/>
      <c r="W1444" s="589"/>
      <c r="X1444" s="589"/>
      <c r="Y1444" s="589"/>
      <c r="Z1444" s="589"/>
      <c r="AA1444" s="589"/>
      <c r="AB1444" s="589"/>
      <c r="AC1444" s="589"/>
      <c r="AD1444" s="589"/>
      <c r="AE1444" s="589"/>
      <c r="AF1444" s="589"/>
      <c r="AG1444" s="589"/>
      <c r="AH1444" s="589"/>
      <c r="AI1444" s="589"/>
      <c r="AJ1444" s="589"/>
      <c r="AK1444" s="589"/>
      <c r="AL1444" s="589"/>
      <c r="AM1444" s="589"/>
      <c r="AN1444" s="589"/>
      <c r="AO1444" s="589"/>
      <c r="AP1444" s="589"/>
      <c r="AQ1444" s="589"/>
      <c r="AR1444" s="589"/>
      <c r="AS1444" s="589"/>
    </row>
    <row r="1445" spans="1:45" ht="15">
      <c r="A1445" s="590" t="s">
        <v>178</v>
      </c>
      <c r="B1445" s="590" t="s">
        <v>582</v>
      </c>
      <c r="C1445" s="590" t="s">
        <v>812</v>
      </c>
      <c r="D1445" s="593">
        <v>2017</v>
      </c>
      <c r="E1445" s="590" t="s">
        <v>775</v>
      </c>
      <c r="F1445" s="593">
        <v>579</v>
      </c>
      <c r="G1445" s="593">
        <v>0</v>
      </c>
      <c r="H1445" s="593">
        <v>0</v>
      </c>
      <c r="I1445" s="593">
        <v>0</v>
      </c>
      <c r="J1445" s="593">
        <v>396</v>
      </c>
      <c r="K1445" s="593">
        <v>0</v>
      </c>
      <c r="L1445" s="593">
        <v>0</v>
      </c>
      <c r="M1445" s="593">
        <v>0</v>
      </c>
      <c r="N1445" s="593">
        <v>453</v>
      </c>
      <c r="O1445" s="593">
        <v>0</v>
      </c>
      <c r="P1445" s="593">
        <v>1001</v>
      </c>
      <c r="Q1445" s="593">
        <v>96</v>
      </c>
      <c r="R1445" s="593">
        <v>2429</v>
      </c>
      <c r="S1445" s="593">
        <v>96</v>
      </c>
      <c r="T1445" s="593">
        <v>2017</v>
      </c>
      <c r="U1445" s="593">
        <v>2014</v>
      </c>
      <c r="V1445" s="589"/>
      <c r="W1445" s="589"/>
      <c r="X1445" s="589"/>
      <c r="Y1445" s="589"/>
      <c r="Z1445" s="589"/>
      <c r="AA1445" s="589"/>
      <c r="AB1445" s="589"/>
      <c r="AC1445" s="589"/>
      <c r="AD1445" s="589"/>
      <c r="AE1445" s="589"/>
      <c r="AF1445" s="589"/>
      <c r="AG1445" s="589"/>
      <c r="AH1445" s="589"/>
      <c r="AI1445" s="589"/>
      <c r="AJ1445" s="589"/>
      <c r="AK1445" s="589"/>
      <c r="AL1445" s="589"/>
      <c r="AM1445" s="589"/>
      <c r="AN1445" s="589"/>
      <c r="AO1445" s="589"/>
      <c r="AP1445" s="589"/>
      <c r="AQ1445" s="589"/>
      <c r="AR1445" s="589"/>
      <c r="AS1445" s="589"/>
    </row>
    <row r="1446" spans="1:45" ht="15">
      <c r="A1446" s="587" t="s">
        <v>153</v>
      </c>
      <c r="B1446" s="587" t="s">
        <v>410</v>
      </c>
      <c r="C1446" s="587" t="s">
        <v>812</v>
      </c>
      <c r="D1446" s="588">
        <v>2017</v>
      </c>
      <c r="E1446" s="587" t="s">
        <v>775</v>
      </c>
      <c r="F1446" s="588">
        <v>372</v>
      </c>
      <c r="G1446" s="588">
        <v>0</v>
      </c>
      <c r="H1446" s="588">
        <v>0</v>
      </c>
      <c r="I1446" s="588">
        <v>0</v>
      </c>
      <c r="J1446" s="588">
        <v>223</v>
      </c>
      <c r="K1446" s="588">
        <v>0</v>
      </c>
      <c r="L1446" s="588">
        <v>0</v>
      </c>
      <c r="M1446" s="588">
        <v>0</v>
      </c>
      <c r="N1446" s="588">
        <v>238</v>
      </c>
      <c r="O1446" s="588">
        <v>0</v>
      </c>
      <c r="P1446" s="588">
        <v>564</v>
      </c>
      <c r="Q1446" s="588">
        <v>0</v>
      </c>
      <c r="R1446" s="588">
        <v>1397</v>
      </c>
      <c r="S1446" s="588">
        <v>0</v>
      </c>
      <c r="T1446" s="588">
        <v>2017</v>
      </c>
      <c r="U1446" s="588">
        <v>2014</v>
      </c>
      <c r="V1446" s="589"/>
      <c r="W1446" s="589"/>
      <c r="X1446" s="589"/>
      <c r="Y1446" s="589"/>
      <c r="Z1446" s="589"/>
      <c r="AA1446" s="589"/>
      <c r="AB1446" s="589"/>
      <c r="AC1446" s="589"/>
      <c r="AD1446" s="589"/>
      <c r="AE1446" s="589"/>
      <c r="AF1446" s="589"/>
      <c r="AG1446" s="589"/>
      <c r="AH1446" s="589"/>
      <c r="AI1446" s="589"/>
      <c r="AJ1446" s="589"/>
      <c r="AK1446" s="589"/>
      <c r="AL1446" s="589"/>
      <c r="AM1446" s="589"/>
      <c r="AN1446" s="589"/>
      <c r="AO1446" s="589"/>
      <c r="AP1446" s="589"/>
      <c r="AQ1446" s="589"/>
      <c r="AR1446" s="589"/>
      <c r="AS1446" s="589"/>
    </row>
    <row r="1447" spans="1:45" ht="15">
      <c r="A1447" s="590" t="s">
        <v>184</v>
      </c>
      <c r="B1447" s="590" t="s">
        <v>637</v>
      </c>
      <c r="C1447" s="590" t="s">
        <v>774</v>
      </c>
      <c r="D1447" s="593">
        <v>2017</v>
      </c>
      <c r="E1447" s="590" t="s">
        <v>775</v>
      </c>
      <c r="F1447" s="593">
        <v>706</v>
      </c>
      <c r="G1447" s="593">
        <v>0</v>
      </c>
      <c r="H1447" s="593">
        <v>0</v>
      </c>
      <c r="I1447" s="593">
        <v>0</v>
      </c>
      <c r="J1447" s="593">
        <v>429</v>
      </c>
      <c r="K1447" s="593">
        <v>36</v>
      </c>
      <c r="L1447" s="593">
        <v>36</v>
      </c>
      <c r="M1447" s="593">
        <v>0</v>
      </c>
      <c r="N1447" s="593">
        <v>502</v>
      </c>
      <c r="O1447" s="593">
        <v>0</v>
      </c>
      <c r="P1447" s="593">
        <v>1152</v>
      </c>
      <c r="Q1447" s="593">
        <v>8</v>
      </c>
      <c r="R1447" s="593">
        <v>2789</v>
      </c>
      <c r="S1447" s="593">
        <v>44</v>
      </c>
      <c r="T1447" s="593">
        <v>2017</v>
      </c>
      <c r="U1447" s="593">
        <v>2015</v>
      </c>
      <c r="V1447" s="589"/>
      <c r="W1447" s="589"/>
      <c r="X1447" s="589"/>
      <c r="Y1447" s="589"/>
      <c r="Z1447" s="589"/>
      <c r="AA1447" s="589"/>
      <c r="AB1447" s="589"/>
      <c r="AC1447" s="589"/>
      <c r="AD1447" s="589"/>
      <c r="AE1447" s="589"/>
      <c r="AF1447" s="589"/>
      <c r="AG1447" s="589"/>
      <c r="AH1447" s="589"/>
      <c r="AI1447" s="589"/>
      <c r="AJ1447" s="589"/>
      <c r="AK1447" s="589"/>
      <c r="AL1447" s="589"/>
      <c r="AM1447" s="589"/>
      <c r="AN1447" s="589"/>
      <c r="AO1447" s="589"/>
      <c r="AP1447" s="589"/>
      <c r="AQ1447" s="589"/>
      <c r="AR1447" s="589"/>
      <c r="AS1447" s="589"/>
    </row>
    <row r="1448" spans="1:45" ht="15">
      <c r="A1448" s="587" t="s">
        <v>141</v>
      </c>
      <c r="B1448" s="587" t="s">
        <v>301</v>
      </c>
      <c r="C1448" s="587" t="s">
        <v>177</v>
      </c>
      <c r="D1448" s="588">
        <v>2017</v>
      </c>
      <c r="E1448" s="587" t="s">
        <v>775</v>
      </c>
      <c r="F1448" s="588">
        <v>393</v>
      </c>
      <c r="G1448" s="588">
        <v>0</v>
      </c>
      <c r="H1448" s="588">
        <v>0</v>
      </c>
      <c r="I1448" s="588">
        <v>0</v>
      </c>
      <c r="J1448" s="588">
        <v>204</v>
      </c>
      <c r="K1448" s="588">
        <v>0</v>
      </c>
      <c r="L1448" s="588">
        <v>0</v>
      </c>
      <c r="M1448" s="588">
        <v>0</v>
      </c>
      <c r="N1448" s="588">
        <v>161</v>
      </c>
      <c r="O1448" s="588">
        <v>3</v>
      </c>
      <c r="P1448" s="588">
        <v>553</v>
      </c>
      <c r="Q1448" s="588">
        <v>1</v>
      </c>
      <c r="R1448" s="588">
        <v>1311</v>
      </c>
      <c r="S1448" s="588">
        <v>4</v>
      </c>
      <c r="T1448" s="588">
        <v>2017</v>
      </c>
      <c r="U1448" s="588">
        <v>2016</v>
      </c>
      <c r="V1448" s="589"/>
      <c r="W1448" s="589"/>
      <c r="X1448" s="589"/>
      <c r="Y1448" s="589"/>
      <c r="Z1448" s="589"/>
      <c r="AA1448" s="589"/>
      <c r="AB1448" s="589"/>
      <c r="AC1448" s="589"/>
      <c r="AD1448" s="589"/>
      <c r="AE1448" s="589"/>
      <c r="AF1448" s="589"/>
      <c r="AG1448" s="589"/>
      <c r="AH1448" s="589"/>
      <c r="AI1448" s="589"/>
      <c r="AJ1448" s="589"/>
      <c r="AK1448" s="589"/>
      <c r="AL1448" s="589"/>
      <c r="AM1448" s="589"/>
      <c r="AN1448" s="589"/>
      <c r="AO1448" s="589"/>
      <c r="AP1448" s="589"/>
      <c r="AQ1448" s="589"/>
      <c r="AR1448" s="589"/>
      <c r="AS1448" s="589"/>
    </row>
    <row r="1449" spans="1:45" ht="15">
      <c r="A1449" s="590" t="s">
        <v>178</v>
      </c>
      <c r="B1449" s="590" t="s">
        <v>583</v>
      </c>
      <c r="C1449" s="590" t="s">
        <v>812</v>
      </c>
      <c r="D1449" s="593">
        <v>2017</v>
      </c>
      <c r="E1449" s="590" t="s">
        <v>775</v>
      </c>
      <c r="F1449" s="593">
        <v>636</v>
      </c>
      <c r="G1449" s="593">
        <v>0</v>
      </c>
      <c r="H1449" s="593">
        <v>0</v>
      </c>
      <c r="I1449" s="593">
        <v>0</v>
      </c>
      <c r="J1449" s="593">
        <v>432</v>
      </c>
      <c r="K1449" s="593">
        <v>0</v>
      </c>
      <c r="L1449" s="593">
        <v>0</v>
      </c>
      <c r="M1449" s="593">
        <v>0</v>
      </c>
      <c r="N1449" s="593">
        <v>496</v>
      </c>
      <c r="O1449" s="593">
        <v>0</v>
      </c>
      <c r="P1449" s="593">
        <v>1151</v>
      </c>
      <c r="Q1449" s="593">
        <v>7</v>
      </c>
      <c r="R1449" s="593">
        <v>2715</v>
      </c>
      <c r="S1449" s="593">
        <v>7</v>
      </c>
      <c r="T1449" s="593">
        <v>2017</v>
      </c>
      <c r="U1449" s="593">
        <v>2014</v>
      </c>
      <c r="V1449" s="589"/>
      <c r="W1449" s="589"/>
      <c r="X1449" s="589"/>
      <c r="Y1449" s="589"/>
      <c r="Z1449" s="589"/>
      <c r="AA1449" s="589"/>
      <c r="AB1449" s="589"/>
      <c r="AC1449" s="589"/>
      <c r="AD1449" s="589"/>
      <c r="AE1449" s="589"/>
      <c r="AF1449" s="589"/>
      <c r="AG1449" s="589"/>
      <c r="AH1449" s="589"/>
      <c r="AI1449" s="589"/>
      <c r="AJ1449" s="589"/>
      <c r="AK1449" s="589"/>
      <c r="AL1449" s="589"/>
      <c r="AM1449" s="589"/>
      <c r="AN1449" s="589"/>
      <c r="AO1449" s="589"/>
      <c r="AP1449" s="589"/>
      <c r="AQ1449" s="589"/>
      <c r="AR1449" s="589"/>
      <c r="AS1449" s="589"/>
    </row>
    <row r="1450" spans="1:45" ht="15">
      <c r="A1450" s="587" t="s">
        <v>136</v>
      </c>
      <c r="B1450" s="587" t="s">
        <v>281</v>
      </c>
      <c r="C1450" s="587" t="s">
        <v>774</v>
      </c>
      <c r="D1450" s="588">
        <v>2017</v>
      </c>
      <c r="E1450" s="587" t="s">
        <v>775</v>
      </c>
      <c r="F1450" s="588">
        <v>438</v>
      </c>
      <c r="G1450" s="588">
        <v>79</v>
      </c>
      <c r="H1450" s="588">
        <v>79</v>
      </c>
      <c r="I1450" s="588">
        <v>0</v>
      </c>
      <c r="J1450" s="588">
        <v>305</v>
      </c>
      <c r="K1450" s="588">
        <v>0</v>
      </c>
      <c r="L1450" s="588">
        <v>0</v>
      </c>
      <c r="M1450" s="588">
        <v>0</v>
      </c>
      <c r="N1450" s="588">
        <v>410</v>
      </c>
      <c r="O1450" s="588">
        <v>0</v>
      </c>
      <c r="P1450" s="588">
        <v>1282</v>
      </c>
      <c r="Q1450" s="588">
        <v>59</v>
      </c>
      <c r="R1450" s="588">
        <v>2435</v>
      </c>
      <c r="S1450" s="588">
        <v>138</v>
      </c>
      <c r="T1450" s="588">
        <v>2017</v>
      </c>
      <c r="U1450" s="588">
        <v>2015</v>
      </c>
      <c r="V1450" s="589"/>
      <c r="W1450" s="589"/>
      <c r="X1450" s="589"/>
      <c r="Y1450" s="589"/>
      <c r="Z1450" s="589"/>
      <c r="AA1450" s="589"/>
      <c r="AB1450" s="589"/>
      <c r="AC1450" s="589"/>
      <c r="AD1450" s="589"/>
      <c r="AE1450" s="589"/>
      <c r="AF1450" s="589"/>
      <c r="AG1450" s="589"/>
      <c r="AH1450" s="589"/>
      <c r="AI1450" s="589"/>
      <c r="AJ1450" s="589"/>
      <c r="AK1450" s="589"/>
      <c r="AL1450" s="589"/>
      <c r="AM1450" s="589"/>
      <c r="AN1450" s="589"/>
      <c r="AO1450" s="589"/>
      <c r="AP1450" s="589"/>
      <c r="AQ1450" s="589"/>
      <c r="AR1450" s="589"/>
      <c r="AS1450" s="589"/>
    </row>
    <row r="1451" spans="1:45" ht="15">
      <c r="A1451" s="590" t="s">
        <v>192</v>
      </c>
      <c r="B1451" s="590" t="s">
        <v>689</v>
      </c>
      <c r="C1451" s="590" t="s">
        <v>774</v>
      </c>
      <c r="D1451" s="593">
        <v>2017</v>
      </c>
      <c r="E1451" s="590" t="s">
        <v>775</v>
      </c>
      <c r="F1451" s="593">
        <v>45</v>
      </c>
      <c r="G1451" s="593">
        <v>0</v>
      </c>
      <c r="H1451" s="593">
        <v>0</v>
      </c>
      <c r="I1451" s="593">
        <v>0</v>
      </c>
      <c r="J1451" s="593">
        <v>36</v>
      </c>
      <c r="K1451" s="593">
        <v>4</v>
      </c>
      <c r="L1451" s="593">
        <v>0</v>
      </c>
      <c r="M1451" s="593">
        <v>4</v>
      </c>
      <c r="N1451" s="593">
        <v>48</v>
      </c>
      <c r="O1451" s="593">
        <v>73</v>
      </c>
      <c r="P1451" s="593">
        <v>170</v>
      </c>
      <c r="Q1451" s="593">
        <v>75</v>
      </c>
      <c r="R1451" s="593">
        <v>299</v>
      </c>
      <c r="S1451" s="593">
        <v>152</v>
      </c>
      <c r="T1451" s="593">
        <v>2017</v>
      </c>
      <c r="U1451" s="593">
        <v>2015</v>
      </c>
      <c r="V1451" s="589"/>
      <c r="W1451" s="589"/>
      <c r="X1451" s="589"/>
      <c r="Y1451" s="589"/>
      <c r="Z1451" s="589"/>
      <c r="AA1451" s="589"/>
      <c r="AB1451" s="589"/>
      <c r="AC1451" s="589"/>
      <c r="AD1451" s="589"/>
      <c r="AE1451" s="589"/>
      <c r="AF1451" s="589"/>
      <c r="AG1451" s="589"/>
      <c r="AH1451" s="589"/>
      <c r="AI1451" s="589"/>
      <c r="AJ1451" s="589"/>
      <c r="AK1451" s="589"/>
      <c r="AL1451" s="589"/>
      <c r="AM1451" s="589"/>
      <c r="AN1451" s="589"/>
      <c r="AO1451" s="589"/>
      <c r="AP1451" s="589"/>
      <c r="AQ1451" s="589"/>
      <c r="AR1451" s="589"/>
      <c r="AS1451" s="589"/>
    </row>
    <row r="1452" spans="1:45" ht="15">
      <c r="A1452" s="587" t="s">
        <v>195</v>
      </c>
      <c r="B1452" s="587" t="s">
        <v>709</v>
      </c>
      <c r="C1452" s="587" t="s">
        <v>177</v>
      </c>
      <c r="D1452" s="588">
        <v>2017</v>
      </c>
      <c r="E1452" s="587" t="s">
        <v>775</v>
      </c>
      <c r="F1452" s="588">
        <v>321</v>
      </c>
      <c r="G1452" s="588">
        <v>0</v>
      </c>
      <c r="H1452" s="588">
        <v>0</v>
      </c>
      <c r="I1452" s="588">
        <v>0</v>
      </c>
      <c r="J1452" s="588">
        <v>206</v>
      </c>
      <c r="K1452" s="588">
        <v>0</v>
      </c>
      <c r="L1452" s="588">
        <v>0</v>
      </c>
      <c r="M1452" s="588">
        <v>0</v>
      </c>
      <c r="N1452" s="588">
        <v>217</v>
      </c>
      <c r="O1452" s="588">
        <v>0</v>
      </c>
      <c r="P1452" s="588">
        <v>536</v>
      </c>
      <c r="Q1452" s="588">
        <v>13</v>
      </c>
      <c r="R1452" s="588">
        <v>1280</v>
      </c>
      <c r="S1452" s="588">
        <v>13</v>
      </c>
      <c r="T1452" s="588">
        <v>2017</v>
      </c>
      <c r="U1452" s="588">
        <v>2016</v>
      </c>
      <c r="V1452" s="589"/>
      <c r="W1452" s="589"/>
      <c r="X1452" s="589"/>
      <c r="Y1452" s="589"/>
      <c r="Z1452" s="589"/>
      <c r="AA1452" s="589"/>
      <c r="AB1452" s="589"/>
      <c r="AC1452" s="589"/>
      <c r="AD1452" s="589"/>
      <c r="AE1452" s="589"/>
      <c r="AF1452" s="589"/>
      <c r="AG1452" s="589"/>
      <c r="AH1452" s="589"/>
      <c r="AI1452" s="589"/>
      <c r="AJ1452" s="589"/>
      <c r="AK1452" s="589"/>
      <c r="AL1452" s="589"/>
      <c r="AM1452" s="589"/>
      <c r="AN1452" s="589"/>
      <c r="AO1452" s="589"/>
      <c r="AP1452" s="589"/>
      <c r="AQ1452" s="589"/>
      <c r="AR1452" s="589"/>
      <c r="AS1452" s="589"/>
    </row>
    <row r="1453" spans="1:45" ht="15">
      <c r="A1453" s="590" t="s">
        <v>173</v>
      </c>
      <c r="B1453" s="591" t="s">
        <v>173</v>
      </c>
      <c r="C1453" s="591" t="s">
        <v>812</v>
      </c>
      <c r="D1453" s="592">
        <v>2017</v>
      </c>
      <c r="E1453" s="591" t="s">
        <v>775</v>
      </c>
      <c r="F1453" s="592">
        <v>2002</v>
      </c>
      <c r="G1453" s="592">
        <v>0</v>
      </c>
      <c r="H1453" s="592">
        <v>0</v>
      </c>
      <c r="I1453" s="592">
        <v>0</v>
      </c>
      <c r="J1453" s="592">
        <v>1336</v>
      </c>
      <c r="K1453" s="592">
        <v>0</v>
      </c>
      <c r="L1453" s="592">
        <v>0</v>
      </c>
      <c r="M1453" s="592">
        <v>0</v>
      </c>
      <c r="N1453" s="593">
        <v>1503</v>
      </c>
      <c r="O1453" s="593">
        <v>12</v>
      </c>
      <c r="P1453" s="593">
        <v>3442</v>
      </c>
      <c r="Q1453" s="593">
        <v>70</v>
      </c>
      <c r="R1453" s="593">
        <v>8283</v>
      </c>
      <c r="S1453" s="593">
        <v>82</v>
      </c>
      <c r="T1453" s="593">
        <v>2017</v>
      </c>
      <c r="U1453" s="593">
        <v>2014</v>
      </c>
      <c r="V1453" s="589"/>
      <c r="W1453" s="589"/>
      <c r="X1453" s="589"/>
      <c r="Y1453" s="589"/>
      <c r="Z1453" s="589"/>
      <c r="AA1453" s="589"/>
      <c r="AB1453" s="589"/>
      <c r="AC1453" s="589"/>
      <c r="AD1453" s="589"/>
      <c r="AE1453" s="589"/>
      <c r="AF1453" s="589"/>
      <c r="AG1453" s="589"/>
      <c r="AH1453" s="589"/>
      <c r="AI1453" s="589"/>
      <c r="AJ1453" s="589"/>
      <c r="AK1453" s="589"/>
      <c r="AL1453" s="589"/>
      <c r="AM1453" s="589"/>
      <c r="AN1453" s="589"/>
      <c r="AO1453" s="589"/>
      <c r="AP1453" s="589"/>
      <c r="AQ1453" s="589"/>
      <c r="AR1453" s="589"/>
      <c r="AS1453" s="589"/>
    </row>
    <row r="1454" spans="1:45" ht="15">
      <c r="A1454" s="587" t="s">
        <v>173</v>
      </c>
      <c r="B1454" s="587" t="s">
        <v>552</v>
      </c>
      <c r="C1454" s="587" t="s">
        <v>812</v>
      </c>
      <c r="D1454" s="588">
        <v>2017</v>
      </c>
      <c r="E1454" s="587" t="s">
        <v>775</v>
      </c>
      <c r="F1454" s="588">
        <v>7173</v>
      </c>
      <c r="G1454" s="588">
        <v>86</v>
      </c>
      <c r="H1454" s="588">
        <v>86</v>
      </c>
      <c r="I1454" s="588">
        <v>0</v>
      </c>
      <c r="J1454" s="588">
        <v>4871</v>
      </c>
      <c r="K1454" s="588">
        <v>27</v>
      </c>
      <c r="L1454" s="588">
        <v>27</v>
      </c>
      <c r="M1454" s="588">
        <v>0</v>
      </c>
      <c r="N1454" s="588">
        <v>5534</v>
      </c>
      <c r="O1454" s="588">
        <v>505</v>
      </c>
      <c r="P1454" s="588">
        <v>12725</v>
      </c>
      <c r="Q1454" s="588">
        <v>62</v>
      </c>
      <c r="R1454" s="588">
        <v>30303</v>
      </c>
      <c r="S1454" s="588">
        <v>680</v>
      </c>
      <c r="T1454" s="588">
        <v>2017</v>
      </c>
      <c r="U1454" s="588">
        <v>2014</v>
      </c>
      <c r="V1454" s="589"/>
      <c r="W1454" s="589"/>
      <c r="X1454" s="589"/>
      <c r="Y1454" s="589"/>
      <c r="Z1454" s="589"/>
      <c r="AA1454" s="589"/>
      <c r="AB1454" s="589"/>
      <c r="AC1454" s="589"/>
      <c r="AD1454" s="589"/>
      <c r="AE1454" s="589"/>
      <c r="AF1454" s="589"/>
      <c r="AG1454" s="589"/>
      <c r="AH1454" s="589"/>
      <c r="AI1454" s="589"/>
      <c r="AJ1454" s="589"/>
      <c r="AK1454" s="589"/>
      <c r="AL1454" s="589"/>
      <c r="AM1454" s="589"/>
      <c r="AN1454" s="589"/>
      <c r="AO1454" s="589"/>
      <c r="AP1454" s="589"/>
      <c r="AQ1454" s="589"/>
      <c r="AR1454" s="589"/>
      <c r="AS1454" s="589"/>
    </row>
    <row r="1455" spans="1:45" ht="15">
      <c r="A1455" s="590" t="s">
        <v>170</v>
      </c>
      <c r="B1455" s="591" t="s">
        <v>524</v>
      </c>
      <c r="C1455" s="591" t="s">
        <v>799</v>
      </c>
      <c r="D1455" s="592">
        <v>2017</v>
      </c>
      <c r="E1455" s="591" t="s">
        <v>775</v>
      </c>
      <c r="F1455" s="592">
        <v>1040</v>
      </c>
      <c r="G1455" s="592">
        <v>0</v>
      </c>
      <c r="H1455" s="592">
        <v>0</v>
      </c>
      <c r="I1455" s="592">
        <v>0</v>
      </c>
      <c r="J1455" s="592">
        <v>729</v>
      </c>
      <c r="K1455" s="592">
        <v>0</v>
      </c>
      <c r="L1455" s="592">
        <v>0</v>
      </c>
      <c r="M1455" s="592">
        <v>0</v>
      </c>
      <c r="N1455" s="593">
        <v>709</v>
      </c>
      <c r="O1455" s="593">
        <v>181</v>
      </c>
      <c r="P1455" s="593">
        <v>1335</v>
      </c>
      <c r="Q1455" s="593">
        <v>643</v>
      </c>
      <c r="R1455" s="593">
        <v>3813</v>
      </c>
      <c r="S1455" s="593">
        <v>824</v>
      </c>
      <c r="T1455" s="593">
        <v>2017</v>
      </c>
      <c r="U1455" s="593">
        <v>2014</v>
      </c>
      <c r="V1455" s="589"/>
      <c r="W1455" s="589"/>
      <c r="X1455" s="589"/>
      <c r="Y1455" s="589"/>
      <c r="Z1455" s="589"/>
      <c r="AA1455" s="589"/>
      <c r="AB1455" s="589"/>
      <c r="AC1455" s="589"/>
      <c r="AD1455" s="589"/>
      <c r="AE1455" s="589"/>
      <c r="AF1455" s="589"/>
      <c r="AG1455" s="589"/>
      <c r="AH1455" s="589"/>
      <c r="AI1455" s="589"/>
      <c r="AJ1455" s="589"/>
      <c r="AK1455" s="589"/>
      <c r="AL1455" s="589"/>
      <c r="AM1455" s="589"/>
      <c r="AN1455" s="589"/>
      <c r="AO1455" s="589"/>
      <c r="AP1455" s="589"/>
      <c r="AQ1455" s="589"/>
      <c r="AR1455" s="589"/>
      <c r="AS1455" s="589"/>
    </row>
    <row r="1456" spans="1:45" ht="15">
      <c r="A1456" s="587" t="s">
        <v>193</v>
      </c>
      <c r="B1456" s="587" t="s">
        <v>698</v>
      </c>
      <c r="C1456" s="587" t="s">
        <v>774</v>
      </c>
      <c r="D1456" s="588">
        <v>2017</v>
      </c>
      <c r="E1456" s="587" t="s">
        <v>775</v>
      </c>
      <c r="F1456" s="588">
        <v>181</v>
      </c>
      <c r="G1456" s="588">
        <v>0</v>
      </c>
      <c r="H1456" s="588">
        <v>0</v>
      </c>
      <c r="I1456" s="588">
        <v>0</v>
      </c>
      <c r="J1456" s="588">
        <v>107</v>
      </c>
      <c r="K1456" s="588">
        <v>0</v>
      </c>
      <c r="L1456" s="588">
        <v>0</v>
      </c>
      <c r="M1456" s="588">
        <v>0</v>
      </c>
      <c r="N1456" s="588">
        <v>127</v>
      </c>
      <c r="O1456" s="588">
        <v>13</v>
      </c>
      <c r="P1456" s="588">
        <v>484</v>
      </c>
      <c r="Q1456" s="588">
        <v>165</v>
      </c>
      <c r="R1456" s="588">
        <v>899</v>
      </c>
      <c r="S1456" s="588">
        <v>178</v>
      </c>
      <c r="T1456" s="588">
        <v>2017</v>
      </c>
      <c r="U1456" s="588">
        <v>2015</v>
      </c>
      <c r="V1456" s="589"/>
      <c r="W1456" s="589"/>
      <c r="X1456" s="589"/>
      <c r="Y1456" s="589"/>
      <c r="Z1456" s="589"/>
      <c r="AA1456" s="589"/>
      <c r="AB1456" s="589"/>
      <c r="AC1456" s="589"/>
      <c r="AD1456" s="589"/>
      <c r="AE1456" s="589"/>
      <c r="AF1456" s="589"/>
      <c r="AG1456" s="589"/>
      <c r="AH1456" s="589"/>
      <c r="AI1456" s="589"/>
      <c r="AJ1456" s="589"/>
      <c r="AK1456" s="589"/>
      <c r="AL1456" s="589"/>
      <c r="AM1456" s="589"/>
      <c r="AN1456" s="589"/>
      <c r="AO1456" s="589"/>
      <c r="AP1456" s="589"/>
      <c r="AQ1456" s="589"/>
      <c r="AR1456" s="589"/>
      <c r="AS1456" s="589"/>
    </row>
    <row r="1457" spans="1:45" ht="15">
      <c r="A1457" s="590" t="s">
        <v>153</v>
      </c>
      <c r="B1457" s="591" t="s">
        <v>412</v>
      </c>
      <c r="C1457" s="591" t="s">
        <v>812</v>
      </c>
      <c r="D1457" s="592">
        <v>2017</v>
      </c>
      <c r="E1457" s="591" t="s">
        <v>775</v>
      </c>
      <c r="F1457" s="592">
        <v>1</v>
      </c>
      <c r="G1457" s="592">
        <v>0</v>
      </c>
      <c r="H1457" s="592">
        <v>0</v>
      </c>
      <c r="I1457" s="592">
        <v>0</v>
      </c>
      <c r="J1457" s="592">
        <v>1</v>
      </c>
      <c r="K1457" s="592">
        <v>0</v>
      </c>
      <c r="L1457" s="592">
        <v>0</v>
      </c>
      <c r="M1457" s="592">
        <v>0</v>
      </c>
      <c r="N1457" s="593">
        <v>1</v>
      </c>
      <c r="O1457" s="593">
        <v>1</v>
      </c>
      <c r="P1457" s="593">
        <v>2</v>
      </c>
      <c r="Q1457" s="593">
        <v>4</v>
      </c>
      <c r="R1457" s="593">
        <v>5</v>
      </c>
      <c r="S1457" s="593">
        <v>5</v>
      </c>
      <c r="T1457" s="593">
        <v>2017</v>
      </c>
      <c r="U1457" s="593">
        <v>2014</v>
      </c>
      <c r="V1457" s="589"/>
      <c r="W1457" s="589"/>
      <c r="X1457" s="589"/>
      <c r="Y1457" s="589"/>
      <c r="Z1457" s="589"/>
      <c r="AA1457" s="589"/>
      <c r="AB1457" s="589"/>
      <c r="AC1457" s="589"/>
      <c r="AD1457" s="589"/>
      <c r="AE1457" s="589"/>
      <c r="AF1457" s="589"/>
      <c r="AG1457" s="589"/>
      <c r="AH1457" s="589"/>
      <c r="AI1457" s="589"/>
      <c r="AJ1457" s="589"/>
      <c r="AK1457" s="589"/>
      <c r="AL1457" s="589"/>
      <c r="AM1457" s="589"/>
      <c r="AN1457" s="589"/>
      <c r="AO1457" s="589"/>
      <c r="AP1457" s="589"/>
      <c r="AQ1457" s="589"/>
      <c r="AR1457" s="589"/>
      <c r="AS1457" s="589"/>
    </row>
    <row r="1458" spans="1:45" ht="15">
      <c r="A1458" s="587" t="s">
        <v>153</v>
      </c>
      <c r="B1458" s="587" t="s">
        <v>413</v>
      </c>
      <c r="C1458" s="587" t="s">
        <v>812</v>
      </c>
      <c r="D1458" s="588">
        <v>2017</v>
      </c>
      <c r="E1458" s="587" t="s">
        <v>775</v>
      </c>
      <c r="F1458" s="588">
        <v>153</v>
      </c>
      <c r="G1458" s="588">
        <v>0</v>
      </c>
      <c r="H1458" s="588">
        <v>0</v>
      </c>
      <c r="I1458" s="588">
        <v>0</v>
      </c>
      <c r="J1458" s="588">
        <v>88</v>
      </c>
      <c r="K1458" s="588">
        <v>0</v>
      </c>
      <c r="L1458" s="588">
        <v>0</v>
      </c>
      <c r="M1458" s="588">
        <v>0</v>
      </c>
      <c r="N1458" s="588">
        <v>99</v>
      </c>
      <c r="O1458" s="588">
        <v>0</v>
      </c>
      <c r="P1458" s="588">
        <v>262</v>
      </c>
      <c r="Q1458" s="588">
        <v>0</v>
      </c>
      <c r="R1458" s="588">
        <v>602</v>
      </c>
      <c r="S1458" s="588">
        <v>0</v>
      </c>
      <c r="T1458" s="588">
        <v>2017</v>
      </c>
      <c r="U1458" s="588">
        <v>2014</v>
      </c>
      <c r="V1458" s="589"/>
      <c r="W1458" s="589"/>
      <c r="X1458" s="589"/>
      <c r="Y1458" s="589"/>
      <c r="Z1458" s="589"/>
      <c r="AA1458" s="589"/>
      <c r="AB1458" s="589"/>
      <c r="AC1458" s="589"/>
      <c r="AD1458" s="589"/>
      <c r="AE1458" s="589"/>
      <c r="AF1458" s="589"/>
      <c r="AG1458" s="589"/>
      <c r="AH1458" s="589"/>
      <c r="AI1458" s="589"/>
      <c r="AJ1458" s="589"/>
      <c r="AK1458" s="589"/>
      <c r="AL1458" s="589"/>
      <c r="AM1458" s="589"/>
      <c r="AN1458" s="589"/>
      <c r="AO1458" s="589"/>
      <c r="AP1458" s="589"/>
      <c r="AQ1458" s="589"/>
      <c r="AR1458" s="589"/>
      <c r="AS1458" s="589"/>
    </row>
    <row r="1459" spans="1:45" ht="15">
      <c r="A1459" s="590" t="s">
        <v>170</v>
      </c>
      <c r="B1459" s="591" t="s">
        <v>525</v>
      </c>
      <c r="C1459" s="591" t="s">
        <v>799</v>
      </c>
      <c r="D1459" s="592">
        <v>2017</v>
      </c>
      <c r="E1459" s="591" t="s">
        <v>775</v>
      </c>
      <c r="F1459" s="592">
        <v>2268</v>
      </c>
      <c r="G1459" s="592">
        <v>43</v>
      </c>
      <c r="H1459" s="592">
        <v>43</v>
      </c>
      <c r="I1459" s="592">
        <v>0</v>
      </c>
      <c r="J1459" s="592">
        <v>1590</v>
      </c>
      <c r="K1459" s="592">
        <v>0</v>
      </c>
      <c r="L1459" s="592">
        <v>0</v>
      </c>
      <c r="M1459" s="592">
        <v>0</v>
      </c>
      <c r="N1459" s="593">
        <v>1577</v>
      </c>
      <c r="O1459" s="593">
        <v>1000</v>
      </c>
      <c r="P1459" s="593">
        <v>3043</v>
      </c>
      <c r="Q1459" s="593">
        <v>644</v>
      </c>
      <c r="R1459" s="593">
        <v>8478</v>
      </c>
      <c r="S1459" s="593">
        <v>1687</v>
      </c>
      <c r="T1459" s="593">
        <v>2017</v>
      </c>
      <c r="U1459" s="593">
        <v>2014</v>
      </c>
      <c r="V1459" s="589"/>
      <c r="W1459" s="589"/>
      <c r="X1459" s="589"/>
      <c r="Y1459" s="589"/>
      <c r="Z1459" s="589"/>
      <c r="AA1459" s="589"/>
      <c r="AB1459" s="589"/>
      <c r="AC1459" s="589"/>
      <c r="AD1459" s="589"/>
      <c r="AE1459" s="589"/>
      <c r="AF1459" s="589"/>
      <c r="AG1459" s="589"/>
      <c r="AH1459" s="589"/>
      <c r="AI1459" s="589"/>
      <c r="AJ1459" s="589"/>
      <c r="AK1459" s="589"/>
      <c r="AL1459" s="589"/>
      <c r="AM1459" s="589"/>
      <c r="AN1459" s="589"/>
      <c r="AO1459" s="589"/>
      <c r="AP1459" s="589"/>
      <c r="AQ1459" s="589"/>
      <c r="AR1459" s="589"/>
      <c r="AS1459" s="589"/>
    </row>
    <row r="1460" spans="1:45" ht="15">
      <c r="A1460" s="587" t="s">
        <v>157</v>
      </c>
      <c r="B1460" s="587" t="s">
        <v>443</v>
      </c>
      <c r="C1460" s="587" t="s">
        <v>774</v>
      </c>
      <c r="D1460" s="588">
        <v>2017</v>
      </c>
      <c r="E1460" s="587" t="s">
        <v>775</v>
      </c>
      <c r="F1460" s="588">
        <v>6</v>
      </c>
      <c r="G1460" s="588">
        <v>0</v>
      </c>
      <c r="H1460" s="588">
        <v>0</v>
      </c>
      <c r="I1460" s="588">
        <v>0</v>
      </c>
      <c r="J1460" s="588">
        <v>4</v>
      </c>
      <c r="K1460" s="588">
        <v>0</v>
      </c>
      <c r="L1460" s="588">
        <v>0</v>
      </c>
      <c r="M1460" s="588">
        <v>0</v>
      </c>
      <c r="N1460" s="588">
        <v>4</v>
      </c>
      <c r="O1460" s="588">
        <v>1</v>
      </c>
      <c r="P1460" s="588">
        <v>4</v>
      </c>
      <c r="Q1460" s="588">
        <v>0</v>
      </c>
      <c r="R1460" s="588">
        <v>18</v>
      </c>
      <c r="S1460" s="588">
        <v>1</v>
      </c>
      <c r="T1460" s="588">
        <v>2017</v>
      </c>
      <c r="U1460" s="588">
        <v>2015</v>
      </c>
      <c r="V1460" s="589"/>
      <c r="W1460" s="589"/>
      <c r="X1460" s="589"/>
      <c r="Y1460" s="589"/>
      <c r="Z1460" s="589"/>
      <c r="AA1460" s="589"/>
      <c r="AB1460" s="589"/>
      <c r="AC1460" s="589"/>
      <c r="AD1460" s="589"/>
      <c r="AE1460" s="589"/>
      <c r="AF1460" s="589"/>
      <c r="AG1460" s="589"/>
      <c r="AH1460" s="589"/>
      <c r="AI1460" s="589"/>
      <c r="AJ1460" s="589"/>
      <c r="AK1460" s="589"/>
      <c r="AL1460" s="589"/>
      <c r="AM1460" s="589"/>
      <c r="AN1460" s="589"/>
      <c r="AO1460" s="589"/>
      <c r="AP1460" s="589"/>
      <c r="AQ1460" s="589"/>
      <c r="AR1460" s="589"/>
      <c r="AS1460" s="589"/>
    </row>
    <row r="1461" spans="1:45" ht="15">
      <c r="A1461" s="590" t="s">
        <v>174</v>
      </c>
      <c r="B1461" s="591" t="s">
        <v>174</v>
      </c>
      <c r="C1461" s="591" t="s">
        <v>799</v>
      </c>
      <c r="D1461" s="592">
        <v>2017</v>
      </c>
      <c r="E1461" s="591" t="s">
        <v>775</v>
      </c>
      <c r="F1461" s="592">
        <v>4944</v>
      </c>
      <c r="G1461" s="592">
        <v>0</v>
      </c>
      <c r="H1461" s="592">
        <v>0</v>
      </c>
      <c r="I1461" s="592">
        <v>0</v>
      </c>
      <c r="J1461" s="592">
        <v>3467</v>
      </c>
      <c r="K1461" s="592">
        <v>3</v>
      </c>
      <c r="L1461" s="592">
        <v>0</v>
      </c>
      <c r="M1461" s="592">
        <v>3</v>
      </c>
      <c r="N1461" s="593">
        <v>4482</v>
      </c>
      <c r="O1461" s="593">
        <v>1757</v>
      </c>
      <c r="P1461" s="593">
        <v>11208</v>
      </c>
      <c r="Q1461" s="593">
        <v>1121</v>
      </c>
      <c r="R1461" s="593">
        <v>24101</v>
      </c>
      <c r="S1461" s="593">
        <v>2881</v>
      </c>
      <c r="T1461" s="593">
        <v>2017</v>
      </c>
      <c r="U1461" s="593">
        <v>2014</v>
      </c>
      <c r="V1461" s="589"/>
      <c r="W1461" s="589"/>
      <c r="X1461" s="589"/>
      <c r="Y1461" s="589"/>
      <c r="Z1461" s="589"/>
      <c r="AA1461" s="589"/>
      <c r="AB1461" s="589"/>
      <c r="AC1461" s="589"/>
      <c r="AD1461" s="589"/>
      <c r="AE1461" s="589"/>
      <c r="AF1461" s="589"/>
      <c r="AG1461" s="589"/>
      <c r="AH1461" s="589"/>
      <c r="AI1461" s="589"/>
      <c r="AJ1461" s="589"/>
      <c r="AK1461" s="589"/>
      <c r="AL1461" s="589"/>
      <c r="AM1461" s="589"/>
      <c r="AN1461" s="589"/>
      <c r="AO1461" s="589"/>
      <c r="AP1461" s="589"/>
      <c r="AQ1461" s="589"/>
      <c r="AR1461" s="589"/>
      <c r="AS1461" s="589"/>
    </row>
    <row r="1462" spans="1:45" ht="15">
      <c r="A1462" s="587" t="s">
        <v>174</v>
      </c>
      <c r="B1462" s="587" t="s">
        <v>562</v>
      </c>
      <c r="C1462" s="587" t="s">
        <v>799</v>
      </c>
      <c r="D1462" s="588">
        <v>2017</v>
      </c>
      <c r="E1462" s="587" t="s">
        <v>775</v>
      </c>
      <c r="F1462" s="588">
        <v>3149</v>
      </c>
      <c r="G1462" s="588">
        <v>0</v>
      </c>
      <c r="H1462" s="588">
        <v>0</v>
      </c>
      <c r="I1462" s="588">
        <v>0</v>
      </c>
      <c r="J1462" s="588">
        <v>2208</v>
      </c>
      <c r="K1462" s="588">
        <v>0</v>
      </c>
      <c r="L1462" s="588">
        <v>0</v>
      </c>
      <c r="M1462" s="588">
        <v>0</v>
      </c>
      <c r="N1462" s="588">
        <v>2574</v>
      </c>
      <c r="O1462" s="588">
        <v>247</v>
      </c>
      <c r="P1462" s="588">
        <v>5913</v>
      </c>
      <c r="Q1462" s="588">
        <v>414</v>
      </c>
      <c r="R1462" s="588">
        <v>13844</v>
      </c>
      <c r="S1462" s="588">
        <v>661</v>
      </c>
      <c r="T1462" s="588">
        <v>2017</v>
      </c>
      <c r="U1462" s="588">
        <v>2014</v>
      </c>
      <c r="V1462" s="589"/>
      <c r="W1462" s="589"/>
      <c r="X1462" s="589"/>
      <c r="Y1462" s="589"/>
      <c r="Z1462" s="589"/>
      <c r="AA1462" s="589"/>
      <c r="AB1462" s="589"/>
      <c r="AC1462" s="589"/>
      <c r="AD1462" s="589"/>
      <c r="AE1462" s="589"/>
      <c r="AF1462" s="589"/>
      <c r="AG1462" s="589"/>
      <c r="AH1462" s="589"/>
      <c r="AI1462" s="589"/>
      <c r="AJ1462" s="589"/>
      <c r="AK1462" s="589"/>
      <c r="AL1462" s="589"/>
      <c r="AM1462" s="589"/>
      <c r="AN1462" s="589"/>
      <c r="AO1462" s="589"/>
      <c r="AP1462" s="589"/>
      <c r="AQ1462" s="589"/>
      <c r="AR1462" s="589"/>
      <c r="AS1462" s="589"/>
    </row>
    <row r="1463" spans="1:45" ht="15">
      <c r="A1463" s="590" t="s">
        <v>166</v>
      </c>
      <c r="B1463" s="591" t="s">
        <v>479</v>
      </c>
      <c r="C1463" s="591" t="s">
        <v>774</v>
      </c>
      <c r="D1463" s="592">
        <v>2017</v>
      </c>
      <c r="E1463" s="591" t="s">
        <v>775</v>
      </c>
      <c r="F1463" s="592">
        <v>8</v>
      </c>
      <c r="G1463" s="592">
        <v>0</v>
      </c>
      <c r="H1463" s="592">
        <v>0</v>
      </c>
      <c r="I1463" s="592">
        <v>0</v>
      </c>
      <c r="J1463" s="592">
        <v>5</v>
      </c>
      <c r="K1463" s="592">
        <v>0</v>
      </c>
      <c r="L1463" s="592">
        <v>0</v>
      </c>
      <c r="M1463" s="592">
        <v>0</v>
      </c>
      <c r="N1463" s="593">
        <v>5</v>
      </c>
      <c r="O1463" s="593">
        <v>0</v>
      </c>
      <c r="P1463" s="593">
        <v>13</v>
      </c>
      <c r="Q1463" s="593">
        <v>11</v>
      </c>
      <c r="R1463" s="593">
        <v>31</v>
      </c>
      <c r="S1463" s="593">
        <v>11</v>
      </c>
      <c r="T1463" s="593">
        <v>2017</v>
      </c>
      <c r="U1463" s="593">
        <v>2015</v>
      </c>
      <c r="V1463" s="589"/>
      <c r="W1463" s="589"/>
      <c r="X1463" s="589"/>
      <c r="Y1463" s="589"/>
      <c r="Z1463" s="589"/>
      <c r="AA1463" s="589"/>
      <c r="AB1463" s="589"/>
      <c r="AC1463" s="589"/>
      <c r="AD1463" s="589"/>
      <c r="AE1463" s="589"/>
      <c r="AF1463" s="589"/>
      <c r="AG1463" s="589"/>
      <c r="AH1463" s="589"/>
      <c r="AI1463" s="589"/>
      <c r="AJ1463" s="589"/>
      <c r="AK1463" s="589"/>
      <c r="AL1463" s="589"/>
      <c r="AM1463" s="589"/>
      <c r="AN1463" s="589"/>
      <c r="AO1463" s="589"/>
      <c r="AP1463" s="589"/>
      <c r="AQ1463" s="589"/>
      <c r="AR1463" s="589"/>
      <c r="AS1463" s="589"/>
    </row>
    <row r="1464" spans="1:45" ht="15">
      <c r="A1464" s="587" t="s">
        <v>164</v>
      </c>
      <c r="B1464" s="587" t="s">
        <v>472</v>
      </c>
      <c r="C1464" s="587" t="s">
        <v>177</v>
      </c>
      <c r="D1464" s="588">
        <v>2017</v>
      </c>
      <c r="E1464" s="587" t="s">
        <v>775</v>
      </c>
      <c r="F1464" s="588">
        <v>537</v>
      </c>
      <c r="G1464" s="588">
        <v>50</v>
      </c>
      <c r="H1464" s="588">
        <v>50</v>
      </c>
      <c r="I1464" s="588">
        <v>0</v>
      </c>
      <c r="J1464" s="588">
        <v>351</v>
      </c>
      <c r="K1464" s="588">
        <v>0</v>
      </c>
      <c r="L1464" s="588">
        <v>0</v>
      </c>
      <c r="M1464" s="588">
        <v>0</v>
      </c>
      <c r="N1464" s="588">
        <v>407</v>
      </c>
      <c r="O1464" s="588">
        <v>3</v>
      </c>
      <c r="P1464" s="588">
        <v>934</v>
      </c>
      <c r="Q1464" s="588">
        <v>25</v>
      </c>
      <c r="R1464" s="588">
        <v>2229</v>
      </c>
      <c r="S1464" s="588">
        <v>78</v>
      </c>
      <c r="T1464" s="588">
        <v>2017</v>
      </c>
      <c r="U1464" s="588">
        <v>2016</v>
      </c>
      <c r="V1464" s="589"/>
      <c r="W1464" s="589"/>
      <c r="X1464" s="589"/>
      <c r="Y1464" s="589"/>
      <c r="Z1464" s="589"/>
      <c r="AA1464" s="589"/>
      <c r="AB1464" s="589"/>
      <c r="AC1464" s="589"/>
      <c r="AD1464" s="589"/>
      <c r="AE1464" s="589"/>
      <c r="AF1464" s="589"/>
      <c r="AG1464" s="589"/>
      <c r="AH1464" s="589"/>
      <c r="AI1464" s="589"/>
      <c r="AJ1464" s="589"/>
      <c r="AK1464" s="589"/>
      <c r="AL1464" s="589"/>
      <c r="AM1464" s="589"/>
      <c r="AN1464" s="589"/>
      <c r="AO1464" s="589"/>
      <c r="AP1464" s="589"/>
      <c r="AQ1464" s="589"/>
      <c r="AR1464" s="589"/>
      <c r="AS1464" s="589"/>
    </row>
    <row r="1465" spans="1:45" ht="15">
      <c r="A1465" s="590" t="s">
        <v>157</v>
      </c>
      <c r="B1465" s="591" t="s">
        <v>444</v>
      </c>
      <c r="C1465" s="591" t="s">
        <v>774</v>
      </c>
      <c r="D1465" s="592">
        <v>2017</v>
      </c>
      <c r="E1465" s="591" t="s">
        <v>775</v>
      </c>
      <c r="F1465" s="592">
        <v>33</v>
      </c>
      <c r="G1465" s="592">
        <v>1</v>
      </c>
      <c r="H1465" s="592">
        <v>0</v>
      </c>
      <c r="I1465" s="592">
        <v>1</v>
      </c>
      <c r="J1465" s="592">
        <v>17</v>
      </c>
      <c r="K1465" s="592">
        <v>2</v>
      </c>
      <c r="L1465" s="592">
        <v>2</v>
      </c>
      <c r="M1465" s="592">
        <v>0</v>
      </c>
      <c r="N1465" s="593">
        <v>19</v>
      </c>
      <c r="O1465" s="593">
        <v>4</v>
      </c>
      <c r="P1465" s="593">
        <v>37</v>
      </c>
      <c r="Q1465" s="593">
        <v>5</v>
      </c>
      <c r="R1465" s="593">
        <v>106</v>
      </c>
      <c r="S1465" s="593">
        <v>12</v>
      </c>
      <c r="T1465" s="593">
        <v>2017</v>
      </c>
      <c r="U1465" s="593">
        <v>2015</v>
      </c>
      <c r="V1465" s="589"/>
      <c r="W1465" s="589"/>
      <c r="X1465" s="589"/>
      <c r="Y1465" s="589"/>
      <c r="Z1465" s="589"/>
      <c r="AA1465" s="589"/>
      <c r="AB1465" s="589"/>
      <c r="AC1465" s="589"/>
      <c r="AD1465" s="589"/>
      <c r="AE1465" s="589"/>
      <c r="AF1465" s="589"/>
      <c r="AG1465" s="589"/>
      <c r="AH1465" s="589"/>
      <c r="AI1465" s="589"/>
      <c r="AJ1465" s="589"/>
      <c r="AK1465" s="589"/>
      <c r="AL1465" s="589"/>
      <c r="AM1465" s="589"/>
      <c r="AN1465" s="589"/>
      <c r="AO1465" s="589"/>
      <c r="AP1465" s="589"/>
      <c r="AQ1465" s="589"/>
      <c r="AR1465" s="589"/>
      <c r="AS1465" s="589"/>
    </row>
    <row r="1466" spans="1:45" ht="15">
      <c r="A1466" s="587" t="s">
        <v>176</v>
      </c>
      <c r="B1466" s="587" t="s">
        <v>564</v>
      </c>
      <c r="C1466" s="587" t="s">
        <v>177</v>
      </c>
      <c r="D1466" s="588">
        <v>2017</v>
      </c>
      <c r="E1466" s="587" t="s">
        <v>775</v>
      </c>
      <c r="F1466" s="588">
        <v>198</v>
      </c>
      <c r="G1466" s="588">
        <v>0</v>
      </c>
      <c r="H1466" s="588">
        <v>0</v>
      </c>
      <c r="I1466" s="588">
        <v>0</v>
      </c>
      <c r="J1466" s="588">
        <v>120</v>
      </c>
      <c r="K1466" s="588">
        <v>0</v>
      </c>
      <c r="L1466" s="588">
        <v>0</v>
      </c>
      <c r="M1466" s="588">
        <v>0</v>
      </c>
      <c r="N1466" s="588">
        <v>164</v>
      </c>
      <c r="O1466" s="588">
        <v>0</v>
      </c>
      <c r="P1466" s="588">
        <v>355</v>
      </c>
      <c r="Q1466" s="588">
        <v>96</v>
      </c>
      <c r="R1466" s="588">
        <v>837</v>
      </c>
      <c r="S1466" s="588">
        <v>96</v>
      </c>
      <c r="T1466" s="588">
        <v>2017</v>
      </c>
      <c r="U1466" s="588">
        <v>2016</v>
      </c>
      <c r="V1466" s="589"/>
      <c r="W1466" s="589"/>
      <c r="X1466" s="589"/>
      <c r="Y1466" s="589"/>
      <c r="Z1466" s="589"/>
      <c r="AA1466" s="589"/>
      <c r="AB1466" s="589"/>
      <c r="AC1466" s="589"/>
      <c r="AD1466" s="589"/>
      <c r="AE1466" s="589"/>
      <c r="AF1466" s="589"/>
      <c r="AG1466" s="589"/>
      <c r="AH1466" s="589"/>
      <c r="AI1466" s="589"/>
      <c r="AJ1466" s="589"/>
      <c r="AK1466" s="589"/>
      <c r="AL1466" s="589"/>
      <c r="AM1466" s="589"/>
      <c r="AN1466" s="589"/>
      <c r="AO1466" s="589"/>
      <c r="AP1466" s="589"/>
      <c r="AQ1466" s="589"/>
      <c r="AR1466" s="589"/>
      <c r="AS1466" s="589"/>
    </row>
    <row r="1467" spans="1:45" ht="15">
      <c r="A1467" s="590" t="s">
        <v>178</v>
      </c>
      <c r="B1467" s="591" t="s">
        <v>178</v>
      </c>
      <c r="C1467" s="591" t="s">
        <v>812</v>
      </c>
      <c r="D1467" s="592">
        <v>2017</v>
      </c>
      <c r="E1467" s="591" t="s">
        <v>775</v>
      </c>
      <c r="F1467" s="592">
        <v>980</v>
      </c>
      <c r="G1467" s="592">
        <v>0</v>
      </c>
      <c r="H1467" s="592">
        <v>0</v>
      </c>
      <c r="I1467" s="592">
        <v>0</v>
      </c>
      <c r="J1467" s="592">
        <v>696</v>
      </c>
      <c r="K1467" s="592">
        <v>0</v>
      </c>
      <c r="L1467" s="592">
        <v>0</v>
      </c>
      <c r="M1467" s="592">
        <v>0</v>
      </c>
      <c r="N1467" s="593">
        <v>808</v>
      </c>
      <c r="O1467" s="593">
        <v>12</v>
      </c>
      <c r="P1467" s="593">
        <v>1900</v>
      </c>
      <c r="Q1467" s="593">
        <v>0</v>
      </c>
      <c r="R1467" s="593">
        <v>4384</v>
      </c>
      <c r="S1467" s="593">
        <v>12</v>
      </c>
      <c r="T1467" s="593">
        <v>2017</v>
      </c>
      <c r="U1467" s="593">
        <v>2014</v>
      </c>
      <c r="V1467" s="589"/>
      <c r="W1467" s="589"/>
      <c r="X1467" s="589"/>
      <c r="Y1467" s="589"/>
      <c r="Z1467" s="589"/>
      <c r="AA1467" s="589"/>
      <c r="AB1467" s="589"/>
      <c r="AC1467" s="589"/>
      <c r="AD1467" s="589"/>
      <c r="AE1467" s="589"/>
      <c r="AF1467" s="589"/>
      <c r="AG1467" s="589"/>
      <c r="AH1467" s="589"/>
      <c r="AI1467" s="589"/>
      <c r="AJ1467" s="589"/>
      <c r="AK1467" s="589"/>
      <c r="AL1467" s="589"/>
      <c r="AM1467" s="589"/>
      <c r="AN1467" s="589"/>
      <c r="AO1467" s="589"/>
      <c r="AP1467" s="589"/>
      <c r="AQ1467" s="589"/>
      <c r="AR1467" s="589"/>
      <c r="AS1467" s="589"/>
    </row>
    <row r="1468" spans="1:45" ht="15">
      <c r="A1468" s="587" t="s">
        <v>178</v>
      </c>
      <c r="B1468" s="587" t="s">
        <v>584</v>
      </c>
      <c r="C1468" s="587" t="s">
        <v>812</v>
      </c>
      <c r="D1468" s="588">
        <v>2017</v>
      </c>
      <c r="E1468" s="587" t="s">
        <v>775</v>
      </c>
      <c r="F1468" s="588">
        <v>9</v>
      </c>
      <c r="G1468" s="588">
        <v>51</v>
      </c>
      <c r="H1468" s="588">
        <v>51</v>
      </c>
      <c r="I1468" s="588">
        <v>0</v>
      </c>
      <c r="J1468" s="588">
        <v>6</v>
      </c>
      <c r="K1468" s="588">
        <v>23</v>
      </c>
      <c r="L1468" s="588">
        <v>23</v>
      </c>
      <c r="M1468" s="588">
        <v>0</v>
      </c>
      <c r="N1468" s="588">
        <v>7</v>
      </c>
      <c r="O1468" s="588">
        <v>9</v>
      </c>
      <c r="P1468" s="588">
        <v>17</v>
      </c>
      <c r="Q1468" s="588">
        <v>1</v>
      </c>
      <c r="R1468" s="588">
        <v>39</v>
      </c>
      <c r="S1468" s="588">
        <v>84</v>
      </c>
      <c r="T1468" s="588">
        <v>2017</v>
      </c>
      <c r="U1468" s="588">
        <v>2014</v>
      </c>
      <c r="V1468" s="589"/>
      <c r="W1468" s="589"/>
      <c r="X1468" s="589"/>
      <c r="Y1468" s="589"/>
      <c r="Z1468" s="589"/>
      <c r="AA1468" s="589"/>
      <c r="AB1468" s="589"/>
      <c r="AC1468" s="589"/>
      <c r="AD1468" s="589"/>
      <c r="AE1468" s="589"/>
      <c r="AF1468" s="589"/>
      <c r="AG1468" s="589"/>
      <c r="AH1468" s="589"/>
      <c r="AI1468" s="589"/>
      <c r="AJ1468" s="589"/>
      <c r="AK1468" s="589"/>
      <c r="AL1468" s="589"/>
      <c r="AM1468" s="589"/>
      <c r="AN1468" s="589"/>
      <c r="AO1468" s="589"/>
      <c r="AP1468" s="589"/>
      <c r="AQ1468" s="589"/>
      <c r="AR1468" s="589"/>
      <c r="AS1468" s="589"/>
    </row>
    <row r="1469" spans="1:45" ht="15">
      <c r="A1469" s="590" t="s">
        <v>184</v>
      </c>
      <c r="B1469" s="591" t="s">
        <v>638</v>
      </c>
      <c r="C1469" s="591" t="s">
        <v>774</v>
      </c>
      <c r="D1469" s="592">
        <v>2017</v>
      </c>
      <c r="E1469" s="591" t="s">
        <v>775</v>
      </c>
      <c r="F1469" s="592">
        <v>358</v>
      </c>
      <c r="G1469" s="592">
        <v>0</v>
      </c>
      <c r="H1469" s="592">
        <v>0</v>
      </c>
      <c r="I1469" s="592">
        <v>0</v>
      </c>
      <c r="J1469" s="592">
        <v>161</v>
      </c>
      <c r="K1469" s="592">
        <v>14</v>
      </c>
      <c r="L1469" s="592">
        <v>14</v>
      </c>
      <c r="M1469" s="592">
        <v>0</v>
      </c>
      <c r="N1469" s="593">
        <v>205</v>
      </c>
      <c r="O1469" s="593">
        <v>0</v>
      </c>
      <c r="P1469" s="593">
        <v>431</v>
      </c>
      <c r="Q1469" s="593">
        <v>1</v>
      </c>
      <c r="R1469" s="593">
        <v>1155</v>
      </c>
      <c r="S1469" s="593">
        <v>15</v>
      </c>
      <c r="T1469" s="593">
        <v>2017</v>
      </c>
      <c r="U1469" s="593">
        <v>2015</v>
      </c>
      <c r="V1469" s="589"/>
      <c r="W1469" s="589"/>
      <c r="X1469" s="589"/>
      <c r="Y1469" s="589"/>
      <c r="Z1469" s="589"/>
      <c r="AA1469" s="589"/>
      <c r="AB1469" s="589"/>
      <c r="AC1469" s="589"/>
      <c r="AD1469" s="589"/>
      <c r="AE1469" s="589"/>
      <c r="AF1469" s="589"/>
      <c r="AG1469" s="589"/>
      <c r="AH1469" s="589"/>
      <c r="AI1469" s="589"/>
      <c r="AJ1469" s="589"/>
      <c r="AK1469" s="589"/>
      <c r="AL1469" s="589"/>
      <c r="AM1469" s="589"/>
      <c r="AN1469" s="589"/>
      <c r="AO1469" s="589"/>
      <c r="AP1469" s="589"/>
      <c r="AQ1469" s="589"/>
      <c r="AR1469" s="589"/>
      <c r="AS1469" s="589"/>
    </row>
    <row r="1470" spans="1:45" ht="15">
      <c r="A1470" s="587" t="s">
        <v>201</v>
      </c>
      <c r="B1470" s="587" t="s">
        <v>736</v>
      </c>
      <c r="C1470" s="587" t="s">
        <v>812</v>
      </c>
      <c r="D1470" s="588">
        <v>2017</v>
      </c>
      <c r="E1470" s="587" t="s">
        <v>775</v>
      </c>
      <c r="F1470" s="588">
        <v>861</v>
      </c>
      <c r="G1470" s="588">
        <v>36</v>
      </c>
      <c r="H1470" s="588">
        <v>36</v>
      </c>
      <c r="I1470" s="588">
        <v>0</v>
      </c>
      <c r="J1470" s="588">
        <v>591</v>
      </c>
      <c r="K1470" s="588">
        <v>34</v>
      </c>
      <c r="L1470" s="588">
        <v>34</v>
      </c>
      <c r="M1470" s="588">
        <v>0</v>
      </c>
      <c r="N1470" s="588">
        <v>673</v>
      </c>
      <c r="O1470" s="588">
        <v>19</v>
      </c>
      <c r="P1470" s="588">
        <v>1529</v>
      </c>
      <c r="Q1470" s="588">
        <v>646</v>
      </c>
      <c r="R1470" s="588">
        <v>3654</v>
      </c>
      <c r="S1470" s="588">
        <v>735</v>
      </c>
      <c r="T1470" s="588">
        <v>2017</v>
      </c>
      <c r="U1470" s="588">
        <v>2014</v>
      </c>
      <c r="V1470" s="589"/>
      <c r="W1470" s="589"/>
      <c r="X1470" s="589"/>
      <c r="Y1470" s="589"/>
      <c r="Z1470" s="589"/>
      <c r="AA1470" s="589"/>
      <c r="AB1470" s="589"/>
      <c r="AC1470" s="589"/>
      <c r="AD1470" s="589"/>
      <c r="AE1470" s="589"/>
      <c r="AF1470" s="589"/>
      <c r="AG1470" s="589"/>
      <c r="AH1470" s="589"/>
      <c r="AI1470" s="589"/>
      <c r="AJ1470" s="589"/>
      <c r="AK1470" s="589"/>
      <c r="AL1470" s="589"/>
      <c r="AM1470" s="589"/>
      <c r="AN1470" s="589"/>
      <c r="AO1470" s="589"/>
      <c r="AP1470" s="589"/>
      <c r="AQ1470" s="589"/>
      <c r="AR1470" s="589"/>
      <c r="AS1470" s="589"/>
    </row>
    <row r="1471" spans="1:45" ht="15">
      <c r="A1471" s="590" t="s">
        <v>184</v>
      </c>
      <c r="B1471" s="591" t="s">
        <v>639</v>
      </c>
      <c r="C1471" s="591" t="s">
        <v>774</v>
      </c>
      <c r="D1471" s="592">
        <v>2017</v>
      </c>
      <c r="E1471" s="591" t="s">
        <v>775</v>
      </c>
      <c r="F1471" s="592">
        <v>195</v>
      </c>
      <c r="G1471" s="592">
        <v>1</v>
      </c>
      <c r="H1471" s="592">
        <v>1</v>
      </c>
      <c r="I1471" s="592">
        <v>0</v>
      </c>
      <c r="J1471" s="592">
        <v>107</v>
      </c>
      <c r="K1471" s="592">
        <v>0</v>
      </c>
      <c r="L1471" s="592">
        <v>0</v>
      </c>
      <c r="M1471" s="592">
        <v>0</v>
      </c>
      <c r="N1471" s="593">
        <v>111</v>
      </c>
      <c r="O1471" s="593">
        <v>1</v>
      </c>
      <c r="P1471" s="593">
        <v>183</v>
      </c>
      <c r="Q1471" s="593">
        <v>44</v>
      </c>
      <c r="R1471" s="593">
        <v>596</v>
      </c>
      <c r="S1471" s="593">
        <v>46</v>
      </c>
      <c r="T1471" s="593">
        <v>2017</v>
      </c>
      <c r="U1471" s="593">
        <v>2015</v>
      </c>
      <c r="V1471" s="589"/>
      <c r="W1471" s="589"/>
      <c r="X1471" s="589"/>
      <c r="Y1471" s="589"/>
      <c r="Z1471" s="589"/>
      <c r="AA1471" s="589"/>
      <c r="AB1471" s="589"/>
      <c r="AC1471" s="589"/>
      <c r="AD1471" s="589"/>
      <c r="AE1471" s="589"/>
      <c r="AF1471" s="589"/>
      <c r="AG1471" s="589"/>
      <c r="AH1471" s="589"/>
      <c r="AI1471" s="589"/>
      <c r="AJ1471" s="589"/>
      <c r="AK1471" s="589"/>
      <c r="AL1471" s="589"/>
      <c r="AM1471" s="589"/>
      <c r="AN1471" s="589"/>
      <c r="AO1471" s="589"/>
      <c r="AP1471" s="589"/>
      <c r="AQ1471" s="589"/>
      <c r="AR1471" s="589"/>
      <c r="AS1471" s="589"/>
    </row>
    <row r="1472" spans="1:45" ht="15">
      <c r="A1472" s="587" t="s">
        <v>169</v>
      </c>
      <c r="B1472" s="587" t="s">
        <v>510</v>
      </c>
      <c r="C1472" s="587" t="s">
        <v>812</v>
      </c>
      <c r="D1472" s="588">
        <v>2017</v>
      </c>
      <c r="E1472" s="587" t="s">
        <v>775</v>
      </c>
      <c r="F1472" s="588">
        <v>134</v>
      </c>
      <c r="G1472" s="588">
        <v>0</v>
      </c>
      <c r="H1472" s="588">
        <v>0</v>
      </c>
      <c r="I1472" s="588">
        <v>0</v>
      </c>
      <c r="J1472" s="588">
        <v>95</v>
      </c>
      <c r="K1472" s="588">
        <v>0</v>
      </c>
      <c r="L1472" s="588">
        <v>0</v>
      </c>
      <c r="M1472" s="588">
        <v>0</v>
      </c>
      <c r="N1472" s="588">
        <v>108</v>
      </c>
      <c r="O1472" s="588">
        <v>4</v>
      </c>
      <c r="P1472" s="588">
        <v>244</v>
      </c>
      <c r="Q1472" s="588">
        <v>96</v>
      </c>
      <c r="R1472" s="588">
        <v>581</v>
      </c>
      <c r="S1472" s="588">
        <v>100</v>
      </c>
      <c r="T1472" s="588">
        <v>2017</v>
      </c>
      <c r="U1472" s="588">
        <v>2014</v>
      </c>
      <c r="V1472" s="589"/>
      <c r="W1472" s="589"/>
      <c r="X1472" s="589"/>
      <c r="Y1472" s="589"/>
      <c r="Z1472" s="589"/>
      <c r="AA1472" s="589"/>
      <c r="AB1472" s="589"/>
      <c r="AC1472" s="589"/>
      <c r="AD1472" s="589"/>
      <c r="AE1472" s="589"/>
      <c r="AF1472" s="589"/>
      <c r="AG1472" s="589"/>
      <c r="AH1472" s="589"/>
      <c r="AI1472" s="589"/>
      <c r="AJ1472" s="589"/>
      <c r="AK1472" s="589"/>
      <c r="AL1472" s="589"/>
      <c r="AM1472" s="589"/>
      <c r="AN1472" s="589"/>
      <c r="AO1472" s="589"/>
      <c r="AP1472" s="589"/>
      <c r="AQ1472" s="589"/>
      <c r="AR1472" s="589"/>
      <c r="AS1472" s="589"/>
    </row>
    <row r="1473" spans="1:45" ht="15">
      <c r="A1473" s="590" t="s">
        <v>179</v>
      </c>
      <c r="B1473" s="591" t="s">
        <v>179</v>
      </c>
      <c r="C1473" s="591" t="s">
        <v>855</v>
      </c>
      <c r="D1473" s="592">
        <v>2017</v>
      </c>
      <c r="E1473" s="591" t="s">
        <v>775</v>
      </c>
      <c r="F1473" s="592">
        <v>21977</v>
      </c>
      <c r="G1473" s="592">
        <v>324</v>
      </c>
      <c r="H1473" s="592">
        <v>324</v>
      </c>
      <c r="I1473" s="592">
        <v>0</v>
      </c>
      <c r="J1473" s="592">
        <v>16703</v>
      </c>
      <c r="K1473" s="592">
        <v>301</v>
      </c>
      <c r="L1473" s="592">
        <v>295</v>
      </c>
      <c r="M1473" s="592">
        <v>6</v>
      </c>
      <c r="N1473" s="593">
        <v>15462</v>
      </c>
      <c r="O1473" s="593">
        <v>0</v>
      </c>
      <c r="P1473" s="593">
        <v>33954</v>
      </c>
      <c r="Q1473" s="593">
        <v>4395</v>
      </c>
      <c r="R1473" s="593">
        <v>88096</v>
      </c>
      <c r="S1473" s="593">
        <v>5020</v>
      </c>
      <c r="T1473" s="593">
        <v>2017</v>
      </c>
      <c r="U1473" s="593">
        <v>2013</v>
      </c>
      <c r="V1473" s="589"/>
      <c r="W1473" s="589"/>
      <c r="X1473" s="589"/>
      <c r="Y1473" s="589"/>
      <c r="Z1473" s="589"/>
      <c r="AA1473" s="589"/>
      <c r="AB1473" s="589"/>
      <c r="AC1473" s="589"/>
      <c r="AD1473" s="589"/>
      <c r="AE1473" s="589"/>
      <c r="AF1473" s="589"/>
      <c r="AG1473" s="589"/>
      <c r="AH1473" s="589"/>
      <c r="AI1473" s="589"/>
      <c r="AJ1473" s="589"/>
      <c r="AK1473" s="589"/>
      <c r="AL1473" s="589"/>
      <c r="AM1473" s="589"/>
      <c r="AN1473" s="589"/>
      <c r="AO1473" s="589"/>
      <c r="AP1473" s="589"/>
      <c r="AQ1473" s="589"/>
      <c r="AR1473" s="589"/>
      <c r="AS1473" s="589"/>
    </row>
    <row r="1474" spans="1:45" ht="15">
      <c r="A1474" s="587" t="s">
        <v>179</v>
      </c>
      <c r="B1474" s="587" t="s">
        <v>603</v>
      </c>
      <c r="C1474" s="587" t="s">
        <v>855</v>
      </c>
      <c r="D1474" s="588">
        <v>2017</v>
      </c>
      <c r="E1474" s="587" t="s">
        <v>775</v>
      </c>
      <c r="F1474" s="588">
        <v>2085</v>
      </c>
      <c r="G1474" s="588">
        <v>0</v>
      </c>
      <c r="H1474" s="588">
        <v>0</v>
      </c>
      <c r="I1474" s="588">
        <v>0</v>
      </c>
      <c r="J1474" s="588">
        <v>1585</v>
      </c>
      <c r="K1474" s="588">
        <v>52</v>
      </c>
      <c r="L1474" s="588">
        <v>0</v>
      </c>
      <c r="M1474" s="588">
        <v>52</v>
      </c>
      <c r="N1474" s="588">
        <v>5864</v>
      </c>
      <c r="O1474" s="588">
        <v>71</v>
      </c>
      <c r="P1474" s="588">
        <v>12878</v>
      </c>
      <c r="Q1474" s="588">
        <v>532</v>
      </c>
      <c r="R1474" s="588">
        <v>22412</v>
      </c>
      <c r="S1474" s="588">
        <v>655</v>
      </c>
      <c r="T1474" s="588">
        <v>2017</v>
      </c>
      <c r="U1474" s="588">
        <v>2013</v>
      </c>
      <c r="V1474" s="589"/>
      <c r="W1474" s="589"/>
      <c r="X1474" s="589"/>
      <c r="Y1474" s="589"/>
      <c r="Z1474" s="589"/>
      <c r="AA1474" s="589"/>
      <c r="AB1474" s="589"/>
      <c r="AC1474" s="589"/>
      <c r="AD1474" s="589"/>
      <c r="AE1474" s="589"/>
      <c r="AF1474" s="589"/>
      <c r="AG1474" s="589"/>
      <c r="AH1474" s="589"/>
      <c r="AI1474" s="589"/>
      <c r="AJ1474" s="589"/>
      <c r="AK1474" s="589"/>
      <c r="AL1474" s="589"/>
      <c r="AM1474" s="589"/>
      <c r="AN1474" s="589"/>
      <c r="AO1474" s="589"/>
      <c r="AP1474" s="589"/>
      <c r="AQ1474" s="589"/>
      <c r="AR1474" s="589"/>
      <c r="AS1474" s="589"/>
    </row>
    <row r="1475" spans="1:45" ht="15">
      <c r="A1475" s="590" t="s">
        <v>153</v>
      </c>
      <c r="B1475" s="591" t="s">
        <v>414</v>
      </c>
      <c r="C1475" s="591" t="s">
        <v>812</v>
      </c>
      <c r="D1475" s="592">
        <v>2017</v>
      </c>
      <c r="E1475" s="591" t="s">
        <v>775</v>
      </c>
      <c r="F1475" s="592">
        <v>121</v>
      </c>
      <c r="G1475" s="592">
        <v>0</v>
      </c>
      <c r="H1475" s="592">
        <v>0</v>
      </c>
      <c r="I1475" s="592">
        <v>0</v>
      </c>
      <c r="J1475" s="592">
        <v>72</v>
      </c>
      <c r="K1475" s="592">
        <v>0</v>
      </c>
      <c r="L1475" s="592">
        <v>0</v>
      </c>
      <c r="M1475" s="592">
        <v>0</v>
      </c>
      <c r="N1475" s="593">
        <v>77</v>
      </c>
      <c r="O1475" s="593">
        <v>0</v>
      </c>
      <c r="P1475" s="593">
        <v>193</v>
      </c>
      <c r="Q1475" s="593">
        <v>7</v>
      </c>
      <c r="R1475" s="593">
        <v>463</v>
      </c>
      <c r="S1475" s="593">
        <v>7</v>
      </c>
      <c r="T1475" s="593">
        <v>2017</v>
      </c>
      <c r="U1475" s="593">
        <v>2014</v>
      </c>
      <c r="V1475" s="589"/>
      <c r="W1475" s="589"/>
      <c r="X1475" s="589"/>
      <c r="Y1475" s="589"/>
      <c r="Z1475" s="589"/>
      <c r="AA1475" s="589"/>
      <c r="AB1475" s="589"/>
      <c r="AC1475" s="589"/>
      <c r="AD1475" s="589"/>
      <c r="AE1475" s="589"/>
      <c r="AF1475" s="589"/>
      <c r="AG1475" s="589"/>
      <c r="AH1475" s="589"/>
      <c r="AI1475" s="589"/>
      <c r="AJ1475" s="589"/>
      <c r="AK1475" s="589"/>
      <c r="AL1475" s="589"/>
      <c r="AM1475" s="589"/>
      <c r="AN1475" s="589"/>
      <c r="AO1475" s="589"/>
      <c r="AP1475" s="589"/>
      <c r="AQ1475" s="589"/>
      <c r="AR1475" s="589"/>
      <c r="AS1475" s="589"/>
    </row>
    <row r="1476" spans="1:45" ht="15">
      <c r="A1476" s="587" t="s">
        <v>153</v>
      </c>
      <c r="B1476" s="587" t="s">
        <v>415</v>
      </c>
      <c r="C1476" s="587" t="s">
        <v>812</v>
      </c>
      <c r="D1476" s="588">
        <v>2017</v>
      </c>
      <c r="E1476" s="587" t="s">
        <v>775</v>
      </c>
      <c r="F1476" s="588">
        <v>55</v>
      </c>
      <c r="G1476" s="588">
        <v>0</v>
      </c>
      <c r="H1476" s="588">
        <v>0</v>
      </c>
      <c r="I1476" s="588">
        <v>0</v>
      </c>
      <c r="J1476" s="588">
        <v>32</v>
      </c>
      <c r="K1476" s="588">
        <v>24</v>
      </c>
      <c r="L1476" s="588">
        <v>0</v>
      </c>
      <c r="M1476" s="588">
        <v>24</v>
      </c>
      <c r="N1476" s="588">
        <v>35</v>
      </c>
      <c r="O1476" s="588">
        <v>3</v>
      </c>
      <c r="P1476" s="588">
        <v>95</v>
      </c>
      <c r="Q1476" s="588">
        <v>2</v>
      </c>
      <c r="R1476" s="588">
        <v>217</v>
      </c>
      <c r="S1476" s="588">
        <v>29</v>
      </c>
      <c r="T1476" s="588">
        <v>2017</v>
      </c>
      <c r="U1476" s="588">
        <v>2014</v>
      </c>
      <c r="V1476" s="589"/>
      <c r="W1476" s="589"/>
      <c r="X1476" s="589"/>
      <c r="Y1476" s="589"/>
      <c r="Z1476" s="589"/>
      <c r="AA1476" s="589"/>
      <c r="AB1476" s="589"/>
      <c r="AC1476" s="589"/>
      <c r="AD1476" s="589"/>
      <c r="AE1476" s="589"/>
      <c r="AF1476" s="589"/>
      <c r="AG1476" s="589"/>
      <c r="AH1476" s="589"/>
      <c r="AI1476" s="589"/>
      <c r="AJ1476" s="589"/>
      <c r="AK1476" s="589"/>
      <c r="AL1476" s="589"/>
      <c r="AM1476" s="589"/>
      <c r="AN1476" s="589"/>
      <c r="AO1476" s="589"/>
      <c r="AP1476" s="589"/>
      <c r="AQ1476" s="589"/>
      <c r="AR1476" s="589"/>
      <c r="AS1476" s="589"/>
    </row>
    <row r="1477" spans="1:45" ht="15">
      <c r="A1477" s="590" t="s">
        <v>181</v>
      </c>
      <c r="B1477" s="591" t="s">
        <v>181</v>
      </c>
      <c r="C1477" s="591" t="s">
        <v>774</v>
      </c>
      <c r="D1477" s="592">
        <v>2017</v>
      </c>
      <c r="E1477" s="591" t="s">
        <v>775</v>
      </c>
      <c r="F1477" s="592">
        <v>6234</v>
      </c>
      <c r="G1477" s="592">
        <v>468</v>
      </c>
      <c r="H1477" s="592">
        <v>468</v>
      </c>
      <c r="I1477" s="592">
        <v>0</v>
      </c>
      <c r="J1477" s="592">
        <v>4639</v>
      </c>
      <c r="K1477" s="592">
        <v>427</v>
      </c>
      <c r="L1477" s="592">
        <v>427</v>
      </c>
      <c r="M1477" s="592">
        <v>0</v>
      </c>
      <c r="N1477" s="593">
        <v>5460</v>
      </c>
      <c r="O1477" s="593">
        <v>268</v>
      </c>
      <c r="P1477" s="593">
        <v>12536</v>
      </c>
      <c r="Q1477" s="593">
        <v>4641</v>
      </c>
      <c r="R1477" s="593">
        <v>28869</v>
      </c>
      <c r="S1477" s="593">
        <v>5804</v>
      </c>
      <c r="T1477" s="593">
        <v>2017</v>
      </c>
      <c r="U1477" s="593">
        <v>2015</v>
      </c>
      <c r="V1477" s="589"/>
      <c r="W1477" s="589"/>
      <c r="X1477" s="589"/>
      <c r="Y1477" s="589"/>
      <c r="Z1477" s="589"/>
      <c r="AA1477" s="589"/>
      <c r="AB1477" s="589"/>
      <c r="AC1477" s="589"/>
      <c r="AD1477" s="589"/>
      <c r="AE1477" s="589"/>
      <c r="AF1477" s="589"/>
      <c r="AG1477" s="589"/>
      <c r="AH1477" s="589"/>
      <c r="AI1477" s="589"/>
      <c r="AJ1477" s="589"/>
      <c r="AK1477" s="589"/>
      <c r="AL1477" s="589"/>
      <c r="AM1477" s="589"/>
      <c r="AN1477" s="589"/>
      <c r="AO1477" s="589"/>
      <c r="AP1477" s="589"/>
      <c r="AQ1477" s="589"/>
      <c r="AR1477" s="589"/>
      <c r="AS1477" s="589"/>
    </row>
    <row r="1478" spans="1:45" ht="15">
      <c r="A1478" s="587" t="s">
        <v>153</v>
      </c>
      <c r="B1478" s="587" t="s">
        <v>416</v>
      </c>
      <c r="C1478" s="587" t="s">
        <v>812</v>
      </c>
      <c r="D1478" s="588">
        <v>2017</v>
      </c>
      <c r="E1478" s="587" t="s">
        <v>775</v>
      </c>
      <c r="F1478" s="588">
        <v>236</v>
      </c>
      <c r="G1478" s="588">
        <v>0</v>
      </c>
      <c r="H1478" s="588">
        <v>0</v>
      </c>
      <c r="I1478" s="588">
        <v>0</v>
      </c>
      <c r="J1478" s="588">
        <v>142</v>
      </c>
      <c r="K1478" s="588">
        <v>0</v>
      </c>
      <c r="L1478" s="588">
        <v>0</v>
      </c>
      <c r="M1478" s="588">
        <v>0</v>
      </c>
      <c r="N1478" s="588">
        <v>154</v>
      </c>
      <c r="O1478" s="588">
        <v>2</v>
      </c>
      <c r="P1478" s="588">
        <v>398</v>
      </c>
      <c r="Q1478" s="588">
        <v>102</v>
      </c>
      <c r="R1478" s="588">
        <v>930</v>
      </c>
      <c r="S1478" s="588">
        <v>104</v>
      </c>
      <c r="T1478" s="588">
        <v>2017</v>
      </c>
      <c r="U1478" s="588">
        <v>2014</v>
      </c>
      <c r="V1478" s="589"/>
      <c r="W1478" s="589"/>
      <c r="X1478" s="589"/>
      <c r="Y1478" s="589"/>
      <c r="Z1478" s="589"/>
      <c r="AA1478" s="589"/>
      <c r="AB1478" s="589"/>
      <c r="AC1478" s="589"/>
      <c r="AD1478" s="589"/>
      <c r="AE1478" s="589"/>
      <c r="AF1478" s="589"/>
      <c r="AG1478" s="589"/>
      <c r="AH1478" s="589"/>
      <c r="AI1478" s="589"/>
      <c r="AJ1478" s="589"/>
      <c r="AK1478" s="589"/>
      <c r="AL1478" s="589"/>
      <c r="AM1478" s="589"/>
      <c r="AN1478" s="589"/>
      <c r="AO1478" s="589"/>
      <c r="AP1478" s="589"/>
      <c r="AQ1478" s="589"/>
      <c r="AR1478" s="589"/>
      <c r="AS1478" s="589"/>
    </row>
    <row r="1479" spans="1:45" ht="15">
      <c r="A1479" s="590" t="s">
        <v>173</v>
      </c>
      <c r="B1479" s="591" t="s">
        <v>553</v>
      </c>
      <c r="C1479" s="591" t="s">
        <v>812</v>
      </c>
      <c r="D1479" s="592">
        <v>2017</v>
      </c>
      <c r="E1479" s="591" t="s">
        <v>775</v>
      </c>
      <c r="F1479" s="592">
        <v>562</v>
      </c>
      <c r="G1479" s="592">
        <v>0</v>
      </c>
      <c r="H1479" s="592">
        <v>0</v>
      </c>
      <c r="I1479" s="592">
        <v>0</v>
      </c>
      <c r="J1479" s="592">
        <v>394</v>
      </c>
      <c r="K1479" s="592">
        <v>0</v>
      </c>
      <c r="L1479" s="592">
        <v>0</v>
      </c>
      <c r="M1479" s="592">
        <v>0</v>
      </c>
      <c r="N1479" s="593">
        <v>441</v>
      </c>
      <c r="O1479" s="593">
        <v>0</v>
      </c>
      <c r="P1479" s="593">
        <v>1036</v>
      </c>
      <c r="Q1479" s="593">
        <v>216</v>
      </c>
      <c r="R1479" s="593">
        <v>2433</v>
      </c>
      <c r="S1479" s="593">
        <v>216</v>
      </c>
      <c r="T1479" s="593">
        <v>2017</v>
      </c>
      <c r="U1479" s="593">
        <v>2014</v>
      </c>
      <c r="V1479" s="589"/>
      <c r="W1479" s="589"/>
      <c r="X1479" s="589"/>
      <c r="Y1479" s="589"/>
      <c r="Z1479" s="589"/>
      <c r="AA1479" s="589"/>
      <c r="AB1479" s="589"/>
      <c r="AC1479" s="589"/>
      <c r="AD1479" s="589"/>
      <c r="AE1479" s="589"/>
      <c r="AF1479" s="589"/>
      <c r="AG1479" s="589"/>
      <c r="AH1479" s="589"/>
      <c r="AI1479" s="589"/>
      <c r="AJ1479" s="589"/>
      <c r="AK1479" s="589"/>
      <c r="AL1479" s="589"/>
      <c r="AM1479" s="589"/>
      <c r="AN1479" s="589"/>
      <c r="AO1479" s="589"/>
      <c r="AP1479" s="589"/>
      <c r="AQ1479" s="589"/>
      <c r="AR1479" s="589"/>
      <c r="AS1479" s="589"/>
    </row>
    <row r="1480" spans="1:45" ht="15">
      <c r="A1480" s="587" t="s">
        <v>182</v>
      </c>
      <c r="B1480" s="587" t="s">
        <v>613</v>
      </c>
      <c r="C1480" s="587" t="s">
        <v>177</v>
      </c>
      <c r="D1480" s="588">
        <v>2017</v>
      </c>
      <c r="E1480" s="587" t="s">
        <v>775</v>
      </c>
      <c r="F1480" s="588">
        <v>2496</v>
      </c>
      <c r="G1480" s="588">
        <v>0</v>
      </c>
      <c r="H1480" s="588">
        <v>0</v>
      </c>
      <c r="I1480" s="588">
        <v>0</v>
      </c>
      <c r="J1480" s="588">
        <v>1727</v>
      </c>
      <c r="K1480" s="588">
        <v>70</v>
      </c>
      <c r="L1480" s="588">
        <v>70</v>
      </c>
      <c r="M1480" s="588">
        <v>0</v>
      </c>
      <c r="N1480" s="588">
        <v>1724</v>
      </c>
      <c r="O1480" s="588">
        <v>93</v>
      </c>
      <c r="P1480" s="588">
        <v>4220</v>
      </c>
      <c r="Q1480" s="588">
        <v>180</v>
      </c>
      <c r="R1480" s="588">
        <v>10167</v>
      </c>
      <c r="S1480" s="588">
        <v>343</v>
      </c>
      <c r="T1480" s="588">
        <v>2017</v>
      </c>
      <c r="U1480" s="588">
        <v>2016</v>
      </c>
      <c r="V1480" s="589"/>
      <c r="W1480" s="589"/>
      <c r="X1480" s="589"/>
      <c r="Y1480" s="589"/>
      <c r="Z1480" s="589"/>
      <c r="AA1480" s="589"/>
      <c r="AB1480" s="589"/>
      <c r="AC1480" s="589"/>
      <c r="AD1480" s="589"/>
      <c r="AE1480" s="589"/>
      <c r="AF1480" s="589"/>
      <c r="AG1480" s="589"/>
      <c r="AH1480" s="589"/>
      <c r="AI1480" s="589"/>
      <c r="AJ1480" s="589"/>
      <c r="AK1480" s="589"/>
      <c r="AL1480" s="589"/>
      <c r="AM1480" s="589"/>
      <c r="AN1480" s="589"/>
      <c r="AO1480" s="589"/>
      <c r="AP1480" s="589"/>
      <c r="AQ1480" s="589"/>
      <c r="AR1480" s="589"/>
      <c r="AS1480" s="589"/>
    </row>
    <row r="1481" spans="1:45" ht="15">
      <c r="A1481" s="590" t="s">
        <v>187</v>
      </c>
      <c r="B1481" s="591" t="s">
        <v>662</v>
      </c>
      <c r="C1481" s="591" t="s">
        <v>774</v>
      </c>
      <c r="D1481" s="592">
        <v>2017</v>
      </c>
      <c r="E1481" s="591" t="s">
        <v>775</v>
      </c>
      <c r="F1481" s="592">
        <v>9233</v>
      </c>
      <c r="G1481" s="592">
        <v>190</v>
      </c>
      <c r="H1481" s="592">
        <v>190</v>
      </c>
      <c r="I1481" s="592">
        <v>0</v>
      </c>
      <c r="J1481" s="592">
        <v>5428</v>
      </c>
      <c r="K1481" s="592">
        <v>0</v>
      </c>
      <c r="L1481" s="592">
        <v>0</v>
      </c>
      <c r="M1481" s="592">
        <v>0</v>
      </c>
      <c r="N1481" s="593">
        <v>6188</v>
      </c>
      <c r="O1481" s="593">
        <v>285</v>
      </c>
      <c r="P1481" s="593">
        <v>14231</v>
      </c>
      <c r="Q1481" s="593">
        <v>2622</v>
      </c>
      <c r="R1481" s="593">
        <v>35080</v>
      </c>
      <c r="S1481" s="593">
        <v>3097</v>
      </c>
      <c r="T1481" s="593">
        <v>2017</v>
      </c>
      <c r="U1481" s="593">
        <v>2015</v>
      </c>
      <c r="V1481" s="589"/>
      <c r="W1481" s="589"/>
      <c r="X1481" s="589"/>
      <c r="Y1481" s="589"/>
      <c r="Z1481" s="589"/>
      <c r="AA1481" s="589"/>
      <c r="AB1481" s="589"/>
      <c r="AC1481" s="589"/>
      <c r="AD1481" s="589"/>
      <c r="AE1481" s="589"/>
      <c r="AF1481" s="589"/>
      <c r="AG1481" s="589"/>
      <c r="AH1481" s="589"/>
      <c r="AI1481" s="589"/>
      <c r="AJ1481" s="589"/>
      <c r="AK1481" s="589"/>
      <c r="AL1481" s="589"/>
      <c r="AM1481" s="589"/>
      <c r="AN1481" s="589"/>
      <c r="AO1481" s="589"/>
      <c r="AP1481" s="589"/>
      <c r="AQ1481" s="589"/>
      <c r="AR1481" s="589"/>
      <c r="AS1481" s="589"/>
    </row>
    <row r="1482" spans="1:45" ht="15">
      <c r="A1482" s="587" t="s">
        <v>169</v>
      </c>
      <c r="B1482" s="587" t="s">
        <v>511</v>
      </c>
      <c r="C1482" s="587" t="s">
        <v>812</v>
      </c>
      <c r="D1482" s="588">
        <v>2017</v>
      </c>
      <c r="E1482" s="587" t="s">
        <v>775</v>
      </c>
      <c r="F1482" s="588">
        <v>147</v>
      </c>
      <c r="G1482" s="588">
        <v>0</v>
      </c>
      <c r="H1482" s="588">
        <v>0</v>
      </c>
      <c r="I1482" s="588">
        <v>0</v>
      </c>
      <c r="J1482" s="588">
        <v>104</v>
      </c>
      <c r="K1482" s="588">
        <v>0</v>
      </c>
      <c r="L1482" s="588">
        <v>0</v>
      </c>
      <c r="M1482" s="588">
        <v>0</v>
      </c>
      <c r="N1482" s="588">
        <v>120</v>
      </c>
      <c r="O1482" s="588">
        <v>0</v>
      </c>
      <c r="P1482" s="588">
        <v>267</v>
      </c>
      <c r="Q1482" s="588">
        <v>103</v>
      </c>
      <c r="R1482" s="588">
        <v>638</v>
      </c>
      <c r="S1482" s="588">
        <v>103</v>
      </c>
      <c r="T1482" s="588">
        <v>2017</v>
      </c>
      <c r="U1482" s="588">
        <v>2014</v>
      </c>
      <c r="V1482" s="589"/>
      <c r="W1482" s="589"/>
      <c r="X1482" s="589"/>
      <c r="Y1482" s="589"/>
      <c r="Z1482" s="589"/>
      <c r="AA1482" s="589"/>
      <c r="AB1482" s="589"/>
      <c r="AC1482" s="589"/>
      <c r="AD1482" s="589"/>
      <c r="AE1482" s="589"/>
      <c r="AF1482" s="589"/>
      <c r="AG1482" s="589"/>
      <c r="AH1482" s="589"/>
      <c r="AI1482" s="589"/>
      <c r="AJ1482" s="589"/>
      <c r="AK1482" s="589"/>
      <c r="AL1482" s="589"/>
      <c r="AM1482" s="589"/>
      <c r="AN1482" s="589"/>
      <c r="AO1482" s="589"/>
      <c r="AP1482" s="589"/>
      <c r="AQ1482" s="589"/>
      <c r="AR1482" s="589"/>
      <c r="AS1482" s="589"/>
    </row>
    <row r="1483" spans="1:45" ht="15">
      <c r="A1483" s="590" t="s">
        <v>125</v>
      </c>
      <c r="B1483" s="591" t="s">
        <v>245</v>
      </c>
      <c r="C1483" s="591" t="s">
        <v>774</v>
      </c>
      <c r="D1483" s="592">
        <v>2017</v>
      </c>
      <c r="E1483" s="591" t="s">
        <v>775</v>
      </c>
      <c r="F1483" s="592">
        <v>504</v>
      </c>
      <c r="G1483" s="592">
        <v>27</v>
      </c>
      <c r="H1483" s="592">
        <v>27</v>
      </c>
      <c r="I1483" s="592">
        <v>0</v>
      </c>
      <c r="J1483" s="592">
        <v>270</v>
      </c>
      <c r="K1483" s="592">
        <v>57</v>
      </c>
      <c r="L1483" s="592">
        <v>57</v>
      </c>
      <c r="M1483" s="592">
        <v>0</v>
      </c>
      <c r="N1483" s="593">
        <v>352</v>
      </c>
      <c r="O1483" s="593">
        <v>0</v>
      </c>
      <c r="P1483" s="593">
        <v>1161</v>
      </c>
      <c r="Q1483" s="593">
        <v>8</v>
      </c>
      <c r="R1483" s="593">
        <v>2287</v>
      </c>
      <c r="S1483" s="593">
        <v>92</v>
      </c>
      <c r="T1483" s="593">
        <v>2017</v>
      </c>
      <c r="U1483" s="593">
        <v>2015</v>
      </c>
      <c r="V1483" s="589"/>
      <c r="W1483" s="589"/>
      <c r="X1483" s="589"/>
      <c r="Y1483" s="589"/>
      <c r="Z1483" s="589"/>
      <c r="AA1483" s="589"/>
      <c r="AB1483" s="589"/>
      <c r="AC1483" s="589"/>
      <c r="AD1483" s="589"/>
      <c r="AE1483" s="589"/>
      <c r="AF1483" s="589"/>
      <c r="AG1483" s="589"/>
      <c r="AH1483" s="589"/>
      <c r="AI1483" s="589"/>
      <c r="AJ1483" s="589"/>
      <c r="AK1483" s="589"/>
      <c r="AL1483" s="589"/>
      <c r="AM1483" s="589"/>
      <c r="AN1483" s="589"/>
      <c r="AO1483" s="589"/>
      <c r="AP1483" s="589"/>
      <c r="AQ1483" s="589"/>
      <c r="AR1483" s="589"/>
      <c r="AS1483" s="589"/>
    </row>
    <row r="1484" spans="1:45" ht="15">
      <c r="A1484" s="587" t="s">
        <v>183</v>
      </c>
      <c r="B1484" s="587" t="s">
        <v>183</v>
      </c>
      <c r="C1484" s="587" t="s">
        <v>784</v>
      </c>
      <c r="D1484" s="588">
        <v>2017</v>
      </c>
      <c r="E1484" s="587" t="s">
        <v>775</v>
      </c>
      <c r="F1484" s="588">
        <v>285</v>
      </c>
      <c r="G1484" s="588">
        <v>41</v>
      </c>
      <c r="H1484" s="588">
        <v>41</v>
      </c>
      <c r="I1484" s="588">
        <v>0</v>
      </c>
      <c r="J1484" s="588">
        <v>179</v>
      </c>
      <c r="K1484" s="588">
        <v>9</v>
      </c>
      <c r="L1484" s="588">
        <v>9</v>
      </c>
      <c r="M1484" s="588">
        <v>0</v>
      </c>
      <c r="N1484" s="588">
        <v>201</v>
      </c>
      <c r="O1484" s="588">
        <v>0</v>
      </c>
      <c r="P1484" s="588">
        <v>478</v>
      </c>
      <c r="Q1484" s="588">
        <v>164</v>
      </c>
      <c r="R1484" s="588">
        <v>1143</v>
      </c>
      <c r="S1484" s="588">
        <v>214</v>
      </c>
      <c r="T1484" s="588">
        <v>2017</v>
      </c>
      <c r="U1484" s="588">
        <v>2014</v>
      </c>
      <c r="V1484" s="589"/>
      <c r="W1484" s="589"/>
      <c r="X1484" s="589"/>
      <c r="Y1484" s="589"/>
      <c r="Z1484" s="589"/>
      <c r="AA1484" s="589"/>
      <c r="AB1484" s="589"/>
      <c r="AC1484" s="589"/>
      <c r="AD1484" s="589"/>
      <c r="AE1484" s="589"/>
      <c r="AF1484" s="589"/>
      <c r="AG1484" s="589"/>
      <c r="AH1484" s="589"/>
      <c r="AI1484" s="589"/>
      <c r="AJ1484" s="589"/>
      <c r="AK1484" s="589"/>
      <c r="AL1484" s="589"/>
      <c r="AM1484" s="589"/>
      <c r="AN1484" s="589"/>
      <c r="AO1484" s="589"/>
      <c r="AP1484" s="589"/>
      <c r="AQ1484" s="589"/>
      <c r="AR1484" s="589"/>
      <c r="AS1484" s="589"/>
    </row>
    <row r="1485" spans="1:45" ht="15">
      <c r="A1485" s="590" t="s">
        <v>183</v>
      </c>
      <c r="B1485" s="591" t="s">
        <v>622</v>
      </c>
      <c r="C1485" s="591" t="s">
        <v>784</v>
      </c>
      <c r="D1485" s="592">
        <v>2017</v>
      </c>
      <c r="E1485" s="591" t="s">
        <v>775</v>
      </c>
      <c r="F1485" s="592">
        <v>336</v>
      </c>
      <c r="G1485" s="592">
        <v>12</v>
      </c>
      <c r="H1485" s="592">
        <v>3</v>
      </c>
      <c r="I1485" s="592">
        <v>9</v>
      </c>
      <c r="J1485" s="592">
        <v>211</v>
      </c>
      <c r="K1485" s="592">
        <v>14</v>
      </c>
      <c r="L1485" s="592">
        <v>5</v>
      </c>
      <c r="M1485" s="592">
        <v>9</v>
      </c>
      <c r="N1485" s="593">
        <v>237</v>
      </c>
      <c r="O1485" s="593">
        <v>45</v>
      </c>
      <c r="P1485" s="593">
        <v>563</v>
      </c>
      <c r="Q1485" s="593">
        <v>371</v>
      </c>
      <c r="R1485" s="593">
        <v>1347</v>
      </c>
      <c r="S1485" s="593">
        <v>442</v>
      </c>
      <c r="T1485" s="593">
        <v>2017</v>
      </c>
      <c r="U1485" s="593">
        <v>2014</v>
      </c>
      <c r="V1485" s="589"/>
      <c r="W1485" s="589"/>
      <c r="X1485" s="589"/>
      <c r="Y1485" s="589"/>
      <c r="Z1485" s="589"/>
      <c r="AA1485" s="589"/>
      <c r="AB1485" s="589"/>
      <c r="AC1485" s="589"/>
      <c r="AD1485" s="589"/>
      <c r="AE1485" s="589"/>
      <c r="AF1485" s="589"/>
      <c r="AG1485" s="589"/>
      <c r="AH1485" s="589"/>
      <c r="AI1485" s="589"/>
      <c r="AJ1485" s="589"/>
      <c r="AK1485" s="589"/>
      <c r="AL1485" s="589"/>
      <c r="AM1485" s="589"/>
      <c r="AN1485" s="589"/>
      <c r="AO1485" s="589"/>
      <c r="AP1485" s="589"/>
      <c r="AQ1485" s="589"/>
      <c r="AR1485" s="589"/>
      <c r="AS1485" s="589"/>
    </row>
    <row r="1486" spans="1:45" ht="15">
      <c r="A1486" s="587" t="s">
        <v>179</v>
      </c>
      <c r="B1486" s="587" t="s">
        <v>604</v>
      </c>
      <c r="C1486" s="587" t="s">
        <v>855</v>
      </c>
      <c r="D1486" s="588">
        <v>2017</v>
      </c>
      <c r="E1486" s="587" t="s">
        <v>775</v>
      </c>
      <c r="F1486" s="588">
        <v>1043</v>
      </c>
      <c r="G1486" s="588">
        <v>31</v>
      </c>
      <c r="H1486" s="588">
        <v>31</v>
      </c>
      <c r="I1486" s="588">
        <v>0</v>
      </c>
      <c r="J1486" s="588">
        <v>793</v>
      </c>
      <c r="K1486" s="588">
        <v>11</v>
      </c>
      <c r="L1486" s="588">
        <v>11</v>
      </c>
      <c r="M1486" s="588">
        <v>0</v>
      </c>
      <c r="N1486" s="588">
        <v>734</v>
      </c>
      <c r="O1486" s="588">
        <v>0</v>
      </c>
      <c r="P1486" s="588">
        <v>1613</v>
      </c>
      <c r="Q1486" s="588">
        <v>436</v>
      </c>
      <c r="R1486" s="588">
        <v>4183</v>
      </c>
      <c r="S1486" s="588">
        <v>478</v>
      </c>
      <c r="T1486" s="588">
        <v>2017</v>
      </c>
      <c r="U1486" s="588">
        <v>2013</v>
      </c>
      <c r="V1486" s="589"/>
      <c r="W1486" s="589"/>
      <c r="X1486" s="589"/>
      <c r="Y1486" s="589"/>
      <c r="Z1486" s="589"/>
      <c r="AA1486" s="589"/>
      <c r="AB1486" s="589"/>
      <c r="AC1486" s="589"/>
      <c r="AD1486" s="589"/>
      <c r="AE1486" s="589"/>
      <c r="AF1486" s="589"/>
      <c r="AG1486" s="589"/>
      <c r="AH1486" s="589"/>
      <c r="AI1486" s="589"/>
      <c r="AJ1486" s="589"/>
      <c r="AK1486" s="589"/>
      <c r="AL1486" s="589"/>
      <c r="AM1486" s="589"/>
      <c r="AN1486" s="589"/>
      <c r="AO1486" s="589"/>
      <c r="AP1486" s="589"/>
      <c r="AQ1486" s="589"/>
      <c r="AR1486" s="589"/>
      <c r="AS1486" s="589"/>
    </row>
    <row r="1487" spans="1:45" ht="15">
      <c r="A1487" s="590" t="s">
        <v>153</v>
      </c>
      <c r="B1487" s="591" t="s">
        <v>417</v>
      </c>
      <c r="C1487" s="591" t="s">
        <v>812</v>
      </c>
      <c r="D1487" s="592">
        <v>2017</v>
      </c>
      <c r="E1487" s="591" t="s">
        <v>775</v>
      </c>
      <c r="F1487" s="592">
        <v>1</v>
      </c>
      <c r="G1487" s="592">
        <v>1</v>
      </c>
      <c r="H1487" s="592">
        <v>1</v>
      </c>
      <c r="I1487" s="592">
        <v>0</v>
      </c>
      <c r="J1487" s="592">
        <v>1</v>
      </c>
      <c r="K1487" s="592">
        <v>0</v>
      </c>
      <c r="L1487" s="592">
        <v>0</v>
      </c>
      <c r="M1487" s="592">
        <v>0</v>
      </c>
      <c r="N1487" s="593">
        <v>0</v>
      </c>
      <c r="O1487" s="593">
        <v>2</v>
      </c>
      <c r="P1487" s="593">
        <v>0</v>
      </c>
      <c r="Q1487" s="593">
        <v>7</v>
      </c>
      <c r="R1487" s="593">
        <v>2</v>
      </c>
      <c r="S1487" s="593">
        <v>10</v>
      </c>
      <c r="T1487" s="593">
        <v>2017</v>
      </c>
      <c r="U1487" s="593">
        <v>2014</v>
      </c>
      <c r="V1487" s="589"/>
      <c r="W1487" s="589"/>
      <c r="X1487" s="589"/>
      <c r="Y1487" s="589"/>
      <c r="Z1487" s="589"/>
      <c r="AA1487" s="589"/>
      <c r="AB1487" s="589"/>
      <c r="AC1487" s="589"/>
      <c r="AD1487" s="589"/>
      <c r="AE1487" s="589"/>
      <c r="AF1487" s="589"/>
      <c r="AG1487" s="589"/>
      <c r="AH1487" s="589"/>
      <c r="AI1487" s="589"/>
      <c r="AJ1487" s="589"/>
      <c r="AK1487" s="589"/>
      <c r="AL1487" s="589"/>
      <c r="AM1487" s="589"/>
      <c r="AN1487" s="589"/>
      <c r="AO1487" s="589"/>
      <c r="AP1487" s="589"/>
      <c r="AQ1487" s="589"/>
      <c r="AR1487" s="589"/>
      <c r="AS1487" s="589"/>
    </row>
    <row r="1488" spans="1:45" ht="15">
      <c r="A1488" s="587" t="s">
        <v>184</v>
      </c>
      <c r="B1488" s="587" t="s">
        <v>184</v>
      </c>
      <c r="C1488" s="587" t="s">
        <v>774</v>
      </c>
      <c r="D1488" s="588">
        <v>2017</v>
      </c>
      <c r="E1488" s="587" t="s">
        <v>775</v>
      </c>
      <c r="F1488" s="588">
        <v>859</v>
      </c>
      <c r="G1488" s="588">
        <v>37</v>
      </c>
      <c r="H1488" s="588">
        <v>37</v>
      </c>
      <c r="I1488" s="588">
        <v>0</v>
      </c>
      <c r="J1488" s="588">
        <v>469</v>
      </c>
      <c r="K1488" s="588">
        <v>0</v>
      </c>
      <c r="L1488" s="588">
        <v>0</v>
      </c>
      <c r="M1488" s="588">
        <v>0</v>
      </c>
      <c r="N1488" s="588">
        <v>530</v>
      </c>
      <c r="O1488" s="588">
        <v>4</v>
      </c>
      <c r="P1488" s="588">
        <v>1242</v>
      </c>
      <c r="Q1488" s="588">
        <v>424</v>
      </c>
      <c r="R1488" s="588">
        <v>3100</v>
      </c>
      <c r="S1488" s="588">
        <v>465</v>
      </c>
      <c r="T1488" s="588">
        <v>2017</v>
      </c>
      <c r="U1488" s="588">
        <v>2015</v>
      </c>
      <c r="V1488" s="589"/>
      <c r="W1488" s="589"/>
      <c r="X1488" s="589"/>
      <c r="Y1488" s="589"/>
      <c r="Z1488" s="589"/>
      <c r="AA1488" s="589"/>
      <c r="AB1488" s="589"/>
      <c r="AC1488" s="589"/>
      <c r="AD1488" s="589"/>
      <c r="AE1488" s="589"/>
      <c r="AF1488" s="589"/>
      <c r="AG1488" s="589"/>
      <c r="AH1488" s="589"/>
      <c r="AI1488" s="589"/>
      <c r="AJ1488" s="589"/>
      <c r="AK1488" s="589"/>
      <c r="AL1488" s="589"/>
      <c r="AM1488" s="589"/>
      <c r="AN1488" s="589"/>
      <c r="AO1488" s="589"/>
      <c r="AP1488" s="589"/>
      <c r="AQ1488" s="589"/>
      <c r="AR1488" s="589"/>
      <c r="AS1488" s="589"/>
    </row>
    <row r="1489" spans="1:45" ht="15">
      <c r="A1489" s="590" t="s">
        <v>184</v>
      </c>
      <c r="B1489" s="591" t="s">
        <v>640</v>
      </c>
      <c r="C1489" s="591" t="s">
        <v>774</v>
      </c>
      <c r="D1489" s="592">
        <v>2017</v>
      </c>
      <c r="E1489" s="591" t="s">
        <v>775</v>
      </c>
      <c r="F1489" s="592">
        <v>153</v>
      </c>
      <c r="G1489" s="592">
        <v>1</v>
      </c>
      <c r="H1489" s="592">
        <v>0</v>
      </c>
      <c r="I1489" s="592">
        <v>1</v>
      </c>
      <c r="J1489" s="592">
        <v>103</v>
      </c>
      <c r="K1489" s="592">
        <v>8</v>
      </c>
      <c r="L1489" s="592">
        <v>7</v>
      </c>
      <c r="M1489" s="592">
        <v>1</v>
      </c>
      <c r="N1489" s="593">
        <v>102</v>
      </c>
      <c r="O1489" s="593">
        <v>4</v>
      </c>
      <c r="P1489" s="593">
        <v>555</v>
      </c>
      <c r="Q1489" s="593">
        <v>44</v>
      </c>
      <c r="R1489" s="593">
        <v>913</v>
      </c>
      <c r="S1489" s="593">
        <v>57</v>
      </c>
      <c r="T1489" s="593">
        <v>2017</v>
      </c>
      <c r="U1489" s="593">
        <v>2015</v>
      </c>
      <c r="V1489" s="589"/>
      <c r="W1489" s="589"/>
      <c r="X1489" s="589"/>
      <c r="Y1489" s="589"/>
      <c r="Z1489" s="589"/>
      <c r="AA1489" s="589"/>
      <c r="AB1489" s="589"/>
      <c r="AC1489" s="589"/>
      <c r="AD1489" s="589"/>
      <c r="AE1489" s="589"/>
      <c r="AF1489" s="589"/>
      <c r="AG1489" s="589"/>
      <c r="AH1489" s="589"/>
      <c r="AI1489" s="589"/>
      <c r="AJ1489" s="589"/>
      <c r="AK1489" s="589"/>
      <c r="AL1489" s="589"/>
      <c r="AM1489" s="589"/>
      <c r="AN1489" s="589"/>
      <c r="AO1489" s="589"/>
      <c r="AP1489" s="589"/>
      <c r="AQ1489" s="589"/>
      <c r="AR1489" s="589"/>
      <c r="AS1489" s="589"/>
    </row>
    <row r="1490" spans="1:45" ht="15">
      <c r="A1490" s="587" t="s">
        <v>136</v>
      </c>
      <c r="B1490" s="587" t="s">
        <v>282</v>
      </c>
      <c r="C1490" s="587" t="s">
        <v>774</v>
      </c>
      <c r="D1490" s="588">
        <v>2017</v>
      </c>
      <c r="E1490" s="587" t="s">
        <v>775</v>
      </c>
      <c r="F1490" s="588">
        <v>56</v>
      </c>
      <c r="G1490" s="588">
        <v>0</v>
      </c>
      <c r="H1490" s="588">
        <v>0</v>
      </c>
      <c r="I1490" s="588">
        <v>0</v>
      </c>
      <c r="J1490" s="588">
        <v>53</v>
      </c>
      <c r="K1490" s="588">
        <v>0</v>
      </c>
      <c r="L1490" s="588">
        <v>0</v>
      </c>
      <c r="M1490" s="588">
        <v>0</v>
      </c>
      <c r="N1490" s="588">
        <v>75</v>
      </c>
      <c r="O1490" s="588">
        <v>7</v>
      </c>
      <c r="P1490" s="588">
        <v>265</v>
      </c>
      <c r="Q1490" s="588">
        <v>0</v>
      </c>
      <c r="R1490" s="588">
        <v>449</v>
      </c>
      <c r="S1490" s="588">
        <v>7</v>
      </c>
      <c r="T1490" s="588">
        <v>2017</v>
      </c>
      <c r="U1490" s="588">
        <v>2015</v>
      </c>
      <c r="V1490" s="589"/>
      <c r="W1490" s="589"/>
      <c r="X1490" s="589"/>
      <c r="Y1490" s="589"/>
      <c r="Z1490" s="589"/>
      <c r="AA1490" s="589"/>
      <c r="AB1490" s="589"/>
      <c r="AC1490" s="589"/>
      <c r="AD1490" s="589"/>
      <c r="AE1490" s="589"/>
      <c r="AF1490" s="589"/>
      <c r="AG1490" s="589"/>
      <c r="AH1490" s="589"/>
      <c r="AI1490" s="589"/>
      <c r="AJ1490" s="589"/>
      <c r="AK1490" s="589"/>
      <c r="AL1490" s="589"/>
      <c r="AM1490" s="589"/>
      <c r="AN1490" s="589"/>
      <c r="AO1490" s="589"/>
      <c r="AP1490" s="589"/>
      <c r="AQ1490" s="589"/>
      <c r="AR1490" s="589"/>
      <c r="AS1490" s="589"/>
    </row>
    <row r="1491" spans="1:45" ht="15">
      <c r="A1491" s="590" t="s">
        <v>157</v>
      </c>
      <c r="B1491" s="591" t="s">
        <v>445</v>
      </c>
      <c r="C1491" s="591" t="s">
        <v>774</v>
      </c>
      <c r="D1491" s="592">
        <v>2017</v>
      </c>
      <c r="E1491" s="591" t="s">
        <v>775</v>
      </c>
      <c r="F1491" s="592">
        <v>240</v>
      </c>
      <c r="G1491" s="592">
        <v>0</v>
      </c>
      <c r="H1491" s="592">
        <v>0</v>
      </c>
      <c r="I1491" s="592">
        <v>0</v>
      </c>
      <c r="J1491" s="592">
        <v>148</v>
      </c>
      <c r="K1491" s="592">
        <v>7</v>
      </c>
      <c r="L1491" s="592">
        <v>0</v>
      </c>
      <c r="M1491" s="592">
        <v>7</v>
      </c>
      <c r="N1491" s="593">
        <v>181</v>
      </c>
      <c r="O1491" s="593">
        <v>0</v>
      </c>
      <c r="P1491" s="593">
        <v>438</v>
      </c>
      <c r="Q1491" s="593">
        <v>20</v>
      </c>
      <c r="R1491" s="593">
        <v>1007</v>
      </c>
      <c r="S1491" s="593">
        <v>27</v>
      </c>
      <c r="T1491" s="593">
        <v>2017</v>
      </c>
      <c r="U1491" s="593">
        <v>2015</v>
      </c>
      <c r="V1491" s="589"/>
      <c r="W1491" s="589"/>
      <c r="X1491" s="589"/>
      <c r="Y1491" s="589"/>
      <c r="Z1491" s="589"/>
      <c r="AA1491" s="589"/>
      <c r="AB1491" s="589"/>
      <c r="AC1491" s="589"/>
      <c r="AD1491" s="589"/>
      <c r="AE1491" s="589"/>
      <c r="AF1491" s="589"/>
      <c r="AG1491" s="589"/>
      <c r="AH1491" s="589"/>
      <c r="AI1491" s="589"/>
      <c r="AJ1491" s="589"/>
      <c r="AK1491" s="589"/>
      <c r="AL1491" s="589"/>
      <c r="AM1491" s="589"/>
      <c r="AN1491" s="589"/>
      <c r="AO1491" s="589"/>
      <c r="AP1491" s="589"/>
      <c r="AQ1491" s="589"/>
      <c r="AR1491" s="589"/>
      <c r="AS1491" s="589"/>
    </row>
    <row r="1492" spans="1:45" ht="15">
      <c r="A1492" s="587" t="s">
        <v>136</v>
      </c>
      <c r="B1492" s="587" t="s">
        <v>283</v>
      </c>
      <c r="C1492" s="587" t="s">
        <v>774</v>
      </c>
      <c r="D1492" s="588">
        <v>2017</v>
      </c>
      <c r="E1492" s="587" t="s">
        <v>775</v>
      </c>
      <c r="F1492" s="588">
        <v>516</v>
      </c>
      <c r="G1492" s="588">
        <v>0</v>
      </c>
      <c r="H1492" s="588">
        <v>0</v>
      </c>
      <c r="I1492" s="588">
        <v>0</v>
      </c>
      <c r="J1492" s="588">
        <v>279</v>
      </c>
      <c r="K1492" s="588">
        <v>0</v>
      </c>
      <c r="L1492" s="588">
        <v>0</v>
      </c>
      <c r="M1492" s="588">
        <v>0</v>
      </c>
      <c r="N1492" s="588">
        <v>282</v>
      </c>
      <c r="O1492" s="588">
        <v>0</v>
      </c>
      <c r="P1492" s="588">
        <v>340</v>
      </c>
      <c r="Q1492" s="588">
        <v>188</v>
      </c>
      <c r="R1492" s="588">
        <v>1417</v>
      </c>
      <c r="S1492" s="588">
        <v>188</v>
      </c>
      <c r="T1492" s="588">
        <v>2017</v>
      </c>
      <c r="U1492" s="588">
        <v>2015</v>
      </c>
      <c r="V1492" s="589"/>
      <c r="W1492" s="589"/>
      <c r="X1492" s="589"/>
      <c r="Y1492" s="589"/>
      <c r="Z1492" s="589"/>
      <c r="AA1492" s="589"/>
      <c r="AB1492" s="589"/>
      <c r="AC1492" s="589"/>
      <c r="AD1492" s="589"/>
      <c r="AE1492" s="589"/>
      <c r="AF1492" s="589"/>
      <c r="AG1492" s="589"/>
      <c r="AH1492" s="589"/>
      <c r="AI1492" s="589"/>
      <c r="AJ1492" s="589"/>
      <c r="AK1492" s="589"/>
      <c r="AL1492" s="589"/>
      <c r="AM1492" s="589"/>
      <c r="AN1492" s="589"/>
      <c r="AO1492" s="589"/>
      <c r="AP1492" s="589"/>
      <c r="AQ1492" s="589"/>
      <c r="AR1492" s="589"/>
      <c r="AS1492" s="589"/>
    </row>
    <row r="1493" spans="1:45" ht="15">
      <c r="A1493" s="590" t="s">
        <v>169</v>
      </c>
      <c r="B1493" s="591" t="s">
        <v>512</v>
      </c>
      <c r="C1493" s="591" t="s">
        <v>812</v>
      </c>
      <c r="D1493" s="592">
        <v>2017</v>
      </c>
      <c r="E1493" s="591" t="s">
        <v>775</v>
      </c>
      <c r="F1493" s="592">
        <v>45</v>
      </c>
      <c r="G1493" s="592">
        <v>49</v>
      </c>
      <c r="H1493" s="592">
        <v>49</v>
      </c>
      <c r="I1493" s="592">
        <v>0</v>
      </c>
      <c r="J1493" s="592">
        <v>32</v>
      </c>
      <c r="K1493" s="592">
        <v>20</v>
      </c>
      <c r="L1493" s="592">
        <v>20</v>
      </c>
      <c r="M1493" s="592">
        <v>0</v>
      </c>
      <c r="N1493" s="593">
        <v>37</v>
      </c>
      <c r="O1493" s="593">
        <v>15</v>
      </c>
      <c r="P1493" s="593">
        <v>90</v>
      </c>
      <c r="Q1493" s="593">
        <v>115</v>
      </c>
      <c r="R1493" s="593">
        <v>204</v>
      </c>
      <c r="S1493" s="593">
        <v>199</v>
      </c>
      <c r="T1493" s="593">
        <v>2017</v>
      </c>
      <c r="U1493" s="593">
        <v>2014</v>
      </c>
      <c r="V1493" s="589"/>
      <c r="W1493" s="589"/>
      <c r="X1493" s="589"/>
      <c r="Y1493" s="589"/>
      <c r="Z1493" s="589"/>
      <c r="AA1493" s="589"/>
      <c r="AB1493" s="589"/>
      <c r="AC1493" s="589"/>
      <c r="AD1493" s="589"/>
      <c r="AE1493" s="589"/>
      <c r="AF1493" s="589"/>
      <c r="AG1493" s="589"/>
      <c r="AH1493" s="589"/>
      <c r="AI1493" s="589"/>
      <c r="AJ1493" s="589"/>
      <c r="AK1493" s="589"/>
      <c r="AL1493" s="589"/>
      <c r="AM1493" s="589"/>
      <c r="AN1493" s="589"/>
      <c r="AO1493" s="589"/>
      <c r="AP1493" s="589"/>
      <c r="AQ1493" s="589"/>
      <c r="AR1493" s="589"/>
      <c r="AS1493" s="589"/>
    </row>
    <row r="1494" spans="1:45" ht="15">
      <c r="A1494" s="587" t="s">
        <v>185</v>
      </c>
      <c r="B1494" s="587" t="s">
        <v>185</v>
      </c>
      <c r="C1494" s="587" t="s">
        <v>868</v>
      </c>
      <c r="D1494" s="588">
        <v>2017</v>
      </c>
      <c r="E1494" s="587" t="s">
        <v>775</v>
      </c>
      <c r="F1494" s="588">
        <v>962</v>
      </c>
      <c r="G1494" s="588">
        <v>0</v>
      </c>
      <c r="H1494" s="588">
        <v>0</v>
      </c>
      <c r="I1494" s="588">
        <v>0</v>
      </c>
      <c r="J1494" s="588">
        <v>701</v>
      </c>
      <c r="K1494" s="588">
        <v>0</v>
      </c>
      <c r="L1494" s="588">
        <v>0</v>
      </c>
      <c r="M1494" s="588">
        <v>0</v>
      </c>
      <c r="N1494" s="588">
        <v>820</v>
      </c>
      <c r="O1494" s="588">
        <v>0</v>
      </c>
      <c r="P1494" s="588">
        <v>1617</v>
      </c>
      <c r="Q1494" s="588">
        <v>117</v>
      </c>
      <c r="R1494" s="588">
        <v>4100</v>
      </c>
      <c r="S1494" s="588">
        <v>117</v>
      </c>
      <c r="T1494" s="588">
        <v>2017</v>
      </c>
      <c r="U1494" s="588">
        <v>2015</v>
      </c>
      <c r="V1494" s="589"/>
      <c r="W1494" s="589"/>
      <c r="X1494" s="589"/>
      <c r="Y1494" s="589"/>
      <c r="Z1494" s="589"/>
      <c r="AA1494" s="589"/>
      <c r="AB1494" s="589"/>
      <c r="AC1494" s="589"/>
      <c r="AD1494" s="589"/>
      <c r="AE1494" s="589"/>
      <c r="AF1494" s="589"/>
      <c r="AG1494" s="589"/>
      <c r="AH1494" s="589"/>
      <c r="AI1494" s="589"/>
      <c r="AJ1494" s="589"/>
      <c r="AK1494" s="589"/>
      <c r="AL1494" s="589"/>
      <c r="AM1494" s="589"/>
      <c r="AN1494" s="589"/>
      <c r="AO1494" s="589"/>
      <c r="AP1494" s="589"/>
      <c r="AQ1494" s="589"/>
      <c r="AR1494" s="589"/>
      <c r="AS1494" s="589"/>
    </row>
    <row r="1495" spans="1:45" ht="15">
      <c r="A1495" s="590" t="s">
        <v>185</v>
      </c>
      <c r="B1495" s="591" t="s">
        <v>648</v>
      </c>
      <c r="C1495" s="591" t="s">
        <v>868</v>
      </c>
      <c r="D1495" s="592">
        <v>2017</v>
      </c>
      <c r="E1495" s="591" t="s">
        <v>775</v>
      </c>
      <c r="F1495" s="592">
        <v>159</v>
      </c>
      <c r="G1495" s="592">
        <v>8</v>
      </c>
      <c r="H1495" s="592">
        <v>8</v>
      </c>
      <c r="I1495" s="592">
        <v>0</v>
      </c>
      <c r="J1495" s="592">
        <v>106</v>
      </c>
      <c r="K1495" s="592">
        <v>1</v>
      </c>
      <c r="L1495" s="592">
        <v>0</v>
      </c>
      <c r="M1495" s="592">
        <v>1</v>
      </c>
      <c r="N1495" s="593">
        <v>112</v>
      </c>
      <c r="O1495" s="593">
        <v>54</v>
      </c>
      <c r="P1495" s="593">
        <v>284</v>
      </c>
      <c r="Q1495" s="593">
        <v>145</v>
      </c>
      <c r="R1495" s="593">
        <v>661</v>
      </c>
      <c r="S1495" s="593">
        <v>208</v>
      </c>
      <c r="T1495" s="593">
        <v>2017</v>
      </c>
      <c r="U1495" s="593">
        <v>2015</v>
      </c>
      <c r="V1495" s="589"/>
      <c r="W1495" s="589"/>
      <c r="X1495" s="589"/>
      <c r="Y1495" s="589"/>
      <c r="Z1495" s="589"/>
      <c r="AA1495" s="589"/>
      <c r="AB1495" s="589"/>
      <c r="AC1495" s="589"/>
      <c r="AD1495" s="589"/>
      <c r="AE1495" s="589"/>
      <c r="AF1495" s="589"/>
      <c r="AG1495" s="589"/>
      <c r="AH1495" s="589"/>
      <c r="AI1495" s="589"/>
      <c r="AJ1495" s="589"/>
      <c r="AK1495" s="589"/>
      <c r="AL1495" s="589"/>
      <c r="AM1495" s="589"/>
      <c r="AN1495" s="589"/>
      <c r="AO1495" s="589"/>
      <c r="AP1495" s="589"/>
      <c r="AQ1495" s="589"/>
      <c r="AR1495" s="589"/>
      <c r="AS1495" s="589"/>
    </row>
    <row r="1496" spans="1:45" ht="15">
      <c r="A1496" s="587" t="s">
        <v>187</v>
      </c>
      <c r="B1496" s="587" t="s">
        <v>187</v>
      </c>
      <c r="C1496" s="587" t="s">
        <v>774</v>
      </c>
      <c r="D1496" s="588">
        <v>2017</v>
      </c>
      <c r="E1496" s="587" t="s">
        <v>775</v>
      </c>
      <c r="F1496" s="588">
        <v>1050</v>
      </c>
      <c r="G1496" s="588">
        <v>0</v>
      </c>
      <c r="H1496" s="588">
        <v>0</v>
      </c>
      <c r="I1496" s="588">
        <v>0</v>
      </c>
      <c r="J1496" s="588">
        <v>695</v>
      </c>
      <c r="K1496" s="588">
        <v>0</v>
      </c>
      <c r="L1496" s="588">
        <v>0</v>
      </c>
      <c r="M1496" s="588">
        <v>0</v>
      </c>
      <c r="N1496" s="588">
        <v>755</v>
      </c>
      <c r="O1496" s="588">
        <v>6</v>
      </c>
      <c r="P1496" s="588">
        <v>1593</v>
      </c>
      <c r="Q1496" s="588">
        <v>1609</v>
      </c>
      <c r="R1496" s="588">
        <v>4093</v>
      </c>
      <c r="S1496" s="588">
        <v>1615</v>
      </c>
      <c r="T1496" s="588">
        <v>2017</v>
      </c>
      <c r="U1496" s="588">
        <v>2015</v>
      </c>
      <c r="V1496" s="589"/>
      <c r="W1496" s="589"/>
      <c r="X1496" s="589"/>
      <c r="Y1496" s="589"/>
      <c r="Z1496" s="589"/>
      <c r="AA1496" s="589"/>
      <c r="AB1496" s="589"/>
      <c r="AC1496" s="589"/>
      <c r="AD1496" s="589"/>
      <c r="AE1496" s="589"/>
      <c r="AF1496" s="589"/>
      <c r="AG1496" s="589"/>
      <c r="AH1496" s="589"/>
      <c r="AI1496" s="589"/>
      <c r="AJ1496" s="589"/>
      <c r="AK1496" s="589"/>
      <c r="AL1496" s="589"/>
      <c r="AM1496" s="589"/>
      <c r="AN1496" s="589"/>
      <c r="AO1496" s="589"/>
      <c r="AP1496" s="589"/>
      <c r="AQ1496" s="589"/>
      <c r="AR1496" s="589"/>
      <c r="AS1496" s="589"/>
    </row>
    <row r="1497" spans="1:45" ht="15">
      <c r="A1497" s="590" t="s">
        <v>187</v>
      </c>
      <c r="B1497" s="591" t="s">
        <v>663</v>
      </c>
      <c r="C1497" s="591" t="s">
        <v>774</v>
      </c>
      <c r="D1497" s="592">
        <v>2017</v>
      </c>
      <c r="E1497" s="591" t="s">
        <v>775</v>
      </c>
      <c r="F1497" s="592">
        <v>22</v>
      </c>
      <c r="G1497" s="592">
        <v>13</v>
      </c>
      <c r="H1497" s="592">
        <v>0</v>
      </c>
      <c r="I1497" s="592">
        <v>13</v>
      </c>
      <c r="J1497" s="592">
        <v>13</v>
      </c>
      <c r="K1497" s="592">
        <v>0</v>
      </c>
      <c r="L1497" s="592">
        <v>0</v>
      </c>
      <c r="M1497" s="592">
        <v>0</v>
      </c>
      <c r="N1497" s="593">
        <v>214</v>
      </c>
      <c r="O1497" s="593">
        <v>0</v>
      </c>
      <c r="P1497" s="593">
        <v>28</v>
      </c>
      <c r="Q1497" s="593">
        <v>43</v>
      </c>
      <c r="R1497" s="593">
        <v>277</v>
      </c>
      <c r="S1497" s="593">
        <v>56</v>
      </c>
      <c r="T1497" s="593">
        <v>2017</v>
      </c>
      <c r="U1497" s="593">
        <v>2015</v>
      </c>
      <c r="V1497" s="589"/>
      <c r="W1497" s="589"/>
      <c r="X1497" s="589"/>
      <c r="Y1497" s="589"/>
      <c r="Z1497" s="589"/>
      <c r="AA1497" s="589"/>
      <c r="AB1497" s="589"/>
      <c r="AC1497" s="589"/>
      <c r="AD1497" s="589"/>
      <c r="AE1497" s="589"/>
      <c r="AF1497" s="589"/>
      <c r="AG1497" s="589"/>
      <c r="AH1497" s="589"/>
      <c r="AI1497" s="589"/>
      <c r="AJ1497" s="589"/>
      <c r="AK1497" s="589"/>
      <c r="AL1497" s="589"/>
      <c r="AM1497" s="589"/>
      <c r="AN1497" s="589"/>
      <c r="AO1497" s="589"/>
      <c r="AP1497" s="589"/>
      <c r="AQ1497" s="589"/>
      <c r="AR1497" s="589"/>
      <c r="AS1497" s="589"/>
    </row>
    <row r="1498" spans="1:45" ht="15">
      <c r="A1498" s="587" t="s">
        <v>153</v>
      </c>
      <c r="B1498" s="587" t="s">
        <v>418</v>
      </c>
      <c r="C1498" s="587" t="s">
        <v>812</v>
      </c>
      <c r="D1498" s="588">
        <v>2017</v>
      </c>
      <c r="E1498" s="587" t="s">
        <v>775</v>
      </c>
      <c r="F1498" s="588">
        <v>2645</v>
      </c>
      <c r="G1498" s="588">
        <v>0</v>
      </c>
      <c r="H1498" s="588">
        <v>0</v>
      </c>
      <c r="I1498" s="588">
        <v>0</v>
      </c>
      <c r="J1498" s="588">
        <v>1678</v>
      </c>
      <c r="K1498" s="588">
        <v>0</v>
      </c>
      <c r="L1498" s="588">
        <v>0</v>
      </c>
      <c r="M1498" s="588">
        <v>0</v>
      </c>
      <c r="N1498" s="588">
        <v>1532</v>
      </c>
      <c r="O1498" s="588">
        <v>0</v>
      </c>
      <c r="P1498" s="588">
        <v>5126</v>
      </c>
      <c r="Q1498" s="588">
        <v>578</v>
      </c>
      <c r="R1498" s="588">
        <v>10981</v>
      </c>
      <c r="S1498" s="588">
        <v>578</v>
      </c>
      <c r="T1498" s="588">
        <v>2017</v>
      </c>
      <c r="U1498" s="588">
        <v>2014</v>
      </c>
      <c r="V1498" s="589"/>
      <c r="W1498" s="589"/>
      <c r="X1498" s="589"/>
      <c r="Y1498" s="589"/>
      <c r="Z1498" s="589"/>
      <c r="AA1498" s="589"/>
      <c r="AB1498" s="589"/>
      <c r="AC1498" s="589"/>
      <c r="AD1498" s="589"/>
      <c r="AE1498" s="589"/>
      <c r="AF1498" s="589"/>
      <c r="AG1498" s="589"/>
      <c r="AH1498" s="589"/>
      <c r="AI1498" s="589"/>
      <c r="AJ1498" s="589"/>
      <c r="AK1498" s="589"/>
      <c r="AL1498" s="589"/>
      <c r="AM1498" s="589"/>
      <c r="AN1498" s="589"/>
      <c r="AO1498" s="589"/>
      <c r="AP1498" s="589"/>
      <c r="AQ1498" s="589"/>
      <c r="AR1498" s="589"/>
      <c r="AS1498" s="589"/>
    </row>
    <row r="1499" spans="1:45" ht="15">
      <c r="A1499" s="590" t="s">
        <v>188</v>
      </c>
      <c r="B1499" s="591" t="s">
        <v>188</v>
      </c>
      <c r="C1499" s="591" t="s">
        <v>177</v>
      </c>
      <c r="D1499" s="592">
        <v>2017</v>
      </c>
      <c r="E1499" s="591" t="s">
        <v>775</v>
      </c>
      <c r="F1499" s="592">
        <v>180</v>
      </c>
      <c r="G1499" s="592">
        <v>0</v>
      </c>
      <c r="H1499" s="592">
        <v>0</v>
      </c>
      <c r="I1499" s="592">
        <v>0</v>
      </c>
      <c r="J1499" s="592">
        <v>118</v>
      </c>
      <c r="K1499" s="592">
        <v>13</v>
      </c>
      <c r="L1499" s="592">
        <v>13</v>
      </c>
      <c r="M1499" s="592">
        <v>0</v>
      </c>
      <c r="N1499" s="593">
        <v>136</v>
      </c>
      <c r="O1499" s="593">
        <v>41</v>
      </c>
      <c r="P1499" s="593">
        <v>313</v>
      </c>
      <c r="Q1499" s="593">
        <v>109</v>
      </c>
      <c r="R1499" s="593">
        <v>747</v>
      </c>
      <c r="S1499" s="593">
        <v>163</v>
      </c>
      <c r="T1499" s="593">
        <v>2017</v>
      </c>
      <c r="U1499" s="593">
        <v>2016</v>
      </c>
      <c r="V1499" s="589"/>
      <c r="W1499" s="589"/>
      <c r="X1499" s="589"/>
      <c r="Y1499" s="589"/>
      <c r="Z1499" s="589"/>
      <c r="AA1499" s="589"/>
      <c r="AB1499" s="589"/>
      <c r="AC1499" s="589"/>
      <c r="AD1499" s="589"/>
      <c r="AE1499" s="589"/>
      <c r="AF1499" s="589"/>
      <c r="AG1499" s="589"/>
      <c r="AH1499" s="589"/>
      <c r="AI1499" s="589"/>
      <c r="AJ1499" s="589"/>
      <c r="AK1499" s="589"/>
      <c r="AL1499" s="589"/>
      <c r="AM1499" s="589"/>
      <c r="AN1499" s="589"/>
      <c r="AO1499" s="589"/>
      <c r="AP1499" s="589"/>
      <c r="AQ1499" s="589"/>
      <c r="AR1499" s="589"/>
      <c r="AS1499" s="589"/>
    </row>
    <row r="1500" spans="1:45" ht="15">
      <c r="A1500" s="587" t="s">
        <v>188</v>
      </c>
      <c r="B1500" s="587" t="s">
        <v>667</v>
      </c>
      <c r="C1500" s="587" t="s">
        <v>177</v>
      </c>
      <c r="D1500" s="588">
        <v>2017</v>
      </c>
      <c r="E1500" s="587" t="s">
        <v>775</v>
      </c>
      <c r="F1500" s="588">
        <v>317</v>
      </c>
      <c r="G1500" s="588">
        <v>0</v>
      </c>
      <c r="H1500" s="588">
        <v>0</v>
      </c>
      <c r="I1500" s="588">
        <v>0</v>
      </c>
      <c r="J1500" s="588">
        <v>207</v>
      </c>
      <c r="K1500" s="588">
        <v>0</v>
      </c>
      <c r="L1500" s="588">
        <v>0</v>
      </c>
      <c r="M1500" s="588">
        <v>0</v>
      </c>
      <c r="N1500" s="588">
        <v>239</v>
      </c>
      <c r="O1500" s="588">
        <v>66</v>
      </c>
      <c r="P1500" s="588">
        <v>551</v>
      </c>
      <c r="Q1500" s="588">
        <v>38</v>
      </c>
      <c r="R1500" s="588">
        <v>1314</v>
      </c>
      <c r="S1500" s="588">
        <v>104</v>
      </c>
      <c r="T1500" s="588">
        <v>2017</v>
      </c>
      <c r="U1500" s="588">
        <v>2016</v>
      </c>
      <c r="V1500" s="589"/>
      <c r="W1500" s="589"/>
      <c r="X1500" s="589"/>
      <c r="Y1500" s="589"/>
      <c r="Z1500" s="589"/>
      <c r="AA1500" s="589"/>
      <c r="AB1500" s="589"/>
      <c r="AC1500" s="589"/>
      <c r="AD1500" s="589"/>
      <c r="AE1500" s="589"/>
      <c r="AF1500" s="589"/>
      <c r="AG1500" s="589"/>
      <c r="AH1500" s="589"/>
      <c r="AI1500" s="589"/>
      <c r="AJ1500" s="589"/>
      <c r="AK1500" s="589"/>
      <c r="AL1500" s="589"/>
      <c r="AM1500" s="589"/>
      <c r="AN1500" s="589"/>
      <c r="AO1500" s="589"/>
      <c r="AP1500" s="589"/>
      <c r="AQ1500" s="589"/>
      <c r="AR1500" s="589"/>
      <c r="AS1500" s="589"/>
    </row>
    <row r="1501" spans="1:45" ht="15">
      <c r="A1501" s="590" t="s">
        <v>153</v>
      </c>
      <c r="B1501" s="591" t="s">
        <v>419</v>
      </c>
      <c r="C1501" s="591" t="s">
        <v>812</v>
      </c>
      <c r="D1501" s="592">
        <v>2017</v>
      </c>
      <c r="E1501" s="591" t="s">
        <v>775</v>
      </c>
      <c r="F1501" s="592">
        <v>82</v>
      </c>
      <c r="G1501" s="592">
        <v>0</v>
      </c>
      <c r="H1501" s="592">
        <v>0</v>
      </c>
      <c r="I1501" s="592">
        <v>0</v>
      </c>
      <c r="J1501" s="592">
        <v>50</v>
      </c>
      <c r="K1501" s="592">
        <v>1</v>
      </c>
      <c r="L1501" s="592">
        <v>0</v>
      </c>
      <c r="M1501" s="592">
        <v>1</v>
      </c>
      <c r="N1501" s="593">
        <v>53</v>
      </c>
      <c r="O1501" s="593">
        <v>0</v>
      </c>
      <c r="P1501" s="593">
        <v>139</v>
      </c>
      <c r="Q1501" s="593">
        <v>14</v>
      </c>
      <c r="R1501" s="593">
        <v>324</v>
      </c>
      <c r="S1501" s="593">
        <v>15</v>
      </c>
      <c r="T1501" s="593">
        <v>2017</v>
      </c>
      <c r="U1501" s="593">
        <v>2014</v>
      </c>
      <c r="V1501" s="589"/>
      <c r="W1501" s="589"/>
      <c r="X1501" s="589"/>
      <c r="Y1501" s="589"/>
      <c r="Z1501" s="589"/>
      <c r="AA1501" s="589"/>
      <c r="AB1501" s="589"/>
      <c r="AC1501" s="589"/>
      <c r="AD1501" s="589"/>
      <c r="AE1501" s="589"/>
      <c r="AF1501" s="589"/>
      <c r="AG1501" s="589"/>
      <c r="AH1501" s="589"/>
      <c r="AI1501" s="589"/>
      <c r="AJ1501" s="589"/>
      <c r="AK1501" s="589"/>
      <c r="AL1501" s="589"/>
      <c r="AM1501" s="589"/>
      <c r="AN1501" s="589"/>
      <c r="AO1501" s="589"/>
      <c r="AP1501" s="589"/>
      <c r="AQ1501" s="589"/>
      <c r="AR1501" s="589"/>
      <c r="AS1501" s="589"/>
    </row>
    <row r="1502" spans="1:45" ht="15">
      <c r="A1502" s="587" t="s">
        <v>185</v>
      </c>
      <c r="B1502" s="587" t="s">
        <v>649</v>
      </c>
      <c r="C1502" s="587" t="s">
        <v>868</v>
      </c>
      <c r="D1502" s="588">
        <v>2017</v>
      </c>
      <c r="E1502" s="587" t="s">
        <v>775</v>
      </c>
      <c r="F1502" s="588">
        <v>985</v>
      </c>
      <c r="G1502" s="588">
        <v>0</v>
      </c>
      <c r="H1502" s="588">
        <v>0</v>
      </c>
      <c r="I1502" s="588">
        <v>0</v>
      </c>
      <c r="J1502" s="588">
        <v>656</v>
      </c>
      <c r="K1502" s="588">
        <v>0</v>
      </c>
      <c r="L1502" s="588">
        <v>0</v>
      </c>
      <c r="M1502" s="588">
        <v>0</v>
      </c>
      <c r="N1502" s="588">
        <v>730</v>
      </c>
      <c r="O1502" s="588">
        <v>391</v>
      </c>
      <c r="P1502" s="588">
        <v>1731</v>
      </c>
      <c r="Q1502" s="588">
        <v>125</v>
      </c>
      <c r="R1502" s="588">
        <v>4102</v>
      </c>
      <c r="S1502" s="588">
        <v>516</v>
      </c>
      <c r="T1502" s="588">
        <v>2017</v>
      </c>
      <c r="U1502" s="588">
        <v>2015</v>
      </c>
      <c r="V1502" s="589"/>
      <c r="W1502" s="589"/>
      <c r="X1502" s="589"/>
      <c r="Y1502" s="589"/>
      <c r="Z1502" s="589"/>
      <c r="AA1502" s="589"/>
      <c r="AB1502" s="589"/>
      <c r="AC1502" s="589"/>
      <c r="AD1502" s="589"/>
      <c r="AE1502" s="589"/>
      <c r="AF1502" s="589"/>
      <c r="AG1502" s="589"/>
      <c r="AH1502" s="589"/>
      <c r="AI1502" s="589"/>
      <c r="AJ1502" s="589"/>
      <c r="AK1502" s="589"/>
      <c r="AL1502" s="589"/>
      <c r="AM1502" s="589"/>
      <c r="AN1502" s="589"/>
      <c r="AO1502" s="589"/>
      <c r="AP1502" s="589"/>
      <c r="AQ1502" s="589"/>
      <c r="AR1502" s="589"/>
      <c r="AS1502" s="589"/>
    </row>
    <row r="1503" spans="1:45" ht="15">
      <c r="A1503" s="590" t="s">
        <v>153</v>
      </c>
      <c r="B1503" s="591" t="s">
        <v>420</v>
      </c>
      <c r="C1503" s="591" t="s">
        <v>812</v>
      </c>
      <c r="D1503" s="592">
        <v>2017</v>
      </c>
      <c r="E1503" s="591" t="s">
        <v>775</v>
      </c>
      <c r="F1503" s="592">
        <v>428</v>
      </c>
      <c r="G1503" s="592">
        <v>93</v>
      </c>
      <c r="H1503" s="592">
        <v>93</v>
      </c>
      <c r="I1503" s="592">
        <v>0</v>
      </c>
      <c r="J1503" s="592">
        <v>263</v>
      </c>
      <c r="K1503" s="592">
        <v>21</v>
      </c>
      <c r="L1503" s="592">
        <v>21</v>
      </c>
      <c r="M1503" s="592">
        <v>0</v>
      </c>
      <c r="N1503" s="593">
        <v>283</v>
      </c>
      <c r="O1503" s="593">
        <v>8</v>
      </c>
      <c r="P1503" s="593">
        <v>700</v>
      </c>
      <c r="Q1503" s="593">
        <v>569</v>
      </c>
      <c r="R1503" s="593">
        <v>1674</v>
      </c>
      <c r="S1503" s="593">
        <v>691</v>
      </c>
      <c r="T1503" s="593">
        <v>2017</v>
      </c>
      <c r="U1503" s="593">
        <v>2014</v>
      </c>
      <c r="V1503" s="589"/>
      <c r="W1503" s="589"/>
      <c r="X1503" s="589"/>
      <c r="Y1503" s="589"/>
      <c r="Z1503" s="589"/>
      <c r="AA1503" s="589"/>
      <c r="AB1503" s="589"/>
      <c r="AC1503" s="589"/>
      <c r="AD1503" s="589"/>
      <c r="AE1503" s="589"/>
      <c r="AF1503" s="589"/>
      <c r="AG1503" s="589"/>
      <c r="AH1503" s="589"/>
      <c r="AI1503" s="589"/>
      <c r="AJ1503" s="589"/>
      <c r="AK1503" s="589"/>
      <c r="AL1503" s="589"/>
      <c r="AM1503" s="589"/>
      <c r="AN1503" s="589"/>
      <c r="AO1503" s="589"/>
      <c r="AP1503" s="589"/>
      <c r="AQ1503" s="589"/>
      <c r="AR1503" s="589"/>
      <c r="AS1503" s="589"/>
    </row>
    <row r="1504" spans="1:45" ht="15">
      <c r="A1504" s="587" t="s">
        <v>201</v>
      </c>
      <c r="B1504" s="587" t="s">
        <v>737</v>
      </c>
      <c r="C1504" s="587" t="s">
        <v>812</v>
      </c>
      <c r="D1504" s="588">
        <v>2017</v>
      </c>
      <c r="E1504" s="587" t="s">
        <v>775</v>
      </c>
      <c r="F1504" s="588">
        <v>288</v>
      </c>
      <c r="G1504" s="588">
        <v>0</v>
      </c>
      <c r="H1504" s="588">
        <v>0</v>
      </c>
      <c r="I1504" s="588">
        <v>0</v>
      </c>
      <c r="J1504" s="588">
        <v>201</v>
      </c>
      <c r="K1504" s="588">
        <v>10</v>
      </c>
      <c r="L1504" s="588">
        <v>10</v>
      </c>
      <c r="M1504" s="588">
        <v>0</v>
      </c>
      <c r="N1504" s="588">
        <v>241</v>
      </c>
      <c r="O1504" s="588">
        <v>6</v>
      </c>
      <c r="P1504" s="588">
        <v>555</v>
      </c>
      <c r="Q1504" s="588">
        <v>1</v>
      </c>
      <c r="R1504" s="588">
        <v>1285</v>
      </c>
      <c r="S1504" s="588">
        <v>17</v>
      </c>
      <c r="T1504" s="588">
        <v>2017</v>
      </c>
      <c r="U1504" s="588">
        <v>2014</v>
      </c>
      <c r="V1504" s="589"/>
      <c r="W1504" s="589"/>
      <c r="X1504" s="589"/>
      <c r="Y1504" s="589"/>
      <c r="Z1504" s="589"/>
      <c r="AA1504" s="589"/>
      <c r="AB1504" s="589"/>
      <c r="AC1504" s="589"/>
      <c r="AD1504" s="589"/>
      <c r="AE1504" s="589"/>
      <c r="AF1504" s="589"/>
      <c r="AG1504" s="589"/>
      <c r="AH1504" s="589"/>
      <c r="AI1504" s="589"/>
      <c r="AJ1504" s="589"/>
      <c r="AK1504" s="589"/>
      <c r="AL1504" s="589"/>
      <c r="AM1504" s="589"/>
      <c r="AN1504" s="589"/>
      <c r="AO1504" s="589"/>
      <c r="AP1504" s="589"/>
      <c r="AQ1504" s="589"/>
      <c r="AR1504" s="589"/>
      <c r="AS1504" s="589"/>
    </row>
    <row r="1505" spans="1:45" ht="15">
      <c r="A1505" s="590" t="s">
        <v>193</v>
      </c>
      <c r="B1505" s="591" t="s">
        <v>699</v>
      </c>
      <c r="C1505" s="591" t="s">
        <v>774</v>
      </c>
      <c r="D1505" s="592">
        <v>2017</v>
      </c>
      <c r="E1505" s="591" t="s">
        <v>775</v>
      </c>
      <c r="F1505" s="592">
        <v>1041</v>
      </c>
      <c r="G1505" s="592">
        <v>56</v>
      </c>
      <c r="H1505" s="592">
        <v>56</v>
      </c>
      <c r="I1505" s="592">
        <v>0</v>
      </c>
      <c r="J1505" s="592">
        <v>671</v>
      </c>
      <c r="K1505" s="592">
        <v>22</v>
      </c>
      <c r="L1505" s="592">
        <v>22</v>
      </c>
      <c r="M1505" s="592">
        <v>0</v>
      </c>
      <c r="N1505" s="593">
        <v>759</v>
      </c>
      <c r="O1505" s="593">
        <v>16</v>
      </c>
      <c r="P1505" s="593">
        <v>2612</v>
      </c>
      <c r="Q1505" s="593">
        <v>251</v>
      </c>
      <c r="R1505" s="593">
        <v>5083</v>
      </c>
      <c r="S1505" s="593">
        <v>345</v>
      </c>
      <c r="T1505" s="593">
        <v>2017</v>
      </c>
      <c r="U1505" s="593">
        <v>2015</v>
      </c>
      <c r="V1505" s="589"/>
      <c r="W1505" s="589"/>
      <c r="X1505" s="589"/>
      <c r="Y1505" s="589"/>
      <c r="Z1505" s="589"/>
      <c r="AA1505" s="589"/>
      <c r="AB1505" s="589"/>
      <c r="AC1505" s="589"/>
      <c r="AD1505" s="589"/>
      <c r="AE1505" s="589"/>
      <c r="AF1505" s="589"/>
      <c r="AG1505" s="589"/>
      <c r="AH1505" s="589"/>
      <c r="AI1505" s="589"/>
      <c r="AJ1505" s="589"/>
      <c r="AK1505" s="589"/>
      <c r="AL1505" s="589"/>
      <c r="AM1505" s="589"/>
      <c r="AN1505" s="589"/>
      <c r="AO1505" s="589"/>
      <c r="AP1505" s="589"/>
      <c r="AQ1505" s="589"/>
      <c r="AR1505" s="589"/>
      <c r="AS1505" s="589"/>
    </row>
    <row r="1506" spans="1:45" ht="15">
      <c r="A1506" s="587" t="s">
        <v>179</v>
      </c>
      <c r="B1506" s="587" t="s">
        <v>605</v>
      </c>
      <c r="C1506" s="587" t="s">
        <v>855</v>
      </c>
      <c r="D1506" s="588">
        <v>2017</v>
      </c>
      <c r="E1506" s="587" t="s">
        <v>775</v>
      </c>
      <c r="F1506" s="588">
        <v>914</v>
      </c>
      <c r="G1506" s="588">
        <v>0</v>
      </c>
      <c r="H1506" s="588">
        <v>0</v>
      </c>
      <c r="I1506" s="588">
        <v>0</v>
      </c>
      <c r="J1506" s="588">
        <v>694</v>
      </c>
      <c r="K1506" s="588">
        <v>0</v>
      </c>
      <c r="L1506" s="588">
        <v>0</v>
      </c>
      <c r="M1506" s="588">
        <v>0</v>
      </c>
      <c r="N1506" s="588">
        <v>642</v>
      </c>
      <c r="O1506" s="588">
        <v>16</v>
      </c>
      <c r="P1506" s="588">
        <v>1410</v>
      </c>
      <c r="Q1506" s="588">
        <v>128</v>
      </c>
      <c r="R1506" s="588">
        <v>3660</v>
      </c>
      <c r="S1506" s="588">
        <v>144</v>
      </c>
      <c r="T1506" s="588">
        <v>2017</v>
      </c>
      <c r="U1506" s="588">
        <v>2013</v>
      </c>
      <c r="V1506" s="589"/>
      <c r="W1506" s="589"/>
      <c r="X1506" s="589"/>
      <c r="Y1506" s="589"/>
      <c r="Z1506" s="589"/>
      <c r="AA1506" s="589"/>
      <c r="AB1506" s="589"/>
      <c r="AC1506" s="589"/>
      <c r="AD1506" s="589"/>
      <c r="AE1506" s="589"/>
      <c r="AF1506" s="589"/>
      <c r="AG1506" s="589"/>
      <c r="AH1506" s="589"/>
      <c r="AI1506" s="589"/>
      <c r="AJ1506" s="589"/>
      <c r="AK1506" s="589"/>
      <c r="AL1506" s="589"/>
      <c r="AM1506" s="589"/>
      <c r="AN1506" s="589"/>
      <c r="AO1506" s="589"/>
      <c r="AP1506" s="589"/>
      <c r="AQ1506" s="589"/>
      <c r="AR1506" s="589"/>
      <c r="AS1506" s="589"/>
    </row>
    <row r="1507" spans="1:45" ht="15">
      <c r="A1507" s="590" t="s">
        <v>187</v>
      </c>
      <c r="B1507" s="591" t="s">
        <v>664</v>
      </c>
      <c r="C1507" s="591" t="s">
        <v>774</v>
      </c>
      <c r="D1507" s="592">
        <v>2017</v>
      </c>
      <c r="E1507" s="591" t="s">
        <v>775</v>
      </c>
      <c r="F1507" s="592">
        <v>147</v>
      </c>
      <c r="G1507" s="592">
        <v>0</v>
      </c>
      <c r="H1507" s="592">
        <v>0</v>
      </c>
      <c r="I1507" s="592">
        <v>0</v>
      </c>
      <c r="J1507" s="592">
        <v>95</v>
      </c>
      <c r="K1507" s="592">
        <v>14</v>
      </c>
      <c r="L1507" s="592">
        <v>14</v>
      </c>
      <c r="M1507" s="592">
        <v>0</v>
      </c>
      <c r="N1507" s="593">
        <v>104</v>
      </c>
      <c r="O1507" s="593">
        <v>4</v>
      </c>
      <c r="P1507" s="593">
        <v>93</v>
      </c>
      <c r="Q1507" s="593">
        <v>7</v>
      </c>
      <c r="R1507" s="593">
        <v>439</v>
      </c>
      <c r="S1507" s="593">
        <v>25</v>
      </c>
      <c r="T1507" s="593">
        <v>2017</v>
      </c>
      <c r="U1507" s="593">
        <v>2015</v>
      </c>
      <c r="V1507" s="589"/>
      <c r="W1507" s="589"/>
      <c r="X1507" s="589"/>
      <c r="Y1507" s="589"/>
      <c r="Z1507" s="589"/>
      <c r="AA1507" s="589"/>
      <c r="AB1507" s="589"/>
      <c r="AC1507" s="589"/>
      <c r="AD1507" s="589"/>
      <c r="AE1507" s="589"/>
      <c r="AF1507" s="589"/>
      <c r="AG1507" s="589"/>
      <c r="AH1507" s="589"/>
      <c r="AI1507" s="589"/>
      <c r="AJ1507" s="589"/>
      <c r="AK1507" s="589"/>
      <c r="AL1507" s="589"/>
      <c r="AM1507" s="589"/>
      <c r="AN1507" s="589"/>
      <c r="AO1507" s="589"/>
      <c r="AP1507" s="589"/>
      <c r="AQ1507" s="589"/>
      <c r="AR1507" s="589"/>
      <c r="AS1507" s="589"/>
    </row>
    <row r="1508" spans="1:45" ht="15">
      <c r="A1508" s="587" t="s">
        <v>157</v>
      </c>
      <c r="B1508" s="587" t="s">
        <v>446</v>
      </c>
      <c r="C1508" s="587" t="s">
        <v>774</v>
      </c>
      <c r="D1508" s="588">
        <v>2017</v>
      </c>
      <c r="E1508" s="587" t="s">
        <v>775</v>
      </c>
      <c r="F1508" s="588">
        <v>26</v>
      </c>
      <c r="G1508" s="588">
        <v>1</v>
      </c>
      <c r="H1508" s="588">
        <v>1</v>
      </c>
      <c r="I1508" s="588">
        <v>0</v>
      </c>
      <c r="J1508" s="588">
        <v>14</v>
      </c>
      <c r="K1508" s="588">
        <v>2</v>
      </c>
      <c r="L1508" s="588">
        <v>0</v>
      </c>
      <c r="M1508" s="588">
        <v>2</v>
      </c>
      <c r="N1508" s="588">
        <v>16</v>
      </c>
      <c r="O1508" s="588">
        <v>1</v>
      </c>
      <c r="P1508" s="588">
        <v>23</v>
      </c>
      <c r="Q1508" s="588">
        <v>1</v>
      </c>
      <c r="R1508" s="588">
        <v>79</v>
      </c>
      <c r="S1508" s="588">
        <v>5</v>
      </c>
      <c r="T1508" s="588">
        <v>2017</v>
      </c>
      <c r="U1508" s="588">
        <v>2015</v>
      </c>
      <c r="V1508" s="589"/>
      <c r="W1508" s="589"/>
      <c r="X1508" s="589"/>
      <c r="Y1508" s="589"/>
      <c r="Z1508" s="589"/>
      <c r="AA1508" s="589"/>
      <c r="AB1508" s="589"/>
      <c r="AC1508" s="589"/>
      <c r="AD1508" s="589"/>
      <c r="AE1508" s="589"/>
      <c r="AF1508" s="589"/>
      <c r="AG1508" s="589"/>
      <c r="AH1508" s="589"/>
      <c r="AI1508" s="589"/>
      <c r="AJ1508" s="589"/>
      <c r="AK1508" s="589"/>
      <c r="AL1508" s="589"/>
      <c r="AM1508" s="589"/>
      <c r="AN1508" s="589"/>
      <c r="AO1508" s="589"/>
      <c r="AP1508" s="589"/>
      <c r="AQ1508" s="589"/>
      <c r="AR1508" s="589"/>
      <c r="AS1508" s="589"/>
    </row>
    <row r="1509" spans="1:45" ht="15">
      <c r="A1509" s="590" t="s">
        <v>188</v>
      </c>
      <c r="B1509" s="591" t="s">
        <v>668</v>
      </c>
      <c r="C1509" s="591" t="s">
        <v>177</v>
      </c>
      <c r="D1509" s="592">
        <v>2017</v>
      </c>
      <c r="E1509" s="591" t="s">
        <v>775</v>
      </c>
      <c r="F1509" s="592">
        <v>34</v>
      </c>
      <c r="G1509" s="592">
        <v>0</v>
      </c>
      <c r="H1509" s="592">
        <v>0</v>
      </c>
      <c r="I1509" s="592">
        <v>0</v>
      </c>
      <c r="J1509" s="592">
        <v>22</v>
      </c>
      <c r="K1509" s="592">
        <v>3</v>
      </c>
      <c r="L1509" s="592">
        <v>3</v>
      </c>
      <c r="M1509" s="592">
        <v>0</v>
      </c>
      <c r="N1509" s="593">
        <v>26</v>
      </c>
      <c r="O1509" s="593">
        <v>4</v>
      </c>
      <c r="P1509" s="593">
        <v>58</v>
      </c>
      <c r="Q1509" s="593">
        <v>38</v>
      </c>
      <c r="R1509" s="593">
        <v>140</v>
      </c>
      <c r="S1509" s="593">
        <v>45</v>
      </c>
      <c r="T1509" s="593">
        <v>2017</v>
      </c>
      <c r="U1509" s="593">
        <v>2016</v>
      </c>
      <c r="V1509" s="589"/>
      <c r="W1509" s="589"/>
      <c r="X1509" s="589"/>
      <c r="Y1509" s="589"/>
      <c r="Z1509" s="589"/>
      <c r="AA1509" s="589"/>
      <c r="AB1509" s="589"/>
      <c r="AC1509" s="589"/>
      <c r="AD1509" s="589"/>
      <c r="AE1509" s="589"/>
      <c r="AF1509" s="589"/>
      <c r="AG1509" s="589"/>
      <c r="AH1509" s="589"/>
      <c r="AI1509" s="589"/>
      <c r="AJ1509" s="589"/>
      <c r="AK1509" s="589"/>
      <c r="AL1509" s="589"/>
      <c r="AM1509" s="589"/>
      <c r="AN1509" s="589"/>
      <c r="AO1509" s="589"/>
      <c r="AP1509" s="589"/>
      <c r="AQ1509" s="589"/>
      <c r="AR1509" s="589"/>
      <c r="AS1509" s="589"/>
    </row>
    <row r="1510" spans="1:45" ht="15">
      <c r="A1510" s="587" t="s">
        <v>164</v>
      </c>
      <c r="B1510" s="587" t="s">
        <v>474</v>
      </c>
      <c r="C1510" s="587" t="s">
        <v>177</v>
      </c>
      <c r="D1510" s="588">
        <v>2017</v>
      </c>
      <c r="E1510" s="587" t="s">
        <v>775</v>
      </c>
      <c r="F1510" s="588">
        <v>95</v>
      </c>
      <c r="G1510" s="588">
        <v>0</v>
      </c>
      <c r="H1510" s="588">
        <v>0</v>
      </c>
      <c r="I1510" s="588">
        <v>0</v>
      </c>
      <c r="J1510" s="588">
        <v>62</v>
      </c>
      <c r="K1510" s="588">
        <v>0</v>
      </c>
      <c r="L1510" s="588">
        <v>0</v>
      </c>
      <c r="M1510" s="588">
        <v>0</v>
      </c>
      <c r="N1510" s="588">
        <v>72</v>
      </c>
      <c r="O1510" s="588">
        <v>1</v>
      </c>
      <c r="P1510" s="588">
        <v>164</v>
      </c>
      <c r="Q1510" s="588">
        <v>0</v>
      </c>
      <c r="R1510" s="588">
        <v>393</v>
      </c>
      <c r="S1510" s="588">
        <v>1</v>
      </c>
      <c r="T1510" s="588">
        <v>2017</v>
      </c>
      <c r="U1510" s="588">
        <v>2016</v>
      </c>
      <c r="V1510" s="589"/>
      <c r="W1510" s="589"/>
      <c r="X1510" s="589"/>
      <c r="Y1510" s="589"/>
      <c r="Z1510" s="589"/>
      <c r="AA1510" s="589"/>
      <c r="AB1510" s="589"/>
      <c r="AC1510" s="589"/>
      <c r="AD1510" s="589"/>
      <c r="AE1510" s="589"/>
      <c r="AF1510" s="589"/>
      <c r="AG1510" s="589"/>
      <c r="AH1510" s="589"/>
      <c r="AI1510" s="589"/>
      <c r="AJ1510" s="589"/>
      <c r="AK1510" s="589"/>
      <c r="AL1510" s="589"/>
      <c r="AM1510" s="589"/>
      <c r="AN1510" s="589"/>
      <c r="AO1510" s="589"/>
      <c r="AP1510" s="589"/>
      <c r="AQ1510" s="589"/>
      <c r="AR1510" s="589"/>
      <c r="AS1510" s="589"/>
    </row>
    <row r="1511" spans="1:45" ht="15">
      <c r="A1511" s="590" t="s">
        <v>193</v>
      </c>
      <c r="B1511" s="591" t="s">
        <v>700</v>
      </c>
      <c r="C1511" s="591" t="s">
        <v>774</v>
      </c>
      <c r="D1511" s="592">
        <v>2017</v>
      </c>
      <c r="E1511" s="591" t="s">
        <v>775</v>
      </c>
      <c r="F1511" s="592">
        <v>22</v>
      </c>
      <c r="G1511" s="592">
        <v>0</v>
      </c>
      <c r="H1511" s="592">
        <v>0</v>
      </c>
      <c r="I1511" s="592">
        <v>0</v>
      </c>
      <c r="J1511" s="592">
        <v>17</v>
      </c>
      <c r="K1511" s="592">
        <v>2</v>
      </c>
      <c r="L1511" s="592">
        <v>2</v>
      </c>
      <c r="M1511" s="592">
        <v>0</v>
      </c>
      <c r="N1511" s="593">
        <v>19</v>
      </c>
      <c r="O1511" s="593">
        <v>5</v>
      </c>
      <c r="P1511" s="593">
        <v>62</v>
      </c>
      <c r="Q1511" s="593">
        <v>11</v>
      </c>
      <c r="R1511" s="593">
        <v>120</v>
      </c>
      <c r="S1511" s="593">
        <v>18</v>
      </c>
      <c r="T1511" s="593">
        <v>2017</v>
      </c>
      <c r="U1511" s="593">
        <v>2015</v>
      </c>
      <c r="V1511" s="589"/>
      <c r="W1511" s="589"/>
      <c r="X1511" s="589"/>
      <c r="Y1511" s="589"/>
      <c r="Z1511" s="589"/>
      <c r="AA1511" s="589"/>
      <c r="AB1511" s="589"/>
      <c r="AC1511" s="589"/>
      <c r="AD1511" s="589"/>
      <c r="AE1511" s="589"/>
      <c r="AF1511" s="589"/>
      <c r="AG1511" s="589"/>
      <c r="AH1511" s="589"/>
      <c r="AI1511" s="589"/>
      <c r="AJ1511" s="589"/>
      <c r="AK1511" s="589"/>
      <c r="AL1511" s="589"/>
      <c r="AM1511" s="589"/>
      <c r="AN1511" s="589"/>
      <c r="AO1511" s="589"/>
      <c r="AP1511" s="589"/>
      <c r="AQ1511" s="589"/>
      <c r="AR1511" s="589"/>
      <c r="AS1511" s="589"/>
    </row>
    <row r="1512" spans="1:45" ht="15">
      <c r="A1512" s="587" t="s">
        <v>141</v>
      </c>
      <c r="B1512" s="587" t="s">
        <v>303</v>
      </c>
      <c r="C1512" s="587" t="s">
        <v>177</v>
      </c>
      <c r="D1512" s="588">
        <v>2017</v>
      </c>
      <c r="E1512" s="587" t="s">
        <v>775</v>
      </c>
      <c r="F1512" s="588">
        <v>140</v>
      </c>
      <c r="G1512" s="588">
        <v>0</v>
      </c>
      <c r="H1512" s="588">
        <v>0</v>
      </c>
      <c r="I1512" s="588">
        <v>0</v>
      </c>
      <c r="J1512" s="588">
        <v>115</v>
      </c>
      <c r="K1512" s="588">
        <v>0</v>
      </c>
      <c r="L1512" s="588">
        <v>0</v>
      </c>
      <c r="M1512" s="588">
        <v>0</v>
      </c>
      <c r="N1512" s="588">
        <v>69</v>
      </c>
      <c r="O1512" s="588">
        <v>5</v>
      </c>
      <c r="P1512" s="588">
        <v>281</v>
      </c>
      <c r="Q1512" s="588">
        <v>2</v>
      </c>
      <c r="R1512" s="588">
        <v>605</v>
      </c>
      <c r="S1512" s="588">
        <v>7</v>
      </c>
      <c r="T1512" s="588">
        <v>2017</v>
      </c>
      <c r="U1512" s="588">
        <v>2016</v>
      </c>
      <c r="V1512" s="589"/>
      <c r="W1512" s="589"/>
      <c r="X1512" s="589"/>
      <c r="Y1512" s="589"/>
      <c r="Z1512" s="589"/>
      <c r="AA1512" s="589"/>
      <c r="AB1512" s="589"/>
      <c r="AC1512" s="589"/>
      <c r="AD1512" s="589"/>
      <c r="AE1512" s="589"/>
      <c r="AF1512" s="589"/>
      <c r="AG1512" s="589"/>
      <c r="AH1512" s="589"/>
      <c r="AI1512" s="589"/>
      <c r="AJ1512" s="589"/>
      <c r="AK1512" s="589"/>
      <c r="AL1512" s="589"/>
      <c r="AM1512" s="589"/>
      <c r="AN1512" s="589"/>
      <c r="AO1512" s="589"/>
      <c r="AP1512" s="589"/>
      <c r="AQ1512" s="589"/>
      <c r="AR1512" s="589"/>
      <c r="AS1512" s="589"/>
    </row>
    <row r="1513" spans="1:45" ht="15">
      <c r="A1513" s="590" t="s">
        <v>189</v>
      </c>
      <c r="B1513" s="591" t="s">
        <v>672</v>
      </c>
      <c r="C1513" s="591" t="s">
        <v>784</v>
      </c>
      <c r="D1513" s="592">
        <v>2017</v>
      </c>
      <c r="E1513" s="591" t="s">
        <v>775</v>
      </c>
      <c r="F1513" s="592">
        <v>189</v>
      </c>
      <c r="G1513" s="592">
        <v>4</v>
      </c>
      <c r="H1513" s="592">
        <v>0</v>
      </c>
      <c r="I1513" s="592">
        <v>4</v>
      </c>
      <c r="J1513" s="592">
        <v>117</v>
      </c>
      <c r="K1513" s="592">
        <v>9</v>
      </c>
      <c r="L1513" s="592">
        <v>0</v>
      </c>
      <c r="M1513" s="592">
        <v>9</v>
      </c>
      <c r="N1513" s="593">
        <v>128</v>
      </c>
      <c r="O1513" s="593">
        <v>132</v>
      </c>
      <c r="P1513" s="593">
        <v>321</v>
      </c>
      <c r="Q1513" s="593">
        <v>1</v>
      </c>
      <c r="R1513" s="593">
        <v>755</v>
      </c>
      <c r="S1513" s="593">
        <v>146</v>
      </c>
      <c r="T1513" s="593">
        <v>2017</v>
      </c>
      <c r="U1513" s="593">
        <v>2014</v>
      </c>
      <c r="V1513" s="589"/>
      <c r="W1513" s="589"/>
      <c r="X1513" s="589"/>
      <c r="Y1513" s="589"/>
      <c r="Z1513" s="589"/>
      <c r="AA1513" s="589"/>
      <c r="AB1513" s="589"/>
      <c r="AC1513" s="589"/>
      <c r="AD1513" s="589"/>
      <c r="AE1513" s="589"/>
      <c r="AF1513" s="589"/>
      <c r="AG1513" s="589"/>
      <c r="AH1513" s="589"/>
      <c r="AI1513" s="589"/>
      <c r="AJ1513" s="589"/>
      <c r="AK1513" s="589"/>
      <c r="AL1513" s="589"/>
      <c r="AM1513" s="589"/>
      <c r="AN1513" s="589"/>
      <c r="AO1513" s="589"/>
      <c r="AP1513" s="589"/>
      <c r="AQ1513" s="589"/>
      <c r="AR1513" s="589"/>
      <c r="AS1513" s="589"/>
    </row>
    <row r="1514" spans="1:45" ht="15">
      <c r="A1514" s="587" t="s">
        <v>189</v>
      </c>
      <c r="B1514" s="587" t="s">
        <v>673</v>
      </c>
      <c r="C1514" s="587" t="s">
        <v>784</v>
      </c>
      <c r="D1514" s="588">
        <v>2017</v>
      </c>
      <c r="E1514" s="587" t="s">
        <v>775</v>
      </c>
      <c r="F1514" s="588">
        <v>32</v>
      </c>
      <c r="G1514" s="588">
        <v>0</v>
      </c>
      <c r="H1514" s="588">
        <v>0</v>
      </c>
      <c r="I1514" s="588">
        <v>0</v>
      </c>
      <c r="J1514" s="588">
        <v>21</v>
      </c>
      <c r="K1514" s="588">
        <v>4</v>
      </c>
      <c r="L1514" s="588">
        <v>1</v>
      </c>
      <c r="M1514" s="588">
        <v>3</v>
      </c>
      <c r="N1514" s="588">
        <v>23</v>
      </c>
      <c r="O1514" s="588">
        <v>29</v>
      </c>
      <c r="P1514" s="588">
        <v>58</v>
      </c>
      <c r="Q1514" s="588">
        <v>2</v>
      </c>
      <c r="R1514" s="588">
        <v>134</v>
      </c>
      <c r="S1514" s="588">
        <v>35</v>
      </c>
      <c r="T1514" s="588">
        <v>2017</v>
      </c>
      <c r="U1514" s="588">
        <v>2014</v>
      </c>
      <c r="V1514" s="589"/>
      <c r="W1514" s="589"/>
      <c r="X1514" s="589"/>
      <c r="Y1514" s="589"/>
      <c r="Z1514" s="589"/>
      <c r="AA1514" s="589"/>
      <c r="AB1514" s="589"/>
      <c r="AC1514" s="589"/>
      <c r="AD1514" s="589"/>
      <c r="AE1514" s="589"/>
      <c r="AF1514" s="589"/>
      <c r="AG1514" s="589"/>
      <c r="AH1514" s="589"/>
      <c r="AI1514" s="589"/>
      <c r="AJ1514" s="589"/>
      <c r="AK1514" s="589"/>
      <c r="AL1514" s="589"/>
      <c r="AM1514" s="589"/>
      <c r="AN1514" s="589"/>
      <c r="AO1514" s="589"/>
      <c r="AP1514" s="589"/>
      <c r="AQ1514" s="589"/>
      <c r="AR1514" s="589"/>
      <c r="AS1514" s="589"/>
    </row>
    <row r="1515" spans="1:45" ht="15">
      <c r="A1515" s="590" t="s">
        <v>153</v>
      </c>
      <c r="B1515" s="591" t="s">
        <v>421</v>
      </c>
      <c r="C1515" s="591" t="s">
        <v>812</v>
      </c>
      <c r="D1515" s="592">
        <v>2017</v>
      </c>
      <c r="E1515" s="591" t="s">
        <v>775</v>
      </c>
      <c r="F1515" s="592">
        <v>14</v>
      </c>
      <c r="G1515" s="592">
        <v>0</v>
      </c>
      <c r="H1515" s="592">
        <v>0</v>
      </c>
      <c r="I1515" s="592">
        <v>0</v>
      </c>
      <c r="J1515" s="592">
        <v>9</v>
      </c>
      <c r="K1515" s="592">
        <v>1</v>
      </c>
      <c r="L1515" s="592">
        <v>0</v>
      </c>
      <c r="M1515" s="592">
        <v>1</v>
      </c>
      <c r="N1515" s="593">
        <v>9</v>
      </c>
      <c r="O1515" s="593">
        <v>3</v>
      </c>
      <c r="P1515" s="593">
        <v>23</v>
      </c>
      <c r="Q1515" s="593">
        <v>0</v>
      </c>
      <c r="R1515" s="593">
        <v>55</v>
      </c>
      <c r="S1515" s="593">
        <v>4</v>
      </c>
      <c r="T1515" s="593">
        <v>2017</v>
      </c>
      <c r="U1515" s="593">
        <v>2014</v>
      </c>
      <c r="V1515" s="589"/>
      <c r="W1515" s="589"/>
      <c r="X1515" s="589"/>
      <c r="Y1515" s="589"/>
      <c r="Z1515" s="589"/>
      <c r="AA1515" s="589"/>
      <c r="AB1515" s="589"/>
      <c r="AC1515" s="589"/>
      <c r="AD1515" s="589"/>
      <c r="AE1515" s="589"/>
      <c r="AF1515" s="589"/>
      <c r="AG1515" s="589"/>
      <c r="AH1515" s="589"/>
      <c r="AI1515" s="589"/>
      <c r="AJ1515" s="589"/>
      <c r="AK1515" s="589"/>
      <c r="AL1515" s="589"/>
      <c r="AM1515" s="589"/>
      <c r="AN1515" s="589"/>
      <c r="AO1515" s="589"/>
      <c r="AP1515" s="589"/>
      <c r="AQ1515" s="589"/>
      <c r="AR1515" s="589"/>
      <c r="AS1515" s="589"/>
    </row>
    <row r="1516" spans="1:45" ht="15">
      <c r="A1516" s="587" t="s">
        <v>153</v>
      </c>
      <c r="B1516" s="587" t="s">
        <v>422</v>
      </c>
      <c r="C1516" s="587" t="s">
        <v>812</v>
      </c>
      <c r="D1516" s="588">
        <v>2017</v>
      </c>
      <c r="E1516" s="587" t="s">
        <v>775</v>
      </c>
      <c r="F1516" s="588">
        <v>44</v>
      </c>
      <c r="G1516" s="588">
        <v>0</v>
      </c>
      <c r="H1516" s="588">
        <v>0</v>
      </c>
      <c r="I1516" s="588">
        <v>0</v>
      </c>
      <c r="J1516" s="588">
        <v>27</v>
      </c>
      <c r="K1516" s="588">
        <v>0</v>
      </c>
      <c r="L1516" s="588">
        <v>0</v>
      </c>
      <c r="M1516" s="588">
        <v>0</v>
      </c>
      <c r="N1516" s="588">
        <v>28</v>
      </c>
      <c r="O1516" s="588">
        <v>0</v>
      </c>
      <c r="P1516" s="588">
        <v>70</v>
      </c>
      <c r="Q1516" s="588">
        <v>24</v>
      </c>
      <c r="R1516" s="588">
        <v>169</v>
      </c>
      <c r="S1516" s="588">
        <v>24</v>
      </c>
      <c r="T1516" s="588">
        <v>2017</v>
      </c>
      <c r="U1516" s="588">
        <v>2014</v>
      </c>
      <c r="V1516" s="589"/>
      <c r="W1516" s="589"/>
      <c r="X1516" s="589"/>
      <c r="Y1516" s="589"/>
      <c r="Z1516" s="589"/>
      <c r="AA1516" s="589"/>
      <c r="AB1516" s="589"/>
      <c r="AC1516" s="589"/>
      <c r="AD1516" s="589"/>
      <c r="AE1516" s="589"/>
      <c r="AF1516" s="589"/>
      <c r="AG1516" s="589"/>
      <c r="AH1516" s="589"/>
      <c r="AI1516" s="589"/>
      <c r="AJ1516" s="589"/>
      <c r="AK1516" s="589"/>
      <c r="AL1516" s="589"/>
      <c r="AM1516" s="589"/>
      <c r="AN1516" s="589"/>
      <c r="AO1516" s="589"/>
      <c r="AP1516" s="589"/>
      <c r="AQ1516" s="589"/>
      <c r="AR1516" s="589"/>
      <c r="AS1516" s="589"/>
    </row>
    <row r="1517" spans="1:45" ht="15">
      <c r="A1517" s="590" t="s">
        <v>201</v>
      </c>
      <c r="B1517" s="591" t="s">
        <v>738</v>
      </c>
      <c r="C1517" s="591" t="s">
        <v>812</v>
      </c>
      <c r="D1517" s="592">
        <v>2017</v>
      </c>
      <c r="E1517" s="591" t="s">
        <v>775</v>
      </c>
      <c r="F1517" s="592">
        <v>310</v>
      </c>
      <c r="G1517" s="592">
        <v>30</v>
      </c>
      <c r="H1517" s="592">
        <v>30</v>
      </c>
      <c r="I1517" s="592">
        <v>0</v>
      </c>
      <c r="J1517" s="592">
        <v>208</v>
      </c>
      <c r="K1517" s="592">
        <v>0</v>
      </c>
      <c r="L1517" s="592">
        <v>0</v>
      </c>
      <c r="M1517" s="592">
        <v>0</v>
      </c>
      <c r="N1517" s="593">
        <v>229</v>
      </c>
      <c r="O1517" s="593">
        <v>12</v>
      </c>
      <c r="P1517" s="593">
        <v>509</v>
      </c>
      <c r="Q1517" s="593">
        <v>59</v>
      </c>
      <c r="R1517" s="593">
        <v>1256</v>
      </c>
      <c r="S1517" s="593">
        <v>101</v>
      </c>
      <c r="T1517" s="593">
        <v>2017</v>
      </c>
      <c r="U1517" s="593">
        <v>2014</v>
      </c>
      <c r="V1517" s="589"/>
      <c r="W1517" s="589"/>
      <c r="X1517" s="589"/>
      <c r="Y1517" s="589"/>
      <c r="Z1517" s="589"/>
      <c r="AA1517" s="589"/>
      <c r="AB1517" s="589"/>
      <c r="AC1517" s="589"/>
      <c r="AD1517" s="589"/>
      <c r="AE1517" s="589"/>
      <c r="AF1517" s="589"/>
      <c r="AG1517" s="589"/>
      <c r="AH1517" s="589"/>
      <c r="AI1517" s="589"/>
      <c r="AJ1517" s="589"/>
      <c r="AK1517" s="589"/>
      <c r="AL1517" s="589"/>
      <c r="AM1517" s="589"/>
      <c r="AN1517" s="589"/>
      <c r="AO1517" s="589"/>
      <c r="AP1517" s="589"/>
      <c r="AQ1517" s="589"/>
      <c r="AR1517" s="589"/>
      <c r="AS1517" s="589"/>
    </row>
    <row r="1518" spans="1:45" ht="15">
      <c r="A1518" s="587" t="s">
        <v>179</v>
      </c>
      <c r="B1518" s="587" t="s">
        <v>606</v>
      </c>
      <c r="C1518" s="587" t="s">
        <v>855</v>
      </c>
      <c r="D1518" s="588">
        <v>2017</v>
      </c>
      <c r="E1518" s="587" t="s">
        <v>775</v>
      </c>
      <c r="F1518" s="588">
        <v>85</v>
      </c>
      <c r="G1518" s="588">
        <v>0</v>
      </c>
      <c r="H1518" s="588">
        <v>0</v>
      </c>
      <c r="I1518" s="588">
        <v>0</v>
      </c>
      <c r="J1518" s="588">
        <v>65</v>
      </c>
      <c r="K1518" s="588">
        <v>2</v>
      </c>
      <c r="L1518" s="588">
        <v>2</v>
      </c>
      <c r="M1518" s="588">
        <v>0</v>
      </c>
      <c r="N1518" s="588">
        <v>59</v>
      </c>
      <c r="O1518" s="588">
        <v>3</v>
      </c>
      <c r="P1518" s="588">
        <v>131</v>
      </c>
      <c r="Q1518" s="588">
        <v>12</v>
      </c>
      <c r="R1518" s="588">
        <v>340</v>
      </c>
      <c r="S1518" s="588">
        <v>17</v>
      </c>
      <c r="T1518" s="588">
        <v>2017</v>
      </c>
      <c r="U1518" s="588">
        <v>2013</v>
      </c>
      <c r="V1518" s="589"/>
      <c r="W1518" s="589"/>
      <c r="X1518" s="589"/>
      <c r="Y1518" s="589"/>
      <c r="Z1518" s="589"/>
      <c r="AA1518" s="589"/>
      <c r="AB1518" s="589"/>
      <c r="AC1518" s="589"/>
      <c r="AD1518" s="589"/>
      <c r="AE1518" s="589"/>
      <c r="AF1518" s="589"/>
      <c r="AG1518" s="589"/>
      <c r="AH1518" s="589"/>
      <c r="AI1518" s="589"/>
      <c r="AJ1518" s="589"/>
      <c r="AK1518" s="589"/>
      <c r="AL1518" s="589"/>
      <c r="AM1518" s="589"/>
      <c r="AN1518" s="589"/>
      <c r="AO1518" s="589"/>
      <c r="AP1518" s="589"/>
      <c r="AQ1518" s="589"/>
      <c r="AR1518" s="589"/>
      <c r="AS1518" s="589"/>
    </row>
    <row r="1519" spans="1:45" ht="15">
      <c r="A1519" s="590" t="s">
        <v>192</v>
      </c>
      <c r="B1519" s="591" t="s">
        <v>690</v>
      </c>
      <c r="C1519" s="591" t="s">
        <v>774</v>
      </c>
      <c r="D1519" s="592">
        <v>2017</v>
      </c>
      <c r="E1519" s="591" t="s">
        <v>775</v>
      </c>
      <c r="F1519" s="592">
        <v>26</v>
      </c>
      <c r="G1519" s="592">
        <v>0</v>
      </c>
      <c r="H1519" s="592">
        <v>0</v>
      </c>
      <c r="I1519" s="592">
        <v>0</v>
      </c>
      <c r="J1519" s="592">
        <v>15</v>
      </c>
      <c r="K1519" s="592">
        <v>6</v>
      </c>
      <c r="L1519" s="592">
        <v>0</v>
      </c>
      <c r="M1519" s="592">
        <v>6</v>
      </c>
      <c r="N1519" s="593">
        <v>19</v>
      </c>
      <c r="O1519" s="593">
        <v>5</v>
      </c>
      <c r="P1519" s="593">
        <v>43</v>
      </c>
      <c r="Q1519" s="593">
        <v>9</v>
      </c>
      <c r="R1519" s="593">
        <v>103</v>
      </c>
      <c r="S1519" s="593">
        <v>20</v>
      </c>
      <c r="T1519" s="593">
        <v>2017</v>
      </c>
      <c r="U1519" s="593">
        <v>2015</v>
      </c>
      <c r="V1519" s="589"/>
      <c r="W1519" s="589"/>
      <c r="X1519" s="589"/>
      <c r="Y1519" s="589"/>
      <c r="Z1519" s="589"/>
      <c r="AA1519" s="589"/>
      <c r="AB1519" s="589"/>
      <c r="AC1519" s="589"/>
      <c r="AD1519" s="589"/>
      <c r="AE1519" s="589"/>
      <c r="AF1519" s="589"/>
      <c r="AG1519" s="589"/>
      <c r="AH1519" s="589"/>
      <c r="AI1519" s="589"/>
      <c r="AJ1519" s="589"/>
      <c r="AK1519" s="589"/>
      <c r="AL1519" s="589"/>
      <c r="AM1519" s="589"/>
      <c r="AN1519" s="589"/>
      <c r="AO1519" s="589"/>
      <c r="AP1519" s="589"/>
      <c r="AQ1519" s="589"/>
      <c r="AR1519" s="589"/>
      <c r="AS1519" s="589"/>
    </row>
    <row r="1520" spans="1:45" ht="15">
      <c r="A1520" s="587" t="s">
        <v>164</v>
      </c>
      <c r="B1520" s="587" t="s">
        <v>475</v>
      </c>
      <c r="C1520" s="587" t="s">
        <v>177</v>
      </c>
      <c r="D1520" s="588">
        <v>2017</v>
      </c>
      <c r="E1520" s="587" t="s">
        <v>775</v>
      </c>
      <c r="F1520" s="588">
        <v>46</v>
      </c>
      <c r="G1520" s="588">
        <v>0</v>
      </c>
      <c r="H1520" s="588">
        <v>0</v>
      </c>
      <c r="I1520" s="588">
        <v>0</v>
      </c>
      <c r="J1520" s="588">
        <v>30</v>
      </c>
      <c r="K1520" s="588">
        <v>0</v>
      </c>
      <c r="L1520" s="588">
        <v>0</v>
      </c>
      <c r="M1520" s="588">
        <v>0</v>
      </c>
      <c r="N1520" s="588">
        <v>35</v>
      </c>
      <c r="O1520" s="588">
        <v>0</v>
      </c>
      <c r="P1520" s="588">
        <v>80</v>
      </c>
      <c r="Q1520" s="588">
        <v>79</v>
      </c>
      <c r="R1520" s="588">
        <v>191</v>
      </c>
      <c r="S1520" s="588">
        <v>79</v>
      </c>
      <c r="T1520" s="588">
        <v>2017</v>
      </c>
      <c r="U1520" s="588">
        <v>2016</v>
      </c>
      <c r="V1520" s="589"/>
      <c r="W1520" s="589"/>
      <c r="X1520" s="589"/>
      <c r="Y1520" s="589"/>
      <c r="Z1520" s="589"/>
      <c r="AA1520" s="589"/>
      <c r="AB1520" s="589"/>
      <c r="AC1520" s="589"/>
      <c r="AD1520" s="589"/>
      <c r="AE1520" s="589"/>
      <c r="AF1520" s="589"/>
      <c r="AG1520" s="589"/>
      <c r="AH1520" s="589"/>
      <c r="AI1520" s="589"/>
      <c r="AJ1520" s="589"/>
      <c r="AK1520" s="589"/>
      <c r="AL1520" s="589"/>
      <c r="AM1520" s="589"/>
      <c r="AN1520" s="589"/>
      <c r="AO1520" s="589"/>
      <c r="AP1520" s="589"/>
      <c r="AQ1520" s="589"/>
      <c r="AR1520" s="589"/>
      <c r="AS1520" s="589"/>
    </row>
    <row r="1521" spans="1:45" ht="15">
      <c r="A1521" s="590" t="s">
        <v>185</v>
      </c>
      <c r="B1521" s="591" t="s">
        <v>650</v>
      </c>
      <c r="C1521" s="591" t="s">
        <v>868</v>
      </c>
      <c r="D1521" s="592">
        <v>2017</v>
      </c>
      <c r="E1521" s="591" t="s">
        <v>775</v>
      </c>
      <c r="F1521" s="592">
        <v>42</v>
      </c>
      <c r="G1521" s="592">
        <v>0</v>
      </c>
      <c r="H1521" s="592">
        <v>0</v>
      </c>
      <c r="I1521" s="592">
        <v>0</v>
      </c>
      <c r="J1521" s="592">
        <v>28</v>
      </c>
      <c r="K1521" s="592">
        <v>0</v>
      </c>
      <c r="L1521" s="592">
        <v>0</v>
      </c>
      <c r="M1521" s="592">
        <v>0</v>
      </c>
      <c r="N1521" s="593">
        <v>30</v>
      </c>
      <c r="O1521" s="593">
        <v>1</v>
      </c>
      <c r="P1521" s="593">
        <v>75</v>
      </c>
      <c r="Q1521" s="593">
        <v>23</v>
      </c>
      <c r="R1521" s="593">
        <v>175</v>
      </c>
      <c r="S1521" s="593">
        <v>24</v>
      </c>
      <c r="T1521" s="593">
        <v>2017</v>
      </c>
      <c r="U1521" s="593">
        <v>2015</v>
      </c>
      <c r="V1521" s="589"/>
      <c r="W1521" s="589"/>
      <c r="X1521" s="589"/>
      <c r="Y1521" s="589"/>
      <c r="Z1521" s="589"/>
      <c r="AA1521" s="589"/>
      <c r="AB1521" s="589"/>
      <c r="AC1521" s="589"/>
      <c r="AD1521" s="589"/>
      <c r="AE1521" s="589"/>
      <c r="AF1521" s="589"/>
      <c r="AG1521" s="589"/>
      <c r="AH1521" s="589"/>
      <c r="AI1521" s="589"/>
      <c r="AJ1521" s="589"/>
      <c r="AK1521" s="589"/>
      <c r="AL1521" s="589"/>
      <c r="AM1521" s="589"/>
      <c r="AN1521" s="589"/>
      <c r="AO1521" s="589"/>
      <c r="AP1521" s="589"/>
      <c r="AQ1521" s="589"/>
      <c r="AR1521" s="589"/>
      <c r="AS1521" s="589"/>
    </row>
    <row r="1522" spans="1:45" ht="15">
      <c r="A1522" s="587" t="s">
        <v>193</v>
      </c>
      <c r="B1522" s="587" t="s">
        <v>193</v>
      </c>
      <c r="C1522" s="587" t="s">
        <v>774</v>
      </c>
      <c r="D1522" s="588">
        <v>2017</v>
      </c>
      <c r="E1522" s="587" t="s">
        <v>775</v>
      </c>
      <c r="F1522" s="588">
        <v>24</v>
      </c>
      <c r="G1522" s="588">
        <v>0</v>
      </c>
      <c r="H1522" s="588">
        <v>0</v>
      </c>
      <c r="I1522" s="588">
        <v>0</v>
      </c>
      <c r="J1522" s="588">
        <v>23</v>
      </c>
      <c r="K1522" s="588">
        <v>0</v>
      </c>
      <c r="L1522" s="588">
        <v>0</v>
      </c>
      <c r="M1522" s="588">
        <v>0</v>
      </c>
      <c r="N1522" s="588">
        <v>27</v>
      </c>
      <c r="O1522" s="588">
        <v>1</v>
      </c>
      <c r="P1522" s="588">
        <v>63</v>
      </c>
      <c r="Q1522" s="588">
        <v>9</v>
      </c>
      <c r="R1522" s="588">
        <v>137</v>
      </c>
      <c r="S1522" s="588">
        <v>10</v>
      </c>
      <c r="T1522" s="588">
        <v>2017</v>
      </c>
      <c r="U1522" s="588">
        <v>2015</v>
      </c>
      <c r="V1522" s="589"/>
      <c r="W1522" s="589"/>
      <c r="X1522" s="589"/>
      <c r="Y1522" s="589"/>
      <c r="Z1522" s="589"/>
      <c r="AA1522" s="589"/>
      <c r="AB1522" s="589"/>
      <c r="AC1522" s="589"/>
      <c r="AD1522" s="589"/>
      <c r="AE1522" s="589"/>
      <c r="AF1522" s="589"/>
      <c r="AG1522" s="589"/>
      <c r="AH1522" s="589"/>
      <c r="AI1522" s="589"/>
      <c r="AJ1522" s="589"/>
      <c r="AK1522" s="589"/>
      <c r="AL1522" s="589"/>
      <c r="AM1522" s="589"/>
      <c r="AN1522" s="589"/>
      <c r="AO1522" s="589"/>
      <c r="AP1522" s="589"/>
      <c r="AQ1522" s="589"/>
      <c r="AR1522" s="589"/>
      <c r="AS1522" s="589"/>
    </row>
    <row r="1523" spans="1:45" ht="15">
      <c r="A1523" s="590" t="s">
        <v>193</v>
      </c>
      <c r="B1523" s="591" t="s">
        <v>701</v>
      </c>
      <c r="C1523" s="591" t="s">
        <v>774</v>
      </c>
      <c r="D1523" s="592">
        <v>2017</v>
      </c>
      <c r="E1523" s="591" t="s">
        <v>775</v>
      </c>
      <c r="F1523" s="592">
        <v>126</v>
      </c>
      <c r="G1523" s="592">
        <v>0</v>
      </c>
      <c r="H1523" s="592">
        <v>0</v>
      </c>
      <c r="I1523" s="592">
        <v>0</v>
      </c>
      <c r="J1523" s="592">
        <v>37</v>
      </c>
      <c r="K1523" s="592">
        <v>10</v>
      </c>
      <c r="L1523" s="592">
        <v>10</v>
      </c>
      <c r="M1523" s="592">
        <v>0</v>
      </c>
      <c r="N1523" s="593">
        <v>160</v>
      </c>
      <c r="O1523" s="593">
        <v>57</v>
      </c>
      <c r="P1523" s="593">
        <v>192</v>
      </c>
      <c r="Q1523" s="593">
        <v>168</v>
      </c>
      <c r="R1523" s="593">
        <v>515</v>
      </c>
      <c r="S1523" s="593">
        <v>235</v>
      </c>
      <c r="T1523" s="593">
        <v>2017</v>
      </c>
      <c r="U1523" s="593">
        <v>2015</v>
      </c>
      <c r="V1523" s="589"/>
      <c r="W1523" s="589"/>
      <c r="X1523" s="589"/>
      <c r="Y1523" s="589"/>
      <c r="Z1523" s="589"/>
      <c r="AA1523" s="589"/>
      <c r="AB1523" s="589"/>
      <c r="AC1523" s="589"/>
      <c r="AD1523" s="589"/>
      <c r="AE1523" s="589"/>
      <c r="AF1523" s="589"/>
      <c r="AG1523" s="589"/>
      <c r="AH1523" s="589"/>
      <c r="AI1523" s="589"/>
      <c r="AJ1523" s="589"/>
      <c r="AK1523" s="589"/>
      <c r="AL1523" s="589"/>
      <c r="AM1523" s="589"/>
      <c r="AN1523" s="589"/>
      <c r="AO1523" s="589"/>
      <c r="AP1523" s="589"/>
      <c r="AQ1523" s="589"/>
      <c r="AR1523" s="589"/>
      <c r="AS1523" s="589"/>
    </row>
    <row r="1524" spans="1:45" ht="15">
      <c r="A1524" s="587" t="s">
        <v>200</v>
      </c>
      <c r="B1524" s="587" t="s">
        <v>728</v>
      </c>
      <c r="C1524" s="587" t="s">
        <v>784</v>
      </c>
      <c r="D1524" s="588">
        <v>2017</v>
      </c>
      <c r="E1524" s="587" t="s">
        <v>775</v>
      </c>
      <c r="F1524" s="588">
        <v>23</v>
      </c>
      <c r="G1524" s="588">
        <v>0</v>
      </c>
      <c r="H1524" s="588">
        <v>0</v>
      </c>
      <c r="I1524" s="588">
        <v>0</v>
      </c>
      <c r="J1524" s="588">
        <v>16</v>
      </c>
      <c r="K1524" s="588">
        <v>0</v>
      </c>
      <c r="L1524" s="588">
        <v>0</v>
      </c>
      <c r="M1524" s="588">
        <v>0</v>
      </c>
      <c r="N1524" s="588">
        <v>19</v>
      </c>
      <c r="O1524" s="588">
        <v>1</v>
      </c>
      <c r="P1524" s="588">
        <v>42</v>
      </c>
      <c r="Q1524" s="588">
        <v>0</v>
      </c>
      <c r="R1524" s="588">
        <v>100</v>
      </c>
      <c r="S1524" s="588">
        <v>1</v>
      </c>
      <c r="T1524" s="588">
        <v>2017</v>
      </c>
      <c r="U1524" s="588">
        <v>2014</v>
      </c>
      <c r="V1524" s="589"/>
      <c r="W1524" s="589"/>
      <c r="X1524" s="589"/>
      <c r="Y1524" s="589"/>
      <c r="Z1524" s="589"/>
      <c r="AA1524" s="589"/>
      <c r="AB1524" s="589"/>
      <c r="AC1524" s="589"/>
      <c r="AD1524" s="589"/>
      <c r="AE1524" s="589"/>
      <c r="AF1524" s="589"/>
      <c r="AG1524" s="589"/>
      <c r="AH1524" s="589"/>
      <c r="AI1524" s="589"/>
      <c r="AJ1524" s="589"/>
      <c r="AK1524" s="589"/>
      <c r="AL1524" s="589"/>
      <c r="AM1524" s="589"/>
      <c r="AN1524" s="589"/>
      <c r="AO1524" s="589"/>
      <c r="AP1524" s="589"/>
      <c r="AQ1524" s="589"/>
      <c r="AR1524" s="589"/>
      <c r="AS1524" s="589"/>
    </row>
    <row r="1525" spans="1:45" ht="15">
      <c r="A1525" s="590" t="s">
        <v>153</v>
      </c>
      <c r="B1525" s="591" t="s">
        <v>423</v>
      </c>
      <c r="C1525" s="591" t="s">
        <v>812</v>
      </c>
      <c r="D1525" s="592">
        <v>2017</v>
      </c>
      <c r="E1525" s="591" t="s">
        <v>775</v>
      </c>
      <c r="F1525" s="592">
        <v>43</v>
      </c>
      <c r="G1525" s="592">
        <v>0</v>
      </c>
      <c r="H1525" s="592">
        <v>0</v>
      </c>
      <c r="I1525" s="592">
        <v>0</v>
      </c>
      <c r="J1525" s="592">
        <v>25</v>
      </c>
      <c r="K1525" s="592">
        <v>1</v>
      </c>
      <c r="L1525" s="592">
        <v>0</v>
      </c>
      <c r="M1525" s="592">
        <v>1</v>
      </c>
      <c r="N1525" s="593">
        <v>28</v>
      </c>
      <c r="O1525" s="593">
        <v>0</v>
      </c>
      <c r="P1525" s="593">
        <v>76</v>
      </c>
      <c r="Q1525" s="593">
        <v>1</v>
      </c>
      <c r="R1525" s="593">
        <v>172</v>
      </c>
      <c r="S1525" s="593">
        <v>2</v>
      </c>
      <c r="T1525" s="593">
        <v>2017</v>
      </c>
      <c r="U1525" s="593">
        <v>2014</v>
      </c>
      <c r="V1525" s="589"/>
      <c r="W1525" s="589"/>
      <c r="X1525" s="589"/>
      <c r="Y1525" s="589"/>
      <c r="Z1525" s="589"/>
      <c r="AA1525" s="589"/>
      <c r="AB1525" s="589"/>
      <c r="AC1525" s="589"/>
      <c r="AD1525" s="589"/>
      <c r="AE1525" s="589"/>
      <c r="AF1525" s="589"/>
      <c r="AG1525" s="589"/>
      <c r="AH1525" s="589"/>
      <c r="AI1525" s="589"/>
      <c r="AJ1525" s="589"/>
      <c r="AK1525" s="589"/>
      <c r="AL1525" s="589"/>
      <c r="AM1525" s="589"/>
      <c r="AN1525" s="589"/>
      <c r="AO1525" s="589"/>
      <c r="AP1525" s="589"/>
      <c r="AQ1525" s="589"/>
      <c r="AR1525" s="589"/>
      <c r="AS1525" s="589"/>
    </row>
    <row r="1526" spans="1:45" ht="15">
      <c r="A1526" s="587" t="s">
        <v>153</v>
      </c>
      <c r="B1526" s="587" t="s">
        <v>424</v>
      </c>
      <c r="C1526" s="587" t="s">
        <v>812</v>
      </c>
      <c r="D1526" s="588">
        <v>2017</v>
      </c>
      <c r="E1526" s="587" t="s">
        <v>775</v>
      </c>
      <c r="F1526" s="588">
        <v>314</v>
      </c>
      <c r="G1526" s="588">
        <v>0</v>
      </c>
      <c r="H1526" s="588">
        <v>0</v>
      </c>
      <c r="I1526" s="588">
        <v>0</v>
      </c>
      <c r="J1526" s="588">
        <v>185</v>
      </c>
      <c r="K1526" s="588">
        <v>0</v>
      </c>
      <c r="L1526" s="588">
        <v>0</v>
      </c>
      <c r="M1526" s="588">
        <v>0</v>
      </c>
      <c r="N1526" s="588">
        <v>205</v>
      </c>
      <c r="O1526" s="588">
        <v>14</v>
      </c>
      <c r="P1526" s="588">
        <v>558</v>
      </c>
      <c r="Q1526" s="588">
        <v>4</v>
      </c>
      <c r="R1526" s="588">
        <v>1262</v>
      </c>
      <c r="S1526" s="588">
        <v>18</v>
      </c>
      <c r="T1526" s="588">
        <v>2017</v>
      </c>
      <c r="U1526" s="588">
        <v>2014</v>
      </c>
      <c r="V1526" s="589"/>
      <c r="W1526" s="589"/>
      <c r="X1526" s="589"/>
      <c r="Y1526" s="589"/>
      <c r="Z1526" s="589"/>
      <c r="AA1526" s="589"/>
      <c r="AB1526" s="589"/>
      <c r="AC1526" s="589"/>
      <c r="AD1526" s="589"/>
      <c r="AE1526" s="589"/>
      <c r="AF1526" s="589"/>
      <c r="AG1526" s="589"/>
      <c r="AH1526" s="589"/>
      <c r="AI1526" s="589"/>
      <c r="AJ1526" s="589"/>
      <c r="AK1526" s="589"/>
      <c r="AL1526" s="589"/>
      <c r="AM1526" s="589"/>
      <c r="AN1526" s="589"/>
      <c r="AO1526" s="589"/>
      <c r="AP1526" s="589"/>
      <c r="AQ1526" s="589"/>
      <c r="AR1526" s="589"/>
      <c r="AS1526" s="589"/>
    </row>
    <row r="1527" spans="1:45" ht="15">
      <c r="A1527" s="590" t="s">
        <v>139</v>
      </c>
      <c r="B1527" s="591" t="s">
        <v>289</v>
      </c>
      <c r="C1527" s="591" t="s">
        <v>786</v>
      </c>
      <c r="D1527" s="592">
        <v>2017</v>
      </c>
      <c r="E1527" s="591" t="s">
        <v>775</v>
      </c>
      <c r="F1527" s="592">
        <v>54</v>
      </c>
      <c r="G1527" s="592">
        <v>0</v>
      </c>
      <c r="H1527" s="592">
        <v>0</v>
      </c>
      <c r="I1527" s="592">
        <v>0</v>
      </c>
      <c r="J1527" s="592">
        <v>38</v>
      </c>
      <c r="K1527" s="592">
        <v>0</v>
      </c>
      <c r="L1527" s="592">
        <v>0</v>
      </c>
      <c r="M1527" s="592">
        <v>0</v>
      </c>
      <c r="N1527" s="593">
        <v>63</v>
      </c>
      <c r="O1527" s="593">
        <v>4</v>
      </c>
      <c r="P1527" s="593">
        <v>181</v>
      </c>
      <c r="Q1527" s="593">
        <v>35</v>
      </c>
      <c r="R1527" s="593">
        <v>336</v>
      </c>
      <c r="S1527" s="593">
        <v>39</v>
      </c>
      <c r="T1527" s="593">
        <v>2017</v>
      </c>
      <c r="U1527" s="593">
        <v>2014</v>
      </c>
      <c r="V1527" s="589"/>
      <c r="W1527" s="589"/>
      <c r="X1527" s="589"/>
      <c r="Y1527" s="589"/>
      <c r="Z1527" s="589"/>
      <c r="AA1527" s="589"/>
      <c r="AB1527" s="589"/>
      <c r="AC1527" s="589"/>
      <c r="AD1527" s="589"/>
      <c r="AE1527" s="589"/>
      <c r="AF1527" s="589"/>
      <c r="AG1527" s="589"/>
      <c r="AH1527" s="589"/>
      <c r="AI1527" s="589"/>
      <c r="AJ1527" s="589"/>
      <c r="AK1527" s="589"/>
      <c r="AL1527" s="589"/>
      <c r="AM1527" s="589"/>
      <c r="AN1527" s="589"/>
      <c r="AO1527" s="589"/>
      <c r="AP1527" s="589"/>
      <c r="AQ1527" s="589"/>
      <c r="AR1527" s="589"/>
      <c r="AS1527" s="589"/>
    </row>
    <row r="1528" spans="1:45" ht="15">
      <c r="A1528" s="587" t="s">
        <v>153</v>
      </c>
      <c r="B1528" s="587" t="s">
        <v>425</v>
      </c>
      <c r="C1528" s="587" t="s">
        <v>812</v>
      </c>
      <c r="D1528" s="588">
        <v>2017</v>
      </c>
      <c r="E1528" s="587" t="s">
        <v>775</v>
      </c>
      <c r="F1528" s="588">
        <v>17</v>
      </c>
      <c r="G1528" s="588">
        <v>0</v>
      </c>
      <c r="H1528" s="588">
        <v>0</v>
      </c>
      <c r="I1528" s="588">
        <v>0</v>
      </c>
      <c r="J1528" s="588">
        <v>10</v>
      </c>
      <c r="K1528" s="588">
        <v>0</v>
      </c>
      <c r="L1528" s="588">
        <v>0</v>
      </c>
      <c r="M1528" s="588">
        <v>0</v>
      </c>
      <c r="N1528" s="588">
        <v>11</v>
      </c>
      <c r="O1528" s="588">
        <v>1</v>
      </c>
      <c r="P1528" s="588">
        <v>25</v>
      </c>
      <c r="Q1528" s="588">
        <v>18</v>
      </c>
      <c r="R1528" s="588">
        <v>63</v>
      </c>
      <c r="S1528" s="588">
        <v>19</v>
      </c>
      <c r="T1528" s="588">
        <v>2017</v>
      </c>
      <c r="U1528" s="588">
        <v>2014</v>
      </c>
      <c r="V1528" s="589"/>
      <c r="W1528" s="589"/>
      <c r="X1528" s="589"/>
      <c r="Y1528" s="589"/>
      <c r="Z1528" s="589"/>
      <c r="AA1528" s="589"/>
      <c r="AB1528" s="589"/>
      <c r="AC1528" s="589"/>
      <c r="AD1528" s="589"/>
      <c r="AE1528" s="589"/>
      <c r="AF1528" s="589"/>
      <c r="AG1528" s="589"/>
      <c r="AH1528" s="589"/>
      <c r="AI1528" s="589"/>
      <c r="AJ1528" s="589"/>
      <c r="AK1528" s="589"/>
      <c r="AL1528" s="589"/>
      <c r="AM1528" s="589"/>
      <c r="AN1528" s="589"/>
      <c r="AO1528" s="589"/>
      <c r="AP1528" s="589"/>
      <c r="AQ1528" s="589"/>
      <c r="AR1528" s="589"/>
      <c r="AS1528" s="589"/>
    </row>
    <row r="1529" spans="1:45" ht="15">
      <c r="A1529" s="590" t="s">
        <v>184</v>
      </c>
      <c r="B1529" s="591" t="s">
        <v>641</v>
      </c>
      <c r="C1529" s="591" t="s">
        <v>774</v>
      </c>
      <c r="D1529" s="592">
        <v>2017</v>
      </c>
      <c r="E1529" s="591" t="s">
        <v>775</v>
      </c>
      <c r="F1529" s="592">
        <v>565</v>
      </c>
      <c r="G1529" s="592">
        <v>80</v>
      </c>
      <c r="H1529" s="592">
        <v>80</v>
      </c>
      <c r="I1529" s="592">
        <v>0</v>
      </c>
      <c r="J1529" s="592">
        <v>281</v>
      </c>
      <c r="K1529" s="592">
        <v>0</v>
      </c>
      <c r="L1529" s="592">
        <v>0</v>
      </c>
      <c r="M1529" s="592">
        <v>0</v>
      </c>
      <c r="N1529" s="593">
        <v>313</v>
      </c>
      <c r="O1529" s="593">
        <v>5</v>
      </c>
      <c r="P1529" s="593">
        <v>705</v>
      </c>
      <c r="Q1529" s="593">
        <v>283</v>
      </c>
      <c r="R1529" s="593">
        <v>1864</v>
      </c>
      <c r="S1529" s="593">
        <v>368</v>
      </c>
      <c r="T1529" s="593">
        <v>2017</v>
      </c>
      <c r="U1529" s="593">
        <v>2015</v>
      </c>
      <c r="V1529" s="589"/>
      <c r="W1529" s="589"/>
      <c r="X1529" s="589"/>
      <c r="Y1529" s="589"/>
      <c r="Z1529" s="589"/>
      <c r="AA1529" s="589"/>
      <c r="AB1529" s="589"/>
      <c r="AC1529" s="589"/>
      <c r="AD1529" s="589"/>
      <c r="AE1529" s="589"/>
      <c r="AF1529" s="589"/>
      <c r="AG1529" s="589"/>
      <c r="AH1529" s="589"/>
      <c r="AI1529" s="589"/>
      <c r="AJ1529" s="589"/>
      <c r="AK1529" s="589"/>
      <c r="AL1529" s="589"/>
      <c r="AM1529" s="589"/>
      <c r="AN1529" s="589"/>
      <c r="AO1529" s="589"/>
      <c r="AP1529" s="589"/>
      <c r="AQ1529" s="589"/>
      <c r="AR1529" s="589"/>
      <c r="AS1529" s="589"/>
    </row>
    <row r="1530" spans="1:45" ht="15">
      <c r="A1530" s="587" t="s">
        <v>195</v>
      </c>
      <c r="B1530" s="587" t="s">
        <v>710</v>
      </c>
      <c r="C1530" s="587" t="s">
        <v>177</v>
      </c>
      <c r="D1530" s="588">
        <v>2017</v>
      </c>
      <c r="E1530" s="587" t="s">
        <v>775</v>
      </c>
      <c r="F1530" s="588">
        <v>538</v>
      </c>
      <c r="G1530" s="588">
        <v>0</v>
      </c>
      <c r="H1530" s="588">
        <v>0</v>
      </c>
      <c r="I1530" s="588">
        <v>0</v>
      </c>
      <c r="J1530" s="588">
        <v>345</v>
      </c>
      <c r="K1530" s="588">
        <v>0</v>
      </c>
      <c r="L1530" s="588">
        <v>0</v>
      </c>
      <c r="M1530" s="588">
        <v>0</v>
      </c>
      <c r="N1530" s="588">
        <v>391</v>
      </c>
      <c r="O1530" s="588">
        <v>11</v>
      </c>
      <c r="P1530" s="588">
        <v>967</v>
      </c>
      <c r="Q1530" s="588">
        <v>120</v>
      </c>
      <c r="R1530" s="588">
        <v>2241</v>
      </c>
      <c r="S1530" s="588">
        <v>131</v>
      </c>
      <c r="T1530" s="588">
        <v>2017</v>
      </c>
      <c r="U1530" s="588">
        <v>2016</v>
      </c>
      <c r="V1530" s="589"/>
      <c r="W1530" s="589"/>
      <c r="X1530" s="589"/>
      <c r="Y1530" s="589"/>
      <c r="Z1530" s="589"/>
      <c r="AA1530" s="589"/>
      <c r="AB1530" s="589"/>
      <c r="AC1530" s="589"/>
      <c r="AD1530" s="589"/>
      <c r="AE1530" s="589"/>
      <c r="AF1530" s="589"/>
      <c r="AG1530" s="589"/>
      <c r="AH1530" s="589"/>
      <c r="AI1530" s="589"/>
      <c r="AJ1530" s="589"/>
      <c r="AK1530" s="589"/>
      <c r="AL1530" s="589"/>
      <c r="AM1530" s="589"/>
      <c r="AN1530" s="589"/>
      <c r="AO1530" s="589"/>
      <c r="AP1530" s="589"/>
      <c r="AQ1530" s="589"/>
      <c r="AR1530" s="589"/>
      <c r="AS1530" s="589"/>
    </row>
    <row r="1531" spans="1:45" ht="15">
      <c r="A1531" s="590" t="s">
        <v>169</v>
      </c>
      <c r="B1531" s="591" t="s">
        <v>514</v>
      </c>
      <c r="C1531" s="591" t="s">
        <v>812</v>
      </c>
      <c r="D1531" s="592">
        <v>2017</v>
      </c>
      <c r="E1531" s="591" t="s">
        <v>775</v>
      </c>
      <c r="F1531" s="592">
        <v>68</v>
      </c>
      <c r="G1531" s="592">
        <v>0</v>
      </c>
      <c r="H1531" s="592">
        <v>0</v>
      </c>
      <c r="I1531" s="592">
        <v>0</v>
      </c>
      <c r="J1531" s="592">
        <v>49</v>
      </c>
      <c r="K1531" s="592">
        <v>0</v>
      </c>
      <c r="L1531" s="592">
        <v>0</v>
      </c>
      <c r="M1531" s="592">
        <v>0</v>
      </c>
      <c r="N1531" s="593">
        <v>56</v>
      </c>
      <c r="O1531" s="593">
        <v>2</v>
      </c>
      <c r="P1531" s="593">
        <v>140</v>
      </c>
      <c r="Q1531" s="593">
        <v>0</v>
      </c>
      <c r="R1531" s="593">
        <v>313</v>
      </c>
      <c r="S1531" s="593">
        <v>2</v>
      </c>
      <c r="T1531" s="593">
        <v>2017</v>
      </c>
      <c r="U1531" s="593">
        <v>2014</v>
      </c>
      <c r="V1531" s="589"/>
      <c r="W1531" s="589"/>
      <c r="X1531" s="589"/>
      <c r="Y1531" s="589"/>
      <c r="Z1531" s="589"/>
      <c r="AA1531" s="589"/>
      <c r="AB1531" s="589"/>
      <c r="AC1531" s="589"/>
      <c r="AD1531" s="589"/>
      <c r="AE1531" s="589"/>
      <c r="AF1531" s="589"/>
      <c r="AG1531" s="589"/>
      <c r="AH1531" s="589"/>
      <c r="AI1531" s="589"/>
      <c r="AJ1531" s="589"/>
      <c r="AK1531" s="589"/>
      <c r="AL1531" s="589"/>
      <c r="AM1531" s="589"/>
      <c r="AN1531" s="589"/>
      <c r="AO1531" s="589"/>
      <c r="AP1531" s="589"/>
      <c r="AQ1531" s="589"/>
      <c r="AR1531" s="589"/>
      <c r="AS1531" s="589"/>
    </row>
    <row r="1532" spans="1:45" ht="15">
      <c r="A1532" s="587" t="s">
        <v>182</v>
      </c>
      <c r="B1532" s="587" t="s">
        <v>614</v>
      </c>
      <c r="C1532" s="587" t="s">
        <v>177</v>
      </c>
      <c r="D1532" s="588">
        <v>2017</v>
      </c>
      <c r="E1532" s="587" t="s">
        <v>775</v>
      </c>
      <c r="F1532" s="588">
        <v>3157</v>
      </c>
      <c r="G1532" s="588">
        <v>164</v>
      </c>
      <c r="H1532" s="588">
        <v>164</v>
      </c>
      <c r="I1532" s="588">
        <v>0</v>
      </c>
      <c r="J1532" s="588">
        <v>2004</v>
      </c>
      <c r="K1532" s="588">
        <v>0</v>
      </c>
      <c r="L1532" s="588">
        <v>0</v>
      </c>
      <c r="M1532" s="588">
        <v>0</v>
      </c>
      <c r="N1532" s="588">
        <v>2103</v>
      </c>
      <c r="O1532" s="588">
        <v>47</v>
      </c>
      <c r="P1532" s="588">
        <v>4560</v>
      </c>
      <c r="Q1532" s="588">
        <v>175</v>
      </c>
      <c r="R1532" s="588">
        <v>11824</v>
      </c>
      <c r="S1532" s="588">
        <v>386</v>
      </c>
      <c r="T1532" s="588">
        <v>2017</v>
      </c>
      <c r="U1532" s="588">
        <v>2016</v>
      </c>
      <c r="V1532" s="589"/>
      <c r="W1532" s="589"/>
      <c r="X1532" s="589"/>
      <c r="Y1532" s="589"/>
      <c r="Z1532" s="589"/>
      <c r="AA1532" s="589"/>
      <c r="AB1532" s="589"/>
      <c r="AC1532" s="589"/>
      <c r="AD1532" s="589"/>
      <c r="AE1532" s="589"/>
      <c r="AF1532" s="589"/>
      <c r="AG1532" s="589"/>
      <c r="AH1532" s="589"/>
      <c r="AI1532" s="589"/>
      <c r="AJ1532" s="589"/>
      <c r="AK1532" s="589"/>
      <c r="AL1532" s="589"/>
      <c r="AM1532" s="589"/>
      <c r="AN1532" s="589"/>
      <c r="AO1532" s="589"/>
      <c r="AP1532" s="589"/>
      <c r="AQ1532" s="589"/>
      <c r="AR1532" s="589"/>
      <c r="AS1532" s="589"/>
    </row>
    <row r="1533" spans="1:45" ht="15">
      <c r="A1533" s="590" t="s">
        <v>192</v>
      </c>
      <c r="B1533" s="591" t="s">
        <v>691</v>
      </c>
      <c r="C1533" s="591" t="s">
        <v>774</v>
      </c>
      <c r="D1533" s="592">
        <v>2017</v>
      </c>
      <c r="E1533" s="591" t="s">
        <v>775</v>
      </c>
      <c r="F1533" s="592">
        <v>147</v>
      </c>
      <c r="G1533" s="592">
        <v>0</v>
      </c>
      <c r="H1533" s="592">
        <v>0</v>
      </c>
      <c r="I1533" s="592">
        <v>0</v>
      </c>
      <c r="J1533" s="592">
        <v>57</v>
      </c>
      <c r="K1533" s="592">
        <v>0</v>
      </c>
      <c r="L1533" s="592">
        <v>0</v>
      </c>
      <c r="M1533" s="592">
        <v>0</v>
      </c>
      <c r="N1533" s="593">
        <v>60</v>
      </c>
      <c r="O1533" s="593">
        <v>0</v>
      </c>
      <c r="P1533" s="593">
        <v>241</v>
      </c>
      <c r="Q1533" s="593">
        <v>19</v>
      </c>
      <c r="R1533" s="593">
        <v>505</v>
      </c>
      <c r="S1533" s="593">
        <v>19</v>
      </c>
      <c r="T1533" s="593">
        <v>2017</v>
      </c>
      <c r="U1533" s="593">
        <v>2015</v>
      </c>
      <c r="V1533" s="589"/>
      <c r="W1533" s="589"/>
      <c r="X1533" s="589"/>
      <c r="Y1533" s="589"/>
      <c r="Z1533" s="589"/>
      <c r="AA1533" s="589"/>
      <c r="AB1533" s="589"/>
      <c r="AC1533" s="589"/>
      <c r="AD1533" s="589"/>
      <c r="AE1533" s="589"/>
      <c r="AF1533" s="589"/>
      <c r="AG1533" s="589"/>
      <c r="AH1533" s="589"/>
      <c r="AI1533" s="589"/>
      <c r="AJ1533" s="589"/>
      <c r="AK1533" s="589"/>
      <c r="AL1533" s="589"/>
      <c r="AM1533" s="589"/>
      <c r="AN1533" s="589"/>
      <c r="AO1533" s="589"/>
      <c r="AP1533" s="589"/>
      <c r="AQ1533" s="589"/>
      <c r="AR1533" s="589"/>
      <c r="AS1533" s="589"/>
    </row>
    <row r="1534" spans="1:45" ht="15">
      <c r="A1534" s="587" t="s">
        <v>187</v>
      </c>
      <c r="B1534" s="587" t="s">
        <v>665</v>
      </c>
      <c r="C1534" s="587" t="s">
        <v>774</v>
      </c>
      <c r="D1534" s="588">
        <v>2017</v>
      </c>
      <c r="E1534" s="587" t="s">
        <v>775</v>
      </c>
      <c r="F1534" s="588">
        <v>1640</v>
      </c>
      <c r="G1534" s="588">
        <v>46</v>
      </c>
      <c r="H1534" s="588">
        <v>46</v>
      </c>
      <c r="I1534" s="588">
        <v>0</v>
      </c>
      <c r="J1534" s="588">
        <v>906</v>
      </c>
      <c r="K1534" s="588">
        <v>20</v>
      </c>
      <c r="L1534" s="588">
        <v>20</v>
      </c>
      <c r="M1534" s="588">
        <v>0</v>
      </c>
      <c r="N1534" s="588">
        <v>932</v>
      </c>
      <c r="O1534" s="588">
        <v>47</v>
      </c>
      <c r="P1534" s="588">
        <v>1974</v>
      </c>
      <c r="Q1534" s="588">
        <v>381</v>
      </c>
      <c r="R1534" s="588">
        <v>5452</v>
      </c>
      <c r="S1534" s="588">
        <v>494</v>
      </c>
      <c r="T1534" s="588">
        <v>2017</v>
      </c>
      <c r="U1534" s="588">
        <v>2015</v>
      </c>
      <c r="V1534" s="589"/>
      <c r="W1534" s="589"/>
      <c r="X1534" s="589"/>
      <c r="Y1534" s="589"/>
      <c r="Z1534" s="589"/>
      <c r="AA1534" s="589"/>
      <c r="AB1534" s="589"/>
      <c r="AC1534" s="589"/>
      <c r="AD1534" s="589"/>
      <c r="AE1534" s="589"/>
      <c r="AF1534" s="589"/>
      <c r="AG1534" s="589"/>
      <c r="AH1534" s="589"/>
      <c r="AI1534" s="589"/>
      <c r="AJ1534" s="589"/>
      <c r="AK1534" s="589"/>
      <c r="AL1534" s="589"/>
      <c r="AM1534" s="589"/>
      <c r="AN1534" s="589"/>
      <c r="AO1534" s="589"/>
      <c r="AP1534" s="589"/>
      <c r="AQ1534" s="589"/>
      <c r="AR1534" s="589"/>
      <c r="AS1534" s="589"/>
    </row>
    <row r="1535" spans="1:45" ht="15">
      <c r="A1535" s="590" t="s">
        <v>196</v>
      </c>
      <c r="B1535" s="591" t="s">
        <v>714</v>
      </c>
      <c r="C1535" s="591" t="s">
        <v>799</v>
      </c>
      <c r="D1535" s="592">
        <v>2017</v>
      </c>
      <c r="E1535" s="591" t="s">
        <v>775</v>
      </c>
      <c r="F1535" s="592">
        <v>85</v>
      </c>
      <c r="G1535" s="592">
        <v>0</v>
      </c>
      <c r="H1535" s="592">
        <v>0</v>
      </c>
      <c r="I1535" s="592">
        <v>0</v>
      </c>
      <c r="J1535" s="592">
        <v>60</v>
      </c>
      <c r="K1535" s="592">
        <v>0</v>
      </c>
      <c r="L1535" s="592">
        <v>0</v>
      </c>
      <c r="M1535" s="592">
        <v>0</v>
      </c>
      <c r="N1535" s="593">
        <v>62</v>
      </c>
      <c r="O1535" s="593">
        <v>3</v>
      </c>
      <c r="P1535" s="593">
        <v>128</v>
      </c>
      <c r="Q1535" s="593">
        <v>13</v>
      </c>
      <c r="R1535" s="593">
        <v>335</v>
      </c>
      <c r="S1535" s="593">
        <v>16</v>
      </c>
      <c r="T1535" s="593">
        <v>2017</v>
      </c>
      <c r="U1535" s="593">
        <v>2014</v>
      </c>
      <c r="V1535" s="589"/>
      <c r="W1535" s="589"/>
      <c r="X1535" s="589"/>
      <c r="Y1535" s="589"/>
      <c r="Z1535" s="589"/>
      <c r="AA1535" s="589"/>
      <c r="AB1535" s="589"/>
      <c r="AC1535" s="589"/>
      <c r="AD1535" s="589"/>
      <c r="AE1535" s="589"/>
      <c r="AF1535" s="589"/>
      <c r="AG1535" s="589"/>
      <c r="AH1535" s="589"/>
      <c r="AI1535" s="589"/>
      <c r="AJ1535" s="589"/>
      <c r="AK1535" s="589"/>
      <c r="AL1535" s="589"/>
      <c r="AM1535" s="589"/>
      <c r="AN1535" s="589"/>
      <c r="AO1535" s="589"/>
      <c r="AP1535" s="589"/>
      <c r="AQ1535" s="589"/>
      <c r="AR1535" s="589"/>
      <c r="AS1535" s="589"/>
    </row>
    <row r="1536" spans="1:45" ht="15">
      <c r="A1536" s="587" t="s">
        <v>130</v>
      </c>
      <c r="B1536" s="587" t="s">
        <v>254</v>
      </c>
      <c r="C1536" s="587" t="s">
        <v>784</v>
      </c>
      <c r="D1536" s="588">
        <v>2017</v>
      </c>
      <c r="E1536" s="587" t="s">
        <v>775</v>
      </c>
      <c r="F1536" s="588">
        <v>2</v>
      </c>
      <c r="G1536" s="588">
        <v>0</v>
      </c>
      <c r="H1536" s="588">
        <v>0</v>
      </c>
      <c r="I1536" s="588">
        <v>0</v>
      </c>
      <c r="J1536" s="588">
        <v>2</v>
      </c>
      <c r="K1536" s="588">
        <v>0</v>
      </c>
      <c r="L1536" s="588">
        <v>0</v>
      </c>
      <c r="M1536" s="588">
        <v>0</v>
      </c>
      <c r="N1536" s="588">
        <v>2</v>
      </c>
      <c r="O1536" s="588">
        <v>17</v>
      </c>
      <c r="P1536" s="588">
        <v>4</v>
      </c>
      <c r="Q1536" s="588">
        <v>2</v>
      </c>
      <c r="R1536" s="588">
        <v>10</v>
      </c>
      <c r="S1536" s="588">
        <v>19</v>
      </c>
      <c r="T1536" s="588">
        <v>2017</v>
      </c>
      <c r="U1536" s="588">
        <v>2014</v>
      </c>
      <c r="V1536" s="589"/>
      <c r="W1536" s="589"/>
      <c r="X1536" s="589"/>
      <c r="Y1536" s="589"/>
      <c r="Z1536" s="589"/>
      <c r="AA1536" s="589"/>
      <c r="AB1536" s="589"/>
      <c r="AC1536" s="589"/>
      <c r="AD1536" s="589"/>
      <c r="AE1536" s="589"/>
      <c r="AF1536" s="589"/>
      <c r="AG1536" s="589"/>
      <c r="AH1536" s="589"/>
      <c r="AI1536" s="589"/>
      <c r="AJ1536" s="589"/>
      <c r="AK1536" s="589"/>
      <c r="AL1536" s="589"/>
      <c r="AM1536" s="589"/>
      <c r="AN1536" s="589"/>
      <c r="AO1536" s="589"/>
      <c r="AP1536" s="589"/>
      <c r="AQ1536" s="589"/>
      <c r="AR1536" s="589"/>
      <c r="AS1536" s="589"/>
    </row>
    <row r="1537" spans="1:45" ht="15">
      <c r="A1537" s="590" t="s">
        <v>148</v>
      </c>
      <c r="B1537" s="591" t="s">
        <v>333</v>
      </c>
      <c r="C1537" s="591" t="s">
        <v>177</v>
      </c>
      <c r="D1537" s="592">
        <v>2017</v>
      </c>
      <c r="E1537" s="591" t="s">
        <v>775</v>
      </c>
      <c r="F1537" s="592">
        <v>52</v>
      </c>
      <c r="G1537" s="592">
        <v>0</v>
      </c>
      <c r="H1537" s="592">
        <v>0</v>
      </c>
      <c r="I1537" s="592">
        <v>0</v>
      </c>
      <c r="J1537" s="592">
        <v>26</v>
      </c>
      <c r="K1537" s="592">
        <v>0</v>
      </c>
      <c r="L1537" s="592">
        <v>0</v>
      </c>
      <c r="M1537" s="592">
        <v>0</v>
      </c>
      <c r="N1537" s="593">
        <v>30</v>
      </c>
      <c r="O1537" s="593">
        <v>3</v>
      </c>
      <c r="P1537" s="593">
        <v>146</v>
      </c>
      <c r="Q1537" s="593">
        <v>12</v>
      </c>
      <c r="R1537" s="593">
        <v>254</v>
      </c>
      <c r="S1537" s="593">
        <v>15</v>
      </c>
      <c r="T1537" s="593">
        <v>2017</v>
      </c>
      <c r="U1537" s="593">
        <v>2016</v>
      </c>
      <c r="V1537" s="589"/>
      <c r="W1537" s="589"/>
      <c r="X1537" s="589"/>
      <c r="Y1537" s="589"/>
      <c r="Z1537" s="589"/>
      <c r="AA1537" s="589"/>
      <c r="AB1537" s="589"/>
      <c r="AC1537" s="589"/>
      <c r="AD1537" s="589"/>
      <c r="AE1537" s="589"/>
      <c r="AF1537" s="589"/>
      <c r="AG1537" s="589"/>
      <c r="AH1537" s="589"/>
      <c r="AI1537" s="589"/>
      <c r="AJ1537" s="589"/>
      <c r="AK1537" s="589"/>
      <c r="AL1537" s="589"/>
      <c r="AM1537" s="589"/>
      <c r="AN1537" s="589"/>
      <c r="AO1537" s="589"/>
      <c r="AP1537" s="589"/>
      <c r="AQ1537" s="589"/>
      <c r="AR1537" s="589"/>
      <c r="AS1537" s="589"/>
    </row>
    <row r="1538" spans="1:45" ht="15">
      <c r="A1538" s="587" t="s">
        <v>197</v>
      </c>
      <c r="B1538" s="587" t="s">
        <v>197</v>
      </c>
      <c r="C1538" s="587" t="s">
        <v>784</v>
      </c>
      <c r="D1538" s="588">
        <v>2017</v>
      </c>
      <c r="E1538" s="587" t="s">
        <v>775</v>
      </c>
      <c r="F1538" s="588">
        <v>2</v>
      </c>
      <c r="G1538" s="588">
        <v>0</v>
      </c>
      <c r="H1538" s="588">
        <v>0</v>
      </c>
      <c r="I1538" s="588">
        <v>0</v>
      </c>
      <c r="J1538" s="588">
        <v>2</v>
      </c>
      <c r="K1538" s="588">
        <v>0</v>
      </c>
      <c r="L1538" s="588">
        <v>0</v>
      </c>
      <c r="M1538" s="588">
        <v>0</v>
      </c>
      <c r="N1538" s="588">
        <v>2</v>
      </c>
      <c r="O1538" s="588">
        <v>0</v>
      </c>
      <c r="P1538" s="588">
        <v>4</v>
      </c>
      <c r="Q1538" s="588">
        <v>0</v>
      </c>
      <c r="R1538" s="588">
        <v>10</v>
      </c>
      <c r="S1538" s="588">
        <v>0</v>
      </c>
      <c r="T1538" s="588">
        <v>2017</v>
      </c>
      <c r="U1538" s="588">
        <v>2014</v>
      </c>
      <c r="V1538" s="589"/>
      <c r="W1538" s="589"/>
      <c r="X1538" s="589"/>
      <c r="Y1538" s="589"/>
      <c r="Z1538" s="589"/>
      <c r="AA1538" s="589"/>
      <c r="AB1538" s="589"/>
      <c r="AC1538" s="589"/>
      <c r="AD1538" s="589"/>
      <c r="AE1538" s="589"/>
      <c r="AF1538" s="589"/>
      <c r="AG1538" s="589"/>
      <c r="AH1538" s="589"/>
      <c r="AI1538" s="589"/>
      <c r="AJ1538" s="589"/>
      <c r="AK1538" s="589"/>
      <c r="AL1538" s="589"/>
      <c r="AM1538" s="589"/>
      <c r="AN1538" s="589"/>
      <c r="AO1538" s="589"/>
      <c r="AP1538" s="589"/>
      <c r="AQ1538" s="589"/>
      <c r="AR1538" s="589"/>
      <c r="AS1538" s="589"/>
    </row>
    <row r="1539" spans="1:45" ht="15">
      <c r="A1539" s="590" t="s">
        <v>197</v>
      </c>
      <c r="B1539" s="591" t="s">
        <v>718</v>
      </c>
      <c r="C1539" s="591" t="s">
        <v>784</v>
      </c>
      <c r="D1539" s="592">
        <v>2017</v>
      </c>
      <c r="E1539" s="591" t="s">
        <v>775</v>
      </c>
      <c r="F1539" s="592">
        <v>112</v>
      </c>
      <c r="G1539" s="592">
        <v>0</v>
      </c>
      <c r="H1539" s="592">
        <v>0</v>
      </c>
      <c r="I1539" s="592">
        <v>0</v>
      </c>
      <c r="J1539" s="592">
        <v>76</v>
      </c>
      <c r="K1539" s="592">
        <v>40</v>
      </c>
      <c r="L1539" s="592">
        <v>0</v>
      </c>
      <c r="M1539" s="592">
        <v>40</v>
      </c>
      <c r="N1539" s="593">
        <v>89</v>
      </c>
      <c r="O1539" s="593">
        <v>55</v>
      </c>
      <c r="P1539" s="593">
        <v>209</v>
      </c>
      <c r="Q1539" s="593">
        <v>0</v>
      </c>
      <c r="R1539" s="593">
        <v>486</v>
      </c>
      <c r="S1539" s="593">
        <v>95</v>
      </c>
      <c r="T1539" s="593">
        <v>2017</v>
      </c>
      <c r="U1539" s="593">
        <v>2014</v>
      </c>
      <c r="V1539" s="589"/>
      <c r="W1539" s="589"/>
      <c r="X1539" s="589"/>
      <c r="Y1539" s="589"/>
      <c r="Z1539" s="589"/>
      <c r="AA1539" s="589"/>
      <c r="AB1539" s="589"/>
      <c r="AC1539" s="589"/>
      <c r="AD1539" s="589"/>
      <c r="AE1539" s="589"/>
      <c r="AF1539" s="589"/>
      <c r="AG1539" s="589"/>
      <c r="AH1539" s="589"/>
      <c r="AI1539" s="589"/>
      <c r="AJ1539" s="589"/>
      <c r="AK1539" s="589"/>
      <c r="AL1539" s="589"/>
      <c r="AM1539" s="589"/>
      <c r="AN1539" s="589"/>
      <c r="AO1539" s="589"/>
      <c r="AP1539" s="589"/>
      <c r="AQ1539" s="589"/>
      <c r="AR1539" s="589"/>
      <c r="AS1539" s="589"/>
    </row>
    <row r="1540" spans="1:45" ht="15">
      <c r="A1540" s="587" t="s">
        <v>173</v>
      </c>
      <c r="B1540" s="587" t="s">
        <v>554</v>
      </c>
      <c r="C1540" s="587" t="s">
        <v>812</v>
      </c>
      <c r="D1540" s="588">
        <v>2017</v>
      </c>
      <c r="E1540" s="587" t="s">
        <v>775</v>
      </c>
      <c r="F1540" s="588">
        <v>375</v>
      </c>
      <c r="G1540" s="588">
        <v>15</v>
      </c>
      <c r="H1540" s="588">
        <v>15</v>
      </c>
      <c r="I1540" s="588">
        <v>0</v>
      </c>
      <c r="J1540" s="588">
        <v>251</v>
      </c>
      <c r="K1540" s="588">
        <v>0</v>
      </c>
      <c r="L1540" s="588">
        <v>0</v>
      </c>
      <c r="M1540" s="588">
        <v>0</v>
      </c>
      <c r="N1540" s="588">
        <v>271</v>
      </c>
      <c r="O1540" s="588">
        <v>15</v>
      </c>
      <c r="P1540" s="588">
        <v>596</v>
      </c>
      <c r="Q1540" s="588">
        <v>84</v>
      </c>
      <c r="R1540" s="588">
        <v>1493</v>
      </c>
      <c r="S1540" s="588">
        <v>114</v>
      </c>
      <c r="T1540" s="588">
        <v>2017</v>
      </c>
      <c r="U1540" s="588">
        <v>2014</v>
      </c>
      <c r="V1540" s="589"/>
      <c r="W1540" s="589"/>
      <c r="X1540" s="589"/>
      <c r="Y1540" s="589"/>
      <c r="Z1540" s="589"/>
      <c r="AA1540" s="589"/>
      <c r="AB1540" s="589"/>
      <c r="AC1540" s="589"/>
      <c r="AD1540" s="589"/>
      <c r="AE1540" s="589"/>
      <c r="AF1540" s="589"/>
      <c r="AG1540" s="589"/>
      <c r="AH1540" s="589"/>
      <c r="AI1540" s="589"/>
      <c r="AJ1540" s="589"/>
      <c r="AK1540" s="589"/>
      <c r="AL1540" s="589"/>
      <c r="AM1540" s="589"/>
      <c r="AN1540" s="589"/>
      <c r="AO1540" s="589"/>
      <c r="AP1540" s="589"/>
      <c r="AQ1540" s="589"/>
      <c r="AR1540" s="589"/>
      <c r="AS1540" s="589"/>
    </row>
    <row r="1541" spans="1:45" ht="15">
      <c r="A1541" s="590" t="s">
        <v>153</v>
      </c>
      <c r="B1541" s="591" t="s">
        <v>426</v>
      </c>
      <c r="C1541" s="591" t="s">
        <v>812</v>
      </c>
      <c r="D1541" s="592">
        <v>2017</v>
      </c>
      <c r="E1541" s="591" t="s">
        <v>775</v>
      </c>
      <c r="F1541" s="592">
        <v>159</v>
      </c>
      <c r="G1541" s="592">
        <v>0</v>
      </c>
      <c r="H1541" s="592">
        <v>0</v>
      </c>
      <c r="I1541" s="592">
        <v>0</v>
      </c>
      <c r="J1541" s="592">
        <v>93</v>
      </c>
      <c r="K1541" s="592">
        <v>1</v>
      </c>
      <c r="L1541" s="592">
        <v>1</v>
      </c>
      <c r="M1541" s="592">
        <v>0</v>
      </c>
      <c r="N1541" s="593">
        <v>99</v>
      </c>
      <c r="O1541" s="593">
        <v>5</v>
      </c>
      <c r="P1541" s="593">
        <v>252</v>
      </c>
      <c r="Q1541" s="593">
        <v>92</v>
      </c>
      <c r="R1541" s="593">
        <v>603</v>
      </c>
      <c r="S1541" s="593">
        <v>98</v>
      </c>
      <c r="T1541" s="593">
        <v>2017</v>
      </c>
      <c r="U1541" s="593">
        <v>2014</v>
      </c>
      <c r="V1541" s="589"/>
      <c r="W1541" s="589"/>
      <c r="X1541" s="589"/>
      <c r="Y1541" s="589"/>
      <c r="Z1541" s="589"/>
      <c r="AA1541" s="589"/>
      <c r="AB1541" s="589"/>
      <c r="AC1541" s="589"/>
      <c r="AD1541" s="589"/>
      <c r="AE1541" s="589"/>
      <c r="AF1541" s="589"/>
      <c r="AG1541" s="589"/>
      <c r="AH1541" s="589"/>
      <c r="AI1541" s="589"/>
      <c r="AJ1541" s="589"/>
      <c r="AK1541" s="589"/>
      <c r="AL1541" s="589"/>
      <c r="AM1541" s="589"/>
      <c r="AN1541" s="589"/>
      <c r="AO1541" s="589"/>
      <c r="AP1541" s="589"/>
      <c r="AQ1541" s="589"/>
      <c r="AR1541" s="589"/>
      <c r="AS1541" s="589"/>
    </row>
    <row r="1542" spans="1:45" ht="15">
      <c r="A1542" s="587" t="s">
        <v>201</v>
      </c>
      <c r="B1542" s="587" t="s">
        <v>739</v>
      </c>
      <c r="C1542" s="587" t="s">
        <v>812</v>
      </c>
      <c r="D1542" s="588">
        <v>2017</v>
      </c>
      <c r="E1542" s="587" t="s">
        <v>775</v>
      </c>
      <c r="F1542" s="588">
        <v>47</v>
      </c>
      <c r="G1542" s="588">
        <v>0</v>
      </c>
      <c r="H1542" s="588">
        <v>0</v>
      </c>
      <c r="I1542" s="588">
        <v>0</v>
      </c>
      <c r="J1542" s="588">
        <v>32</v>
      </c>
      <c r="K1542" s="588">
        <v>0</v>
      </c>
      <c r="L1542" s="588">
        <v>0</v>
      </c>
      <c r="M1542" s="588">
        <v>0</v>
      </c>
      <c r="N1542" s="588">
        <v>36</v>
      </c>
      <c r="O1542" s="588">
        <v>50</v>
      </c>
      <c r="P1542" s="588">
        <v>77</v>
      </c>
      <c r="Q1542" s="588">
        <v>16</v>
      </c>
      <c r="R1542" s="588">
        <v>192</v>
      </c>
      <c r="S1542" s="588">
        <v>66</v>
      </c>
      <c r="T1542" s="588">
        <v>2017</v>
      </c>
      <c r="U1542" s="588">
        <v>2014</v>
      </c>
      <c r="V1542" s="589"/>
      <c r="W1542" s="589"/>
      <c r="X1542" s="589"/>
      <c r="Y1542" s="589"/>
      <c r="Z1542" s="589"/>
      <c r="AA1542" s="589"/>
      <c r="AB1542" s="589"/>
      <c r="AC1542" s="589"/>
      <c r="AD1542" s="589"/>
      <c r="AE1542" s="589"/>
      <c r="AF1542" s="589"/>
      <c r="AG1542" s="589"/>
      <c r="AH1542" s="589"/>
      <c r="AI1542" s="589"/>
      <c r="AJ1542" s="589"/>
      <c r="AK1542" s="589"/>
      <c r="AL1542" s="589"/>
      <c r="AM1542" s="589"/>
      <c r="AN1542" s="589"/>
      <c r="AO1542" s="589"/>
      <c r="AP1542" s="589"/>
      <c r="AQ1542" s="589"/>
      <c r="AR1542" s="589"/>
      <c r="AS1542" s="589"/>
    </row>
    <row r="1543" spans="1:45" ht="15">
      <c r="A1543" s="590" t="s">
        <v>157</v>
      </c>
      <c r="B1543" s="591" t="s">
        <v>447</v>
      </c>
      <c r="C1543" s="591" t="s">
        <v>774</v>
      </c>
      <c r="D1543" s="592">
        <v>2017</v>
      </c>
      <c r="E1543" s="591" t="s">
        <v>775</v>
      </c>
      <c r="F1543" s="592">
        <v>24</v>
      </c>
      <c r="G1543" s="592">
        <v>0</v>
      </c>
      <c r="H1543" s="592">
        <v>0</v>
      </c>
      <c r="I1543" s="592">
        <v>0</v>
      </c>
      <c r="J1543" s="592">
        <v>16</v>
      </c>
      <c r="K1543" s="592">
        <v>0</v>
      </c>
      <c r="L1543" s="592">
        <v>0</v>
      </c>
      <c r="M1543" s="592">
        <v>0</v>
      </c>
      <c r="N1543" s="593">
        <v>19</v>
      </c>
      <c r="O1543" s="593">
        <v>0</v>
      </c>
      <c r="P1543" s="593">
        <v>19</v>
      </c>
      <c r="Q1543" s="593">
        <v>7</v>
      </c>
      <c r="R1543" s="593">
        <v>78</v>
      </c>
      <c r="S1543" s="593">
        <v>7</v>
      </c>
      <c r="T1543" s="593">
        <v>2017</v>
      </c>
      <c r="U1543" s="593">
        <v>2015</v>
      </c>
      <c r="V1543" s="589"/>
      <c r="W1543" s="589"/>
      <c r="X1543" s="589"/>
      <c r="Y1543" s="589"/>
      <c r="Z1543" s="589"/>
      <c r="AA1543" s="589"/>
      <c r="AB1543" s="589"/>
      <c r="AC1543" s="589"/>
      <c r="AD1543" s="589"/>
      <c r="AE1543" s="589"/>
      <c r="AF1543" s="589"/>
      <c r="AG1543" s="589"/>
      <c r="AH1543" s="589"/>
      <c r="AI1543" s="589"/>
      <c r="AJ1543" s="589"/>
      <c r="AK1543" s="589"/>
      <c r="AL1543" s="589"/>
      <c r="AM1543" s="589"/>
      <c r="AN1543" s="589"/>
      <c r="AO1543" s="589"/>
      <c r="AP1543" s="589"/>
      <c r="AQ1543" s="589"/>
      <c r="AR1543" s="589"/>
      <c r="AS1543" s="589"/>
    </row>
    <row r="1544" spans="1:45" ht="15">
      <c r="A1544" s="587" t="s">
        <v>153</v>
      </c>
      <c r="B1544" s="587" t="s">
        <v>427</v>
      </c>
      <c r="C1544" s="587" t="s">
        <v>812</v>
      </c>
      <c r="D1544" s="588">
        <v>2017</v>
      </c>
      <c r="E1544" s="587" t="s">
        <v>775</v>
      </c>
      <c r="F1544" s="588">
        <v>380</v>
      </c>
      <c r="G1544" s="588">
        <v>0</v>
      </c>
      <c r="H1544" s="588">
        <v>0</v>
      </c>
      <c r="I1544" s="588">
        <v>0</v>
      </c>
      <c r="J1544" s="588">
        <v>227</v>
      </c>
      <c r="K1544" s="588">
        <v>0</v>
      </c>
      <c r="L1544" s="588">
        <v>0</v>
      </c>
      <c r="M1544" s="588">
        <v>0</v>
      </c>
      <c r="N1544" s="588">
        <v>243</v>
      </c>
      <c r="O1544" s="588">
        <v>4</v>
      </c>
      <c r="P1544" s="588">
        <v>600</v>
      </c>
      <c r="Q1544" s="588">
        <v>9</v>
      </c>
      <c r="R1544" s="588">
        <v>1450</v>
      </c>
      <c r="S1544" s="588">
        <v>13</v>
      </c>
      <c r="T1544" s="588">
        <v>2017</v>
      </c>
      <c r="U1544" s="588">
        <v>2014</v>
      </c>
      <c r="V1544" s="589"/>
      <c r="W1544" s="589"/>
      <c r="X1544" s="589"/>
      <c r="Y1544" s="589"/>
      <c r="Z1544" s="589"/>
      <c r="AA1544" s="589"/>
      <c r="AB1544" s="589"/>
      <c r="AC1544" s="589"/>
      <c r="AD1544" s="589"/>
      <c r="AE1544" s="589"/>
      <c r="AF1544" s="589"/>
      <c r="AG1544" s="589"/>
      <c r="AH1544" s="589"/>
      <c r="AI1544" s="589"/>
      <c r="AJ1544" s="589"/>
      <c r="AK1544" s="589"/>
      <c r="AL1544" s="589"/>
      <c r="AM1544" s="589"/>
      <c r="AN1544" s="589"/>
      <c r="AO1544" s="589"/>
      <c r="AP1544" s="589"/>
      <c r="AQ1544" s="589"/>
      <c r="AR1544" s="589"/>
      <c r="AS1544" s="589"/>
    </row>
    <row r="1545" spans="1:45" ht="15">
      <c r="A1545" s="590" t="s">
        <v>182</v>
      </c>
      <c r="B1545" s="591" t="s">
        <v>615</v>
      </c>
      <c r="C1545" s="591" t="s">
        <v>177</v>
      </c>
      <c r="D1545" s="592">
        <v>2017</v>
      </c>
      <c r="E1545" s="591" t="s">
        <v>775</v>
      </c>
      <c r="F1545" s="592">
        <v>980</v>
      </c>
      <c r="G1545" s="592">
        <v>0</v>
      </c>
      <c r="H1545" s="592">
        <v>0</v>
      </c>
      <c r="I1545" s="592">
        <v>0</v>
      </c>
      <c r="J1545" s="592">
        <v>705</v>
      </c>
      <c r="K1545" s="592">
        <v>0</v>
      </c>
      <c r="L1545" s="592">
        <v>0</v>
      </c>
      <c r="M1545" s="592">
        <v>0</v>
      </c>
      <c r="N1545" s="593">
        <v>828</v>
      </c>
      <c r="O1545" s="593">
        <v>3</v>
      </c>
      <c r="P1545" s="593">
        <v>2463</v>
      </c>
      <c r="Q1545" s="593">
        <v>301</v>
      </c>
      <c r="R1545" s="593">
        <v>4976</v>
      </c>
      <c r="S1545" s="593">
        <v>304</v>
      </c>
      <c r="T1545" s="593">
        <v>2017</v>
      </c>
      <c r="U1545" s="593">
        <v>2016</v>
      </c>
      <c r="V1545" s="589"/>
      <c r="W1545" s="589"/>
      <c r="X1545" s="589"/>
      <c r="Y1545" s="589"/>
      <c r="Z1545" s="589"/>
      <c r="AA1545" s="589"/>
      <c r="AB1545" s="589"/>
      <c r="AC1545" s="589"/>
      <c r="AD1545" s="589"/>
      <c r="AE1545" s="589"/>
      <c r="AF1545" s="589"/>
      <c r="AG1545" s="589"/>
      <c r="AH1545" s="589"/>
      <c r="AI1545" s="589"/>
      <c r="AJ1545" s="589"/>
      <c r="AK1545" s="589"/>
      <c r="AL1545" s="589"/>
      <c r="AM1545" s="589"/>
      <c r="AN1545" s="589"/>
      <c r="AO1545" s="589"/>
      <c r="AP1545" s="589"/>
      <c r="AQ1545" s="589"/>
      <c r="AR1545" s="589"/>
      <c r="AS1545" s="589"/>
    </row>
    <row r="1546" spans="1:45" ht="15">
      <c r="A1546" s="587" t="s">
        <v>145</v>
      </c>
      <c r="B1546" s="587" t="s">
        <v>314</v>
      </c>
      <c r="C1546" s="587" t="s">
        <v>784</v>
      </c>
      <c r="D1546" s="588">
        <v>2017</v>
      </c>
      <c r="E1546" s="587" t="s">
        <v>775</v>
      </c>
      <c r="F1546" s="588">
        <v>1</v>
      </c>
      <c r="G1546" s="588">
        <v>0</v>
      </c>
      <c r="H1546" s="588">
        <v>0</v>
      </c>
      <c r="I1546" s="588">
        <v>0</v>
      </c>
      <c r="J1546" s="588">
        <v>1</v>
      </c>
      <c r="K1546" s="588">
        <v>0</v>
      </c>
      <c r="L1546" s="588">
        <v>0</v>
      </c>
      <c r="M1546" s="588">
        <v>0</v>
      </c>
      <c r="N1546" s="588">
        <v>1</v>
      </c>
      <c r="O1546" s="588">
        <v>0</v>
      </c>
      <c r="P1546" s="588">
        <v>2</v>
      </c>
      <c r="Q1546" s="588">
        <v>1</v>
      </c>
      <c r="R1546" s="588">
        <v>5</v>
      </c>
      <c r="S1546" s="588">
        <v>1</v>
      </c>
      <c r="T1546" s="588">
        <v>2017</v>
      </c>
      <c r="U1546" s="588">
        <v>2014</v>
      </c>
      <c r="V1546" s="589"/>
      <c r="W1546" s="589"/>
      <c r="X1546" s="589"/>
      <c r="Y1546" s="589"/>
      <c r="Z1546" s="589"/>
      <c r="AA1546" s="589"/>
      <c r="AB1546" s="589"/>
      <c r="AC1546" s="589"/>
      <c r="AD1546" s="589"/>
      <c r="AE1546" s="589"/>
      <c r="AF1546" s="589"/>
      <c r="AG1546" s="589"/>
      <c r="AH1546" s="589"/>
      <c r="AI1546" s="589"/>
      <c r="AJ1546" s="589"/>
      <c r="AK1546" s="589"/>
      <c r="AL1546" s="589"/>
      <c r="AM1546" s="589"/>
      <c r="AN1546" s="589"/>
      <c r="AO1546" s="589"/>
      <c r="AP1546" s="589"/>
      <c r="AQ1546" s="589"/>
      <c r="AR1546" s="589"/>
      <c r="AS1546" s="589"/>
    </row>
    <row r="1547" spans="1:45" ht="15">
      <c r="A1547" s="590" t="s">
        <v>198</v>
      </c>
      <c r="B1547" s="591" t="s">
        <v>719</v>
      </c>
      <c r="C1547" s="591" t="s">
        <v>784</v>
      </c>
      <c r="D1547" s="592">
        <v>2017</v>
      </c>
      <c r="E1547" s="591" t="s">
        <v>775</v>
      </c>
      <c r="F1547" s="592">
        <v>2</v>
      </c>
      <c r="G1547" s="592">
        <v>0</v>
      </c>
      <c r="H1547" s="592">
        <v>0</v>
      </c>
      <c r="I1547" s="592">
        <v>0</v>
      </c>
      <c r="J1547" s="592">
        <v>2</v>
      </c>
      <c r="K1547" s="592">
        <v>0</v>
      </c>
      <c r="L1547" s="592">
        <v>0</v>
      </c>
      <c r="M1547" s="592">
        <v>0</v>
      </c>
      <c r="N1547" s="593">
        <v>2</v>
      </c>
      <c r="O1547" s="593">
        <v>0</v>
      </c>
      <c r="P1547" s="593">
        <v>4</v>
      </c>
      <c r="Q1547" s="593">
        <v>78</v>
      </c>
      <c r="R1547" s="593">
        <v>10</v>
      </c>
      <c r="S1547" s="593">
        <v>78</v>
      </c>
      <c r="T1547" s="593">
        <v>2017</v>
      </c>
      <c r="U1547" s="593">
        <v>2014</v>
      </c>
      <c r="V1547" s="589"/>
      <c r="W1547" s="589"/>
      <c r="X1547" s="589"/>
      <c r="Y1547" s="589"/>
      <c r="Z1547" s="589"/>
      <c r="AA1547" s="589"/>
      <c r="AB1547" s="589"/>
      <c r="AC1547" s="589"/>
      <c r="AD1547" s="589"/>
      <c r="AE1547" s="589"/>
      <c r="AF1547" s="589"/>
      <c r="AG1547" s="589"/>
      <c r="AH1547" s="589"/>
      <c r="AI1547" s="589"/>
      <c r="AJ1547" s="589"/>
      <c r="AK1547" s="589"/>
      <c r="AL1547" s="589"/>
      <c r="AM1547" s="589"/>
      <c r="AN1547" s="589"/>
      <c r="AO1547" s="589"/>
      <c r="AP1547" s="589"/>
      <c r="AQ1547" s="589"/>
      <c r="AR1547" s="589"/>
      <c r="AS1547" s="589"/>
    </row>
    <row r="1548" spans="1:45" ht="15">
      <c r="A1548" s="587" t="s">
        <v>168</v>
      </c>
      <c r="B1548" s="587" t="s">
        <v>484</v>
      </c>
      <c r="C1548" s="587" t="s">
        <v>784</v>
      </c>
      <c r="D1548" s="588">
        <v>2017</v>
      </c>
      <c r="E1548" s="587" t="s">
        <v>775</v>
      </c>
      <c r="F1548" s="588">
        <v>108</v>
      </c>
      <c r="G1548" s="588">
        <v>0</v>
      </c>
      <c r="H1548" s="588">
        <v>0</v>
      </c>
      <c r="I1548" s="588">
        <v>0</v>
      </c>
      <c r="J1548" s="588">
        <v>75</v>
      </c>
      <c r="K1548" s="588">
        <v>0</v>
      </c>
      <c r="L1548" s="588">
        <v>0</v>
      </c>
      <c r="M1548" s="588">
        <v>0</v>
      </c>
      <c r="N1548" s="588">
        <v>78</v>
      </c>
      <c r="O1548" s="588">
        <v>0</v>
      </c>
      <c r="P1548" s="588">
        <v>199</v>
      </c>
      <c r="Q1548" s="588">
        <v>93</v>
      </c>
      <c r="R1548" s="588">
        <v>460</v>
      </c>
      <c r="S1548" s="588">
        <v>93</v>
      </c>
      <c r="T1548" s="588">
        <v>2017</v>
      </c>
      <c r="U1548" s="588">
        <v>2014</v>
      </c>
      <c r="V1548" s="589"/>
      <c r="W1548" s="589"/>
      <c r="X1548" s="589"/>
      <c r="Y1548" s="589"/>
      <c r="Z1548" s="589"/>
      <c r="AA1548" s="589"/>
      <c r="AB1548" s="589"/>
      <c r="AC1548" s="589"/>
      <c r="AD1548" s="589"/>
      <c r="AE1548" s="589"/>
      <c r="AF1548" s="589"/>
      <c r="AG1548" s="589"/>
      <c r="AH1548" s="589"/>
      <c r="AI1548" s="589"/>
      <c r="AJ1548" s="589"/>
      <c r="AK1548" s="589"/>
      <c r="AL1548" s="589"/>
      <c r="AM1548" s="589"/>
      <c r="AN1548" s="589"/>
      <c r="AO1548" s="589"/>
      <c r="AP1548" s="589"/>
      <c r="AQ1548" s="589"/>
      <c r="AR1548" s="589"/>
      <c r="AS1548" s="589"/>
    </row>
    <row r="1549" spans="1:45" ht="15">
      <c r="A1549" s="590" t="s">
        <v>199</v>
      </c>
      <c r="B1549" s="591" t="s">
        <v>199</v>
      </c>
      <c r="C1549" s="591" t="s">
        <v>177</v>
      </c>
      <c r="D1549" s="592">
        <v>2017</v>
      </c>
      <c r="E1549" s="591" t="s">
        <v>775</v>
      </c>
      <c r="F1549" s="592">
        <v>920</v>
      </c>
      <c r="G1549" s="592">
        <v>0</v>
      </c>
      <c r="H1549" s="592">
        <v>0</v>
      </c>
      <c r="I1549" s="592">
        <v>0</v>
      </c>
      <c r="J1549" s="592">
        <v>609</v>
      </c>
      <c r="K1549" s="592">
        <v>7</v>
      </c>
      <c r="L1549" s="592">
        <v>7</v>
      </c>
      <c r="M1549" s="592">
        <v>0</v>
      </c>
      <c r="N1549" s="593">
        <v>613</v>
      </c>
      <c r="O1549" s="593">
        <v>0</v>
      </c>
      <c r="P1549" s="593">
        <v>1452</v>
      </c>
      <c r="Q1549" s="593">
        <v>354</v>
      </c>
      <c r="R1549" s="593">
        <v>3594</v>
      </c>
      <c r="S1549" s="593">
        <v>361</v>
      </c>
      <c r="T1549" s="593">
        <v>2017</v>
      </c>
      <c r="U1549" s="593">
        <v>2016</v>
      </c>
      <c r="V1549" s="589"/>
      <c r="W1549" s="589"/>
      <c r="X1549" s="589"/>
      <c r="Y1549" s="589"/>
      <c r="Z1549" s="589"/>
      <c r="AA1549" s="589"/>
      <c r="AB1549" s="589"/>
      <c r="AC1549" s="589"/>
      <c r="AD1549" s="589"/>
      <c r="AE1549" s="589"/>
      <c r="AF1549" s="589"/>
      <c r="AG1549" s="589"/>
      <c r="AH1549" s="589"/>
      <c r="AI1549" s="589"/>
      <c r="AJ1549" s="589"/>
      <c r="AK1549" s="589"/>
      <c r="AL1549" s="589"/>
      <c r="AM1549" s="589"/>
      <c r="AN1549" s="589"/>
      <c r="AO1549" s="589"/>
      <c r="AP1549" s="589"/>
      <c r="AQ1549" s="589"/>
      <c r="AR1549" s="589"/>
      <c r="AS1549" s="589"/>
    </row>
    <row r="1550" spans="1:45" ht="15">
      <c r="A1550" s="587" t="s">
        <v>199</v>
      </c>
      <c r="B1550" s="587" t="s">
        <v>725</v>
      </c>
      <c r="C1550" s="587" t="s">
        <v>177</v>
      </c>
      <c r="D1550" s="588">
        <v>2017</v>
      </c>
      <c r="E1550" s="587" t="s">
        <v>775</v>
      </c>
      <c r="F1550" s="588">
        <v>1477</v>
      </c>
      <c r="G1550" s="588">
        <v>33</v>
      </c>
      <c r="H1550" s="588">
        <v>0</v>
      </c>
      <c r="I1550" s="588">
        <v>33</v>
      </c>
      <c r="J1550" s="588">
        <v>1065</v>
      </c>
      <c r="K1550" s="588">
        <v>84</v>
      </c>
      <c r="L1550" s="588">
        <v>0</v>
      </c>
      <c r="M1550" s="588">
        <v>84</v>
      </c>
      <c r="N1550" s="588">
        <v>1169</v>
      </c>
      <c r="O1550" s="588">
        <v>16</v>
      </c>
      <c r="P1550" s="588">
        <v>3370</v>
      </c>
      <c r="Q1550" s="588">
        <v>13</v>
      </c>
      <c r="R1550" s="588">
        <v>7081</v>
      </c>
      <c r="S1550" s="588">
        <v>146</v>
      </c>
      <c r="T1550" s="588">
        <v>2017</v>
      </c>
      <c r="U1550" s="588">
        <v>2016</v>
      </c>
      <c r="V1550" s="589"/>
      <c r="W1550" s="589"/>
      <c r="X1550" s="589"/>
      <c r="Y1550" s="589"/>
      <c r="Z1550" s="589"/>
      <c r="AA1550" s="589"/>
      <c r="AB1550" s="589"/>
      <c r="AC1550" s="589"/>
      <c r="AD1550" s="589"/>
      <c r="AE1550" s="589"/>
      <c r="AF1550" s="589"/>
      <c r="AG1550" s="589"/>
      <c r="AH1550" s="589"/>
      <c r="AI1550" s="589"/>
      <c r="AJ1550" s="589"/>
      <c r="AK1550" s="589"/>
      <c r="AL1550" s="589"/>
      <c r="AM1550" s="589"/>
      <c r="AN1550" s="589"/>
      <c r="AO1550" s="589"/>
      <c r="AP1550" s="589"/>
      <c r="AQ1550" s="589"/>
      <c r="AR1550" s="589"/>
      <c r="AS1550" s="589"/>
    </row>
    <row r="1551" spans="1:45" ht="15">
      <c r="A1551" s="590" t="s">
        <v>200</v>
      </c>
      <c r="B1551" s="591" t="s">
        <v>729</v>
      </c>
      <c r="C1551" s="591" t="s">
        <v>784</v>
      </c>
      <c r="D1551" s="592">
        <v>2017</v>
      </c>
      <c r="E1551" s="591" t="s">
        <v>775</v>
      </c>
      <c r="F1551" s="592">
        <v>102</v>
      </c>
      <c r="G1551" s="592">
        <v>0</v>
      </c>
      <c r="H1551" s="592">
        <v>0</v>
      </c>
      <c r="I1551" s="592">
        <v>0</v>
      </c>
      <c r="J1551" s="592">
        <v>74</v>
      </c>
      <c r="K1551" s="592">
        <v>2</v>
      </c>
      <c r="L1551" s="592">
        <v>2</v>
      </c>
      <c r="M1551" s="592">
        <v>0</v>
      </c>
      <c r="N1551" s="593">
        <v>81</v>
      </c>
      <c r="O1551" s="593">
        <v>0</v>
      </c>
      <c r="P1551" s="593">
        <v>193</v>
      </c>
      <c r="Q1551" s="593">
        <v>71</v>
      </c>
      <c r="R1551" s="593">
        <v>450</v>
      </c>
      <c r="S1551" s="593">
        <v>73</v>
      </c>
      <c r="T1551" s="593">
        <v>2017</v>
      </c>
      <c r="U1551" s="593">
        <v>2014</v>
      </c>
      <c r="V1551" s="589"/>
      <c r="W1551" s="589"/>
      <c r="X1551" s="589"/>
      <c r="Y1551" s="589"/>
      <c r="Z1551" s="589"/>
      <c r="AA1551" s="589"/>
      <c r="AB1551" s="589"/>
      <c r="AC1551" s="589"/>
      <c r="AD1551" s="589"/>
      <c r="AE1551" s="589"/>
      <c r="AF1551" s="589"/>
      <c r="AG1551" s="589"/>
      <c r="AH1551" s="589"/>
      <c r="AI1551" s="589"/>
      <c r="AJ1551" s="589"/>
      <c r="AK1551" s="589"/>
      <c r="AL1551" s="589"/>
      <c r="AM1551" s="589"/>
      <c r="AN1551" s="589"/>
      <c r="AO1551" s="589"/>
      <c r="AP1551" s="589"/>
      <c r="AQ1551" s="589"/>
      <c r="AR1551" s="589"/>
      <c r="AS1551" s="589"/>
    </row>
    <row r="1552" spans="1:45" ht="15">
      <c r="A1552" s="587" t="s">
        <v>195</v>
      </c>
      <c r="B1552" s="587" t="s">
        <v>711</v>
      </c>
      <c r="C1552" s="587" t="s">
        <v>177</v>
      </c>
      <c r="D1552" s="588">
        <v>2017</v>
      </c>
      <c r="E1552" s="587" t="s">
        <v>775</v>
      </c>
      <c r="F1552" s="588">
        <v>877</v>
      </c>
      <c r="G1552" s="588">
        <v>0</v>
      </c>
      <c r="H1552" s="588">
        <v>0</v>
      </c>
      <c r="I1552" s="588">
        <v>0</v>
      </c>
      <c r="J1552" s="588">
        <v>562</v>
      </c>
      <c r="K1552" s="588">
        <v>0</v>
      </c>
      <c r="L1552" s="588">
        <v>0</v>
      </c>
      <c r="M1552" s="588">
        <v>0</v>
      </c>
      <c r="N1552" s="588">
        <v>627</v>
      </c>
      <c r="O1552" s="588">
        <v>3</v>
      </c>
      <c r="P1552" s="588">
        <v>1552</v>
      </c>
      <c r="Q1552" s="588">
        <v>18</v>
      </c>
      <c r="R1552" s="588">
        <v>3618</v>
      </c>
      <c r="S1552" s="588">
        <v>21</v>
      </c>
      <c r="T1552" s="588">
        <v>2017</v>
      </c>
      <c r="U1552" s="588">
        <v>2016</v>
      </c>
      <c r="V1552" s="589"/>
      <c r="W1552" s="589"/>
      <c r="X1552" s="589"/>
      <c r="Y1552" s="589"/>
      <c r="Z1552" s="589"/>
      <c r="AA1552" s="589"/>
      <c r="AB1552" s="589"/>
      <c r="AC1552" s="589"/>
      <c r="AD1552" s="589"/>
      <c r="AE1552" s="589"/>
      <c r="AF1552" s="589"/>
      <c r="AG1552" s="589"/>
      <c r="AH1552" s="589"/>
      <c r="AI1552" s="589"/>
      <c r="AJ1552" s="589"/>
      <c r="AK1552" s="589"/>
      <c r="AL1552" s="589"/>
      <c r="AM1552" s="589"/>
      <c r="AN1552" s="589"/>
      <c r="AO1552" s="589"/>
      <c r="AP1552" s="589"/>
      <c r="AQ1552" s="589"/>
      <c r="AR1552" s="589"/>
      <c r="AS1552" s="589"/>
    </row>
    <row r="1553" spans="1:45" ht="15">
      <c r="A1553" s="590" t="s">
        <v>169</v>
      </c>
      <c r="B1553" s="591" t="s">
        <v>515</v>
      </c>
      <c r="C1553" s="591" t="s">
        <v>812</v>
      </c>
      <c r="D1553" s="592">
        <v>2017</v>
      </c>
      <c r="E1553" s="591" t="s">
        <v>775</v>
      </c>
      <c r="F1553" s="592">
        <v>283</v>
      </c>
      <c r="G1553" s="592">
        <v>1</v>
      </c>
      <c r="H1553" s="592">
        <v>1</v>
      </c>
      <c r="I1553" s="592">
        <v>0</v>
      </c>
      <c r="J1553" s="592">
        <v>195</v>
      </c>
      <c r="K1553" s="592">
        <v>0</v>
      </c>
      <c r="L1553" s="592">
        <v>0</v>
      </c>
      <c r="M1553" s="592">
        <v>0</v>
      </c>
      <c r="N1553" s="593">
        <v>224</v>
      </c>
      <c r="O1553" s="593">
        <v>0</v>
      </c>
      <c r="P1553" s="593">
        <v>525</v>
      </c>
      <c r="Q1553" s="593">
        <v>13</v>
      </c>
      <c r="R1553" s="593">
        <v>1227</v>
      </c>
      <c r="S1553" s="593">
        <v>14</v>
      </c>
      <c r="T1553" s="593">
        <v>2017</v>
      </c>
      <c r="U1553" s="593">
        <v>2014</v>
      </c>
      <c r="V1553" s="589"/>
      <c r="W1553" s="589"/>
      <c r="X1553" s="589"/>
      <c r="Y1553" s="589"/>
      <c r="Z1553" s="589"/>
      <c r="AA1553" s="589"/>
      <c r="AB1553" s="589"/>
      <c r="AC1553" s="589"/>
      <c r="AD1553" s="589"/>
      <c r="AE1553" s="589"/>
      <c r="AF1553" s="589"/>
      <c r="AG1553" s="589"/>
      <c r="AH1553" s="589"/>
      <c r="AI1553" s="589"/>
      <c r="AJ1553" s="589"/>
      <c r="AK1553" s="589"/>
      <c r="AL1553" s="589"/>
      <c r="AM1553" s="589"/>
      <c r="AN1553" s="589"/>
      <c r="AO1553" s="589"/>
      <c r="AP1553" s="589"/>
      <c r="AQ1553" s="589"/>
      <c r="AR1553" s="589"/>
      <c r="AS1553" s="589"/>
    </row>
    <row r="1554" spans="1:45" ht="15">
      <c r="A1554" s="587" t="s">
        <v>178</v>
      </c>
      <c r="B1554" s="587" t="s">
        <v>585</v>
      </c>
      <c r="C1554" s="587" t="s">
        <v>812</v>
      </c>
      <c r="D1554" s="588">
        <v>2017</v>
      </c>
      <c r="E1554" s="587" t="s">
        <v>775</v>
      </c>
      <c r="F1554" s="588">
        <v>103</v>
      </c>
      <c r="G1554" s="588">
        <v>0</v>
      </c>
      <c r="H1554" s="588">
        <v>0</v>
      </c>
      <c r="I1554" s="588">
        <v>0</v>
      </c>
      <c r="J1554" s="588">
        <v>72</v>
      </c>
      <c r="K1554" s="588">
        <v>0</v>
      </c>
      <c r="L1554" s="588">
        <v>0</v>
      </c>
      <c r="M1554" s="588">
        <v>0</v>
      </c>
      <c r="N1554" s="588">
        <v>84</v>
      </c>
      <c r="O1554" s="588">
        <v>10</v>
      </c>
      <c r="P1554" s="588">
        <v>195</v>
      </c>
      <c r="Q1554" s="588">
        <v>0</v>
      </c>
      <c r="R1554" s="588">
        <v>454</v>
      </c>
      <c r="S1554" s="588">
        <v>10</v>
      </c>
      <c r="T1554" s="588">
        <v>2017</v>
      </c>
      <c r="U1554" s="588">
        <v>2014</v>
      </c>
      <c r="V1554" s="589"/>
      <c r="W1554" s="589"/>
      <c r="X1554" s="589"/>
      <c r="Y1554" s="589"/>
      <c r="Z1554" s="589"/>
      <c r="AA1554" s="589"/>
      <c r="AB1554" s="589"/>
      <c r="AC1554" s="589"/>
      <c r="AD1554" s="589"/>
      <c r="AE1554" s="589"/>
      <c r="AF1554" s="589"/>
      <c r="AG1554" s="589"/>
      <c r="AH1554" s="589"/>
      <c r="AI1554" s="589"/>
      <c r="AJ1554" s="589"/>
      <c r="AK1554" s="589"/>
      <c r="AL1554" s="589"/>
      <c r="AM1554" s="589"/>
      <c r="AN1554" s="589"/>
      <c r="AO1554" s="589"/>
      <c r="AP1554" s="589"/>
      <c r="AQ1554" s="589"/>
      <c r="AR1554" s="589"/>
      <c r="AS1554" s="589"/>
    </row>
    <row r="1555" spans="1:45" ht="15">
      <c r="A1555" s="590" t="s">
        <v>159</v>
      </c>
      <c r="B1555" s="591" t="s">
        <v>452</v>
      </c>
      <c r="C1555" s="591" t="s">
        <v>784</v>
      </c>
      <c r="D1555" s="592">
        <v>2017</v>
      </c>
      <c r="E1555" s="591" t="s">
        <v>775</v>
      </c>
      <c r="F1555" s="592">
        <v>11</v>
      </c>
      <c r="G1555" s="592">
        <v>0</v>
      </c>
      <c r="H1555" s="592">
        <v>0</v>
      </c>
      <c r="I1555" s="592">
        <v>0</v>
      </c>
      <c r="J1555" s="592">
        <v>7</v>
      </c>
      <c r="K1555" s="592">
        <v>0</v>
      </c>
      <c r="L1555" s="592">
        <v>0</v>
      </c>
      <c r="M1555" s="592">
        <v>0</v>
      </c>
      <c r="N1555" s="593">
        <v>7</v>
      </c>
      <c r="O1555" s="593">
        <v>0</v>
      </c>
      <c r="P1555" s="593">
        <v>20</v>
      </c>
      <c r="Q1555" s="593">
        <v>4</v>
      </c>
      <c r="R1555" s="593">
        <v>45</v>
      </c>
      <c r="S1555" s="593">
        <v>4</v>
      </c>
      <c r="T1555" s="593">
        <v>2017</v>
      </c>
      <c r="U1555" s="593">
        <v>2014</v>
      </c>
      <c r="V1555" s="589"/>
      <c r="W1555" s="589"/>
      <c r="X1555" s="589"/>
      <c r="Y1555" s="589"/>
      <c r="Z1555" s="589"/>
      <c r="AA1555" s="589"/>
      <c r="AB1555" s="589"/>
      <c r="AC1555" s="589"/>
      <c r="AD1555" s="589"/>
      <c r="AE1555" s="589"/>
      <c r="AF1555" s="589"/>
      <c r="AG1555" s="589"/>
      <c r="AH1555" s="589"/>
      <c r="AI1555" s="589"/>
      <c r="AJ1555" s="589"/>
      <c r="AK1555" s="589"/>
      <c r="AL1555" s="589"/>
      <c r="AM1555" s="589"/>
      <c r="AN1555" s="589"/>
      <c r="AO1555" s="589"/>
      <c r="AP1555" s="589"/>
      <c r="AQ1555" s="589"/>
      <c r="AR1555" s="589"/>
      <c r="AS1555" s="589"/>
    </row>
    <row r="1556" spans="1:45" ht="15">
      <c r="A1556" s="587" t="s">
        <v>125</v>
      </c>
      <c r="B1556" s="587" t="s">
        <v>246</v>
      </c>
      <c r="C1556" s="587" t="s">
        <v>774</v>
      </c>
      <c r="D1556" s="588">
        <v>2017</v>
      </c>
      <c r="E1556" s="587" t="s">
        <v>775</v>
      </c>
      <c r="F1556" s="588">
        <v>317</v>
      </c>
      <c r="G1556" s="588">
        <v>0</v>
      </c>
      <c r="H1556" s="588">
        <v>0</v>
      </c>
      <c r="I1556" s="588">
        <v>0</v>
      </c>
      <c r="J1556" s="588">
        <v>180</v>
      </c>
      <c r="K1556" s="588">
        <v>0</v>
      </c>
      <c r="L1556" s="588">
        <v>0</v>
      </c>
      <c r="M1556" s="588">
        <v>0</v>
      </c>
      <c r="N1556" s="588">
        <v>192</v>
      </c>
      <c r="O1556" s="588">
        <v>3</v>
      </c>
      <c r="P1556" s="588">
        <v>417</v>
      </c>
      <c r="Q1556" s="588">
        <v>27</v>
      </c>
      <c r="R1556" s="588">
        <v>1106</v>
      </c>
      <c r="S1556" s="588">
        <v>30</v>
      </c>
      <c r="T1556" s="588">
        <v>2017</v>
      </c>
      <c r="U1556" s="588">
        <v>2015</v>
      </c>
      <c r="V1556" s="589"/>
      <c r="W1556" s="589"/>
      <c r="X1556" s="589"/>
      <c r="Y1556" s="589"/>
      <c r="Z1556" s="589"/>
      <c r="AA1556" s="589"/>
      <c r="AB1556" s="589"/>
      <c r="AC1556" s="589"/>
      <c r="AD1556" s="589"/>
      <c r="AE1556" s="589"/>
      <c r="AF1556" s="589"/>
      <c r="AG1556" s="589"/>
      <c r="AH1556" s="589"/>
      <c r="AI1556" s="589"/>
      <c r="AJ1556" s="589"/>
      <c r="AK1556" s="589"/>
      <c r="AL1556" s="589"/>
      <c r="AM1556" s="589"/>
      <c r="AN1556" s="589"/>
      <c r="AO1556" s="589"/>
      <c r="AP1556" s="589"/>
      <c r="AQ1556" s="589"/>
      <c r="AR1556" s="589"/>
      <c r="AS1556" s="589"/>
    </row>
    <row r="1557" spans="1:45" ht="15">
      <c r="A1557" s="590" t="s">
        <v>178</v>
      </c>
      <c r="B1557" s="591" t="s">
        <v>586</v>
      </c>
      <c r="C1557" s="591" t="s">
        <v>812</v>
      </c>
      <c r="D1557" s="592">
        <v>2017</v>
      </c>
      <c r="E1557" s="591" t="s">
        <v>775</v>
      </c>
      <c r="F1557" s="592">
        <v>382</v>
      </c>
      <c r="G1557" s="592">
        <v>0</v>
      </c>
      <c r="H1557" s="592">
        <v>0</v>
      </c>
      <c r="I1557" s="592">
        <v>0</v>
      </c>
      <c r="J1557" s="592">
        <v>260</v>
      </c>
      <c r="K1557" s="592">
        <v>0</v>
      </c>
      <c r="L1557" s="592">
        <v>0</v>
      </c>
      <c r="M1557" s="592">
        <v>0</v>
      </c>
      <c r="N1557" s="593">
        <v>294</v>
      </c>
      <c r="O1557" s="593">
        <v>0</v>
      </c>
      <c r="P1557" s="593">
        <v>653</v>
      </c>
      <c r="Q1557" s="593">
        <v>99</v>
      </c>
      <c r="R1557" s="593">
        <v>1589</v>
      </c>
      <c r="S1557" s="593">
        <v>99</v>
      </c>
      <c r="T1557" s="593">
        <v>2017</v>
      </c>
      <c r="U1557" s="593">
        <v>2014</v>
      </c>
      <c r="V1557" s="589"/>
      <c r="W1557" s="589"/>
      <c r="X1557" s="589"/>
      <c r="Y1557" s="589"/>
      <c r="Z1557" s="589"/>
      <c r="AA1557" s="589"/>
      <c r="AB1557" s="589"/>
      <c r="AC1557" s="589"/>
      <c r="AD1557" s="589"/>
      <c r="AE1557" s="589"/>
      <c r="AF1557" s="589"/>
      <c r="AG1557" s="589"/>
      <c r="AH1557" s="589"/>
      <c r="AI1557" s="589"/>
      <c r="AJ1557" s="589"/>
      <c r="AK1557" s="589"/>
      <c r="AL1557" s="589"/>
      <c r="AM1557" s="589"/>
      <c r="AN1557" s="589"/>
      <c r="AO1557" s="589"/>
      <c r="AP1557" s="589"/>
      <c r="AQ1557" s="589"/>
      <c r="AR1557" s="589"/>
      <c r="AS1557" s="589"/>
    </row>
    <row r="1558" spans="1:45" ht="15">
      <c r="A1558" s="587" t="s">
        <v>192</v>
      </c>
      <c r="B1558" s="587" t="s">
        <v>692</v>
      </c>
      <c r="C1558" s="587" t="s">
        <v>774</v>
      </c>
      <c r="D1558" s="588">
        <v>2017</v>
      </c>
      <c r="E1558" s="587" t="s">
        <v>775</v>
      </c>
      <c r="F1558" s="588">
        <v>287</v>
      </c>
      <c r="G1558" s="588">
        <v>14</v>
      </c>
      <c r="H1558" s="588">
        <v>14</v>
      </c>
      <c r="I1558" s="588">
        <v>0</v>
      </c>
      <c r="J1558" s="588">
        <v>134</v>
      </c>
      <c r="K1558" s="588">
        <v>26</v>
      </c>
      <c r="L1558" s="588">
        <v>24</v>
      </c>
      <c r="M1558" s="588">
        <v>2</v>
      </c>
      <c r="N1558" s="588">
        <v>173</v>
      </c>
      <c r="O1558" s="588">
        <v>214</v>
      </c>
      <c r="P1558" s="588">
        <v>490</v>
      </c>
      <c r="Q1558" s="588">
        <v>63</v>
      </c>
      <c r="R1558" s="588">
        <v>1084</v>
      </c>
      <c r="S1558" s="588">
        <v>317</v>
      </c>
      <c r="T1558" s="588">
        <v>2017</v>
      </c>
      <c r="U1558" s="588">
        <v>2015</v>
      </c>
      <c r="V1558" s="589"/>
      <c r="W1558" s="589"/>
      <c r="X1558" s="589"/>
      <c r="Y1558" s="589"/>
      <c r="Z1558" s="589"/>
      <c r="AA1558" s="589"/>
      <c r="AB1558" s="589"/>
      <c r="AC1558" s="589"/>
      <c r="AD1558" s="589"/>
      <c r="AE1558" s="589"/>
      <c r="AF1558" s="589"/>
      <c r="AG1558" s="589"/>
      <c r="AH1558" s="589"/>
      <c r="AI1558" s="589"/>
      <c r="AJ1558" s="589"/>
      <c r="AK1558" s="589"/>
      <c r="AL1558" s="589"/>
      <c r="AM1558" s="589"/>
      <c r="AN1558" s="589"/>
      <c r="AO1558" s="589"/>
      <c r="AP1558" s="589"/>
      <c r="AQ1558" s="589"/>
      <c r="AR1558" s="589"/>
      <c r="AS1558" s="589"/>
    </row>
    <row r="1559" spans="1:45" ht="15">
      <c r="A1559" s="590" t="s">
        <v>192</v>
      </c>
      <c r="B1559" s="591" t="s">
        <v>693</v>
      </c>
      <c r="C1559" s="591" t="s">
        <v>774</v>
      </c>
      <c r="D1559" s="592">
        <v>2017</v>
      </c>
      <c r="E1559" s="591" t="s">
        <v>775</v>
      </c>
      <c r="F1559" s="592">
        <v>283</v>
      </c>
      <c r="G1559" s="592">
        <v>0</v>
      </c>
      <c r="H1559" s="592">
        <v>0</v>
      </c>
      <c r="I1559" s="592">
        <v>0</v>
      </c>
      <c r="J1559" s="592">
        <v>178</v>
      </c>
      <c r="K1559" s="592">
        <v>0</v>
      </c>
      <c r="L1559" s="592">
        <v>0</v>
      </c>
      <c r="M1559" s="592">
        <v>0</v>
      </c>
      <c r="N1559" s="593">
        <v>211</v>
      </c>
      <c r="O1559" s="593">
        <v>0</v>
      </c>
      <c r="P1559" s="593">
        <v>690</v>
      </c>
      <c r="Q1559" s="593">
        <v>44</v>
      </c>
      <c r="R1559" s="593">
        <v>1362</v>
      </c>
      <c r="S1559" s="593">
        <v>44</v>
      </c>
      <c r="T1559" s="593">
        <v>2017</v>
      </c>
      <c r="U1559" s="593">
        <v>2015</v>
      </c>
      <c r="V1559" s="589"/>
      <c r="W1559" s="589"/>
      <c r="X1559" s="589"/>
      <c r="Y1559" s="589"/>
      <c r="Z1559" s="589"/>
      <c r="AA1559" s="589"/>
      <c r="AB1559" s="589"/>
      <c r="AC1559" s="589"/>
      <c r="AD1559" s="589"/>
      <c r="AE1559" s="589"/>
      <c r="AF1559" s="589"/>
      <c r="AG1559" s="589"/>
      <c r="AH1559" s="589"/>
      <c r="AI1559" s="589"/>
      <c r="AJ1559" s="589"/>
      <c r="AK1559" s="589"/>
      <c r="AL1559" s="589"/>
      <c r="AM1559" s="589"/>
      <c r="AN1559" s="589"/>
      <c r="AO1559" s="589"/>
      <c r="AP1559" s="589"/>
      <c r="AQ1559" s="589"/>
      <c r="AR1559" s="589"/>
      <c r="AS1559" s="589"/>
    </row>
    <row r="1560" spans="1:45" ht="15">
      <c r="A1560" s="587" t="s">
        <v>201</v>
      </c>
      <c r="B1560" s="587" t="s">
        <v>740</v>
      </c>
      <c r="C1560" s="587" t="s">
        <v>812</v>
      </c>
      <c r="D1560" s="588">
        <v>2017</v>
      </c>
      <c r="E1560" s="587" t="s">
        <v>775</v>
      </c>
      <c r="F1560" s="588">
        <v>246</v>
      </c>
      <c r="G1560" s="588">
        <v>7</v>
      </c>
      <c r="H1560" s="588">
        <v>0</v>
      </c>
      <c r="I1560" s="588">
        <v>7</v>
      </c>
      <c r="J1560" s="588">
        <v>168</v>
      </c>
      <c r="K1560" s="588">
        <v>14</v>
      </c>
      <c r="L1560" s="588">
        <v>0</v>
      </c>
      <c r="M1560" s="588">
        <v>14</v>
      </c>
      <c r="N1560" s="588">
        <v>189</v>
      </c>
      <c r="O1560" s="588">
        <v>15</v>
      </c>
      <c r="P1560" s="588">
        <v>412</v>
      </c>
      <c r="Q1560" s="588">
        <v>45</v>
      </c>
      <c r="R1560" s="588">
        <v>1015</v>
      </c>
      <c r="S1560" s="588">
        <v>81</v>
      </c>
      <c r="T1560" s="588">
        <v>2017</v>
      </c>
      <c r="U1560" s="588">
        <v>2014</v>
      </c>
      <c r="V1560" s="589"/>
      <c r="W1560" s="589"/>
      <c r="X1560" s="589"/>
      <c r="Y1560" s="589"/>
      <c r="Z1560" s="589"/>
      <c r="AA1560" s="589"/>
      <c r="AB1560" s="589"/>
      <c r="AC1560" s="589"/>
      <c r="AD1560" s="589"/>
      <c r="AE1560" s="589"/>
      <c r="AF1560" s="589"/>
      <c r="AG1560" s="589"/>
      <c r="AH1560" s="589"/>
      <c r="AI1560" s="589"/>
      <c r="AJ1560" s="589"/>
      <c r="AK1560" s="589"/>
      <c r="AL1560" s="589"/>
      <c r="AM1560" s="589"/>
      <c r="AN1560" s="589"/>
      <c r="AO1560" s="589"/>
      <c r="AP1560" s="589"/>
      <c r="AQ1560" s="589"/>
      <c r="AR1560" s="589"/>
      <c r="AS1560" s="589"/>
    </row>
    <row r="1561" spans="1:45" ht="15">
      <c r="A1561" s="590" t="s">
        <v>178</v>
      </c>
      <c r="B1561" s="591" t="s">
        <v>587</v>
      </c>
      <c r="C1561" s="591" t="s">
        <v>812</v>
      </c>
      <c r="D1561" s="592">
        <v>2017</v>
      </c>
      <c r="E1561" s="591" t="s">
        <v>775</v>
      </c>
      <c r="F1561" s="592">
        <v>1698</v>
      </c>
      <c r="G1561" s="592">
        <v>0</v>
      </c>
      <c r="H1561" s="592">
        <v>0</v>
      </c>
      <c r="I1561" s="592">
        <v>0</v>
      </c>
      <c r="J1561" s="592">
        <v>1207</v>
      </c>
      <c r="K1561" s="592">
        <v>0</v>
      </c>
      <c r="L1561" s="592">
        <v>0</v>
      </c>
      <c r="M1561" s="592">
        <v>0</v>
      </c>
      <c r="N1561" s="593">
        <v>1342</v>
      </c>
      <c r="O1561" s="593">
        <v>104</v>
      </c>
      <c r="P1561" s="593">
        <v>3124</v>
      </c>
      <c r="Q1561" s="593">
        <v>14</v>
      </c>
      <c r="R1561" s="593">
        <v>7371</v>
      </c>
      <c r="S1561" s="593">
        <v>118</v>
      </c>
      <c r="T1561" s="593">
        <v>2017</v>
      </c>
      <c r="U1561" s="593">
        <v>2014</v>
      </c>
      <c r="V1561" s="589"/>
      <c r="W1561" s="589"/>
      <c r="X1561" s="589"/>
      <c r="Y1561" s="589"/>
      <c r="Z1561" s="589"/>
      <c r="AA1561" s="589"/>
      <c r="AB1561" s="589"/>
      <c r="AC1561" s="589"/>
      <c r="AD1561" s="589"/>
      <c r="AE1561" s="589"/>
      <c r="AF1561" s="589"/>
      <c r="AG1561" s="589"/>
      <c r="AH1561" s="589"/>
      <c r="AI1561" s="589"/>
      <c r="AJ1561" s="589"/>
      <c r="AK1561" s="589"/>
      <c r="AL1561" s="589"/>
      <c r="AM1561" s="589"/>
      <c r="AN1561" s="589"/>
      <c r="AO1561" s="589"/>
      <c r="AP1561" s="589"/>
      <c r="AQ1561" s="589"/>
      <c r="AR1561" s="589"/>
      <c r="AS1561" s="589"/>
    </row>
    <row r="1562" spans="1:45" ht="15">
      <c r="A1562" s="587" t="s">
        <v>169</v>
      </c>
      <c r="B1562" s="587" t="s">
        <v>516</v>
      </c>
      <c r="C1562" s="587" t="s">
        <v>812</v>
      </c>
      <c r="D1562" s="588">
        <v>2017</v>
      </c>
      <c r="E1562" s="587" t="s">
        <v>775</v>
      </c>
      <c r="F1562" s="588">
        <v>3</v>
      </c>
      <c r="G1562" s="588">
        <v>0</v>
      </c>
      <c r="H1562" s="588">
        <v>0</v>
      </c>
      <c r="I1562" s="588">
        <v>0</v>
      </c>
      <c r="J1562" s="588">
        <v>2</v>
      </c>
      <c r="K1562" s="588">
        <v>0</v>
      </c>
      <c r="L1562" s="588">
        <v>0</v>
      </c>
      <c r="M1562" s="588">
        <v>0</v>
      </c>
      <c r="N1562" s="588">
        <v>3</v>
      </c>
      <c r="O1562" s="588">
        <v>0</v>
      </c>
      <c r="P1562" s="588">
        <v>6</v>
      </c>
      <c r="Q1562" s="588">
        <v>1</v>
      </c>
      <c r="R1562" s="588">
        <v>14</v>
      </c>
      <c r="S1562" s="588">
        <v>1</v>
      </c>
      <c r="T1562" s="588">
        <v>2017</v>
      </c>
      <c r="U1562" s="588">
        <v>2014</v>
      </c>
      <c r="V1562" s="589"/>
      <c r="W1562" s="589"/>
      <c r="X1562" s="589"/>
      <c r="Y1562" s="589"/>
      <c r="Z1562" s="589"/>
      <c r="AA1562" s="589"/>
      <c r="AB1562" s="589"/>
      <c r="AC1562" s="589"/>
      <c r="AD1562" s="589"/>
      <c r="AE1562" s="589"/>
      <c r="AF1562" s="589"/>
      <c r="AG1562" s="589"/>
      <c r="AH1562" s="589"/>
      <c r="AI1562" s="589"/>
      <c r="AJ1562" s="589"/>
      <c r="AK1562" s="589"/>
      <c r="AL1562" s="589"/>
      <c r="AM1562" s="589"/>
      <c r="AN1562" s="589"/>
      <c r="AO1562" s="589"/>
      <c r="AP1562" s="589"/>
      <c r="AQ1562" s="589"/>
      <c r="AR1562" s="589"/>
      <c r="AS1562" s="589"/>
    </row>
    <row r="1563" spans="1:45" ht="15">
      <c r="A1563" s="590" t="s">
        <v>199</v>
      </c>
      <c r="B1563" s="591" t="s">
        <v>726</v>
      </c>
      <c r="C1563" s="591" t="s">
        <v>177</v>
      </c>
      <c r="D1563" s="592">
        <v>2017</v>
      </c>
      <c r="E1563" s="591" t="s">
        <v>775</v>
      </c>
      <c r="F1563" s="592">
        <v>2616</v>
      </c>
      <c r="G1563" s="592">
        <v>2</v>
      </c>
      <c r="H1563" s="592">
        <v>2</v>
      </c>
      <c r="I1563" s="592">
        <v>0</v>
      </c>
      <c r="J1563" s="592">
        <v>1931</v>
      </c>
      <c r="K1563" s="592">
        <v>72</v>
      </c>
      <c r="L1563" s="592">
        <v>72</v>
      </c>
      <c r="M1563" s="592">
        <v>0</v>
      </c>
      <c r="N1563" s="593">
        <v>1802</v>
      </c>
      <c r="O1563" s="593">
        <v>29</v>
      </c>
      <c r="P1563" s="593">
        <v>3672</v>
      </c>
      <c r="Q1563" s="593">
        <v>403</v>
      </c>
      <c r="R1563" s="593">
        <v>10021</v>
      </c>
      <c r="S1563" s="593">
        <v>506</v>
      </c>
      <c r="T1563" s="593">
        <v>2017</v>
      </c>
      <c r="U1563" s="593">
        <v>2016</v>
      </c>
      <c r="V1563" s="589"/>
      <c r="W1563" s="589"/>
      <c r="X1563" s="589"/>
      <c r="Y1563" s="589"/>
      <c r="Z1563" s="589"/>
      <c r="AA1563" s="589"/>
      <c r="AB1563" s="589"/>
      <c r="AC1563" s="589"/>
      <c r="AD1563" s="589"/>
      <c r="AE1563" s="589"/>
      <c r="AF1563" s="589"/>
      <c r="AG1563" s="589"/>
      <c r="AH1563" s="589"/>
      <c r="AI1563" s="589"/>
      <c r="AJ1563" s="589"/>
      <c r="AK1563" s="589"/>
      <c r="AL1563" s="589"/>
      <c r="AM1563" s="589"/>
      <c r="AN1563" s="589"/>
      <c r="AO1563" s="589"/>
      <c r="AP1563" s="589"/>
      <c r="AQ1563" s="589"/>
      <c r="AR1563" s="589"/>
      <c r="AS1563" s="589"/>
    </row>
    <row r="1564" spans="1:45" ht="15">
      <c r="A1564" s="587" t="s">
        <v>179</v>
      </c>
      <c r="B1564" s="587" t="s">
        <v>607</v>
      </c>
      <c r="C1564" s="587" t="s">
        <v>855</v>
      </c>
      <c r="D1564" s="588">
        <v>2017</v>
      </c>
      <c r="E1564" s="587" t="s">
        <v>775</v>
      </c>
      <c r="F1564" s="588">
        <v>343</v>
      </c>
      <c r="G1564" s="588">
        <v>0</v>
      </c>
      <c r="H1564" s="588">
        <v>0</v>
      </c>
      <c r="I1564" s="588">
        <v>0</v>
      </c>
      <c r="J1564" s="588">
        <v>260</v>
      </c>
      <c r="K1564" s="588">
        <v>0</v>
      </c>
      <c r="L1564" s="588">
        <v>0</v>
      </c>
      <c r="M1564" s="588">
        <v>0</v>
      </c>
      <c r="N1564" s="588">
        <v>241</v>
      </c>
      <c r="O1564" s="588">
        <v>0</v>
      </c>
      <c r="P1564" s="588">
        <v>530</v>
      </c>
      <c r="Q1564" s="588">
        <v>154</v>
      </c>
      <c r="R1564" s="588">
        <v>1374</v>
      </c>
      <c r="S1564" s="588">
        <v>154</v>
      </c>
      <c r="T1564" s="588">
        <v>2017</v>
      </c>
      <c r="U1564" s="588">
        <v>2013</v>
      </c>
      <c r="V1564" s="589"/>
      <c r="W1564" s="589"/>
      <c r="X1564" s="589"/>
      <c r="Y1564" s="589"/>
      <c r="Z1564" s="589"/>
      <c r="AA1564" s="589"/>
      <c r="AB1564" s="589"/>
      <c r="AC1564" s="589"/>
      <c r="AD1564" s="589"/>
      <c r="AE1564" s="589"/>
      <c r="AF1564" s="589"/>
      <c r="AG1564" s="589"/>
      <c r="AH1564" s="589"/>
      <c r="AI1564" s="589"/>
      <c r="AJ1564" s="589"/>
      <c r="AK1564" s="589"/>
      <c r="AL1564" s="589"/>
      <c r="AM1564" s="589"/>
      <c r="AN1564" s="589"/>
      <c r="AO1564" s="589"/>
      <c r="AP1564" s="589"/>
      <c r="AQ1564" s="589"/>
      <c r="AR1564" s="589"/>
      <c r="AS1564" s="589"/>
    </row>
    <row r="1565" spans="1:45" ht="15">
      <c r="A1565" s="590" t="s">
        <v>153</v>
      </c>
      <c r="B1565" s="591" t="s">
        <v>429</v>
      </c>
      <c r="C1565" s="591" t="s">
        <v>812</v>
      </c>
      <c r="D1565" s="592">
        <v>2017</v>
      </c>
      <c r="E1565" s="591" t="s">
        <v>775</v>
      </c>
      <c r="F1565" s="592">
        <v>246</v>
      </c>
      <c r="G1565" s="592">
        <v>0</v>
      </c>
      <c r="H1565" s="592">
        <v>0</v>
      </c>
      <c r="I1565" s="592">
        <v>0</v>
      </c>
      <c r="J1565" s="592">
        <v>144</v>
      </c>
      <c r="K1565" s="592">
        <v>0</v>
      </c>
      <c r="L1565" s="592">
        <v>0</v>
      </c>
      <c r="M1565" s="592">
        <v>0</v>
      </c>
      <c r="N1565" s="593">
        <v>155</v>
      </c>
      <c r="O1565" s="593">
        <v>0</v>
      </c>
      <c r="P1565" s="593">
        <v>363</v>
      </c>
      <c r="Q1565" s="593">
        <v>87</v>
      </c>
      <c r="R1565" s="593">
        <v>908</v>
      </c>
      <c r="S1565" s="593">
        <v>87</v>
      </c>
      <c r="T1565" s="593">
        <v>2017</v>
      </c>
      <c r="U1565" s="593">
        <v>2014</v>
      </c>
      <c r="V1565" s="589"/>
      <c r="W1565" s="589"/>
      <c r="X1565" s="589"/>
      <c r="Y1565" s="589"/>
      <c r="Z1565" s="589"/>
      <c r="AA1565" s="589"/>
      <c r="AB1565" s="589"/>
      <c r="AC1565" s="589"/>
      <c r="AD1565" s="589"/>
      <c r="AE1565" s="589"/>
      <c r="AF1565" s="589"/>
      <c r="AG1565" s="589"/>
      <c r="AH1565" s="589"/>
      <c r="AI1565" s="589"/>
      <c r="AJ1565" s="589"/>
      <c r="AK1565" s="589"/>
      <c r="AL1565" s="589"/>
      <c r="AM1565" s="589"/>
      <c r="AN1565" s="589"/>
      <c r="AO1565" s="589"/>
      <c r="AP1565" s="589"/>
      <c r="AQ1565" s="589"/>
      <c r="AR1565" s="589"/>
      <c r="AS1565" s="589"/>
    </row>
    <row r="1566" spans="1:45" ht="15">
      <c r="A1566" s="587" t="s">
        <v>136</v>
      </c>
      <c r="B1566" s="587" t="s">
        <v>284</v>
      </c>
      <c r="C1566" s="587" t="s">
        <v>774</v>
      </c>
      <c r="D1566" s="588">
        <v>2017</v>
      </c>
      <c r="E1566" s="587" t="s">
        <v>775</v>
      </c>
      <c r="F1566" s="588">
        <v>604</v>
      </c>
      <c r="G1566" s="588">
        <v>0</v>
      </c>
      <c r="H1566" s="588">
        <v>0</v>
      </c>
      <c r="I1566" s="588">
        <v>0</v>
      </c>
      <c r="J1566" s="588">
        <v>355</v>
      </c>
      <c r="K1566" s="588">
        <v>0</v>
      </c>
      <c r="L1566" s="588">
        <v>0</v>
      </c>
      <c r="M1566" s="588">
        <v>0</v>
      </c>
      <c r="N1566" s="588">
        <v>381</v>
      </c>
      <c r="O1566" s="588">
        <v>6</v>
      </c>
      <c r="P1566" s="588">
        <v>895</v>
      </c>
      <c r="Q1566" s="588">
        <v>119</v>
      </c>
      <c r="R1566" s="588">
        <v>2235</v>
      </c>
      <c r="S1566" s="588">
        <v>125</v>
      </c>
      <c r="T1566" s="588">
        <v>2017</v>
      </c>
      <c r="U1566" s="588">
        <v>2015</v>
      </c>
      <c r="V1566" s="589"/>
      <c r="W1566" s="589"/>
      <c r="X1566" s="589"/>
      <c r="Y1566" s="589"/>
      <c r="Z1566" s="589"/>
      <c r="AA1566" s="589"/>
      <c r="AB1566" s="589"/>
      <c r="AC1566" s="589"/>
      <c r="AD1566" s="589"/>
      <c r="AE1566" s="589"/>
      <c r="AF1566" s="589"/>
      <c r="AG1566" s="589"/>
      <c r="AH1566" s="589"/>
      <c r="AI1566" s="589"/>
      <c r="AJ1566" s="589"/>
      <c r="AK1566" s="589"/>
      <c r="AL1566" s="589"/>
      <c r="AM1566" s="589"/>
      <c r="AN1566" s="589"/>
      <c r="AO1566" s="589"/>
      <c r="AP1566" s="589"/>
      <c r="AQ1566" s="589"/>
      <c r="AR1566" s="589"/>
      <c r="AS1566" s="589"/>
    </row>
    <row r="1567" spans="1:45" ht="15">
      <c r="A1567" s="590" t="s">
        <v>148</v>
      </c>
      <c r="B1567" s="591" t="s">
        <v>335</v>
      </c>
      <c r="C1567" s="591" t="s">
        <v>177</v>
      </c>
      <c r="D1567" s="592">
        <v>2017</v>
      </c>
      <c r="E1567" s="591" t="s">
        <v>775</v>
      </c>
      <c r="F1567" s="592">
        <v>350</v>
      </c>
      <c r="G1567" s="592">
        <v>0</v>
      </c>
      <c r="H1567" s="592">
        <v>0</v>
      </c>
      <c r="I1567" s="592">
        <v>0</v>
      </c>
      <c r="J1567" s="592">
        <v>275</v>
      </c>
      <c r="K1567" s="592">
        <v>37</v>
      </c>
      <c r="L1567" s="592">
        <v>0</v>
      </c>
      <c r="M1567" s="592">
        <v>37</v>
      </c>
      <c r="N1567" s="593">
        <v>280</v>
      </c>
      <c r="O1567" s="593">
        <v>1</v>
      </c>
      <c r="P1567" s="593">
        <v>521</v>
      </c>
      <c r="Q1567" s="593">
        <v>82</v>
      </c>
      <c r="R1567" s="593">
        <v>1426</v>
      </c>
      <c r="S1567" s="593">
        <v>120</v>
      </c>
      <c r="T1567" s="593">
        <v>2017</v>
      </c>
      <c r="U1567" s="593">
        <v>2016</v>
      </c>
      <c r="V1567" s="589"/>
      <c r="W1567" s="589"/>
      <c r="X1567" s="589"/>
      <c r="Y1567" s="589"/>
      <c r="Z1567" s="589"/>
      <c r="AA1567" s="589"/>
      <c r="AB1567" s="589"/>
      <c r="AC1567" s="589"/>
      <c r="AD1567" s="589"/>
      <c r="AE1567" s="589"/>
      <c r="AF1567" s="589"/>
      <c r="AG1567" s="589"/>
      <c r="AH1567" s="589"/>
      <c r="AI1567" s="589"/>
      <c r="AJ1567" s="589"/>
      <c r="AK1567" s="589"/>
      <c r="AL1567" s="589"/>
      <c r="AM1567" s="589"/>
      <c r="AN1567" s="589"/>
      <c r="AO1567" s="589"/>
      <c r="AP1567" s="589"/>
      <c r="AQ1567" s="589"/>
      <c r="AR1567" s="589"/>
      <c r="AS1567" s="589"/>
    </row>
    <row r="1568" spans="1:45" ht="15">
      <c r="A1568" s="587" t="s">
        <v>195</v>
      </c>
      <c r="B1568" s="587" t="s">
        <v>712</v>
      </c>
      <c r="C1568" s="587" t="s">
        <v>177</v>
      </c>
      <c r="D1568" s="588">
        <v>2017</v>
      </c>
      <c r="E1568" s="587" t="s">
        <v>775</v>
      </c>
      <c r="F1568" s="588">
        <v>131</v>
      </c>
      <c r="G1568" s="588">
        <v>0</v>
      </c>
      <c r="H1568" s="588">
        <v>0</v>
      </c>
      <c r="I1568" s="588">
        <v>0</v>
      </c>
      <c r="J1568" s="588">
        <v>84</v>
      </c>
      <c r="K1568" s="588">
        <v>0</v>
      </c>
      <c r="L1568" s="588">
        <v>0</v>
      </c>
      <c r="M1568" s="588">
        <v>0</v>
      </c>
      <c r="N1568" s="588">
        <v>89</v>
      </c>
      <c r="O1568" s="588">
        <v>0</v>
      </c>
      <c r="P1568" s="588">
        <v>221</v>
      </c>
      <c r="Q1568" s="588">
        <v>1</v>
      </c>
      <c r="R1568" s="588">
        <v>525</v>
      </c>
      <c r="S1568" s="588">
        <v>1</v>
      </c>
      <c r="T1568" s="588">
        <v>2017</v>
      </c>
      <c r="U1568" s="588">
        <v>2016</v>
      </c>
      <c r="V1568" s="589"/>
      <c r="W1568" s="589"/>
      <c r="X1568" s="589"/>
      <c r="Y1568" s="589"/>
      <c r="Z1568" s="589"/>
      <c r="AA1568" s="589"/>
      <c r="AB1568" s="589"/>
      <c r="AC1568" s="589"/>
      <c r="AD1568" s="589"/>
      <c r="AE1568" s="589"/>
      <c r="AF1568" s="589"/>
      <c r="AG1568" s="589"/>
      <c r="AH1568" s="589"/>
      <c r="AI1568" s="589"/>
      <c r="AJ1568" s="589"/>
      <c r="AK1568" s="589"/>
      <c r="AL1568" s="589"/>
      <c r="AM1568" s="589"/>
      <c r="AN1568" s="589"/>
      <c r="AO1568" s="589"/>
      <c r="AP1568" s="589"/>
      <c r="AQ1568" s="589"/>
      <c r="AR1568" s="589"/>
      <c r="AS1568" s="589"/>
    </row>
    <row r="1569" spans="1:45" ht="15">
      <c r="A1569" s="590" t="s">
        <v>188</v>
      </c>
      <c r="B1569" s="590" t="s">
        <v>669</v>
      </c>
      <c r="C1569" s="590" t="s">
        <v>177</v>
      </c>
      <c r="D1569" s="593">
        <v>2017</v>
      </c>
      <c r="E1569" s="590" t="s">
        <v>775</v>
      </c>
      <c r="F1569" s="593">
        <v>169</v>
      </c>
      <c r="G1569" s="593">
        <v>1</v>
      </c>
      <c r="H1569" s="593">
        <v>1</v>
      </c>
      <c r="I1569" s="593">
        <v>0</v>
      </c>
      <c r="J1569" s="593">
        <v>110</v>
      </c>
      <c r="K1569" s="593">
        <v>3</v>
      </c>
      <c r="L1569" s="593">
        <v>3</v>
      </c>
      <c r="M1569" s="593">
        <v>0</v>
      </c>
      <c r="N1569" s="593">
        <v>128</v>
      </c>
      <c r="O1569" s="593">
        <v>7</v>
      </c>
      <c r="P1569" s="593">
        <v>293</v>
      </c>
      <c r="Q1569" s="593">
        <v>103</v>
      </c>
      <c r="R1569" s="593">
        <v>700</v>
      </c>
      <c r="S1569" s="593">
        <v>114</v>
      </c>
      <c r="T1569" s="593">
        <v>2017</v>
      </c>
      <c r="U1569" s="593">
        <v>2016</v>
      </c>
      <c r="V1569" s="589"/>
      <c r="W1569" s="589"/>
      <c r="X1569" s="589"/>
      <c r="Y1569" s="589"/>
      <c r="Z1569" s="589"/>
      <c r="AA1569" s="589"/>
      <c r="AB1569" s="589"/>
      <c r="AC1569" s="589"/>
      <c r="AD1569" s="589"/>
      <c r="AE1569" s="589"/>
      <c r="AF1569" s="589"/>
      <c r="AG1569" s="589"/>
      <c r="AH1569" s="589"/>
      <c r="AI1569" s="589"/>
      <c r="AJ1569" s="589"/>
      <c r="AK1569" s="589"/>
      <c r="AL1569" s="589"/>
      <c r="AM1569" s="589"/>
      <c r="AN1569" s="589"/>
      <c r="AO1569" s="589"/>
      <c r="AP1569" s="589"/>
      <c r="AQ1569" s="589"/>
      <c r="AR1569" s="589"/>
      <c r="AS1569" s="589"/>
    </row>
    <row r="1570" spans="1:45" ht="15">
      <c r="A1570" s="587" t="s">
        <v>191</v>
      </c>
      <c r="B1570" s="587" t="s">
        <v>684</v>
      </c>
      <c r="C1570" s="587" t="s">
        <v>784</v>
      </c>
      <c r="D1570" s="588">
        <v>2017</v>
      </c>
      <c r="E1570" s="587" t="s">
        <v>775</v>
      </c>
      <c r="F1570" s="588">
        <v>10</v>
      </c>
      <c r="G1570" s="588">
        <v>0</v>
      </c>
      <c r="H1570" s="588">
        <v>0</v>
      </c>
      <c r="I1570" s="588">
        <v>0</v>
      </c>
      <c r="J1570" s="588">
        <v>6</v>
      </c>
      <c r="K1570" s="588">
        <v>0</v>
      </c>
      <c r="L1570" s="588">
        <v>0</v>
      </c>
      <c r="M1570" s="588">
        <v>0</v>
      </c>
      <c r="N1570" s="588">
        <v>6</v>
      </c>
      <c r="O1570" s="588">
        <v>0</v>
      </c>
      <c r="P1570" s="588">
        <v>16</v>
      </c>
      <c r="Q1570" s="588">
        <v>3</v>
      </c>
      <c r="R1570" s="588">
        <v>38</v>
      </c>
      <c r="S1570" s="588">
        <v>3</v>
      </c>
      <c r="T1570" s="588">
        <v>2017</v>
      </c>
      <c r="U1570" s="588">
        <v>2014</v>
      </c>
      <c r="V1570" s="589"/>
      <c r="W1570" s="589"/>
      <c r="X1570" s="589"/>
      <c r="Y1570" s="589"/>
      <c r="Z1570" s="589"/>
      <c r="AA1570" s="589"/>
      <c r="AB1570" s="589"/>
      <c r="AC1570" s="589"/>
      <c r="AD1570" s="589"/>
      <c r="AE1570" s="589"/>
      <c r="AF1570" s="589"/>
      <c r="AG1570" s="589"/>
      <c r="AH1570" s="589"/>
      <c r="AI1570" s="589"/>
      <c r="AJ1570" s="589"/>
      <c r="AK1570" s="589"/>
      <c r="AL1570" s="589"/>
      <c r="AM1570" s="589"/>
      <c r="AN1570" s="589"/>
      <c r="AO1570" s="589"/>
      <c r="AP1570" s="589"/>
      <c r="AQ1570" s="589"/>
      <c r="AR1570" s="589"/>
      <c r="AS1570" s="589"/>
    </row>
    <row r="1571" spans="1:45" ht="15">
      <c r="A1571" s="590" t="s">
        <v>153</v>
      </c>
      <c r="B1571" s="590" t="s">
        <v>430</v>
      </c>
      <c r="C1571" s="590" t="s">
        <v>812</v>
      </c>
      <c r="D1571" s="593">
        <v>2017</v>
      </c>
      <c r="E1571" s="590" t="s">
        <v>775</v>
      </c>
      <c r="F1571" s="593">
        <v>217</v>
      </c>
      <c r="G1571" s="593">
        <v>0</v>
      </c>
      <c r="H1571" s="593">
        <v>0</v>
      </c>
      <c r="I1571" s="593">
        <v>0</v>
      </c>
      <c r="J1571" s="593">
        <v>129</v>
      </c>
      <c r="K1571" s="593">
        <v>0</v>
      </c>
      <c r="L1571" s="593">
        <v>0</v>
      </c>
      <c r="M1571" s="593">
        <v>0</v>
      </c>
      <c r="N1571" s="593">
        <v>138</v>
      </c>
      <c r="O1571" s="593">
        <v>0</v>
      </c>
      <c r="P1571" s="593">
        <v>347</v>
      </c>
      <c r="Q1571" s="593">
        <v>2</v>
      </c>
      <c r="R1571" s="593">
        <v>831</v>
      </c>
      <c r="S1571" s="593">
        <v>2</v>
      </c>
      <c r="T1571" s="593">
        <v>2017</v>
      </c>
      <c r="U1571" s="593">
        <v>2014</v>
      </c>
      <c r="V1571" s="589"/>
      <c r="W1571" s="589"/>
      <c r="X1571" s="589"/>
      <c r="Y1571" s="589"/>
      <c r="Z1571" s="589"/>
      <c r="AA1571" s="589"/>
      <c r="AB1571" s="589"/>
      <c r="AC1571" s="589"/>
      <c r="AD1571" s="589"/>
      <c r="AE1571" s="589"/>
      <c r="AF1571" s="589"/>
      <c r="AG1571" s="589"/>
      <c r="AH1571" s="589"/>
      <c r="AI1571" s="589"/>
      <c r="AJ1571" s="589"/>
      <c r="AK1571" s="589"/>
      <c r="AL1571" s="589"/>
      <c r="AM1571" s="589"/>
      <c r="AN1571" s="589"/>
      <c r="AO1571" s="589"/>
      <c r="AP1571" s="589"/>
      <c r="AQ1571" s="589"/>
      <c r="AR1571" s="589"/>
      <c r="AS1571" s="589"/>
    </row>
    <row r="1572" spans="1:45" ht="15">
      <c r="A1572" s="587" t="s">
        <v>153</v>
      </c>
      <c r="B1572" s="587" t="s">
        <v>431</v>
      </c>
      <c r="C1572" s="587" t="s">
        <v>812</v>
      </c>
      <c r="D1572" s="588">
        <v>2017</v>
      </c>
      <c r="E1572" s="587" t="s">
        <v>775</v>
      </c>
      <c r="F1572" s="588">
        <v>19</v>
      </c>
      <c r="G1572" s="588">
        <v>0</v>
      </c>
      <c r="H1572" s="588">
        <v>0</v>
      </c>
      <c r="I1572" s="588">
        <v>0</v>
      </c>
      <c r="J1572" s="588">
        <v>12</v>
      </c>
      <c r="K1572" s="588">
        <v>15</v>
      </c>
      <c r="L1572" s="588">
        <v>15</v>
      </c>
      <c r="M1572" s="588">
        <v>0</v>
      </c>
      <c r="N1572" s="588">
        <v>13</v>
      </c>
      <c r="O1572" s="588">
        <v>8</v>
      </c>
      <c r="P1572" s="588">
        <v>33</v>
      </c>
      <c r="Q1572" s="588">
        <v>161</v>
      </c>
      <c r="R1572" s="588">
        <v>77</v>
      </c>
      <c r="S1572" s="588">
        <v>184</v>
      </c>
      <c r="T1572" s="588">
        <v>2017</v>
      </c>
      <c r="U1572" s="588">
        <v>2014</v>
      </c>
      <c r="V1572" s="589"/>
      <c r="W1572" s="589"/>
      <c r="X1572" s="589"/>
      <c r="Y1572" s="589"/>
      <c r="Z1572" s="589"/>
      <c r="AA1572" s="589"/>
      <c r="AB1572" s="589"/>
      <c r="AC1572" s="589"/>
      <c r="AD1572" s="589"/>
      <c r="AE1572" s="589"/>
      <c r="AF1572" s="589"/>
      <c r="AG1572" s="589"/>
      <c r="AH1572" s="589"/>
      <c r="AI1572" s="589"/>
      <c r="AJ1572" s="589"/>
      <c r="AK1572" s="589"/>
      <c r="AL1572" s="589"/>
      <c r="AM1572" s="589"/>
      <c r="AN1572" s="589"/>
      <c r="AO1572" s="589"/>
      <c r="AP1572" s="589"/>
      <c r="AQ1572" s="589"/>
      <c r="AR1572" s="589"/>
      <c r="AS1572" s="589"/>
    </row>
    <row r="1573" spans="1:45" ht="15">
      <c r="A1573" s="590" t="s">
        <v>202</v>
      </c>
      <c r="B1573" s="590" t="s">
        <v>742</v>
      </c>
      <c r="C1573" s="590" t="s">
        <v>799</v>
      </c>
      <c r="D1573" s="593">
        <v>2017</v>
      </c>
      <c r="E1573" s="590" t="s">
        <v>775</v>
      </c>
      <c r="F1573" s="593">
        <v>1316</v>
      </c>
      <c r="G1573" s="593">
        <v>0</v>
      </c>
      <c r="H1573" s="593">
        <v>0</v>
      </c>
      <c r="I1573" s="593">
        <v>0</v>
      </c>
      <c r="J1573" s="593">
        <v>923</v>
      </c>
      <c r="K1573" s="593">
        <v>0</v>
      </c>
      <c r="L1573" s="593">
        <v>0</v>
      </c>
      <c r="M1573" s="593">
        <v>0</v>
      </c>
      <c r="N1573" s="593">
        <v>1111</v>
      </c>
      <c r="O1573" s="593">
        <v>125</v>
      </c>
      <c r="P1573" s="593">
        <v>2627</v>
      </c>
      <c r="Q1573" s="593">
        <v>12</v>
      </c>
      <c r="R1573" s="593">
        <v>5977</v>
      </c>
      <c r="S1573" s="593">
        <v>137</v>
      </c>
      <c r="T1573" s="593">
        <v>2017</v>
      </c>
      <c r="U1573" s="593">
        <v>2014</v>
      </c>
      <c r="V1573" s="589"/>
      <c r="W1573" s="589"/>
      <c r="X1573" s="589"/>
      <c r="Y1573" s="589"/>
      <c r="Z1573" s="589"/>
      <c r="AA1573" s="589"/>
      <c r="AB1573" s="589"/>
      <c r="AC1573" s="589"/>
      <c r="AD1573" s="589"/>
      <c r="AE1573" s="589"/>
      <c r="AF1573" s="589"/>
      <c r="AG1573" s="589"/>
      <c r="AH1573" s="589"/>
      <c r="AI1573" s="589"/>
      <c r="AJ1573" s="589"/>
      <c r="AK1573" s="589"/>
      <c r="AL1573" s="589"/>
      <c r="AM1573" s="589"/>
      <c r="AN1573" s="589"/>
      <c r="AO1573" s="589"/>
      <c r="AP1573" s="589"/>
      <c r="AQ1573" s="589"/>
      <c r="AR1573" s="589"/>
      <c r="AS1573" s="589"/>
    </row>
    <row r="1574" spans="1:45" ht="15">
      <c r="A1574" s="587" t="s">
        <v>153</v>
      </c>
      <c r="B1574" s="587" t="s">
        <v>432</v>
      </c>
      <c r="C1574" s="587" t="s">
        <v>812</v>
      </c>
      <c r="D1574" s="588">
        <v>2017</v>
      </c>
      <c r="E1574" s="587" t="s">
        <v>775</v>
      </c>
      <c r="F1574" s="588">
        <v>12</v>
      </c>
      <c r="G1574" s="588">
        <v>0</v>
      </c>
      <c r="H1574" s="588">
        <v>0</v>
      </c>
      <c r="I1574" s="588">
        <v>0</v>
      </c>
      <c r="J1574" s="588">
        <v>7</v>
      </c>
      <c r="K1574" s="588">
        <v>0</v>
      </c>
      <c r="L1574" s="588">
        <v>0</v>
      </c>
      <c r="M1574" s="588">
        <v>0</v>
      </c>
      <c r="N1574" s="588">
        <v>8</v>
      </c>
      <c r="O1574" s="588">
        <v>0</v>
      </c>
      <c r="P1574" s="588">
        <v>18</v>
      </c>
      <c r="Q1574" s="588">
        <v>0</v>
      </c>
      <c r="R1574" s="588">
        <v>45</v>
      </c>
      <c r="S1574" s="588">
        <v>0</v>
      </c>
      <c r="T1574" s="588">
        <v>2017</v>
      </c>
      <c r="U1574" s="588">
        <v>2014</v>
      </c>
      <c r="V1574" s="589"/>
      <c r="W1574" s="589"/>
      <c r="X1574" s="589"/>
      <c r="Y1574" s="589"/>
      <c r="Z1574" s="589"/>
      <c r="AA1574" s="589"/>
      <c r="AB1574" s="589"/>
      <c r="AC1574" s="589"/>
      <c r="AD1574" s="589"/>
      <c r="AE1574" s="589"/>
      <c r="AF1574" s="589"/>
      <c r="AG1574" s="589"/>
      <c r="AH1574" s="589"/>
      <c r="AI1574" s="589"/>
      <c r="AJ1574" s="589"/>
      <c r="AK1574" s="589"/>
      <c r="AL1574" s="589"/>
      <c r="AM1574" s="589"/>
      <c r="AN1574" s="589"/>
      <c r="AO1574" s="589"/>
      <c r="AP1574" s="589"/>
      <c r="AQ1574" s="589"/>
      <c r="AR1574" s="589"/>
      <c r="AS1574" s="589"/>
    </row>
    <row r="1575" spans="1:45" ht="15">
      <c r="A1575" s="590" t="s">
        <v>169</v>
      </c>
      <c r="B1575" s="590" t="s">
        <v>517</v>
      </c>
      <c r="C1575" s="590" t="s">
        <v>812</v>
      </c>
      <c r="D1575" s="593">
        <v>2017</v>
      </c>
      <c r="E1575" s="590" t="s">
        <v>775</v>
      </c>
      <c r="F1575" s="593">
        <v>1</v>
      </c>
      <c r="G1575" s="593">
        <v>0</v>
      </c>
      <c r="H1575" s="593">
        <v>0</v>
      </c>
      <c r="I1575" s="593">
        <v>0</v>
      </c>
      <c r="J1575" s="593">
        <v>1</v>
      </c>
      <c r="K1575" s="593">
        <v>0</v>
      </c>
      <c r="L1575" s="593">
        <v>0</v>
      </c>
      <c r="M1575" s="593">
        <v>0</v>
      </c>
      <c r="N1575" s="593">
        <v>0</v>
      </c>
      <c r="O1575" s="593">
        <v>0</v>
      </c>
      <c r="P1575" s="593">
        <v>0</v>
      </c>
      <c r="Q1575" s="593">
        <v>80</v>
      </c>
      <c r="R1575" s="593">
        <v>2</v>
      </c>
      <c r="S1575" s="593">
        <v>80</v>
      </c>
      <c r="T1575" s="593">
        <v>2017</v>
      </c>
      <c r="U1575" s="593">
        <v>2014</v>
      </c>
      <c r="V1575" s="589"/>
      <c r="W1575" s="589"/>
      <c r="X1575" s="589"/>
      <c r="Y1575" s="589"/>
      <c r="Z1575" s="589"/>
      <c r="AA1575" s="589"/>
      <c r="AB1575" s="589"/>
      <c r="AC1575" s="589"/>
      <c r="AD1575" s="589"/>
      <c r="AE1575" s="589"/>
      <c r="AF1575" s="589"/>
      <c r="AG1575" s="589"/>
      <c r="AH1575" s="589"/>
      <c r="AI1575" s="589"/>
      <c r="AJ1575" s="589"/>
      <c r="AK1575" s="589"/>
      <c r="AL1575" s="589"/>
      <c r="AM1575" s="589"/>
      <c r="AN1575" s="589"/>
      <c r="AO1575" s="589"/>
      <c r="AP1575" s="589"/>
      <c r="AQ1575" s="589"/>
      <c r="AR1575" s="589"/>
      <c r="AS1575" s="589"/>
    </row>
    <row r="1576" spans="1:45" ht="15">
      <c r="A1576" s="587" t="s">
        <v>146</v>
      </c>
      <c r="B1576" s="587" t="s">
        <v>321</v>
      </c>
      <c r="C1576" s="587" t="s">
        <v>812</v>
      </c>
      <c r="D1576" s="588">
        <v>2017</v>
      </c>
      <c r="E1576" s="587" t="s">
        <v>775</v>
      </c>
      <c r="F1576" s="588">
        <v>57</v>
      </c>
      <c r="G1576" s="588">
        <v>0</v>
      </c>
      <c r="H1576" s="588">
        <v>0</v>
      </c>
      <c r="I1576" s="588">
        <v>0</v>
      </c>
      <c r="J1576" s="588">
        <v>35</v>
      </c>
      <c r="K1576" s="588">
        <v>0</v>
      </c>
      <c r="L1576" s="588">
        <v>0</v>
      </c>
      <c r="M1576" s="588">
        <v>0</v>
      </c>
      <c r="N1576" s="588">
        <v>36</v>
      </c>
      <c r="O1576" s="588">
        <v>0</v>
      </c>
      <c r="P1576" s="588">
        <v>105</v>
      </c>
      <c r="Q1576" s="588">
        <v>0</v>
      </c>
      <c r="R1576" s="588">
        <v>233</v>
      </c>
      <c r="S1576" s="588">
        <v>0</v>
      </c>
      <c r="T1576" s="588">
        <v>2017</v>
      </c>
      <c r="U1576" s="588">
        <v>2014</v>
      </c>
      <c r="V1576" s="589"/>
      <c r="W1576" s="589"/>
      <c r="X1576" s="589"/>
      <c r="Y1576" s="589"/>
      <c r="Z1576" s="589"/>
      <c r="AA1576" s="589"/>
      <c r="AB1576" s="589"/>
      <c r="AC1576" s="589"/>
      <c r="AD1576" s="589"/>
      <c r="AE1576" s="589"/>
      <c r="AF1576" s="589"/>
      <c r="AG1576" s="589"/>
      <c r="AH1576" s="589"/>
      <c r="AI1576" s="589"/>
      <c r="AJ1576" s="589"/>
      <c r="AK1576" s="589"/>
      <c r="AL1576" s="589"/>
      <c r="AM1576" s="589"/>
      <c r="AN1576" s="589"/>
      <c r="AO1576" s="589"/>
      <c r="AP1576" s="589"/>
      <c r="AQ1576" s="589"/>
      <c r="AR1576" s="589"/>
      <c r="AS1576" s="589"/>
    </row>
    <row r="1577" spans="1:45" ht="15">
      <c r="A1577" s="590" t="s">
        <v>204</v>
      </c>
      <c r="B1577" s="590" t="s">
        <v>747</v>
      </c>
      <c r="C1577" s="590" t="s">
        <v>799</v>
      </c>
      <c r="D1577" s="593">
        <v>2017</v>
      </c>
      <c r="E1577" s="590" t="s">
        <v>775</v>
      </c>
      <c r="F1577" s="593">
        <v>109</v>
      </c>
      <c r="G1577" s="593">
        <v>0</v>
      </c>
      <c r="H1577" s="593">
        <v>0</v>
      </c>
      <c r="I1577" s="593">
        <v>0</v>
      </c>
      <c r="J1577" s="593">
        <v>76</v>
      </c>
      <c r="K1577" s="593">
        <v>0</v>
      </c>
      <c r="L1577" s="593">
        <v>0</v>
      </c>
      <c r="M1577" s="593">
        <v>0</v>
      </c>
      <c r="N1577" s="593">
        <v>90</v>
      </c>
      <c r="O1577" s="593">
        <v>0</v>
      </c>
      <c r="P1577" s="593">
        <v>208</v>
      </c>
      <c r="Q1577" s="593">
        <v>0</v>
      </c>
      <c r="R1577" s="593">
        <v>483</v>
      </c>
      <c r="S1577" s="593">
        <v>0</v>
      </c>
      <c r="T1577" s="593">
        <v>2017</v>
      </c>
      <c r="U1577" s="593">
        <v>2014</v>
      </c>
      <c r="V1577" s="589"/>
      <c r="W1577" s="589"/>
      <c r="X1577" s="589"/>
      <c r="Y1577" s="589"/>
      <c r="Z1577" s="589"/>
      <c r="AA1577" s="589"/>
      <c r="AB1577" s="589"/>
      <c r="AC1577" s="589"/>
      <c r="AD1577" s="589"/>
      <c r="AE1577" s="589"/>
      <c r="AF1577" s="589"/>
      <c r="AG1577" s="589"/>
      <c r="AH1577" s="589"/>
      <c r="AI1577" s="589"/>
      <c r="AJ1577" s="589"/>
      <c r="AK1577" s="589"/>
      <c r="AL1577" s="589"/>
      <c r="AM1577" s="589"/>
      <c r="AN1577" s="589"/>
      <c r="AO1577" s="589"/>
      <c r="AP1577" s="589"/>
      <c r="AQ1577" s="589"/>
      <c r="AR1577" s="589"/>
      <c r="AS1577" s="589"/>
    </row>
    <row r="1578" spans="1:45" ht="15">
      <c r="A1578" s="587" t="s">
        <v>153</v>
      </c>
      <c r="B1578" s="587" t="s">
        <v>433</v>
      </c>
      <c r="C1578" s="587" t="s">
        <v>812</v>
      </c>
      <c r="D1578" s="588">
        <v>2017</v>
      </c>
      <c r="E1578" s="587" t="s">
        <v>775</v>
      </c>
      <c r="F1578" s="588">
        <v>228</v>
      </c>
      <c r="G1578" s="588">
        <v>0</v>
      </c>
      <c r="H1578" s="588">
        <v>0</v>
      </c>
      <c r="I1578" s="588">
        <v>0</v>
      </c>
      <c r="J1578" s="588">
        <v>135</v>
      </c>
      <c r="K1578" s="588">
        <v>0</v>
      </c>
      <c r="L1578" s="588">
        <v>0</v>
      </c>
      <c r="M1578" s="588">
        <v>0</v>
      </c>
      <c r="N1578" s="588">
        <v>146</v>
      </c>
      <c r="O1578" s="588">
        <v>52</v>
      </c>
      <c r="P1578" s="588">
        <v>369</v>
      </c>
      <c r="Q1578" s="588">
        <v>3</v>
      </c>
      <c r="R1578" s="588">
        <v>878</v>
      </c>
      <c r="S1578" s="588">
        <v>55</v>
      </c>
      <c r="T1578" s="588">
        <v>2017</v>
      </c>
      <c r="U1578" s="588">
        <v>2014</v>
      </c>
      <c r="V1578" s="589"/>
      <c r="W1578" s="589"/>
      <c r="X1578" s="589"/>
      <c r="Y1578" s="589"/>
      <c r="Z1578" s="589"/>
      <c r="AA1578" s="589"/>
      <c r="AB1578" s="589"/>
      <c r="AC1578" s="589"/>
      <c r="AD1578" s="589"/>
      <c r="AE1578" s="589"/>
      <c r="AF1578" s="589"/>
      <c r="AG1578" s="589"/>
      <c r="AH1578" s="589"/>
      <c r="AI1578" s="589"/>
      <c r="AJ1578" s="589"/>
      <c r="AK1578" s="589"/>
      <c r="AL1578" s="589"/>
      <c r="AM1578" s="589"/>
      <c r="AN1578" s="589"/>
      <c r="AO1578" s="589"/>
      <c r="AP1578" s="589"/>
      <c r="AQ1578" s="589"/>
      <c r="AR1578" s="589"/>
      <c r="AS1578" s="589"/>
    </row>
    <row r="1579" spans="1:45" ht="15">
      <c r="A1579" s="590" t="s">
        <v>173</v>
      </c>
      <c r="B1579" s="590" t="s">
        <v>555</v>
      </c>
      <c r="C1579" s="590" t="s">
        <v>812</v>
      </c>
      <c r="D1579" s="593">
        <v>2017</v>
      </c>
      <c r="E1579" s="590" t="s">
        <v>775</v>
      </c>
      <c r="F1579" s="593">
        <v>621</v>
      </c>
      <c r="G1579" s="593">
        <v>0</v>
      </c>
      <c r="H1579" s="593">
        <v>0</v>
      </c>
      <c r="I1579" s="593">
        <v>0</v>
      </c>
      <c r="J1579" s="593">
        <v>415</v>
      </c>
      <c r="K1579" s="593">
        <v>0</v>
      </c>
      <c r="L1579" s="593">
        <v>0</v>
      </c>
      <c r="M1579" s="593">
        <v>0</v>
      </c>
      <c r="N1579" s="593">
        <v>461</v>
      </c>
      <c r="O1579" s="593">
        <v>10</v>
      </c>
      <c r="P1579" s="593">
        <v>1038</v>
      </c>
      <c r="Q1579" s="593">
        <v>110</v>
      </c>
      <c r="R1579" s="593">
        <v>2535</v>
      </c>
      <c r="S1579" s="593">
        <v>120</v>
      </c>
      <c r="T1579" s="593">
        <v>2017</v>
      </c>
      <c r="U1579" s="593">
        <v>2014</v>
      </c>
      <c r="V1579" s="589"/>
      <c r="W1579" s="589"/>
      <c r="X1579" s="589"/>
      <c r="Y1579" s="589"/>
      <c r="Z1579" s="589"/>
      <c r="AA1579" s="589"/>
      <c r="AB1579" s="589"/>
      <c r="AC1579" s="589"/>
      <c r="AD1579" s="589"/>
      <c r="AE1579" s="589"/>
      <c r="AF1579" s="589"/>
      <c r="AG1579" s="589"/>
      <c r="AH1579" s="589"/>
      <c r="AI1579" s="589"/>
      <c r="AJ1579" s="589"/>
      <c r="AK1579" s="589"/>
      <c r="AL1579" s="589"/>
      <c r="AM1579" s="589"/>
      <c r="AN1579" s="589"/>
      <c r="AO1579" s="589"/>
      <c r="AP1579" s="589"/>
      <c r="AQ1579" s="589"/>
      <c r="AR1579" s="589"/>
      <c r="AS1579" s="589"/>
    </row>
    <row r="1580" spans="1:45" ht="15">
      <c r="A1580" s="587" t="s">
        <v>144</v>
      </c>
      <c r="B1580" s="587" t="s">
        <v>306</v>
      </c>
      <c r="C1580" s="587" t="s">
        <v>784</v>
      </c>
      <c r="D1580" s="588">
        <v>2017</v>
      </c>
      <c r="E1580" s="587" t="s">
        <v>775</v>
      </c>
      <c r="F1580" s="588">
        <v>15</v>
      </c>
      <c r="G1580" s="588">
        <v>0</v>
      </c>
      <c r="H1580" s="588">
        <v>0</v>
      </c>
      <c r="I1580" s="588">
        <v>0</v>
      </c>
      <c r="J1580" s="588">
        <v>11</v>
      </c>
      <c r="K1580" s="588">
        <v>0</v>
      </c>
      <c r="L1580" s="588">
        <v>0</v>
      </c>
      <c r="M1580" s="588">
        <v>0</v>
      </c>
      <c r="N1580" s="588">
        <v>11</v>
      </c>
      <c r="O1580" s="588">
        <v>0</v>
      </c>
      <c r="P1580" s="588">
        <v>26</v>
      </c>
      <c r="Q1580" s="588">
        <v>2</v>
      </c>
      <c r="R1580" s="588">
        <v>63</v>
      </c>
      <c r="S1580" s="588">
        <v>2</v>
      </c>
      <c r="T1580" s="588">
        <v>2017</v>
      </c>
      <c r="U1580" s="588">
        <v>2014</v>
      </c>
      <c r="V1580" s="589"/>
      <c r="W1580" s="589"/>
      <c r="X1580" s="589"/>
      <c r="Y1580" s="589"/>
      <c r="Z1580" s="589"/>
      <c r="AA1580" s="589"/>
      <c r="AB1580" s="589"/>
      <c r="AC1580" s="589"/>
      <c r="AD1580" s="589"/>
      <c r="AE1580" s="589"/>
      <c r="AF1580" s="589"/>
      <c r="AG1580" s="589"/>
      <c r="AH1580" s="589"/>
      <c r="AI1580" s="589"/>
      <c r="AJ1580" s="589"/>
      <c r="AK1580" s="589"/>
      <c r="AL1580" s="589"/>
      <c r="AM1580" s="589"/>
      <c r="AN1580" s="589"/>
      <c r="AO1580" s="589"/>
      <c r="AP1580" s="589"/>
      <c r="AQ1580" s="589"/>
      <c r="AR1580" s="589"/>
      <c r="AS1580" s="589"/>
    </row>
    <row r="1581" spans="1:45" ht="15">
      <c r="A1581" s="590" t="s">
        <v>193</v>
      </c>
      <c r="B1581" s="590" t="s">
        <v>702</v>
      </c>
      <c r="C1581" s="590" t="s">
        <v>774</v>
      </c>
      <c r="D1581" s="593">
        <v>2017</v>
      </c>
      <c r="E1581" s="590" t="s">
        <v>775</v>
      </c>
      <c r="F1581" s="593">
        <v>120</v>
      </c>
      <c r="G1581" s="593">
        <v>0</v>
      </c>
      <c r="H1581" s="593">
        <v>0</v>
      </c>
      <c r="I1581" s="593">
        <v>0</v>
      </c>
      <c r="J1581" s="593">
        <v>65</v>
      </c>
      <c r="K1581" s="593">
        <v>0</v>
      </c>
      <c r="L1581" s="593">
        <v>0</v>
      </c>
      <c r="M1581" s="593">
        <v>0</v>
      </c>
      <c r="N1581" s="593">
        <v>67</v>
      </c>
      <c r="O1581" s="593">
        <v>0</v>
      </c>
      <c r="P1581" s="593">
        <v>188</v>
      </c>
      <c r="Q1581" s="593">
        <v>5</v>
      </c>
      <c r="R1581" s="593">
        <v>440</v>
      </c>
      <c r="S1581" s="593">
        <v>5</v>
      </c>
      <c r="T1581" s="593">
        <v>2017</v>
      </c>
      <c r="U1581" s="593">
        <v>2015</v>
      </c>
      <c r="V1581" s="589"/>
      <c r="W1581" s="589"/>
      <c r="X1581" s="589"/>
      <c r="Y1581" s="589"/>
      <c r="Z1581" s="589"/>
      <c r="AA1581" s="589"/>
      <c r="AB1581" s="589"/>
      <c r="AC1581" s="589"/>
      <c r="AD1581" s="589"/>
      <c r="AE1581" s="589"/>
      <c r="AF1581" s="589"/>
      <c r="AG1581" s="589"/>
      <c r="AH1581" s="589"/>
      <c r="AI1581" s="589"/>
      <c r="AJ1581" s="589"/>
      <c r="AK1581" s="589"/>
      <c r="AL1581" s="589"/>
      <c r="AM1581" s="589"/>
      <c r="AN1581" s="589"/>
      <c r="AO1581" s="589"/>
      <c r="AP1581" s="589"/>
      <c r="AQ1581" s="589"/>
      <c r="AR1581" s="589"/>
      <c r="AS1581" s="589"/>
    </row>
    <row r="1582" spans="1:45" ht="15">
      <c r="A1582" s="587" t="s">
        <v>202</v>
      </c>
      <c r="B1582" s="587" t="s">
        <v>743</v>
      </c>
      <c r="C1582" s="587" t="s">
        <v>799</v>
      </c>
      <c r="D1582" s="588">
        <v>2017</v>
      </c>
      <c r="E1582" s="587" t="s">
        <v>775</v>
      </c>
      <c r="F1582" s="588">
        <v>76</v>
      </c>
      <c r="G1582" s="588">
        <v>0</v>
      </c>
      <c r="H1582" s="588">
        <v>0</v>
      </c>
      <c r="I1582" s="588">
        <v>0</v>
      </c>
      <c r="J1582" s="588">
        <v>54</v>
      </c>
      <c r="K1582" s="588">
        <v>0</v>
      </c>
      <c r="L1582" s="588">
        <v>0</v>
      </c>
      <c r="M1582" s="588">
        <v>0</v>
      </c>
      <c r="N1582" s="588">
        <v>59</v>
      </c>
      <c r="O1582" s="588">
        <v>0</v>
      </c>
      <c r="P1582" s="588">
        <v>130</v>
      </c>
      <c r="Q1582" s="588">
        <v>11</v>
      </c>
      <c r="R1582" s="588">
        <v>319</v>
      </c>
      <c r="S1582" s="588">
        <v>11</v>
      </c>
      <c r="T1582" s="588">
        <v>2017</v>
      </c>
      <c r="U1582" s="588">
        <v>2014</v>
      </c>
      <c r="V1582" s="589"/>
      <c r="W1582" s="589"/>
      <c r="X1582" s="589"/>
      <c r="Y1582" s="589"/>
      <c r="Z1582" s="589"/>
      <c r="AA1582" s="589"/>
      <c r="AB1582" s="589"/>
      <c r="AC1582" s="589"/>
      <c r="AD1582" s="589"/>
      <c r="AE1582" s="589"/>
      <c r="AF1582" s="589"/>
      <c r="AG1582" s="589"/>
      <c r="AH1582" s="589"/>
      <c r="AI1582" s="589"/>
      <c r="AJ1582" s="589"/>
      <c r="AK1582" s="589"/>
      <c r="AL1582" s="589"/>
      <c r="AM1582" s="589"/>
      <c r="AN1582" s="589"/>
      <c r="AO1582" s="589"/>
      <c r="AP1582" s="589"/>
      <c r="AQ1582" s="589"/>
      <c r="AR1582" s="589"/>
      <c r="AS1582" s="589"/>
    </row>
    <row r="1583" spans="1:45" ht="15">
      <c r="A1583" s="590" t="s">
        <v>199</v>
      </c>
      <c r="B1583" s="590" t="s">
        <v>727</v>
      </c>
      <c r="C1583" s="590" t="s">
        <v>177</v>
      </c>
      <c r="D1583" s="593">
        <v>2017</v>
      </c>
      <c r="E1583" s="590" t="s">
        <v>775</v>
      </c>
      <c r="F1583" s="593">
        <v>71</v>
      </c>
      <c r="G1583" s="593">
        <v>2</v>
      </c>
      <c r="H1583" s="593">
        <v>0</v>
      </c>
      <c r="I1583" s="593">
        <v>2</v>
      </c>
      <c r="J1583" s="593">
        <v>41</v>
      </c>
      <c r="K1583" s="593">
        <v>1</v>
      </c>
      <c r="L1583" s="593">
        <v>0</v>
      </c>
      <c r="M1583" s="593">
        <v>1</v>
      </c>
      <c r="N1583" s="593">
        <v>69</v>
      </c>
      <c r="O1583" s="593">
        <v>0</v>
      </c>
      <c r="P1583" s="593">
        <v>191</v>
      </c>
      <c r="Q1583" s="593">
        <v>1</v>
      </c>
      <c r="R1583" s="593">
        <v>372</v>
      </c>
      <c r="S1583" s="593">
        <v>4</v>
      </c>
      <c r="T1583" s="593">
        <v>2017</v>
      </c>
      <c r="U1583" s="593">
        <v>2016</v>
      </c>
      <c r="V1583" s="589"/>
      <c r="W1583" s="589"/>
      <c r="X1583" s="589"/>
      <c r="Y1583" s="589"/>
      <c r="Z1583" s="589"/>
      <c r="AA1583" s="589"/>
      <c r="AB1583" s="589"/>
      <c r="AC1583" s="589"/>
      <c r="AD1583" s="589"/>
      <c r="AE1583" s="589"/>
      <c r="AF1583" s="589"/>
      <c r="AG1583" s="589"/>
      <c r="AH1583" s="589"/>
      <c r="AI1583" s="589"/>
      <c r="AJ1583" s="589"/>
      <c r="AK1583" s="589"/>
      <c r="AL1583" s="589"/>
      <c r="AM1583" s="589"/>
      <c r="AN1583" s="589"/>
      <c r="AO1583" s="589"/>
      <c r="AP1583" s="589"/>
      <c r="AQ1583" s="589"/>
      <c r="AR1583" s="589"/>
      <c r="AS1583" s="589"/>
    </row>
    <row r="1584" spans="1:45" ht="15">
      <c r="A1584" s="587" t="s">
        <v>202</v>
      </c>
      <c r="B1584" s="587" t="s">
        <v>744</v>
      </c>
      <c r="C1584" s="587" t="s">
        <v>799</v>
      </c>
      <c r="D1584" s="588">
        <v>2017</v>
      </c>
      <c r="E1584" s="587" t="s">
        <v>775</v>
      </c>
      <c r="F1584" s="588">
        <v>390</v>
      </c>
      <c r="G1584" s="588">
        <v>79</v>
      </c>
      <c r="H1584" s="588">
        <v>79</v>
      </c>
      <c r="I1584" s="588">
        <v>0</v>
      </c>
      <c r="J1584" s="588">
        <v>274</v>
      </c>
      <c r="K1584" s="588">
        <v>0</v>
      </c>
      <c r="L1584" s="588">
        <v>0</v>
      </c>
      <c r="M1584" s="588">
        <v>0</v>
      </c>
      <c r="N1584" s="588">
        <v>349</v>
      </c>
      <c r="O1584" s="588">
        <v>32</v>
      </c>
      <c r="P1584" s="588">
        <v>864</v>
      </c>
      <c r="Q1584" s="588">
        <v>99</v>
      </c>
      <c r="R1584" s="588">
        <v>1877</v>
      </c>
      <c r="S1584" s="588">
        <v>210</v>
      </c>
      <c r="T1584" s="588">
        <v>2017</v>
      </c>
      <c r="U1584" s="588">
        <v>2014</v>
      </c>
      <c r="V1584" s="589"/>
      <c r="W1584" s="589"/>
      <c r="X1584" s="589"/>
      <c r="Y1584" s="589"/>
      <c r="Z1584" s="589"/>
      <c r="AA1584" s="589"/>
      <c r="AB1584" s="589"/>
      <c r="AC1584" s="589"/>
      <c r="AD1584" s="589"/>
      <c r="AE1584" s="589"/>
      <c r="AF1584" s="589"/>
      <c r="AG1584" s="589"/>
      <c r="AH1584" s="589"/>
      <c r="AI1584" s="589"/>
      <c r="AJ1584" s="589"/>
      <c r="AK1584" s="589"/>
      <c r="AL1584" s="589"/>
      <c r="AM1584" s="589"/>
      <c r="AN1584" s="589"/>
      <c r="AO1584" s="589"/>
      <c r="AP1584" s="589"/>
      <c r="AQ1584" s="589"/>
      <c r="AR1584" s="589"/>
      <c r="AS1584" s="589"/>
    </row>
    <row r="1585" spans="1:45" ht="15">
      <c r="A1585" s="590" t="s">
        <v>184</v>
      </c>
      <c r="B1585" s="590" t="s">
        <v>642</v>
      </c>
      <c r="C1585" s="590" t="s">
        <v>774</v>
      </c>
      <c r="D1585" s="593">
        <v>2017</v>
      </c>
      <c r="E1585" s="590" t="s">
        <v>775</v>
      </c>
      <c r="F1585" s="593">
        <v>23</v>
      </c>
      <c r="G1585" s="593">
        <v>6</v>
      </c>
      <c r="H1585" s="593">
        <v>0</v>
      </c>
      <c r="I1585" s="593">
        <v>6</v>
      </c>
      <c r="J1585" s="593">
        <v>13</v>
      </c>
      <c r="K1585" s="593">
        <v>1</v>
      </c>
      <c r="L1585" s="593">
        <v>0</v>
      </c>
      <c r="M1585" s="593">
        <v>1</v>
      </c>
      <c r="N1585" s="593">
        <v>15</v>
      </c>
      <c r="O1585" s="593">
        <v>1</v>
      </c>
      <c r="P1585" s="593">
        <v>11</v>
      </c>
      <c r="Q1585" s="593">
        <v>5</v>
      </c>
      <c r="R1585" s="593">
        <v>62</v>
      </c>
      <c r="S1585" s="593">
        <v>13</v>
      </c>
      <c r="T1585" s="593">
        <v>2017</v>
      </c>
      <c r="U1585" s="593">
        <v>2015</v>
      </c>
      <c r="V1585" s="589"/>
      <c r="W1585" s="589"/>
      <c r="X1585" s="589"/>
      <c r="Y1585" s="589"/>
      <c r="Z1585" s="589"/>
      <c r="AA1585" s="589"/>
      <c r="AB1585" s="589"/>
      <c r="AC1585" s="589"/>
      <c r="AD1585" s="589"/>
      <c r="AE1585" s="589"/>
      <c r="AF1585" s="589"/>
      <c r="AG1585" s="589"/>
      <c r="AH1585" s="589"/>
      <c r="AI1585" s="589"/>
      <c r="AJ1585" s="589"/>
      <c r="AK1585" s="589"/>
      <c r="AL1585" s="589"/>
      <c r="AM1585" s="589"/>
      <c r="AN1585" s="589"/>
      <c r="AO1585" s="589"/>
      <c r="AP1585" s="589"/>
      <c r="AQ1585" s="589"/>
      <c r="AR1585" s="589"/>
      <c r="AS1585" s="589"/>
    </row>
    <row r="1586" spans="1:45" ht="15">
      <c r="A1586" s="587" t="s">
        <v>202</v>
      </c>
      <c r="B1586" s="587" t="s">
        <v>745</v>
      </c>
      <c r="C1586" s="587" t="s">
        <v>799</v>
      </c>
      <c r="D1586" s="588">
        <v>2017</v>
      </c>
      <c r="E1586" s="587" t="s">
        <v>775</v>
      </c>
      <c r="F1586" s="588">
        <v>427</v>
      </c>
      <c r="G1586" s="588">
        <v>3</v>
      </c>
      <c r="H1586" s="588">
        <v>0</v>
      </c>
      <c r="I1586" s="588">
        <v>3</v>
      </c>
      <c r="J1586" s="588">
        <v>299</v>
      </c>
      <c r="K1586" s="588">
        <v>4</v>
      </c>
      <c r="L1586" s="588">
        <v>0</v>
      </c>
      <c r="M1586" s="588">
        <v>4</v>
      </c>
      <c r="N1586" s="588">
        <v>351</v>
      </c>
      <c r="O1586" s="588">
        <v>3</v>
      </c>
      <c r="P1586" s="588">
        <v>813</v>
      </c>
      <c r="Q1586" s="588">
        <v>0</v>
      </c>
      <c r="R1586" s="588">
        <v>1890</v>
      </c>
      <c r="S1586" s="588">
        <v>10</v>
      </c>
      <c r="T1586" s="588">
        <v>2017</v>
      </c>
      <c r="U1586" s="588">
        <v>2014</v>
      </c>
      <c r="V1586" s="589"/>
      <c r="W1586" s="589"/>
      <c r="X1586" s="589"/>
      <c r="Y1586" s="589"/>
      <c r="Z1586" s="589"/>
      <c r="AA1586" s="589"/>
      <c r="AB1586" s="589"/>
      <c r="AC1586" s="589"/>
      <c r="AD1586" s="589"/>
      <c r="AE1586" s="589"/>
      <c r="AF1586" s="589"/>
      <c r="AG1586" s="589"/>
      <c r="AH1586" s="589"/>
      <c r="AI1586" s="589"/>
      <c r="AJ1586" s="589"/>
      <c r="AK1586" s="589"/>
      <c r="AL1586" s="589"/>
      <c r="AM1586" s="589"/>
      <c r="AN1586" s="589"/>
      <c r="AO1586" s="589"/>
      <c r="AP1586" s="589"/>
      <c r="AQ1586" s="589"/>
      <c r="AR1586" s="589"/>
      <c r="AS1586" s="589"/>
    </row>
    <row r="1587" spans="1:45" ht="15">
      <c r="A1587" s="590" t="s">
        <v>169</v>
      </c>
      <c r="B1587" s="590" t="s">
        <v>518</v>
      </c>
      <c r="C1587" s="590" t="s">
        <v>812</v>
      </c>
      <c r="D1587" s="593">
        <v>2017</v>
      </c>
      <c r="E1587" s="590" t="s">
        <v>775</v>
      </c>
      <c r="F1587" s="593">
        <v>160</v>
      </c>
      <c r="G1587" s="593">
        <v>26</v>
      </c>
      <c r="H1587" s="593">
        <v>25</v>
      </c>
      <c r="I1587" s="593">
        <v>1</v>
      </c>
      <c r="J1587" s="593">
        <v>113</v>
      </c>
      <c r="K1587" s="593">
        <v>4</v>
      </c>
      <c r="L1587" s="593">
        <v>4</v>
      </c>
      <c r="M1587" s="593">
        <v>0</v>
      </c>
      <c r="N1587" s="593">
        <v>126</v>
      </c>
      <c r="O1587" s="593">
        <v>7</v>
      </c>
      <c r="P1587" s="593">
        <v>270</v>
      </c>
      <c r="Q1587" s="593">
        <v>64</v>
      </c>
      <c r="R1587" s="593">
        <v>669</v>
      </c>
      <c r="S1587" s="593">
        <v>101</v>
      </c>
      <c r="T1587" s="593">
        <v>2017</v>
      </c>
      <c r="U1587" s="593">
        <v>2014</v>
      </c>
      <c r="V1587" s="589"/>
      <c r="W1587" s="589"/>
      <c r="X1587" s="589"/>
      <c r="Y1587" s="589"/>
      <c r="Z1587" s="589"/>
      <c r="AA1587" s="589"/>
      <c r="AB1587" s="589"/>
      <c r="AC1587" s="589"/>
      <c r="AD1587" s="589"/>
      <c r="AE1587" s="589"/>
      <c r="AF1587" s="589"/>
      <c r="AG1587" s="589"/>
      <c r="AH1587" s="589"/>
      <c r="AI1587" s="589"/>
      <c r="AJ1587" s="589"/>
      <c r="AK1587" s="589"/>
      <c r="AL1587" s="589"/>
      <c r="AM1587" s="589"/>
      <c r="AN1587" s="589"/>
      <c r="AO1587" s="589"/>
      <c r="AP1587" s="589"/>
      <c r="AQ1587" s="589"/>
      <c r="AR1587" s="589"/>
      <c r="AS1587" s="589"/>
    </row>
    <row r="1588" spans="1:45" ht="15">
      <c r="A1588" s="587" t="s">
        <v>166</v>
      </c>
      <c r="B1588" s="587" t="s">
        <v>480</v>
      </c>
      <c r="C1588" s="587" t="s">
        <v>774</v>
      </c>
      <c r="D1588" s="588">
        <v>2017</v>
      </c>
      <c r="E1588" s="587" t="s">
        <v>775</v>
      </c>
      <c r="F1588" s="588">
        <v>4</v>
      </c>
      <c r="G1588" s="588">
        <v>0</v>
      </c>
      <c r="H1588" s="588">
        <v>0</v>
      </c>
      <c r="I1588" s="588">
        <v>0</v>
      </c>
      <c r="J1588" s="588">
        <v>2</v>
      </c>
      <c r="K1588" s="588">
        <v>0</v>
      </c>
      <c r="L1588" s="588">
        <v>0</v>
      </c>
      <c r="M1588" s="588">
        <v>0</v>
      </c>
      <c r="N1588" s="588">
        <v>3</v>
      </c>
      <c r="O1588" s="588">
        <v>2</v>
      </c>
      <c r="P1588" s="588">
        <v>8</v>
      </c>
      <c r="Q1588" s="588">
        <v>3</v>
      </c>
      <c r="R1588" s="588">
        <v>17</v>
      </c>
      <c r="S1588" s="588">
        <v>5</v>
      </c>
      <c r="T1588" s="588">
        <v>2017</v>
      </c>
      <c r="U1588" s="588">
        <v>2015</v>
      </c>
      <c r="V1588" s="589"/>
      <c r="W1588" s="589"/>
      <c r="X1588" s="589"/>
      <c r="Y1588" s="589"/>
      <c r="Z1588" s="589"/>
      <c r="AA1588" s="589"/>
      <c r="AB1588" s="589"/>
      <c r="AC1588" s="589"/>
      <c r="AD1588" s="589"/>
      <c r="AE1588" s="589"/>
      <c r="AF1588" s="589"/>
      <c r="AG1588" s="589"/>
      <c r="AH1588" s="589"/>
      <c r="AI1588" s="589"/>
      <c r="AJ1588" s="589"/>
      <c r="AK1588" s="589"/>
      <c r="AL1588" s="589"/>
      <c r="AM1588" s="589"/>
      <c r="AN1588" s="589"/>
      <c r="AO1588" s="589"/>
      <c r="AP1588" s="589"/>
      <c r="AQ1588" s="589"/>
      <c r="AR1588" s="589"/>
      <c r="AS1588" s="589"/>
    </row>
    <row r="1589" spans="1:45" ht="15">
      <c r="A1589" s="590" t="s">
        <v>191</v>
      </c>
      <c r="B1589" s="590" t="s">
        <v>685</v>
      </c>
      <c r="C1589" s="590" t="s">
        <v>784</v>
      </c>
      <c r="D1589" s="593">
        <v>2017</v>
      </c>
      <c r="E1589" s="590" t="s">
        <v>775</v>
      </c>
      <c r="F1589" s="593">
        <v>25</v>
      </c>
      <c r="G1589" s="593">
        <v>0</v>
      </c>
      <c r="H1589" s="593">
        <v>0</v>
      </c>
      <c r="I1589" s="593">
        <v>0</v>
      </c>
      <c r="J1589" s="593">
        <v>17</v>
      </c>
      <c r="K1589" s="593">
        <v>0</v>
      </c>
      <c r="L1589" s="593">
        <v>0</v>
      </c>
      <c r="M1589" s="593">
        <v>0</v>
      </c>
      <c r="N1589" s="593">
        <v>18</v>
      </c>
      <c r="O1589" s="593">
        <v>3</v>
      </c>
      <c r="P1589" s="593">
        <v>43</v>
      </c>
      <c r="Q1589" s="593">
        <v>0</v>
      </c>
      <c r="R1589" s="593">
        <v>103</v>
      </c>
      <c r="S1589" s="593">
        <v>3</v>
      </c>
      <c r="T1589" s="593">
        <v>2017</v>
      </c>
      <c r="U1589" s="593">
        <v>2014</v>
      </c>
      <c r="V1589" s="589"/>
      <c r="W1589" s="589"/>
      <c r="X1589" s="589"/>
      <c r="Y1589" s="589"/>
      <c r="Z1589" s="589"/>
      <c r="AA1589" s="589"/>
      <c r="AB1589" s="589"/>
      <c r="AC1589" s="589"/>
      <c r="AD1589" s="589"/>
      <c r="AE1589" s="589"/>
      <c r="AF1589" s="589"/>
      <c r="AG1589" s="589"/>
      <c r="AH1589" s="589"/>
      <c r="AI1589" s="589"/>
      <c r="AJ1589" s="589"/>
      <c r="AK1589" s="589"/>
      <c r="AL1589" s="589"/>
      <c r="AM1589" s="589"/>
      <c r="AN1589" s="589"/>
      <c r="AO1589" s="589"/>
      <c r="AP1589" s="589"/>
      <c r="AQ1589" s="589"/>
      <c r="AR1589" s="589"/>
      <c r="AS1589" s="589"/>
    </row>
    <row r="1590" spans="1:45" ht="15">
      <c r="A1590" s="587" t="s">
        <v>196</v>
      </c>
      <c r="B1590" s="587" t="s">
        <v>715</v>
      </c>
      <c r="C1590" s="587" t="s">
        <v>799</v>
      </c>
      <c r="D1590" s="588">
        <v>2017</v>
      </c>
      <c r="E1590" s="587" t="s">
        <v>775</v>
      </c>
      <c r="F1590" s="588">
        <v>624</v>
      </c>
      <c r="G1590" s="588">
        <v>2</v>
      </c>
      <c r="H1590" s="588">
        <v>2</v>
      </c>
      <c r="I1590" s="588">
        <v>0</v>
      </c>
      <c r="J1590" s="588">
        <v>437</v>
      </c>
      <c r="K1590" s="588">
        <v>4</v>
      </c>
      <c r="L1590" s="588">
        <v>4</v>
      </c>
      <c r="M1590" s="588">
        <v>0</v>
      </c>
      <c r="N1590" s="588">
        <v>498</v>
      </c>
      <c r="O1590" s="588">
        <v>38</v>
      </c>
      <c r="P1590" s="588">
        <v>1120</v>
      </c>
      <c r="Q1590" s="588">
        <v>0</v>
      </c>
      <c r="R1590" s="588">
        <v>2679</v>
      </c>
      <c r="S1590" s="588">
        <v>44</v>
      </c>
      <c r="T1590" s="588">
        <v>2017</v>
      </c>
      <c r="U1590" s="588">
        <v>2014</v>
      </c>
      <c r="V1590" s="589"/>
      <c r="W1590" s="589"/>
      <c r="X1590" s="589"/>
      <c r="Y1590" s="589"/>
      <c r="Z1590" s="589"/>
      <c r="AA1590" s="589"/>
      <c r="AB1590" s="589"/>
      <c r="AC1590" s="589"/>
      <c r="AD1590" s="589"/>
      <c r="AE1590" s="589"/>
      <c r="AF1590" s="589"/>
      <c r="AG1590" s="589"/>
      <c r="AH1590" s="589"/>
      <c r="AI1590" s="589"/>
      <c r="AJ1590" s="589"/>
      <c r="AK1590" s="589"/>
      <c r="AL1590" s="589"/>
      <c r="AM1590" s="589"/>
      <c r="AN1590" s="589"/>
      <c r="AO1590" s="589"/>
      <c r="AP1590" s="589"/>
      <c r="AQ1590" s="589"/>
      <c r="AR1590" s="589"/>
      <c r="AS1590" s="589"/>
    </row>
    <row r="1591" spans="1:45" ht="15">
      <c r="A1591" s="590" t="s">
        <v>204</v>
      </c>
      <c r="B1591" s="590" t="s">
        <v>748</v>
      </c>
      <c r="C1591" s="590" t="s">
        <v>799</v>
      </c>
      <c r="D1591" s="593">
        <v>2017</v>
      </c>
      <c r="E1591" s="590" t="s">
        <v>775</v>
      </c>
      <c r="F1591" s="593">
        <v>1036</v>
      </c>
      <c r="G1591" s="593">
        <v>4</v>
      </c>
      <c r="H1591" s="593">
        <v>4</v>
      </c>
      <c r="I1591" s="593">
        <v>0</v>
      </c>
      <c r="J1591" s="593">
        <v>727</v>
      </c>
      <c r="K1591" s="593">
        <v>0</v>
      </c>
      <c r="L1591" s="593">
        <v>0</v>
      </c>
      <c r="M1591" s="593">
        <v>0</v>
      </c>
      <c r="N1591" s="593">
        <v>870</v>
      </c>
      <c r="O1591" s="593">
        <v>0</v>
      </c>
      <c r="P1591" s="593">
        <v>2043</v>
      </c>
      <c r="Q1591" s="593">
        <v>256</v>
      </c>
      <c r="R1591" s="593">
        <v>4676</v>
      </c>
      <c r="S1591" s="593">
        <v>260</v>
      </c>
      <c r="T1591" s="593">
        <v>2017</v>
      </c>
      <c r="U1591" s="593">
        <v>2014</v>
      </c>
      <c r="V1591" s="589"/>
      <c r="W1591" s="589"/>
      <c r="X1591" s="589"/>
      <c r="Y1591" s="589"/>
      <c r="Z1591" s="589"/>
      <c r="AA1591" s="589"/>
      <c r="AB1591" s="589"/>
      <c r="AC1591" s="589"/>
      <c r="AD1591" s="589"/>
      <c r="AE1591" s="589"/>
      <c r="AF1591" s="589"/>
      <c r="AG1591" s="589"/>
      <c r="AH1591" s="589"/>
      <c r="AI1591" s="589"/>
      <c r="AJ1591" s="589"/>
      <c r="AK1591" s="589"/>
      <c r="AL1591" s="589"/>
      <c r="AM1591" s="589"/>
      <c r="AN1591" s="589"/>
      <c r="AO1591" s="589"/>
      <c r="AP1591" s="589"/>
      <c r="AQ1591" s="589"/>
      <c r="AR1591" s="589"/>
      <c r="AS1591" s="589"/>
    </row>
    <row r="1592" spans="1:45" ht="15">
      <c r="A1592" s="587" t="s">
        <v>178</v>
      </c>
      <c r="B1592" s="587" t="s">
        <v>588</v>
      </c>
      <c r="C1592" s="587" t="s">
        <v>812</v>
      </c>
      <c r="D1592" s="588">
        <v>2017</v>
      </c>
      <c r="E1592" s="587" t="s">
        <v>775</v>
      </c>
      <c r="F1592" s="588">
        <v>376</v>
      </c>
      <c r="G1592" s="588">
        <v>0</v>
      </c>
      <c r="H1592" s="588">
        <v>0</v>
      </c>
      <c r="I1592" s="588">
        <v>0</v>
      </c>
      <c r="J1592" s="588">
        <v>261</v>
      </c>
      <c r="K1592" s="588">
        <v>30</v>
      </c>
      <c r="L1592" s="588">
        <v>30</v>
      </c>
      <c r="M1592" s="588">
        <v>0</v>
      </c>
      <c r="N1592" s="588">
        <v>299</v>
      </c>
      <c r="O1592" s="588">
        <v>18</v>
      </c>
      <c r="P1592" s="588">
        <v>669</v>
      </c>
      <c r="Q1592" s="588">
        <v>9</v>
      </c>
      <c r="R1592" s="588">
        <v>1605</v>
      </c>
      <c r="S1592" s="588">
        <v>57</v>
      </c>
      <c r="T1592" s="588">
        <v>2017</v>
      </c>
      <c r="U1592" s="588">
        <v>2014</v>
      </c>
      <c r="V1592" s="589"/>
      <c r="W1592" s="589"/>
      <c r="X1592" s="589"/>
      <c r="Y1592" s="589"/>
      <c r="Z1592" s="589"/>
      <c r="AA1592" s="589"/>
      <c r="AB1592" s="589"/>
      <c r="AC1592" s="589"/>
      <c r="AD1592" s="589"/>
      <c r="AE1592" s="589"/>
      <c r="AF1592" s="589"/>
      <c r="AG1592" s="589"/>
      <c r="AH1592" s="589"/>
      <c r="AI1592" s="589"/>
      <c r="AJ1592" s="589"/>
      <c r="AK1592" s="589"/>
      <c r="AL1592" s="589"/>
      <c r="AM1592" s="589"/>
      <c r="AN1592" s="589"/>
      <c r="AO1592" s="589"/>
      <c r="AP1592" s="589"/>
      <c r="AQ1592" s="589"/>
      <c r="AR1592" s="589"/>
      <c r="AS1592" s="589"/>
    </row>
    <row r="1593" spans="1:45" ht="15">
      <c r="A1593" s="590" t="s">
        <v>178</v>
      </c>
      <c r="B1593" s="590" t="s">
        <v>589</v>
      </c>
      <c r="C1593" s="590" t="s">
        <v>812</v>
      </c>
      <c r="D1593" s="593">
        <v>2017</v>
      </c>
      <c r="E1593" s="590" t="s">
        <v>775</v>
      </c>
      <c r="F1593" s="593">
        <v>209</v>
      </c>
      <c r="G1593" s="593">
        <v>0</v>
      </c>
      <c r="H1593" s="593">
        <v>0</v>
      </c>
      <c r="I1593" s="593">
        <v>0</v>
      </c>
      <c r="J1593" s="593">
        <v>149</v>
      </c>
      <c r="K1593" s="593">
        <v>0</v>
      </c>
      <c r="L1593" s="593">
        <v>0</v>
      </c>
      <c r="M1593" s="593">
        <v>0</v>
      </c>
      <c r="N1593" s="593">
        <v>172</v>
      </c>
      <c r="O1593" s="593">
        <v>0</v>
      </c>
      <c r="P1593" s="593">
        <v>400</v>
      </c>
      <c r="Q1593" s="593">
        <v>37</v>
      </c>
      <c r="R1593" s="593">
        <v>930</v>
      </c>
      <c r="S1593" s="593">
        <v>37</v>
      </c>
      <c r="T1593" s="593">
        <v>2017</v>
      </c>
      <c r="U1593" s="593">
        <v>2014</v>
      </c>
      <c r="V1593" s="589"/>
      <c r="W1593" s="589"/>
      <c r="X1593" s="589"/>
      <c r="Y1593" s="589"/>
      <c r="Z1593" s="589"/>
      <c r="AA1593" s="589"/>
      <c r="AB1593" s="589"/>
      <c r="AC1593" s="589"/>
      <c r="AD1593" s="589"/>
      <c r="AE1593" s="589"/>
      <c r="AF1593" s="589"/>
      <c r="AG1593" s="589"/>
      <c r="AH1593" s="589"/>
      <c r="AI1593" s="589"/>
      <c r="AJ1593" s="589"/>
      <c r="AK1593" s="589"/>
      <c r="AL1593" s="589"/>
      <c r="AM1593" s="589"/>
      <c r="AN1593" s="589"/>
      <c r="AO1593" s="589"/>
      <c r="AP1593" s="589"/>
      <c r="AQ1593" s="589"/>
      <c r="AR1593" s="589"/>
      <c r="AS1593" s="589"/>
    </row>
    <row r="1594" spans="1:45" ht="15">
      <c r="A1594" s="587" t="s">
        <v>178</v>
      </c>
      <c r="B1594" s="587" t="s">
        <v>566</v>
      </c>
      <c r="C1594" s="587" t="s">
        <v>813</v>
      </c>
      <c r="D1594" s="588">
        <v>2018</v>
      </c>
      <c r="E1594" s="587" t="s">
        <v>775</v>
      </c>
      <c r="F1594" s="588">
        <v>633</v>
      </c>
      <c r="G1594" s="588">
        <v>0</v>
      </c>
      <c r="H1594" s="588">
        <v>0</v>
      </c>
      <c r="I1594" s="588">
        <v>0</v>
      </c>
      <c r="J1594" s="588">
        <v>459</v>
      </c>
      <c r="K1594" s="588">
        <v>0</v>
      </c>
      <c r="L1594" s="588">
        <v>0</v>
      </c>
      <c r="M1594" s="588">
        <v>0</v>
      </c>
      <c r="N1594" s="588">
        <v>513</v>
      </c>
      <c r="O1594" s="588">
        <v>0</v>
      </c>
      <c r="P1594" s="588">
        <v>1236</v>
      </c>
      <c r="Q1594" s="588">
        <v>27</v>
      </c>
      <c r="R1594" s="588">
        <v>2841</v>
      </c>
      <c r="S1594" s="588">
        <v>27</v>
      </c>
      <c r="T1594" s="588">
        <v>2018</v>
      </c>
      <c r="U1594" s="588">
        <v>2014</v>
      </c>
      <c r="V1594" s="589"/>
      <c r="W1594" s="589"/>
      <c r="X1594" s="589"/>
      <c r="Y1594" s="589"/>
      <c r="Z1594" s="589"/>
      <c r="AA1594" s="589"/>
      <c r="AB1594" s="589"/>
      <c r="AC1594" s="589"/>
      <c r="AD1594" s="589"/>
      <c r="AE1594" s="589"/>
      <c r="AF1594" s="589"/>
      <c r="AG1594" s="589"/>
      <c r="AH1594" s="589"/>
      <c r="AI1594" s="589"/>
      <c r="AJ1594" s="589"/>
      <c r="AK1594" s="589"/>
      <c r="AL1594" s="589"/>
      <c r="AM1594" s="589"/>
      <c r="AN1594" s="589"/>
      <c r="AO1594" s="589"/>
      <c r="AP1594" s="589"/>
      <c r="AQ1594" s="589"/>
      <c r="AR1594" s="589"/>
      <c r="AS1594" s="589"/>
    </row>
    <row r="1595" spans="1:45" ht="15">
      <c r="A1595" s="590" t="s">
        <v>153</v>
      </c>
      <c r="B1595" s="590" t="s">
        <v>346</v>
      </c>
      <c r="C1595" s="590" t="s">
        <v>813</v>
      </c>
      <c r="D1595" s="593">
        <v>2018</v>
      </c>
      <c r="E1595" s="590" t="s">
        <v>775</v>
      </c>
      <c r="F1595" s="593">
        <v>31</v>
      </c>
      <c r="G1595" s="593">
        <v>0</v>
      </c>
      <c r="H1595" s="593">
        <v>0</v>
      </c>
      <c r="I1595" s="593">
        <v>0</v>
      </c>
      <c r="J1595" s="593">
        <v>19</v>
      </c>
      <c r="K1595" s="593">
        <v>0</v>
      </c>
      <c r="L1595" s="593">
        <v>0</v>
      </c>
      <c r="M1595" s="593">
        <v>0</v>
      </c>
      <c r="N1595" s="593">
        <v>20</v>
      </c>
      <c r="O1595" s="593">
        <v>0</v>
      </c>
      <c r="P1595" s="593">
        <v>45</v>
      </c>
      <c r="Q1595" s="593">
        <v>4</v>
      </c>
      <c r="R1595" s="593">
        <v>115</v>
      </c>
      <c r="S1595" s="593">
        <v>4</v>
      </c>
      <c r="T1595" s="593">
        <v>2018</v>
      </c>
      <c r="U1595" s="593">
        <v>2014</v>
      </c>
      <c r="V1595" s="589"/>
      <c r="W1595" s="589"/>
      <c r="X1595" s="589"/>
      <c r="Y1595" s="589"/>
      <c r="Z1595" s="589"/>
      <c r="AA1595" s="589"/>
      <c r="AB1595" s="589"/>
      <c r="AC1595" s="589"/>
      <c r="AD1595" s="589"/>
      <c r="AE1595" s="589"/>
      <c r="AF1595" s="589"/>
      <c r="AG1595" s="589"/>
      <c r="AH1595" s="589"/>
      <c r="AI1595" s="589"/>
      <c r="AJ1595" s="589"/>
      <c r="AK1595" s="589"/>
      <c r="AL1595" s="589"/>
      <c r="AM1595" s="589"/>
      <c r="AN1595" s="589"/>
      <c r="AO1595" s="589"/>
      <c r="AP1595" s="589"/>
      <c r="AQ1595" s="589"/>
      <c r="AR1595" s="589"/>
      <c r="AS1595" s="589"/>
    </row>
    <row r="1596" spans="1:45" ht="15">
      <c r="A1596" s="587" t="s">
        <v>125</v>
      </c>
      <c r="B1596" s="587" t="s">
        <v>125</v>
      </c>
      <c r="C1596" s="587" t="s">
        <v>782</v>
      </c>
      <c r="D1596" s="588">
        <v>2018</v>
      </c>
      <c r="E1596" s="587" t="s">
        <v>775</v>
      </c>
      <c r="F1596" s="588">
        <v>444</v>
      </c>
      <c r="G1596" s="588">
        <v>1</v>
      </c>
      <c r="H1596" s="588">
        <v>1</v>
      </c>
      <c r="I1596" s="588">
        <v>0</v>
      </c>
      <c r="J1596" s="588">
        <v>248</v>
      </c>
      <c r="K1596" s="588">
        <v>0</v>
      </c>
      <c r="L1596" s="588">
        <v>0</v>
      </c>
      <c r="M1596" s="588">
        <v>0</v>
      </c>
      <c r="N1596" s="588">
        <v>283</v>
      </c>
      <c r="O1596" s="588">
        <v>0</v>
      </c>
      <c r="P1596" s="588">
        <v>748</v>
      </c>
      <c r="Q1596" s="588">
        <v>180</v>
      </c>
      <c r="R1596" s="588">
        <v>1723</v>
      </c>
      <c r="S1596" s="588">
        <v>181</v>
      </c>
      <c r="T1596" s="588">
        <v>2018</v>
      </c>
      <c r="U1596" s="588">
        <v>2015</v>
      </c>
      <c r="V1596" s="589"/>
      <c r="W1596" s="589"/>
      <c r="X1596" s="589"/>
      <c r="Y1596" s="589"/>
      <c r="Z1596" s="589"/>
      <c r="AA1596" s="589"/>
      <c r="AB1596" s="589"/>
      <c r="AC1596" s="589"/>
      <c r="AD1596" s="589"/>
      <c r="AE1596" s="589"/>
      <c r="AF1596" s="589"/>
      <c r="AG1596" s="589"/>
      <c r="AH1596" s="589"/>
      <c r="AI1596" s="589"/>
      <c r="AJ1596" s="589"/>
      <c r="AK1596" s="589"/>
      <c r="AL1596" s="589"/>
      <c r="AM1596" s="589"/>
      <c r="AN1596" s="589"/>
      <c r="AO1596" s="589"/>
      <c r="AP1596" s="589"/>
      <c r="AQ1596" s="589"/>
      <c r="AR1596" s="589"/>
      <c r="AS1596" s="589"/>
    </row>
    <row r="1597" spans="1:45" ht="15">
      <c r="A1597" s="590" t="s">
        <v>125</v>
      </c>
      <c r="B1597" s="590" t="s">
        <v>233</v>
      </c>
      <c r="C1597" s="590" t="s">
        <v>782</v>
      </c>
      <c r="D1597" s="593">
        <v>2018</v>
      </c>
      <c r="E1597" s="590" t="s">
        <v>775</v>
      </c>
      <c r="F1597" s="593">
        <v>430</v>
      </c>
      <c r="G1597" s="593">
        <v>0</v>
      </c>
      <c r="H1597" s="593">
        <v>0</v>
      </c>
      <c r="I1597" s="593">
        <v>0</v>
      </c>
      <c r="J1597" s="593">
        <v>227</v>
      </c>
      <c r="K1597" s="593">
        <v>11</v>
      </c>
      <c r="L1597" s="593">
        <v>0</v>
      </c>
      <c r="M1597" s="593">
        <v>11</v>
      </c>
      <c r="N1597" s="593">
        <v>295</v>
      </c>
      <c r="O1597" s="593">
        <v>0</v>
      </c>
      <c r="P1597" s="593">
        <v>817</v>
      </c>
      <c r="Q1597" s="593">
        <v>108</v>
      </c>
      <c r="R1597" s="593">
        <v>1769</v>
      </c>
      <c r="S1597" s="593">
        <v>119</v>
      </c>
      <c r="T1597" s="593">
        <v>2018</v>
      </c>
      <c r="U1597" s="593">
        <v>2015</v>
      </c>
      <c r="V1597" s="589"/>
      <c r="W1597" s="589"/>
      <c r="X1597" s="589"/>
      <c r="Y1597" s="589"/>
      <c r="Z1597" s="589"/>
      <c r="AA1597" s="589"/>
      <c r="AB1597" s="589"/>
      <c r="AC1597" s="589"/>
      <c r="AD1597" s="589"/>
      <c r="AE1597" s="589"/>
      <c r="AF1597" s="589"/>
      <c r="AG1597" s="589"/>
      <c r="AH1597" s="589"/>
      <c r="AI1597" s="589"/>
      <c r="AJ1597" s="589"/>
      <c r="AK1597" s="589"/>
      <c r="AL1597" s="589"/>
      <c r="AM1597" s="589"/>
      <c r="AN1597" s="589"/>
      <c r="AO1597" s="589"/>
      <c r="AP1597" s="589"/>
      <c r="AQ1597" s="589"/>
      <c r="AR1597" s="589"/>
      <c r="AS1597" s="589"/>
    </row>
    <row r="1598" spans="1:45" ht="15">
      <c r="A1598" s="587" t="s">
        <v>125</v>
      </c>
      <c r="B1598" s="587" t="s">
        <v>234</v>
      </c>
      <c r="C1598" s="587" t="s">
        <v>782</v>
      </c>
      <c r="D1598" s="588">
        <v>2018</v>
      </c>
      <c r="E1598" s="587" t="s">
        <v>775</v>
      </c>
      <c r="F1598" s="588">
        <v>80</v>
      </c>
      <c r="G1598" s="588">
        <v>0</v>
      </c>
      <c r="H1598" s="588">
        <v>0</v>
      </c>
      <c r="I1598" s="588">
        <v>0</v>
      </c>
      <c r="J1598" s="588">
        <v>53</v>
      </c>
      <c r="K1598" s="588">
        <v>0</v>
      </c>
      <c r="L1598" s="588">
        <v>0</v>
      </c>
      <c r="M1598" s="588">
        <v>0</v>
      </c>
      <c r="N1598" s="588">
        <v>57</v>
      </c>
      <c r="O1598" s="588">
        <v>17</v>
      </c>
      <c r="P1598" s="588">
        <v>145</v>
      </c>
      <c r="Q1598" s="588">
        <v>0</v>
      </c>
      <c r="R1598" s="588">
        <v>335</v>
      </c>
      <c r="S1598" s="588">
        <v>17</v>
      </c>
      <c r="T1598" s="588">
        <v>2018</v>
      </c>
      <c r="U1598" s="588">
        <v>2015</v>
      </c>
      <c r="V1598" s="589"/>
      <c r="W1598" s="589"/>
      <c r="X1598" s="589"/>
      <c r="Y1598" s="589"/>
      <c r="Z1598" s="589"/>
      <c r="AA1598" s="589"/>
      <c r="AB1598" s="589"/>
      <c r="AC1598" s="589"/>
      <c r="AD1598" s="589"/>
      <c r="AE1598" s="589"/>
      <c r="AF1598" s="589"/>
      <c r="AG1598" s="589"/>
      <c r="AH1598" s="589"/>
      <c r="AI1598" s="589"/>
      <c r="AJ1598" s="589"/>
      <c r="AK1598" s="589"/>
      <c r="AL1598" s="589"/>
      <c r="AM1598" s="589"/>
      <c r="AN1598" s="589"/>
      <c r="AO1598" s="589"/>
      <c r="AP1598" s="589"/>
      <c r="AQ1598" s="589"/>
      <c r="AR1598" s="589"/>
      <c r="AS1598" s="589"/>
    </row>
    <row r="1599" spans="1:45" ht="15">
      <c r="A1599" s="590" t="s">
        <v>153</v>
      </c>
      <c r="B1599" s="590" t="s">
        <v>347</v>
      </c>
      <c r="C1599" s="590" t="s">
        <v>813</v>
      </c>
      <c r="D1599" s="593">
        <v>2018</v>
      </c>
      <c r="E1599" s="590" t="s">
        <v>775</v>
      </c>
      <c r="F1599" s="593">
        <v>380</v>
      </c>
      <c r="G1599" s="593">
        <v>0</v>
      </c>
      <c r="H1599" s="593">
        <v>0</v>
      </c>
      <c r="I1599" s="593">
        <v>0</v>
      </c>
      <c r="J1599" s="593">
        <v>224</v>
      </c>
      <c r="K1599" s="593">
        <v>2</v>
      </c>
      <c r="L1599" s="593">
        <v>2</v>
      </c>
      <c r="M1599" s="593">
        <v>0</v>
      </c>
      <c r="N1599" s="593">
        <v>246</v>
      </c>
      <c r="O1599" s="593">
        <v>0</v>
      </c>
      <c r="P1599" s="593">
        <v>642</v>
      </c>
      <c r="Q1599" s="593">
        <v>11</v>
      </c>
      <c r="R1599" s="593">
        <v>1492</v>
      </c>
      <c r="S1599" s="593">
        <v>13</v>
      </c>
      <c r="T1599" s="593">
        <v>2018</v>
      </c>
      <c r="U1599" s="593">
        <v>2014</v>
      </c>
      <c r="V1599" s="589"/>
      <c r="W1599" s="589"/>
      <c r="X1599" s="589"/>
      <c r="Y1599" s="589"/>
      <c r="Z1599" s="589"/>
      <c r="AA1599" s="589"/>
      <c r="AB1599" s="589"/>
      <c r="AC1599" s="589"/>
      <c r="AD1599" s="589"/>
      <c r="AE1599" s="589"/>
      <c r="AF1599" s="589"/>
      <c r="AG1599" s="589"/>
      <c r="AH1599" s="589"/>
      <c r="AI1599" s="589"/>
      <c r="AJ1599" s="589"/>
      <c r="AK1599" s="589"/>
      <c r="AL1599" s="589"/>
      <c r="AM1599" s="589"/>
      <c r="AN1599" s="589"/>
      <c r="AO1599" s="589"/>
      <c r="AP1599" s="589"/>
      <c r="AQ1599" s="589"/>
      <c r="AR1599" s="589"/>
      <c r="AS1599" s="589"/>
    </row>
    <row r="1600" spans="1:45" ht="15">
      <c r="A1600" s="587" t="s">
        <v>169</v>
      </c>
      <c r="B1600" s="587" t="s">
        <v>485</v>
      </c>
      <c r="C1600" s="587" t="s">
        <v>813</v>
      </c>
      <c r="D1600" s="588">
        <v>2018</v>
      </c>
      <c r="E1600" s="587" t="s">
        <v>775</v>
      </c>
      <c r="F1600" s="588">
        <v>9</v>
      </c>
      <c r="G1600" s="588">
        <v>0</v>
      </c>
      <c r="H1600" s="588">
        <v>0</v>
      </c>
      <c r="I1600" s="588">
        <v>0</v>
      </c>
      <c r="J1600" s="588">
        <v>7</v>
      </c>
      <c r="K1600" s="588">
        <v>0</v>
      </c>
      <c r="L1600" s="588">
        <v>0</v>
      </c>
      <c r="M1600" s="588">
        <v>0</v>
      </c>
      <c r="N1600" s="588">
        <v>7</v>
      </c>
      <c r="O1600" s="588">
        <v>0</v>
      </c>
      <c r="P1600" s="588">
        <v>16</v>
      </c>
      <c r="Q1600" s="588">
        <v>0</v>
      </c>
      <c r="R1600" s="588">
        <v>39</v>
      </c>
      <c r="S1600" s="588">
        <v>0</v>
      </c>
      <c r="T1600" s="588">
        <v>2018</v>
      </c>
      <c r="U1600" s="588">
        <v>2014</v>
      </c>
      <c r="V1600" s="589"/>
      <c r="W1600" s="589"/>
      <c r="X1600" s="589"/>
      <c r="Y1600" s="589"/>
      <c r="Z1600" s="589"/>
      <c r="AA1600" s="589"/>
      <c r="AB1600" s="589"/>
      <c r="AC1600" s="589"/>
      <c r="AD1600" s="589"/>
      <c r="AE1600" s="589"/>
      <c r="AF1600" s="589"/>
      <c r="AG1600" s="589"/>
      <c r="AH1600" s="589"/>
      <c r="AI1600" s="589"/>
      <c r="AJ1600" s="589"/>
      <c r="AK1600" s="589"/>
      <c r="AL1600" s="589"/>
      <c r="AM1600" s="589"/>
      <c r="AN1600" s="589"/>
      <c r="AO1600" s="589"/>
      <c r="AP1600" s="589"/>
      <c r="AQ1600" s="589"/>
      <c r="AR1600" s="589"/>
      <c r="AS1600" s="589"/>
    </row>
    <row r="1601" spans="1:45" ht="15">
      <c r="A1601" s="590" t="s">
        <v>127</v>
      </c>
      <c r="B1601" s="590" t="s">
        <v>247</v>
      </c>
      <c r="C1601" s="590" t="s">
        <v>785</v>
      </c>
      <c r="D1601" s="593">
        <v>2018</v>
      </c>
      <c r="E1601" s="590" t="s">
        <v>775</v>
      </c>
      <c r="F1601" s="593">
        <v>7</v>
      </c>
      <c r="G1601" s="593">
        <v>0</v>
      </c>
      <c r="H1601" s="593">
        <v>0</v>
      </c>
      <c r="I1601" s="593">
        <v>0</v>
      </c>
      <c r="J1601" s="593">
        <v>6</v>
      </c>
      <c r="K1601" s="593">
        <v>1</v>
      </c>
      <c r="L1601" s="593">
        <v>0</v>
      </c>
      <c r="M1601" s="593">
        <v>1</v>
      </c>
      <c r="N1601" s="593">
        <v>6</v>
      </c>
      <c r="O1601" s="593">
        <v>0</v>
      </c>
      <c r="P1601" s="593">
        <v>11</v>
      </c>
      <c r="Q1601" s="593">
        <v>0</v>
      </c>
      <c r="R1601" s="593">
        <v>30</v>
      </c>
      <c r="S1601" s="593">
        <v>1</v>
      </c>
      <c r="T1601" s="593">
        <v>2018</v>
      </c>
      <c r="U1601" s="593">
        <v>2014</v>
      </c>
      <c r="V1601" s="589"/>
      <c r="W1601" s="589"/>
      <c r="X1601" s="589"/>
      <c r="Y1601" s="589"/>
      <c r="Z1601" s="589"/>
      <c r="AA1601" s="589"/>
      <c r="AB1601" s="589"/>
      <c r="AC1601" s="589"/>
      <c r="AD1601" s="589"/>
      <c r="AE1601" s="589"/>
      <c r="AF1601" s="589"/>
      <c r="AG1601" s="589"/>
      <c r="AH1601" s="589"/>
      <c r="AI1601" s="589"/>
      <c r="AJ1601" s="589"/>
      <c r="AK1601" s="589"/>
      <c r="AL1601" s="589"/>
      <c r="AM1601" s="589"/>
      <c r="AN1601" s="589"/>
      <c r="AO1601" s="589"/>
      <c r="AP1601" s="589"/>
      <c r="AQ1601" s="589"/>
      <c r="AR1601" s="589"/>
      <c r="AS1601" s="589"/>
    </row>
    <row r="1602" spans="1:45" ht="15">
      <c r="A1602" s="587" t="s">
        <v>162</v>
      </c>
      <c r="B1602" s="587" t="s">
        <v>460</v>
      </c>
      <c r="C1602" s="587" t="s">
        <v>785</v>
      </c>
      <c r="D1602" s="588">
        <v>2018</v>
      </c>
      <c r="E1602" s="587" t="s">
        <v>775</v>
      </c>
      <c r="F1602" s="588">
        <v>1</v>
      </c>
      <c r="G1602" s="588">
        <v>0</v>
      </c>
      <c r="H1602" s="588">
        <v>0</v>
      </c>
      <c r="I1602" s="588">
        <v>0</v>
      </c>
      <c r="J1602" s="588">
        <v>1</v>
      </c>
      <c r="K1602" s="588">
        <v>0</v>
      </c>
      <c r="L1602" s="588">
        <v>0</v>
      </c>
      <c r="M1602" s="588">
        <v>0</v>
      </c>
      <c r="N1602" s="588">
        <v>1</v>
      </c>
      <c r="O1602" s="588">
        <v>0</v>
      </c>
      <c r="P1602" s="588">
        <v>2</v>
      </c>
      <c r="Q1602" s="588">
        <v>0</v>
      </c>
      <c r="R1602" s="588">
        <v>5</v>
      </c>
      <c r="S1602" s="588">
        <v>0</v>
      </c>
      <c r="T1602" s="588">
        <v>2018</v>
      </c>
      <c r="U1602" s="588">
        <v>2014</v>
      </c>
      <c r="V1602" s="589"/>
      <c r="W1602" s="589"/>
      <c r="X1602" s="589"/>
      <c r="Y1602" s="589"/>
      <c r="Z1602" s="589"/>
      <c r="AA1602" s="589"/>
      <c r="AB1602" s="589"/>
      <c r="AC1602" s="589"/>
      <c r="AD1602" s="589"/>
      <c r="AE1602" s="589"/>
      <c r="AF1602" s="589"/>
      <c r="AG1602" s="589"/>
      <c r="AH1602" s="589"/>
      <c r="AI1602" s="589"/>
      <c r="AJ1602" s="589"/>
      <c r="AK1602" s="589"/>
      <c r="AL1602" s="589"/>
      <c r="AM1602" s="589"/>
      <c r="AN1602" s="589"/>
      <c r="AO1602" s="589"/>
      <c r="AP1602" s="589"/>
      <c r="AQ1602" s="589"/>
      <c r="AR1602" s="589"/>
      <c r="AS1602" s="589"/>
    </row>
    <row r="1603" spans="1:45" ht="15">
      <c r="A1603" s="590" t="s">
        <v>130</v>
      </c>
      <c r="B1603" s="590" t="s">
        <v>250</v>
      </c>
      <c r="C1603" s="590" t="s">
        <v>785</v>
      </c>
      <c r="D1603" s="593">
        <v>2018</v>
      </c>
      <c r="E1603" s="590" t="s">
        <v>775</v>
      </c>
      <c r="F1603" s="593">
        <v>10</v>
      </c>
      <c r="G1603" s="593">
        <v>1</v>
      </c>
      <c r="H1603" s="593">
        <v>0</v>
      </c>
      <c r="I1603" s="593">
        <v>1</v>
      </c>
      <c r="J1603" s="593">
        <v>7</v>
      </c>
      <c r="K1603" s="593">
        <v>4</v>
      </c>
      <c r="L1603" s="593">
        <v>0</v>
      </c>
      <c r="M1603" s="593">
        <v>4</v>
      </c>
      <c r="N1603" s="593">
        <v>9</v>
      </c>
      <c r="O1603" s="593">
        <v>21</v>
      </c>
      <c r="P1603" s="593">
        <v>23</v>
      </c>
      <c r="Q1603" s="593">
        <v>7</v>
      </c>
      <c r="R1603" s="593">
        <v>49</v>
      </c>
      <c r="S1603" s="593">
        <v>33</v>
      </c>
      <c r="T1603" s="593">
        <v>2018</v>
      </c>
      <c r="U1603" s="593">
        <v>2014</v>
      </c>
      <c r="V1603" s="589"/>
      <c r="W1603" s="589"/>
      <c r="X1603" s="589"/>
      <c r="Y1603" s="589"/>
      <c r="Z1603" s="589"/>
      <c r="AA1603" s="589"/>
      <c r="AB1603" s="589"/>
      <c r="AC1603" s="589"/>
      <c r="AD1603" s="589"/>
      <c r="AE1603" s="589"/>
      <c r="AF1603" s="589"/>
      <c r="AG1603" s="589"/>
      <c r="AH1603" s="589"/>
      <c r="AI1603" s="589"/>
      <c r="AJ1603" s="589"/>
      <c r="AK1603" s="589"/>
      <c r="AL1603" s="589"/>
      <c r="AM1603" s="589"/>
      <c r="AN1603" s="589"/>
      <c r="AO1603" s="589"/>
      <c r="AP1603" s="589"/>
      <c r="AQ1603" s="589"/>
      <c r="AR1603" s="589"/>
      <c r="AS1603" s="589"/>
    </row>
    <row r="1604" spans="1:45" ht="15">
      <c r="A1604" s="587" t="s">
        <v>166</v>
      </c>
      <c r="B1604" s="587" t="s">
        <v>476</v>
      </c>
      <c r="C1604" s="587" t="s">
        <v>782</v>
      </c>
      <c r="D1604" s="588">
        <v>2018</v>
      </c>
      <c r="E1604" s="587" t="s">
        <v>775</v>
      </c>
      <c r="F1604" s="588">
        <v>116</v>
      </c>
      <c r="G1604" s="588">
        <v>8</v>
      </c>
      <c r="H1604" s="588">
        <v>8</v>
      </c>
      <c r="I1604" s="588">
        <v>0</v>
      </c>
      <c r="J1604" s="588">
        <v>54</v>
      </c>
      <c r="K1604" s="588">
        <v>11</v>
      </c>
      <c r="L1604" s="588">
        <v>8</v>
      </c>
      <c r="M1604" s="588">
        <v>3</v>
      </c>
      <c r="N1604" s="588">
        <v>58</v>
      </c>
      <c r="O1604" s="588">
        <v>0</v>
      </c>
      <c r="P1604" s="588">
        <v>164</v>
      </c>
      <c r="Q1604" s="588">
        <v>143</v>
      </c>
      <c r="R1604" s="588">
        <v>392</v>
      </c>
      <c r="S1604" s="588">
        <v>162</v>
      </c>
      <c r="T1604" s="588">
        <v>2018</v>
      </c>
      <c r="U1604" s="588">
        <v>2015</v>
      </c>
      <c r="V1604" s="589"/>
      <c r="W1604" s="589"/>
      <c r="X1604" s="589"/>
      <c r="Y1604" s="589"/>
      <c r="Z1604" s="589"/>
      <c r="AA1604" s="589"/>
      <c r="AB1604" s="589"/>
      <c r="AC1604" s="589"/>
      <c r="AD1604" s="589"/>
      <c r="AE1604" s="589"/>
      <c r="AF1604" s="589"/>
      <c r="AG1604" s="589"/>
      <c r="AH1604" s="589"/>
      <c r="AI1604" s="589"/>
      <c r="AJ1604" s="589"/>
      <c r="AK1604" s="589"/>
      <c r="AL1604" s="589"/>
      <c r="AM1604" s="589"/>
      <c r="AN1604" s="589"/>
      <c r="AO1604" s="589"/>
      <c r="AP1604" s="589"/>
      <c r="AQ1604" s="589"/>
      <c r="AR1604" s="589"/>
      <c r="AS1604" s="589"/>
    </row>
    <row r="1605" spans="1:45" ht="15">
      <c r="A1605" s="590" t="s">
        <v>169</v>
      </c>
      <c r="B1605" s="590" t="s">
        <v>486</v>
      </c>
      <c r="C1605" s="590" t="s">
        <v>813</v>
      </c>
      <c r="D1605" s="593">
        <v>2018</v>
      </c>
      <c r="E1605" s="590" t="s">
        <v>775</v>
      </c>
      <c r="F1605" s="593">
        <v>1256</v>
      </c>
      <c r="G1605" s="593">
        <v>0</v>
      </c>
      <c r="H1605" s="593">
        <v>0</v>
      </c>
      <c r="I1605" s="593">
        <v>0</v>
      </c>
      <c r="J1605" s="593">
        <v>907</v>
      </c>
      <c r="K1605" s="593">
        <v>0</v>
      </c>
      <c r="L1605" s="593">
        <v>0</v>
      </c>
      <c r="M1605" s="593">
        <v>0</v>
      </c>
      <c r="N1605" s="593">
        <v>1038</v>
      </c>
      <c r="O1605" s="593">
        <v>5</v>
      </c>
      <c r="P1605" s="593">
        <v>2501</v>
      </c>
      <c r="Q1605" s="593">
        <v>944</v>
      </c>
      <c r="R1605" s="593">
        <v>5702</v>
      </c>
      <c r="S1605" s="593">
        <v>949</v>
      </c>
      <c r="T1605" s="593">
        <v>2018</v>
      </c>
      <c r="U1605" s="593">
        <v>2014</v>
      </c>
      <c r="V1605" s="589"/>
      <c r="W1605" s="589"/>
      <c r="X1605" s="589"/>
      <c r="Y1605" s="589"/>
      <c r="Z1605" s="589"/>
      <c r="AA1605" s="589"/>
      <c r="AB1605" s="589"/>
      <c r="AC1605" s="589"/>
      <c r="AD1605" s="589"/>
      <c r="AE1605" s="589"/>
      <c r="AF1605" s="589"/>
      <c r="AG1605" s="589"/>
      <c r="AH1605" s="589"/>
      <c r="AI1605" s="589"/>
      <c r="AJ1605" s="589"/>
      <c r="AK1605" s="589"/>
      <c r="AL1605" s="589"/>
      <c r="AM1605" s="589"/>
      <c r="AN1605" s="589"/>
      <c r="AO1605" s="589"/>
      <c r="AP1605" s="589"/>
      <c r="AQ1605" s="589"/>
      <c r="AR1605" s="589"/>
      <c r="AS1605" s="589"/>
    </row>
    <row r="1606" spans="1:45" ht="15">
      <c r="A1606" s="587" t="s">
        <v>189</v>
      </c>
      <c r="B1606" s="587" t="s">
        <v>670</v>
      </c>
      <c r="C1606" s="587" t="s">
        <v>785</v>
      </c>
      <c r="D1606" s="588">
        <v>2018</v>
      </c>
      <c r="E1606" s="587" t="s">
        <v>775</v>
      </c>
      <c r="F1606" s="588">
        <v>32</v>
      </c>
      <c r="G1606" s="588">
        <v>0</v>
      </c>
      <c r="H1606" s="588">
        <v>0</v>
      </c>
      <c r="I1606" s="588">
        <v>0</v>
      </c>
      <c r="J1606" s="588">
        <v>21</v>
      </c>
      <c r="K1606" s="588">
        <v>1</v>
      </c>
      <c r="L1606" s="588">
        <v>0</v>
      </c>
      <c r="M1606" s="588">
        <v>1</v>
      </c>
      <c r="N1606" s="588">
        <v>24</v>
      </c>
      <c r="O1606" s="588">
        <v>1</v>
      </c>
      <c r="P1606" s="588">
        <v>59</v>
      </c>
      <c r="Q1606" s="588">
        <v>27</v>
      </c>
      <c r="R1606" s="588">
        <v>136</v>
      </c>
      <c r="S1606" s="588">
        <v>29</v>
      </c>
      <c r="T1606" s="588">
        <v>2018</v>
      </c>
      <c r="U1606" s="588">
        <v>2014</v>
      </c>
      <c r="V1606" s="589"/>
      <c r="W1606" s="589"/>
      <c r="X1606" s="589"/>
      <c r="Y1606" s="589"/>
      <c r="Z1606" s="589"/>
      <c r="AA1606" s="589"/>
      <c r="AB1606" s="589"/>
      <c r="AC1606" s="589"/>
      <c r="AD1606" s="589"/>
      <c r="AE1606" s="589"/>
      <c r="AF1606" s="589"/>
      <c r="AG1606" s="589"/>
      <c r="AH1606" s="589"/>
      <c r="AI1606" s="589"/>
      <c r="AJ1606" s="589"/>
      <c r="AK1606" s="589"/>
      <c r="AL1606" s="589"/>
      <c r="AM1606" s="589"/>
      <c r="AN1606" s="589"/>
      <c r="AO1606" s="589"/>
      <c r="AP1606" s="589"/>
      <c r="AQ1606" s="589"/>
      <c r="AR1606" s="589"/>
      <c r="AS1606" s="589"/>
    </row>
    <row r="1607" spans="1:45" ht="15">
      <c r="A1607" s="590" t="s">
        <v>134</v>
      </c>
      <c r="B1607" s="590" t="s">
        <v>261</v>
      </c>
      <c r="C1607" s="590" t="s">
        <v>785</v>
      </c>
      <c r="D1607" s="593">
        <v>2018</v>
      </c>
      <c r="E1607" s="590" t="s">
        <v>775</v>
      </c>
      <c r="F1607" s="593">
        <v>39</v>
      </c>
      <c r="G1607" s="593">
        <v>1</v>
      </c>
      <c r="H1607" s="593">
        <v>0</v>
      </c>
      <c r="I1607" s="593">
        <v>1</v>
      </c>
      <c r="J1607" s="593">
        <v>25</v>
      </c>
      <c r="K1607" s="593">
        <v>0</v>
      </c>
      <c r="L1607" s="593">
        <v>0</v>
      </c>
      <c r="M1607" s="593">
        <v>0</v>
      </c>
      <c r="N1607" s="593">
        <v>28</v>
      </c>
      <c r="O1607" s="593">
        <v>1</v>
      </c>
      <c r="P1607" s="593">
        <v>69</v>
      </c>
      <c r="Q1607" s="593">
        <v>19</v>
      </c>
      <c r="R1607" s="593">
        <v>161</v>
      </c>
      <c r="S1607" s="593">
        <v>21</v>
      </c>
      <c r="T1607" s="593">
        <v>2018</v>
      </c>
      <c r="U1607" s="593">
        <v>2014</v>
      </c>
      <c r="V1607" s="589"/>
      <c r="W1607" s="589"/>
      <c r="X1607" s="589"/>
      <c r="Y1607" s="589"/>
      <c r="Z1607" s="589"/>
      <c r="AA1607" s="589"/>
      <c r="AB1607" s="589"/>
      <c r="AC1607" s="589"/>
      <c r="AD1607" s="589"/>
      <c r="AE1607" s="589"/>
      <c r="AF1607" s="589"/>
      <c r="AG1607" s="589"/>
      <c r="AH1607" s="589"/>
      <c r="AI1607" s="589"/>
      <c r="AJ1607" s="589"/>
      <c r="AK1607" s="589"/>
      <c r="AL1607" s="589"/>
      <c r="AM1607" s="589"/>
      <c r="AN1607" s="589"/>
      <c r="AO1607" s="589"/>
      <c r="AP1607" s="589"/>
      <c r="AQ1607" s="589"/>
      <c r="AR1607" s="589"/>
      <c r="AS1607" s="589"/>
    </row>
    <row r="1608" spans="1:45" ht="15">
      <c r="A1608" s="587" t="s">
        <v>136</v>
      </c>
      <c r="B1608" s="587" t="s">
        <v>265</v>
      </c>
      <c r="C1608" s="587" t="s">
        <v>782</v>
      </c>
      <c r="D1608" s="588">
        <v>2018</v>
      </c>
      <c r="E1608" s="587" t="s">
        <v>775</v>
      </c>
      <c r="F1608" s="588">
        <v>349</v>
      </c>
      <c r="G1608" s="588">
        <v>1</v>
      </c>
      <c r="H1608" s="588">
        <v>0</v>
      </c>
      <c r="I1608" s="588">
        <v>1</v>
      </c>
      <c r="J1608" s="588">
        <v>205</v>
      </c>
      <c r="K1608" s="588">
        <v>1</v>
      </c>
      <c r="L1608" s="588">
        <v>0</v>
      </c>
      <c r="M1608" s="588">
        <v>1</v>
      </c>
      <c r="N1608" s="588">
        <v>214</v>
      </c>
      <c r="O1608" s="588">
        <v>0</v>
      </c>
      <c r="P1608" s="588">
        <v>680</v>
      </c>
      <c r="Q1608" s="588">
        <v>119</v>
      </c>
      <c r="R1608" s="588">
        <v>1448</v>
      </c>
      <c r="S1608" s="588">
        <v>121</v>
      </c>
      <c r="T1608" s="588">
        <v>2018</v>
      </c>
      <c r="U1608" s="588">
        <v>2015</v>
      </c>
      <c r="V1608" s="589"/>
      <c r="W1608" s="589"/>
      <c r="X1608" s="589"/>
      <c r="Y1608" s="589"/>
      <c r="Z1608" s="589"/>
      <c r="AA1608" s="589"/>
      <c r="AB1608" s="589"/>
      <c r="AC1608" s="589"/>
      <c r="AD1608" s="589"/>
      <c r="AE1608" s="589"/>
      <c r="AF1608" s="589"/>
      <c r="AG1608" s="589"/>
      <c r="AH1608" s="589"/>
      <c r="AI1608" s="589"/>
      <c r="AJ1608" s="589"/>
      <c r="AK1608" s="589"/>
      <c r="AL1608" s="589"/>
      <c r="AM1608" s="589"/>
      <c r="AN1608" s="589"/>
      <c r="AO1608" s="589"/>
      <c r="AP1608" s="589"/>
      <c r="AQ1608" s="589"/>
      <c r="AR1608" s="589"/>
      <c r="AS1608" s="589"/>
    </row>
    <row r="1609" spans="1:45" ht="15">
      <c r="A1609" s="590" t="s">
        <v>178</v>
      </c>
      <c r="B1609" s="590" t="s">
        <v>567</v>
      </c>
      <c r="C1609" s="590" t="s">
        <v>813</v>
      </c>
      <c r="D1609" s="593">
        <v>2018</v>
      </c>
      <c r="E1609" s="590" t="s">
        <v>775</v>
      </c>
      <c r="F1609" s="593">
        <v>764</v>
      </c>
      <c r="G1609" s="593">
        <v>0</v>
      </c>
      <c r="H1609" s="593">
        <v>0</v>
      </c>
      <c r="I1609" s="593">
        <v>0</v>
      </c>
      <c r="J1609" s="593">
        <v>541</v>
      </c>
      <c r="K1609" s="593">
        <v>0</v>
      </c>
      <c r="L1609" s="593">
        <v>0</v>
      </c>
      <c r="M1609" s="593">
        <v>0</v>
      </c>
      <c r="N1609" s="593">
        <v>622</v>
      </c>
      <c r="O1609" s="593">
        <v>0</v>
      </c>
      <c r="P1609" s="593">
        <v>1407</v>
      </c>
      <c r="Q1609" s="593">
        <v>0</v>
      </c>
      <c r="R1609" s="593">
        <v>3334</v>
      </c>
      <c r="S1609" s="593">
        <v>0</v>
      </c>
      <c r="T1609" s="593">
        <v>2018</v>
      </c>
      <c r="U1609" s="593">
        <v>2014</v>
      </c>
      <c r="V1609" s="589"/>
      <c r="W1609" s="589"/>
      <c r="X1609" s="589"/>
      <c r="Y1609" s="589"/>
      <c r="Z1609" s="589"/>
      <c r="AA1609" s="589"/>
      <c r="AB1609" s="589"/>
      <c r="AC1609" s="589"/>
      <c r="AD1609" s="589"/>
      <c r="AE1609" s="589"/>
      <c r="AF1609" s="589"/>
      <c r="AG1609" s="589"/>
      <c r="AH1609" s="589"/>
      <c r="AI1609" s="589"/>
      <c r="AJ1609" s="589"/>
      <c r="AK1609" s="589"/>
      <c r="AL1609" s="589"/>
      <c r="AM1609" s="589"/>
      <c r="AN1609" s="589"/>
      <c r="AO1609" s="589"/>
      <c r="AP1609" s="589"/>
      <c r="AQ1609" s="589"/>
      <c r="AR1609" s="589"/>
      <c r="AS1609" s="589"/>
    </row>
    <row r="1610" spans="1:45" ht="15">
      <c r="A1610" s="587" t="s">
        <v>153</v>
      </c>
      <c r="B1610" s="587" t="s">
        <v>348</v>
      </c>
      <c r="C1610" s="587" t="s">
        <v>813</v>
      </c>
      <c r="D1610" s="588">
        <v>2018</v>
      </c>
      <c r="E1610" s="587" t="s">
        <v>775</v>
      </c>
      <c r="F1610" s="588">
        <v>276</v>
      </c>
      <c r="G1610" s="588">
        <v>0</v>
      </c>
      <c r="H1610" s="588">
        <v>0</v>
      </c>
      <c r="I1610" s="588">
        <v>0</v>
      </c>
      <c r="J1610" s="588">
        <v>167</v>
      </c>
      <c r="K1610" s="588">
        <v>0</v>
      </c>
      <c r="L1610" s="588">
        <v>0</v>
      </c>
      <c r="M1610" s="588">
        <v>0</v>
      </c>
      <c r="N1610" s="588">
        <v>177</v>
      </c>
      <c r="O1610" s="588">
        <v>0</v>
      </c>
      <c r="P1610" s="588">
        <v>434</v>
      </c>
      <c r="Q1610" s="588">
        <v>69</v>
      </c>
      <c r="R1610" s="588">
        <v>1054</v>
      </c>
      <c r="S1610" s="588">
        <v>69</v>
      </c>
      <c r="T1610" s="588">
        <v>2018</v>
      </c>
      <c r="U1610" s="588">
        <v>2014</v>
      </c>
      <c r="V1610" s="589"/>
      <c r="W1610" s="589"/>
      <c r="X1610" s="589"/>
      <c r="Y1610" s="589"/>
      <c r="Z1610" s="589"/>
      <c r="AA1610" s="589"/>
      <c r="AB1610" s="589"/>
      <c r="AC1610" s="589"/>
      <c r="AD1610" s="589"/>
      <c r="AE1610" s="589"/>
      <c r="AF1610" s="589"/>
      <c r="AG1610" s="589"/>
      <c r="AH1610" s="589"/>
      <c r="AI1610" s="589"/>
      <c r="AJ1610" s="589"/>
      <c r="AK1610" s="589"/>
      <c r="AL1610" s="589"/>
      <c r="AM1610" s="589"/>
      <c r="AN1610" s="589"/>
      <c r="AO1610" s="589"/>
      <c r="AP1610" s="589"/>
      <c r="AQ1610" s="589"/>
      <c r="AR1610" s="589"/>
      <c r="AS1610" s="589"/>
    </row>
    <row r="1611" spans="1:45" ht="15">
      <c r="A1611" s="590" t="s">
        <v>145</v>
      </c>
      <c r="B1611" s="590" t="s">
        <v>307</v>
      </c>
      <c r="C1611" s="590" t="s">
        <v>785</v>
      </c>
      <c r="D1611" s="593">
        <v>2018</v>
      </c>
      <c r="E1611" s="590" t="s">
        <v>775</v>
      </c>
      <c r="F1611" s="593">
        <v>85</v>
      </c>
      <c r="G1611" s="593">
        <v>0</v>
      </c>
      <c r="H1611" s="593">
        <v>0</v>
      </c>
      <c r="I1611" s="593">
        <v>0</v>
      </c>
      <c r="J1611" s="593">
        <v>56</v>
      </c>
      <c r="K1611" s="593">
        <v>0</v>
      </c>
      <c r="L1611" s="593">
        <v>0</v>
      </c>
      <c r="M1611" s="593">
        <v>0</v>
      </c>
      <c r="N1611" s="593">
        <v>62</v>
      </c>
      <c r="O1611" s="593">
        <v>40</v>
      </c>
      <c r="P1611" s="593">
        <v>160</v>
      </c>
      <c r="Q1611" s="593">
        <v>36</v>
      </c>
      <c r="R1611" s="593">
        <v>363</v>
      </c>
      <c r="S1611" s="593">
        <v>76</v>
      </c>
      <c r="T1611" s="593">
        <v>2018</v>
      </c>
      <c r="U1611" s="593">
        <v>2014</v>
      </c>
      <c r="V1611" s="589"/>
      <c r="W1611" s="589"/>
      <c r="X1611" s="589"/>
      <c r="Y1611" s="589"/>
      <c r="Z1611" s="589"/>
      <c r="AA1611" s="589"/>
      <c r="AB1611" s="589"/>
      <c r="AC1611" s="589"/>
      <c r="AD1611" s="589"/>
      <c r="AE1611" s="589"/>
      <c r="AF1611" s="589"/>
      <c r="AG1611" s="589"/>
      <c r="AH1611" s="589"/>
      <c r="AI1611" s="589"/>
      <c r="AJ1611" s="589"/>
      <c r="AK1611" s="589"/>
      <c r="AL1611" s="589"/>
      <c r="AM1611" s="589"/>
      <c r="AN1611" s="589"/>
      <c r="AO1611" s="589"/>
      <c r="AP1611" s="589"/>
      <c r="AQ1611" s="589"/>
      <c r="AR1611" s="589"/>
      <c r="AS1611" s="589"/>
    </row>
    <row r="1612" spans="1:45" ht="15">
      <c r="A1612" s="587" t="s">
        <v>183</v>
      </c>
      <c r="B1612" s="587" t="s">
        <v>616</v>
      </c>
      <c r="C1612" s="587" t="s">
        <v>785</v>
      </c>
      <c r="D1612" s="588">
        <v>2018</v>
      </c>
      <c r="E1612" s="587" t="s">
        <v>775</v>
      </c>
      <c r="F1612" s="588">
        <v>60</v>
      </c>
      <c r="G1612" s="588">
        <v>0</v>
      </c>
      <c r="H1612" s="588">
        <v>0</v>
      </c>
      <c r="I1612" s="588">
        <v>0</v>
      </c>
      <c r="J1612" s="588">
        <v>38</v>
      </c>
      <c r="K1612" s="588">
        <v>13</v>
      </c>
      <c r="L1612" s="588">
        <v>0</v>
      </c>
      <c r="M1612" s="588">
        <v>13</v>
      </c>
      <c r="N1612" s="588">
        <v>43</v>
      </c>
      <c r="O1612" s="588">
        <v>0</v>
      </c>
      <c r="P1612" s="588">
        <v>101</v>
      </c>
      <c r="Q1612" s="588">
        <v>22</v>
      </c>
      <c r="R1612" s="588">
        <v>242</v>
      </c>
      <c r="S1612" s="588">
        <v>35</v>
      </c>
      <c r="T1612" s="588">
        <v>2018</v>
      </c>
      <c r="U1612" s="588">
        <v>2014</v>
      </c>
      <c r="V1612" s="589"/>
      <c r="W1612" s="589"/>
      <c r="X1612" s="589"/>
      <c r="Y1612" s="589"/>
      <c r="Z1612" s="589"/>
      <c r="AA1612" s="589"/>
      <c r="AB1612" s="589"/>
      <c r="AC1612" s="589"/>
      <c r="AD1612" s="589"/>
      <c r="AE1612" s="589"/>
      <c r="AF1612" s="589"/>
      <c r="AG1612" s="589"/>
      <c r="AH1612" s="589"/>
      <c r="AI1612" s="589"/>
      <c r="AJ1612" s="589"/>
      <c r="AK1612" s="589"/>
      <c r="AL1612" s="589"/>
      <c r="AM1612" s="589"/>
      <c r="AN1612" s="589"/>
      <c r="AO1612" s="589"/>
      <c r="AP1612" s="589"/>
      <c r="AQ1612" s="589"/>
      <c r="AR1612" s="589"/>
      <c r="AS1612" s="589"/>
    </row>
    <row r="1613" spans="1:45" ht="15">
      <c r="A1613" s="590" t="s">
        <v>153</v>
      </c>
      <c r="B1613" s="590" t="s">
        <v>349</v>
      </c>
      <c r="C1613" s="590" t="s">
        <v>813</v>
      </c>
      <c r="D1613" s="593">
        <v>2018</v>
      </c>
      <c r="E1613" s="590" t="s">
        <v>775</v>
      </c>
      <c r="F1613" s="593">
        <v>31</v>
      </c>
      <c r="G1613" s="593">
        <v>0</v>
      </c>
      <c r="H1613" s="593">
        <v>0</v>
      </c>
      <c r="I1613" s="593">
        <v>0</v>
      </c>
      <c r="J1613" s="593">
        <v>18</v>
      </c>
      <c r="K1613" s="593">
        <v>0</v>
      </c>
      <c r="L1613" s="593">
        <v>0</v>
      </c>
      <c r="M1613" s="593">
        <v>0</v>
      </c>
      <c r="N1613" s="593">
        <v>20</v>
      </c>
      <c r="O1613" s="593">
        <v>0</v>
      </c>
      <c r="P1613" s="593">
        <v>51</v>
      </c>
      <c r="Q1613" s="593">
        <v>7</v>
      </c>
      <c r="R1613" s="593">
        <v>120</v>
      </c>
      <c r="S1613" s="593">
        <v>7</v>
      </c>
      <c r="T1613" s="593">
        <v>2018</v>
      </c>
      <c r="U1613" s="593">
        <v>2014</v>
      </c>
      <c r="V1613" s="589"/>
      <c r="W1613" s="589"/>
      <c r="X1613" s="589"/>
      <c r="Y1613" s="589"/>
      <c r="Z1613" s="589"/>
      <c r="AA1613" s="589"/>
      <c r="AB1613" s="589"/>
      <c r="AC1613" s="589"/>
      <c r="AD1613" s="589"/>
      <c r="AE1613" s="589"/>
      <c r="AF1613" s="589"/>
      <c r="AG1613" s="589"/>
      <c r="AH1613" s="589"/>
      <c r="AI1613" s="589"/>
      <c r="AJ1613" s="589"/>
      <c r="AK1613" s="589"/>
      <c r="AL1613" s="589"/>
      <c r="AM1613" s="589"/>
      <c r="AN1613" s="589"/>
      <c r="AO1613" s="589"/>
      <c r="AP1613" s="589"/>
      <c r="AQ1613" s="589"/>
      <c r="AR1613" s="589"/>
      <c r="AS1613" s="589"/>
    </row>
    <row r="1614" spans="1:45" ht="15">
      <c r="A1614" s="587" t="s">
        <v>148</v>
      </c>
      <c r="B1614" s="587" t="s">
        <v>324</v>
      </c>
      <c r="C1614" s="587" t="s">
        <v>811</v>
      </c>
      <c r="D1614" s="588">
        <v>2018</v>
      </c>
      <c r="E1614" s="587" t="s">
        <v>775</v>
      </c>
      <c r="F1614" s="588">
        <v>398</v>
      </c>
      <c r="G1614" s="588">
        <v>0</v>
      </c>
      <c r="H1614" s="588">
        <v>0</v>
      </c>
      <c r="I1614" s="588">
        <v>0</v>
      </c>
      <c r="J1614" s="588">
        <v>239</v>
      </c>
      <c r="K1614" s="588">
        <v>0</v>
      </c>
      <c r="L1614" s="588">
        <v>0</v>
      </c>
      <c r="M1614" s="588">
        <v>0</v>
      </c>
      <c r="N1614" s="588">
        <v>183</v>
      </c>
      <c r="O1614" s="588">
        <v>102</v>
      </c>
      <c r="P1614" s="588">
        <v>349</v>
      </c>
      <c r="Q1614" s="588">
        <v>0</v>
      </c>
      <c r="R1614" s="588">
        <v>1169</v>
      </c>
      <c r="S1614" s="588">
        <v>102</v>
      </c>
      <c r="T1614" s="588">
        <v>2018</v>
      </c>
      <c r="U1614" s="588">
        <v>2016</v>
      </c>
      <c r="V1614" s="589"/>
      <c r="W1614" s="589"/>
      <c r="X1614" s="589"/>
      <c r="Y1614" s="589"/>
      <c r="Z1614" s="589"/>
      <c r="AA1614" s="589"/>
      <c r="AB1614" s="589"/>
      <c r="AC1614" s="589"/>
      <c r="AD1614" s="589"/>
      <c r="AE1614" s="589"/>
      <c r="AF1614" s="589"/>
      <c r="AG1614" s="589"/>
      <c r="AH1614" s="589"/>
      <c r="AI1614" s="589"/>
      <c r="AJ1614" s="589"/>
      <c r="AK1614" s="589"/>
      <c r="AL1614" s="589"/>
      <c r="AM1614" s="589"/>
      <c r="AN1614" s="589"/>
      <c r="AO1614" s="589"/>
      <c r="AP1614" s="589"/>
      <c r="AQ1614" s="589"/>
      <c r="AR1614" s="589"/>
      <c r="AS1614" s="589"/>
    </row>
    <row r="1615" spans="1:45" ht="15">
      <c r="A1615" s="590" t="s">
        <v>183</v>
      </c>
      <c r="B1615" s="590" t="s">
        <v>617</v>
      </c>
      <c r="C1615" s="590" t="s">
        <v>785</v>
      </c>
      <c r="D1615" s="593">
        <v>2018</v>
      </c>
      <c r="E1615" s="590" t="s">
        <v>775</v>
      </c>
      <c r="F1615" s="593">
        <v>98</v>
      </c>
      <c r="G1615" s="593">
        <v>0</v>
      </c>
      <c r="H1615" s="593">
        <v>0</v>
      </c>
      <c r="I1615" s="593">
        <v>0</v>
      </c>
      <c r="J1615" s="593">
        <v>62</v>
      </c>
      <c r="K1615" s="593">
        <v>0</v>
      </c>
      <c r="L1615" s="593">
        <v>0</v>
      </c>
      <c r="M1615" s="593">
        <v>0</v>
      </c>
      <c r="N1615" s="593">
        <v>69</v>
      </c>
      <c r="O1615" s="593">
        <v>7</v>
      </c>
      <c r="P1615" s="593">
        <v>164</v>
      </c>
      <c r="Q1615" s="593">
        <v>12</v>
      </c>
      <c r="R1615" s="593">
        <v>393</v>
      </c>
      <c r="S1615" s="593">
        <v>19</v>
      </c>
      <c r="T1615" s="593">
        <v>2018</v>
      </c>
      <c r="U1615" s="593">
        <v>2014</v>
      </c>
      <c r="V1615" s="589"/>
      <c r="W1615" s="589"/>
      <c r="X1615" s="589"/>
      <c r="Y1615" s="589"/>
      <c r="Z1615" s="589"/>
      <c r="AA1615" s="589"/>
      <c r="AB1615" s="589"/>
      <c r="AC1615" s="589"/>
      <c r="AD1615" s="589"/>
      <c r="AE1615" s="589"/>
      <c r="AF1615" s="589"/>
      <c r="AG1615" s="589"/>
      <c r="AH1615" s="589"/>
      <c r="AI1615" s="589"/>
      <c r="AJ1615" s="589"/>
      <c r="AK1615" s="589"/>
      <c r="AL1615" s="589"/>
      <c r="AM1615" s="589"/>
      <c r="AN1615" s="589"/>
      <c r="AO1615" s="589"/>
      <c r="AP1615" s="589"/>
      <c r="AQ1615" s="589"/>
      <c r="AR1615" s="589"/>
      <c r="AS1615" s="589"/>
    </row>
    <row r="1616" spans="1:45" ht="15">
      <c r="A1616" s="587" t="s">
        <v>184</v>
      </c>
      <c r="B1616" s="587" t="s">
        <v>623</v>
      </c>
      <c r="C1616" s="587" t="s">
        <v>782</v>
      </c>
      <c r="D1616" s="588">
        <v>2018</v>
      </c>
      <c r="E1616" s="587" t="s">
        <v>775</v>
      </c>
      <c r="F1616" s="588">
        <v>35</v>
      </c>
      <c r="G1616" s="588">
        <v>3</v>
      </c>
      <c r="H1616" s="588">
        <v>0</v>
      </c>
      <c r="I1616" s="588">
        <v>3</v>
      </c>
      <c r="J1616" s="588">
        <v>26</v>
      </c>
      <c r="K1616" s="588">
        <v>2</v>
      </c>
      <c r="L1616" s="588">
        <v>0</v>
      </c>
      <c r="M1616" s="588">
        <v>2</v>
      </c>
      <c r="N1616" s="588">
        <v>29</v>
      </c>
      <c r="O1616" s="588">
        <v>1</v>
      </c>
      <c r="P1616" s="588">
        <v>3</v>
      </c>
      <c r="Q1616" s="588">
        <v>28</v>
      </c>
      <c r="R1616" s="588">
        <v>93</v>
      </c>
      <c r="S1616" s="588">
        <v>34</v>
      </c>
      <c r="T1616" s="588">
        <v>2018</v>
      </c>
      <c r="U1616" s="588">
        <v>2015</v>
      </c>
      <c r="V1616" s="589"/>
      <c r="W1616" s="589"/>
      <c r="X1616" s="589"/>
      <c r="Y1616" s="589"/>
      <c r="Z1616" s="589"/>
      <c r="AA1616" s="589"/>
      <c r="AB1616" s="589"/>
      <c r="AC1616" s="589"/>
      <c r="AD1616" s="589"/>
      <c r="AE1616" s="589"/>
      <c r="AF1616" s="589"/>
      <c r="AG1616" s="589"/>
      <c r="AH1616" s="589"/>
      <c r="AI1616" s="589"/>
      <c r="AJ1616" s="589"/>
      <c r="AK1616" s="589"/>
      <c r="AL1616" s="589"/>
      <c r="AM1616" s="589"/>
      <c r="AN1616" s="589"/>
      <c r="AO1616" s="589"/>
      <c r="AP1616" s="589"/>
      <c r="AQ1616" s="589"/>
      <c r="AR1616" s="589"/>
      <c r="AS1616" s="589"/>
    </row>
    <row r="1617" spans="1:45" ht="15">
      <c r="A1617" s="590" t="s">
        <v>160</v>
      </c>
      <c r="B1617" s="590" t="s">
        <v>454</v>
      </c>
      <c r="C1617" s="590" t="s">
        <v>829</v>
      </c>
      <c r="D1617" s="593">
        <v>2018</v>
      </c>
      <c r="E1617" s="590" t="s">
        <v>775</v>
      </c>
      <c r="F1617" s="593">
        <v>429</v>
      </c>
      <c r="G1617" s="593">
        <v>0</v>
      </c>
      <c r="H1617" s="593">
        <v>0</v>
      </c>
      <c r="I1617" s="593">
        <v>0</v>
      </c>
      <c r="J1617" s="593">
        <v>307</v>
      </c>
      <c r="K1617" s="593">
        <v>0</v>
      </c>
      <c r="L1617" s="593">
        <v>0</v>
      </c>
      <c r="M1617" s="593">
        <v>0</v>
      </c>
      <c r="N1617" s="593">
        <v>281</v>
      </c>
      <c r="O1617" s="593">
        <v>0</v>
      </c>
      <c r="P1617" s="593">
        <v>748</v>
      </c>
      <c r="Q1617" s="593">
        <v>16</v>
      </c>
      <c r="R1617" s="593">
        <v>1765</v>
      </c>
      <c r="S1617" s="593">
        <v>16</v>
      </c>
      <c r="T1617" s="593">
        <v>2018</v>
      </c>
      <c r="U1617" s="593">
        <v>2016</v>
      </c>
      <c r="V1617" s="589"/>
      <c r="W1617" s="589"/>
      <c r="X1617" s="589"/>
      <c r="Y1617" s="589"/>
      <c r="Z1617" s="589"/>
      <c r="AA1617" s="589"/>
      <c r="AB1617" s="589"/>
      <c r="AC1617" s="589"/>
      <c r="AD1617" s="589"/>
      <c r="AE1617" s="589"/>
      <c r="AF1617" s="589"/>
      <c r="AG1617" s="589"/>
      <c r="AH1617" s="589"/>
      <c r="AI1617" s="589"/>
      <c r="AJ1617" s="589"/>
      <c r="AK1617" s="589"/>
      <c r="AL1617" s="589"/>
      <c r="AM1617" s="589"/>
      <c r="AN1617" s="589"/>
      <c r="AO1617" s="589"/>
      <c r="AP1617" s="589"/>
      <c r="AQ1617" s="589"/>
      <c r="AR1617" s="589"/>
      <c r="AS1617" s="589"/>
    </row>
    <row r="1618" spans="1:45" ht="15">
      <c r="A1618" s="587" t="s">
        <v>170</v>
      </c>
      <c r="B1618" s="587" t="s">
        <v>519</v>
      </c>
      <c r="C1618" s="587" t="s">
        <v>801</v>
      </c>
      <c r="D1618" s="588">
        <v>2018</v>
      </c>
      <c r="E1618" s="587" t="s">
        <v>775</v>
      </c>
      <c r="F1618" s="588">
        <v>74</v>
      </c>
      <c r="G1618" s="588">
        <v>0</v>
      </c>
      <c r="H1618" s="588">
        <v>0</v>
      </c>
      <c r="I1618" s="588">
        <v>0</v>
      </c>
      <c r="J1618" s="588">
        <v>52</v>
      </c>
      <c r="K1618" s="588">
        <v>1</v>
      </c>
      <c r="L1618" s="588">
        <v>0</v>
      </c>
      <c r="M1618" s="588">
        <v>1</v>
      </c>
      <c r="N1618" s="588">
        <v>57</v>
      </c>
      <c r="O1618" s="588">
        <v>6</v>
      </c>
      <c r="P1618" s="588">
        <v>125</v>
      </c>
      <c r="Q1618" s="588">
        <v>26</v>
      </c>
      <c r="R1618" s="588">
        <v>308</v>
      </c>
      <c r="S1618" s="588">
        <v>33</v>
      </c>
      <c r="T1618" s="588">
        <v>2018</v>
      </c>
      <c r="U1618" s="588">
        <v>2014</v>
      </c>
      <c r="V1618" s="589"/>
      <c r="W1618" s="589"/>
      <c r="X1618" s="589"/>
      <c r="Y1618" s="589"/>
      <c r="Z1618" s="589"/>
      <c r="AA1618" s="589"/>
      <c r="AB1618" s="589"/>
      <c r="AC1618" s="589"/>
      <c r="AD1618" s="589"/>
      <c r="AE1618" s="589"/>
      <c r="AF1618" s="589"/>
      <c r="AG1618" s="589"/>
      <c r="AH1618" s="589"/>
      <c r="AI1618" s="589"/>
      <c r="AJ1618" s="589"/>
      <c r="AK1618" s="589"/>
      <c r="AL1618" s="589"/>
      <c r="AM1618" s="589"/>
      <c r="AN1618" s="589"/>
      <c r="AO1618" s="589"/>
      <c r="AP1618" s="589"/>
      <c r="AQ1618" s="589"/>
      <c r="AR1618" s="589"/>
      <c r="AS1618" s="589"/>
    </row>
    <row r="1619" spans="1:45" ht="15">
      <c r="A1619" s="590" t="s">
        <v>153</v>
      </c>
      <c r="B1619" s="590" t="s">
        <v>350</v>
      </c>
      <c r="C1619" s="590" t="s">
        <v>813</v>
      </c>
      <c r="D1619" s="593">
        <v>2018</v>
      </c>
      <c r="E1619" s="590" t="s">
        <v>775</v>
      </c>
      <c r="F1619" s="593">
        <v>20</v>
      </c>
      <c r="G1619" s="593">
        <v>0</v>
      </c>
      <c r="H1619" s="593">
        <v>0</v>
      </c>
      <c r="I1619" s="593">
        <v>0</v>
      </c>
      <c r="J1619" s="593">
        <v>12</v>
      </c>
      <c r="K1619" s="593">
        <v>0</v>
      </c>
      <c r="L1619" s="593">
        <v>0</v>
      </c>
      <c r="M1619" s="593">
        <v>0</v>
      </c>
      <c r="N1619" s="593">
        <v>14</v>
      </c>
      <c r="O1619" s="593">
        <v>0</v>
      </c>
      <c r="P1619" s="593">
        <v>34</v>
      </c>
      <c r="Q1619" s="593">
        <v>0</v>
      </c>
      <c r="R1619" s="593">
        <v>80</v>
      </c>
      <c r="S1619" s="593">
        <v>0</v>
      </c>
      <c r="T1619" s="593">
        <v>2018</v>
      </c>
      <c r="U1619" s="593">
        <v>2014</v>
      </c>
      <c r="V1619" s="589"/>
      <c r="W1619" s="589"/>
      <c r="X1619" s="589"/>
      <c r="Y1619" s="589"/>
      <c r="Z1619" s="589"/>
      <c r="AA1619" s="589"/>
      <c r="AB1619" s="589"/>
      <c r="AC1619" s="589"/>
      <c r="AD1619" s="589"/>
      <c r="AE1619" s="589"/>
      <c r="AF1619" s="589"/>
      <c r="AG1619" s="589"/>
      <c r="AH1619" s="589"/>
      <c r="AI1619" s="589"/>
      <c r="AJ1619" s="589"/>
      <c r="AK1619" s="589"/>
      <c r="AL1619" s="589"/>
      <c r="AM1619" s="589"/>
      <c r="AN1619" s="589"/>
      <c r="AO1619" s="589"/>
      <c r="AP1619" s="589"/>
      <c r="AQ1619" s="589"/>
      <c r="AR1619" s="589"/>
      <c r="AS1619" s="589"/>
    </row>
    <row r="1620" spans="1:45" ht="15">
      <c r="A1620" s="587" t="s">
        <v>149</v>
      </c>
      <c r="B1620" s="587" t="s">
        <v>336</v>
      </c>
      <c r="C1620" s="587" t="s">
        <v>820</v>
      </c>
      <c r="D1620" s="588">
        <v>2018</v>
      </c>
      <c r="E1620" s="587" t="s">
        <v>775</v>
      </c>
      <c r="F1620" s="588">
        <v>145</v>
      </c>
      <c r="G1620" s="588">
        <v>0</v>
      </c>
      <c r="H1620" s="588">
        <v>0</v>
      </c>
      <c r="I1620" s="588">
        <v>0</v>
      </c>
      <c r="J1620" s="588">
        <v>108</v>
      </c>
      <c r="K1620" s="588">
        <v>36</v>
      </c>
      <c r="L1620" s="588">
        <v>36</v>
      </c>
      <c r="M1620" s="588">
        <v>0</v>
      </c>
      <c r="N1620" s="588">
        <v>115</v>
      </c>
      <c r="O1620" s="588">
        <v>15</v>
      </c>
      <c r="P1620" s="588">
        <v>271</v>
      </c>
      <c r="Q1620" s="588">
        <v>0</v>
      </c>
      <c r="R1620" s="588">
        <v>639</v>
      </c>
      <c r="S1620" s="588">
        <v>51</v>
      </c>
      <c r="T1620" s="588">
        <v>2018</v>
      </c>
      <c r="U1620" s="588">
        <v>2016</v>
      </c>
      <c r="V1620" s="589"/>
      <c r="W1620" s="589"/>
      <c r="X1620" s="589"/>
      <c r="Y1620" s="589"/>
      <c r="Z1620" s="589"/>
      <c r="AA1620" s="589"/>
      <c r="AB1620" s="589"/>
      <c r="AC1620" s="589"/>
      <c r="AD1620" s="589"/>
      <c r="AE1620" s="589"/>
      <c r="AF1620" s="589"/>
      <c r="AG1620" s="589"/>
      <c r="AH1620" s="589"/>
      <c r="AI1620" s="589"/>
      <c r="AJ1620" s="589"/>
      <c r="AK1620" s="589"/>
      <c r="AL1620" s="589"/>
      <c r="AM1620" s="589"/>
      <c r="AN1620" s="589"/>
      <c r="AO1620" s="589"/>
      <c r="AP1620" s="589"/>
      <c r="AQ1620" s="589"/>
      <c r="AR1620" s="589"/>
      <c r="AS1620" s="589"/>
    </row>
    <row r="1621" spans="1:45" ht="15">
      <c r="A1621" s="590" t="s">
        <v>153</v>
      </c>
      <c r="B1621" s="590" t="s">
        <v>351</v>
      </c>
      <c r="C1621" s="590" t="s">
        <v>813</v>
      </c>
      <c r="D1621" s="593">
        <v>2018</v>
      </c>
      <c r="E1621" s="590" t="s">
        <v>775</v>
      </c>
      <c r="F1621" s="593">
        <v>198</v>
      </c>
      <c r="G1621" s="593">
        <v>0</v>
      </c>
      <c r="H1621" s="593">
        <v>0</v>
      </c>
      <c r="I1621" s="593">
        <v>0</v>
      </c>
      <c r="J1621" s="593">
        <v>118</v>
      </c>
      <c r="K1621" s="593">
        <v>6</v>
      </c>
      <c r="L1621" s="593">
        <v>6</v>
      </c>
      <c r="M1621" s="593">
        <v>0</v>
      </c>
      <c r="N1621" s="593">
        <v>127</v>
      </c>
      <c r="O1621" s="593">
        <v>183</v>
      </c>
      <c r="P1621" s="593">
        <v>336</v>
      </c>
      <c r="Q1621" s="593">
        <v>0</v>
      </c>
      <c r="R1621" s="593">
        <v>779</v>
      </c>
      <c r="S1621" s="593">
        <v>189</v>
      </c>
      <c r="T1621" s="593">
        <v>2018</v>
      </c>
      <c r="U1621" s="593">
        <v>2014</v>
      </c>
      <c r="V1621" s="589"/>
      <c r="W1621" s="589"/>
      <c r="X1621" s="589"/>
      <c r="Y1621" s="589"/>
      <c r="Z1621" s="589"/>
      <c r="AA1621" s="589"/>
      <c r="AB1621" s="589"/>
      <c r="AC1621" s="589"/>
      <c r="AD1621" s="589"/>
      <c r="AE1621" s="589"/>
      <c r="AF1621" s="589"/>
      <c r="AG1621" s="589"/>
      <c r="AH1621" s="589"/>
      <c r="AI1621" s="589"/>
      <c r="AJ1621" s="589"/>
      <c r="AK1621" s="589"/>
      <c r="AL1621" s="589"/>
      <c r="AM1621" s="589"/>
      <c r="AN1621" s="589"/>
      <c r="AO1621" s="589"/>
      <c r="AP1621" s="589"/>
      <c r="AQ1621" s="589"/>
      <c r="AR1621" s="589"/>
      <c r="AS1621" s="589"/>
    </row>
    <row r="1622" spans="1:45" ht="15">
      <c r="A1622" s="587" t="s">
        <v>148</v>
      </c>
      <c r="B1622" s="587" t="s">
        <v>325</v>
      </c>
      <c r="C1622" s="587" t="s">
        <v>811</v>
      </c>
      <c r="D1622" s="588">
        <v>2018</v>
      </c>
      <c r="E1622" s="587" t="s">
        <v>775</v>
      </c>
      <c r="F1622" s="588">
        <v>9706</v>
      </c>
      <c r="G1622" s="588">
        <v>0</v>
      </c>
      <c r="H1622" s="588">
        <v>0</v>
      </c>
      <c r="I1622" s="588">
        <v>0</v>
      </c>
      <c r="J1622" s="588">
        <v>5800</v>
      </c>
      <c r="K1622" s="588">
        <v>1</v>
      </c>
      <c r="L1622" s="588">
        <v>1</v>
      </c>
      <c r="M1622" s="588">
        <v>0</v>
      </c>
      <c r="N1622" s="588">
        <v>6453</v>
      </c>
      <c r="O1622" s="588">
        <v>1</v>
      </c>
      <c r="P1622" s="588">
        <v>14331</v>
      </c>
      <c r="Q1622" s="588">
        <v>1178</v>
      </c>
      <c r="R1622" s="588">
        <v>36290</v>
      </c>
      <c r="S1622" s="588">
        <v>1180</v>
      </c>
      <c r="T1622" s="588">
        <v>2018</v>
      </c>
      <c r="U1622" s="588">
        <v>2016</v>
      </c>
      <c r="V1622" s="589"/>
      <c r="W1622" s="589"/>
      <c r="X1622" s="589"/>
      <c r="Y1622" s="589"/>
      <c r="Z1622" s="589"/>
      <c r="AA1622" s="589"/>
      <c r="AB1622" s="589"/>
      <c r="AC1622" s="589"/>
      <c r="AD1622" s="589"/>
      <c r="AE1622" s="589"/>
      <c r="AF1622" s="589"/>
      <c r="AG1622" s="589"/>
      <c r="AH1622" s="589"/>
      <c r="AI1622" s="589"/>
      <c r="AJ1622" s="589"/>
      <c r="AK1622" s="589"/>
      <c r="AL1622" s="589"/>
      <c r="AM1622" s="589"/>
      <c r="AN1622" s="589"/>
      <c r="AO1622" s="589"/>
      <c r="AP1622" s="589"/>
      <c r="AQ1622" s="589"/>
      <c r="AR1622" s="589"/>
      <c r="AS1622" s="589"/>
    </row>
    <row r="1623" spans="1:45" ht="15">
      <c r="A1623" s="590" t="s">
        <v>153</v>
      </c>
      <c r="B1623" s="590" t="s">
        <v>352</v>
      </c>
      <c r="C1623" s="590" t="s">
        <v>813</v>
      </c>
      <c r="D1623" s="593">
        <v>2018</v>
      </c>
      <c r="E1623" s="590" t="s">
        <v>775</v>
      </c>
      <c r="F1623" s="593">
        <v>142</v>
      </c>
      <c r="G1623" s="593">
        <v>0</v>
      </c>
      <c r="H1623" s="593">
        <v>0</v>
      </c>
      <c r="I1623" s="593">
        <v>0</v>
      </c>
      <c r="J1623" s="593">
        <v>83</v>
      </c>
      <c r="K1623" s="593">
        <v>0</v>
      </c>
      <c r="L1623" s="593">
        <v>0</v>
      </c>
      <c r="M1623" s="593">
        <v>0</v>
      </c>
      <c r="N1623" s="593">
        <v>90</v>
      </c>
      <c r="O1623" s="593">
        <v>1</v>
      </c>
      <c r="P1623" s="593">
        <v>242</v>
      </c>
      <c r="Q1623" s="593">
        <v>86</v>
      </c>
      <c r="R1623" s="593">
        <v>557</v>
      </c>
      <c r="S1623" s="593">
        <v>87</v>
      </c>
      <c r="T1623" s="593">
        <v>2018</v>
      </c>
      <c r="U1623" s="593">
        <v>2014</v>
      </c>
      <c r="V1623" s="589"/>
      <c r="W1623" s="589"/>
      <c r="X1623" s="589"/>
      <c r="Y1623" s="589"/>
      <c r="Z1623" s="589"/>
      <c r="AA1623" s="589"/>
      <c r="AB1623" s="589"/>
      <c r="AC1623" s="589"/>
      <c r="AD1623" s="589"/>
      <c r="AE1623" s="589"/>
      <c r="AF1623" s="589"/>
      <c r="AG1623" s="589"/>
      <c r="AH1623" s="589"/>
      <c r="AI1623" s="589"/>
      <c r="AJ1623" s="589"/>
      <c r="AK1623" s="589"/>
      <c r="AL1623" s="589"/>
      <c r="AM1623" s="589"/>
      <c r="AN1623" s="589"/>
      <c r="AO1623" s="589"/>
      <c r="AP1623" s="589"/>
      <c r="AQ1623" s="589"/>
      <c r="AR1623" s="589"/>
      <c r="AS1623" s="589"/>
    </row>
    <row r="1624" spans="1:45" ht="15">
      <c r="A1624" s="587" t="s">
        <v>173</v>
      </c>
      <c r="B1624" s="587" t="s">
        <v>528</v>
      </c>
      <c r="C1624" s="587" t="s">
        <v>813</v>
      </c>
      <c r="D1624" s="588">
        <v>2018</v>
      </c>
      <c r="E1624" s="587" t="s">
        <v>775</v>
      </c>
      <c r="F1624" s="588">
        <v>872</v>
      </c>
      <c r="G1624" s="588">
        <v>0</v>
      </c>
      <c r="H1624" s="588">
        <v>0</v>
      </c>
      <c r="I1624" s="588">
        <v>0</v>
      </c>
      <c r="J1624" s="588">
        <v>593</v>
      </c>
      <c r="K1624" s="588">
        <v>0</v>
      </c>
      <c r="L1624" s="588">
        <v>0</v>
      </c>
      <c r="M1624" s="588">
        <v>0</v>
      </c>
      <c r="N1624" s="588">
        <v>685</v>
      </c>
      <c r="O1624" s="588">
        <v>0</v>
      </c>
      <c r="P1624" s="588">
        <v>1642</v>
      </c>
      <c r="Q1624" s="588">
        <v>1</v>
      </c>
      <c r="R1624" s="588">
        <v>3792</v>
      </c>
      <c r="S1624" s="588">
        <v>1</v>
      </c>
      <c r="T1624" s="588">
        <v>2018</v>
      </c>
      <c r="U1624" s="588">
        <v>2014</v>
      </c>
      <c r="V1624" s="589"/>
      <c r="W1624" s="589"/>
      <c r="X1624" s="589"/>
      <c r="Y1624" s="589"/>
      <c r="Z1624" s="589"/>
      <c r="AA1624" s="589"/>
      <c r="AB1624" s="589"/>
      <c r="AC1624" s="589"/>
      <c r="AD1624" s="589"/>
      <c r="AE1624" s="589"/>
      <c r="AF1624" s="589"/>
      <c r="AG1624" s="589"/>
      <c r="AH1624" s="589"/>
      <c r="AI1624" s="589"/>
      <c r="AJ1624" s="589"/>
      <c r="AK1624" s="589"/>
      <c r="AL1624" s="589"/>
      <c r="AM1624" s="589"/>
      <c r="AN1624" s="589"/>
      <c r="AO1624" s="589"/>
      <c r="AP1624" s="589"/>
      <c r="AQ1624" s="589"/>
      <c r="AR1624" s="589"/>
      <c r="AS1624" s="589"/>
    </row>
    <row r="1625" spans="1:45" ht="15">
      <c r="A1625" s="590" t="s">
        <v>178</v>
      </c>
      <c r="B1625" s="590" t="s">
        <v>568</v>
      </c>
      <c r="C1625" s="590" t="s">
        <v>813</v>
      </c>
      <c r="D1625" s="593">
        <v>2018</v>
      </c>
      <c r="E1625" s="590" t="s">
        <v>775</v>
      </c>
      <c r="F1625" s="593">
        <v>188</v>
      </c>
      <c r="G1625" s="593">
        <v>0</v>
      </c>
      <c r="H1625" s="593">
        <v>0</v>
      </c>
      <c r="I1625" s="593">
        <v>0</v>
      </c>
      <c r="J1625" s="593">
        <v>138</v>
      </c>
      <c r="K1625" s="593">
        <v>0</v>
      </c>
      <c r="L1625" s="593">
        <v>0</v>
      </c>
      <c r="M1625" s="593">
        <v>0</v>
      </c>
      <c r="N1625" s="593">
        <v>154</v>
      </c>
      <c r="O1625" s="593">
        <v>0</v>
      </c>
      <c r="P1625" s="593">
        <v>363</v>
      </c>
      <c r="Q1625" s="593">
        <v>0</v>
      </c>
      <c r="R1625" s="593">
        <v>843</v>
      </c>
      <c r="S1625" s="593">
        <v>0</v>
      </c>
      <c r="T1625" s="593">
        <v>2018</v>
      </c>
      <c r="U1625" s="593">
        <v>2014</v>
      </c>
      <c r="V1625" s="589"/>
      <c r="W1625" s="589"/>
      <c r="X1625" s="589"/>
      <c r="Y1625" s="589"/>
      <c r="Z1625" s="589"/>
      <c r="AA1625" s="589"/>
      <c r="AB1625" s="589"/>
      <c r="AC1625" s="589"/>
      <c r="AD1625" s="589"/>
      <c r="AE1625" s="589"/>
      <c r="AF1625" s="589"/>
      <c r="AG1625" s="589"/>
      <c r="AH1625" s="589"/>
      <c r="AI1625" s="589"/>
      <c r="AJ1625" s="589"/>
      <c r="AK1625" s="589"/>
      <c r="AL1625" s="589"/>
      <c r="AM1625" s="589"/>
      <c r="AN1625" s="589"/>
      <c r="AO1625" s="589"/>
      <c r="AP1625" s="589"/>
      <c r="AQ1625" s="589"/>
      <c r="AR1625" s="589"/>
      <c r="AS1625" s="589"/>
    </row>
    <row r="1626" spans="1:45" ht="15">
      <c r="A1626" s="587" t="s">
        <v>173</v>
      </c>
      <c r="B1626" s="587" t="s">
        <v>529</v>
      </c>
      <c r="C1626" s="587" t="s">
        <v>813</v>
      </c>
      <c r="D1626" s="588">
        <v>2018</v>
      </c>
      <c r="E1626" s="587" t="s">
        <v>775</v>
      </c>
      <c r="F1626" s="588">
        <v>1267</v>
      </c>
      <c r="G1626" s="588">
        <v>0</v>
      </c>
      <c r="H1626" s="588">
        <v>0</v>
      </c>
      <c r="I1626" s="588">
        <v>0</v>
      </c>
      <c r="J1626" s="588">
        <v>854</v>
      </c>
      <c r="K1626" s="588">
        <v>0</v>
      </c>
      <c r="L1626" s="588">
        <v>0</v>
      </c>
      <c r="M1626" s="588">
        <v>0</v>
      </c>
      <c r="N1626" s="588">
        <v>969</v>
      </c>
      <c r="O1626" s="588">
        <v>0</v>
      </c>
      <c r="P1626" s="588">
        <v>2160</v>
      </c>
      <c r="Q1626" s="588">
        <v>343</v>
      </c>
      <c r="R1626" s="588">
        <v>5250</v>
      </c>
      <c r="S1626" s="588">
        <v>343</v>
      </c>
      <c r="T1626" s="588">
        <v>2018</v>
      </c>
      <c r="U1626" s="588">
        <v>2014</v>
      </c>
      <c r="V1626" s="589"/>
      <c r="W1626" s="589"/>
      <c r="X1626" s="589"/>
      <c r="Y1626" s="589"/>
      <c r="Z1626" s="589"/>
      <c r="AA1626" s="589"/>
      <c r="AB1626" s="589"/>
      <c r="AC1626" s="589"/>
      <c r="AD1626" s="589"/>
      <c r="AE1626" s="589"/>
      <c r="AF1626" s="589"/>
      <c r="AG1626" s="589"/>
      <c r="AH1626" s="589"/>
      <c r="AI1626" s="589"/>
      <c r="AJ1626" s="589"/>
      <c r="AK1626" s="589"/>
      <c r="AL1626" s="589"/>
      <c r="AM1626" s="589"/>
      <c r="AN1626" s="589"/>
      <c r="AO1626" s="589"/>
      <c r="AP1626" s="589"/>
      <c r="AQ1626" s="589"/>
      <c r="AR1626" s="589"/>
      <c r="AS1626" s="589"/>
    </row>
    <row r="1627" spans="1:45" ht="15">
      <c r="A1627" s="590" t="s">
        <v>153</v>
      </c>
      <c r="B1627" s="590" t="s">
        <v>355</v>
      </c>
      <c r="C1627" s="590" t="s">
        <v>813</v>
      </c>
      <c r="D1627" s="593">
        <v>2018</v>
      </c>
      <c r="E1627" s="590" t="s">
        <v>775</v>
      </c>
      <c r="F1627" s="593">
        <v>1</v>
      </c>
      <c r="G1627" s="593">
        <v>0</v>
      </c>
      <c r="H1627" s="593">
        <v>0</v>
      </c>
      <c r="I1627" s="593">
        <v>0</v>
      </c>
      <c r="J1627" s="593">
        <v>1</v>
      </c>
      <c r="K1627" s="593">
        <v>0</v>
      </c>
      <c r="L1627" s="593">
        <v>0</v>
      </c>
      <c r="M1627" s="593">
        <v>0</v>
      </c>
      <c r="N1627" s="593">
        <v>0</v>
      </c>
      <c r="O1627" s="593">
        <v>0</v>
      </c>
      <c r="P1627" s="593">
        <v>0</v>
      </c>
      <c r="Q1627" s="593">
        <v>49</v>
      </c>
      <c r="R1627" s="593">
        <v>2</v>
      </c>
      <c r="S1627" s="593">
        <v>49</v>
      </c>
      <c r="T1627" s="593">
        <v>2018</v>
      </c>
      <c r="U1627" s="593">
        <v>2014</v>
      </c>
      <c r="V1627" s="589"/>
      <c r="W1627" s="589"/>
      <c r="X1627" s="589"/>
      <c r="Y1627" s="589"/>
      <c r="Z1627" s="589"/>
      <c r="AA1627" s="589"/>
      <c r="AB1627" s="589"/>
      <c r="AC1627" s="589"/>
      <c r="AD1627" s="589"/>
      <c r="AE1627" s="589"/>
      <c r="AF1627" s="589"/>
      <c r="AG1627" s="589"/>
      <c r="AH1627" s="589"/>
      <c r="AI1627" s="589"/>
      <c r="AJ1627" s="589"/>
      <c r="AK1627" s="589"/>
      <c r="AL1627" s="589"/>
      <c r="AM1627" s="589"/>
      <c r="AN1627" s="589"/>
      <c r="AO1627" s="589"/>
      <c r="AP1627" s="589"/>
      <c r="AQ1627" s="589"/>
      <c r="AR1627" s="589"/>
      <c r="AS1627" s="589"/>
    </row>
    <row r="1628" spans="1:45" ht="15">
      <c r="A1628" s="587" t="s">
        <v>184</v>
      </c>
      <c r="B1628" s="587" t="s">
        <v>624</v>
      </c>
      <c r="C1628" s="587" t="s">
        <v>782</v>
      </c>
      <c r="D1628" s="588">
        <v>2018</v>
      </c>
      <c r="E1628" s="587" t="s">
        <v>775</v>
      </c>
      <c r="F1628" s="588">
        <v>116</v>
      </c>
      <c r="G1628" s="588">
        <v>0</v>
      </c>
      <c r="H1628" s="588">
        <v>0</v>
      </c>
      <c r="I1628" s="588">
        <v>0</v>
      </c>
      <c r="J1628" s="588">
        <v>63</v>
      </c>
      <c r="K1628" s="588">
        <v>0</v>
      </c>
      <c r="L1628" s="588">
        <v>0</v>
      </c>
      <c r="M1628" s="588">
        <v>0</v>
      </c>
      <c r="N1628" s="588">
        <v>67</v>
      </c>
      <c r="O1628" s="588">
        <v>9</v>
      </c>
      <c r="P1628" s="588">
        <v>222</v>
      </c>
      <c r="Q1628" s="588">
        <v>6</v>
      </c>
      <c r="R1628" s="588">
        <v>468</v>
      </c>
      <c r="S1628" s="588">
        <v>15</v>
      </c>
      <c r="T1628" s="588">
        <v>2018</v>
      </c>
      <c r="U1628" s="588">
        <v>2015</v>
      </c>
      <c r="V1628" s="589"/>
      <c r="W1628" s="589"/>
      <c r="X1628" s="589"/>
      <c r="Y1628" s="589"/>
      <c r="Z1628" s="589"/>
      <c r="AA1628" s="589"/>
      <c r="AB1628" s="589"/>
      <c r="AC1628" s="589"/>
      <c r="AD1628" s="589"/>
      <c r="AE1628" s="589"/>
      <c r="AF1628" s="589"/>
      <c r="AG1628" s="589"/>
      <c r="AH1628" s="589"/>
      <c r="AI1628" s="589"/>
      <c r="AJ1628" s="589"/>
      <c r="AK1628" s="589"/>
      <c r="AL1628" s="589"/>
      <c r="AM1628" s="589"/>
      <c r="AN1628" s="589"/>
      <c r="AO1628" s="589"/>
      <c r="AP1628" s="589"/>
      <c r="AQ1628" s="589"/>
      <c r="AR1628" s="589"/>
      <c r="AS1628" s="589"/>
    </row>
    <row r="1629" spans="1:45" ht="15">
      <c r="A1629" s="590" t="s">
        <v>157</v>
      </c>
      <c r="B1629" s="590" t="s">
        <v>436</v>
      </c>
      <c r="C1629" s="590" t="s">
        <v>782</v>
      </c>
      <c r="D1629" s="593">
        <v>2018</v>
      </c>
      <c r="E1629" s="590" t="s">
        <v>775</v>
      </c>
      <c r="F1629" s="593">
        <v>4</v>
      </c>
      <c r="G1629" s="593">
        <v>0</v>
      </c>
      <c r="H1629" s="593">
        <v>0</v>
      </c>
      <c r="I1629" s="593">
        <v>0</v>
      </c>
      <c r="J1629" s="593">
        <v>3</v>
      </c>
      <c r="K1629" s="593">
        <v>0</v>
      </c>
      <c r="L1629" s="593">
        <v>0</v>
      </c>
      <c r="M1629" s="593">
        <v>0</v>
      </c>
      <c r="N1629" s="593">
        <v>4</v>
      </c>
      <c r="O1629" s="593">
        <v>0</v>
      </c>
      <c r="P1629" s="593">
        <v>5</v>
      </c>
      <c r="Q1629" s="593">
        <v>0</v>
      </c>
      <c r="R1629" s="593">
        <v>16</v>
      </c>
      <c r="S1629" s="593">
        <v>0</v>
      </c>
      <c r="T1629" s="593">
        <v>2018</v>
      </c>
      <c r="U1629" s="593">
        <v>2015</v>
      </c>
      <c r="V1629" s="589"/>
      <c r="W1629" s="589"/>
      <c r="X1629" s="589"/>
      <c r="Y1629" s="589"/>
      <c r="Z1629" s="589"/>
      <c r="AA1629" s="589"/>
      <c r="AB1629" s="589"/>
      <c r="AC1629" s="589"/>
      <c r="AD1629" s="589"/>
      <c r="AE1629" s="589"/>
      <c r="AF1629" s="589"/>
      <c r="AG1629" s="589"/>
      <c r="AH1629" s="589"/>
      <c r="AI1629" s="589"/>
      <c r="AJ1629" s="589"/>
      <c r="AK1629" s="589"/>
      <c r="AL1629" s="589"/>
      <c r="AM1629" s="589"/>
      <c r="AN1629" s="589"/>
      <c r="AO1629" s="589"/>
      <c r="AP1629" s="589"/>
      <c r="AQ1629" s="589"/>
      <c r="AR1629" s="589"/>
      <c r="AS1629" s="589"/>
    </row>
    <row r="1630" spans="1:45" ht="15">
      <c r="A1630" s="587" t="s">
        <v>192</v>
      </c>
      <c r="B1630" s="587" t="s">
        <v>686</v>
      </c>
      <c r="C1630" s="587" t="s">
        <v>782</v>
      </c>
      <c r="D1630" s="588">
        <v>2018</v>
      </c>
      <c r="E1630" s="587" t="s">
        <v>775</v>
      </c>
      <c r="F1630" s="588">
        <v>94</v>
      </c>
      <c r="G1630" s="588">
        <v>0</v>
      </c>
      <c r="H1630" s="588">
        <v>0</v>
      </c>
      <c r="I1630" s="588">
        <v>0</v>
      </c>
      <c r="J1630" s="588">
        <v>54</v>
      </c>
      <c r="K1630" s="588">
        <v>0</v>
      </c>
      <c r="L1630" s="588">
        <v>0</v>
      </c>
      <c r="M1630" s="588">
        <v>0</v>
      </c>
      <c r="N1630" s="588">
        <v>56</v>
      </c>
      <c r="O1630" s="588">
        <v>3</v>
      </c>
      <c r="P1630" s="588">
        <v>123</v>
      </c>
      <c r="Q1630" s="588">
        <v>0</v>
      </c>
      <c r="R1630" s="588">
        <v>327</v>
      </c>
      <c r="S1630" s="588">
        <v>3</v>
      </c>
      <c r="T1630" s="588">
        <v>2018</v>
      </c>
      <c r="U1630" s="588">
        <v>2015</v>
      </c>
      <c r="V1630" s="589"/>
      <c r="W1630" s="589"/>
      <c r="X1630" s="589"/>
      <c r="Y1630" s="589"/>
      <c r="Z1630" s="589"/>
      <c r="AA1630" s="589"/>
      <c r="AB1630" s="589"/>
      <c r="AC1630" s="589"/>
      <c r="AD1630" s="589"/>
      <c r="AE1630" s="589"/>
      <c r="AF1630" s="589"/>
      <c r="AG1630" s="589"/>
      <c r="AH1630" s="589"/>
      <c r="AI1630" s="589"/>
      <c r="AJ1630" s="589"/>
      <c r="AK1630" s="589"/>
      <c r="AL1630" s="589"/>
      <c r="AM1630" s="589"/>
      <c r="AN1630" s="589"/>
      <c r="AO1630" s="589"/>
      <c r="AP1630" s="589"/>
      <c r="AQ1630" s="589"/>
      <c r="AR1630" s="589"/>
      <c r="AS1630" s="589"/>
    </row>
    <row r="1631" spans="1:45" ht="15">
      <c r="A1631" s="590" t="s">
        <v>125</v>
      </c>
      <c r="B1631" s="590" t="s">
        <v>235</v>
      </c>
      <c r="C1631" s="590" t="s">
        <v>782</v>
      </c>
      <c r="D1631" s="593">
        <v>2018</v>
      </c>
      <c r="E1631" s="590" t="s">
        <v>775</v>
      </c>
      <c r="F1631" s="593">
        <v>532</v>
      </c>
      <c r="G1631" s="593">
        <v>1</v>
      </c>
      <c r="H1631" s="593">
        <v>1</v>
      </c>
      <c r="I1631" s="593">
        <v>0</v>
      </c>
      <c r="J1631" s="593">
        <v>442</v>
      </c>
      <c r="K1631" s="593">
        <v>0</v>
      </c>
      <c r="L1631" s="593">
        <v>0</v>
      </c>
      <c r="M1631" s="593">
        <v>0</v>
      </c>
      <c r="N1631" s="593">
        <v>584</v>
      </c>
      <c r="O1631" s="593">
        <v>0</v>
      </c>
      <c r="P1631" s="593">
        <v>1401</v>
      </c>
      <c r="Q1631" s="593">
        <v>332</v>
      </c>
      <c r="R1631" s="593">
        <v>2959</v>
      </c>
      <c r="S1631" s="593">
        <v>333</v>
      </c>
      <c r="T1631" s="593">
        <v>2018</v>
      </c>
      <c r="U1631" s="593">
        <v>2015</v>
      </c>
      <c r="V1631" s="589"/>
      <c r="W1631" s="589"/>
      <c r="X1631" s="589"/>
      <c r="Y1631" s="589"/>
      <c r="Z1631" s="589"/>
      <c r="AA1631" s="589"/>
      <c r="AB1631" s="589"/>
      <c r="AC1631" s="589"/>
      <c r="AD1631" s="589"/>
      <c r="AE1631" s="589"/>
      <c r="AF1631" s="589"/>
      <c r="AG1631" s="589"/>
      <c r="AH1631" s="589"/>
      <c r="AI1631" s="589"/>
      <c r="AJ1631" s="589"/>
      <c r="AK1631" s="589"/>
      <c r="AL1631" s="589"/>
      <c r="AM1631" s="589"/>
      <c r="AN1631" s="589"/>
      <c r="AO1631" s="589"/>
      <c r="AP1631" s="589"/>
      <c r="AQ1631" s="589"/>
      <c r="AR1631" s="589"/>
      <c r="AS1631" s="589"/>
    </row>
    <row r="1632" spans="1:45" ht="15">
      <c r="A1632" s="587" t="s">
        <v>153</v>
      </c>
      <c r="B1632" s="587" t="s">
        <v>356</v>
      </c>
      <c r="C1632" s="587" t="s">
        <v>813</v>
      </c>
      <c r="D1632" s="588">
        <v>2018</v>
      </c>
      <c r="E1632" s="587" t="s">
        <v>775</v>
      </c>
      <c r="F1632" s="588">
        <v>1</v>
      </c>
      <c r="G1632" s="588">
        <v>0</v>
      </c>
      <c r="H1632" s="588">
        <v>0</v>
      </c>
      <c r="I1632" s="588">
        <v>0</v>
      </c>
      <c r="J1632" s="588">
        <v>1</v>
      </c>
      <c r="K1632" s="588">
        <v>0</v>
      </c>
      <c r="L1632" s="588">
        <v>0</v>
      </c>
      <c r="M1632" s="588">
        <v>0</v>
      </c>
      <c r="N1632" s="588">
        <v>1</v>
      </c>
      <c r="O1632" s="588">
        <v>0</v>
      </c>
      <c r="P1632" s="588">
        <v>0</v>
      </c>
      <c r="Q1632" s="588">
        <v>7</v>
      </c>
      <c r="R1632" s="588">
        <v>3</v>
      </c>
      <c r="S1632" s="588">
        <v>7</v>
      </c>
      <c r="T1632" s="588">
        <v>2018</v>
      </c>
      <c r="U1632" s="588">
        <v>2014</v>
      </c>
      <c r="V1632" s="589"/>
      <c r="W1632" s="589"/>
      <c r="X1632" s="589"/>
      <c r="Y1632" s="589"/>
      <c r="Z1632" s="589"/>
      <c r="AA1632" s="589"/>
      <c r="AB1632" s="589"/>
      <c r="AC1632" s="589"/>
      <c r="AD1632" s="589"/>
      <c r="AE1632" s="589"/>
      <c r="AF1632" s="589"/>
      <c r="AG1632" s="589"/>
      <c r="AH1632" s="589"/>
      <c r="AI1632" s="589"/>
      <c r="AJ1632" s="589"/>
      <c r="AK1632" s="589"/>
      <c r="AL1632" s="589"/>
      <c r="AM1632" s="589"/>
      <c r="AN1632" s="589"/>
      <c r="AO1632" s="589"/>
      <c r="AP1632" s="589"/>
      <c r="AQ1632" s="589"/>
      <c r="AR1632" s="589"/>
      <c r="AS1632" s="589"/>
    </row>
    <row r="1633" spans="1:45" ht="15">
      <c r="A1633" s="590" t="s">
        <v>178</v>
      </c>
      <c r="B1633" s="590" t="s">
        <v>569</v>
      </c>
      <c r="C1633" s="590" t="s">
        <v>813</v>
      </c>
      <c r="D1633" s="593">
        <v>2018</v>
      </c>
      <c r="E1633" s="590" t="s">
        <v>775</v>
      </c>
      <c r="F1633" s="593">
        <v>1</v>
      </c>
      <c r="G1633" s="593">
        <v>0</v>
      </c>
      <c r="H1633" s="593">
        <v>0</v>
      </c>
      <c r="I1633" s="593">
        <v>0</v>
      </c>
      <c r="J1633" s="593">
        <v>1</v>
      </c>
      <c r="K1633" s="593">
        <v>2</v>
      </c>
      <c r="L1633" s="593">
        <v>0</v>
      </c>
      <c r="M1633" s="593">
        <v>2</v>
      </c>
      <c r="N1633" s="593">
        <v>0</v>
      </c>
      <c r="O1633" s="593">
        <v>5</v>
      </c>
      <c r="P1633" s="593">
        <v>0</v>
      </c>
      <c r="Q1633" s="593">
        <v>27</v>
      </c>
      <c r="R1633" s="593">
        <v>2</v>
      </c>
      <c r="S1633" s="593">
        <v>34</v>
      </c>
      <c r="T1633" s="593">
        <v>2018</v>
      </c>
      <c r="U1633" s="593">
        <v>2014</v>
      </c>
      <c r="V1633" s="589"/>
      <c r="W1633" s="589"/>
      <c r="X1633" s="589"/>
      <c r="Y1633" s="589"/>
      <c r="Z1633" s="589"/>
      <c r="AA1633" s="589"/>
      <c r="AB1633" s="589"/>
      <c r="AC1633" s="589"/>
      <c r="AD1633" s="589"/>
      <c r="AE1633" s="589"/>
      <c r="AF1633" s="589"/>
      <c r="AG1633" s="589"/>
      <c r="AH1633" s="589"/>
      <c r="AI1633" s="589"/>
      <c r="AJ1633" s="589"/>
      <c r="AK1633" s="589"/>
      <c r="AL1633" s="589"/>
      <c r="AM1633" s="589"/>
      <c r="AN1633" s="589"/>
      <c r="AO1633" s="589"/>
      <c r="AP1633" s="589"/>
      <c r="AQ1633" s="589"/>
      <c r="AR1633" s="589"/>
      <c r="AS1633" s="589"/>
    </row>
    <row r="1634" spans="1:45" ht="15">
      <c r="A1634" s="587" t="s">
        <v>131</v>
      </c>
      <c r="B1634" s="587" t="s">
        <v>255</v>
      </c>
      <c r="C1634" s="587" t="s">
        <v>787</v>
      </c>
      <c r="D1634" s="588">
        <v>2018</v>
      </c>
      <c r="E1634" s="587" t="s">
        <v>775</v>
      </c>
      <c r="F1634" s="588">
        <v>48</v>
      </c>
      <c r="G1634" s="588">
        <v>0</v>
      </c>
      <c r="H1634" s="588">
        <v>0</v>
      </c>
      <c r="I1634" s="588">
        <v>0</v>
      </c>
      <c r="J1634" s="588">
        <v>30</v>
      </c>
      <c r="K1634" s="588">
        <v>0</v>
      </c>
      <c r="L1634" s="588">
        <v>0</v>
      </c>
      <c r="M1634" s="588">
        <v>0</v>
      </c>
      <c r="N1634" s="588">
        <v>24</v>
      </c>
      <c r="O1634" s="588">
        <v>0</v>
      </c>
      <c r="P1634" s="588">
        <v>82</v>
      </c>
      <c r="Q1634" s="588">
        <v>0</v>
      </c>
      <c r="R1634" s="588">
        <v>184</v>
      </c>
      <c r="S1634" s="588">
        <v>0</v>
      </c>
      <c r="T1634" s="588">
        <v>2018</v>
      </c>
      <c r="U1634" s="588">
        <v>2014</v>
      </c>
      <c r="V1634" s="589"/>
      <c r="W1634" s="589"/>
      <c r="X1634" s="589"/>
      <c r="Y1634" s="589"/>
      <c r="Z1634" s="589"/>
      <c r="AA1634" s="589"/>
      <c r="AB1634" s="589"/>
      <c r="AC1634" s="589"/>
      <c r="AD1634" s="589"/>
      <c r="AE1634" s="589"/>
      <c r="AF1634" s="589"/>
      <c r="AG1634" s="589"/>
      <c r="AH1634" s="589"/>
      <c r="AI1634" s="589"/>
      <c r="AJ1634" s="589"/>
      <c r="AK1634" s="589"/>
      <c r="AL1634" s="589"/>
      <c r="AM1634" s="589"/>
      <c r="AN1634" s="589"/>
      <c r="AO1634" s="589"/>
      <c r="AP1634" s="589"/>
      <c r="AQ1634" s="589"/>
      <c r="AR1634" s="589"/>
      <c r="AS1634" s="589"/>
    </row>
    <row r="1635" spans="1:45" ht="15">
      <c r="A1635" s="590" t="s">
        <v>147</v>
      </c>
      <c r="B1635" s="590" t="s">
        <v>322</v>
      </c>
      <c r="C1635" s="590" t="s">
        <v>785</v>
      </c>
      <c r="D1635" s="593">
        <v>2018</v>
      </c>
      <c r="E1635" s="590" t="s">
        <v>775</v>
      </c>
      <c r="F1635" s="593">
        <v>15</v>
      </c>
      <c r="G1635" s="593">
        <v>0</v>
      </c>
      <c r="H1635" s="593">
        <v>0</v>
      </c>
      <c r="I1635" s="593">
        <v>0</v>
      </c>
      <c r="J1635" s="593">
        <v>10</v>
      </c>
      <c r="K1635" s="593">
        <v>0</v>
      </c>
      <c r="L1635" s="593">
        <v>0</v>
      </c>
      <c r="M1635" s="593">
        <v>0</v>
      </c>
      <c r="N1635" s="593">
        <v>12</v>
      </c>
      <c r="O1635" s="593">
        <v>0</v>
      </c>
      <c r="P1635" s="593">
        <v>28</v>
      </c>
      <c r="Q1635" s="593">
        <v>1</v>
      </c>
      <c r="R1635" s="593">
        <v>65</v>
      </c>
      <c r="S1635" s="593">
        <v>1</v>
      </c>
      <c r="T1635" s="593">
        <v>2018</v>
      </c>
      <c r="U1635" s="593">
        <v>2014</v>
      </c>
      <c r="V1635" s="589"/>
      <c r="W1635" s="589"/>
      <c r="X1635" s="589"/>
      <c r="Y1635" s="589"/>
      <c r="Z1635" s="589"/>
      <c r="AA1635" s="589"/>
      <c r="AB1635" s="589"/>
      <c r="AC1635" s="589"/>
      <c r="AD1635" s="589"/>
      <c r="AE1635" s="589"/>
      <c r="AF1635" s="589"/>
      <c r="AG1635" s="589"/>
      <c r="AH1635" s="589"/>
      <c r="AI1635" s="589"/>
      <c r="AJ1635" s="589"/>
      <c r="AK1635" s="589"/>
      <c r="AL1635" s="589"/>
      <c r="AM1635" s="589"/>
      <c r="AN1635" s="589"/>
      <c r="AO1635" s="589"/>
      <c r="AP1635" s="589"/>
      <c r="AQ1635" s="589"/>
      <c r="AR1635" s="589"/>
      <c r="AS1635" s="589"/>
    </row>
    <row r="1636" spans="1:45" ht="15">
      <c r="A1636" s="587" t="s">
        <v>173</v>
      </c>
      <c r="B1636" s="587" t="s">
        <v>530</v>
      </c>
      <c r="C1636" s="587" t="s">
        <v>813</v>
      </c>
      <c r="D1636" s="588">
        <v>2018</v>
      </c>
      <c r="E1636" s="587" t="s">
        <v>775</v>
      </c>
      <c r="F1636" s="588">
        <v>91</v>
      </c>
      <c r="G1636" s="588">
        <v>0</v>
      </c>
      <c r="H1636" s="588">
        <v>0</v>
      </c>
      <c r="I1636" s="588">
        <v>0</v>
      </c>
      <c r="J1636" s="588">
        <v>64</v>
      </c>
      <c r="K1636" s="588">
        <v>0</v>
      </c>
      <c r="L1636" s="588">
        <v>0</v>
      </c>
      <c r="M1636" s="588">
        <v>0</v>
      </c>
      <c r="N1636" s="588">
        <v>75</v>
      </c>
      <c r="O1636" s="588">
        <v>5</v>
      </c>
      <c r="P1636" s="588">
        <v>172</v>
      </c>
      <c r="Q1636" s="588">
        <v>0</v>
      </c>
      <c r="R1636" s="588">
        <v>402</v>
      </c>
      <c r="S1636" s="588">
        <v>5</v>
      </c>
      <c r="T1636" s="588">
        <v>2018</v>
      </c>
      <c r="U1636" s="588">
        <v>2014</v>
      </c>
      <c r="V1636" s="589"/>
      <c r="W1636" s="589"/>
      <c r="X1636" s="589"/>
      <c r="Y1636" s="589"/>
      <c r="Z1636" s="589"/>
      <c r="AA1636" s="589"/>
      <c r="AB1636" s="589"/>
      <c r="AC1636" s="589"/>
      <c r="AD1636" s="589"/>
      <c r="AE1636" s="589"/>
      <c r="AF1636" s="589"/>
      <c r="AG1636" s="589"/>
      <c r="AH1636" s="589"/>
      <c r="AI1636" s="589"/>
      <c r="AJ1636" s="589"/>
      <c r="AK1636" s="589"/>
      <c r="AL1636" s="589"/>
      <c r="AM1636" s="589"/>
      <c r="AN1636" s="589"/>
      <c r="AO1636" s="589"/>
      <c r="AP1636" s="589"/>
      <c r="AQ1636" s="589"/>
      <c r="AR1636" s="589"/>
      <c r="AS1636" s="589"/>
    </row>
    <row r="1637" spans="1:45" ht="15">
      <c r="A1637" s="590" t="s">
        <v>146</v>
      </c>
      <c r="B1637" s="590" t="s">
        <v>315</v>
      </c>
      <c r="C1637" s="590" t="s">
        <v>813</v>
      </c>
      <c r="D1637" s="593">
        <v>2018</v>
      </c>
      <c r="E1637" s="590" t="s">
        <v>775</v>
      </c>
      <c r="F1637" s="593">
        <v>760</v>
      </c>
      <c r="G1637" s="593">
        <v>21</v>
      </c>
      <c r="H1637" s="593">
        <v>21</v>
      </c>
      <c r="I1637" s="593">
        <v>0</v>
      </c>
      <c r="J1637" s="593">
        <v>470</v>
      </c>
      <c r="K1637" s="593">
        <v>27</v>
      </c>
      <c r="L1637" s="593">
        <v>25</v>
      </c>
      <c r="M1637" s="593">
        <v>2</v>
      </c>
      <c r="N1637" s="593">
        <v>466</v>
      </c>
      <c r="O1637" s="593">
        <v>15</v>
      </c>
      <c r="P1637" s="593">
        <v>1338</v>
      </c>
      <c r="Q1637" s="593">
        <v>29</v>
      </c>
      <c r="R1637" s="593">
        <v>3034</v>
      </c>
      <c r="S1637" s="593">
        <v>92</v>
      </c>
      <c r="T1637" s="593">
        <v>2018</v>
      </c>
      <c r="U1637" s="593">
        <v>2014</v>
      </c>
      <c r="V1637" s="589"/>
      <c r="W1637" s="589"/>
      <c r="X1637" s="589"/>
      <c r="Y1637" s="589"/>
      <c r="Z1637" s="589"/>
      <c r="AA1637" s="589"/>
      <c r="AB1637" s="589"/>
      <c r="AC1637" s="589"/>
      <c r="AD1637" s="589"/>
      <c r="AE1637" s="589"/>
      <c r="AF1637" s="589"/>
      <c r="AG1637" s="589"/>
      <c r="AH1637" s="589"/>
      <c r="AI1637" s="589"/>
      <c r="AJ1637" s="589"/>
      <c r="AK1637" s="589"/>
      <c r="AL1637" s="589"/>
      <c r="AM1637" s="589"/>
      <c r="AN1637" s="589"/>
      <c r="AO1637" s="589"/>
      <c r="AP1637" s="589"/>
      <c r="AQ1637" s="589"/>
      <c r="AR1637" s="589"/>
      <c r="AS1637" s="589"/>
    </row>
    <row r="1638" spans="1:45" ht="15">
      <c r="A1638" s="587" t="s">
        <v>169</v>
      </c>
      <c r="B1638" s="587" t="s">
        <v>487</v>
      </c>
      <c r="C1638" s="587" t="s">
        <v>813</v>
      </c>
      <c r="D1638" s="588">
        <v>2018</v>
      </c>
      <c r="E1638" s="587" t="s">
        <v>775</v>
      </c>
      <c r="F1638" s="588">
        <v>426</v>
      </c>
      <c r="G1638" s="588">
        <v>0</v>
      </c>
      <c r="H1638" s="588">
        <v>0</v>
      </c>
      <c r="I1638" s="588">
        <v>0</v>
      </c>
      <c r="J1638" s="588">
        <v>305</v>
      </c>
      <c r="K1638" s="588">
        <v>0</v>
      </c>
      <c r="L1638" s="588">
        <v>0</v>
      </c>
      <c r="M1638" s="588">
        <v>0</v>
      </c>
      <c r="N1638" s="588">
        <v>335</v>
      </c>
      <c r="O1638" s="588">
        <v>0</v>
      </c>
      <c r="P1638" s="588">
        <v>785</v>
      </c>
      <c r="Q1638" s="588">
        <v>7</v>
      </c>
      <c r="R1638" s="588">
        <v>1851</v>
      </c>
      <c r="S1638" s="588">
        <v>7</v>
      </c>
      <c r="T1638" s="588">
        <v>2018</v>
      </c>
      <c r="U1638" s="588">
        <v>2014</v>
      </c>
      <c r="V1638" s="589"/>
      <c r="W1638" s="589"/>
      <c r="X1638" s="589"/>
      <c r="Y1638" s="589"/>
      <c r="Z1638" s="589"/>
      <c r="AA1638" s="589"/>
      <c r="AB1638" s="589"/>
      <c r="AC1638" s="589"/>
      <c r="AD1638" s="589"/>
      <c r="AE1638" s="589"/>
      <c r="AF1638" s="589"/>
      <c r="AG1638" s="589"/>
      <c r="AH1638" s="589"/>
      <c r="AI1638" s="589"/>
      <c r="AJ1638" s="589"/>
      <c r="AK1638" s="589"/>
      <c r="AL1638" s="589"/>
      <c r="AM1638" s="589"/>
      <c r="AN1638" s="589"/>
      <c r="AO1638" s="589"/>
      <c r="AP1638" s="589"/>
      <c r="AQ1638" s="589"/>
      <c r="AR1638" s="589"/>
      <c r="AS1638" s="589"/>
    </row>
    <row r="1639" spans="1:45" ht="15">
      <c r="A1639" s="590" t="s">
        <v>136</v>
      </c>
      <c r="B1639" s="590" t="s">
        <v>266</v>
      </c>
      <c r="C1639" s="590" t="s">
        <v>782</v>
      </c>
      <c r="D1639" s="593">
        <v>2018</v>
      </c>
      <c r="E1639" s="590" t="s">
        <v>775</v>
      </c>
      <c r="F1639" s="593">
        <v>234</v>
      </c>
      <c r="G1639" s="593">
        <v>0</v>
      </c>
      <c r="H1639" s="593">
        <v>0</v>
      </c>
      <c r="I1639" s="593">
        <v>0</v>
      </c>
      <c r="J1639" s="593">
        <v>124</v>
      </c>
      <c r="K1639" s="593">
        <v>0</v>
      </c>
      <c r="L1639" s="593">
        <v>0</v>
      </c>
      <c r="M1639" s="593">
        <v>0</v>
      </c>
      <c r="N1639" s="593">
        <v>123</v>
      </c>
      <c r="O1639" s="593">
        <v>22</v>
      </c>
      <c r="P1639" s="593">
        <v>279</v>
      </c>
      <c r="Q1639" s="593">
        <v>323</v>
      </c>
      <c r="R1639" s="593">
        <v>760</v>
      </c>
      <c r="S1639" s="593">
        <v>345</v>
      </c>
      <c r="T1639" s="593">
        <v>2018</v>
      </c>
      <c r="U1639" s="593">
        <v>2015</v>
      </c>
      <c r="V1639" s="589"/>
      <c r="W1639" s="589"/>
      <c r="X1639" s="589"/>
      <c r="Y1639" s="589"/>
      <c r="Z1639" s="589"/>
      <c r="AA1639" s="589"/>
      <c r="AB1639" s="589"/>
      <c r="AC1639" s="589"/>
      <c r="AD1639" s="589"/>
      <c r="AE1639" s="589"/>
      <c r="AF1639" s="589"/>
      <c r="AG1639" s="589"/>
      <c r="AH1639" s="589"/>
      <c r="AI1639" s="589"/>
      <c r="AJ1639" s="589"/>
      <c r="AK1639" s="589"/>
      <c r="AL1639" s="589"/>
      <c r="AM1639" s="589"/>
      <c r="AN1639" s="589"/>
      <c r="AO1639" s="589"/>
      <c r="AP1639" s="589"/>
      <c r="AQ1639" s="589"/>
      <c r="AR1639" s="589"/>
      <c r="AS1639" s="589"/>
    </row>
    <row r="1640" spans="1:45" ht="15">
      <c r="A1640" s="587" t="s">
        <v>184</v>
      </c>
      <c r="B1640" s="587" t="s">
        <v>625</v>
      </c>
      <c r="C1640" s="587" t="s">
        <v>782</v>
      </c>
      <c r="D1640" s="588">
        <v>2018</v>
      </c>
      <c r="E1640" s="587" t="s">
        <v>775</v>
      </c>
      <c r="F1640" s="588">
        <v>25</v>
      </c>
      <c r="G1640" s="588">
        <v>0</v>
      </c>
      <c r="H1640" s="588">
        <v>0</v>
      </c>
      <c r="I1640" s="588">
        <v>0</v>
      </c>
      <c r="J1640" s="588">
        <v>13</v>
      </c>
      <c r="K1640" s="588">
        <v>0</v>
      </c>
      <c r="L1640" s="588">
        <v>0</v>
      </c>
      <c r="M1640" s="588">
        <v>0</v>
      </c>
      <c r="N1640" s="588">
        <v>15</v>
      </c>
      <c r="O1640" s="588">
        <v>5</v>
      </c>
      <c r="P1640" s="588">
        <v>30</v>
      </c>
      <c r="Q1640" s="588">
        <v>1</v>
      </c>
      <c r="R1640" s="588">
        <v>83</v>
      </c>
      <c r="S1640" s="588">
        <v>6</v>
      </c>
      <c r="T1640" s="588">
        <v>2018</v>
      </c>
      <c r="U1640" s="588">
        <v>2015</v>
      </c>
      <c r="V1640" s="589"/>
      <c r="W1640" s="589"/>
      <c r="X1640" s="589"/>
      <c r="Y1640" s="589"/>
      <c r="Z1640" s="589"/>
      <c r="AA1640" s="589"/>
      <c r="AB1640" s="589"/>
      <c r="AC1640" s="589"/>
      <c r="AD1640" s="589"/>
      <c r="AE1640" s="589"/>
      <c r="AF1640" s="589"/>
      <c r="AG1640" s="589"/>
      <c r="AH1640" s="589"/>
      <c r="AI1640" s="589"/>
      <c r="AJ1640" s="589"/>
      <c r="AK1640" s="589"/>
      <c r="AL1640" s="589"/>
      <c r="AM1640" s="589"/>
      <c r="AN1640" s="589"/>
      <c r="AO1640" s="589"/>
      <c r="AP1640" s="589"/>
      <c r="AQ1640" s="589"/>
      <c r="AR1640" s="589"/>
      <c r="AS1640" s="589"/>
    </row>
    <row r="1641" spans="1:45" ht="15">
      <c r="A1641" s="590" t="s">
        <v>185</v>
      </c>
      <c r="B1641" s="590" t="s">
        <v>643</v>
      </c>
      <c r="C1641" s="590" t="s">
        <v>872</v>
      </c>
      <c r="D1641" s="593">
        <v>2018</v>
      </c>
      <c r="E1641" s="590" t="s">
        <v>775</v>
      </c>
      <c r="F1641" s="593">
        <v>66</v>
      </c>
      <c r="G1641" s="593">
        <v>0</v>
      </c>
      <c r="H1641" s="593">
        <v>0</v>
      </c>
      <c r="I1641" s="593">
        <v>0</v>
      </c>
      <c r="J1641" s="593">
        <v>44</v>
      </c>
      <c r="K1641" s="593">
        <v>0</v>
      </c>
      <c r="L1641" s="593">
        <v>0</v>
      </c>
      <c r="M1641" s="593">
        <v>0</v>
      </c>
      <c r="N1641" s="593">
        <v>41</v>
      </c>
      <c r="O1641" s="593">
        <v>0</v>
      </c>
      <c r="P1641" s="593">
        <v>124</v>
      </c>
      <c r="Q1641" s="593">
        <v>36</v>
      </c>
      <c r="R1641" s="593">
        <v>275</v>
      </c>
      <c r="S1641" s="593">
        <v>36</v>
      </c>
      <c r="T1641" s="593">
        <v>2018</v>
      </c>
      <c r="U1641" s="593">
        <v>2015</v>
      </c>
      <c r="V1641" s="589"/>
      <c r="W1641" s="589"/>
      <c r="X1641" s="589"/>
      <c r="Y1641" s="589"/>
      <c r="Z1641" s="589"/>
      <c r="AA1641" s="589"/>
      <c r="AB1641" s="589"/>
      <c r="AC1641" s="589"/>
      <c r="AD1641" s="589"/>
      <c r="AE1641" s="589"/>
      <c r="AF1641" s="589"/>
      <c r="AG1641" s="589"/>
      <c r="AH1641" s="589"/>
      <c r="AI1641" s="589"/>
      <c r="AJ1641" s="589"/>
      <c r="AK1641" s="589"/>
      <c r="AL1641" s="589"/>
      <c r="AM1641" s="589"/>
      <c r="AN1641" s="589"/>
      <c r="AO1641" s="589"/>
      <c r="AP1641" s="589"/>
      <c r="AQ1641" s="589"/>
      <c r="AR1641" s="589"/>
      <c r="AS1641" s="589"/>
    </row>
    <row r="1642" spans="1:45" ht="15">
      <c r="A1642" s="587" t="s">
        <v>169</v>
      </c>
      <c r="B1642" s="587" t="s">
        <v>488</v>
      </c>
      <c r="C1642" s="587" t="s">
        <v>813</v>
      </c>
      <c r="D1642" s="588">
        <v>2018</v>
      </c>
      <c r="E1642" s="587" t="s">
        <v>775</v>
      </c>
      <c r="F1642" s="588">
        <v>76</v>
      </c>
      <c r="G1642" s="588">
        <v>0</v>
      </c>
      <c r="H1642" s="588">
        <v>0</v>
      </c>
      <c r="I1642" s="588">
        <v>0</v>
      </c>
      <c r="J1642" s="588">
        <v>53</v>
      </c>
      <c r="K1642" s="588">
        <v>0</v>
      </c>
      <c r="L1642" s="588">
        <v>0</v>
      </c>
      <c r="M1642" s="588">
        <v>0</v>
      </c>
      <c r="N1642" s="588">
        <v>62</v>
      </c>
      <c r="O1642" s="588">
        <v>0</v>
      </c>
      <c r="P1642" s="588">
        <v>148</v>
      </c>
      <c r="Q1642" s="588">
        <v>7</v>
      </c>
      <c r="R1642" s="588">
        <v>339</v>
      </c>
      <c r="S1642" s="588">
        <v>7</v>
      </c>
      <c r="T1642" s="588">
        <v>2018</v>
      </c>
      <c r="U1642" s="588">
        <v>2014</v>
      </c>
      <c r="V1642" s="589"/>
      <c r="W1642" s="589"/>
      <c r="X1642" s="589"/>
      <c r="Y1642" s="589"/>
      <c r="Z1642" s="589"/>
      <c r="AA1642" s="589"/>
      <c r="AB1642" s="589"/>
      <c r="AC1642" s="589"/>
      <c r="AD1642" s="589"/>
      <c r="AE1642" s="589"/>
      <c r="AF1642" s="589"/>
      <c r="AG1642" s="589"/>
      <c r="AH1642" s="589"/>
      <c r="AI1642" s="589"/>
      <c r="AJ1642" s="589"/>
      <c r="AK1642" s="589"/>
      <c r="AL1642" s="589"/>
      <c r="AM1642" s="589"/>
      <c r="AN1642" s="589"/>
      <c r="AO1642" s="589"/>
      <c r="AP1642" s="589"/>
      <c r="AQ1642" s="589"/>
      <c r="AR1642" s="589"/>
      <c r="AS1642" s="589"/>
    </row>
    <row r="1643" spans="1:45" ht="15">
      <c r="A1643" s="590" t="s">
        <v>153</v>
      </c>
      <c r="B1643" s="590" t="s">
        <v>358</v>
      </c>
      <c r="C1643" s="590" t="s">
        <v>813</v>
      </c>
      <c r="D1643" s="593">
        <v>2018</v>
      </c>
      <c r="E1643" s="590" t="s">
        <v>775</v>
      </c>
      <c r="F1643" s="593">
        <v>694</v>
      </c>
      <c r="G1643" s="593">
        <v>0</v>
      </c>
      <c r="H1643" s="593">
        <v>0</v>
      </c>
      <c r="I1643" s="593">
        <v>0</v>
      </c>
      <c r="J1643" s="593">
        <v>413</v>
      </c>
      <c r="K1643" s="593">
        <v>20</v>
      </c>
      <c r="L1643" s="593">
        <v>0</v>
      </c>
      <c r="M1643" s="593">
        <v>20</v>
      </c>
      <c r="N1643" s="593">
        <v>443</v>
      </c>
      <c r="O1643" s="593">
        <v>6</v>
      </c>
      <c r="P1643" s="593">
        <v>1134</v>
      </c>
      <c r="Q1643" s="593">
        <v>35</v>
      </c>
      <c r="R1643" s="593">
        <v>2684</v>
      </c>
      <c r="S1643" s="593">
        <v>61</v>
      </c>
      <c r="T1643" s="593">
        <v>2018</v>
      </c>
      <c r="U1643" s="593">
        <v>2014</v>
      </c>
      <c r="V1643" s="589"/>
      <c r="W1643" s="589"/>
      <c r="X1643" s="589"/>
      <c r="Y1643" s="589"/>
      <c r="Z1643" s="589"/>
      <c r="AA1643" s="589"/>
      <c r="AB1643" s="589"/>
      <c r="AC1643" s="589"/>
      <c r="AD1643" s="589"/>
      <c r="AE1643" s="589"/>
      <c r="AF1643" s="589"/>
      <c r="AG1643" s="589"/>
      <c r="AH1643" s="589"/>
      <c r="AI1643" s="589"/>
      <c r="AJ1643" s="589"/>
      <c r="AK1643" s="589"/>
      <c r="AL1643" s="589"/>
      <c r="AM1643" s="589"/>
      <c r="AN1643" s="589"/>
      <c r="AO1643" s="589"/>
      <c r="AP1643" s="589"/>
      <c r="AQ1643" s="589"/>
      <c r="AR1643" s="589"/>
      <c r="AS1643" s="589"/>
    </row>
    <row r="1644" spans="1:45" ht="15">
      <c r="A1644" s="587" t="s">
        <v>184</v>
      </c>
      <c r="B1644" s="587" t="s">
        <v>626</v>
      </c>
      <c r="C1644" s="587" t="s">
        <v>782</v>
      </c>
      <c r="D1644" s="588">
        <v>2018</v>
      </c>
      <c r="E1644" s="587" t="s">
        <v>775</v>
      </c>
      <c r="F1644" s="588">
        <v>276</v>
      </c>
      <c r="G1644" s="588">
        <v>0</v>
      </c>
      <c r="H1644" s="588">
        <v>0</v>
      </c>
      <c r="I1644" s="588">
        <v>0</v>
      </c>
      <c r="J1644" s="588">
        <v>144</v>
      </c>
      <c r="K1644" s="588">
        <v>0</v>
      </c>
      <c r="L1644" s="588">
        <v>0</v>
      </c>
      <c r="M1644" s="588">
        <v>0</v>
      </c>
      <c r="N1644" s="588">
        <v>155</v>
      </c>
      <c r="O1644" s="588">
        <v>29</v>
      </c>
      <c r="P1644" s="588">
        <v>288</v>
      </c>
      <c r="Q1644" s="588">
        <v>271</v>
      </c>
      <c r="R1644" s="588">
        <v>863</v>
      </c>
      <c r="S1644" s="588">
        <v>300</v>
      </c>
      <c r="T1644" s="588">
        <v>2018</v>
      </c>
      <c r="U1644" s="588">
        <v>2015</v>
      </c>
      <c r="V1644" s="589"/>
      <c r="W1644" s="589"/>
      <c r="X1644" s="589"/>
      <c r="Y1644" s="589"/>
      <c r="Z1644" s="589"/>
      <c r="AA1644" s="589"/>
      <c r="AB1644" s="589"/>
      <c r="AC1644" s="589"/>
      <c r="AD1644" s="589"/>
      <c r="AE1644" s="589"/>
      <c r="AF1644" s="589"/>
      <c r="AG1644" s="589"/>
      <c r="AH1644" s="589"/>
      <c r="AI1644" s="589"/>
      <c r="AJ1644" s="589"/>
      <c r="AK1644" s="589"/>
      <c r="AL1644" s="589"/>
      <c r="AM1644" s="589"/>
      <c r="AN1644" s="589"/>
      <c r="AO1644" s="589"/>
      <c r="AP1644" s="589"/>
      <c r="AQ1644" s="589"/>
      <c r="AR1644" s="589"/>
      <c r="AS1644" s="589"/>
    </row>
    <row r="1645" spans="1:45" ht="15">
      <c r="A1645" s="590" t="s">
        <v>131</v>
      </c>
      <c r="B1645" s="590" t="s">
        <v>256</v>
      </c>
      <c r="C1645" s="590" t="s">
        <v>787</v>
      </c>
      <c r="D1645" s="593">
        <v>2018</v>
      </c>
      <c r="E1645" s="590" t="s">
        <v>775</v>
      </c>
      <c r="F1645" s="593">
        <v>682</v>
      </c>
      <c r="G1645" s="593">
        <v>0</v>
      </c>
      <c r="H1645" s="593">
        <v>0</v>
      </c>
      <c r="I1645" s="593">
        <v>0</v>
      </c>
      <c r="J1645" s="593">
        <v>545</v>
      </c>
      <c r="K1645" s="593">
        <v>9</v>
      </c>
      <c r="L1645" s="593">
        <v>0</v>
      </c>
      <c r="M1645" s="593">
        <v>9</v>
      </c>
      <c r="N1645" s="593">
        <v>480</v>
      </c>
      <c r="O1645" s="593">
        <v>72</v>
      </c>
      <c r="P1645" s="593">
        <v>1267</v>
      </c>
      <c r="Q1645" s="593">
        <v>73</v>
      </c>
      <c r="R1645" s="593">
        <v>2974</v>
      </c>
      <c r="S1645" s="593">
        <v>154</v>
      </c>
      <c r="T1645" s="593">
        <v>2018</v>
      </c>
      <c r="U1645" s="593">
        <v>2014</v>
      </c>
      <c r="V1645" s="589"/>
      <c r="W1645" s="589"/>
      <c r="X1645" s="589"/>
      <c r="Y1645" s="589"/>
      <c r="Z1645" s="589"/>
      <c r="AA1645" s="589"/>
      <c r="AB1645" s="589"/>
      <c r="AC1645" s="589"/>
      <c r="AD1645" s="589"/>
      <c r="AE1645" s="589"/>
      <c r="AF1645" s="589"/>
      <c r="AG1645" s="589"/>
      <c r="AH1645" s="589"/>
      <c r="AI1645" s="589"/>
      <c r="AJ1645" s="589"/>
      <c r="AK1645" s="589"/>
      <c r="AL1645" s="589"/>
      <c r="AM1645" s="589"/>
      <c r="AN1645" s="589"/>
      <c r="AO1645" s="589"/>
      <c r="AP1645" s="589"/>
      <c r="AQ1645" s="589"/>
      <c r="AR1645" s="589"/>
      <c r="AS1645" s="589"/>
    </row>
    <row r="1646" spans="1:45" ht="15">
      <c r="A1646" s="587" t="s">
        <v>153</v>
      </c>
      <c r="B1646" s="587" t="s">
        <v>359</v>
      </c>
      <c r="C1646" s="587" t="s">
        <v>813</v>
      </c>
      <c r="D1646" s="588">
        <v>2018</v>
      </c>
      <c r="E1646" s="587" t="s">
        <v>775</v>
      </c>
      <c r="F1646" s="588">
        <v>88</v>
      </c>
      <c r="G1646" s="588">
        <v>4</v>
      </c>
      <c r="H1646" s="588">
        <v>4</v>
      </c>
      <c r="I1646" s="588">
        <v>0</v>
      </c>
      <c r="J1646" s="588">
        <v>54</v>
      </c>
      <c r="K1646" s="588">
        <v>0</v>
      </c>
      <c r="L1646" s="588">
        <v>0</v>
      </c>
      <c r="M1646" s="588">
        <v>0</v>
      </c>
      <c r="N1646" s="588">
        <v>57</v>
      </c>
      <c r="O1646" s="588">
        <v>1</v>
      </c>
      <c r="P1646" s="588">
        <v>131</v>
      </c>
      <c r="Q1646" s="588">
        <v>78</v>
      </c>
      <c r="R1646" s="588">
        <v>330</v>
      </c>
      <c r="S1646" s="588">
        <v>83</v>
      </c>
      <c r="T1646" s="588">
        <v>2018</v>
      </c>
      <c r="U1646" s="588">
        <v>2014</v>
      </c>
      <c r="V1646" s="589"/>
      <c r="W1646" s="589"/>
      <c r="X1646" s="589"/>
      <c r="Y1646" s="589"/>
      <c r="Z1646" s="589"/>
      <c r="AA1646" s="589"/>
      <c r="AB1646" s="589"/>
      <c r="AC1646" s="589"/>
      <c r="AD1646" s="589"/>
      <c r="AE1646" s="589"/>
      <c r="AF1646" s="589"/>
      <c r="AG1646" s="589"/>
      <c r="AH1646" s="589"/>
      <c r="AI1646" s="589"/>
      <c r="AJ1646" s="589"/>
      <c r="AK1646" s="589"/>
      <c r="AL1646" s="589"/>
      <c r="AM1646" s="589"/>
      <c r="AN1646" s="589"/>
      <c r="AO1646" s="589"/>
      <c r="AP1646" s="589"/>
      <c r="AQ1646" s="589"/>
      <c r="AR1646" s="589"/>
      <c r="AS1646" s="589"/>
    </row>
    <row r="1647" spans="1:45" ht="15">
      <c r="A1647" s="590" t="s">
        <v>134</v>
      </c>
      <c r="B1647" s="590" t="s">
        <v>262</v>
      </c>
      <c r="C1647" s="590" t="s">
        <v>785</v>
      </c>
      <c r="D1647" s="593">
        <v>2018</v>
      </c>
      <c r="E1647" s="590" t="s">
        <v>775</v>
      </c>
      <c r="F1647" s="593">
        <v>241</v>
      </c>
      <c r="G1647" s="593">
        <v>1</v>
      </c>
      <c r="H1647" s="593">
        <v>0</v>
      </c>
      <c r="I1647" s="593">
        <v>1</v>
      </c>
      <c r="J1647" s="593">
        <v>175</v>
      </c>
      <c r="K1647" s="593">
        <v>0</v>
      </c>
      <c r="L1647" s="593">
        <v>0</v>
      </c>
      <c r="M1647" s="593">
        <v>0</v>
      </c>
      <c r="N1647" s="593">
        <v>192</v>
      </c>
      <c r="O1647" s="593">
        <v>23</v>
      </c>
      <c r="P1647" s="593">
        <v>471</v>
      </c>
      <c r="Q1647" s="593">
        <v>20</v>
      </c>
      <c r="R1647" s="593">
        <v>1079</v>
      </c>
      <c r="S1647" s="593">
        <v>44</v>
      </c>
      <c r="T1647" s="593">
        <v>2018</v>
      </c>
      <c r="U1647" s="593">
        <v>2014</v>
      </c>
      <c r="V1647" s="589"/>
      <c r="W1647" s="589"/>
      <c r="X1647" s="589"/>
      <c r="Y1647" s="589"/>
      <c r="Z1647" s="589"/>
      <c r="AA1647" s="589"/>
      <c r="AB1647" s="589"/>
      <c r="AC1647" s="589"/>
      <c r="AD1647" s="589"/>
      <c r="AE1647" s="589"/>
      <c r="AF1647" s="589"/>
      <c r="AG1647" s="589"/>
      <c r="AH1647" s="589"/>
      <c r="AI1647" s="589"/>
      <c r="AJ1647" s="589"/>
      <c r="AK1647" s="589"/>
      <c r="AL1647" s="589"/>
      <c r="AM1647" s="589"/>
      <c r="AN1647" s="589"/>
      <c r="AO1647" s="589"/>
      <c r="AP1647" s="589"/>
      <c r="AQ1647" s="589"/>
      <c r="AR1647" s="589"/>
      <c r="AS1647" s="589"/>
    </row>
    <row r="1648" spans="1:45" ht="15">
      <c r="A1648" s="587" t="s">
        <v>146</v>
      </c>
      <c r="B1648" s="587" t="s">
        <v>316</v>
      </c>
      <c r="C1648" s="587" t="s">
        <v>813</v>
      </c>
      <c r="D1648" s="588">
        <v>2018</v>
      </c>
      <c r="E1648" s="587" t="s">
        <v>775</v>
      </c>
      <c r="F1648" s="588">
        <v>817</v>
      </c>
      <c r="G1648" s="588">
        <v>0</v>
      </c>
      <c r="H1648" s="588">
        <v>0</v>
      </c>
      <c r="I1648" s="588">
        <v>0</v>
      </c>
      <c r="J1648" s="588">
        <v>489</v>
      </c>
      <c r="K1648" s="588">
        <v>0</v>
      </c>
      <c r="L1648" s="588">
        <v>0</v>
      </c>
      <c r="M1648" s="588">
        <v>0</v>
      </c>
      <c r="N1648" s="588">
        <v>490</v>
      </c>
      <c r="O1648" s="588">
        <v>0</v>
      </c>
      <c r="P1648" s="588">
        <v>1428</v>
      </c>
      <c r="Q1648" s="588">
        <v>0</v>
      </c>
      <c r="R1648" s="588">
        <v>3224</v>
      </c>
      <c r="S1648" s="588">
        <v>0</v>
      </c>
      <c r="T1648" s="588">
        <v>2018</v>
      </c>
      <c r="U1648" s="588">
        <v>2014</v>
      </c>
      <c r="V1648" s="589"/>
      <c r="W1648" s="589"/>
      <c r="X1648" s="589"/>
      <c r="Y1648" s="589"/>
      <c r="Z1648" s="589"/>
      <c r="AA1648" s="589"/>
      <c r="AB1648" s="589"/>
      <c r="AC1648" s="589"/>
      <c r="AD1648" s="589"/>
      <c r="AE1648" s="589"/>
      <c r="AF1648" s="589"/>
      <c r="AG1648" s="589"/>
      <c r="AH1648" s="589"/>
      <c r="AI1648" s="589"/>
      <c r="AJ1648" s="589"/>
      <c r="AK1648" s="589"/>
      <c r="AL1648" s="589"/>
      <c r="AM1648" s="589"/>
      <c r="AN1648" s="589"/>
      <c r="AO1648" s="589"/>
      <c r="AP1648" s="589"/>
      <c r="AQ1648" s="589"/>
      <c r="AR1648" s="589"/>
      <c r="AS1648" s="589"/>
    </row>
    <row r="1649" spans="1:45" ht="15">
      <c r="A1649" s="590" t="s">
        <v>173</v>
      </c>
      <c r="B1649" s="590" t="s">
        <v>531</v>
      </c>
      <c r="C1649" s="590" t="s">
        <v>813</v>
      </c>
      <c r="D1649" s="593">
        <v>2018</v>
      </c>
      <c r="E1649" s="590" t="s">
        <v>775</v>
      </c>
      <c r="F1649" s="593">
        <v>543</v>
      </c>
      <c r="G1649" s="593">
        <v>0</v>
      </c>
      <c r="H1649" s="593">
        <v>0</v>
      </c>
      <c r="I1649" s="593">
        <v>0</v>
      </c>
      <c r="J1649" s="593">
        <v>383</v>
      </c>
      <c r="K1649" s="593">
        <v>0</v>
      </c>
      <c r="L1649" s="593">
        <v>0</v>
      </c>
      <c r="M1649" s="593">
        <v>0</v>
      </c>
      <c r="N1649" s="593">
        <v>433</v>
      </c>
      <c r="O1649" s="593">
        <v>0</v>
      </c>
      <c r="P1649" s="593">
        <v>982</v>
      </c>
      <c r="Q1649" s="593">
        <v>86</v>
      </c>
      <c r="R1649" s="593">
        <v>2341</v>
      </c>
      <c r="S1649" s="593">
        <v>86</v>
      </c>
      <c r="T1649" s="593">
        <v>2018</v>
      </c>
      <c r="U1649" s="593">
        <v>2014</v>
      </c>
      <c r="V1649" s="589"/>
      <c r="W1649" s="589"/>
      <c r="X1649" s="589"/>
      <c r="Y1649" s="589"/>
      <c r="Z1649" s="589"/>
      <c r="AA1649" s="589"/>
      <c r="AB1649" s="589"/>
      <c r="AC1649" s="589"/>
      <c r="AD1649" s="589"/>
      <c r="AE1649" s="589"/>
      <c r="AF1649" s="589"/>
      <c r="AG1649" s="589"/>
      <c r="AH1649" s="589"/>
      <c r="AI1649" s="589"/>
      <c r="AJ1649" s="589"/>
      <c r="AK1649" s="589"/>
      <c r="AL1649" s="589"/>
      <c r="AM1649" s="589"/>
      <c r="AN1649" s="589"/>
      <c r="AO1649" s="589"/>
      <c r="AP1649" s="589"/>
      <c r="AQ1649" s="589"/>
      <c r="AR1649" s="589"/>
      <c r="AS1649" s="589"/>
    </row>
    <row r="1650" spans="1:45" ht="15">
      <c r="A1650" s="587" t="s">
        <v>166</v>
      </c>
      <c r="B1650" s="587" t="s">
        <v>477</v>
      </c>
      <c r="C1650" s="587" t="s">
        <v>782</v>
      </c>
      <c r="D1650" s="588">
        <v>2018</v>
      </c>
      <c r="E1650" s="587" t="s">
        <v>775</v>
      </c>
      <c r="F1650" s="588">
        <v>6</v>
      </c>
      <c r="G1650" s="588">
        <v>0</v>
      </c>
      <c r="H1650" s="588">
        <v>0</v>
      </c>
      <c r="I1650" s="588">
        <v>0</v>
      </c>
      <c r="J1650" s="588">
        <v>2</v>
      </c>
      <c r="K1650" s="588">
        <v>0</v>
      </c>
      <c r="L1650" s="588">
        <v>0</v>
      </c>
      <c r="M1650" s="588">
        <v>0</v>
      </c>
      <c r="N1650" s="588">
        <v>4</v>
      </c>
      <c r="O1650" s="588">
        <v>4</v>
      </c>
      <c r="P1650" s="588">
        <v>15</v>
      </c>
      <c r="Q1650" s="588">
        <v>6</v>
      </c>
      <c r="R1650" s="588">
        <v>27</v>
      </c>
      <c r="S1650" s="588">
        <v>10</v>
      </c>
      <c r="T1650" s="588">
        <v>2018</v>
      </c>
      <c r="U1650" s="588">
        <v>2015</v>
      </c>
      <c r="V1650" s="589"/>
      <c r="W1650" s="589"/>
      <c r="X1650" s="589"/>
      <c r="Y1650" s="589"/>
      <c r="Z1650" s="589"/>
      <c r="AA1650" s="589"/>
      <c r="AB1650" s="589"/>
      <c r="AC1650" s="589"/>
      <c r="AD1650" s="589"/>
      <c r="AE1650" s="589"/>
      <c r="AF1650" s="589"/>
      <c r="AG1650" s="589"/>
      <c r="AH1650" s="589"/>
      <c r="AI1650" s="589"/>
      <c r="AJ1650" s="589"/>
      <c r="AK1650" s="589"/>
      <c r="AL1650" s="589"/>
      <c r="AM1650" s="589"/>
      <c r="AN1650" s="589"/>
      <c r="AO1650" s="589"/>
      <c r="AP1650" s="589"/>
      <c r="AQ1650" s="589"/>
      <c r="AR1650" s="589"/>
      <c r="AS1650" s="589"/>
    </row>
    <row r="1651" spans="1:45" ht="15">
      <c r="A1651" s="590" t="s">
        <v>201</v>
      </c>
      <c r="B1651" s="590" t="s">
        <v>730</v>
      </c>
      <c r="C1651" s="590" t="s">
        <v>813</v>
      </c>
      <c r="D1651" s="593">
        <v>2018</v>
      </c>
      <c r="E1651" s="590" t="s">
        <v>775</v>
      </c>
      <c r="F1651" s="593">
        <v>539</v>
      </c>
      <c r="G1651" s="593">
        <v>1</v>
      </c>
      <c r="H1651" s="593">
        <v>1</v>
      </c>
      <c r="I1651" s="593">
        <v>0</v>
      </c>
      <c r="J1651" s="593">
        <v>366</v>
      </c>
      <c r="K1651" s="593">
        <v>0</v>
      </c>
      <c r="L1651" s="593">
        <v>0</v>
      </c>
      <c r="M1651" s="593">
        <v>0</v>
      </c>
      <c r="N1651" s="593">
        <v>411</v>
      </c>
      <c r="O1651" s="593">
        <v>228</v>
      </c>
      <c r="P1651" s="593">
        <v>908</v>
      </c>
      <c r="Q1651" s="593">
        <v>238</v>
      </c>
      <c r="R1651" s="593">
        <v>2224</v>
      </c>
      <c r="S1651" s="593">
        <v>467</v>
      </c>
      <c r="T1651" s="593">
        <v>2018</v>
      </c>
      <c r="U1651" s="593">
        <v>2014</v>
      </c>
      <c r="V1651" s="589"/>
      <c r="W1651" s="589"/>
      <c r="X1651" s="589"/>
      <c r="Y1651" s="589"/>
      <c r="Z1651" s="589"/>
      <c r="AA1651" s="589"/>
      <c r="AB1651" s="589"/>
      <c r="AC1651" s="589"/>
      <c r="AD1651" s="589"/>
      <c r="AE1651" s="589"/>
      <c r="AF1651" s="589"/>
      <c r="AG1651" s="589"/>
      <c r="AH1651" s="589"/>
      <c r="AI1651" s="589"/>
      <c r="AJ1651" s="589"/>
      <c r="AK1651" s="589"/>
      <c r="AL1651" s="589"/>
      <c r="AM1651" s="589"/>
      <c r="AN1651" s="589"/>
      <c r="AO1651" s="589"/>
      <c r="AP1651" s="589"/>
      <c r="AQ1651" s="589"/>
      <c r="AR1651" s="589"/>
      <c r="AS1651" s="589"/>
    </row>
    <row r="1652" spans="1:45" ht="15">
      <c r="A1652" s="587" t="s">
        <v>187</v>
      </c>
      <c r="B1652" s="587" t="s">
        <v>651</v>
      </c>
      <c r="C1652" s="587" t="s">
        <v>782</v>
      </c>
      <c r="D1652" s="588">
        <v>2018</v>
      </c>
      <c r="E1652" s="587" t="s">
        <v>775</v>
      </c>
      <c r="F1652" s="588">
        <v>253</v>
      </c>
      <c r="G1652" s="588">
        <v>2</v>
      </c>
      <c r="H1652" s="588">
        <v>2</v>
      </c>
      <c r="I1652" s="588">
        <v>0</v>
      </c>
      <c r="J1652" s="588">
        <v>138</v>
      </c>
      <c r="K1652" s="588">
        <v>2</v>
      </c>
      <c r="L1652" s="588">
        <v>2</v>
      </c>
      <c r="M1652" s="588">
        <v>0</v>
      </c>
      <c r="N1652" s="588">
        <v>151</v>
      </c>
      <c r="O1652" s="588">
        <v>3</v>
      </c>
      <c r="P1652" s="588">
        <v>391</v>
      </c>
      <c r="Q1652" s="588">
        <v>46</v>
      </c>
      <c r="R1652" s="588">
        <v>933</v>
      </c>
      <c r="S1652" s="588">
        <v>53</v>
      </c>
      <c r="T1652" s="588">
        <v>2018</v>
      </c>
      <c r="U1652" s="588">
        <v>2015</v>
      </c>
      <c r="V1652" s="589"/>
      <c r="W1652" s="589"/>
      <c r="X1652" s="589"/>
      <c r="Y1652" s="589"/>
      <c r="Z1652" s="589"/>
      <c r="AA1652" s="589"/>
      <c r="AB1652" s="589"/>
      <c r="AC1652" s="589"/>
      <c r="AD1652" s="589"/>
      <c r="AE1652" s="589"/>
      <c r="AF1652" s="589"/>
      <c r="AG1652" s="589"/>
      <c r="AH1652" s="589"/>
      <c r="AI1652" s="589"/>
      <c r="AJ1652" s="589"/>
      <c r="AK1652" s="589"/>
      <c r="AL1652" s="589"/>
      <c r="AM1652" s="589"/>
      <c r="AN1652" s="589"/>
      <c r="AO1652" s="589"/>
      <c r="AP1652" s="589"/>
      <c r="AQ1652" s="589"/>
      <c r="AR1652" s="589"/>
      <c r="AS1652" s="589"/>
    </row>
    <row r="1653" spans="1:45" ht="15">
      <c r="A1653" s="590" t="s">
        <v>173</v>
      </c>
      <c r="B1653" s="590" t="s">
        <v>532</v>
      </c>
      <c r="C1653" s="590" t="s">
        <v>813</v>
      </c>
      <c r="D1653" s="593">
        <v>2018</v>
      </c>
      <c r="E1653" s="590" t="s">
        <v>775</v>
      </c>
      <c r="F1653" s="593">
        <v>21</v>
      </c>
      <c r="G1653" s="593">
        <v>0</v>
      </c>
      <c r="H1653" s="593">
        <v>0</v>
      </c>
      <c r="I1653" s="593">
        <v>0</v>
      </c>
      <c r="J1653" s="593">
        <v>14</v>
      </c>
      <c r="K1653" s="593">
        <v>0</v>
      </c>
      <c r="L1653" s="593">
        <v>0</v>
      </c>
      <c r="M1653" s="593">
        <v>0</v>
      </c>
      <c r="N1653" s="593">
        <v>16</v>
      </c>
      <c r="O1653" s="593">
        <v>0</v>
      </c>
      <c r="P1653" s="593">
        <v>32</v>
      </c>
      <c r="Q1653" s="593">
        <v>14</v>
      </c>
      <c r="R1653" s="593">
        <v>83</v>
      </c>
      <c r="S1653" s="593">
        <v>14</v>
      </c>
      <c r="T1653" s="593">
        <v>2018</v>
      </c>
      <c r="U1653" s="593">
        <v>2014</v>
      </c>
      <c r="V1653" s="589"/>
      <c r="W1653" s="589"/>
      <c r="X1653" s="589"/>
      <c r="Y1653" s="589"/>
      <c r="Z1653" s="589"/>
      <c r="AA1653" s="589"/>
      <c r="AB1653" s="589"/>
      <c r="AC1653" s="589"/>
      <c r="AD1653" s="589"/>
      <c r="AE1653" s="589"/>
      <c r="AF1653" s="589"/>
      <c r="AG1653" s="589"/>
      <c r="AH1653" s="589"/>
      <c r="AI1653" s="589"/>
      <c r="AJ1653" s="589"/>
      <c r="AK1653" s="589"/>
      <c r="AL1653" s="589"/>
      <c r="AM1653" s="589"/>
      <c r="AN1653" s="589"/>
      <c r="AO1653" s="589"/>
      <c r="AP1653" s="589"/>
      <c r="AQ1653" s="589"/>
      <c r="AR1653" s="589"/>
      <c r="AS1653" s="589"/>
    </row>
    <row r="1654" spans="1:45" ht="15">
      <c r="A1654" s="587" t="s">
        <v>188</v>
      </c>
      <c r="B1654" s="587" t="s">
        <v>666</v>
      </c>
      <c r="C1654" s="587" t="s">
        <v>811</v>
      </c>
      <c r="D1654" s="588">
        <v>2018</v>
      </c>
      <c r="E1654" s="587" t="s">
        <v>775</v>
      </c>
      <c r="F1654" s="588">
        <v>34</v>
      </c>
      <c r="G1654" s="588">
        <v>0</v>
      </c>
      <c r="H1654" s="588">
        <v>0</v>
      </c>
      <c r="I1654" s="588">
        <v>0</v>
      </c>
      <c r="J1654" s="588">
        <v>23</v>
      </c>
      <c r="K1654" s="588">
        <v>0</v>
      </c>
      <c r="L1654" s="588">
        <v>0</v>
      </c>
      <c r="M1654" s="588">
        <v>0</v>
      </c>
      <c r="N1654" s="588">
        <v>26</v>
      </c>
      <c r="O1654" s="588">
        <v>0</v>
      </c>
      <c r="P1654" s="588">
        <v>60</v>
      </c>
      <c r="Q1654" s="588">
        <v>0</v>
      </c>
      <c r="R1654" s="588">
        <v>143</v>
      </c>
      <c r="S1654" s="588">
        <v>0</v>
      </c>
      <c r="T1654" s="588">
        <v>2018</v>
      </c>
      <c r="U1654" s="588">
        <v>2016</v>
      </c>
      <c r="V1654" s="589"/>
      <c r="W1654" s="589"/>
      <c r="X1654" s="589"/>
      <c r="Y1654" s="589"/>
      <c r="Z1654" s="589"/>
      <c r="AA1654" s="589"/>
      <c r="AB1654" s="589"/>
      <c r="AC1654" s="589"/>
      <c r="AD1654" s="589"/>
      <c r="AE1654" s="589"/>
      <c r="AF1654" s="589"/>
      <c r="AG1654" s="589"/>
      <c r="AH1654" s="589"/>
      <c r="AI1654" s="589"/>
      <c r="AJ1654" s="589"/>
      <c r="AK1654" s="589"/>
      <c r="AL1654" s="589"/>
      <c r="AM1654" s="589"/>
      <c r="AN1654" s="589"/>
      <c r="AO1654" s="589"/>
      <c r="AP1654" s="589"/>
      <c r="AQ1654" s="589"/>
      <c r="AR1654" s="589"/>
      <c r="AS1654" s="589"/>
    </row>
    <row r="1655" spans="1:45" ht="15">
      <c r="A1655" s="590" t="s">
        <v>179</v>
      </c>
      <c r="B1655" s="590" t="s">
        <v>590</v>
      </c>
      <c r="C1655" s="590" t="s">
        <v>856</v>
      </c>
      <c r="D1655" s="593">
        <v>2018</v>
      </c>
      <c r="E1655" s="590" t="s">
        <v>775</v>
      </c>
      <c r="F1655" s="593">
        <v>912</v>
      </c>
      <c r="G1655" s="593">
        <v>0</v>
      </c>
      <c r="H1655" s="593">
        <v>0</v>
      </c>
      <c r="I1655" s="593">
        <v>0</v>
      </c>
      <c r="J1655" s="593">
        <v>693</v>
      </c>
      <c r="K1655" s="593">
        <v>5</v>
      </c>
      <c r="L1655" s="593">
        <v>4</v>
      </c>
      <c r="M1655" s="593">
        <v>1</v>
      </c>
      <c r="N1655" s="593">
        <v>1062</v>
      </c>
      <c r="O1655" s="593">
        <v>28</v>
      </c>
      <c r="P1655" s="593">
        <v>2332</v>
      </c>
      <c r="Q1655" s="593">
        <v>182</v>
      </c>
      <c r="R1655" s="593">
        <v>4999</v>
      </c>
      <c r="S1655" s="593">
        <v>215</v>
      </c>
      <c r="T1655" s="593">
        <v>2018</v>
      </c>
      <c r="U1655" s="593">
        <v>2013</v>
      </c>
      <c r="V1655" s="589"/>
      <c r="W1655" s="589"/>
      <c r="X1655" s="589"/>
      <c r="Y1655" s="589"/>
      <c r="Z1655" s="589"/>
      <c r="AA1655" s="589"/>
      <c r="AB1655" s="589"/>
      <c r="AC1655" s="589"/>
      <c r="AD1655" s="589"/>
      <c r="AE1655" s="589"/>
      <c r="AF1655" s="589"/>
      <c r="AG1655" s="589"/>
      <c r="AH1655" s="589"/>
      <c r="AI1655" s="589"/>
      <c r="AJ1655" s="589"/>
      <c r="AK1655" s="589"/>
      <c r="AL1655" s="589"/>
      <c r="AM1655" s="589"/>
      <c r="AN1655" s="589"/>
      <c r="AO1655" s="589"/>
      <c r="AP1655" s="589"/>
      <c r="AQ1655" s="589"/>
      <c r="AR1655" s="589"/>
      <c r="AS1655" s="589"/>
    </row>
    <row r="1656" spans="1:45" ht="15">
      <c r="A1656" s="587" t="s">
        <v>164</v>
      </c>
      <c r="B1656" s="587" t="s">
        <v>968</v>
      </c>
      <c r="C1656" s="587" t="s">
        <v>811</v>
      </c>
      <c r="D1656" s="588">
        <v>2018</v>
      </c>
      <c r="E1656" s="587" t="s">
        <v>775</v>
      </c>
      <c r="F1656" s="588">
        <v>7</v>
      </c>
      <c r="G1656" s="588">
        <v>0</v>
      </c>
      <c r="H1656" s="588">
        <v>0</v>
      </c>
      <c r="I1656" s="588">
        <v>0</v>
      </c>
      <c r="J1656" s="588">
        <v>5</v>
      </c>
      <c r="K1656" s="588">
        <v>0</v>
      </c>
      <c r="L1656" s="588">
        <v>0</v>
      </c>
      <c r="M1656" s="588">
        <v>0</v>
      </c>
      <c r="N1656" s="588">
        <v>6</v>
      </c>
      <c r="O1656" s="588">
        <v>0</v>
      </c>
      <c r="P1656" s="588">
        <v>13</v>
      </c>
      <c r="Q1656" s="588">
        <v>7</v>
      </c>
      <c r="R1656" s="588">
        <v>31</v>
      </c>
      <c r="S1656" s="588">
        <v>7</v>
      </c>
      <c r="T1656" s="588">
        <v>2018</v>
      </c>
      <c r="U1656" s="588">
        <v>2016</v>
      </c>
      <c r="V1656" s="589"/>
      <c r="W1656" s="589"/>
      <c r="X1656" s="589"/>
      <c r="Y1656" s="589"/>
      <c r="Z1656" s="589"/>
      <c r="AA1656" s="589"/>
      <c r="AB1656" s="589"/>
      <c r="AC1656" s="589"/>
      <c r="AD1656" s="589"/>
      <c r="AE1656" s="589"/>
      <c r="AF1656" s="589"/>
      <c r="AG1656" s="589"/>
      <c r="AH1656" s="589"/>
      <c r="AI1656" s="589"/>
      <c r="AJ1656" s="589"/>
      <c r="AK1656" s="589"/>
      <c r="AL1656" s="589"/>
      <c r="AM1656" s="589"/>
      <c r="AN1656" s="589"/>
      <c r="AO1656" s="589"/>
      <c r="AP1656" s="589"/>
      <c r="AQ1656" s="589"/>
      <c r="AR1656" s="589"/>
      <c r="AS1656" s="589"/>
    </row>
    <row r="1657" spans="1:45" ht="15">
      <c r="A1657" s="590" t="s">
        <v>185</v>
      </c>
      <c r="B1657" s="590" t="s">
        <v>644</v>
      </c>
      <c r="C1657" s="590" t="s">
        <v>872</v>
      </c>
      <c r="D1657" s="593">
        <v>2018</v>
      </c>
      <c r="E1657" s="590" t="s">
        <v>775</v>
      </c>
      <c r="F1657" s="593">
        <v>39</v>
      </c>
      <c r="G1657" s="593">
        <v>0</v>
      </c>
      <c r="H1657" s="593">
        <v>0</v>
      </c>
      <c r="I1657" s="593">
        <v>0</v>
      </c>
      <c r="J1657" s="593">
        <v>26</v>
      </c>
      <c r="K1657" s="593">
        <v>0</v>
      </c>
      <c r="L1657" s="593">
        <v>0</v>
      </c>
      <c r="M1657" s="593">
        <v>0</v>
      </c>
      <c r="N1657" s="593">
        <v>34</v>
      </c>
      <c r="O1657" s="593">
        <v>0</v>
      </c>
      <c r="P1657" s="593">
        <v>64</v>
      </c>
      <c r="Q1657" s="593">
        <v>1</v>
      </c>
      <c r="R1657" s="593">
        <v>163</v>
      </c>
      <c r="S1657" s="593">
        <v>1</v>
      </c>
      <c r="T1657" s="593">
        <v>2018</v>
      </c>
      <c r="U1657" s="593">
        <v>2015</v>
      </c>
      <c r="V1657" s="589"/>
      <c r="W1657" s="589"/>
      <c r="X1657" s="589"/>
      <c r="Y1657" s="589"/>
      <c r="Z1657" s="589"/>
      <c r="AA1657" s="589"/>
      <c r="AB1657" s="589"/>
      <c r="AC1657" s="589"/>
      <c r="AD1657" s="589"/>
      <c r="AE1657" s="589"/>
      <c r="AF1657" s="589"/>
      <c r="AG1657" s="589"/>
      <c r="AH1657" s="589"/>
      <c r="AI1657" s="589"/>
      <c r="AJ1657" s="589"/>
      <c r="AK1657" s="589"/>
      <c r="AL1657" s="589"/>
      <c r="AM1657" s="589"/>
      <c r="AN1657" s="589"/>
      <c r="AO1657" s="589"/>
      <c r="AP1657" s="589"/>
      <c r="AQ1657" s="589"/>
      <c r="AR1657" s="589"/>
      <c r="AS1657" s="589"/>
    </row>
    <row r="1658" spans="1:45" ht="15">
      <c r="A1658" s="587" t="s">
        <v>153</v>
      </c>
      <c r="B1658" s="587" t="s">
        <v>360</v>
      </c>
      <c r="C1658" s="587" t="s">
        <v>813</v>
      </c>
      <c r="D1658" s="588">
        <v>2018</v>
      </c>
      <c r="E1658" s="587" t="s">
        <v>775</v>
      </c>
      <c r="F1658" s="588">
        <v>447</v>
      </c>
      <c r="G1658" s="588">
        <v>0</v>
      </c>
      <c r="H1658" s="588">
        <v>0</v>
      </c>
      <c r="I1658" s="588">
        <v>0</v>
      </c>
      <c r="J1658" s="588">
        <v>263</v>
      </c>
      <c r="K1658" s="588">
        <v>1</v>
      </c>
      <c r="L1658" s="588">
        <v>0</v>
      </c>
      <c r="M1658" s="588">
        <v>1</v>
      </c>
      <c r="N1658" s="588">
        <v>280</v>
      </c>
      <c r="O1658" s="588">
        <v>0</v>
      </c>
      <c r="P1658" s="588">
        <v>708</v>
      </c>
      <c r="Q1658" s="588">
        <v>6</v>
      </c>
      <c r="R1658" s="588">
        <v>1698</v>
      </c>
      <c r="S1658" s="588">
        <v>7</v>
      </c>
      <c r="T1658" s="588">
        <v>2018</v>
      </c>
      <c r="U1658" s="588">
        <v>2014</v>
      </c>
      <c r="V1658" s="589"/>
      <c r="W1658" s="589"/>
      <c r="X1658" s="589"/>
      <c r="Y1658" s="589"/>
      <c r="Z1658" s="589"/>
      <c r="AA1658" s="589"/>
      <c r="AB1658" s="589"/>
      <c r="AC1658" s="589"/>
      <c r="AD1658" s="589"/>
      <c r="AE1658" s="589"/>
      <c r="AF1658" s="589"/>
      <c r="AG1658" s="589"/>
      <c r="AH1658" s="589"/>
      <c r="AI1658" s="589"/>
      <c r="AJ1658" s="589"/>
      <c r="AK1658" s="589"/>
      <c r="AL1658" s="589"/>
      <c r="AM1658" s="589"/>
      <c r="AN1658" s="589"/>
      <c r="AO1658" s="589"/>
      <c r="AP1658" s="589"/>
      <c r="AQ1658" s="589"/>
      <c r="AR1658" s="589"/>
      <c r="AS1658" s="589"/>
    </row>
    <row r="1659" spans="1:45" ht="15">
      <c r="A1659" s="590" t="s">
        <v>173</v>
      </c>
      <c r="B1659" s="590" t="s">
        <v>533</v>
      </c>
      <c r="C1659" s="590" t="s">
        <v>813</v>
      </c>
      <c r="D1659" s="593">
        <v>2018</v>
      </c>
      <c r="E1659" s="590" t="s">
        <v>775</v>
      </c>
      <c r="F1659" s="593">
        <v>141</v>
      </c>
      <c r="G1659" s="593">
        <v>0</v>
      </c>
      <c r="H1659" s="593">
        <v>0</v>
      </c>
      <c r="I1659" s="593">
        <v>0</v>
      </c>
      <c r="J1659" s="593">
        <v>95</v>
      </c>
      <c r="K1659" s="593">
        <v>0</v>
      </c>
      <c r="L1659" s="593">
        <v>0</v>
      </c>
      <c r="M1659" s="593">
        <v>0</v>
      </c>
      <c r="N1659" s="593">
        <v>110</v>
      </c>
      <c r="O1659" s="593">
        <v>0</v>
      </c>
      <c r="P1659" s="593">
        <v>254</v>
      </c>
      <c r="Q1659" s="593">
        <v>89</v>
      </c>
      <c r="R1659" s="593">
        <v>600</v>
      </c>
      <c r="S1659" s="593">
        <v>89</v>
      </c>
      <c r="T1659" s="593">
        <v>2018</v>
      </c>
      <c r="U1659" s="593">
        <v>2014</v>
      </c>
      <c r="V1659" s="589"/>
      <c r="W1659" s="589"/>
      <c r="X1659" s="589"/>
      <c r="Y1659" s="589"/>
      <c r="Z1659" s="589"/>
      <c r="AA1659" s="589"/>
      <c r="AB1659" s="589"/>
      <c r="AC1659" s="589"/>
      <c r="AD1659" s="589"/>
      <c r="AE1659" s="589"/>
      <c r="AF1659" s="589"/>
      <c r="AG1659" s="589"/>
      <c r="AH1659" s="589"/>
      <c r="AI1659" s="589"/>
      <c r="AJ1659" s="589"/>
      <c r="AK1659" s="589"/>
      <c r="AL1659" s="589"/>
      <c r="AM1659" s="589"/>
      <c r="AN1659" s="589"/>
      <c r="AO1659" s="589"/>
      <c r="AP1659" s="589"/>
      <c r="AQ1659" s="589"/>
      <c r="AR1659" s="589"/>
      <c r="AS1659" s="589"/>
    </row>
    <row r="1660" spans="1:45" ht="15">
      <c r="A1660" s="587" t="s">
        <v>195</v>
      </c>
      <c r="B1660" s="587" t="s">
        <v>703</v>
      </c>
      <c r="C1660" s="587" t="s">
        <v>811</v>
      </c>
      <c r="D1660" s="588">
        <v>2018</v>
      </c>
      <c r="E1660" s="587" t="s">
        <v>775</v>
      </c>
      <c r="F1660" s="588">
        <v>622</v>
      </c>
      <c r="G1660" s="588">
        <v>0</v>
      </c>
      <c r="H1660" s="588">
        <v>0</v>
      </c>
      <c r="I1660" s="588">
        <v>0</v>
      </c>
      <c r="J1660" s="588">
        <v>399</v>
      </c>
      <c r="K1660" s="588">
        <v>0</v>
      </c>
      <c r="L1660" s="588">
        <v>0</v>
      </c>
      <c r="M1660" s="588">
        <v>0</v>
      </c>
      <c r="N1660" s="588">
        <v>446</v>
      </c>
      <c r="O1660" s="588">
        <v>0</v>
      </c>
      <c r="P1660" s="588">
        <v>1104</v>
      </c>
      <c r="Q1660" s="588">
        <v>0</v>
      </c>
      <c r="R1660" s="588">
        <v>2571</v>
      </c>
      <c r="S1660" s="588">
        <v>0</v>
      </c>
      <c r="T1660" s="588">
        <v>2018</v>
      </c>
      <c r="U1660" s="588">
        <v>2016</v>
      </c>
      <c r="V1660" s="589"/>
      <c r="W1660" s="589"/>
      <c r="X1660" s="589"/>
      <c r="Y1660" s="589"/>
      <c r="Z1660" s="589"/>
      <c r="AA1660" s="589"/>
      <c r="AB1660" s="589"/>
      <c r="AC1660" s="589"/>
      <c r="AD1660" s="589"/>
      <c r="AE1660" s="589"/>
      <c r="AF1660" s="589"/>
      <c r="AG1660" s="589"/>
      <c r="AH1660" s="589"/>
      <c r="AI1660" s="589"/>
      <c r="AJ1660" s="589"/>
      <c r="AK1660" s="589"/>
      <c r="AL1660" s="589"/>
      <c r="AM1660" s="589"/>
      <c r="AN1660" s="589"/>
      <c r="AO1660" s="589"/>
      <c r="AP1660" s="589"/>
      <c r="AQ1660" s="589"/>
      <c r="AR1660" s="589"/>
      <c r="AS1660" s="589"/>
    </row>
    <row r="1661" spans="1:45" ht="15">
      <c r="A1661" s="590" t="s">
        <v>153</v>
      </c>
      <c r="B1661" s="590" t="s">
        <v>361</v>
      </c>
      <c r="C1661" s="590" t="s">
        <v>813</v>
      </c>
      <c r="D1661" s="593">
        <v>2018</v>
      </c>
      <c r="E1661" s="590" t="s">
        <v>775</v>
      </c>
      <c r="F1661" s="593">
        <v>23</v>
      </c>
      <c r="G1661" s="593">
        <v>0</v>
      </c>
      <c r="H1661" s="593">
        <v>0</v>
      </c>
      <c r="I1661" s="593">
        <v>0</v>
      </c>
      <c r="J1661" s="593">
        <v>14</v>
      </c>
      <c r="K1661" s="593">
        <v>0</v>
      </c>
      <c r="L1661" s="593">
        <v>0</v>
      </c>
      <c r="M1661" s="593">
        <v>0</v>
      </c>
      <c r="N1661" s="593">
        <v>14</v>
      </c>
      <c r="O1661" s="593">
        <v>0</v>
      </c>
      <c r="P1661" s="593">
        <v>35</v>
      </c>
      <c r="Q1661" s="593">
        <v>0</v>
      </c>
      <c r="R1661" s="593">
        <v>86</v>
      </c>
      <c r="S1661" s="593">
        <v>0</v>
      </c>
      <c r="T1661" s="593">
        <v>2018</v>
      </c>
      <c r="U1661" s="593">
        <v>2014</v>
      </c>
      <c r="V1661" s="589"/>
      <c r="W1661" s="589"/>
      <c r="X1661" s="589"/>
      <c r="Y1661" s="589"/>
      <c r="Z1661" s="589"/>
      <c r="AA1661" s="589"/>
      <c r="AB1661" s="589"/>
      <c r="AC1661" s="589"/>
      <c r="AD1661" s="589"/>
      <c r="AE1661" s="589"/>
      <c r="AF1661" s="589"/>
      <c r="AG1661" s="589"/>
      <c r="AH1661" s="589"/>
      <c r="AI1661" s="589"/>
      <c r="AJ1661" s="589"/>
      <c r="AK1661" s="589"/>
      <c r="AL1661" s="589"/>
      <c r="AM1661" s="589"/>
      <c r="AN1661" s="589"/>
      <c r="AO1661" s="589"/>
      <c r="AP1661" s="589"/>
      <c r="AQ1661" s="589"/>
      <c r="AR1661" s="589"/>
      <c r="AS1661" s="589"/>
    </row>
    <row r="1662" spans="1:45" ht="15">
      <c r="A1662" s="587" t="s">
        <v>131</v>
      </c>
      <c r="B1662" s="587" t="s">
        <v>257</v>
      </c>
      <c r="C1662" s="587" t="s">
        <v>787</v>
      </c>
      <c r="D1662" s="588">
        <v>2018</v>
      </c>
      <c r="E1662" s="587" t="s">
        <v>775</v>
      </c>
      <c r="F1662" s="588">
        <v>974</v>
      </c>
      <c r="G1662" s="588">
        <v>0</v>
      </c>
      <c r="H1662" s="588">
        <v>0</v>
      </c>
      <c r="I1662" s="588">
        <v>0</v>
      </c>
      <c r="J1662" s="588">
        <v>643</v>
      </c>
      <c r="K1662" s="588">
        <v>2</v>
      </c>
      <c r="L1662" s="588">
        <v>2</v>
      </c>
      <c r="M1662" s="588">
        <v>0</v>
      </c>
      <c r="N1662" s="588">
        <v>708</v>
      </c>
      <c r="O1662" s="588">
        <v>0</v>
      </c>
      <c r="P1662" s="588">
        <v>1638</v>
      </c>
      <c r="Q1662" s="588">
        <v>115</v>
      </c>
      <c r="R1662" s="588">
        <v>3963</v>
      </c>
      <c r="S1662" s="588">
        <v>117</v>
      </c>
      <c r="T1662" s="588">
        <v>2018</v>
      </c>
      <c r="U1662" s="588">
        <v>2014</v>
      </c>
      <c r="V1662" s="589"/>
      <c r="W1662" s="589"/>
      <c r="X1662" s="589"/>
      <c r="Y1662" s="589"/>
      <c r="Z1662" s="589"/>
      <c r="AA1662" s="589"/>
      <c r="AB1662" s="589"/>
      <c r="AC1662" s="589"/>
      <c r="AD1662" s="589"/>
      <c r="AE1662" s="589"/>
      <c r="AF1662" s="589"/>
      <c r="AG1662" s="589"/>
      <c r="AH1662" s="589"/>
      <c r="AI1662" s="589"/>
      <c r="AJ1662" s="589"/>
      <c r="AK1662" s="589"/>
      <c r="AL1662" s="589"/>
      <c r="AM1662" s="589"/>
      <c r="AN1662" s="589"/>
      <c r="AO1662" s="589"/>
      <c r="AP1662" s="589"/>
      <c r="AQ1662" s="589"/>
      <c r="AR1662" s="589"/>
      <c r="AS1662" s="589"/>
    </row>
    <row r="1663" spans="1:45" ht="15">
      <c r="A1663" s="590" t="s">
        <v>178</v>
      </c>
      <c r="B1663" s="590" t="s">
        <v>570</v>
      </c>
      <c r="C1663" s="590" t="s">
        <v>813</v>
      </c>
      <c r="D1663" s="593">
        <v>2018</v>
      </c>
      <c r="E1663" s="590" t="s">
        <v>775</v>
      </c>
      <c r="F1663" s="593">
        <v>707</v>
      </c>
      <c r="G1663" s="593">
        <v>0</v>
      </c>
      <c r="H1663" s="593">
        <v>0</v>
      </c>
      <c r="I1663" s="593">
        <v>0</v>
      </c>
      <c r="J1663" s="593">
        <v>478</v>
      </c>
      <c r="K1663" s="593">
        <v>0</v>
      </c>
      <c r="L1663" s="593">
        <v>0</v>
      </c>
      <c r="M1663" s="593">
        <v>0</v>
      </c>
      <c r="N1663" s="593">
        <v>533</v>
      </c>
      <c r="O1663" s="593">
        <v>0</v>
      </c>
      <c r="P1663" s="593">
        <v>1176</v>
      </c>
      <c r="Q1663" s="593">
        <v>521</v>
      </c>
      <c r="R1663" s="593">
        <v>2894</v>
      </c>
      <c r="S1663" s="593">
        <v>521</v>
      </c>
      <c r="T1663" s="593">
        <v>2018</v>
      </c>
      <c r="U1663" s="593">
        <v>2014</v>
      </c>
      <c r="V1663" s="589"/>
      <c r="W1663" s="589"/>
      <c r="X1663" s="589"/>
      <c r="Y1663" s="589"/>
      <c r="Z1663" s="589"/>
      <c r="AA1663" s="589"/>
      <c r="AB1663" s="589"/>
      <c r="AC1663" s="589"/>
      <c r="AD1663" s="589"/>
      <c r="AE1663" s="589"/>
      <c r="AF1663" s="589"/>
      <c r="AG1663" s="589"/>
      <c r="AH1663" s="589"/>
      <c r="AI1663" s="589"/>
      <c r="AJ1663" s="589"/>
      <c r="AK1663" s="589"/>
      <c r="AL1663" s="589"/>
      <c r="AM1663" s="589"/>
      <c r="AN1663" s="589"/>
      <c r="AO1663" s="589"/>
      <c r="AP1663" s="589"/>
      <c r="AQ1663" s="589"/>
      <c r="AR1663" s="589"/>
      <c r="AS1663" s="589"/>
    </row>
    <row r="1664" spans="1:45" ht="15">
      <c r="A1664" s="587" t="s">
        <v>178</v>
      </c>
      <c r="B1664" s="587" t="s">
        <v>571</v>
      </c>
      <c r="C1664" s="587" t="s">
        <v>813</v>
      </c>
      <c r="D1664" s="588">
        <v>2018</v>
      </c>
      <c r="E1664" s="587" t="s">
        <v>775</v>
      </c>
      <c r="F1664" s="588">
        <v>217</v>
      </c>
      <c r="G1664" s="588">
        <v>0</v>
      </c>
      <c r="H1664" s="588">
        <v>0</v>
      </c>
      <c r="I1664" s="588">
        <v>0</v>
      </c>
      <c r="J1664" s="588">
        <v>148</v>
      </c>
      <c r="K1664" s="588">
        <v>0</v>
      </c>
      <c r="L1664" s="588">
        <v>0</v>
      </c>
      <c r="M1664" s="588">
        <v>0</v>
      </c>
      <c r="N1664" s="588">
        <v>164</v>
      </c>
      <c r="O1664" s="588">
        <v>0</v>
      </c>
      <c r="P1664" s="588">
        <v>333</v>
      </c>
      <c r="Q1664" s="588">
        <v>224</v>
      </c>
      <c r="R1664" s="588">
        <v>862</v>
      </c>
      <c r="S1664" s="588">
        <v>224</v>
      </c>
      <c r="T1664" s="588">
        <v>2018</v>
      </c>
      <c r="U1664" s="588">
        <v>2014</v>
      </c>
      <c r="V1664" s="589"/>
      <c r="W1664" s="589"/>
      <c r="X1664" s="589"/>
      <c r="Y1664" s="589"/>
      <c r="Z1664" s="589"/>
      <c r="AA1664" s="589"/>
      <c r="AB1664" s="589"/>
      <c r="AC1664" s="589"/>
      <c r="AD1664" s="589"/>
      <c r="AE1664" s="589"/>
      <c r="AF1664" s="589"/>
      <c r="AG1664" s="589"/>
      <c r="AH1664" s="589"/>
      <c r="AI1664" s="589"/>
      <c r="AJ1664" s="589"/>
      <c r="AK1664" s="589"/>
      <c r="AL1664" s="589"/>
      <c r="AM1664" s="589"/>
      <c r="AN1664" s="589"/>
      <c r="AO1664" s="589"/>
      <c r="AP1664" s="589"/>
      <c r="AQ1664" s="589"/>
      <c r="AR1664" s="589"/>
      <c r="AS1664" s="589"/>
    </row>
    <row r="1665" spans="1:45" ht="15">
      <c r="A1665" s="590" t="s">
        <v>156</v>
      </c>
      <c r="B1665" s="590" t="s">
        <v>434</v>
      </c>
      <c r="C1665" s="590" t="s">
        <v>820</v>
      </c>
      <c r="D1665" s="593">
        <v>2018</v>
      </c>
      <c r="E1665" s="590" t="s">
        <v>775</v>
      </c>
      <c r="F1665" s="593">
        <v>0</v>
      </c>
      <c r="G1665" s="593">
        <v>0</v>
      </c>
      <c r="H1665" s="593">
        <v>0</v>
      </c>
      <c r="I1665" s="593">
        <v>0</v>
      </c>
      <c r="J1665" s="593">
        <v>0</v>
      </c>
      <c r="K1665" s="593">
        <v>0</v>
      </c>
      <c r="L1665" s="593">
        <v>0</v>
      </c>
      <c r="M1665" s="593">
        <v>0</v>
      </c>
      <c r="N1665" s="593">
        <v>0</v>
      </c>
      <c r="O1665" s="593">
        <v>20</v>
      </c>
      <c r="P1665" s="593">
        <v>0</v>
      </c>
      <c r="Q1665" s="593">
        <v>0</v>
      </c>
      <c r="R1665" s="593">
        <v>0</v>
      </c>
      <c r="S1665" s="593">
        <v>20</v>
      </c>
      <c r="T1665" s="593">
        <v>2018</v>
      </c>
      <c r="U1665" s="593">
        <v>2016</v>
      </c>
      <c r="V1665" s="589"/>
      <c r="W1665" s="589"/>
      <c r="X1665" s="589"/>
      <c r="Y1665" s="589"/>
      <c r="Z1665" s="589"/>
      <c r="AA1665" s="589"/>
      <c r="AB1665" s="589"/>
      <c r="AC1665" s="589"/>
      <c r="AD1665" s="589"/>
      <c r="AE1665" s="589"/>
      <c r="AF1665" s="589"/>
      <c r="AG1665" s="589"/>
      <c r="AH1665" s="589"/>
      <c r="AI1665" s="589"/>
      <c r="AJ1665" s="589"/>
      <c r="AK1665" s="589"/>
      <c r="AL1665" s="589"/>
      <c r="AM1665" s="589"/>
      <c r="AN1665" s="589"/>
      <c r="AO1665" s="589"/>
      <c r="AP1665" s="589"/>
      <c r="AQ1665" s="589"/>
      <c r="AR1665" s="589"/>
      <c r="AS1665" s="589"/>
    </row>
    <row r="1666" spans="1:45" ht="15">
      <c r="A1666" s="587" t="s">
        <v>179</v>
      </c>
      <c r="B1666" s="587" t="s">
        <v>591</v>
      </c>
      <c r="C1666" s="587" t="s">
        <v>856</v>
      </c>
      <c r="D1666" s="588">
        <v>2018</v>
      </c>
      <c r="E1666" s="587" t="s">
        <v>775</v>
      </c>
      <c r="F1666" s="588">
        <v>3209</v>
      </c>
      <c r="G1666" s="588">
        <v>0</v>
      </c>
      <c r="H1666" s="588">
        <v>0</v>
      </c>
      <c r="I1666" s="588">
        <v>0</v>
      </c>
      <c r="J1666" s="588">
        <v>2439</v>
      </c>
      <c r="K1666" s="588">
        <v>0</v>
      </c>
      <c r="L1666" s="588">
        <v>0</v>
      </c>
      <c r="M1666" s="588">
        <v>0</v>
      </c>
      <c r="N1666" s="588">
        <v>2257</v>
      </c>
      <c r="O1666" s="588">
        <v>0</v>
      </c>
      <c r="P1666" s="588">
        <v>4956</v>
      </c>
      <c r="Q1666" s="588">
        <v>1777</v>
      </c>
      <c r="R1666" s="588">
        <v>12861</v>
      </c>
      <c r="S1666" s="588">
        <v>1777</v>
      </c>
      <c r="T1666" s="588">
        <v>2018</v>
      </c>
      <c r="U1666" s="588">
        <v>2013</v>
      </c>
      <c r="V1666" s="589"/>
      <c r="W1666" s="589"/>
      <c r="X1666" s="589"/>
      <c r="Y1666" s="589"/>
      <c r="Z1666" s="589"/>
      <c r="AA1666" s="589"/>
      <c r="AB1666" s="589"/>
      <c r="AC1666" s="589"/>
      <c r="AD1666" s="589"/>
      <c r="AE1666" s="589"/>
      <c r="AF1666" s="589"/>
      <c r="AG1666" s="589"/>
      <c r="AH1666" s="589"/>
      <c r="AI1666" s="589"/>
      <c r="AJ1666" s="589"/>
      <c r="AK1666" s="589"/>
      <c r="AL1666" s="589"/>
      <c r="AM1666" s="589"/>
      <c r="AN1666" s="589"/>
      <c r="AO1666" s="589"/>
      <c r="AP1666" s="589"/>
      <c r="AQ1666" s="589"/>
      <c r="AR1666" s="589"/>
      <c r="AS1666" s="589"/>
    </row>
    <row r="1667" spans="1:45" ht="15">
      <c r="A1667" s="590" t="s">
        <v>174</v>
      </c>
      <c r="B1667" s="590" t="s">
        <v>556</v>
      </c>
      <c r="C1667" s="590" t="s">
        <v>801</v>
      </c>
      <c r="D1667" s="593">
        <v>2018</v>
      </c>
      <c r="E1667" s="590" t="s">
        <v>775</v>
      </c>
      <c r="F1667" s="593">
        <v>146</v>
      </c>
      <c r="G1667" s="593">
        <v>2</v>
      </c>
      <c r="H1667" s="593">
        <v>0</v>
      </c>
      <c r="I1667" s="593">
        <v>2</v>
      </c>
      <c r="J1667" s="593">
        <v>102</v>
      </c>
      <c r="K1667" s="593">
        <v>0</v>
      </c>
      <c r="L1667" s="593">
        <v>0</v>
      </c>
      <c r="M1667" s="593">
        <v>0</v>
      </c>
      <c r="N1667" s="593">
        <v>130</v>
      </c>
      <c r="O1667" s="593">
        <v>0</v>
      </c>
      <c r="P1667" s="593">
        <v>318</v>
      </c>
      <c r="Q1667" s="593">
        <v>16</v>
      </c>
      <c r="R1667" s="593">
        <v>696</v>
      </c>
      <c r="S1667" s="593">
        <v>18</v>
      </c>
      <c r="T1667" s="593">
        <v>2018</v>
      </c>
      <c r="U1667" s="593">
        <v>2014</v>
      </c>
      <c r="V1667" s="589"/>
      <c r="W1667" s="589"/>
      <c r="X1667" s="589"/>
      <c r="Y1667" s="589"/>
      <c r="Z1667" s="589"/>
      <c r="AA1667" s="589"/>
      <c r="AB1667" s="589"/>
      <c r="AC1667" s="589"/>
      <c r="AD1667" s="589"/>
      <c r="AE1667" s="589"/>
      <c r="AF1667" s="589"/>
      <c r="AG1667" s="589"/>
      <c r="AH1667" s="589"/>
      <c r="AI1667" s="589"/>
      <c r="AJ1667" s="589"/>
      <c r="AK1667" s="589"/>
      <c r="AL1667" s="589"/>
      <c r="AM1667" s="589"/>
      <c r="AN1667" s="589"/>
      <c r="AO1667" s="589"/>
      <c r="AP1667" s="589"/>
      <c r="AQ1667" s="589"/>
      <c r="AR1667" s="589"/>
      <c r="AS1667" s="589"/>
    </row>
    <row r="1668" spans="1:45" ht="15">
      <c r="A1668" s="587" t="s">
        <v>153</v>
      </c>
      <c r="B1668" s="587" t="s">
        <v>362</v>
      </c>
      <c r="C1668" s="587" t="s">
        <v>813</v>
      </c>
      <c r="D1668" s="588">
        <v>2018</v>
      </c>
      <c r="E1668" s="587" t="s">
        <v>775</v>
      </c>
      <c r="F1668" s="588">
        <v>98</v>
      </c>
      <c r="G1668" s="588">
        <v>0</v>
      </c>
      <c r="H1668" s="588">
        <v>0</v>
      </c>
      <c r="I1668" s="588">
        <v>0</v>
      </c>
      <c r="J1668" s="588">
        <v>59</v>
      </c>
      <c r="K1668" s="588">
        <v>0</v>
      </c>
      <c r="L1668" s="588">
        <v>0</v>
      </c>
      <c r="M1668" s="588">
        <v>0</v>
      </c>
      <c r="N1668" s="588">
        <v>64</v>
      </c>
      <c r="O1668" s="588">
        <v>7</v>
      </c>
      <c r="P1668" s="588">
        <v>152</v>
      </c>
      <c r="Q1668" s="588">
        <v>30</v>
      </c>
      <c r="R1668" s="588">
        <v>373</v>
      </c>
      <c r="S1668" s="588">
        <v>37</v>
      </c>
      <c r="T1668" s="588">
        <v>2018</v>
      </c>
      <c r="U1668" s="588">
        <v>2014</v>
      </c>
      <c r="V1668" s="589"/>
      <c r="W1668" s="589"/>
      <c r="X1668" s="589"/>
      <c r="Y1668" s="589"/>
      <c r="Z1668" s="589"/>
      <c r="AA1668" s="589"/>
      <c r="AB1668" s="589"/>
      <c r="AC1668" s="589"/>
      <c r="AD1668" s="589"/>
      <c r="AE1668" s="589"/>
      <c r="AF1668" s="589"/>
      <c r="AG1668" s="589"/>
      <c r="AH1668" s="589"/>
      <c r="AI1668" s="589"/>
      <c r="AJ1668" s="589"/>
      <c r="AK1668" s="589"/>
      <c r="AL1668" s="589"/>
      <c r="AM1668" s="589"/>
      <c r="AN1668" s="589"/>
      <c r="AO1668" s="589"/>
      <c r="AP1668" s="589"/>
      <c r="AQ1668" s="589"/>
      <c r="AR1668" s="589"/>
      <c r="AS1668" s="589"/>
    </row>
    <row r="1669" spans="1:45" ht="15">
      <c r="A1669" s="590" t="s">
        <v>136</v>
      </c>
      <c r="B1669" s="590" t="s">
        <v>267</v>
      </c>
      <c r="C1669" s="590" t="s">
        <v>782</v>
      </c>
      <c r="D1669" s="593">
        <v>2018</v>
      </c>
      <c r="E1669" s="590" t="s">
        <v>775</v>
      </c>
      <c r="F1669" s="593">
        <v>51</v>
      </c>
      <c r="G1669" s="593">
        <v>0</v>
      </c>
      <c r="H1669" s="593">
        <v>0</v>
      </c>
      <c r="I1669" s="593">
        <v>0</v>
      </c>
      <c r="J1669" s="593">
        <v>25</v>
      </c>
      <c r="K1669" s="593">
        <v>0</v>
      </c>
      <c r="L1669" s="593">
        <v>0</v>
      </c>
      <c r="M1669" s="593">
        <v>0</v>
      </c>
      <c r="N1669" s="593">
        <v>31</v>
      </c>
      <c r="O1669" s="593">
        <v>0</v>
      </c>
      <c r="P1669" s="593">
        <v>34</v>
      </c>
      <c r="Q1669" s="593">
        <v>0</v>
      </c>
      <c r="R1669" s="593">
        <v>141</v>
      </c>
      <c r="S1669" s="593">
        <v>0</v>
      </c>
      <c r="T1669" s="593">
        <v>2018</v>
      </c>
      <c r="U1669" s="593">
        <v>2015</v>
      </c>
      <c r="V1669" s="589"/>
      <c r="W1669" s="589"/>
      <c r="X1669" s="589"/>
      <c r="Y1669" s="589"/>
      <c r="Z1669" s="589"/>
      <c r="AA1669" s="589"/>
      <c r="AB1669" s="589"/>
      <c r="AC1669" s="589"/>
      <c r="AD1669" s="589"/>
      <c r="AE1669" s="589"/>
      <c r="AF1669" s="589"/>
      <c r="AG1669" s="589"/>
      <c r="AH1669" s="589"/>
      <c r="AI1669" s="589"/>
      <c r="AJ1669" s="589"/>
      <c r="AK1669" s="589"/>
      <c r="AL1669" s="589"/>
      <c r="AM1669" s="589"/>
      <c r="AN1669" s="589"/>
      <c r="AO1669" s="589"/>
      <c r="AP1669" s="589"/>
      <c r="AQ1669" s="589"/>
      <c r="AR1669" s="589"/>
      <c r="AS1669" s="589"/>
    </row>
    <row r="1670" spans="1:45" ht="15">
      <c r="A1670" s="587" t="s">
        <v>151</v>
      </c>
      <c r="B1670" s="587" t="s">
        <v>341</v>
      </c>
      <c r="C1670" s="587" t="s">
        <v>785</v>
      </c>
      <c r="D1670" s="588">
        <v>2018</v>
      </c>
      <c r="E1670" s="587" t="s">
        <v>775</v>
      </c>
      <c r="F1670" s="588">
        <v>108</v>
      </c>
      <c r="G1670" s="588">
        <v>1</v>
      </c>
      <c r="H1670" s="588">
        <v>0</v>
      </c>
      <c r="I1670" s="588">
        <v>1</v>
      </c>
      <c r="J1670" s="588">
        <v>67</v>
      </c>
      <c r="K1670" s="588">
        <v>1</v>
      </c>
      <c r="L1670" s="588">
        <v>0</v>
      </c>
      <c r="M1670" s="588">
        <v>1</v>
      </c>
      <c r="N1670" s="588">
        <v>87</v>
      </c>
      <c r="O1670" s="588">
        <v>2</v>
      </c>
      <c r="P1670" s="588">
        <v>205</v>
      </c>
      <c r="Q1670" s="588">
        <v>5</v>
      </c>
      <c r="R1670" s="588">
        <v>467</v>
      </c>
      <c r="S1670" s="588">
        <v>9</v>
      </c>
      <c r="T1670" s="588">
        <v>2018</v>
      </c>
      <c r="U1670" s="588">
        <v>2014</v>
      </c>
      <c r="V1670" s="589"/>
      <c r="W1670" s="589"/>
      <c r="X1670" s="589"/>
      <c r="Y1670" s="589"/>
      <c r="Z1670" s="589"/>
      <c r="AA1670" s="589"/>
      <c r="AB1670" s="589"/>
      <c r="AC1670" s="589"/>
      <c r="AD1670" s="589"/>
      <c r="AE1670" s="589"/>
      <c r="AF1670" s="589"/>
      <c r="AG1670" s="589"/>
      <c r="AH1670" s="589"/>
      <c r="AI1670" s="589"/>
      <c r="AJ1670" s="589"/>
      <c r="AK1670" s="589"/>
      <c r="AL1670" s="589"/>
      <c r="AM1670" s="589"/>
      <c r="AN1670" s="589"/>
      <c r="AO1670" s="589"/>
      <c r="AP1670" s="589"/>
      <c r="AQ1670" s="589"/>
      <c r="AR1670" s="589"/>
      <c r="AS1670" s="589"/>
    </row>
    <row r="1671" spans="1:45" ht="15">
      <c r="A1671" s="590" t="s">
        <v>193</v>
      </c>
      <c r="B1671" s="590" t="s">
        <v>694</v>
      </c>
      <c r="C1671" s="590" t="s">
        <v>782</v>
      </c>
      <c r="D1671" s="593">
        <v>2018</v>
      </c>
      <c r="E1671" s="590" t="s">
        <v>775</v>
      </c>
      <c r="F1671" s="593">
        <v>39</v>
      </c>
      <c r="G1671" s="593">
        <v>0</v>
      </c>
      <c r="H1671" s="593">
        <v>0</v>
      </c>
      <c r="I1671" s="593">
        <v>0</v>
      </c>
      <c r="J1671" s="593">
        <v>29</v>
      </c>
      <c r="K1671" s="593">
        <v>0</v>
      </c>
      <c r="L1671" s="593">
        <v>0</v>
      </c>
      <c r="M1671" s="593">
        <v>0</v>
      </c>
      <c r="N1671" s="593">
        <v>31</v>
      </c>
      <c r="O1671" s="593">
        <v>0</v>
      </c>
      <c r="P1671" s="593">
        <v>112</v>
      </c>
      <c r="Q1671" s="593">
        <v>14</v>
      </c>
      <c r="R1671" s="593">
        <v>211</v>
      </c>
      <c r="S1671" s="593">
        <v>14</v>
      </c>
      <c r="T1671" s="593">
        <v>2018</v>
      </c>
      <c r="U1671" s="593">
        <v>2015</v>
      </c>
      <c r="V1671" s="589"/>
      <c r="W1671" s="589"/>
      <c r="X1671" s="589"/>
      <c r="Y1671" s="589"/>
      <c r="Z1671" s="589"/>
      <c r="AA1671" s="589"/>
      <c r="AB1671" s="589"/>
      <c r="AC1671" s="589"/>
      <c r="AD1671" s="589"/>
      <c r="AE1671" s="589"/>
      <c r="AF1671" s="589"/>
      <c r="AG1671" s="589"/>
      <c r="AH1671" s="589"/>
      <c r="AI1671" s="589"/>
      <c r="AJ1671" s="589"/>
      <c r="AK1671" s="589"/>
      <c r="AL1671" s="589"/>
      <c r="AM1671" s="589"/>
      <c r="AN1671" s="589"/>
      <c r="AO1671" s="589"/>
      <c r="AP1671" s="589"/>
      <c r="AQ1671" s="589"/>
      <c r="AR1671" s="589"/>
      <c r="AS1671" s="589"/>
    </row>
    <row r="1672" spans="1:45" ht="15">
      <c r="A1672" s="587" t="s">
        <v>141</v>
      </c>
      <c r="B1672" s="587" t="s">
        <v>290</v>
      </c>
      <c r="C1672" s="587" t="s">
        <v>811</v>
      </c>
      <c r="D1672" s="588">
        <v>2018</v>
      </c>
      <c r="E1672" s="587" t="s">
        <v>775</v>
      </c>
      <c r="F1672" s="588">
        <v>2321</v>
      </c>
      <c r="G1672" s="588">
        <v>0</v>
      </c>
      <c r="H1672" s="588">
        <v>0</v>
      </c>
      <c r="I1672" s="588">
        <v>0</v>
      </c>
      <c r="J1672" s="588">
        <v>1145</v>
      </c>
      <c r="K1672" s="588">
        <v>2</v>
      </c>
      <c r="L1672" s="588">
        <v>2</v>
      </c>
      <c r="M1672" s="588">
        <v>0</v>
      </c>
      <c r="N1672" s="588">
        <v>1018</v>
      </c>
      <c r="O1672" s="588">
        <v>411</v>
      </c>
      <c r="P1672" s="588">
        <v>1844</v>
      </c>
      <c r="Q1672" s="588">
        <v>694</v>
      </c>
      <c r="R1672" s="588">
        <v>6328</v>
      </c>
      <c r="S1672" s="588">
        <v>1107</v>
      </c>
      <c r="T1672" s="588">
        <v>2018</v>
      </c>
      <c r="U1672" s="588">
        <v>2016</v>
      </c>
      <c r="V1672" s="589"/>
      <c r="W1672" s="589"/>
      <c r="X1672" s="589"/>
      <c r="Y1672" s="589"/>
      <c r="Z1672" s="589"/>
      <c r="AA1672" s="589"/>
      <c r="AB1672" s="589"/>
      <c r="AC1672" s="589"/>
      <c r="AD1672" s="589"/>
      <c r="AE1672" s="589"/>
      <c r="AF1672" s="589"/>
      <c r="AG1672" s="589"/>
      <c r="AH1672" s="589"/>
      <c r="AI1672" s="589"/>
      <c r="AJ1672" s="589"/>
      <c r="AK1672" s="589"/>
      <c r="AL1672" s="589"/>
      <c r="AM1672" s="589"/>
      <c r="AN1672" s="589"/>
      <c r="AO1672" s="589"/>
      <c r="AP1672" s="589"/>
      <c r="AQ1672" s="589"/>
      <c r="AR1672" s="589"/>
      <c r="AS1672" s="589"/>
    </row>
    <row r="1673" spans="1:45" ht="15">
      <c r="A1673" s="590" t="s">
        <v>173</v>
      </c>
      <c r="B1673" s="590" t="s">
        <v>534</v>
      </c>
      <c r="C1673" s="590" t="s">
        <v>813</v>
      </c>
      <c r="D1673" s="593">
        <v>2018</v>
      </c>
      <c r="E1673" s="590" t="s">
        <v>775</v>
      </c>
      <c r="F1673" s="593">
        <v>1555</v>
      </c>
      <c r="G1673" s="593">
        <v>0</v>
      </c>
      <c r="H1673" s="593">
        <v>0</v>
      </c>
      <c r="I1673" s="593">
        <v>0</v>
      </c>
      <c r="J1673" s="593">
        <v>1059</v>
      </c>
      <c r="K1673" s="593">
        <v>0</v>
      </c>
      <c r="L1673" s="593">
        <v>0</v>
      </c>
      <c r="M1673" s="593">
        <v>0</v>
      </c>
      <c r="N1673" s="593">
        <v>1212</v>
      </c>
      <c r="O1673" s="593">
        <v>0</v>
      </c>
      <c r="P1673" s="593">
        <v>2945</v>
      </c>
      <c r="Q1673" s="593">
        <v>0</v>
      </c>
      <c r="R1673" s="593">
        <v>6771</v>
      </c>
      <c r="S1673" s="593">
        <v>0</v>
      </c>
      <c r="T1673" s="593">
        <v>2018</v>
      </c>
      <c r="U1673" s="593">
        <v>2014</v>
      </c>
      <c r="V1673" s="589"/>
      <c r="W1673" s="589"/>
      <c r="X1673" s="589"/>
      <c r="Y1673" s="589"/>
      <c r="Z1673" s="589"/>
      <c r="AA1673" s="589"/>
      <c r="AB1673" s="589"/>
      <c r="AC1673" s="589"/>
      <c r="AD1673" s="589"/>
      <c r="AE1673" s="589"/>
      <c r="AF1673" s="589"/>
      <c r="AG1673" s="589"/>
      <c r="AH1673" s="589"/>
      <c r="AI1673" s="589"/>
      <c r="AJ1673" s="589"/>
      <c r="AK1673" s="589"/>
      <c r="AL1673" s="589"/>
      <c r="AM1673" s="589"/>
      <c r="AN1673" s="589"/>
      <c r="AO1673" s="589"/>
      <c r="AP1673" s="589"/>
      <c r="AQ1673" s="589"/>
      <c r="AR1673" s="589"/>
      <c r="AS1673" s="589"/>
    </row>
    <row r="1674" spans="1:45" ht="15">
      <c r="A1674" s="587" t="s">
        <v>141</v>
      </c>
      <c r="B1674" s="587" t="s">
        <v>291</v>
      </c>
      <c r="C1674" s="587" t="s">
        <v>811</v>
      </c>
      <c r="D1674" s="588">
        <v>2018</v>
      </c>
      <c r="E1674" s="587" t="s">
        <v>775</v>
      </c>
      <c r="F1674" s="588">
        <v>150</v>
      </c>
      <c r="G1674" s="588">
        <v>0</v>
      </c>
      <c r="H1674" s="588">
        <v>0</v>
      </c>
      <c r="I1674" s="588">
        <v>0</v>
      </c>
      <c r="J1674" s="588">
        <v>115</v>
      </c>
      <c r="K1674" s="588">
        <v>0</v>
      </c>
      <c r="L1674" s="588">
        <v>0</v>
      </c>
      <c r="M1674" s="588">
        <v>0</v>
      </c>
      <c r="N1674" s="588">
        <v>123</v>
      </c>
      <c r="O1674" s="588">
        <v>14</v>
      </c>
      <c r="P1674" s="588">
        <v>201</v>
      </c>
      <c r="Q1674" s="588">
        <v>30</v>
      </c>
      <c r="R1674" s="588">
        <v>589</v>
      </c>
      <c r="S1674" s="588">
        <v>44</v>
      </c>
      <c r="T1674" s="588">
        <v>2018</v>
      </c>
      <c r="U1674" s="588">
        <v>2016</v>
      </c>
      <c r="V1674" s="589"/>
      <c r="W1674" s="589"/>
      <c r="X1674" s="589"/>
      <c r="Y1674" s="589"/>
      <c r="Z1674" s="589"/>
      <c r="AA1674" s="589"/>
      <c r="AB1674" s="589"/>
      <c r="AC1674" s="589"/>
      <c r="AD1674" s="589"/>
      <c r="AE1674" s="589"/>
      <c r="AF1674" s="589"/>
      <c r="AG1674" s="589"/>
      <c r="AH1674" s="589"/>
      <c r="AI1674" s="589"/>
      <c r="AJ1674" s="589"/>
      <c r="AK1674" s="589"/>
      <c r="AL1674" s="589"/>
      <c r="AM1674" s="589"/>
      <c r="AN1674" s="589"/>
      <c r="AO1674" s="589"/>
      <c r="AP1674" s="589"/>
      <c r="AQ1674" s="589"/>
      <c r="AR1674" s="589"/>
      <c r="AS1674" s="589"/>
    </row>
    <row r="1675" spans="1:45" ht="15">
      <c r="A1675" s="590" t="s">
        <v>170</v>
      </c>
      <c r="B1675" s="590" t="s">
        <v>520</v>
      </c>
      <c r="C1675" s="590" t="s">
        <v>801</v>
      </c>
      <c r="D1675" s="593">
        <v>2018</v>
      </c>
      <c r="E1675" s="590" t="s">
        <v>775</v>
      </c>
      <c r="F1675" s="593">
        <v>10</v>
      </c>
      <c r="G1675" s="593">
        <v>0</v>
      </c>
      <c r="H1675" s="593">
        <v>0</v>
      </c>
      <c r="I1675" s="593">
        <v>0</v>
      </c>
      <c r="J1675" s="593">
        <v>7</v>
      </c>
      <c r="K1675" s="593">
        <v>0</v>
      </c>
      <c r="L1675" s="593">
        <v>0</v>
      </c>
      <c r="M1675" s="593">
        <v>0</v>
      </c>
      <c r="N1675" s="593">
        <v>10</v>
      </c>
      <c r="O1675" s="593">
        <v>0</v>
      </c>
      <c r="P1675" s="593">
        <v>24</v>
      </c>
      <c r="Q1675" s="593">
        <v>0</v>
      </c>
      <c r="R1675" s="593">
        <v>51</v>
      </c>
      <c r="S1675" s="593">
        <v>0</v>
      </c>
      <c r="T1675" s="593">
        <v>2018</v>
      </c>
      <c r="U1675" s="593">
        <v>2014</v>
      </c>
      <c r="V1675" s="589"/>
      <c r="W1675" s="589"/>
      <c r="X1675" s="589"/>
      <c r="Y1675" s="589"/>
      <c r="Z1675" s="589"/>
      <c r="AA1675" s="589"/>
      <c r="AB1675" s="589"/>
      <c r="AC1675" s="589"/>
      <c r="AD1675" s="589"/>
      <c r="AE1675" s="589"/>
      <c r="AF1675" s="589"/>
      <c r="AG1675" s="589"/>
      <c r="AH1675" s="589"/>
      <c r="AI1675" s="589"/>
      <c r="AJ1675" s="589"/>
      <c r="AK1675" s="589"/>
      <c r="AL1675" s="589"/>
      <c r="AM1675" s="589"/>
      <c r="AN1675" s="589"/>
      <c r="AO1675" s="589"/>
      <c r="AP1675" s="589"/>
      <c r="AQ1675" s="589"/>
      <c r="AR1675" s="589"/>
      <c r="AS1675" s="589"/>
    </row>
    <row r="1676" spans="1:45" ht="15">
      <c r="A1676" s="587" t="s">
        <v>184</v>
      </c>
      <c r="B1676" s="587" t="s">
        <v>627</v>
      </c>
      <c r="C1676" s="587" t="s">
        <v>782</v>
      </c>
      <c r="D1676" s="588">
        <v>2018</v>
      </c>
      <c r="E1676" s="587" t="s">
        <v>775</v>
      </c>
      <c r="F1676" s="588">
        <v>20</v>
      </c>
      <c r="G1676" s="588">
        <v>31</v>
      </c>
      <c r="H1676" s="588">
        <v>31</v>
      </c>
      <c r="I1676" s="588">
        <v>0</v>
      </c>
      <c r="J1676" s="588">
        <v>8</v>
      </c>
      <c r="K1676" s="588">
        <v>34</v>
      </c>
      <c r="L1676" s="588">
        <v>34</v>
      </c>
      <c r="M1676" s="588">
        <v>0</v>
      </c>
      <c r="N1676" s="588">
        <v>9</v>
      </c>
      <c r="O1676" s="588">
        <v>0</v>
      </c>
      <c r="P1676" s="588">
        <v>22</v>
      </c>
      <c r="Q1676" s="588">
        <v>4</v>
      </c>
      <c r="R1676" s="588">
        <v>59</v>
      </c>
      <c r="S1676" s="588">
        <v>69</v>
      </c>
      <c r="T1676" s="588">
        <v>2018</v>
      </c>
      <c r="U1676" s="588">
        <v>2015</v>
      </c>
      <c r="V1676" s="589"/>
      <c r="W1676" s="589"/>
      <c r="X1676" s="589"/>
      <c r="Y1676" s="589"/>
      <c r="Z1676" s="589"/>
      <c r="AA1676" s="589"/>
      <c r="AB1676" s="589"/>
      <c r="AC1676" s="589"/>
      <c r="AD1676" s="589"/>
      <c r="AE1676" s="589"/>
      <c r="AF1676" s="589"/>
      <c r="AG1676" s="589"/>
      <c r="AH1676" s="589"/>
      <c r="AI1676" s="589"/>
      <c r="AJ1676" s="589"/>
      <c r="AK1676" s="589"/>
      <c r="AL1676" s="589"/>
      <c r="AM1676" s="589"/>
      <c r="AN1676" s="589"/>
      <c r="AO1676" s="589"/>
      <c r="AP1676" s="589"/>
      <c r="AQ1676" s="589"/>
      <c r="AR1676" s="589"/>
      <c r="AS1676" s="589"/>
    </row>
    <row r="1677" spans="1:45" ht="15">
      <c r="A1677" s="590" t="s">
        <v>178</v>
      </c>
      <c r="B1677" s="591" t="s">
        <v>572</v>
      </c>
      <c r="C1677" s="591" t="s">
        <v>813</v>
      </c>
      <c r="D1677" s="592">
        <v>2018</v>
      </c>
      <c r="E1677" s="591" t="s">
        <v>775</v>
      </c>
      <c r="F1677" s="592">
        <v>443</v>
      </c>
      <c r="G1677" s="592">
        <v>0</v>
      </c>
      <c r="H1677" s="592">
        <v>0</v>
      </c>
      <c r="I1677" s="592">
        <v>0</v>
      </c>
      <c r="J1677" s="592">
        <v>302</v>
      </c>
      <c r="K1677" s="592">
        <v>0</v>
      </c>
      <c r="L1677" s="592">
        <v>0</v>
      </c>
      <c r="M1677" s="592">
        <v>0</v>
      </c>
      <c r="N1677" s="593">
        <v>347</v>
      </c>
      <c r="O1677" s="593">
        <v>0</v>
      </c>
      <c r="P1677" s="593">
        <v>831</v>
      </c>
      <c r="Q1677" s="593">
        <v>69</v>
      </c>
      <c r="R1677" s="593">
        <v>1923</v>
      </c>
      <c r="S1677" s="593">
        <v>69</v>
      </c>
      <c r="T1677" s="593">
        <v>2018</v>
      </c>
      <c r="U1677" s="593">
        <v>2014</v>
      </c>
      <c r="V1677" s="589"/>
      <c r="W1677" s="589"/>
      <c r="X1677" s="589"/>
      <c r="Y1677" s="589"/>
      <c r="Z1677" s="589"/>
      <c r="AA1677" s="589"/>
      <c r="AB1677" s="589"/>
      <c r="AC1677" s="589"/>
      <c r="AD1677" s="589"/>
      <c r="AE1677" s="589"/>
      <c r="AF1677" s="589"/>
      <c r="AG1677" s="589"/>
      <c r="AH1677" s="589"/>
      <c r="AI1677" s="589"/>
      <c r="AJ1677" s="589"/>
      <c r="AK1677" s="589"/>
      <c r="AL1677" s="589"/>
      <c r="AM1677" s="589"/>
      <c r="AN1677" s="589"/>
      <c r="AO1677" s="589"/>
      <c r="AP1677" s="589"/>
      <c r="AQ1677" s="589"/>
      <c r="AR1677" s="589"/>
      <c r="AS1677" s="589"/>
    </row>
    <row r="1678" spans="1:45" ht="15">
      <c r="A1678" s="587" t="s">
        <v>135</v>
      </c>
      <c r="B1678" s="587" t="s">
        <v>135</v>
      </c>
      <c r="C1678" s="587" t="s">
        <v>785</v>
      </c>
      <c r="D1678" s="588">
        <v>2018</v>
      </c>
      <c r="E1678" s="587" t="s">
        <v>775</v>
      </c>
      <c r="F1678" s="588">
        <v>79</v>
      </c>
      <c r="G1678" s="588">
        <v>0</v>
      </c>
      <c r="H1678" s="588">
        <v>0</v>
      </c>
      <c r="I1678" s="588">
        <v>0</v>
      </c>
      <c r="J1678" s="588">
        <v>64</v>
      </c>
      <c r="K1678" s="588">
        <v>0</v>
      </c>
      <c r="L1678" s="588">
        <v>0</v>
      </c>
      <c r="M1678" s="588">
        <v>0</v>
      </c>
      <c r="N1678" s="588">
        <v>61</v>
      </c>
      <c r="O1678" s="588">
        <v>0</v>
      </c>
      <c r="P1678" s="588">
        <v>150</v>
      </c>
      <c r="Q1678" s="588">
        <v>9</v>
      </c>
      <c r="R1678" s="588">
        <v>354</v>
      </c>
      <c r="S1678" s="588">
        <v>9</v>
      </c>
      <c r="T1678" s="588">
        <v>2018</v>
      </c>
      <c r="U1678" s="588">
        <v>2014</v>
      </c>
      <c r="V1678" s="589"/>
      <c r="W1678" s="589"/>
      <c r="X1678" s="589"/>
      <c r="Y1678" s="589"/>
      <c r="Z1678" s="589"/>
      <c r="AA1678" s="589"/>
      <c r="AB1678" s="589"/>
      <c r="AC1678" s="589"/>
      <c r="AD1678" s="589"/>
      <c r="AE1678" s="589"/>
      <c r="AF1678" s="589"/>
      <c r="AG1678" s="589"/>
      <c r="AH1678" s="589"/>
      <c r="AI1678" s="589"/>
      <c r="AJ1678" s="589"/>
      <c r="AK1678" s="589"/>
      <c r="AL1678" s="589"/>
      <c r="AM1678" s="589"/>
      <c r="AN1678" s="589"/>
      <c r="AO1678" s="589"/>
      <c r="AP1678" s="589"/>
      <c r="AQ1678" s="589"/>
      <c r="AR1678" s="589"/>
      <c r="AS1678" s="589"/>
    </row>
    <row r="1679" spans="1:45" ht="15">
      <c r="A1679" s="590" t="s">
        <v>135</v>
      </c>
      <c r="B1679" s="591" t="s">
        <v>263</v>
      </c>
      <c r="C1679" s="591" t="s">
        <v>785</v>
      </c>
      <c r="D1679" s="592">
        <v>2018</v>
      </c>
      <c r="E1679" s="591" t="s">
        <v>775</v>
      </c>
      <c r="F1679" s="592">
        <v>107</v>
      </c>
      <c r="G1679" s="592">
        <v>3</v>
      </c>
      <c r="H1679" s="592">
        <v>0</v>
      </c>
      <c r="I1679" s="592">
        <v>3</v>
      </c>
      <c r="J1679" s="592">
        <v>91</v>
      </c>
      <c r="K1679" s="592">
        <v>0</v>
      </c>
      <c r="L1679" s="592">
        <v>0</v>
      </c>
      <c r="M1679" s="592">
        <v>0</v>
      </c>
      <c r="N1679" s="593">
        <v>91</v>
      </c>
      <c r="O1679" s="593">
        <v>2</v>
      </c>
      <c r="P1679" s="593">
        <v>210</v>
      </c>
      <c r="Q1679" s="593">
        <v>6</v>
      </c>
      <c r="R1679" s="593">
        <v>499</v>
      </c>
      <c r="S1679" s="593">
        <v>11</v>
      </c>
      <c r="T1679" s="593">
        <v>2018</v>
      </c>
      <c r="U1679" s="593">
        <v>2014</v>
      </c>
      <c r="V1679" s="589"/>
      <c r="W1679" s="589"/>
      <c r="X1679" s="589"/>
      <c r="Y1679" s="589"/>
      <c r="Z1679" s="589"/>
      <c r="AA1679" s="589"/>
      <c r="AB1679" s="589"/>
      <c r="AC1679" s="589"/>
      <c r="AD1679" s="589"/>
      <c r="AE1679" s="589"/>
      <c r="AF1679" s="589"/>
      <c r="AG1679" s="589"/>
      <c r="AH1679" s="589"/>
      <c r="AI1679" s="589"/>
      <c r="AJ1679" s="589"/>
      <c r="AK1679" s="589"/>
      <c r="AL1679" s="589"/>
      <c r="AM1679" s="589"/>
      <c r="AN1679" s="589"/>
      <c r="AO1679" s="589"/>
      <c r="AP1679" s="589"/>
      <c r="AQ1679" s="589"/>
      <c r="AR1679" s="589"/>
      <c r="AS1679" s="589"/>
    </row>
    <row r="1680" spans="1:45" ht="15">
      <c r="A1680" s="587" t="s">
        <v>153</v>
      </c>
      <c r="B1680" s="587" t="s">
        <v>364</v>
      </c>
      <c r="C1680" s="587" t="s">
        <v>813</v>
      </c>
      <c r="D1680" s="588">
        <v>2018</v>
      </c>
      <c r="E1680" s="587" t="s">
        <v>775</v>
      </c>
      <c r="F1680" s="588">
        <v>1</v>
      </c>
      <c r="G1680" s="588">
        <v>0</v>
      </c>
      <c r="H1680" s="588">
        <v>0</v>
      </c>
      <c r="I1680" s="588">
        <v>0</v>
      </c>
      <c r="J1680" s="588">
        <v>1</v>
      </c>
      <c r="K1680" s="588">
        <v>0</v>
      </c>
      <c r="L1680" s="588">
        <v>0</v>
      </c>
      <c r="M1680" s="588">
        <v>0</v>
      </c>
      <c r="N1680" s="588">
        <v>0</v>
      </c>
      <c r="O1680" s="588">
        <v>0</v>
      </c>
      <c r="P1680" s="588">
        <v>0</v>
      </c>
      <c r="Q1680" s="588">
        <v>0</v>
      </c>
      <c r="R1680" s="588">
        <v>2</v>
      </c>
      <c r="S1680" s="588">
        <v>0</v>
      </c>
      <c r="T1680" s="588">
        <v>2018</v>
      </c>
      <c r="U1680" s="588">
        <v>2014</v>
      </c>
      <c r="V1680" s="589"/>
      <c r="W1680" s="589"/>
      <c r="X1680" s="589"/>
      <c r="Y1680" s="589"/>
      <c r="Z1680" s="589"/>
      <c r="AA1680" s="589"/>
      <c r="AB1680" s="589"/>
      <c r="AC1680" s="589"/>
      <c r="AD1680" s="589"/>
      <c r="AE1680" s="589"/>
      <c r="AF1680" s="589"/>
      <c r="AG1680" s="589"/>
      <c r="AH1680" s="589"/>
      <c r="AI1680" s="589"/>
      <c r="AJ1680" s="589"/>
      <c r="AK1680" s="589"/>
      <c r="AL1680" s="589"/>
      <c r="AM1680" s="589"/>
      <c r="AN1680" s="589"/>
      <c r="AO1680" s="589"/>
      <c r="AP1680" s="589"/>
      <c r="AQ1680" s="589"/>
      <c r="AR1680" s="589"/>
      <c r="AS1680" s="589"/>
    </row>
    <row r="1681" spans="1:45" ht="15">
      <c r="A1681" s="590" t="s">
        <v>136</v>
      </c>
      <c r="B1681" s="591" t="s">
        <v>268</v>
      </c>
      <c r="C1681" s="591" t="s">
        <v>782</v>
      </c>
      <c r="D1681" s="592">
        <v>2018</v>
      </c>
      <c r="E1681" s="591" t="s">
        <v>775</v>
      </c>
      <c r="F1681" s="592">
        <v>798</v>
      </c>
      <c r="G1681" s="592">
        <v>0</v>
      </c>
      <c r="H1681" s="592">
        <v>0</v>
      </c>
      <c r="I1681" s="592">
        <v>0</v>
      </c>
      <c r="J1681" s="592">
        <v>444</v>
      </c>
      <c r="K1681" s="592">
        <v>0</v>
      </c>
      <c r="L1681" s="592">
        <v>0</v>
      </c>
      <c r="M1681" s="592">
        <v>0</v>
      </c>
      <c r="N1681" s="593">
        <v>559</v>
      </c>
      <c r="O1681" s="593">
        <v>0</v>
      </c>
      <c r="P1681" s="593">
        <v>1677</v>
      </c>
      <c r="Q1681" s="593">
        <v>24</v>
      </c>
      <c r="R1681" s="593">
        <v>3478</v>
      </c>
      <c r="S1681" s="593">
        <v>24</v>
      </c>
      <c r="T1681" s="593">
        <v>2018</v>
      </c>
      <c r="U1681" s="593">
        <v>2015</v>
      </c>
      <c r="V1681" s="589"/>
      <c r="W1681" s="589"/>
      <c r="X1681" s="589"/>
      <c r="Y1681" s="589"/>
      <c r="Z1681" s="589"/>
      <c r="AA1681" s="589"/>
      <c r="AB1681" s="589"/>
      <c r="AC1681" s="589"/>
      <c r="AD1681" s="589"/>
      <c r="AE1681" s="589"/>
      <c r="AF1681" s="589"/>
      <c r="AG1681" s="589"/>
      <c r="AH1681" s="589"/>
      <c r="AI1681" s="589"/>
      <c r="AJ1681" s="589"/>
      <c r="AK1681" s="589"/>
      <c r="AL1681" s="589"/>
      <c r="AM1681" s="589"/>
      <c r="AN1681" s="589"/>
      <c r="AO1681" s="589"/>
      <c r="AP1681" s="589"/>
      <c r="AQ1681" s="589"/>
      <c r="AR1681" s="589"/>
      <c r="AS1681" s="589"/>
    </row>
    <row r="1682" spans="1:45" ht="15">
      <c r="A1682" s="587" t="s">
        <v>136</v>
      </c>
      <c r="B1682" s="587" t="s">
        <v>269</v>
      </c>
      <c r="C1682" s="587" t="s">
        <v>782</v>
      </c>
      <c r="D1682" s="588">
        <v>2018</v>
      </c>
      <c r="E1682" s="587" t="s">
        <v>775</v>
      </c>
      <c r="F1682" s="588">
        <v>374</v>
      </c>
      <c r="G1682" s="588">
        <v>63</v>
      </c>
      <c r="H1682" s="588">
        <v>62</v>
      </c>
      <c r="I1682" s="588">
        <v>1</v>
      </c>
      <c r="J1682" s="588">
        <v>218</v>
      </c>
      <c r="K1682" s="588">
        <v>171</v>
      </c>
      <c r="L1682" s="588">
        <v>171</v>
      </c>
      <c r="M1682" s="588">
        <v>0</v>
      </c>
      <c r="N1682" s="588">
        <v>243</v>
      </c>
      <c r="O1682" s="588">
        <v>1</v>
      </c>
      <c r="P1682" s="588">
        <v>532</v>
      </c>
      <c r="Q1682" s="588">
        <v>434</v>
      </c>
      <c r="R1682" s="588">
        <v>1367</v>
      </c>
      <c r="S1682" s="588">
        <v>669</v>
      </c>
      <c r="T1682" s="588">
        <v>2018</v>
      </c>
      <c r="U1682" s="588">
        <v>2015</v>
      </c>
      <c r="V1682" s="589"/>
      <c r="W1682" s="589"/>
      <c r="X1682" s="589"/>
      <c r="Y1682" s="589"/>
      <c r="Z1682" s="589"/>
      <c r="AA1682" s="589"/>
      <c r="AB1682" s="589"/>
      <c r="AC1682" s="589"/>
      <c r="AD1682" s="589"/>
      <c r="AE1682" s="589"/>
      <c r="AF1682" s="589"/>
      <c r="AG1682" s="589"/>
      <c r="AH1682" s="589"/>
      <c r="AI1682" s="589"/>
      <c r="AJ1682" s="589"/>
      <c r="AK1682" s="589"/>
      <c r="AL1682" s="589"/>
      <c r="AM1682" s="589"/>
      <c r="AN1682" s="589"/>
      <c r="AO1682" s="589"/>
      <c r="AP1682" s="589"/>
      <c r="AQ1682" s="589"/>
      <c r="AR1682" s="589"/>
      <c r="AS1682" s="589"/>
    </row>
    <row r="1683" spans="1:45" ht="15">
      <c r="A1683" s="590" t="s">
        <v>149</v>
      </c>
      <c r="B1683" s="591" t="s">
        <v>337</v>
      </c>
      <c r="C1683" s="591" t="s">
        <v>820</v>
      </c>
      <c r="D1683" s="592">
        <v>2018</v>
      </c>
      <c r="E1683" s="591" t="s">
        <v>775</v>
      </c>
      <c r="F1683" s="592">
        <v>215</v>
      </c>
      <c r="G1683" s="592">
        <v>0</v>
      </c>
      <c r="H1683" s="592">
        <v>0</v>
      </c>
      <c r="I1683" s="592">
        <v>0</v>
      </c>
      <c r="J1683" s="592">
        <v>161</v>
      </c>
      <c r="K1683" s="592">
        <v>0</v>
      </c>
      <c r="L1683" s="592">
        <v>0</v>
      </c>
      <c r="M1683" s="592">
        <v>0</v>
      </c>
      <c r="N1683" s="593">
        <v>169</v>
      </c>
      <c r="O1683" s="593">
        <v>0</v>
      </c>
      <c r="P1683" s="593">
        <v>401</v>
      </c>
      <c r="Q1683" s="593">
        <v>0</v>
      </c>
      <c r="R1683" s="593">
        <v>946</v>
      </c>
      <c r="S1683" s="593">
        <v>0</v>
      </c>
      <c r="T1683" s="593">
        <v>2018</v>
      </c>
      <c r="U1683" s="593">
        <v>2016</v>
      </c>
      <c r="V1683" s="589"/>
      <c r="W1683" s="589"/>
      <c r="X1683" s="589"/>
      <c r="Y1683" s="589"/>
      <c r="Z1683" s="589"/>
      <c r="AA1683" s="589"/>
      <c r="AB1683" s="589"/>
      <c r="AC1683" s="589"/>
      <c r="AD1683" s="589"/>
      <c r="AE1683" s="589"/>
      <c r="AF1683" s="589"/>
      <c r="AG1683" s="589"/>
      <c r="AH1683" s="589"/>
      <c r="AI1683" s="589"/>
      <c r="AJ1683" s="589"/>
      <c r="AK1683" s="589"/>
      <c r="AL1683" s="589"/>
      <c r="AM1683" s="589"/>
      <c r="AN1683" s="589"/>
      <c r="AO1683" s="589"/>
      <c r="AP1683" s="589"/>
      <c r="AQ1683" s="589"/>
      <c r="AR1683" s="589"/>
      <c r="AS1683" s="589"/>
    </row>
    <row r="1684" spans="1:45" ht="15">
      <c r="A1684" s="587" t="s">
        <v>197</v>
      </c>
      <c r="B1684" s="587" t="s">
        <v>716</v>
      </c>
      <c r="C1684" s="587" t="s">
        <v>785</v>
      </c>
      <c r="D1684" s="588">
        <v>2018</v>
      </c>
      <c r="E1684" s="587" t="s">
        <v>775</v>
      </c>
      <c r="F1684" s="588">
        <v>38</v>
      </c>
      <c r="G1684" s="588">
        <v>0</v>
      </c>
      <c r="H1684" s="588">
        <v>0</v>
      </c>
      <c r="I1684" s="588">
        <v>0</v>
      </c>
      <c r="J1684" s="588">
        <v>30</v>
      </c>
      <c r="K1684" s="588">
        <v>0</v>
      </c>
      <c r="L1684" s="588">
        <v>0</v>
      </c>
      <c r="M1684" s="588">
        <v>0</v>
      </c>
      <c r="N1684" s="588">
        <v>33</v>
      </c>
      <c r="O1684" s="588">
        <v>4</v>
      </c>
      <c r="P1684" s="588">
        <v>75</v>
      </c>
      <c r="Q1684" s="588">
        <v>13</v>
      </c>
      <c r="R1684" s="588">
        <v>176</v>
      </c>
      <c r="S1684" s="588">
        <v>17</v>
      </c>
      <c r="T1684" s="588">
        <v>2018</v>
      </c>
      <c r="U1684" s="588">
        <v>2014</v>
      </c>
      <c r="V1684" s="589"/>
      <c r="W1684" s="589"/>
      <c r="X1684" s="589"/>
      <c r="Y1684" s="589"/>
      <c r="Z1684" s="589"/>
      <c r="AA1684" s="589"/>
      <c r="AB1684" s="589"/>
      <c r="AC1684" s="589"/>
      <c r="AD1684" s="589"/>
      <c r="AE1684" s="589"/>
      <c r="AF1684" s="589"/>
      <c r="AG1684" s="589"/>
      <c r="AH1684" s="589"/>
      <c r="AI1684" s="589"/>
      <c r="AJ1684" s="589"/>
      <c r="AK1684" s="589"/>
      <c r="AL1684" s="589"/>
      <c r="AM1684" s="589"/>
      <c r="AN1684" s="589"/>
      <c r="AO1684" s="589"/>
      <c r="AP1684" s="589"/>
      <c r="AQ1684" s="589"/>
      <c r="AR1684" s="589"/>
      <c r="AS1684" s="589"/>
    </row>
    <row r="1685" spans="1:45" ht="15">
      <c r="A1685" s="590" t="s">
        <v>173</v>
      </c>
      <c r="B1685" s="591" t="s">
        <v>535</v>
      </c>
      <c r="C1685" s="591" t="s">
        <v>813</v>
      </c>
      <c r="D1685" s="592">
        <v>2018</v>
      </c>
      <c r="E1685" s="591" t="s">
        <v>775</v>
      </c>
      <c r="F1685" s="592">
        <v>192</v>
      </c>
      <c r="G1685" s="592">
        <v>11</v>
      </c>
      <c r="H1685" s="592">
        <v>11</v>
      </c>
      <c r="I1685" s="592">
        <v>0</v>
      </c>
      <c r="J1685" s="592">
        <v>128</v>
      </c>
      <c r="K1685" s="592">
        <v>73</v>
      </c>
      <c r="L1685" s="592">
        <v>73</v>
      </c>
      <c r="M1685" s="592">
        <v>0</v>
      </c>
      <c r="N1685" s="593">
        <v>142</v>
      </c>
      <c r="O1685" s="593">
        <v>1</v>
      </c>
      <c r="P1685" s="593">
        <v>308</v>
      </c>
      <c r="Q1685" s="593">
        <v>336</v>
      </c>
      <c r="R1685" s="593">
        <v>770</v>
      </c>
      <c r="S1685" s="593">
        <v>421</v>
      </c>
      <c r="T1685" s="593">
        <v>2018</v>
      </c>
      <c r="U1685" s="593">
        <v>2014</v>
      </c>
      <c r="V1685" s="589"/>
      <c r="W1685" s="589"/>
      <c r="X1685" s="589"/>
      <c r="Y1685" s="589"/>
      <c r="Z1685" s="589"/>
      <c r="AA1685" s="589"/>
      <c r="AB1685" s="589"/>
      <c r="AC1685" s="589"/>
      <c r="AD1685" s="589"/>
      <c r="AE1685" s="589"/>
      <c r="AF1685" s="589"/>
      <c r="AG1685" s="589"/>
      <c r="AH1685" s="589"/>
      <c r="AI1685" s="589"/>
      <c r="AJ1685" s="589"/>
      <c r="AK1685" s="589"/>
      <c r="AL1685" s="589"/>
      <c r="AM1685" s="589"/>
      <c r="AN1685" s="589"/>
      <c r="AO1685" s="589"/>
      <c r="AP1685" s="589"/>
      <c r="AQ1685" s="589"/>
      <c r="AR1685" s="589"/>
      <c r="AS1685" s="589"/>
    </row>
    <row r="1686" spans="1:45" ht="15">
      <c r="A1686" s="587" t="s">
        <v>179</v>
      </c>
      <c r="B1686" s="587" t="s">
        <v>592</v>
      </c>
      <c r="C1686" s="587" t="s">
        <v>856</v>
      </c>
      <c r="D1686" s="588">
        <v>2018</v>
      </c>
      <c r="E1686" s="587" t="s">
        <v>775</v>
      </c>
      <c r="F1686" s="588">
        <v>13</v>
      </c>
      <c r="G1686" s="588">
        <v>0</v>
      </c>
      <c r="H1686" s="588">
        <v>0</v>
      </c>
      <c r="I1686" s="588">
        <v>0</v>
      </c>
      <c r="J1686" s="588">
        <v>9</v>
      </c>
      <c r="K1686" s="588">
        <v>0</v>
      </c>
      <c r="L1686" s="588">
        <v>0</v>
      </c>
      <c r="M1686" s="588">
        <v>0</v>
      </c>
      <c r="N1686" s="588">
        <v>9</v>
      </c>
      <c r="O1686" s="588">
        <v>0</v>
      </c>
      <c r="P1686" s="588">
        <v>19</v>
      </c>
      <c r="Q1686" s="588">
        <v>15</v>
      </c>
      <c r="R1686" s="588">
        <v>50</v>
      </c>
      <c r="S1686" s="588">
        <v>15</v>
      </c>
      <c r="T1686" s="588">
        <v>2018</v>
      </c>
      <c r="U1686" s="588">
        <v>2013</v>
      </c>
      <c r="V1686" s="589"/>
      <c r="W1686" s="589"/>
      <c r="X1686" s="589"/>
      <c r="Y1686" s="589"/>
      <c r="Z1686" s="589"/>
      <c r="AA1686" s="589"/>
      <c r="AB1686" s="589"/>
      <c r="AC1686" s="589"/>
      <c r="AD1686" s="589"/>
      <c r="AE1686" s="589"/>
      <c r="AF1686" s="589"/>
      <c r="AG1686" s="589"/>
      <c r="AH1686" s="589"/>
      <c r="AI1686" s="589"/>
      <c r="AJ1686" s="589"/>
      <c r="AK1686" s="589"/>
      <c r="AL1686" s="589"/>
      <c r="AM1686" s="589"/>
      <c r="AN1686" s="589"/>
      <c r="AO1686" s="589"/>
      <c r="AP1686" s="589"/>
      <c r="AQ1686" s="589"/>
      <c r="AR1686" s="589"/>
      <c r="AS1686" s="589"/>
    </row>
    <row r="1687" spans="1:45" ht="15">
      <c r="A1687" s="590" t="s">
        <v>157</v>
      </c>
      <c r="B1687" s="591" t="s">
        <v>437</v>
      </c>
      <c r="C1687" s="591" t="s">
        <v>782</v>
      </c>
      <c r="D1687" s="592">
        <v>2018</v>
      </c>
      <c r="E1687" s="591" t="s">
        <v>775</v>
      </c>
      <c r="F1687" s="592">
        <v>22</v>
      </c>
      <c r="G1687" s="592">
        <v>5</v>
      </c>
      <c r="H1687" s="592">
        <v>0</v>
      </c>
      <c r="I1687" s="592">
        <v>5</v>
      </c>
      <c r="J1687" s="592">
        <v>13</v>
      </c>
      <c r="K1687" s="592">
        <v>0</v>
      </c>
      <c r="L1687" s="592">
        <v>0</v>
      </c>
      <c r="M1687" s="592">
        <v>0</v>
      </c>
      <c r="N1687" s="593">
        <v>13</v>
      </c>
      <c r="O1687" s="593">
        <v>2</v>
      </c>
      <c r="P1687" s="593">
        <v>24</v>
      </c>
      <c r="Q1687" s="593">
        <v>0</v>
      </c>
      <c r="R1687" s="593">
        <v>72</v>
      </c>
      <c r="S1687" s="593">
        <v>7</v>
      </c>
      <c r="T1687" s="593">
        <v>2018</v>
      </c>
      <c r="U1687" s="593">
        <v>2015</v>
      </c>
      <c r="V1687" s="589"/>
      <c r="W1687" s="589"/>
      <c r="X1687" s="589"/>
      <c r="Y1687" s="589"/>
      <c r="Z1687" s="589"/>
      <c r="AA1687" s="589"/>
      <c r="AB1687" s="589"/>
      <c r="AC1687" s="589"/>
      <c r="AD1687" s="589"/>
      <c r="AE1687" s="589"/>
      <c r="AF1687" s="589"/>
      <c r="AG1687" s="589"/>
      <c r="AH1687" s="589"/>
      <c r="AI1687" s="589"/>
      <c r="AJ1687" s="589"/>
      <c r="AK1687" s="589"/>
      <c r="AL1687" s="589"/>
      <c r="AM1687" s="589"/>
      <c r="AN1687" s="589"/>
      <c r="AO1687" s="589"/>
      <c r="AP1687" s="589"/>
      <c r="AQ1687" s="589"/>
      <c r="AR1687" s="589"/>
      <c r="AS1687" s="589"/>
    </row>
    <row r="1688" spans="1:45" ht="15">
      <c r="A1688" s="587" t="s">
        <v>169</v>
      </c>
      <c r="B1688" s="587" t="s">
        <v>489</v>
      </c>
      <c r="C1688" s="587" t="s">
        <v>813</v>
      </c>
      <c r="D1688" s="588">
        <v>2018</v>
      </c>
      <c r="E1688" s="587" t="s">
        <v>775</v>
      </c>
      <c r="F1688" s="588">
        <v>1</v>
      </c>
      <c r="G1688" s="588">
        <v>0</v>
      </c>
      <c r="H1688" s="588">
        <v>0</v>
      </c>
      <c r="I1688" s="588">
        <v>0</v>
      </c>
      <c r="J1688" s="588">
        <v>1</v>
      </c>
      <c r="K1688" s="588">
        <v>3</v>
      </c>
      <c r="L1688" s="588">
        <v>0</v>
      </c>
      <c r="M1688" s="588">
        <v>3</v>
      </c>
      <c r="N1688" s="588">
        <v>0</v>
      </c>
      <c r="O1688" s="588">
        <v>1</v>
      </c>
      <c r="P1688" s="588">
        <v>0</v>
      </c>
      <c r="Q1688" s="588">
        <v>177</v>
      </c>
      <c r="R1688" s="588">
        <v>2</v>
      </c>
      <c r="S1688" s="588">
        <v>181</v>
      </c>
      <c r="T1688" s="588">
        <v>2018</v>
      </c>
      <c r="U1688" s="588">
        <v>2014</v>
      </c>
      <c r="V1688" s="589"/>
      <c r="W1688" s="589"/>
      <c r="X1688" s="589"/>
      <c r="Y1688" s="589"/>
      <c r="Z1688" s="589"/>
      <c r="AA1688" s="589"/>
      <c r="AB1688" s="589"/>
      <c r="AC1688" s="589"/>
      <c r="AD1688" s="589"/>
      <c r="AE1688" s="589"/>
      <c r="AF1688" s="589"/>
      <c r="AG1688" s="589"/>
      <c r="AH1688" s="589"/>
      <c r="AI1688" s="589"/>
      <c r="AJ1688" s="589"/>
      <c r="AK1688" s="589"/>
      <c r="AL1688" s="589"/>
      <c r="AM1688" s="589"/>
      <c r="AN1688" s="589"/>
      <c r="AO1688" s="589"/>
      <c r="AP1688" s="589"/>
      <c r="AQ1688" s="589"/>
      <c r="AR1688" s="589"/>
      <c r="AS1688" s="589"/>
    </row>
    <row r="1689" spans="1:45" ht="15">
      <c r="A1689" s="590" t="s">
        <v>193</v>
      </c>
      <c r="B1689" s="591" t="s">
        <v>695</v>
      </c>
      <c r="C1689" s="591" t="s">
        <v>782</v>
      </c>
      <c r="D1689" s="592">
        <v>2018</v>
      </c>
      <c r="E1689" s="591" t="s">
        <v>775</v>
      </c>
      <c r="F1689" s="592">
        <v>35</v>
      </c>
      <c r="G1689" s="592">
        <v>0</v>
      </c>
      <c r="H1689" s="592">
        <v>0</v>
      </c>
      <c r="I1689" s="592">
        <v>0</v>
      </c>
      <c r="J1689" s="592">
        <v>18</v>
      </c>
      <c r="K1689" s="592">
        <v>0</v>
      </c>
      <c r="L1689" s="592">
        <v>0</v>
      </c>
      <c r="M1689" s="592">
        <v>0</v>
      </c>
      <c r="N1689" s="593">
        <v>18</v>
      </c>
      <c r="O1689" s="593">
        <v>2</v>
      </c>
      <c r="P1689" s="593">
        <v>66</v>
      </c>
      <c r="Q1689" s="593">
        <v>0</v>
      </c>
      <c r="R1689" s="593">
        <v>137</v>
      </c>
      <c r="S1689" s="593">
        <v>2</v>
      </c>
      <c r="T1689" s="593">
        <v>2018</v>
      </c>
      <c r="U1689" s="593">
        <v>2015</v>
      </c>
      <c r="V1689" s="589"/>
      <c r="W1689" s="589"/>
      <c r="X1689" s="589"/>
      <c r="Y1689" s="589"/>
      <c r="Z1689" s="589"/>
      <c r="AA1689" s="589"/>
      <c r="AB1689" s="589"/>
      <c r="AC1689" s="589"/>
      <c r="AD1689" s="589"/>
      <c r="AE1689" s="589"/>
      <c r="AF1689" s="589"/>
      <c r="AG1689" s="589"/>
      <c r="AH1689" s="589"/>
      <c r="AI1689" s="589"/>
      <c r="AJ1689" s="589"/>
      <c r="AK1689" s="589"/>
      <c r="AL1689" s="589"/>
      <c r="AM1689" s="589"/>
      <c r="AN1689" s="589"/>
      <c r="AO1689" s="589"/>
      <c r="AP1689" s="589"/>
      <c r="AQ1689" s="589"/>
      <c r="AR1689" s="589"/>
      <c r="AS1689" s="589"/>
    </row>
    <row r="1690" spans="1:45" ht="15">
      <c r="A1690" s="587" t="s">
        <v>153</v>
      </c>
      <c r="B1690" s="587" t="s">
        <v>365</v>
      </c>
      <c r="C1690" s="587" t="s">
        <v>813</v>
      </c>
      <c r="D1690" s="588">
        <v>2018</v>
      </c>
      <c r="E1690" s="587" t="s">
        <v>775</v>
      </c>
      <c r="F1690" s="588">
        <v>60</v>
      </c>
      <c r="G1690" s="588">
        <v>0</v>
      </c>
      <c r="H1690" s="588">
        <v>0</v>
      </c>
      <c r="I1690" s="588">
        <v>0</v>
      </c>
      <c r="J1690" s="588">
        <v>35</v>
      </c>
      <c r="K1690" s="588">
        <v>0</v>
      </c>
      <c r="L1690" s="588">
        <v>0</v>
      </c>
      <c r="M1690" s="588">
        <v>0</v>
      </c>
      <c r="N1690" s="588">
        <v>38</v>
      </c>
      <c r="O1690" s="588">
        <v>0</v>
      </c>
      <c r="P1690" s="588">
        <v>97</v>
      </c>
      <c r="Q1690" s="588">
        <v>16</v>
      </c>
      <c r="R1690" s="588">
        <v>230</v>
      </c>
      <c r="S1690" s="588">
        <v>16</v>
      </c>
      <c r="T1690" s="588">
        <v>2018</v>
      </c>
      <c r="U1690" s="588">
        <v>2014</v>
      </c>
      <c r="V1690" s="589"/>
      <c r="W1690" s="589"/>
      <c r="X1690" s="589"/>
      <c r="Y1690" s="589"/>
      <c r="Z1690" s="589"/>
      <c r="AA1690" s="589"/>
      <c r="AB1690" s="589"/>
      <c r="AC1690" s="589"/>
      <c r="AD1690" s="589"/>
      <c r="AE1690" s="589"/>
      <c r="AF1690" s="589"/>
      <c r="AG1690" s="589"/>
      <c r="AH1690" s="589"/>
      <c r="AI1690" s="589"/>
      <c r="AJ1690" s="589"/>
      <c r="AK1690" s="589"/>
      <c r="AL1690" s="589"/>
      <c r="AM1690" s="589"/>
      <c r="AN1690" s="589"/>
      <c r="AO1690" s="589"/>
      <c r="AP1690" s="589"/>
      <c r="AQ1690" s="589"/>
      <c r="AR1690" s="589"/>
      <c r="AS1690" s="589"/>
    </row>
    <row r="1691" spans="1:45" ht="15">
      <c r="A1691" s="590" t="s">
        <v>138</v>
      </c>
      <c r="B1691" s="591" t="s">
        <v>285</v>
      </c>
      <c r="C1691" s="591" t="s">
        <v>785</v>
      </c>
      <c r="D1691" s="592">
        <v>2018</v>
      </c>
      <c r="E1691" s="591" t="s">
        <v>775</v>
      </c>
      <c r="F1691" s="592">
        <v>20</v>
      </c>
      <c r="G1691" s="592">
        <v>0</v>
      </c>
      <c r="H1691" s="592">
        <v>0</v>
      </c>
      <c r="I1691" s="592">
        <v>0</v>
      </c>
      <c r="J1691" s="592">
        <v>13</v>
      </c>
      <c r="K1691" s="592">
        <v>0</v>
      </c>
      <c r="L1691" s="592">
        <v>0</v>
      </c>
      <c r="M1691" s="592">
        <v>0</v>
      </c>
      <c r="N1691" s="593">
        <v>10</v>
      </c>
      <c r="O1691" s="593">
        <v>1</v>
      </c>
      <c r="P1691" s="593">
        <v>34</v>
      </c>
      <c r="Q1691" s="593">
        <v>4</v>
      </c>
      <c r="R1691" s="593">
        <v>77</v>
      </c>
      <c r="S1691" s="593">
        <v>5</v>
      </c>
      <c r="T1691" s="593">
        <v>2018</v>
      </c>
      <c r="U1691" s="593">
        <v>2014</v>
      </c>
      <c r="V1691" s="589"/>
      <c r="W1691" s="589"/>
      <c r="X1691" s="589"/>
      <c r="Y1691" s="589"/>
      <c r="Z1691" s="589"/>
      <c r="AA1691" s="589"/>
      <c r="AB1691" s="589"/>
      <c r="AC1691" s="589"/>
      <c r="AD1691" s="589"/>
      <c r="AE1691" s="589"/>
      <c r="AF1691" s="589"/>
      <c r="AG1691" s="589"/>
      <c r="AH1691" s="589"/>
      <c r="AI1691" s="589"/>
      <c r="AJ1691" s="589"/>
      <c r="AK1691" s="589"/>
      <c r="AL1691" s="589"/>
      <c r="AM1691" s="589"/>
      <c r="AN1691" s="589"/>
      <c r="AO1691" s="589"/>
      <c r="AP1691" s="589"/>
      <c r="AQ1691" s="589"/>
      <c r="AR1691" s="589"/>
      <c r="AS1691" s="589"/>
    </row>
    <row r="1692" spans="1:45" ht="15">
      <c r="A1692" s="587" t="s">
        <v>153</v>
      </c>
      <c r="B1692" s="587" t="s">
        <v>366</v>
      </c>
      <c r="C1692" s="587" t="s">
        <v>813</v>
      </c>
      <c r="D1692" s="588">
        <v>2018</v>
      </c>
      <c r="E1692" s="587" t="s">
        <v>775</v>
      </c>
      <c r="F1692" s="588">
        <v>80</v>
      </c>
      <c r="G1692" s="588">
        <v>0</v>
      </c>
      <c r="H1692" s="588">
        <v>0</v>
      </c>
      <c r="I1692" s="588">
        <v>0</v>
      </c>
      <c r="J1692" s="588">
        <v>46</v>
      </c>
      <c r="K1692" s="588">
        <v>0</v>
      </c>
      <c r="L1692" s="588">
        <v>0</v>
      </c>
      <c r="M1692" s="588">
        <v>0</v>
      </c>
      <c r="N1692" s="588">
        <v>51</v>
      </c>
      <c r="O1692" s="588">
        <v>0</v>
      </c>
      <c r="P1692" s="588">
        <v>141</v>
      </c>
      <c r="Q1692" s="588">
        <v>0</v>
      </c>
      <c r="R1692" s="588">
        <v>318</v>
      </c>
      <c r="S1692" s="588">
        <v>0</v>
      </c>
      <c r="T1692" s="588">
        <v>2018</v>
      </c>
      <c r="U1692" s="588">
        <v>2014</v>
      </c>
      <c r="V1692" s="589"/>
      <c r="W1692" s="589"/>
      <c r="X1692" s="589"/>
      <c r="Y1692" s="589"/>
      <c r="Z1692" s="589"/>
      <c r="AA1692" s="589"/>
      <c r="AB1692" s="589"/>
      <c r="AC1692" s="589"/>
      <c r="AD1692" s="589"/>
      <c r="AE1692" s="589"/>
      <c r="AF1692" s="589"/>
      <c r="AG1692" s="589"/>
      <c r="AH1692" s="589"/>
      <c r="AI1692" s="589"/>
      <c r="AJ1692" s="589"/>
      <c r="AK1692" s="589"/>
      <c r="AL1692" s="589"/>
      <c r="AM1692" s="589"/>
      <c r="AN1692" s="589"/>
      <c r="AO1692" s="589"/>
      <c r="AP1692" s="589"/>
      <c r="AQ1692" s="589"/>
      <c r="AR1692" s="589"/>
      <c r="AS1692" s="589"/>
    </row>
    <row r="1693" spans="1:45" ht="15">
      <c r="A1693" s="590" t="s">
        <v>153</v>
      </c>
      <c r="B1693" s="591" t="s">
        <v>367</v>
      </c>
      <c r="C1693" s="591" t="s">
        <v>813</v>
      </c>
      <c r="D1693" s="592">
        <v>2018</v>
      </c>
      <c r="E1693" s="591" t="s">
        <v>775</v>
      </c>
      <c r="F1693" s="592">
        <v>48</v>
      </c>
      <c r="G1693" s="592">
        <v>0</v>
      </c>
      <c r="H1693" s="592">
        <v>0</v>
      </c>
      <c r="I1693" s="592">
        <v>0</v>
      </c>
      <c r="J1693" s="592">
        <v>29</v>
      </c>
      <c r="K1693" s="592">
        <v>4</v>
      </c>
      <c r="L1693" s="592">
        <v>4</v>
      </c>
      <c r="M1693" s="592">
        <v>0</v>
      </c>
      <c r="N1693" s="593">
        <v>31</v>
      </c>
      <c r="O1693" s="593">
        <v>4</v>
      </c>
      <c r="P1693" s="593">
        <v>77</v>
      </c>
      <c r="Q1693" s="593">
        <v>271</v>
      </c>
      <c r="R1693" s="593">
        <v>185</v>
      </c>
      <c r="S1693" s="593">
        <v>279</v>
      </c>
      <c r="T1693" s="593">
        <v>2018</v>
      </c>
      <c r="U1693" s="593">
        <v>2014</v>
      </c>
      <c r="V1693" s="589"/>
      <c r="W1693" s="589"/>
      <c r="X1693" s="589"/>
      <c r="Y1693" s="589"/>
      <c r="Z1693" s="589"/>
      <c r="AA1693" s="589"/>
      <c r="AB1693" s="589"/>
      <c r="AC1693" s="589"/>
      <c r="AD1693" s="589"/>
      <c r="AE1693" s="589"/>
      <c r="AF1693" s="589"/>
      <c r="AG1693" s="589"/>
      <c r="AH1693" s="589"/>
      <c r="AI1693" s="589"/>
      <c r="AJ1693" s="589"/>
      <c r="AK1693" s="589"/>
      <c r="AL1693" s="589"/>
      <c r="AM1693" s="589"/>
      <c r="AN1693" s="589"/>
      <c r="AO1693" s="589"/>
      <c r="AP1693" s="589"/>
      <c r="AQ1693" s="589"/>
      <c r="AR1693" s="589"/>
      <c r="AS1693" s="589"/>
    </row>
    <row r="1694" spans="1:45" ht="15">
      <c r="A1694" s="587" t="s">
        <v>187</v>
      </c>
      <c r="B1694" s="587" t="s">
        <v>652</v>
      </c>
      <c r="C1694" s="587" t="s">
        <v>782</v>
      </c>
      <c r="D1694" s="588">
        <v>2018</v>
      </c>
      <c r="E1694" s="587" t="s">
        <v>775</v>
      </c>
      <c r="F1694" s="588">
        <v>356</v>
      </c>
      <c r="G1694" s="588">
        <v>19</v>
      </c>
      <c r="H1694" s="588">
        <v>18</v>
      </c>
      <c r="I1694" s="588">
        <v>1</v>
      </c>
      <c r="J1694" s="588">
        <v>207</v>
      </c>
      <c r="K1694" s="588">
        <v>0</v>
      </c>
      <c r="L1694" s="588">
        <v>0</v>
      </c>
      <c r="M1694" s="588">
        <v>0</v>
      </c>
      <c r="N1694" s="588">
        <v>231</v>
      </c>
      <c r="O1694" s="588">
        <v>15</v>
      </c>
      <c r="P1694" s="588">
        <v>270</v>
      </c>
      <c r="Q1694" s="588">
        <v>2</v>
      </c>
      <c r="R1694" s="588">
        <v>1064</v>
      </c>
      <c r="S1694" s="588">
        <v>36</v>
      </c>
      <c r="T1694" s="588">
        <v>2018</v>
      </c>
      <c r="U1694" s="588">
        <v>2015</v>
      </c>
      <c r="V1694" s="589"/>
      <c r="W1694" s="589"/>
      <c r="X1694" s="589"/>
      <c r="Y1694" s="589"/>
      <c r="Z1694" s="589"/>
      <c r="AA1694" s="589"/>
      <c r="AB1694" s="589"/>
      <c r="AC1694" s="589"/>
      <c r="AD1694" s="589"/>
      <c r="AE1694" s="589"/>
      <c r="AF1694" s="589"/>
      <c r="AG1694" s="589"/>
      <c r="AH1694" s="589"/>
      <c r="AI1694" s="589"/>
      <c r="AJ1694" s="589"/>
      <c r="AK1694" s="589"/>
      <c r="AL1694" s="589"/>
      <c r="AM1694" s="589"/>
      <c r="AN1694" s="589"/>
      <c r="AO1694" s="589"/>
      <c r="AP1694" s="589"/>
      <c r="AQ1694" s="589"/>
      <c r="AR1694" s="589"/>
      <c r="AS1694" s="589"/>
    </row>
    <row r="1695" spans="1:45" ht="15">
      <c r="A1695" s="590" t="s">
        <v>169</v>
      </c>
      <c r="B1695" s="591" t="s">
        <v>490</v>
      </c>
      <c r="C1695" s="591" t="s">
        <v>813</v>
      </c>
      <c r="D1695" s="592">
        <v>2018</v>
      </c>
      <c r="E1695" s="591" t="s">
        <v>775</v>
      </c>
      <c r="F1695" s="592">
        <v>71</v>
      </c>
      <c r="G1695" s="592">
        <v>0</v>
      </c>
      <c r="H1695" s="592">
        <v>0</v>
      </c>
      <c r="I1695" s="592">
        <v>0</v>
      </c>
      <c r="J1695" s="592">
        <v>50</v>
      </c>
      <c r="K1695" s="592">
        <v>0</v>
      </c>
      <c r="L1695" s="592">
        <v>0</v>
      </c>
      <c r="M1695" s="592">
        <v>0</v>
      </c>
      <c r="N1695" s="593">
        <v>56</v>
      </c>
      <c r="O1695" s="593">
        <v>5</v>
      </c>
      <c r="P1695" s="593">
        <v>131</v>
      </c>
      <c r="Q1695" s="593">
        <v>233</v>
      </c>
      <c r="R1695" s="593">
        <v>308</v>
      </c>
      <c r="S1695" s="593">
        <v>238</v>
      </c>
      <c r="T1695" s="593">
        <v>2018</v>
      </c>
      <c r="U1695" s="593">
        <v>2014</v>
      </c>
      <c r="V1695" s="589"/>
      <c r="W1695" s="589"/>
      <c r="X1695" s="589"/>
      <c r="Y1695" s="589"/>
      <c r="Z1695" s="589"/>
      <c r="AA1695" s="589"/>
      <c r="AB1695" s="589"/>
      <c r="AC1695" s="589"/>
      <c r="AD1695" s="589"/>
      <c r="AE1695" s="589"/>
      <c r="AF1695" s="589"/>
      <c r="AG1695" s="589"/>
      <c r="AH1695" s="589"/>
      <c r="AI1695" s="589"/>
      <c r="AJ1695" s="589"/>
      <c r="AK1695" s="589"/>
      <c r="AL1695" s="589"/>
      <c r="AM1695" s="589"/>
      <c r="AN1695" s="589"/>
      <c r="AO1695" s="589"/>
      <c r="AP1695" s="589"/>
      <c r="AQ1695" s="589"/>
      <c r="AR1695" s="589"/>
      <c r="AS1695" s="589"/>
    </row>
    <row r="1696" spans="1:45" ht="15">
      <c r="A1696" s="587" t="s">
        <v>184</v>
      </c>
      <c r="B1696" s="587" t="s">
        <v>628</v>
      </c>
      <c r="C1696" s="587" t="s">
        <v>782</v>
      </c>
      <c r="D1696" s="588">
        <v>2018</v>
      </c>
      <c r="E1696" s="587" t="s">
        <v>775</v>
      </c>
      <c r="F1696" s="588">
        <v>400</v>
      </c>
      <c r="G1696" s="588">
        <v>0</v>
      </c>
      <c r="H1696" s="588">
        <v>0</v>
      </c>
      <c r="I1696" s="588">
        <v>0</v>
      </c>
      <c r="J1696" s="588">
        <v>188</v>
      </c>
      <c r="K1696" s="588">
        <v>37</v>
      </c>
      <c r="L1696" s="588">
        <v>0</v>
      </c>
      <c r="M1696" s="588">
        <v>37</v>
      </c>
      <c r="N1696" s="588">
        <v>221</v>
      </c>
      <c r="O1696" s="588">
        <v>37</v>
      </c>
      <c r="P1696" s="588">
        <v>541</v>
      </c>
      <c r="Q1696" s="588">
        <v>22</v>
      </c>
      <c r="R1696" s="588">
        <v>1350</v>
      </c>
      <c r="S1696" s="588">
        <v>96</v>
      </c>
      <c r="T1696" s="588">
        <v>2018</v>
      </c>
      <c r="U1696" s="588">
        <v>2015</v>
      </c>
      <c r="V1696" s="589"/>
      <c r="W1696" s="589"/>
      <c r="X1696" s="589"/>
      <c r="Y1696" s="589"/>
      <c r="Z1696" s="589"/>
      <c r="AA1696" s="589"/>
      <c r="AB1696" s="589"/>
      <c r="AC1696" s="589"/>
      <c r="AD1696" s="589"/>
      <c r="AE1696" s="589"/>
      <c r="AF1696" s="589"/>
      <c r="AG1696" s="589"/>
      <c r="AH1696" s="589"/>
      <c r="AI1696" s="589"/>
      <c r="AJ1696" s="589"/>
      <c r="AK1696" s="589"/>
      <c r="AL1696" s="589"/>
      <c r="AM1696" s="589"/>
      <c r="AN1696" s="589"/>
      <c r="AO1696" s="589"/>
      <c r="AP1696" s="589"/>
      <c r="AQ1696" s="589"/>
      <c r="AR1696" s="589"/>
      <c r="AS1696" s="589"/>
    </row>
    <row r="1697" spans="1:45" ht="15">
      <c r="A1697" s="590" t="s">
        <v>169</v>
      </c>
      <c r="B1697" s="591" t="s">
        <v>491</v>
      </c>
      <c r="C1697" s="591" t="s">
        <v>813</v>
      </c>
      <c r="D1697" s="592">
        <v>2018</v>
      </c>
      <c r="E1697" s="591" t="s">
        <v>775</v>
      </c>
      <c r="F1697" s="592">
        <v>76</v>
      </c>
      <c r="G1697" s="592">
        <v>0</v>
      </c>
      <c r="H1697" s="592">
        <v>0</v>
      </c>
      <c r="I1697" s="592">
        <v>0</v>
      </c>
      <c r="J1697" s="592">
        <v>53</v>
      </c>
      <c r="K1697" s="592">
        <v>1</v>
      </c>
      <c r="L1697" s="592">
        <v>0</v>
      </c>
      <c r="M1697" s="592">
        <v>1</v>
      </c>
      <c r="N1697" s="593">
        <v>61</v>
      </c>
      <c r="O1697" s="593">
        <v>8</v>
      </c>
      <c r="P1697" s="593">
        <v>137</v>
      </c>
      <c r="Q1697" s="593">
        <v>168</v>
      </c>
      <c r="R1697" s="593">
        <v>327</v>
      </c>
      <c r="S1697" s="593">
        <v>177</v>
      </c>
      <c r="T1697" s="593">
        <v>2018</v>
      </c>
      <c r="U1697" s="593">
        <v>2014</v>
      </c>
      <c r="V1697" s="589"/>
      <c r="W1697" s="589"/>
      <c r="X1697" s="589"/>
      <c r="Y1697" s="589"/>
      <c r="Z1697" s="589"/>
      <c r="AA1697" s="589"/>
      <c r="AB1697" s="589"/>
      <c r="AC1697" s="589"/>
      <c r="AD1697" s="589"/>
      <c r="AE1697" s="589"/>
      <c r="AF1697" s="589"/>
      <c r="AG1697" s="589"/>
      <c r="AH1697" s="589"/>
      <c r="AI1697" s="589"/>
      <c r="AJ1697" s="589"/>
      <c r="AK1697" s="589"/>
      <c r="AL1697" s="589"/>
      <c r="AM1697" s="589"/>
      <c r="AN1697" s="589"/>
      <c r="AO1697" s="589"/>
      <c r="AP1697" s="589"/>
      <c r="AQ1697" s="589"/>
      <c r="AR1697" s="589"/>
      <c r="AS1697" s="589"/>
    </row>
    <row r="1698" spans="1:45" ht="15">
      <c r="A1698" s="587" t="s">
        <v>136</v>
      </c>
      <c r="B1698" s="587" t="s">
        <v>270</v>
      </c>
      <c r="C1698" s="587" t="s">
        <v>782</v>
      </c>
      <c r="D1698" s="588">
        <v>2018</v>
      </c>
      <c r="E1698" s="587" t="s">
        <v>775</v>
      </c>
      <c r="F1698" s="588">
        <v>196</v>
      </c>
      <c r="G1698" s="588">
        <v>0</v>
      </c>
      <c r="H1698" s="588">
        <v>0</v>
      </c>
      <c r="I1698" s="588">
        <v>0</v>
      </c>
      <c r="J1698" s="588">
        <v>111</v>
      </c>
      <c r="K1698" s="588">
        <v>2</v>
      </c>
      <c r="L1698" s="588">
        <v>0</v>
      </c>
      <c r="M1698" s="588">
        <v>2</v>
      </c>
      <c r="N1698" s="588">
        <v>124</v>
      </c>
      <c r="O1698" s="588">
        <v>10</v>
      </c>
      <c r="P1698" s="588">
        <v>126</v>
      </c>
      <c r="Q1698" s="588">
        <v>34</v>
      </c>
      <c r="R1698" s="588">
        <v>557</v>
      </c>
      <c r="S1698" s="588">
        <v>46</v>
      </c>
      <c r="T1698" s="588">
        <v>2018</v>
      </c>
      <c r="U1698" s="588">
        <v>2015</v>
      </c>
      <c r="V1698" s="589"/>
      <c r="W1698" s="589"/>
      <c r="X1698" s="589"/>
      <c r="Y1698" s="589"/>
      <c r="Z1698" s="589"/>
      <c r="AA1698" s="589"/>
      <c r="AB1698" s="589"/>
      <c r="AC1698" s="589"/>
      <c r="AD1698" s="589"/>
      <c r="AE1698" s="589"/>
      <c r="AF1698" s="589"/>
      <c r="AG1698" s="589"/>
      <c r="AH1698" s="589"/>
      <c r="AI1698" s="589"/>
      <c r="AJ1698" s="589"/>
      <c r="AK1698" s="589"/>
      <c r="AL1698" s="589"/>
      <c r="AM1698" s="589"/>
      <c r="AN1698" s="589"/>
      <c r="AO1698" s="589"/>
      <c r="AP1698" s="589"/>
      <c r="AQ1698" s="589"/>
      <c r="AR1698" s="589"/>
      <c r="AS1698" s="589"/>
    </row>
    <row r="1699" spans="1:45" ht="15">
      <c r="A1699" s="590" t="s">
        <v>202</v>
      </c>
      <c r="B1699" s="591" t="s">
        <v>741</v>
      </c>
      <c r="C1699" s="591" t="s">
        <v>801</v>
      </c>
      <c r="D1699" s="592">
        <v>2018</v>
      </c>
      <c r="E1699" s="591" t="s">
        <v>775</v>
      </c>
      <c r="F1699" s="592">
        <v>248</v>
      </c>
      <c r="G1699" s="592">
        <v>58</v>
      </c>
      <c r="H1699" s="592">
        <v>58</v>
      </c>
      <c r="I1699" s="592">
        <v>0</v>
      </c>
      <c r="J1699" s="592">
        <v>174</v>
      </c>
      <c r="K1699" s="592">
        <v>32</v>
      </c>
      <c r="L1699" s="592">
        <v>32</v>
      </c>
      <c r="M1699" s="592">
        <v>0</v>
      </c>
      <c r="N1699" s="593">
        <v>198</v>
      </c>
      <c r="O1699" s="593">
        <v>176</v>
      </c>
      <c r="P1699" s="593">
        <v>446</v>
      </c>
      <c r="Q1699" s="593">
        <v>103</v>
      </c>
      <c r="R1699" s="593">
        <v>1066</v>
      </c>
      <c r="S1699" s="593">
        <v>369</v>
      </c>
      <c r="T1699" s="593">
        <v>2018</v>
      </c>
      <c r="U1699" s="593">
        <v>2014</v>
      </c>
      <c r="V1699" s="589"/>
      <c r="W1699" s="589"/>
      <c r="X1699" s="589"/>
      <c r="Y1699" s="589"/>
      <c r="Z1699" s="589"/>
      <c r="AA1699" s="589"/>
      <c r="AB1699" s="589"/>
      <c r="AC1699" s="589"/>
      <c r="AD1699" s="589"/>
      <c r="AE1699" s="589"/>
      <c r="AF1699" s="589"/>
      <c r="AG1699" s="589"/>
      <c r="AH1699" s="589"/>
      <c r="AI1699" s="589"/>
      <c r="AJ1699" s="589"/>
      <c r="AK1699" s="589"/>
      <c r="AL1699" s="589"/>
      <c r="AM1699" s="589"/>
      <c r="AN1699" s="589"/>
      <c r="AO1699" s="589"/>
      <c r="AP1699" s="589"/>
      <c r="AQ1699" s="589"/>
      <c r="AR1699" s="589"/>
      <c r="AS1699" s="589"/>
    </row>
    <row r="1700" spans="1:45" ht="15">
      <c r="A1700" s="587" t="s">
        <v>179</v>
      </c>
      <c r="B1700" s="587" t="s">
        <v>593</v>
      </c>
      <c r="C1700" s="587" t="s">
        <v>856</v>
      </c>
      <c r="D1700" s="588">
        <v>2018</v>
      </c>
      <c r="E1700" s="587" t="s">
        <v>775</v>
      </c>
      <c r="F1700" s="588">
        <v>7</v>
      </c>
      <c r="G1700" s="588">
        <v>0</v>
      </c>
      <c r="H1700" s="588">
        <v>0</v>
      </c>
      <c r="I1700" s="588">
        <v>0</v>
      </c>
      <c r="J1700" s="588">
        <v>5</v>
      </c>
      <c r="K1700" s="588">
        <v>0</v>
      </c>
      <c r="L1700" s="588">
        <v>0</v>
      </c>
      <c r="M1700" s="588">
        <v>0</v>
      </c>
      <c r="N1700" s="588">
        <v>15</v>
      </c>
      <c r="O1700" s="588">
        <v>1</v>
      </c>
      <c r="P1700" s="588">
        <v>34</v>
      </c>
      <c r="Q1700" s="588">
        <v>0</v>
      </c>
      <c r="R1700" s="588">
        <v>61</v>
      </c>
      <c r="S1700" s="588">
        <v>1</v>
      </c>
      <c r="T1700" s="588">
        <v>2018</v>
      </c>
      <c r="U1700" s="588">
        <v>2013</v>
      </c>
      <c r="V1700" s="589"/>
      <c r="W1700" s="589"/>
      <c r="X1700" s="589"/>
      <c r="Y1700" s="589"/>
      <c r="Z1700" s="589"/>
      <c r="AA1700" s="589"/>
      <c r="AB1700" s="589"/>
      <c r="AC1700" s="589"/>
      <c r="AD1700" s="589"/>
      <c r="AE1700" s="589"/>
      <c r="AF1700" s="589"/>
      <c r="AG1700" s="589"/>
      <c r="AH1700" s="589"/>
      <c r="AI1700" s="589"/>
      <c r="AJ1700" s="589"/>
      <c r="AK1700" s="589"/>
      <c r="AL1700" s="589"/>
      <c r="AM1700" s="589"/>
      <c r="AN1700" s="589"/>
      <c r="AO1700" s="589"/>
      <c r="AP1700" s="589"/>
      <c r="AQ1700" s="589"/>
      <c r="AR1700" s="589"/>
      <c r="AS1700" s="589"/>
    </row>
    <row r="1701" spans="1:45" ht="15">
      <c r="A1701" s="590" t="s">
        <v>138</v>
      </c>
      <c r="B1701" s="591" t="s">
        <v>286</v>
      </c>
      <c r="C1701" s="591" t="s">
        <v>785</v>
      </c>
      <c r="D1701" s="592">
        <v>2018</v>
      </c>
      <c r="E1701" s="591" t="s">
        <v>775</v>
      </c>
      <c r="F1701" s="592">
        <v>60</v>
      </c>
      <c r="G1701" s="592">
        <v>3</v>
      </c>
      <c r="H1701" s="592">
        <v>0</v>
      </c>
      <c r="I1701" s="592">
        <v>3</v>
      </c>
      <c r="J1701" s="592">
        <v>37</v>
      </c>
      <c r="K1701" s="592">
        <v>9</v>
      </c>
      <c r="L1701" s="592">
        <v>0</v>
      </c>
      <c r="M1701" s="592">
        <v>9</v>
      </c>
      <c r="N1701" s="593">
        <v>30</v>
      </c>
      <c r="O1701" s="593">
        <v>8</v>
      </c>
      <c r="P1701" s="593">
        <v>106</v>
      </c>
      <c r="Q1701" s="593">
        <v>24</v>
      </c>
      <c r="R1701" s="593">
        <v>233</v>
      </c>
      <c r="S1701" s="593">
        <v>44</v>
      </c>
      <c r="T1701" s="593">
        <v>2018</v>
      </c>
      <c r="U1701" s="593">
        <v>2014</v>
      </c>
      <c r="V1701" s="589"/>
      <c r="W1701" s="589"/>
      <c r="X1701" s="589"/>
      <c r="Y1701" s="589"/>
      <c r="Z1701" s="589"/>
      <c r="AA1701" s="589"/>
      <c r="AB1701" s="589"/>
      <c r="AC1701" s="589"/>
      <c r="AD1701" s="589"/>
      <c r="AE1701" s="589"/>
      <c r="AF1701" s="589"/>
      <c r="AG1701" s="589"/>
      <c r="AH1701" s="589"/>
      <c r="AI1701" s="589"/>
      <c r="AJ1701" s="589"/>
      <c r="AK1701" s="589"/>
      <c r="AL1701" s="589"/>
      <c r="AM1701" s="589"/>
      <c r="AN1701" s="589"/>
      <c r="AO1701" s="589"/>
      <c r="AP1701" s="589"/>
      <c r="AQ1701" s="589"/>
      <c r="AR1701" s="589"/>
      <c r="AS1701" s="589"/>
    </row>
    <row r="1702" spans="1:45" ht="15">
      <c r="A1702" s="587" t="s">
        <v>164</v>
      </c>
      <c r="B1702" s="587" t="s">
        <v>465</v>
      </c>
      <c r="C1702" s="587" t="s">
        <v>811</v>
      </c>
      <c r="D1702" s="588">
        <v>2018</v>
      </c>
      <c r="E1702" s="587" t="s">
        <v>775</v>
      </c>
      <c r="F1702" s="588">
        <v>7</v>
      </c>
      <c r="G1702" s="588">
        <v>0</v>
      </c>
      <c r="H1702" s="588">
        <v>0</v>
      </c>
      <c r="I1702" s="588">
        <v>0</v>
      </c>
      <c r="J1702" s="588">
        <v>4</v>
      </c>
      <c r="K1702" s="588">
        <v>0</v>
      </c>
      <c r="L1702" s="588">
        <v>0</v>
      </c>
      <c r="M1702" s="588">
        <v>0</v>
      </c>
      <c r="N1702" s="588">
        <v>5</v>
      </c>
      <c r="O1702" s="588">
        <v>0</v>
      </c>
      <c r="P1702" s="588">
        <v>11</v>
      </c>
      <c r="Q1702" s="588">
        <v>0</v>
      </c>
      <c r="R1702" s="588">
        <v>27</v>
      </c>
      <c r="S1702" s="588">
        <v>0</v>
      </c>
      <c r="T1702" s="588">
        <v>2018</v>
      </c>
      <c r="U1702" s="588">
        <v>2016</v>
      </c>
      <c r="V1702" s="589"/>
      <c r="W1702" s="589"/>
      <c r="X1702" s="589"/>
      <c r="Y1702" s="589"/>
      <c r="Z1702" s="589"/>
      <c r="AA1702" s="589"/>
      <c r="AB1702" s="589"/>
      <c r="AC1702" s="589"/>
      <c r="AD1702" s="589"/>
      <c r="AE1702" s="589"/>
      <c r="AF1702" s="589"/>
      <c r="AG1702" s="589"/>
      <c r="AH1702" s="589"/>
      <c r="AI1702" s="589"/>
      <c r="AJ1702" s="589"/>
      <c r="AK1702" s="589"/>
      <c r="AL1702" s="589"/>
      <c r="AM1702" s="589"/>
      <c r="AN1702" s="589"/>
      <c r="AO1702" s="589"/>
      <c r="AP1702" s="589"/>
      <c r="AQ1702" s="589"/>
      <c r="AR1702" s="589"/>
      <c r="AS1702" s="589"/>
    </row>
    <row r="1703" spans="1:45" ht="15">
      <c r="A1703" s="590" t="s">
        <v>148</v>
      </c>
      <c r="B1703" s="591" t="s">
        <v>327</v>
      </c>
      <c r="C1703" s="591" t="s">
        <v>811</v>
      </c>
      <c r="D1703" s="592">
        <v>2018</v>
      </c>
      <c r="E1703" s="591" t="s">
        <v>775</v>
      </c>
      <c r="F1703" s="592">
        <v>396</v>
      </c>
      <c r="G1703" s="592">
        <v>0</v>
      </c>
      <c r="H1703" s="592">
        <v>0</v>
      </c>
      <c r="I1703" s="592">
        <v>0</v>
      </c>
      <c r="J1703" s="592">
        <v>277</v>
      </c>
      <c r="K1703" s="592">
        <v>0</v>
      </c>
      <c r="L1703" s="592">
        <v>0</v>
      </c>
      <c r="M1703" s="592">
        <v>0</v>
      </c>
      <c r="N1703" s="593">
        <v>243</v>
      </c>
      <c r="O1703" s="593">
        <v>0</v>
      </c>
      <c r="P1703" s="593">
        <v>546</v>
      </c>
      <c r="Q1703" s="593">
        <v>68</v>
      </c>
      <c r="R1703" s="593">
        <v>1462</v>
      </c>
      <c r="S1703" s="593">
        <v>68</v>
      </c>
      <c r="T1703" s="593">
        <v>2018</v>
      </c>
      <c r="U1703" s="593">
        <v>2016</v>
      </c>
      <c r="V1703" s="589"/>
      <c r="W1703" s="589"/>
      <c r="X1703" s="589"/>
      <c r="Y1703" s="589"/>
      <c r="Z1703" s="589"/>
      <c r="AA1703" s="589"/>
      <c r="AB1703" s="589"/>
      <c r="AC1703" s="589"/>
      <c r="AD1703" s="589"/>
      <c r="AE1703" s="589"/>
      <c r="AF1703" s="589"/>
      <c r="AG1703" s="589"/>
      <c r="AH1703" s="589"/>
      <c r="AI1703" s="589"/>
      <c r="AJ1703" s="589"/>
      <c r="AK1703" s="589"/>
      <c r="AL1703" s="589"/>
      <c r="AM1703" s="589"/>
      <c r="AN1703" s="589"/>
      <c r="AO1703" s="589"/>
      <c r="AP1703" s="589"/>
      <c r="AQ1703" s="589"/>
      <c r="AR1703" s="589"/>
      <c r="AS1703" s="589"/>
    </row>
    <row r="1704" spans="1:45" ht="15">
      <c r="A1704" s="587" t="s">
        <v>173</v>
      </c>
      <c r="B1704" s="587" t="s">
        <v>536</v>
      </c>
      <c r="C1704" s="587" t="s">
        <v>813</v>
      </c>
      <c r="D1704" s="588">
        <v>2018</v>
      </c>
      <c r="E1704" s="587" t="s">
        <v>775</v>
      </c>
      <c r="F1704" s="588">
        <v>946</v>
      </c>
      <c r="G1704" s="588">
        <v>10</v>
      </c>
      <c r="H1704" s="588">
        <v>10</v>
      </c>
      <c r="I1704" s="588">
        <v>0</v>
      </c>
      <c r="J1704" s="588">
        <v>661</v>
      </c>
      <c r="K1704" s="588">
        <v>1</v>
      </c>
      <c r="L1704" s="588">
        <v>0</v>
      </c>
      <c r="M1704" s="588">
        <v>1</v>
      </c>
      <c r="N1704" s="588">
        <v>772</v>
      </c>
      <c r="O1704" s="588">
        <v>34</v>
      </c>
      <c r="P1704" s="588">
        <v>1817</v>
      </c>
      <c r="Q1704" s="588">
        <v>0</v>
      </c>
      <c r="R1704" s="588">
        <v>4196</v>
      </c>
      <c r="S1704" s="588">
        <v>45</v>
      </c>
      <c r="T1704" s="588">
        <v>2018</v>
      </c>
      <c r="U1704" s="588">
        <v>2014</v>
      </c>
      <c r="V1704" s="589"/>
      <c r="W1704" s="589"/>
      <c r="X1704" s="589"/>
      <c r="Y1704" s="589"/>
      <c r="Z1704" s="589"/>
      <c r="AA1704" s="589"/>
      <c r="AB1704" s="589"/>
      <c r="AC1704" s="589"/>
      <c r="AD1704" s="589"/>
      <c r="AE1704" s="589"/>
      <c r="AF1704" s="589"/>
      <c r="AG1704" s="589"/>
      <c r="AH1704" s="589"/>
      <c r="AI1704" s="589"/>
      <c r="AJ1704" s="589"/>
      <c r="AK1704" s="589"/>
      <c r="AL1704" s="589"/>
      <c r="AM1704" s="589"/>
      <c r="AN1704" s="589"/>
      <c r="AO1704" s="589"/>
      <c r="AP1704" s="589"/>
      <c r="AQ1704" s="589"/>
      <c r="AR1704" s="589"/>
      <c r="AS1704" s="589"/>
    </row>
    <row r="1705" spans="1:45" ht="15">
      <c r="A1705" s="590" t="s">
        <v>153</v>
      </c>
      <c r="B1705" s="591" t="s">
        <v>368</v>
      </c>
      <c r="C1705" s="591" t="s">
        <v>813</v>
      </c>
      <c r="D1705" s="592">
        <v>2018</v>
      </c>
      <c r="E1705" s="591" t="s">
        <v>775</v>
      </c>
      <c r="F1705" s="592">
        <v>308</v>
      </c>
      <c r="G1705" s="592">
        <v>0</v>
      </c>
      <c r="H1705" s="592">
        <v>0</v>
      </c>
      <c r="I1705" s="592">
        <v>0</v>
      </c>
      <c r="J1705" s="592">
        <v>182</v>
      </c>
      <c r="K1705" s="592">
        <v>0</v>
      </c>
      <c r="L1705" s="592">
        <v>0</v>
      </c>
      <c r="M1705" s="592">
        <v>0</v>
      </c>
      <c r="N1705" s="593">
        <v>190</v>
      </c>
      <c r="O1705" s="593">
        <v>0</v>
      </c>
      <c r="P1705" s="593">
        <v>466</v>
      </c>
      <c r="Q1705" s="593">
        <v>33</v>
      </c>
      <c r="R1705" s="593">
        <v>1146</v>
      </c>
      <c r="S1705" s="593">
        <v>33</v>
      </c>
      <c r="T1705" s="593">
        <v>2018</v>
      </c>
      <c r="U1705" s="593">
        <v>2014</v>
      </c>
      <c r="V1705" s="589"/>
      <c r="W1705" s="589"/>
      <c r="X1705" s="589"/>
      <c r="Y1705" s="589"/>
      <c r="Z1705" s="589"/>
      <c r="AA1705" s="589"/>
      <c r="AB1705" s="589"/>
      <c r="AC1705" s="589"/>
      <c r="AD1705" s="589"/>
      <c r="AE1705" s="589"/>
      <c r="AF1705" s="589"/>
      <c r="AG1705" s="589"/>
      <c r="AH1705" s="589"/>
      <c r="AI1705" s="589"/>
      <c r="AJ1705" s="589"/>
      <c r="AK1705" s="589"/>
      <c r="AL1705" s="589"/>
      <c r="AM1705" s="589"/>
      <c r="AN1705" s="589"/>
      <c r="AO1705" s="589"/>
      <c r="AP1705" s="589"/>
      <c r="AQ1705" s="589"/>
      <c r="AR1705" s="589"/>
      <c r="AS1705" s="589"/>
    </row>
    <row r="1706" spans="1:45" ht="15">
      <c r="A1706" s="587" t="s">
        <v>199</v>
      </c>
      <c r="B1706" s="587" t="s">
        <v>720</v>
      </c>
      <c r="C1706" s="587" t="s">
        <v>811</v>
      </c>
      <c r="D1706" s="588">
        <v>2018</v>
      </c>
      <c r="E1706" s="587" t="s">
        <v>775</v>
      </c>
      <c r="F1706" s="588">
        <v>211</v>
      </c>
      <c r="G1706" s="588">
        <v>0</v>
      </c>
      <c r="H1706" s="588">
        <v>0</v>
      </c>
      <c r="I1706" s="588">
        <v>0</v>
      </c>
      <c r="J1706" s="588">
        <v>163</v>
      </c>
      <c r="K1706" s="588">
        <v>0</v>
      </c>
      <c r="L1706" s="588">
        <v>0</v>
      </c>
      <c r="M1706" s="588">
        <v>0</v>
      </c>
      <c r="N1706" s="588">
        <v>121</v>
      </c>
      <c r="O1706" s="588">
        <v>69</v>
      </c>
      <c r="P1706" s="588">
        <v>470</v>
      </c>
      <c r="Q1706" s="588">
        <v>30</v>
      </c>
      <c r="R1706" s="588">
        <v>965</v>
      </c>
      <c r="S1706" s="588">
        <v>99</v>
      </c>
      <c r="T1706" s="588">
        <v>2018</v>
      </c>
      <c r="U1706" s="588">
        <v>2016</v>
      </c>
      <c r="V1706" s="589"/>
      <c r="W1706" s="589"/>
      <c r="X1706" s="589"/>
      <c r="Y1706" s="589"/>
      <c r="Z1706" s="589"/>
      <c r="AA1706" s="589"/>
      <c r="AB1706" s="589"/>
      <c r="AC1706" s="589"/>
      <c r="AD1706" s="589"/>
      <c r="AE1706" s="589"/>
      <c r="AF1706" s="589"/>
      <c r="AG1706" s="589"/>
      <c r="AH1706" s="589"/>
      <c r="AI1706" s="589"/>
      <c r="AJ1706" s="589"/>
      <c r="AK1706" s="589"/>
      <c r="AL1706" s="589"/>
      <c r="AM1706" s="589"/>
      <c r="AN1706" s="589"/>
      <c r="AO1706" s="589"/>
      <c r="AP1706" s="589"/>
      <c r="AQ1706" s="589"/>
      <c r="AR1706" s="589"/>
      <c r="AS1706" s="589"/>
    </row>
    <row r="1707" spans="1:45" ht="15">
      <c r="A1707" s="590" t="s">
        <v>192</v>
      </c>
      <c r="B1707" s="591" t="s">
        <v>687</v>
      </c>
      <c r="C1707" s="591" t="s">
        <v>782</v>
      </c>
      <c r="D1707" s="592">
        <v>2018</v>
      </c>
      <c r="E1707" s="591" t="s">
        <v>775</v>
      </c>
      <c r="F1707" s="592">
        <v>50</v>
      </c>
      <c r="G1707" s="592">
        <v>0</v>
      </c>
      <c r="H1707" s="592">
        <v>0</v>
      </c>
      <c r="I1707" s="592">
        <v>0</v>
      </c>
      <c r="J1707" s="592">
        <v>24</v>
      </c>
      <c r="K1707" s="592">
        <v>0</v>
      </c>
      <c r="L1707" s="592">
        <v>0</v>
      </c>
      <c r="M1707" s="592">
        <v>0</v>
      </c>
      <c r="N1707" s="593">
        <v>30</v>
      </c>
      <c r="O1707" s="593">
        <v>0</v>
      </c>
      <c r="P1707" s="593">
        <v>93</v>
      </c>
      <c r="Q1707" s="593">
        <v>0</v>
      </c>
      <c r="R1707" s="593">
        <v>197</v>
      </c>
      <c r="S1707" s="593">
        <v>0</v>
      </c>
      <c r="T1707" s="593">
        <v>2018</v>
      </c>
      <c r="U1707" s="593">
        <v>2015</v>
      </c>
      <c r="V1707" s="589"/>
      <c r="W1707" s="589"/>
      <c r="X1707" s="589"/>
      <c r="Y1707" s="589"/>
      <c r="Z1707" s="589"/>
      <c r="AA1707" s="589"/>
      <c r="AB1707" s="589"/>
      <c r="AC1707" s="589"/>
      <c r="AD1707" s="589"/>
      <c r="AE1707" s="589"/>
      <c r="AF1707" s="589"/>
      <c r="AG1707" s="589"/>
      <c r="AH1707" s="589"/>
      <c r="AI1707" s="589"/>
      <c r="AJ1707" s="589"/>
      <c r="AK1707" s="589"/>
      <c r="AL1707" s="589"/>
      <c r="AM1707" s="589"/>
      <c r="AN1707" s="589"/>
      <c r="AO1707" s="589"/>
      <c r="AP1707" s="589"/>
      <c r="AQ1707" s="589"/>
      <c r="AR1707" s="589"/>
      <c r="AS1707" s="589"/>
    </row>
    <row r="1708" spans="1:45" ht="15">
      <c r="A1708" s="587" t="s">
        <v>191</v>
      </c>
      <c r="B1708" s="587" t="s">
        <v>676</v>
      </c>
      <c r="C1708" s="587" t="s">
        <v>785</v>
      </c>
      <c r="D1708" s="588">
        <v>2018</v>
      </c>
      <c r="E1708" s="587" t="s">
        <v>775</v>
      </c>
      <c r="F1708" s="588">
        <v>3</v>
      </c>
      <c r="G1708" s="588">
        <v>0</v>
      </c>
      <c r="H1708" s="588">
        <v>0</v>
      </c>
      <c r="I1708" s="588">
        <v>0</v>
      </c>
      <c r="J1708" s="588">
        <v>2</v>
      </c>
      <c r="K1708" s="588">
        <v>0</v>
      </c>
      <c r="L1708" s="588">
        <v>0</v>
      </c>
      <c r="M1708" s="588">
        <v>0</v>
      </c>
      <c r="N1708" s="588">
        <v>2</v>
      </c>
      <c r="O1708" s="588">
        <v>0</v>
      </c>
      <c r="P1708" s="588">
        <v>5</v>
      </c>
      <c r="Q1708" s="588">
        <v>0</v>
      </c>
      <c r="R1708" s="588">
        <v>12</v>
      </c>
      <c r="S1708" s="588">
        <v>0</v>
      </c>
      <c r="T1708" s="588">
        <v>2018</v>
      </c>
      <c r="U1708" s="588">
        <v>2014</v>
      </c>
      <c r="V1708" s="589"/>
      <c r="W1708" s="589"/>
      <c r="X1708" s="589"/>
      <c r="Y1708" s="589"/>
      <c r="Z1708" s="589"/>
      <c r="AA1708" s="589"/>
      <c r="AB1708" s="589"/>
      <c r="AC1708" s="589"/>
      <c r="AD1708" s="589"/>
      <c r="AE1708" s="589"/>
      <c r="AF1708" s="589"/>
      <c r="AG1708" s="589"/>
      <c r="AH1708" s="589"/>
      <c r="AI1708" s="589"/>
      <c r="AJ1708" s="589"/>
      <c r="AK1708" s="589"/>
      <c r="AL1708" s="589"/>
      <c r="AM1708" s="589"/>
      <c r="AN1708" s="589"/>
      <c r="AO1708" s="589"/>
      <c r="AP1708" s="589"/>
      <c r="AQ1708" s="589"/>
      <c r="AR1708" s="589"/>
      <c r="AS1708" s="589"/>
    </row>
    <row r="1709" spans="1:45" ht="15">
      <c r="A1709" s="590" t="s">
        <v>160</v>
      </c>
      <c r="B1709" s="591" t="s">
        <v>455</v>
      </c>
      <c r="C1709" s="591" t="s">
        <v>829</v>
      </c>
      <c r="D1709" s="592">
        <v>2018</v>
      </c>
      <c r="E1709" s="591" t="s">
        <v>775</v>
      </c>
      <c r="F1709" s="592">
        <v>71</v>
      </c>
      <c r="G1709" s="592">
        <v>0</v>
      </c>
      <c r="H1709" s="592">
        <v>0</v>
      </c>
      <c r="I1709" s="592">
        <v>0</v>
      </c>
      <c r="J1709" s="592">
        <v>27</v>
      </c>
      <c r="K1709" s="592">
        <v>3</v>
      </c>
      <c r="L1709" s="592">
        <v>0</v>
      </c>
      <c r="M1709" s="592">
        <v>3</v>
      </c>
      <c r="N1709" s="593">
        <v>47</v>
      </c>
      <c r="O1709" s="593">
        <v>0</v>
      </c>
      <c r="P1709" s="593">
        <v>124</v>
      </c>
      <c r="Q1709" s="593">
        <v>0</v>
      </c>
      <c r="R1709" s="593">
        <v>269</v>
      </c>
      <c r="S1709" s="593">
        <v>3</v>
      </c>
      <c r="T1709" s="593">
        <v>2018</v>
      </c>
      <c r="U1709" s="593">
        <v>2016</v>
      </c>
      <c r="V1709" s="589"/>
      <c r="W1709" s="589"/>
      <c r="X1709" s="589"/>
      <c r="Y1709" s="589"/>
      <c r="Z1709" s="589"/>
      <c r="AA1709" s="589"/>
      <c r="AB1709" s="589"/>
      <c r="AC1709" s="589"/>
      <c r="AD1709" s="589"/>
      <c r="AE1709" s="589"/>
      <c r="AF1709" s="589"/>
      <c r="AG1709" s="589"/>
      <c r="AH1709" s="589"/>
      <c r="AI1709" s="589"/>
      <c r="AJ1709" s="589"/>
      <c r="AK1709" s="589"/>
      <c r="AL1709" s="589"/>
      <c r="AM1709" s="589"/>
      <c r="AN1709" s="589"/>
      <c r="AO1709" s="589"/>
      <c r="AP1709" s="589"/>
      <c r="AQ1709" s="589"/>
      <c r="AR1709" s="589"/>
      <c r="AS1709" s="589"/>
    </row>
    <row r="1710" spans="1:45" ht="15">
      <c r="A1710" s="587" t="s">
        <v>153</v>
      </c>
      <c r="B1710" s="587" t="s">
        <v>369</v>
      </c>
      <c r="C1710" s="587" t="s">
        <v>813</v>
      </c>
      <c r="D1710" s="588">
        <v>2018</v>
      </c>
      <c r="E1710" s="587" t="s">
        <v>775</v>
      </c>
      <c r="F1710" s="588">
        <v>210</v>
      </c>
      <c r="G1710" s="588">
        <v>0</v>
      </c>
      <c r="H1710" s="588">
        <v>0</v>
      </c>
      <c r="I1710" s="588">
        <v>0</v>
      </c>
      <c r="J1710" s="588">
        <v>123</v>
      </c>
      <c r="K1710" s="588">
        <v>0</v>
      </c>
      <c r="L1710" s="588">
        <v>0</v>
      </c>
      <c r="M1710" s="588">
        <v>0</v>
      </c>
      <c r="N1710" s="588">
        <v>135</v>
      </c>
      <c r="O1710" s="588">
        <v>0</v>
      </c>
      <c r="P1710" s="588">
        <v>346</v>
      </c>
      <c r="Q1710" s="588">
        <v>87</v>
      </c>
      <c r="R1710" s="588">
        <v>814</v>
      </c>
      <c r="S1710" s="588">
        <v>87</v>
      </c>
      <c r="T1710" s="588">
        <v>2018</v>
      </c>
      <c r="U1710" s="588">
        <v>2014</v>
      </c>
      <c r="V1710" s="589"/>
      <c r="W1710" s="589"/>
      <c r="X1710" s="589"/>
      <c r="Y1710" s="589"/>
      <c r="Z1710" s="589"/>
      <c r="AA1710" s="589"/>
      <c r="AB1710" s="589"/>
      <c r="AC1710" s="589"/>
      <c r="AD1710" s="589"/>
      <c r="AE1710" s="589"/>
      <c r="AF1710" s="589"/>
      <c r="AG1710" s="589"/>
      <c r="AH1710" s="589"/>
      <c r="AI1710" s="589"/>
      <c r="AJ1710" s="589"/>
      <c r="AK1710" s="589"/>
      <c r="AL1710" s="589"/>
      <c r="AM1710" s="589"/>
      <c r="AN1710" s="589"/>
      <c r="AO1710" s="589"/>
      <c r="AP1710" s="589"/>
      <c r="AQ1710" s="589"/>
      <c r="AR1710" s="589"/>
      <c r="AS1710" s="589"/>
    </row>
    <row r="1711" spans="1:45" ht="15">
      <c r="A1711" s="590" t="s">
        <v>153</v>
      </c>
      <c r="B1711" s="591" t="s">
        <v>370</v>
      </c>
      <c r="C1711" s="591" t="s">
        <v>813</v>
      </c>
      <c r="D1711" s="592">
        <v>2018</v>
      </c>
      <c r="E1711" s="591" t="s">
        <v>775</v>
      </c>
      <c r="F1711" s="592">
        <v>87</v>
      </c>
      <c r="G1711" s="592">
        <v>0</v>
      </c>
      <c r="H1711" s="592">
        <v>0</v>
      </c>
      <c r="I1711" s="592">
        <v>0</v>
      </c>
      <c r="J1711" s="592">
        <v>53</v>
      </c>
      <c r="K1711" s="592">
        <v>6</v>
      </c>
      <c r="L1711" s="592">
        <v>0</v>
      </c>
      <c r="M1711" s="592">
        <v>6</v>
      </c>
      <c r="N1711" s="593">
        <v>55</v>
      </c>
      <c r="O1711" s="593">
        <v>0</v>
      </c>
      <c r="P1711" s="593">
        <v>142</v>
      </c>
      <c r="Q1711" s="593">
        <v>18</v>
      </c>
      <c r="R1711" s="593">
        <v>337</v>
      </c>
      <c r="S1711" s="593">
        <v>24</v>
      </c>
      <c r="T1711" s="593">
        <v>2018</v>
      </c>
      <c r="U1711" s="593">
        <v>2014</v>
      </c>
      <c r="V1711" s="589"/>
      <c r="W1711" s="589"/>
      <c r="X1711" s="589"/>
      <c r="Y1711" s="589"/>
      <c r="Z1711" s="589"/>
      <c r="AA1711" s="589"/>
      <c r="AB1711" s="589"/>
      <c r="AC1711" s="589"/>
      <c r="AD1711" s="589"/>
      <c r="AE1711" s="589"/>
      <c r="AF1711" s="589"/>
      <c r="AG1711" s="589"/>
      <c r="AH1711" s="589"/>
      <c r="AI1711" s="589"/>
      <c r="AJ1711" s="589"/>
      <c r="AK1711" s="589"/>
      <c r="AL1711" s="589"/>
      <c r="AM1711" s="589"/>
      <c r="AN1711" s="589"/>
      <c r="AO1711" s="589"/>
      <c r="AP1711" s="589"/>
      <c r="AQ1711" s="589"/>
      <c r="AR1711" s="589"/>
      <c r="AS1711" s="589"/>
    </row>
    <row r="1712" spans="1:45" ht="15">
      <c r="A1712" s="587" t="s">
        <v>125</v>
      </c>
      <c r="B1712" s="587" t="s">
        <v>236</v>
      </c>
      <c r="C1712" s="587" t="s">
        <v>782</v>
      </c>
      <c r="D1712" s="588">
        <v>2018</v>
      </c>
      <c r="E1712" s="587" t="s">
        <v>775</v>
      </c>
      <c r="F1712" s="588">
        <v>796</v>
      </c>
      <c r="G1712" s="588">
        <v>0</v>
      </c>
      <c r="H1712" s="588">
        <v>0</v>
      </c>
      <c r="I1712" s="588">
        <v>0</v>
      </c>
      <c r="J1712" s="588">
        <v>446</v>
      </c>
      <c r="K1712" s="588">
        <v>0</v>
      </c>
      <c r="L1712" s="588">
        <v>0</v>
      </c>
      <c r="M1712" s="588">
        <v>0</v>
      </c>
      <c r="N1712" s="588">
        <v>425</v>
      </c>
      <c r="O1712" s="588">
        <v>17</v>
      </c>
      <c r="P1712" s="588">
        <v>618</v>
      </c>
      <c r="Q1712" s="588">
        <v>770</v>
      </c>
      <c r="R1712" s="588">
        <v>2285</v>
      </c>
      <c r="S1712" s="588">
        <v>787</v>
      </c>
      <c r="T1712" s="588">
        <v>2018</v>
      </c>
      <c r="U1712" s="588">
        <v>2015</v>
      </c>
      <c r="V1712" s="589"/>
      <c r="W1712" s="589"/>
      <c r="X1712" s="589"/>
      <c r="Y1712" s="589"/>
      <c r="Z1712" s="589"/>
      <c r="AA1712" s="589"/>
      <c r="AB1712" s="589"/>
      <c r="AC1712" s="589"/>
      <c r="AD1712" s="589"/>
      <c r="AE1712" s="589"/>
      <c r="AF1712" s="589"/>
      <c r="AG1712" s="589"/>
      <c r="AH1712" s="589"/>
      <c r="AI1712" s="589"/>
      <c r="AJ1712" s="589"/>
      <c r="AK1712" s="589"/>
      <c r="AL1712" s="589"/>
      <c r="AM1712" s="589"/>
      <c r="AN1712" s="589"/>
      <c r="AO1712" s="589"/>
      <c r="AP1712" s="589"/>
      <c r="AQ1712" s="589"/>
      <c r="AR1712" s="589"/>
      <c r="AS1712" s="589"/>
    </row>
    <row r="1713" spans="1:45" ht="15">
      <c r="A1713" s="590" t="s">
        <v>191</v>
      </c>
      <c r="B1713" s="591" t="s">
        <v>677</v>
      </c>
      <c r="C1713" s="591" t="s">
        <v>785</v>
      </c>
      <c r="D1713" s="592">
        <v>2018</v>
      </c>
      <c r="E1713" s="591" t="s">
        <v>775</v>
      </c>
      <c r="F1713" s="592">
        <v>6</v>
      </c>
      <c r="G1713" s="592">
        <v>0</v>
      </c>
      <c r="H1713" s="592">
        <v>0</v>
      </c>
      <c r="I1713" s="592">
        <v>0</v>
      </c>
      <c r="J1713" s="592">
        <v>4</v>
      </c>
      <c r="K1713" s="592">
        <v>0</v>
      </c>
      <c r="L1713" s="592">
        <v>0</v>
      </c>
      <c r="M1713" s="592">
        <v>0</v>
      </c>
      <c r="N1713" s="593">
        <v>4</v>
      </c>
      <c r="O1713" s="593">
        <v>0</v>
      </c>
      <c r="P1713" s="593">
        <v>9</v>
      </c>
      <c r="Q1713" s="593">
        <v>0</v>
      </c>
      <c r="R1713" s="593">
        <v>23</v>
      </c>
      <c r="S1713" s="593">
        <v>0</v>
      </c>
      <c r="T1713" s="593">
        <v>2018</v>
      </c>
      <c r="U1713" s="593">
        <v>2014</v>
      </c>
      <c r="V1713" s="589"/>
      <c r="W1713" s="589"/>
      <c r="X1713" s="589"/>
      <c r="Y1713" s="589"/>
      <c r="Z1713" s="589"/>
      <c r="AA1713" s="589"/>
      <c r="AB1713" s="589"/>
      <c r="AC1713" s="589"/>
      <c r="AD1713" s="589"/>
      <c r="AE1713" s="589"/>
      <c r="AF1713" s="589"/>
      <c r="AG1713" s="589"/>
      <c r="AH1713" s="589"/>
      <c r="AI1713" s="589"/>
      <c r="AJ1713" s="589"/>
      <c r="AK1713" s="589"/>
      <c r="AL1713" s="589"/>
      <c r="AM1713" s="589"/>
      <c r="AN1713" s="589"/>
      <c r="AO1713" s="589"/>
      <c r="AP1713" s="589"/>
      <c r="AQ1713" s="589"/>
      <c r="AR1713" s="589"/>
      <c r="AS1713" s="589"/>
    </row>
    <row r="1714" spans="1:45" ht="15">
      <c r="A1714" s="587" t="s">
        <v>184</v>
      </c>
      <c r="B1714" s="587" t="s">
        <v>629</v>
      </c>
      <c r="C1714" s="587" t="s">
        <v>782</v>
      </c>
      <c r="D1714" s="588">
        <v>2018</v>
      </c>
      <c r="E1714" s="587" t="s">
        <v>775</v>
      </c>
      <c r="F1714" s="588">
        <v>64</v>
      </c>
      <c r="G1714" s="588">
        <v>0</v>
      </c>
      <c r="H1714" s="588">
        <v>0</v>
      </c>
      <c r="I1714" s="588">
        <v>0</v>
      </c>
      <c r="J1714" s="588">
        <v>54</v>
      </c>
      <c r="K1714" s="588">
        <v>0</v>
      </c>
      <c r="L1714" s="588">
        <v>0</v>
      </c>
      <c r="M1714" s="588">
        <v>0</v>
      </c>
      <c r="N1714" s="588">
        <v>83</v>
      </c>
      <c r="O1714" s="588">
        <v>0</v>
      </c>
      <c r="P1714" s="588">
        <v>266</v>
      </c>
      <c r="Q1714" s="588">
        <v>0</v>
      </c>
      <c r="R1714" s="588">
        <v>467</v>
      </c>
      <c r="S1714" s="588">
        <v>0</v>
      </c>
      <c r="T1714" s="588">
        <v>2018</v>
      </c>
      <c r="U1714" s="588">
        <v>2015</v>
      </c>
      <c r="V1714" s="589"/>
      <c r="W1714" s="589"/>
      <c r="X1714" s="589"/>
      <c r="Y1714" s="589"/>
      <c r="Z1714" s="589"/>
      <c r="AA1714" s="589"/>
      <c r="AB1714" s="589"/>
      <c r="AC1714" s="589"/>
      <c r="AD1714" s="589"/>
      <c r="AE1714" s="589"/>
      <c r="AF1714" s="589"/>
      <c r="AG1714" s="589"/>
      <c r="AH1714" s="589"/>
      <c r="AI1714" s="589"/>
      <c r="AJ1714" s="589"/>
      <c r="AK1714" s="589"/>
      <c r="AL1714" s="589"/>
      <c r="AM1714" s="589"/>
      <c r="AN1714" s="589"/>
      <c r="AO1714" s="589"/>
      <c r="AP1714" s="589"/>
      <c r="AQ1714" s="589"/>
      <c r="AR1714" s="589"/>
      <c r="AS1714" s="589"/>
    </row>
    <row r="1715" spans="1:45" ht="15">
      <c r="A1715" s="590" t="s">
        <v>173</v>
      </c>
      <c r="B1715" s="591" t="s">
        <v>537</v>
      </c>
      <c r="C1715" s="591" t="s">
        <v>813</v>
      </c>
      <c r="D1715" s="592">
        <v>2018</v>
      </c>
      <c r="E1715" s="591" t="s">
        <v>775</v>
      </c>
      <c r="F1715" s="592">
        <v>374</v>
      </c>
      <c r="G1715" s="592">
        <v>0</v>
      </c>
      <c r="H1715" s="592">
        <v>0</v>
      </c>
      <c r="I1715" s="592">
        <v>0</v>
      </c>
      <c r="J1715" s="592">
        <v>250</v>
      </c>
      <c r="K1715" s="592">
        <v>0</v>
      </c>
      <c r="L1715" s="592">
        <v>0</v>
      </c>
      <c r="M1715" s="592">
        <v>0</v>
      </c>
      <c r="N1715" s="593">
        <v>274</v>
      </c>
      <c r="O1715" s="593">
        <v>0</v>
      </c>
      <c r="P1715" s="593">
        <v>565</v>
      </c>
      <c r="Q1715" s="593">
        <v>117</v>
      </c>
      <c r="R1715" s="593">
        <v>1463</v>
      </c>
      <c r="S1715" s="593">
        <v>117</v>
      </c>
      <c r="T1715" s="593">
        <v>2018</v>
      </c>
      <c r="U1715" s="593">
        <v>2014</v>
      </c>
      <c r="V1715" s="589"/>
      <c r="W1715" s="589"/>
      <c r="X1715" s="589"/>
      <c r="Y1715" s="589"/>
      <c r="Z1715" s="589"/>
      <c r="AA1715" s="589"/>
      <c r="AB1715" s="589"/>
      <c r="AC1715" s="589"/>
      <c r="AD1715" s="589"/>
      <c r="AE1715" s="589"/>
      <c r="AF1715" s="589"/>
      <c r="AG1715" s="589"/>
      <c r="AH1715" s="589"/>
      <c r="AI1715" s="589"/>
      <c r="AJ1715" s="589"/>
      <c r="AK1715" s="589"/>
      <c r="AL1715" s="589"/>
      <c r="AM1715" s="589"/>
      <c r="AN1715" s="589"/>
      <c r="AO1715" s="589"/>
      <c r="AP1715" s="589"/>
      <c r="AQ1715" s="589"/>
      <c r="AR1715" s="589"/>
      <c r="AS1715" s="589"/>
    </row>
    <row r="1716" spans="1:45" ht="15">
      <c r="A1716" s="587" t="s">
        <v>179</v>
      </c>
      <c r="B1716" s="587" t="s">
        <v>594</v>
      </c>
      <c r="C1716" s="587" t="s">
        <v>856</v>
      </c>
      <c r="D1716" s="588">
        <v>2018</v>
      </c>
      <c r="E1716" s="587" t="s">
        <v>775</v>
      </c>
      <c r="F1716" s="588">
        <v>1448</v>
      </c>
      <c r="G1716" s="588">
        <v>0</v>
      </c>
      <c r="H1716" s="588">
        <v>0</v>
      </c>
      <c r="I1716" s="588">
        <v>0</v>
      </c>
      <c r="J1716" s="588">
        <v>1101</v>
      </c>
      <c r="K1716" s="588">
        <v>74</v>
      </c>
      <c r="L1716" s="588">
        <v>74</v>
      </c>
      <c r="M1716" s="588">
        <v>0</v>
      </c>
      <c r="N1716" s="588">
        <v>1019</v>
      </c>
      <c r="O1716" s="588">
        <v>0</v>
      </c>
      <c r="P1716" s="588">
        <v>2237</v>
      </c>
      <c r="Q1716" s="588">
        <v>94</v>
      </c>
      <c r="R1716" s="588">
        <v>5805</v>
      </c>
      <c r="S1716" s="588">
        <v>168</v>
      </c>
      <c r="T1716" s="588">
        <v>2018</v>
      </c>
      <c r="U1716" s="588">
        <v>2013</v>
      </c>
      <c r="V1716" s="589"/>
      <c r="W1716" s="589"/>
      <c r="X1716" s="589"/>
      <c r="Y1716" s="589"/>
      <c r="Z1716" s="589"/>
      <c r="AA1716" s="589"/>
      <c r="AB1716" s="589"/>
      <c r="AC1716" s="589"/>
      <c r="AD1716" s="589"/>
      <c r="AE1716" s="589"/>
      <c r="AF1716" s="589"/>
      <c r="AG1716" s="589"/>
      <c r="AH1716" s="589"/>
      <c r="AI1716" s="589"/>
      <c r="AJ1716" s="589"/>
      <c r="AK1716" s="589"/>
      <c r="AL1716" s="589"/>
      <c r="AM1716" s="589"/>
      <c r="AN1716" s="589"/>
      <c r="AO1716" s="589"/>
      <c r="AP1716" s="589"/>
      <c r="AQ1716" s="589"/>
      <c r="AR1716" s="589"/>
      <c r="AS1716" s="589"/>
    </row>
    <row r="1717" spans="1:45" ht="15">
      <c r="A1717" s="590" t="s">
        <v>146</v>
      </c>
      <c r="B1717" s="591" t="s">
        <v>318</v>
      </c>
      <c r="C1717" s="591" t="s">
        <v>813</v>
      </c>
      <c r="D1717" s="592">
        <v>2018</v>
      </c>
      <c r="E1717" s="591" t="s">
        <v>775</v>
      </c>
      <c r="F1717" s="592">
        <v>487</v>
      </c>
      <c r="G1717" s="592">
        <v>80</v>
      </c>
      <c r="H1717" s="592">
        <v>0</v>
      </c>
      <c r="I1717" s="592">
        <v>80</v>
      </c>
      <c r="J1717" s="592">
        <v>300</v>
      </c>
      <c r="K1717" s="592">
        <v>7</v>
      </c>
      <c r="L1717" s="592">
        <v>0</v>
      </c>
      <c r="M1717" s="592">
        <v>7</v>
      </c>
      <c r="N1717" s="593">
        <v>297</v>
      </c>
      <c r="O1717" s="593">
        <v>92</v>
      </c>
      <c r="P1717" s="593">
        <v>840</v>
      </c>
      <c r="Q1717" s="593">
        <v>6</v>
      </c>
      <c r="R1717" s="593">
        <v>1924</v>
      </c>
      <c r="S1717" s="593">
        <v>185</v>
      </c>
      <c r="T1717" s="593">
        <v>2018</v>
      </c>
      <c r="U1717" s="593">
        <v>2014</v>
      </c>
      <c r="V1717" s="589"/>
      <c r="W1717" s="589"/>
      <c r="X1717" s="589"/>
      <c r="Y1717" s="589"/>
      <c r="Z1717" s="589"/>
      <c r="AA1717" s="589"/>
      <c r="AB1717" s="589"/>
      <c r="AC1717" s="589"/>
      <c r="AD1717" s="589"/>
      <c r="AE1717" s="589"/>
      <c r="AF1717" s="589"/>
      <c r="AG1717" s="589"/>
      <c r="AH1717" s="589"/>
      <c r="AI1717" s="589"/>
      <c r="AJ1717" s="589"/>
      <c r="AK1717" s="589"/>
      <c r="AL1717" s="589"/>
      <c r="AM1717" s="589"/>
      <c r="AN1717" s="589"/>
      <c r="AO1717" s="589"/>
      <c r="AP1717" s="589"/>
      <c r="AQ1717" s="589"/>
      <c r="AR1717" s="589"/>
      <c r="AS1717" s="589"/>
    </row>
    <row r="1718" spans="1:45" ht="15">
      <c r="A1718" s="587" t="s">
        <v>136</v>
      </c>
      <c r="B1718" s="587" t="s">
        <v>271</v>
      </c>
      <c r="C1718" s="587" t="s">
        <v>782</v>
      </c>
      <c r="D1718" s="588">
        <v>2018</v>
      </c>
      <c r="E1718" s="587" t="s">
        <v>775</v>
      </c>
      <c r="F1718" s="588">
        <v>100</v>
      </c>
      <c r="G1718" s="588">
        <v>0</v>
      </c>
      <c r="H1718" s="588">
        <v>0</v>
      </c>
      <c r="I1718" s="588">
        <v>0</v>
      </c>
      <c r="J1718" s="588">
        <v>63</v>
      </c>
      <c r="K1718" s="588">
        <v>0</v>
      </c>
      <c r="L1718" s="588">
        <v>0</v>
      </c>
      <c r="M1718" s="588">
        <v>0</v>
      </c>
      <c r="N1718" s="588">
        <v>69</v>
      </c>
      <c r="O1718" s="588">
        <v>0</v>
      </c>
      <c r="P1718" s="588">
        <v>166</v>
      </c>
      <c r="Q1718" s="588">
        <v>18</v>
      </c>
      <c r="R1718" s="588">
        <v>398</v>
      </c>
      <c r="S1718" s="588">
        <v>18</v>
      </c>
      <c r="T1718" s="588">
        <v>2018</v>
      </c>
      <c r="U1718" s="588">
        <v>2015</v>
      </c>
      <c r="V1718" s="589"/>
      <c r="W1718" s="589"/>
      <c r="X1718" s="589"/>
      <c r="Y1718" s="589"/>
      <c r="Z1718" s="589"/>
      <c r="AA1718" s="589"/>
      <c r="AB1718" s="589"/>
      <c r="AC1718" s="589"/>
      <c r="AD1718" s="589"/>
      <c r="AE1718" s="589"/>
      <c r="AF1718" s="589"/>
      <c r="AG1718" s="589"/>
      <c r="AH1718" s="589"/>
      <c r="AI1718" s="589"/>
      <c r="AJ1718" s="589"/>
      <c r="AK1718" s="589"/>
      <c r="AL1718" s="589"/>
      <c r="AM1718" s="589"/>
      <c r="AN1718" s="589"/>
      <c r="AO1718" s="589"/>
      <c r="AP1718" s="589"/>
      <c r="AQ1718" s="589"/>
      <c r="AR1718" s="589"/>
      <c r="AS1718" s="589"/>
    </row>
    <row r="1719" spans="1:45" ht="15">
      <c r="A1719" s="590" t="s">
        <v>139</v>
      </c>
      <c r="B1719" s="591" t="s">
        <v>287</v>
      </c>
      <c r="C1719" s="591" t="s">
        <v>801</v>
      </c>
      <c r="D1719" s="592">
        <v>2018</v>
      </c>
      <c r="E1719" s="591" t="s">
        <v>775</v>
      </c>
      <c r="F1719" s="592">
        <v>1086</v>
      </c>
      <c r="G1719" s="592">
        <v>0</v>
      </c>
      <c r="H1719" s="592">
        <v>0</v>
      </c>
      <c r="I1719" s="592">
        <v>0</v>
      </c>
      <c r="J1719" s="592">
        <v>762</v>
      </c>
      <c r="K1719" s="592">
        <v>0</v>
      </c>
      <c r="L1719" s="592">
        <v>0</v>
      </c>
      <c r="M1719" s="592">
        <v>0</v>
      </c>
      <c r="N1719" s="593">
        <v>823</v>
      </c>
      <c r="O1719" s="593">
        <v>0</v>
      </c>
      <c r="P1719" s="593">
        <v>1757</v>
      </c>
      <c r="Q1719" s="593">
        <v>452</v>
      </c>
      <c r="R1719" s="593">
        <v>4428</v>
      </c>
      <c r="S1719" s="593">
        <v>452</v>
      </c>
      <c r="T1719" s="593">
        <v>2018</v>
      </c>
      <c r="U1719" s="593">
        <v>2014</v>
      </c>
      <c r="V1719" s="589"/>
      <c r="W1719" s="589"/>
      <c r="X1719" s="589"/>
      <c r="Y1719" s="589"/>
      <c r="Z1719" s="589"/>
      <c r="AA1719" s="589"/>
      <c r="AB1719" s="589"/>
      <c r="AC1719" s="589"/>
      <c r="AD1719" s="589"/>
      <c r="AE1719" s="589"/>
      <c r="AF1719" s="589"/>
      <c r="AG1719" s="589"/>
      <c r="AH1719" s="589"/>
      <c r="AI1719" s="589"/>
      <c r="AJ1719" s="589"/>
      <c r="AK1719" s="589"/>
      <c r="AL1719" s="589"/>
      <c r="AM1719" s="589"/>
      <c r="AN1719" s="589"/>
      <c r="AO1719" s="589"/>
      <c r="AP1719" s="589"/>
      <c r="AQ1719" s="589"/>
      <c r="AR1719" s="589"/>
      <c r="AS1719" s="589"/>
    </row>
    <row r="1720" spans="1:45" ht="15">
      <c r="A1720" s="587" t="s">
        <v>153</v>
      </c>
      <c r="B1720" s="587" t="s">
        <v>371</v>
      </c>
      <c r="C1720" s="587" t="s">
        <v>813</v>
      </c>
      <c r="D1720" s="588">
        <v>2018</v>
      </c>
      <c r="E1720" s="587" t="s">
        <v>775</v>
      </c>
      <c r="F1720" s="588">
        <v>529</v>
      </c>
      <c r="G1720" s="588">
        <v>0</v>
      </c>
      <c r="H1720" s="588">
        <v>0</v>
      </c>
      <c r="I1720" s="588">
        <v>0</v>
      </c>
      <c r="J1720" s="588">
        <v>315</v>
      </c>
      <c r="K1720" s="588">
        <v>0</v>
      </c>
      <c r="L1720" s="588">
        <v>0</v>
      </c>
      <c r="M1720" s="588">
        <v>0</v>
      </c>
      <c r="N1720" s="588">
        <v>352</v>
      </c>
      <c r="O1720" s="588">
        <v>0</v>
      </c>
      <c r="P1720" s="588">
        <v>946</v>
      </c>
      <c r="Q1720" s="588">
        <v>281</v>
      </c>
      <c r="R1720" s="588">
        <v>2142</v>
      </c>
      <c r="S1720" s="588">
        <v>281</v>
      </c>
      <c r="T1720" s="588">
        <v>2018</v>
      </c>
      <c r="U1720" s="588">
        <v>2014</v>
      </c>
      <c r="V1720" s="589"/>
      <c r="W1720" s="589"/>
      <c r="X1720" s="589"/>
      <c r="Y1720" s="589"/>
      <c r="Z1720" s="589"/>
      <c r="AA1720" s="589"/>
      <c r="AB1720" s="589"/>
      <c r="AC1720" s="589"/>
      <c r="AD1720" s="589"/>
      <c r="AE1720" s="589"/>
      <c r="AF1720" s="589"/>
      <c r="AG1720" s="589"/>
      <c r="AH1720" s="589"/>
      <c r="AI1720" s="589"/>
      <c r="AJ1720" s="589"/>
      <c r="AK1720" s="589"/>
      <c r="AL1720" s="589"/>
      <c r="AM1720" s="589"/>
      <c r="AN1720" s="589"/>
      <c r="AO1720" s="589"/>
      <c r="AP1720" s="589"/>
      <c r="AQ1720" s="589"/>
      <c r="AR1720" s="589"/>
      <c r="AS1720" s="589"/>
    </row>
    <row r="1721" spans="1:45" ht="15">
      <c r="A1721" s="590" t="s">
        <v>153</v>
      </c>
      <c r="B1721" s="591" t="s">
        <v>372</v>
      </c>
      <c r="C1721" s="591" t="s">
        <v>813</v>
      </c>
      <c r="D1721" s="592">
        <v>2018</v>
      </c>
      <c r="E1721" s="591" t="s">
        <v>775</v>
      </c>
      <c r="F1721" s="592">
        <v>18</v>
      </c>
      <c r="G1721" s="592">
        <v>4</v>
      </c>
      <c r="H1721" s="592">
        <v>4</v>
      </c>
      <c r="I1721" s="592">
        <v>0</v>
      </c>
      <c r="J1721" s="592">
        <v>11</v>
      </c>
      <c r="K1721" s="592">
        <v>2</v>
      </c>
      <c r="L1721" s="592">
        <v>2</v>
      </c>
      <c r="M1721" s="592">
        <v>0</v>
      </c>
      <c r="N1721" s="593">
        <v>12</v>
      </c>
      <c r="O1721" s="593">
        <v>0</v>
      </c>
      <c r="P1721" s="593">
        <v>28</v>
      </c>
      <c r="Q1721" s="593">
        <v>39</v>
      </c>
      <c r="R1721" s="593">
        <v>69</v>
      </c>
      <c r="S1721" s="593">
        <v>45</v>
      </c>
      <c r="T1721" s="593">
        <v>2018</v>
      </c>
      <c r="U1721" s="593">
        <v>2014</v>
      </c>
      <c r="V1721" s="589"/>
      <c r="W1721" s="589"/>
      <c r="X1721" s="589"/>
      <c r="Y1721" s="589"/>
      <c r="Z1721" s="589"/>
      <c r="AA1721" s="589"/>
      <c r="AB1721" s="589"/>
      <c r="AC1721" s="589"/>
      <c r="AD1721" s="589"/>
      <c r="AE1721" s="589"/>
      <c r="AF1721" s="589"/>
      <c r="AG1721" s="589"/>
      <c r="AH1721" s="589"/>
      <c r="AI1721" s="589"/>
      <c r="AJ1721" s="589"/>
      <c r="AK1721" s="589"/>
      <c r="AL1721" s="589"/>
      <c r="AM1721" s="589"/>
      <c r="AN1721" s="589"/>
      <c r="AO1721" s="589"/>
      <c r="AP1721" s="589"/>
      <c r="AQ1721" s="589"/>
      <c r="AR1721" s="589"/>
      <c r="AS1721" s="589"/>
    </row>
    <row r="1722" spans="1:45" ht="15">
      <c r="A1722" s="587" t="s">
        <v>174</v>
      </c>
      <c r="B1722" s="587" t="s">
        <v>557</v>
      </c>
      <c r="C1722" s="587" t="s">
        <v>801</v>
      </c>
      <c r="D1722" s="588">
        <v>2018</v>
      </c>
      <c r="E1722" s="587" t="s">
        <v>775</v>
      </c>
      <c r="F1722" s="588">
        <v>2035</v>
      </c>
      <c r="G1722" s="588">
        <v>0</v>
      </c>
      <c r="H1722" s="588">
        <v>0</v>
      </c>
      <c r="I1722" s="588">
        <v>0</v>
      </c>
      <c r="J1722" s="588">
        <v>1427</v>
      </c>
      <c r="K1722" s="588">
        <v>0</v>
      </c>
      <c r="L1722" s="588">
        <v>0</v>
      </c>
      <c r="M1722" s="588">
        <v>0</v>
      </c>
      <c r="N1722" s="588">
        <v>1377</v>
      </c>
      <c r="O1722" s="588">
        <v>0</v>
      </c>
      <c r="P1722" s="588">
        <v>2563</v>
      </c>
      <c r="Q1722" s="588">
        <v>793</v>
      </c>
      <c r="R1722" s="588">
        <v>7402</v>
      </c>
      <c r="S1722" s="588">
        <v>793</v>
      </c>
      <c r="T1722" s="588">
        <v>2018</v>
      </c>
      <c r="U1722" s="588">
        <v>2014</v>
      </c>
      <c r="V1722" s="589"/>
      <c r="W1722" s="589"/>
      <c r="X1722" s="589"/>
      <c r="Y1722" s="589"/>
      <c r="Z1722" s="589"/>
      <c r="AA1722" s="589"/>
      <c r="AB1722" s="589"/>
      <c r="AC1722" s="589"/>
      <c r="AD1722" s="589"/>
      <c r="AE1722" s="589"/>
      <c r="AF1722" s="589"/>
      <c r="AG1722" s="589"/>
      <c r="AH1722" s="589"/>
      <c r="AI1722" s="589"/>
      <c r="AJ1722" s="589"/>
      <c r="AK1722" s="589"/>
      <c r="AL1722" s="589"/>
      <c r="AM1722" s="589"/>
      <c r="AN1722" s="589"/>
      <c r="AO1722" s="589"/>
      <c r="AP1722" s="589"/>
      <c r="AQ1722" s="589"/>
      <c r="AR1722" s="589"/>
      <c r="AS1722" s="589"/>
    </row>
    <row r="1723" spans="1:45" ht="15">
      <c r="A1723" s="590" t="s">
        <v>125</v>
      </c>
      <c r="B1723" s="591" t="s">
        <v>237</v>
      </c>
      <c r="C1723" s="591" t="s">
        <v>782</v>
      </c>
      <c r="D1723" s="592">
        <v>2018</v>
      </c>
      <c r="E1723" s="591" t="s">
        <v>775</v>
      </c>
      <c r="F1723" s="592">
        <v>276</v>
      </c>
      <c r="G1723" s="592">
        <v>1</v>
      </c>
      <c r="H1723" s="592">
        <v>1</v>
      </c>
      <c r="I1723" s="592">
        <v>0</v>
      </c>
      <c r="J1723" s="592">
        <v>211</v>
      </c>
      <c r="K1723" s="592">
        <v>3</v>
      </c>
      <c r="L1723" s="592">
        <v>3</v>
      </c>
      <c r="M1723" s="592">
        <v>0</v>
      </c>
      <c r="N1723" s="593">
        <v>259</v>
      </c>
      <c r="O1723" s="593">
        <v>4</v>
      </c>
      <c r="P1723" s="593">
        <v>752</v>
      </c>
      <c r="Q1723" s="593">
        <v>70</v>
      </c>
      <c r="R1723" s="593">
        <v>1498</v>
      </c>
      <c r="S1723" s="593">
        <v>78</v>
      </c>
      <c r="T1723" s="593">
        <v>2018</v>
      </c>
      <c r="U1723" s="593">
        <v>2015</v>
      </c>
      <c r="V1723" s="589"/>
      <c r="W1723" s="589"/>
      <c r="X1723" s="589"/>
      <c r="Y1723" s="589"/>
      <c r="Z1723" s="589"/>
      <c r="AA1723" s="589"/>
      <c r="AB1723" s="589"/>
      <c r="AC1723" s="589"/>
      <c r="AD1723" s="589"/>
      <c r="AE1723" s="589"/>
      <c r="AF1723" s="589"/>
      <c r="AG1723" s="589"/>
      <c r="AH1723" s="589"/>
      <c r="AI1723" s="589"/>
      <c r="AJ1723" s="589"/>
      <c r="AK1723" s="589"/>
      <c r="AL1723" s="589"/>
      <c r="AM1723" s="589"/>
      <c r="AN1723" s="589"/>
      <c r="AO1723" s="589"/>
      <c r="AP1723" s="589"/>
      <c r="AQ1723" s="589"/>
      <c r="AR1723" s="589"/>
      <c r="AS1723" s="589"/>
    </row>
    <row r="1724" spans="1:45" ht="15">
      <c r="A1724" s="587" t="s">
        <v>179</v>
      </c>
      <c r="B1724" s="587" t="s">
        <v>595</v>
      </c>
      <c r="C1724" s="587" t="s">
        <v>856</v>
      </c>
      <c r="D1724" s="588">
        <v>2018</v>
      </c>
      <c r="E1724" s="587" t="s">
        <v>775</v>
      </c>
      <c r="F1724" s="588">
        <v>587</v>
      </c>
      <c r="G1724" s="588">
        <v>8</v>
      </c>
      <c r="H1724" s="588">
        <v>2</v>
      </c>
      <c r="I1724" s="588">
        <v>6</v>
      </c>
      <c r="J1724" s="588">
        <v>446</v>
      </c>
      <c r="K1724" s="588">
        <v>2</v>
      </c>
      <c r="L1724" s="588">
        <v>0</v>
      </c>
      <c r="M1724" s="588">
        <v>2</v>
      </c>
      <c r="N1724" s="588">
        <v>413</v>
      </c>
      <c r="O1724" s="588">
        <v>7</v>
      </c>
      <c r="P1724" s="588">
        <v>907</v>
      </c>
      <c r="Q1724" s="588">
        <v>131</v>
      </c>
      <c r="R1724" s="588">
        <v>2353</v>
      </c>
      <c r="S1724" s="588">
        <v>148</v>
      </c>
      <c r="T1724" s="588">
        <v>2018</v>
      </c>
      <c r="U1724" s="588">
        <v>2013</v>
      </c>
      <c r="V1724" s="589"/>
      <c r="W1724" s="589"/>
      <c r="X1724" s="589"/>
      <c r="Y1724" s="589"/>
      <c r="Z1724" s="589"/>
      <c r="AA1724" s="589"/>
      <c r="AB1724" s="589"/>
      <c r="AC1724" s="589"/>
      <c r="AD1724" s="589"/>
      <c r="AE1724" s="589"/>
      <c r="AF1724" s="589"/>
      <c r="AG1724" s="589"/>
      <c r="AH1724" s="589"/>
      <c r="AI1724" s="589"/>
      <c r="AJ1724" s="589"/>
      <c r="AK1724" s="589"/>
      <c r="AL1724" s="589"/>
      <c r="AM1724" s="589"/>
      <c r="AN1724" s="589"/>
      <c r="AO1724" s="589"/>
      <c r="AP1724" s="589"/>
      <c r="AQ1724" s="589"/>
      <c r="AR1724" s="589"/>
      <c r="AS1724" s="589"/>
    </row>
    <row r="1725" spans="1:45" ht="15">
      <c r="A1725" s="590" t="s">
        <v>182</v>
      </c>
      <c r="B1725" s="591" t="s">
        <v>608</v>
      </c>
      <c r="C1725" s="591" t="s">
        <v>811</v>
      </c>
      <c r="D1725" s="592">
        <v>2018</v>
      </c>
      <c r="E1725" s="591" t="s">
        <v>775</v>
      </c>
      <c r="F1725" s="592">
        <v>103</v>
      </c>
      <c r="G1725" s="592">
        <v>0</v>
      </c>
      <c r="H1725" s="592">
        <v>0</v>
      </c>
      <c r="I1725" s="592">
        <v>0</v>
      </c>
      <c r="J1725" s="592">
        <v>66</v>
      </c>
      <c r="K1725" s="592">
        <v>0</v>
      </c>
      <c r="L1725" s="592">
        <v>0</v>
      </c>
      <c r="M1725" s="592">
        <v>0</v>
      </c>
      <c r="N1725" s="593">
        <v>64</v>
      </c>
      <c r="O1725" s="593">
        <v>0</v>
      </c>
      <c r="P1725" s="593">
        <v>192</v>
      </c>
      <c r="Q1725" s="593">
        <v>8</v>
      </c>
      <c r="R1725" s="593">
        <v>425</v>
      </c>
      <c r="S1725" s="593">
        <v>8</v>
      </c>
      <c r="T1725" s="593">
        <v>2018</v>
      </c>
      <c r="U1725" s="593">
        <v>2016</v>
      </c>
      <c r="V1725" s="589"/>
      <c r="W1725" s="589"/>
      <c r="X1725" s="589"/>
      <c r="Y1725" s="589"/>
      <c r="Z1725" s="589"/>
      <c r="AA1725" s="589"/>
      <c r="AB1725" s="589"/>
      <c r="AC1725" s="589"/>
      <c r="AD1725" s="589"/>
      <c r="AE1725" s="589"/>
      <c r="AF1725" s="589"/>
      <c r="AG1725" s="589"/>
      <c r="AH1725" s="589"/>
      <c r="AI1725" s="589"/>
      <c r="AJ1725" s="589"/>
      <c r="AK1725" s="589"/>
      <c r="AL1725" s="589"/>
      <c r="AM1725" s="589"/>
      <c r="AN1725" s="589"/>
      <c r="AO1725" s="589"/>
      <c r="AP1725" s="589"/>
      <c r="AQ1725" s="589"/>
      <c r="AR1725" s="589"/>
      <c r="AS1725" s="589"/>
    </row>
    <row r="1726" spans="1:45" ht="15">
      <c r="A1726" s="587" t="s">
        <v>179</v>
      </c>
      <c r="B1726" s="587" t="s">
        <v>596</v>
      </c>
      <c r="C1726" s="587" t="s">
        <v>856</v>
      </c>
      <c r="D1726" s="588">
        <v>2018</v>
      </c>
      <c r="E1726" s="587" t="s">
        <v>775</v>
      </c>
      <c r="F1726" s="588">
        <v>1042</v>
      </c>
      <c r="G1726" s="588">
        <v>1</v>
      </c>
      <c r="H1726" s="588">
        <v>0</v>
      </c>
      <c r="I1726" s="588">
        <v>1</v>
      </c>
      <c r="J1726" s="588">
        <v>791</v>
      </c>
      <c r="K1726" s="588">
        <v>1</v>
      </c>
      <c r="L1726" s="588">
        <v>0</v>
      </c>
      <c r="M1726" s="588">
        <v>1</v>
      </c>
      <c r="N1726" s="588">
        <v>733</v>
      </c>
      <c r="O1726" s="588">
        <v>18</v>
      </c>
      <c r="P1726" s="588">
        <v>1609</v>
      </c>
      <c r="Q1726" s="588">
        <v>220</v>
      </c>
      <c r="R1726" s="588">
        <v>4175</v>
      </c>
      <c r="S1726" s="588">
        <v>240</v>
      </c>
      <c r="T1726" s="588">
        <v>2018</v>
      </c>
      <c r="U1726" s="588">
        <v>2013</v>
      </c>
      <c r="V1726" s="589"/>
      <c r="W1726" s="589"/>
      <c r="X1726" s="589"/>
      <c r="Y1726" s="589"/>
      <c r="Z1726" s="589"/>
      <c r="AA1726" s="589"/>
      <c r="AB1726" s="589"/>
      <c r="AC1726" s="589"/>
      <c r="AD1726" s="589"/>
      <c r="AE1726" s="589"/>
      <c r="AF1726" s="589"/>
      <c r="AG1726" s="589"/>
      <c r="AH1726" s="589"/>
      <c r="AI1726" s="589"/>
      <c r="AJ1726" s="589"/>
      <c r="AK1726" s="589"/>
      <c r="AL1726" s="589"/>
      <c r="AM1726" s="589"/>
      <c r="AN1726" s="589"/>
      <c r="AO1726" s="589"/>
      <c r="AP1726" s="589"/>
      <c r="AQ1726" s="589"/>
      <c r="AR1726" s="589"/>
      <c r="AS1726" s="589"/>
    </row>
    <row r="1727" spans="1:45" ht="15">
      <c r="A1727" s="590" t="s">
        <v>191</v>
      </c>
      <c r="B1727" s="591" t="s">
        <v>678</v>
      </c>
      <c r="C1727" s="591" t="s">
        <v>785</v>
      </c>
      <c r="D1727" s="592">
        <v>2018</v>
      </c>
      <c r="E1727" s="591" t="s">
        <v>775</v>
      </c>
      <c r="F1727" s="592">
        <v>3</v>
      </c>
      <c r="G1727" s="592">
        <v>0</v>
      </c>
      <c r="H1727" s="592">
        <v>0</v>
      </c>
      <c r="I1727" s="592">
        <v>0</v>
      </c>
      <c r="J1727" s="592">
        <v>2</v>
      </c>
      <c r="K1727" s="592">
        <v>0</v>
      </c>
      <c r="L1727" s="592">
        <v>0</v>
      </c>
      <c r="M1727" s="592">
        <v>0</v>
      </c>
      <c r="N1727" s="593">
        <v>2</v>
      </c>
      <c r="O1727" s="593">
        <v>0</v>
      </c>
      <c r="P1727" s="593">
        <v>3</v>
      </c>
      <c r="Q1727" s="593">
        <v>0</v>
      </c>
      <c r="R1727" s="593">
        <v>10</v>
      </c>
      <c r="S1727" s="593">
        <v>0</v>
      </c>
      <c r="T1727" s="593">
        <v>2018</v>
      </c>
      <c r="U1727" s="593">
        <v>2014</v>
      </c>
      <c r="V1727" s="589"/>
      <c r="W1727" s="589"/>
      <c r="X1727" s="589"/>
      <c r="Y1727" s="589"/>
      <c r="Z1727" s="589"/>
      <c r="AA1727" s="589"/>
      <c r="AB1727" s="589"/>
      <c r="AC1727" s="589"/>
      <c r="AD1727" s="589"/>
      <c r="AE1727" s="589"/>
      <c r="AF1727" s="589"/>
      <c r="AG1727" s="589"/>
      <c r="AH1727" s="589"/>
      <c r="AI1727" s="589"/>
      <c r="AJ1727" s="589"/>
      <c r="AK1727" s="589"/>
      <c r="AL1727" s="589"/>
      <c r="AM1727" s="589"/>
      <c r="AN1727" s="589"/>
      <c r="AO1727" s="589"/>
      <c r="AP1727" s="589"/>
      <c r="AQ1727" s="589"/>
      <c r="AR1727" s="589"/>
      <c r="AS1727" s="589"/>
    </row>
    <row r="1728" spans="1:45" ht="15">
      <c r="A1728" s="587" t="s">
        <v>145</v>
      </c>
      <c r="B1728" s="587" t="s">
        <v>309</v>
      </c>
      <c r="C1728" s="587" t="s">
        <v>785</v>
      </c>
      <c r="D1728" s="588">
        <v>2018</v>
      </c>
      <c r="E1728" s="587" t="s">
        <v>775</v>
      </c>
      <c r="F1728" s="588">
        <v>145</v>
      </c>
      <c r="G1728" s="588">
        <v>38</v>
      </c>
      <c r="H1728" s="588">
        <v>38</v>
      </c>
      <c r="I1728" s="588">
        <v>0</v>
      </c>
      <c r="J1728" s="588">
        <v>96</v>
      </c>
      <c r="K1728" s="588">
        <v>12</v>
      </c>
      <c r="L1728" s="588">
        <v>12</v>
      </c>
      <c r="M1728" s="588">
        <v>0</v>
      </c>
      <c r="N1728" s="588">
        <v>104</v>
      </c>
      <c r="O1728" s="588">
        <v>0</v>
      </c>
      <c r="P1728" s="588">
        <v>264</v>
      </c>
      <c r="Q1728" s="588">
        <v>30</v>
      </c>
      <c r="R1728" s="588">
        <v>609</v>
      </c>
      <c r="S1728" s="588">
        <v>80</v>
      </c>
      <c r="T1728" s="588">
        <v>2018</v>
      </c>
      <c r="U1728" s="588">
        <v>2014</v>
      </c>
      <c r="V1728" s="589"/>
      <c r="W1728" s="589"/>
      <c r="X1728" s="589"/>
      <c r="Y1728" s="589"/>
      <c r="Z1728" s="589"/>
      <c r="AA1728" s="589"/>
      <c r="AB1728" s="589"/>
      <c r="AC1728" s="589"/>
      <c r="AD1728" s="589"/>
      <c r="AE1728" s="589"/>
      <c r="AF1728" s="589"/>
      <c r="AG1728" s="589"/>
      <c r="AH1728" s="589"/>
      <c r="AI1728" s="589"/>
      <c r="AJ1728" s="589"/>
      <c r="AK1728" s="589"/>
      <c r="AL1728" s="589"/>
      <c r="AM1728" s="589"/>
      <c r="AN1728" s="589"/>
      <c r="AO1728" s="589"/>
      <c r="AP1728" s="589"/>
      <c r="AQ1728" s="589"/>
      <c r="AR1728" s="589"/>
      <c r="AS1728" s="589"/>
    </row>
    <row r="1729" spans="1:45" ht="15">
      <c r="A1729" s="590" t="s">
        <v>199</v>
      </c>
      <c r="B1729" s="591" t="s">
        <v>721</v>
      </c>
      <c r="C1729" s="591" t="s">
        <v>811</v>
      </c>
      <c r="D1729" s="592">
        <v>2018</v>
      </c>
      <c r="E1729" s="591" t="s">
        <v>775</v>
      </c>
      <c r="F1729" s="592">
        <v>143</v>
      </c>
      <c r="G1729" s="592">
        <v>0</v>
      </c>
      <c r="H1729" s="592">
        <v>0</v>
      </c>
      <c r="I1729" s="592">
        <v>0</v>
      </c>
      <c r="J1729" s="592">
        <v>125</v>
      </c>
      <c r="K1729" s="592">
        <v>0</v>
      </c>
      <c r="L1729" s="592">
        <v>0</v>
      </c>
      <c r="M1729" s="592">
        <v>0</v>
      </c>
      <c r="N1729" s="593">
        <v>85</v>
      </c>
      <c r="O1729" s="593">
        <v>0</v>
      </c>
      <c r="P1729" s="593">
        <v>272</v>
      </c>
      <c r="Q1729" s="593">
        <v>0</v>
      </c>
      <c r="R1729" s="593">
        <v>625</v>
      </c>
      <c r="S1729" s="593">
        <v>0</v>
      </c>
      <c r="T1729" s="593">
        <v>2018</v>
      </c>
      <c r="U1729" s="593">
        <v>2016</v>
      </c>
      <c r="V1729" s="589"/>
      <c r="W1729" s="589"/>
      <c r="X1729" s="589"/>
      <c r="Y1729" s="589"/>
      <c r="Z1729" s="589"/>
      <c r="AA1729" s="589"/>
      <c r="AB1729" s="589"/>
      <c r="AC1729" s="589"/>
      <c r="AD1729" s="589"/>
      <c r="AE1729" s="589"/>
      <c r="AF1729" s="589"/>
      <c r="AG1729" s="589"/>
      <c r="AH1729" s="589"/>
      <c r="AI1729" s="589"/>
      <c r="AJ1729" s="589"/>
      <c r="AK1729" s="589"/>
      <c r="AL1729" s="589"/>
      <c r="AM1729" s="589"/>
      <c r="AN1729" s="589"/>
      <c r="AO1729" s="589"/>
      <c r="AP1729" s="589"/>
      <c r="AQ1729" s="589"/>
      <c r="AR1729" s="589"/>
      <c r="AS1729" s="589"/>
    </row>
    <row r="1730" spans="1:45" ht="15">
      <c r="A1730" s="587" t="s">
        <v>157</v>
      </c>
      <c r="B1730" s="587" t="s">
        <v>438</v>
      </c>
      <c r="C1730" s="587" t="s">
        <v>782</v>
      </c>
      <c r="D1730" s="588">
        <v>2018</v>
      </c>
      <c r="E1730" s="587" t="s">
        <v>775</v>
      </c>
      <c r="F1730" s="588">
        <v>16</v>
      </c>
      <c r="G1730" s="588">
        <v>12</v>
      </c>
      <c r="H1730" s="588">
        <v>6</v>
      </c>
      <c r="I1730" s="588">
        <v>6</v>
      </c>
      <c r="J1730" s="588">
        <v>11</v>
      </c>
      <c r="K1730" s="588">
        <v>55</v>
      </c>
      <c r="L1730" s="588">
        <v>47</v>
      </c>
      <c r="M1730" s="588">
        <v>8</v>
      </c>
      <c r="N1730" s="588">
        <v>11</v>
      </c>
      <c r="O1730" s="588">
        <v>1</v>
      </c>
      <c r="P1730" s="588">
        <v>23</v>
      </c>
      <c r="Q1730" s="588">
        <v>0</v>
      </c>
      <c r="R1730" s="588">
        <v>61</v>
      </c>
      <c r="S1730" s="588">
        <v>68</v>
      </c>
      <c r="T1730" s="588">
        <v>2018</v>
      </c>
      <c r="U1730" s="588">
        <v>2015</v>
      </c>
      <c r="V1730" s="589"/>
      <c r="W1730" s="589"/>
      <c r="X1730" s="589"/>
      <c r="Y1730" s="589"/>
      <c r="Z1730" s="589"/>
      <c r="AA1730" s="589"/>
      <c r="AB1730" s="589"/>
      <c r="AC1730" s="589"/>
      <c r="AD1730" s="589"/>
      <c r="AE1730" s="589"/>
      <c r="AF1730" s="589"/>
      <c r="AG1730" s="589"/>
      <c r="AH1730" s="589"/>
      <c r="AI1730" s="589"/>
      <c r="AJ1730" s="589"/>
      <c r="AK1730" s="589"/>
      <c r="AL1730" s="589"/>
      <c r="AM1730" s="589"/>
      <c r="AN1730" s="589"/>
      <c r="AO1730" s="589"/>
      <c r="AP1730" s="589"/>
      <c r="AQ1730" s="589"/>
      <c r="AR1730" s="589"/>
      <c r="AS1730" s="589"/>
    </row>
    <row r="1731" spans="1:45" ht="15">
      <c r="A1731" s="590" t="s">
        <v>192</v>
      </c>
      <c r="B1731" s="591" t="s">
        <v>688</v>
      </c>
      <c r="C1731" s="591" t="s">
        <v>782</v>
      </c>
      <c r="D1731" s="592">
        <v>2018</v>
      </c>
      <c r="E1731" s="591" t="s">
        <v>775</v>
      </c>
      <c r="F1731" s="592">
        <v>779</v>
      </c>
      <c r="G1731" s="592">
        <v>0</v>
      </c>
      <c r="H1731" s="592">
        <v>0</v>
      </c>
      <c r="I1731" s="592">
        <v>0</v>
      </c>
      <c r="J1731" s="592">
        <v>404</v>
      </c>
      <c r="K1731" s="592">
        <v>0</v>
      </c>
      <c r="L1731" s="592">
        <v>0</v>
      </c>
      <c r="M1731" s="592">
        <v>0</v>
      </c>
      <c r="N1731" s="593">
        <v>456</v>
      </c>
      <c r="O1731" s="593">
        <v>0</v>
      </c>
      <c r="P1731" s="593">
        <v>1461</v>
      </c>
      <c r="Q1731" s="593">
        <v>311</v>
      </c>
      <c r="R1731" s="593">
        <v>3100</v>
      </c>
      <c r="S1731" s="593">
        <v>311</v>
      </c>
      <c r="T1731" s="593">
        <v>2018</v>
      </c>
      <c r="U1731" s="593">
        <v>2015</v>
      </c>
      <c r="V1731" s="589"/>
      <c r="W1731" s="589"/>
      <c r="X1731" s="589"/>
      <c r="Y1731" s="589"/>
      <c r="Z1731" s="589"/>
      <c r="AA1731" s="589"/>
      <c r="AB1731" s="589"/>
      <c r="AC1731" s="589"/>
      <c r="AD1731" s="589"/>
      <c r="AE1731" s="589"/>
      <c r="AF1731" s="589"/>
      <c r="AG1731" s="589"/>
      <c r="AH1731" s="589"/>
      <c r="AI1731" s="589"/>
      <c r="AJ1731" s="589"/>
      <c r="AK1731" s="589"/>
      <c r="AL1731" s="589"/>
      <c r="AM1731" s="589"/>
      <c r="AN1731" s="589"/>
      <c r="AO1731" s="589"/>
      <c r="AP1731" s="589"/>
      <c r="AQ1731" s="589"/>
      <c r="AR1731" s="589"/>
      <c r="AS1731" s="589"/>
    </row>
    <row r="1732" spans="1:45" ht="15">
      <c r="A1732" s="587" t="s">
        <v>199</v>
      </c>
      <c r="B1732" s="587" t="s">
        <v>722</v>
      </c>
      <c r="C1732" s="587" t="s">
        <v>811</v>
      </c>
      <c r="D1732" s="588">
        <v>2018</v>
      </c>
      <c r="E1732" s="587" t="s">
        <v>775</v>
      </c>
      <c r="F1732" s="588">
        <v>74</v>
      </c>
      <c r="G1732" s="588">
        <v>0</v>
      </c>
      <c r="H1732" s="588">
        <v>0</v>
      </c>
      <c r="I1732" s="588">
        <v>0</v>
      </c>
      <c r="J1732" s="588">
        <v>65</v>
      </c>
      <c r="K1732" s="588">
        <v>0</v>
      </c>
      <c r="L1732" s="588">
        <v>0</v>
      </c>
      <c r="M1732" s="588">
        <v>0</v>
      </c>
      <c r="N1732" s="588">
        <v>68</v>
      </c>
      <c r="O1732" s="588">
        <v>0</v>
      </c>
      <c r="P1732" s="588">
        <v>259</v>
      </c>
      <c r="Q1732" s="588">
        <v>0</v>
      </c>
      <c r="R1732" s="588">
        <v>466</v>
      </c>
      <c r="S1732" s="588">
        <v>0</v>
      </c>
      <c r="T1732" s="588">
        <v>2018</v>
      </c>
      <c r="U1732" s="588">
        <v>2016</v>
      </c>
      <c r="V1732" s="589"/>
      <c r="W1732" s="589"/>
      <c r="X1732" s="589"/>
      <c r="Y1732" s="589"/>
      <c r="Z1732" s="589"/>
      <c r="AA1732" s="589"/>
      <c r="AB1732" s="589"/>
      <c r="AC1732" s="589"/>
      <c r="AD1732" s="589"/>
      <c r="AE1732" s="589"/>
      <c r="AF1732" s="589"/>
      <c r="AG1732" s="589"/>
      <c r="AH1732" s="589"/>
      <c r="AI1732" s="589"/>
      <c r="AJ1732" s="589"/>
      <c r="AK1732" s="589"/>
      <c r="AL1732" s="589"/>
      <c r="AM1732" s="589"/>
      <c r="AN1732" s="589"/>
      <c r="AO1732" s="589"/>
      <c r="AP1732" s="589"/>
      <c r="AQ1732" s="589"/>
      <c r="AR1732" s="589"/>
      <c r="AS1732" s="589"/>
    </row>
    <row r="1733" spans="1:45" ht="15">
      <c r="A1733" s="590" t="s">
        <v>145</v>
      </c>
      <c r="B1733" s="591" t="s">
        <v>310</v>
      </c>
      <c r="C1733" s="591" t="s">
        <v>785</v>
      </c>
      <c r="D1733" s="592">
        <v>2018</v>
      </c>
      <c r="E1733" s="591" t="s">
        <v>775</v>
      </c>
      <c r="F1733" s="592">
        <v>6</v>
      </c>
      <c r="G1733" s="592">
        <v>0</v>
      </c>
      <c r="H1733" s="592">
        <v>0</v>
      </c>
      <c r="I1733" s="592">
        <v>0</v>
      </c>
      <c r="J1733" s="592">
        <v>3</v>
      </c>
      <c r="K1733" s="592">
        <v>1</v>
      </c>
      <c r="L1733" s="592">
        <v>0</v>
      </c>
      <c r="M1733" s="592">
        <v>1</v>
      </c>
      <c r="N1733" s="593">
        <v>4</v>
      </c>
      <c r="O1733" s="593">
        <v>1</v>
      </c>
      <c r="P1733" s="593">
        <v>8</v>
      </c>
      <c r="Q1733" s="593">
        <v>0</v>
      </c>
      <c r="R1733" s="593">
        <v>21</v>
      </c>
      <c r="S1733" s="593">
        <v>2</v>
      </c>
      <c r="T1733" s="593">
        <v>2018</v>
      </c>
      <c r="U1733" s="593">
        <v>2014</v>
      </c>
      <c r="V1733" s="589"/>
      <c r="W1733" s="589"/>
      <c r="X1733" s="589"/>
      <c r="Y1733" s="589"/>
      <c r="Z1733" s="589"/>
      <c r="AA1733" s="589"/>
      <c r="AB1733" s="589"/>
      <c r="AC1733" s="589"/>
      <c r="AD1733" s="589"/>
      <c r="AE1733" s="589"/>
      <c r="AF1733" s="589"/>
      <c r="AG1733" s="589"/>
      <c r="AH1733" s="589"/>
      <c r="AI1733" s="589"/>
      <c r="AJ1733" s="589"/>
      <c r="AK1733" s="589"/>
      <c r="AL1733" s="589"/>
      <c r="AM1733" s="589"/>
      <c r="AN1733" s="589"/>
      <c r="AO1733" s="589"/>
      <c r="AP1733" s="589"/>
      <c r="AQ1733" s="589"/>
      <c r="AR1733" s="589"/>
      <c r="AS1733" s="589"/>
    </row>
    <row r="1734" spans="1:45" ht="15">
      <c r="A1734" s="587" t="s">
        <v>201</v>
      </c>
      <c r="B1734" s="587" t="s">
        <v>731</v>
      </c>
      <c r="C1734" s="587" t="s">
        <v>813</v>
      </c>
      <c r="D1734" s="588">
        <v>2018</v>
      </c>
      <c r="E1734" s="587" t="s">
        <v>775</v>
      </c>
      <c r="F1734" s="588">
        <v>160</v>
      </c>
      <c r="G1734" s="588">
        <v>0</v>
      </c>
      <c r="H1734" s="588">
        <v>0</v>
      </c>
      <c r="I1734" s="588">
        <v>0</v>
      </c>
      <c r="J1734" s="588">
        <v>112</v>
      </c>
      <c r="K1734" s="588">
        <v>0</v>
      </c>
      <c r="L1734" s="588">
        <v>0</v>
      </c>
      <c r="M1734" s="588">
        <v>0</v>
      </c>
      <c r="N1734" s="588">
        <v>128</v>
      </c>
      <c r="O1734" s="588">
        <v>19</v>
      </c>
      <c r="P1734" s="588">
        <v>294</v>
      </c>
      <c r="Q1734" s="588">
        <v>0</v>
      </c>
      <c r="R1734" s="588">
        <v>694</v>
      </c>
      <c r="S1734" s="588">
        <v>19</v>
      </c>
      <c r="T1734" s="588">
        <v>2018</v>
      </c>
      <c r="U1734" s="588">
        <v>2014</v>
      </c>
      <c r="V1734" s="589"/>
      <c r="W1734" s="589"/>
      <c r="X1734" s="589"/>
      <c r="Y1734" s="589"/>
      <c r="Z1734" s="589"/>
      <c r="AA1734" s="589"/>
      <c r="AB1734" s="589"/>
      <c r="AC1734" s="589"/>
      <c r="AD1734" s="589"/>
      <c r="AE1734" s="589"/>
      <c r="AF1734" s="589"/>
      <c r="AG1734" s="589"/>
      <c r="AH1734" s="589"/>
      <c r="AI1734" s="589"/>
      <c r="AJ1734" s="589"/>
      <c r="AK1734" s="589"/>
      <c r="AL1734" s="589"/>
      <c r="AM1734" s="589"/>
      <c r="AN1734" s="589"/>
      <c r="AO1734" s="589"/>
      <c r="AP1734" s="589"/>
      <c r="AQ1734" s="589"/>
      <c r="AR1734" s="589"/>
      <c r="AS1734" s="589"/>
    </row>
    <row r="1735" spans="1:45" ht="15">
      <c r="A1735" s="590" t="s">
        <v>141</v>
      </c>
      <c r="B1735" s="591" t="s">
        <v>292</v>
      </c>
      <c r="C1735" s="591" t="s">
        <v>811</v>
      </c>
      <c r="D1735" s="592">
        <v>2018</v>
      </c>
      <c r="E1735" s="591" t="s">
        <v>775</v>
      </c>
      <c r="F1735" s="592">
        <v>128</v>
      </c>
      <c r="G1735" s="592">
        <v>0</v>
      </c>
      <c r="H1735" s="592">
        <v>0</v>
      </c>
      <c r="I1735" s="592">
        <v>0</v>
      </c>
      <c r="J1735" s="592">
        <v>169</v>
      </c>
      <c r="K1735" s="592">
        <v>0</v>
      </c>
      <c r="L1735" s="592">
        <v>0</v>
      </c>
      <c r="M1735" s="592">
        <v>0</v>
      </c>
      <c r="N1735" s="593">
        <v>204</v>
      </c>
      <c r="O1735" s="593">
        <v>0</v>
      </c>
      <c r="P1735" s="593">
        <v>211</v>
      </c>
      <c r="Q1735" s="593">
        <v>0</v>
      </c>
      <c r="R1735" s="593">
        <v>712</v>
      </c>
      <c r="S1735" s="593">
        <v>0</v>
      </c>
      <c r="T1735" s="593">
        <v>2018</v>
      </c>
      <c r="U1735" s="593">
        <v>2016</v>
      </c>
      <c r="V1735" s="589"/>
      <c r="W1735" s="589"/>
      <c r="X1735" s="589"/>
      <c r="Y1735" s="589"/>
      <c r="Z1735" s="589"/>
      <c r="AA1735" s="589"/>
      <c r="AB1735" s="589"/>
      <c r="AC1735" s="589"/>
      <c r="AD1735" s="589"/>
      <c r="AE1735" s="589"/>
      <c r="AF1735" s="589"/>
      <c r="AG1735" s="589"/>
      <c r="AH1735" s="589"/>
      <c r="AI1735" s="589"/>
      <c r="AJ1735" s="589"/>
      <c r="AK1735" s="589"/>
      <c r="AL1735" s="589"/>
      <c r="AM1735" s="589"/>
      <c r="AN1735" s="589"/>
      <c r="AO1735" s="589"/>
      <c r="AP1735" s="589"/>
      <c r="AQ1735" s="589"/>
      <c r="AR1735" s="589"/>
      <c r="AS1735" s="589"/>
    </row>
    <row r="1736" spans="1:45" ht="15">
      <c r="A1736" s="587" t="s">
        <v>174</v>
      </c>
      <c r="B1736" s="587" t="s">
        <v>558</v>
      </c>
      <c r="C1736" s="587" t="s">
        <v>801</v>
      </c>
      <c r="D1736" s="588">
        <v>2018</v>
      </c>
      <c r="E1736" s="587" t="s">
        <v>775</v>
      </c>
      <c r="F1736" s="588">
        <v>1218</v>
      </c>
      <c r="G1736" s="588">
        <v>14</v>
      </c>
      <c r="H1736" s="588">
        <v>14</v>
      </c>
      <c r="I1736" s="588">
        <v>0</v>
      </c>
      <c r="J1736" s="588">
        <v>854</v>
      </c>
      <c r="K1736" s="588">
        <v>86</v>
      </c>
      <c r="L1736" s="588">
        <v>86</v>
      </c>
      <c r="M1736" s="588">
        <v>0</v>
      </c>
      <c r="N1736" s="588">
        <v>862</v>
      </c>
      <c r="O1736" s="588">
        <v>221</v>
      </c>
      <c r="P1736" s="588">
        <v>1699</v>
      </c>
      <c r="Q1736" s="588">
        <v>449</v>
      </c>
      <c r="R1736" s="588">
        <v>4633</v>
      </c>
      <c r="S1736" s="588">
        <v>770</v>
      </c>
      <c r="T1736" s="588">
        <v>2018</v>
      </c>
      <c r="U1736" s="588">
        <v>2014</v>
      </c>
      <c r="V1736" s="589"/>
      <c r="W1736" s="589"/>
      <c r="X1736" s="589"/>
      <c r="Y1736" s="589"/>
      <c r="Z1736" s="589"/>
      <c r="AA1736" s="589"/>
      <c r="AB1736" s="589"/>
      <c r="AC1736" s="589"/>
      <c r="AD1736" s="589"/>
      <c r="AE1736" s="589"/>
      <c r="AF1736" s="589"/>
      <c r="AG1736" s="589"/>
      <c r="AH1736" s="589"/>
      <c r="AI1736" s="589"/>
      <c r="AJ1736" s="589"/>
      <c r="AK1736" s="589"/>
      <c r="AL1736" s="589"/>
      <c r="AM1736" s="589"/>
      <c r="AN1736" s="589"/>
      <c r="AO1736" s="589"/>
      <c r="AP1736" s="589"/>
      <c r="AQ1736" s="589"/>
      <c r="AR1736" s="589"/>
      <c r="AS1736" s="589"/>
    </row>
    <row r="1737" spans="1:45" ht="15">
      <c r="A1737" s="590" t="s">
        <v>178</v>
      </c>
      <c r="B1737" s="591" t="s">
        <v>573</v>
      </c>
      <c r="C1737" s="591" t="s">
        <v>813</v>
      </c>
      <c r="D1737" s="592">
        <v>2018</v>
      </c>
      <c r="E1737" s="591" t="s">
        <v>775</v>
      </c>
      <c r="F1737" s="592">
        <v>1442</v>
      </c>
      <c r="G1737" s="592">
        <v>0</v>
      </c>
      <c r="H1737" s="592">
        <v>0</v>
      </c>
      <c r="I1737" s="592">
        <v>0</v>
      </c>
      <c r="J1737" s="592">
        <v>974</v>
      </c>
      <c r="K1737" s="592">
        <v>0</v>
      </c>
      <c r="L1737" s="592">
        <v>0</v>
      </c>
      <c r="M1737" s="592">
        <v>0</v>
      </c>
      <c r="N1737" s="593">
        <v>1090</v>
      </c>
      <c r="O1737" s="593">
        <v>0</v>
      </c>
      <c r="P1737" s="593">
        <v>2471</v>
      </c>
      <c r="Q1737" s="593">
        <v>413</v>
      </c>
      <c r="R1737" s="593">
        <v>5977</v>
      </c>
      <c r="S1737" s="593">
        <v>413</v>
      </c>
      <c r="T1737" s="593">
        <v>2018</v>
      </c>
      <c r="U1737" s="593">
        <v>2014</v>
      </c>
      <c r="V1737" s="589"/>
      <c r="W1737" s="589"/>
      <c r="X1737" s="589"/>
      <c r="Y1737" s="589"/>
      <c r="Z1737" s="589"/>
      <c r="AA1737" s="589"/>
      <c r="AB1737" s="589"/>
      <c r="AC1737" s="589"/>
      <c r="AD1737" s="589"/>
      <c r="AE1737" s="589"/>
      <c r="AF1737" s="589"/>
      <c r="AG1737" s="589"/>
      <c r="AH1737" s="589"/>
      <c r="AI1737" s="589"/>
      <c r="AJ1737" s="589"/>
      <c r="AK1737" s="589"/>
      <c r="AL1737" s="589"/>
      <c r="AM1737" s="589"/>
      <c r="AN1737" s="589"/>
      <c r="AO1737" s="589"/>
      <c r="AP1737" s="589"/>
      <c r="AQ1737" s="589"/>
      <c r="AR1737" s="589"/>
      <c r="AS1737" s="589"/>
    </row>
    <row r="1738" spans="1:45" ht="15">
      <c r="A1738" s="587" t="s">
        <v>159</v>
      </c>
      <c r="B1738" s="587" t="s">
        <v>449</v>
      </c>
      <c r="C1738" s="587" t="s">
        <v>785</v>
      </c>
      <c r="D1738" s="588">
        <v>2018</v>
      </c>
      <c r="E1738" s="587" t="s">
        <v>775</v>
      </c>
      <c r="F1738" s="588">
        <v>5</v>
      </c>
      <c r="G1738" s="588">
        <v>0</v>
      </c>
      <c r="H1738" s="588">
        <v>0</v>
      </c>
      <c r="I1738" s="588">
        <v>0</v>
      </c>
      <c r="J1738" s="588">
        <v>3</v>
      </c>
      <c r="K1738" s="588">
        <v>0</v>
      </c>
      <c r="L1738" s="588">
        <v>0</v>
      </c>
      <c r="M1738" s="588">
        <v>0</v>
      </c>
      <c r="N1738" s="588">
        <v>3</v>
      </c>
      <c r="O1738" s="588">
        <v>0</v>
      </c>
      <c r="P1738" s="588">
        <v>9</v>
      </c>
      <c r="Q1738" s="588">
        <v>9</v>
      </c>
      <c r="R1738" s="588">
        <v>20</v>
      </c>
      <c r="S1738" s="588">
        <v>9</v>
      </c>
      <c r="T1738" s="588">
        <v>2018</v>
      </c>
      <c r="U1738" s="588">
        <v>2014</v>
      </c>
      <c r="V1738" s="589"/>
      <c r="W1738" s="589"/>
      <c r="X1738" s="589"/>
      <c r="Y1738" s="589"/>
      <c r="Z1738" s="589"/>
      <c r="AA1738" s="589"/>
      <c r="AB1738" s="589"/>
      <c r="AC1738" s="589"/>
      <c r="AD1738" s="589"/>
      <c r="AE1738" s="589"/>
      <c r="AF1738" s="589"/>
      <c r="AG1738" s="589"/>
      <c r="AH1738" s="589"/>
      <c r="AI1738" s="589"/>
      <c r="AJ1738" s="589"/>
      <c r="AK1738" s="589"/>
      <c r="AL1738" s="589"/>
      <c r="AM1738" s="589"/>
      <c r="AN1738" s="589"/>
      <c r="AO1738" s="589"/>
      <c r="AP1738" s="589"/>
      <c r="AQ1738" s="589"/>
      <c r="AR1738" s="589"/>
      <c r="AS1738" s="589"/>
    </row>
    <row r="1739" spans="1:45" ht="15">
      <c r="A1739" s="590" t="s">
        <v>191</v>
      </c>
      <c r="B1739" s="591" t="s">
        <v>679</v>
      </c>
      <c r="C1739" s="591" t="s">
        <v>785</v>
      </c>
      <c r="D1739" s="592">
        <v>2018</v>
      </c>
      <c r="E1739" s="591" t="s">
        <v>775</v>
      </c>
      <c r="F1739" s="592">
        <v>2</v>
      </c>
      <c r="G1739" s="592">
        <v>0</v>
      </c>
      <c r="H1739" s="592">
        <v>0</v>
      </c>
      <c r="I1739" s="592">
        <v>0</v>
      </c>
      <c r="J1739" s="592">
        <v>1</v>
      </c>
      <c r="K1739" s="592">
        <v>0</v>
      </c>
      <c r="L1739" s="592">
        <v>0</v>
      </c>
      <c r="M1739" s="592">
        <v>0</v>
      </c>
      <c r="N1739" s="593">
        <v>2</v>
      </c>
      <c r="O1739" s="593">
        <v>0</v>
      </c>
      <c r="P1739" s="593">
        <v>4</v>
      </c>
      <c r="Q1739" s="593">
        <v>0</v>
      </c>
      <c r="R1739" s="593">
        <v>9</v>
      </c>
      <c r="S1739" s="593">
        <v>0</v>
      </c>
      <c r="T1739" s="593">
        <v>2018</v>
      </c>
      <c r="U1739" s="593">
        <v>2014</v>
      </c>
      <c r="V1739" s="589"/>
      <c r="W1739" s="589"/>
      <c r="X1739" s="589"/>
      <c r="Y1739" s="589"/>
      <c r="Z1739" s="589"/>
      <c r="AA1739" s="589"/>
      <c r="AB1739" s="589"/>
      <c r="AC1739" s="589"/>
      <c r="AD1739" s="589"/>
      <c r="AE1739" s="589"/>
      <c r="AF1739" s="589"/>
      <c r="AG1739" s="589"/>
      <c r="AH1739" s="589"/>
      <c r="AI1739" s="589"/>
      <c r="AJ1739" s="589"/>
      <c r="AK1739" s="589"/>
      <c r="AL1739" s="589"/>
      <c r="AM1739" s="589"/>
      <c r="AN1739" s="589"/>
      <c r="AO1739" s="589"/>
      <c r="AP1739" s="589"/>
      <c r="AQ1739" s="589"/>
      <c r="AR1739" s="589"/>
      <c r="AS1739" s="589"/>
    </row>
    <row r="1740" spans="1:45" ht="15">
      <c r="A1740" s="587" t="s">
        <v>145</v>
      </c>
      <c r="B1740" s="587" t="s">
        <v>311</v>
      </c>
      <c r="C1740" s="587" t="s">
        <v>785</v>
      </c>
      <c r="D1740" s="588">
        <v>2018</v>
      </c>
      <c r="E1740" s="587" t="s">
        <v>775</v>
      </c>
      <c r="F1740" s="588">
        <v>39</v>
      </c>
      <c r="G1740" s="588">
        <v>0</v>
      </c>
      <c r="H1740" s="588">
        <v>0</v>
      </c>
      <c r="I1740" s="588">
        <v>0</v>
      </c>
      <c r="J1740" s="588">
        <v>24</v>
      </c>
      <c r="K1740" s="588">
        <v>0</v>
      </c>
      <c r="L1740" s="588">
        <v>0</v>
      </c>
      <c r="M1740" s="588">
        <v>0</v>
      </c>
      <c r="N1740" s="588">
        <v>27</v>
      </c>
      <c r="O1740" s="588">
        <v>16</v>
      </c>
      <c r="P1740" s="588">
        <v>71</v>
      </c>
      <c r="Q1740" s="588">
        <v>20</v>
      </c>
      <c r="R1740" s="588">
        <v>161</v>
      </c>
      <c r="S1740" s="588">
        <v>36</v>
      </c>
      <c r="T1740" s="588">
        <v>2018</v>
      </c>
      <c r="U1740" s="588">
        <v>2014</v>
      </c>
      <c r="V1740" s="589"/>
      <c r="W1740" s="589"/>
      <c r="X1740" s="589"/>
      <c r="Y1740" s="589"/>
      <c r="Z1740" s="589"/>
      <c r="AA1740" s="589"/>
      <c r="AB1740" s="589"/>
      <c r="AC1740" s="589"/>
      <c r="AD1740" s="589"/>
      <c r="AE1740" s="589"/>
      <c r="AF1740" s="589"/>
      <c r="AG1740" s="589"/>
      <c r="AH1740" s="589"/>
      <c r="AI1740" s="589"/>
      <c r="AJ1740" s="589"/>
      <c r="AK1740" s="589"/>
      <c r="AL1740" s="589"/>
      <c r="AM1740" s="589"/>
      <c r="AN1740" s="589"/>
      <c r="AO1740" s="589"/>
      <c r="AP1740" s="589"/>
      <c r="AQ1740" s="589"/>
      <c r="AR1740" s="589"/>
      <c r="AS1740" s="589"/>
    </row>
    <row r="1741" spans="1:45" ht="15">
      <c r="A1741" s="590" t="s">
        <v>184</v>
      </c>
      <c r="B1741" s="591" t="s">
        <v>630</v>
      </c>
      <c r="C1741" s="591" t="s">
        <v>782</v>
      </c>
      <c r="D1741" s="592">
        <v>2018</v>
      </c>
      <c r="E1741" s="591" t="s">
        <v>775</v>
      </c>
      <c r="F1741" s="592">
        <v>148</v>
      </c>
      <c r="G1741" s="592">
        <v>0</v>
      </c>
      <c r="H1741" s="592">
        <v>0</v>
      </c>
      <c r="I1741" s="592">
        <v>0</v>
      </c>
      <c r="J1741" s="592">
        <v>87</v>
      </c>
      <c r="K1741" s="592">
        <v>0</v>
      </c>
      <c r="L1741" s="592">
        <v>0</v>
      </c>
      <c r="M1741" s="592">
        <v>0</v>
      </c>
      <c r="N1741" s="593">
        <v>76</v>
      </c>
      <c r="O1741" s="593">
        <v>0</v>
      </c>
      <c r="P1741" s="593">
        <v>119</v>
      </c>
      <c r="Q1741" s="593">
        <v>0</v>
      </c>
      <c r="R1741" s="593">
        <v>430</v>
      </c>
      <c r="S1741" s="593">
        <v>0</v>
      </c>
      <c r="T1741" s="593">
        <v>2018</v>
      </c>
      <c r="U1741" s="593">
        <v>2015</v>
      </c>
      <c r="V1741" s="589"/>
      <c r="W1741" s="589"/>
      <c r="X1741" s="589"/>
      <c r="Y1741" s="589"/>
      <c r="Z1741" s="589"/>
      <c r="AA1741" s="589"/>
      <c r="AB1741" s="589"/>
      <c r="AC1741" s="589"/>
      <c r="AD1741" s="589"/>
      <c r="AE1741" s="589"/>
      <c r="AF1741" s="589"/>
      <c r="AG1741" s="589"/>
      <c r="AH1741" s="589"/>
      <c r="AI1741" s="589"/>
      <c r="AJ1741" s="589"/>
      <c r="AK1741" s="589"/>
      <c r="AL1741" s="589"/>
      <c r="AM1741" s="589"/>
      <c r="AN1741" s="589"/>
      <c r="AO1741" s="589"/>
      <c r="AP1741" s="589"/>
      <c r="AQ1741" s="589"/>
      <c r="AR1741" s="589"/>
      <c r="AS1741" s="589"/>
    </row>
    <row r="1742" spans="1:45" ht="15">
      <c r="A1742" s="587" t="s">
        <v>169</v>
      </c>
      <c r="B1742" s="587" t="s">
        <v>492</v>
      </c>
      <c r="C1742" s="587" t="s">
        <v>813</v>
      </c>
      <c r="D1742" s="588">
        <v>2018</v>
      </c>
      <c r="E1742" s="587" t="s">
        <v>775</v>
      </c>
      <c r="F1742" s="588">
        <v>83</v>
      </c>
      <c r="G1742" s="588">
        <v>0</v>
      </c>
      <c r="H1742" s="588">
        <v>0</v>
      </c>
      <c r="I1742" s="588">
        <v>0</v>
      </c>
      <c r="J1742" s="588">
        <v>59</v>
      </c>
      <c r="K1742" s="588">
        <v>13</v>
      </c>
      <c r="L1742" s="588">
        <v>0</v>
      </c>
      <c r="M1742" s="588">
        <v>13</v>
      </c>
      <c r="N1742" s="588">
        <v>65</v>
      </c>
      <c r="O1742" s="588">
        <v>0</v>
      </c>
      <c r="P1742" s="588">
        <v>151</v>
      </c>
      <c r="Q1742" s="588">
        <v>4</v>
      </c>
      <c r="R1742" s="588">
        <v>358</v>
      </c>
      <c r="S1742" s="588">
        <v>17</v>
      </c>
      <c r="T1742" s="588">
        <v>2018</v>
      </c>
      <c r="U1742" s="588">
        <v>2014</v>
      </c>
      <c r="V1742" s="589"/>
      <c r="W1742" s="589"/>
      <c r="X1742" s="589"/>
      <c r="Y1742" s="589"/>
      <c r="Z1742" s="589"/>
      <c r="AA1742" s="589"/>
      <c r="AB1742" s="589"/>
      <c r="AC1742" s="589"/>
      <c r="AD1742" s="589"/>
      <c r="AE1742" s="589"/>
      <c r="AF1742" s="589"/>
      <c r="AG1742" s="589"/>
      <c r="AH1742" s="589"/>
      <c r="AI1742" s="589"/>
      <c r="AJ1742" s="589"/>
      <c r="AK1742" s="589"/>
      <c r="AL1742" s="589"/>
      <c r="AM1742" s="589"/>
      <c r="AN1742" s="589"/>
      <c r="AO1742" s="589"/>
      <c r="AP1742" s="589"/>
      <c r="AQ1742" s="589"/>
      <c r="AR1742" s="589"/>
      <c r="AS1742" s="589"/>
    </row>
    <row r="1743" spans="1:45" ht="15">
      <c r="A1743" s="590" t="s">
        <v>141</v>
      </c>
      <c r="B1743" s="591" t="s">
        <v>293</v>
      </c>
      <c r="C1743" s="591" t="s">
        <v>811</v>
      </c>
      <c r="D1743" s="592">
        <v>2018</v>
      </c>
      <c r="E1743" s="591" t="s">
        <v>775</v>
      </c>
      <c r="F1743" s="592">
        <v>123</v>
      </c>
      <c r="G1743" s="592">
        <v>0</v>
      </c>
      <c r="H1743" s="592">
        <v>0</v>
      </c>
      <c r="I1743" s="592">
        <v>0</v>
      </c>
      <c r="J1743" s="592">
        <v>83</v>
      </c>
      <c r="K1743" s="592">
        <v>0</v>
      </c>
      <c r="L1743" s="592">
        <v>0</v>
      </c>
      <c r="M1743" s="592">
        <v>0</v>
      </c>
      <c r="N1743" s="593">
        <v>75</v>
      </c>
      <c r="O1743" s="593">
        <v>0</v>
      </c>
      <c r="P1743" s="593">
        <v>243</v>
      </c>
      <c r="Q1743" s="593">
        <v>34</v>
      </c>
      <c r="R1743" s="593">
        <v>524</v>
      </c>
      <c r="S1743" s="593">
        <v>34</v>
      </c>
      <c r="T1743" s="593">
        <v>2018</v>
      </c>
      <c r="U1743" s="593">
        <v>2016</v>
      </c>
      <c r="V1743" s="589"/>
      <c r="W1743" s="589"/>
      <c r="X1743" s="589"/>
      <c r="Y1743" s="589"/>
      <c r="Z1743" s="589"/>
      <c r="AA1743" s="589"/>
      <c r="AB1743" s="589"/>
      <c r="AC1743" s="589"/>
      <c r="AD1743" s="589"/>
      <c r="AE1743" s="589"/>
      <c r="AF1743" s="589"/>
      <c r="AG1743" s="589"/>
      <c r="AH1743" s="589"/>
      <c r="AI1743" s="589"/>
      <c r="AJ1743" s="589"/>
      <c r="AK1743" s="589"/>
      <c r="AL1743" s="589"/>
      <c r="AM1743" s="589"/>
      <c r="AN1743" s="589"/>
      <c r="AO1743" s="589"/>
      <c r="AP1743" s="589"/>
      <c r="AQ1743" s="589"/>
      <c r="AR1743" s="589"/>
      <c r="AS1743" s="589"/>
    </row>
    <row r="1744" spans="1:45" ht="15">
      <c r="A1744" s="587" t="s">
        <v>125</v>
      </c>
      <c r="B1744" s="587" t="s">
        <v>238</v>
      </c>
      <c r="C1744" s="587" t="s">
        <v>782</v>
      </c>
      <c r="D1744" s="588">
        <v>2018</v>
      </c>
      <c r="E1744" s="587" t="s">
        <v>775</v>
      </c>
      <c r="F1744" s="588">
        <v>1714</v>
      </c>
      <c r="G1744" s="588">
        <v>34</v>
      </c>
      <c r="H1744" s="588">
        <v>34</v>
      </c>
      <c r="I1744" s="588">
        <v>0</v>
      </c>
      <c r="J1744" s="588">
        <v>926</v>
      </c>
      <c r="K1744" s="588">
        <v>68</v>
      </c>
      <c r="L1744" s="588">
        <v>68</v>
      </c>
      <c r="M1744" s="588">
        <v>0</v>
      </c>
      <c r="N1744" s="588">
        <v>978</v>
      </c>
      <c r="O1744" s="588">
        <v>19</v>
      </c>
      <c r="P1744" s="588">
        <v>1837</v>
      </c>
      <c r="Q1744" s="588">
        <v>1742</v>
      </c>
      <c r="R1744" s="588">
        <v>5455</v>
      </c>
      <c r="S1744" s="588">
        <v>1863</v>
      </c>
      <c r="T1744" s="588">
        <v>2018</v>
      </c>
      <c r="U1744" s="588">
        <v>2015</v>
      </c>
      <c r="V1744" s="589"/>
      <c r="W1744" s="589"/>
      <c r="X1744" s="589"/>
      <c r="Y1744" s="589"/>
      <c r="Z1744" s="589"/>
      <c r="AA1744" s="589"/>
      <c r="AB1744" s="589"/>
      <c r="AC1744" s="589"/>
      <c r="AD1744" s="589"/>
      <c r="AE1744" s="589"/>
      <c r="AF1744" s="589"/>
      <c r="AG1744" s="589"/>
      <c r="AH1744" s="589"/>
      <c r="AI1744" s="589"/>
      <c r="AJ1744" s="589"/>
      <c r="AK1744" s="589"/>
      <c r="AL1744" s="589"/>
      <c r="AM1744" s="589"/>
      <c r="AN1744" s="589"/>
      <c r="AO1744" s="589"/>
      <c r="AP1744" s="589"/>
      <c r="AQ1744" s="589"/>
      <c r="AR1744" s="589"/>
      <c r="AS1744" s="589"/>
    </row>
    <row r="1745" spans="1:45" ht="15">
      <c r="A1745" s="590" t="s">
        <v>141</v>
      </c>
      <c r="B1745" s="590" t="s">
        <v>141</v>
      </c>
      <c r="C1745" s="590" t="s">
        <v>811</v>
      </c>
      <c r="D1745" s="593">
        <v>2018</v>
      </c>
      <c r="E1745" s="590" t="s">
        <v>775</v>
      </c>
      <c r="F1745" s="593">
        <v>5666</v>
      </c>
      <c r="G1745" s="593">
        <v>135</v>
      </c>
      <c r="H1745" s="593">
        <v>135</v>
      </c>
      <c r="I1745" s="593">
        <v>0</v>
      </c>
      <c r="J1745" s="593">
        <v>3289</v>
      </c>
      <c r="K1745" s="593">
        <v>0</v>
      </c>
      <c r="L1745" s="593">
        <v>0</v>
      </c>
      <c r="M1745" s="593">
        <v>0</v>
      </c>
      <c r="N1745" s="593">
        <v>3571</v>
      </c>
      <c r="O1745" s="593">
        <v>0</v>
      </c>
      <c r="P1745" s="593">
        <v>11039</v>
      </c>
      <c r="Q1745" s="593">
        <v>1202</v>
      </c>
      <c r="R1745" s="593">
        <v>23565</v>
      </c>
      <c r="S1745" s="593">
        <v>1337</v>
      </c>
      <c r="T1745" s="593">
        <v>2018</v>
      </c>
      <c r="U1745" s="593">
        <v>2016</v>
      </c>
      <c r="V1745" s="589"/>
      <c r="W1745" s="589"/>
      <c r="X1745" s="589"/>
      <c r="Y1745" s="589"/>
      <c r="Z1745" s="589"/>
      <c r="AA1745" s="589"/>
      <c r="AB1745" s="589"/>
      <c r="AC1745" s="589"/>
      <c r="AD1745" s="589"/>
      <c r="AE1745" s="589"/>
      <c r="AF1745" s="589"/>
      <c r="AG1745" s="589"/>
      <c r="AH1745" s="589"/>
      <c r="AI1745" s="589"/>
      <c r="AJ1745" s="589"/>
      <c r="AK1745" s="589"/>
      <c r="AL1745" s="589"/>
      <c r="AM1745" s="589"/>
      <c r="AN1745" s="589"/>
      <c r="AO1745" s="589"/>
      <c r="AP1745" s="589"/>
      <c r="AQ1745" s="589"/>
      <c r="AR1745" s="589"/>
      <c r="AS1745" s="589"/>
    </row>
    <row r="1746" spans="1:45" ht="15">
      <c r="A1746" s="587" t="s">
        <v>141</v>
      </c>
      <c r="B1746" s="587" t="s">
        <v>294</v>
      </c>
      <c r="C1746" s="587" t="s">
        <v>811</v>
      </c>
      <c r="D1746" s="588">
        <v>2018</v>
      </c>
      <c r="E1746" s="587" t="s">
        <v>775</v>
      </c>
      <c r="F1746" s="588">
        <v>460</v>
      </c>
      <c r="G1746" s="588">
        <v>28</v>
      </c>
      <c r="H1746" s="588">
        <v>2</v>
      </c>
      <c r="I1746" s="588">
        <v>26</v>
      </c>
      <c r="J1746" s="588">
        <v>527</v>
      </c>
      <c r="K1746" s="588">
        <v>9</v>
      </c>
      <c r="L1746" s="588">
        <v>0</v>
      </c>
      <c r="M1746" s="588">
        <v>9</v>
      </c>
      <c r="N1746" s="588">
        <v>589</v>
      </c>
      <c r="O1746" s="588">
        <v>18</v>
      </c>
      <c r="P1746" s="588">
        <v>1146</v>
      </c>
      <c r="Q1746" s="588">
        <v>0</v>
      </c>
      <c r="R1746" s="588">
        <v>2722</v>
      </c>
      <c r="S1746" s="588">
        <v>55</v>
      </c>
      <c r="T1746" s="588">
        <v>2018</v>
      </c>
      <c r="U1746" s="588">
        <v>2016</v>
      </c>
      <c r="V1746" s="589"/>
      <c r="W1746" s="589"/>
      <c r="X1746" s="589"/>
      <c r="Y1746" s="589"/>
      <c r="Z1746" s="589"/>
      <c r="AA1746" s="589"/>
      <c r="AB1746" s="589"/>
      <c r="AC1746" s="589"/>
      <c r="AD1746" s="589"/>
      <c r="AE1746" s="589"/>
      <c r="AF1746" s="589"/>
      <c r="AG1746" s="589"/>
      <c r="AH1746" s="589"/>
      <c r="AI1746" s="589"/>
      <c r="AJ1746" s="589"/>
      <c r="AK1746" s="589"/>
      <c r="AL1746" s="589"/>
      <c r="AM1746" s="589"/>
      <c r="AN1746" s="589"/>
      <c r="AO1746" s="589"/>
      <c r="AP1746" s="589"/>
      <c r="AQ1746" s="589"/>
      <c r="AR1746" s="589"/>
      <c r="AS1746" s="589"/>
    </row>
    <row r="1747" spans="1:45" ht="15">
      <c r="A1747" s="590" t="s">
        <v>169</v>
      </c>
      <c r="B1747" s="590" t="s">
        <v>493</v>
      </c>
      <c r="C1747" s="590" t="s">
        <v>813</v>
      </c>
      <c r="D1747" s="593">
        <v>2018</v>
      </c>
      <c r="E1747" s="590" t="s">
        <v>775</v>
      </c>
      <c r="F1747" s="593">
        <v>411</v>
      </c>
      <c r="G1747" s="593">
        <v>26</v>
      </c>
      <c r="H1747" s="593">
        <v>26</v>
      </c>
      <c r="I1747" s="593">
        <v>0</v>
      </c>
      <c r="J1747" s="593">
        <v>299</v>
      </c>
      <c r="K1747" s="593">
        <v>19</v>
      </c>
      <c r="L1747" s="593">
        <v>19</v>
      </c>
      <c r="M1747" s="593">
        <v>0</v>
      </c>
      <c r="N1747" s="593">
        <v>337</v>
      </c>
      <c r="O1747" s="593">
        <v>0</v>
      </c>
      <c r="P1747" s="593">
        <v>794</v>
      </c>
      <c r="Q1747" s="593">
        <v>41</v>
      </c>
      <c r="R1747" s="593">
        <v>1841</v>
      </c>
      <c r="S1747" s="593">
        <v>86</v>
      </c>
      <c r="T1747" s="593">
        <v>2018</v>
      </c>
      <c r="U1747" s="593">
        <v>2014</v>
      </c>
      <c r="V1747" s="589"/>
      <c r="W1747" s="589"/>
      <c r="X1747" s="589"/>
      <c r="Y1747" s="589"/>
      <c r="Z1747" s="589"/>
      <c r="AA1747" s="589"/>
      <c r="AB1747" s="589"/>
      <c r="AC1747" s="589"/>
      <c r="AD1747" s="589"/>
      <c r="AE1747" s="589"/>
      <c r="AF1747" s="589"/>
      <c r="AG1747" s="589"/>
      <c r="AH1747" s="589"/>
      <c r="AI1747" s="589"/>
      <c r="AJ1747" s="589"/>
      <c r="AK1747" s="589"/>
      <c r="AL1747" s="589"/>
      <c r="AM1747" s="589"/>
      <c r="AN1747" s="589"/>
      <c r="AO1747" s="589"/>
      <c r="AP1747" s="589"/>
      <c r="AQ1747" s="589"/>
      <c r="AR1747" s="589"/>
      <c r="AS1747" s="589"/>
    </row>
    <row r="1748" spans="1:45" ht="15">
      <c r="A1748" s="587" t="s">
        <v>174</v>
      </c>
      <c r="B1748" s="587" t="s">
        <v>559</v>
      </c>
      <c r="C1748" s="587" t="s">
        <v>801</v>
      </c>
      <c r="D1748" s="588">
        <v>2018</v>
      </c>
      <c r="E1748" s="587" t="s">
        <v>775</v>
      </c>
      <c r="F1748" s="588">
        <v>131</v>
      </c>
      <c r="G1748" s="588">
        <v>0</v>
      </c>
      <c r="H1748" s="588">
        <v>0</v>
      </c>
      <c r="I1748" s="588">
        <v>0</v>
      </c>
      <c r="J1748" s="588">
        <v>91</v>
      </c>
      <c r="K1748" s="588">
        <v>14</v>
      </c>
      <c r="L1748" s="588">
        <v>0</v>
      </c>
      <c r="M1748" s="588">
        <v>14</v>
      </c>
      <c r="N1748" s="588">
        <v>126</v>
      </c>
      <c r="O1748" s="588">
        <v>0</v>
      </c>
      <c r="P1748" s="588">
        <v>331</v>
      </c>
      <c r="Q1748" s="588">
        <v>24</v>
      </c>
      <c r="R1748" s="588">
        <v>679</v>
      </c>
      <c r="S1748" s="588">
        <v>38</v>
      </c>
      <c r="T1748" s="588">
        <v>2018</v>
      </c>
      <c r="U1748" s="588">
        <v>2014</v>
      </c>
      <c r="V1748" s="589"/>
      <c r="W1748" s="589"/>
      <c r="X1748" s="589"/>
      <c r="Y1748" s="589"/>
      <c r="Z1748" s="589"/>
      <c r="AA1748" s="589"/>
      <c r="AB1748" s="589"/>
      <c r="AC1748" s="589"/>
      <c r="AD1748" s="589"/>
      <c r="AE1748" s="589"/>
      <c r="AF1748" s="589"/>
      <c r="AG1748" s="589"/>
      <c r="AH1748" s="589"/>
      <c r="AI1748" s="589"/>
      <c r="AJ1748" s="589"/>
      <c r="AK1748" s="589"/>
      <c r="AL1748" s="589"/>
      <c r="AM1748" s="589"/>
      <c r="AN1748" s="589"/>
      <c r="AO1748" s="589"/>
      <c r="AP1748" s="589"/>
      <c r="AQ1748" s="589"/>
      <c r="AR1748" s="589"/>
      <c r="AS1748" s="589"/>
    </row>
    <row r="1749" spans="1:45" ht="15">
      <c r="A1749" s="590" t="s">
        <v>169</v>
      </c>
      <c r="B1749" s="590" t="s">
        <v>494</v>
      </c>
      <c r="C1749" s="590" t="s">
        <v>813</v>
      </c>
      <c r="D1749" s="593">
        <v>2018</v>
      </c>
      <c r="E1749" s="590" t="s">
        <v>775</v>
      </c>
      <c r="F1749" s="593">
        <v>164</v>
      </c>
      <c r="G1749" s="593">
        <v>0</v>
      </c>
      <c r="H1749" s="593">
        <v>0</v>
      </c>
      <c r="I1749" s="593">
        <v>0</v>
      </c>
      <c r="J1749" s="593">
        <v>120</v>
      </c>
      <c r="K1749" s="593">
        <v>0</v>
      </c>
      <c r="L1749" s="593">
        <v>0</v>
      </c>
      <c r="M1749" s="593">
        <v>0</v>
      </c>
      <c r="N1749" s="593">
        <v>135</v>
      </c>
      <c r="O1749" s="593">
        <v>0</v>
      </c>
      <c r="P1749" s="593">
        <v>328</v>
      </c>
      <c r="Q1749" s="593">
        <v>273</v>
      </c>
      <c r="R1749" s="593">
        <v>747</v>
      </c>
      <c r="S1749" s="593">
        <v>273</v>
      </c>
      <c r="T1749" s="593">
        <v>2018</v>
      </c>
      <c r="U1749" s="593">
        <v>2014</v>
      </c>
      <c r="V1749" s="589"/>
      <c r="W1749" s="589"/>
      <c r="X1749" s="589"/>
      <c r="Y1749" s="589"/>
      <c r="Z1749" s="589"/>
      <c r="AA1749" s="589"/>
      <c r="AB1749" s="589"/>
      <c r="AC1749" s="589"/>
      <c r="AD1749" s="589"/>
      <c r="AE1749" s="589"/>
      <c r="AF1749" s="589"/>
      <c r="AG1749" s="589"/>
      <c r="AH1749" s="589"/>
      <c r="AI1749" s="589"/>
      <c r="AJ1749" s="589"/>
      <c r="AK1749" s="589"/>
      <c r="AL1749" s="589"/>
      <c r="AM1749" s="589"/>
      <c r="AN1749" s="589"/>
      <c r="AO1749" s="589"/>
      <c r="AP1749" s="589"/>
      <c r="AQ1749" s="589"/>
      <c r="AR1749" s="589"/>
      <c r="AS1749" s="589"/>
    </row>
    <row r="1750" spans="1:45" ht="15">
      <c r="A1750" s="587" t="s">
        <v>153</v>
      </c>
      <c r="B1750" s="587" t="s">
        <v>373</v>
      </c>
      <c r="C1750" s="587" t="s">
        <v>813</v>
      </c>
      <c r="D1750" s="588">
        <v>2018</v>
      </c>
      <c r="E1750" s="587" t="s">
        <v>775</v>
      </c>
      <c r="F1750" s="588">
        <v>98</v>
      </c>
      <c r="G1750" s="588">
        <v>0</v>
      </c>
      <c r="H1750" s="588">
        <v>0</v>
      </c>
      <c r="I1750" s="588">
        <v>0</v>
      </c>
      <c r="J1750" s="588">
        <v>60</v>
      </c>
      <c r="K1750" s="588">
        <v>0</v>
      </c>
      <c r="L1750" s="588">
        <v>0</v>
      </c>
      <c r="M1750" s="588">
        <v>0</v>
      </c>
      <c r="N1750" s="588">
        <v>66</v>
      </c>
      <c r="O1750" s="588">
        <v>0</v>
      </c>
      <c r="P1750" s="588">
        <v>173</v>
      </c>
      <c r="Q1750" s="588">
        <v>124</v>
      </c>
      <c r="R1750" s="588">
        <v>397</v>
      </c>
      <c r="S1750" s="588">
        <v>124</v>
      </c>
      <c r="T1750" s="588">
        <v>2018</v>
      </c>
      <c r="U1750" s="588">
        <v>2014</v>
      </c>
      <c r="V1750" s="589"/>
      <c r="W1750" s="589"/>
      <c r="X1750" s="589"/>
      <c r="Y1750" s="589"/>
      <c r="Z1750" s="589"/>
      <c r="AA1750" s="589"/>
      <c r="AB1750" s="589"/>
      <c r="AC1750" s="589"/>
      <c r="AD1750" s="589"/>
      <c r="AE1750" s="589"/>
      <c r="AF1750" s="589"/>
      <c r="AG1750" s="589"/>
      <c r="AH1750" s="589"/>
      <c r="AI1750" s="589"/>
      <c r="AJ1750" s="589"/>
      <c r="AK1750" s="589"/>
      <c r="AL1750" s="589"/>
      <c r="AM1750" s="589"/>
      <c r="AN1750" s="589"/>
      <c r="AO1750" s="589"/>
      <c r="AP1750" s="589"/>
      <c r="AQ1750" s="589"/>
      <c r="AR1750" s="589"/>
      <c r="AS1750" s="589"/>
    </row>
    <row r="1751" spans="1:45" ht="15">
      <c r="A1751" s="590" t="s">
        <v>187</v>
      </c>
      <c r="B1751" s="590" t="s">
        <v>653</v>
      </c>
      <c r="C1751" s="590" t="s">
        <v>782</v>
      </c>
      <c r="D1751" s="593">
        <v>2018</v>
      </c>
      <c r="E1751" s="590" t="s">
        <v>775</v>
      </c>
      <c r="F1751" s="593">
        <v>236</v>
      </c>
      <c r="G1751" s="593">
        <v>37</v>
      </c>
      <c r="H1751" s="593">
        <v>37</v>
      </c>
      <c r="I1751" s="593">
        <v>0</v>
      </c>
      <c r="J1751" s="593">
        <v>160</v>
      </c>
      <c r="K1751" s="593">
        <v>38</v>
      </c>
      <c r="L1751" s="593">
        <v>38</v>
      </c>
      <c r="M1751" s="593">
        <v>0</v>
      </c>
      <c r="N1751" s="593">
        <v>217</v>
      </c>
      <c r="O1751" s="593">
        <v>0</v>
      </c>
      <c r="P1751" s="593">
        <v>475</v>
      </c>
      <c r="Q1751" s="593">
        <v>1</v>
      </c>
      <c r="R1751" s="593">
        <v>1088</v>
      </c>
      <c r="S1751" s="593">
        <v>76</v>
      </c>
      <c r="T1751" s="593">
        <v>2018</v>
      </c>
      <c r="U1751" s="593">
        <v>2015</v>
      </c>
      <c r="V1751" s="589"/>
      <c r="W1751" s="589"/>
      <c r="X1751" s="589"/>
      <c r="Y1751" s="589"/>
      <c r="Z1751" s="589"/>
      <c r="AA1751" s="589"/>
      <c r="AB1751" s="589"/>
      <c r="AC1751" s="589"/>
      <c r="AD1751" s="589"/>
      <c r="AE1751" s="589"/>
      <c r="AF1751" s="589"/>
      <c r="AG1751" s="589"/>
      <c r="AH1751" s="589"/>
      <c r="AI1751" s="589"/>
      <c r="AJ1751" s="589"/>
      <c r="AK1751" s="589"/>
      <c r="AL1751" s="589"/>
      <c r="AM1751" s="589"/>
      <c r="AN1751" s="589"/>
      <c r="AO1751" s="589"/>
      <c r="AP1751" s="589"/>
      <c r="AQ1751" s="589"/>
      <c r="AR1751" s="589"/>
      <c r="AS1751" s="589"/>
    </row>
    <row r="1752" spans="1:45" ht="15">
      <c r="A1752" s="587" t="s">
        <v>153</v>
      </c>
      <c r="B1752" s="587" t="s">
        <v>374</v>
      </c>
      <c r="C1752" s="587" t="s">
        <v>813</v>
      </c>
      <c r="D1752" s="588">
        <v>2018</v>
      </c>
      <c r="E1752" s="587" t="s">
        <v>775</v>
      </c>
      <c r="F1752" s="588">
        <v>508</v>
      </c>
      <c r="G1752" s="588">
        <v>7</v>
      </c>
      <c r="H1752" s="588">
        <v>7</v>
      </c>
      <c r="I1752" s="588">
        <v>0</v>
      </c>
      <c r="J1752" s="588">
        <v>310</v>
      </c>
      <c r="K1752" s="588">
        <v>63</v>
      </c>
      <c r="L1752" s="588">
        <v>63</v>
      </c>
      <c r="M1752" s="588">
        <v>0</v>
      </c>
      <c r="N1752" s="588">
        <v>337</v>
      </c>
      <c r="O1752" s="588">
        <v>9</v>
      </c>
      <c r="P1752" s="588">
        <v>862</v>
      </c>
      <c r="Q1752" s="588">
        <v>125</v>
      </c>
      <c r="R1752" s="588">
        <v>2017</v>
      </c>
      <c r="S1752" s="588">
        <v>204</v>
      </c>
      <c r="T1752" s="588">
        <v>2018</v>
      </c>
      <c r="U1752" s="588">
        <v>2014</v>
      </c>
      <c r="V1752" s="589"/>
      <c r="W1752" s="589"/>
      <c r="X1752" s="589"/>
      <c r="Y1752" s="589"/>
      <c r="Z1752" s="589"/>
      <c r="AA1752" s="589"/>
      <c r="AB1752" s="589"/>
      <c r="AC1752" s="589"/>
      <c r="AD1752" s="589"/>
      <c r="AE1752" s="589"/>
      <c r="AF1752" s="589"/>
      <c r="AG1752" s="589"/>
      <c r="AH1752" s="589"/>
      <c r="AI1752" s="589"/>
      <c r="AJ1752" s="589"/>
      <c r="AK1752" s="589"/>
      <c r="AL1752" s="589"/>
      <c r="AM1752" s="589"/>
      <c r="AN1752" s="589"/>
      <c r="AO1752" s="589"/>
      <c r="AP1752" s="589"/>
      <c r="AQ1752" s="589"/>
      <c r="AR1752" s="589"/>
      <c r="AS1752" s="589"/>
    </row>
    <row r="1753" spans="1:45" ht="15">
      <c r="A1753" s="590" t="s">
        <v>153</v>
      </c>
      <c r="B1753" s="590" t="s">
        <v>375</v>
      </c>
      <c r="C1753" s="590" t="s">
        <v>813</v>
      </c>
      <c r="D1753" s="593">
        <v>2018</v>
      </c>
      <c r="E1753" s="590" t="s">
        <v>775</v>
      </c>
      <c r="F1753" s="593">
        <v>181</v>
      </c>
      <c r="G1753" s="593">
        <v>0</v>
      </c>
      <c r="H1753" s="593">
        <v>0</v>
      </c>
      <c r="I1753" s="593">
        <v>0</v>
      </c>
      <c r="J1753" s="593">
        <v>106</v>
      </c>
      <c r="K1753" s="593">
        <v>0</v>
      </c>
      <c r="L1753" s="593">
        <v>0</v>
      </c>
      <c r="M1753" s="593">
        <v>0</v>
      </c>
      <c r="N1753" s="593">
        <v>115</v>
      </c>
      <c r="O1753" s="593">
        <v>0</v>
      </c>
      <c r="P1753" s="593">
        <v>284</v>
      </c>
      <c r="Q1753" s="593">
        <v>51</v>
      </c>
      <c r="R1753" s="593">
        <v>686</v>
      </c>
      <c r="S1753" s="593">
        <v>51</v>
      </c>
      <c r="T1753" s="593">
        <v>2018</v>
      </c>
      <c r="U1753" s="593">
        <v>2014</v>
      </c>
      <c r="V1753" s="589"/>
      <c r="W1753" s="589"/>
      <c r="X1753" s="589"/>
      <c r="Y1753" s="589"/>
      <c r="Z1753" s="589"/>
      <c r="AA1753" s="589"/>
      <c r="AB1753" s="589"/>
      <c r="AC1753" s="589"/>
      <c r="AD1753" s="589"/>
      <c r="AE1753" s="589"/>
      <c r="AF1753" s="589"/>
      <c r="AG1753" s="589"/>
      <c r="AH1753" s="589"/>
      <c r="AI1753" s="589"/>
      <c r="AJ1753" s="589"/>
      <c r="AK1753" s="589"/>
      <c r="AL1753" s="589"/>
      <c r="AM1753" s="589"/>
      <c r="AN1753" s="589"/>
      <c r="AO1753" s="589"/>
      <c r="AP1753" s="589"/>
      <c r="AQ1753" s="589"/>
      <c r="AR1753" s="589"/>
      <c r="AS1753" s="589"/>
    </row>
    <row r="1754" spans="1:45" ht="15">
      <c r="A1754" s="587" t="s">
        <v>144</v>
      </c>
      <c r="B1754" s="587" t="s">
        <v>304</v>
      </c>
      <c r="C1754" s="587" t="s">
        <v>785</v>
      </c>
      <c r="D1754" s="588">
        <v>2018</v>
      </c>
      <c r="E1754" s="587" t="s">
        <v>775</v>
      </c>
      <c r="F1754" s="588">
        <v>25</v>
      </c>
      <c r="G1754" s="588">
        <v>1</v>
      </c>
      <c r="H1754" s="588">
        <v>0</v>
      </c>
      <c r="I1754" s="588">
        <v>1</v>
      </c>
      <c r="J1754" s="588">
        <v>19</v>
      </c>
      <c r="K1754" s="588">
        <v>4</v>
      </c>
      <c r="L1754" s="588">
        <v>0</v>
      </c>
      <c r="M1754" s="588">
        <v>4</v>
      </c>
      <c r="N1754" s="588">
        <v>25</v>
      </c>
      <c r="O1754" s="588">
        <v>5</v>
      </c>
      <c r="P1754" s="588">
        <v>48</v>
      </c>
      <c r="Q1754" s="588">
        <v>7</v>
      </c>
      <c r="R1754" s="588">
        <v>117</v>
      </c>
      <c r="S1754" s="588">
        <v>17</v>
      </c>
      <c r="T1754" s="588">
        <v>2018</v>
      </c>
      <c r="U1754" s="588">
        <v>2014</v>
      </c>
      <c r="V1754" s="589"/>
      <c r="W1754" s="589"/>
      <c r="X1754" s="589"/>
      <c r="Y1754" s="589"/>
      <c r="Z1754" s="589"/>
      <c r="AA1754" s="589"/>
      <c r="AB1754" s="589"/>
      <c r="AC1754" s="589"/>
      <c r="AD1754" s="589"/>
      <c r="AE1754" s="589"/>
      <c r="AF1754" s="589"/>
      <c r="AG1754" s="589"/>
      <c r="AH1754" s="589"/>
      <c r="AI1754" s="589"/>
      <c r="AJ1754" s="589"/>
      <c r="AK1754" s="589"/>
      <c r="AL1754" s="589"/>
      <c r="AM1754" s="589"/>
      <c r="AN1754" s="589"/>
      <c r="AO1754" s="589"/>
      <c r="AP1754" s="589"/>
      <c r="AQ1754" s="589"/>
      <c r="AR1754" s="589"/>
      <c r="AS1754" s="589"/>
    </row>
    <row r="1755" spans="1:45" ht="15">
      <c r="A1755" s="590" t="s">
        <v>185</v>
      </c>
      <c r="B1755" s="590" t="s">
        <v>645</v>
      </c>
      <c r="C1755" s="590" t="s">
        <v>872</v>
      </c>
      <c r="D1755" s="593">
        <v>2018</v>
      </c>
      <c r="E1755" s="590" t="s">
        <v>775</v>
      </c>
      <c r="F1755" s="593">
        <v>235</v>
      </c>
      <c r="G1755" s="593">
        <v>1</v>
      </c>
      <c r="H1755" s="593">
        <v>0</v>
      </c>
      <c r="I1755" s="593">
        <v>1</v>
      </c>
      <c r="J1755" s="593">
        <v>157</v>
      </c>
      <c r="K1755" s="593">
        <v>1</v>
      </c>
      <c r="L1755" s="593">
        <v>0</v>
      </c>
      <c r="M1755" s="593">
        <v>1</v>
      </c>
      <c r="N1755" s="593">
        <v>174</v>
      </c>
      <c r="O1755" s="593">
        <v>0</v>
      </c>
      <c r="P1755" s="593">
        <v>413</v>
      </c>
      <c r="Q1755" s="593">
        <v>115</v>
      </c>
      <c r="R1755" s="593">
        <v>979</v>
      </c>
      <c r="S1755" s="593">
        <v>117</v>
      </c>
      <c r="T1755" s="593">
        <v>2018</v>
      </c>
      <c r="U1755" s="593">
        <v>2015</v>
      </c>
      <c r="V1755" s="589"/>
      <c r="W1755" s="589"/>
      <c r="X1755" s="589"/>
      <c r="Y1755" s="589"/>
      <c r="Z1755" s="589"/>
      <c r="AA1755" s="589"/>
      <c r="AB1755" s="589"/>
      <c r="AC1755" s="589"/>
      <c r="AD1755" s="589"/>
      <c r="AE1755" s="589"/>
      <c r="AF1755" s="589"/>
      <c r="AG1755" s="589"/>
      <c r="AH1755" s="589"/>
      <c r="AI1755" s="589"/>
      <c r="AJ1755" s="589"/>
      <c r="AK1755" s="589"/>
      <c r="AL1755" s="589"/>
      <c r="AM1755" s="589"/>
      <c r="AN1755" s="589"/>
      <c r="AO1755" s="589"/>
      <c r="AP1755" s="589"/>
      <c r="AQ1755" s="589"/>
      <c r="AR1755" s="589"/>
      <c r="AS1755" s="589"/>
    </row>
    <row r="1756" spans="1:45" ht="15">
      <c r="A1756" s="587" t="s">
        <v>164</v>
      </c>
      <c r="B1756" s="587" t="s">
        <v>466</v>
      </c>
      <c r="C1756" s="587" t="s">
        <v>811</v>
      </c>
      <c r="D1756" s="588">
        <v>2018</v>
      </c>
      <c r="E1756" s="587" t="s">
        <v>775</v>
      </c>
      <c r="F1756" s="588">
        <v>71</v>
      </c>
      <c r="G1756" s="588">
        <v>0</v>
      </c>
      <c r="H1756" s="588">
        <v>0</v>
      </c>
      <c r="I1756" s="588">
        <v>0</v>
      </c>
      <c r="J1756" s="588">
        <v>46</v>
      </c>
      <c r="K1756" s="588">
        <v>0</v>
      </c>
      <c r="L1756" s="588">
        <v>0</v>
      </c>
      <c r="M1756" s="588">
        <v>0</v>
      </c>
      <c r="N1756" s="588">
        <v>53</v>
      </c>
      <c r="O1756" s="588">
        <v>0</v>
      </c>
      <c r="P1756" s="588">
        <v>123</v>
      </c>
      <c r="Q1756" s="588">
        <v>0</v>
      </c>
      <c r="R1756" s="588">
        <v>293</v>
      </c>
      <c r="S1756" s="588">
        <v>0</v>
      </c>
      <c r="T1756" s="588">
        <v>2018</v>
      </c>
      <c r="U1756" s="588">
        <v>2016</v>
      </c>
      <c r="V1756" s="589"/>
      <c r="W1756" s="589"/>
      <c r="X1756" s="589"/>
      <c r="Y1756" s="589"/>
      <c r="Z1756" s="589"/>
      <c r="AA1756" s="589"/>
      <c r="AB1756" s="589"/>
      <c r="AC1756" s="589"/>
      <c r="AD1756" s="589"/>
      <c r="AE1756" s="589"/>
      <c r="AF1756" s="589"/>
      <c r="AG1756" s="589"/>
      <c r="AH1756" s="589"/>
      <c r="AI1756" s="589"/>
      <c r="AJ1756" s="589"/>
      <c r="AK1756" s="589"/>
      <c r="AL1756" s="589"/>
      <c r="AM1756" s="589"/>
      <c r="AN1756" s="589"/>
      <c r="AO1756" s="589"/>
      <c r="AP1756" s="589"/>
      <c r="AQ1756" s="589"/>
      <c r="AR1756" s="589"/>
      <c r="AS1756" s="589"/>
    </row>
    <row r="1757" spans="1:45" ht="15">
      <c r="A1757" s="590" t="s">
        <v>178</v>
      </c>
      <c r="B1757" s="590" t="s">
        <v>574</v>
      </c>
      <c r="C1757" s="590" t="s">
        <v>813</v>
      </c>
      <c r="D1757" s="593">
        <v>2018</v>
      </c>
      <c r="E1757" s="590" t="s">
        <v>775</v>
      </c>
      <c r="F1757" s="593">
        <v>28</v>
      </c>
      <c r="G1757" s="593">
        <v>1</v>
      </c>
      <c r="H1757" s="593">
        <v>1</v>
      </c>
      <c r="I1757" s="593">
        <v>0</v>
      </c>
      <c r="J1757" s="593">
        <v>19</v>
      </c>
      <c r="K1757" s="593">
        <v>1</v>
      </c>
      <c r="L1757" s="593">
        <v>1</v>
      </c>
      <c r="M1757" s="593">
        <v>0</v>
      </c>
      <c r="N1757" s="593">
        <v>22</v>
      </c>
      <c r="O1757" s="593">
        <v>0</v>
      </c>
      <c r="P1757" s="593">
        <v>49</v>
      </c>
      <c r="Q1757" s="593">
        <v>17</v>
      </c>
      <c r="R1757" s="593">
        <v>118</v>
      </c>
      <c r="S1757" s="593">
        <v>19</v>
      </c>
      <c r="T1757" s="593">
        <v>2018</v>
      </c>
      <c r="U1757" s="593">
        <v>2014</v>
      </c>
      <c r="V1757" s="589"/>
      <c r="W1757" s="589"/>
      <c r="X1757" s="589"/>
      <c r="Y1757" s="589"/>
      <c r="Z1757" s="589"/>
      <c r="AA1757" s="589"/>
      <c r="AB1757" s="589"/>
      <c r="AC1757" s="589"/>
      <c r="AD1757" s="589"/>
      <c r="AE1757" s="589"/>
      <c r="AF1757" s="589"/>
      <c r="AG1757" s="589"/>
      <c r="AH1757" s="589"/>
      <c r="AI1757" s="589"/>
      <c r="AJ1757" s="589"/>
      <c r="AK1757" s="589"/>
      <c r="AL1757" s="589"/>
      <c r="AM1757" s="589"/>
      <c r="AN1757" s="589"/>
      <c r="AO1757" s="589"/>
      <c r="AP1757" s="589"/>
      <c r="AQ1757" s="589"/>
      <c r="AR1757" s="589"/>
      <c r="AS1757" s="589"/>
    </row>
    <row r="1758" spans="1:45" ht="15">
      <c r="A1758" s="587" t="s">
        <v>168</v>
      </c>
      <c r="B1758" s="587" t="s">
        <v>481</v>
      </c>
      <c r="C1758" s="587" t="s">
        <v>785</v>
      </c>
      <c r="D1758" s="588">
        <v>2018</v>
      </c>
      <c r="E1758" s="587" t="s">
        <v>775</v>
      </c>
      <c r="F1758" s="588">
        <v>122</v>
      </c>
      <c r="G1758" s="588">
        <v>0</v>
      </c>
      <c r="H1758" s="588">
        <v>0</v>
      </c>
      <c r="I1758" s="588">
        <v>0</v>
      </c>
      <c r="J1758" s="588">
        <v>88</v>
      </c>
      <c r="K1758" s="588">
        <v>3</v>
      </c>
      <c r="L1758" s="588">
        <v>0</v>
      </c>
      <c r="M1758" s="588">
        <v>3</v>
      </c>
      <c r="N1758" s="588">
        <v>100</v>
      </c>
      <c r="O1758" s="588">
        <v>0</v>
      </c>
      <c r="P1758" s="588">
        <v>220</v>
      </c>
      <c r="Q1758" s="588">
        <v>6</v>
      </c>
      <c r="R1758" s="588">
        <v>530</v>
      </c>
      <c r="S1758" s="588">
        <v>9</v>
      </c>
      <c r="T1758" s="588">
        <v>2018</v>
      </c>
      <c r="U1758" s="588">
        <v>2014</v>
      </c>
      <c r="V1758" s="589"/>
      <c r="W1758" s="589"/>
      <c r="X1758" s="589"/>
      <c r="Y1758" s="589"/>
      <c r="Z1758" s="589"/>
      <c r="AA1758" s="589"/>
      <c r="AB1758" s="589"/>
      <c r="AC1758" s="589"/>
      <c r="AD1758" s="589"/>
      <c r="AE1758" s="589"/>
      <c r="AF1758" s="589"/>
      <c r="AG1758" s="589"/>
      <c r="AH1758" s="589"/>
      <c r="AI1758" s="589"/>
      <c r="AJ1758" s="589"/>
      <c r="AK1758" s="589"/>
      <c r="AL1758" s="589"/>
      <c r="AM1758" s="589"/>
      <c r="AN1758" s="589"/>
      <c r="AO1758" s="589"/>
      <c r="AP1758" s="589"/>
      <c r="AQ1758" s="589"/>
      <c r="AR1758" s="589"/>
      <c r="AS1758" s="589"/>
    </row>
    <row r="1759" spans="1:45" ht="15">
      <c r="A1759" s="590" t="s">
        <v>164</v>
      </c>
      <c r="B1759" s="590" t="s">
        <v>467</v>
      </c>
      <c r="C1759" s="590" t="s">
        <v>811</v>
      </c>
      <c r="D1759" s="593">
        <v>2018</v>
      </c>
      <c r="E1759" s="590" t="s">
        <v>775</v>
      </c>
      <c r="F1759" s="593">
        <v>87</v>
      </c>
      <c r="G1759" s="593">
        <v>0</v>
      </c>
      <c r="H1759" s="593">
        <v>0</v>
      </c>
      <c r="I1759" s="593">
        <v>0</v>
      </c>
      <c r="J1759" s="593">
        <v>57</v>
      </c>
      <c r="K1759" s="593">
        <v>0</v>
      </c>
      <c r="L1759" s="593">
        <v>0</v>
      </c>
      <c r="M1759" s="593">
        <v>0</v>
      </c>
      <c r="N1759" s="593">
        <v>66</v>
      </c>
      <c r="O1759" s="593">
        <v>0</v>
      </c>
      <c r="P1759" s="593">
        <v>153</v>
      </c>
      <c r="Q1759" s="593">
        <v>2</v>
      </c>
      <c r="R1759" s="593">
        <v>363</v>
      </c>
      <c r="S1759" s="593">
        <v>2</v>
      </c>
      <c r="T1759" s="593">
        <v>2018</v>
      </c>
      <c r="U1759" s="593">
        <v>2016</v>
      </c>
      <c r="V1759" s="589"/>
      <c r="W1759" s="589"/>
      <c r="X1759" s="589"/>
      <c r="Y1759" s="589"/>
      <c r="Z1759" s="589"/>
      <c r="AA1759" s="589"/>
      <c r="AB1759" s="589"/>
      <c r="AC1759" s="589"/>
      <c r="AD1759" s="589"/>
      <c r="AE1759" s="589"/>
      <c r="AF1759" s="589"/>
      <c r="AG1759" s="589"/>
      <c r="AH1759" s="589"/>
      <c r="AI1759" s="589"/>
      <c r="AJ1759" s="589"/>
      <c r="AK1759" s="589"/>
      <c r="AL1759" s="589"/>
      <c r="AM1759" s="589"/>
      <c r="AN1759" s="589"/>
      <c r="AO1759" s="589"/>
      <c r="AP1759" s="589"/>
      <c r="AQ1759" s="589"/>
      <c r="AR1759" s="589"/>
      <c r="AS1759" s="589"/>
    </row>
    <row r="1760" spans="1:45" ht="15">
      <c r="A1760" s="587" t="s">
        <v>131</v>
      </c>
      <c r="B1760" s="587" t="s">
        <v>258</v>
      </c>
      <c r="C1760" s="587" t="s">
        <v>787</v>
      </c>
      <c r="D1760" s="588">
        <v>2018</v>
      </c>
      <c r="E1760" s="587" t="s">
        <v>775</v>
      </c>
      <c r="F1760" s="588">
        <v>231</v>
      </c>
      <c r="G1760" s="588">
        <v>0</v>
      </c>
      <c r="H1760" s="588">
        <v>0</v>
      </c>
      <c r="I1760" s="588">
        <v>0</v>
      </c>
      <c r="J1760" s="588">
        <v>118</v>
      </c>
      <c r="K1760" s="588">
        <v>0</v>
      </c>
      <c r="L1760" s="588">
        <v>0</v>
      </c>
      <c r="M1760" s="588">
        <v>0</v>
      </c>
      <c r="N1760" s="588">
        <v>99</v>
      </c>
      <c r="O1760" s="588">
        <v>0</v>
      </c>
      <c r="P1760" s="588">
        <v>321</v>
      </c>
      <c r="Q1760" s="588">
        <v>0</v>
      </c>
      <c r="R1760" s="588">
        <v>769</v>
      </c>
      <c r="S1760" s="588">
        <v>0</v>
      </c>
      <c r="T1760" s="588">
        <v>2018</v>
      </c>
      <c r="U1760" s="588">
        <v>2014</v>
      </c>
      <c r="V1760" s="589"/>
      <c r="W1760" s="589"/>
      <c r="X1760" s="589"/>
      <c r="Y1760" s="589"/>
      <c r="Z1760" s="589"/>
      <c r="AA1760" s="589"/>
      <c r="AB1760" s="589"/>
      <c r="AC1760" s="589"/>
      <c r="AD1760" s="589"/>
      <c r="AE1760" s="589"/>
      <c r="AF1760" s="589"/>
      <c r="AG1760" s="589"/>
      <c r="AH1760" s="589"/>
      <c r="AI1760" s="589"/>
      <c r="AJ1760" s="589"/>
      <c r="AK1760" s="589"/>
      <c r="AL1760" s="589"/>
      <c r="AM1760" s="589"/>
      <c r="AN1760" s="589"/>
      <c r="AO1760" s="589"/>
      <c r="AP1760" s="589"/>
      <c r="AQ1760" s="589"/>
      <c r="AR1760" s="589"/>
      <c r="AS1760" s="589"/>
    </row>
    <row r="1761" spans="1:45" ht="15">
      <c r="A1761" s="590" t="s">
        <v>183</v>
      </c>
      <c r="B1761" s="590" t="s">
        <v>618</v>
      </c>
      <c r="C1761" s="590" t="s">
        <v>785</v>
      </c>
      <c r="D1761" s="593">
        <v>2018</v>
      </c>
      <c r="E1761" s="590" t="s">
        <v>775</v>
      </c>
      <c r="F1761" s="593">
        <v>41</v>
      </c>
      <c r="G1761" s="593">
        <v>0</v>
      </c>
      <c r="H1761" s="593">
        <v>0</v>
      </c>
      <c r="I1761" s="593">
        <v>0</v>
      </c>
      <c r="J1761" s="593">
        <v>26</v>
      </c>
      <c r="K1761" s="593">
        <v>4</v>
      </c>
      <c r="L1761" s="593">
        <v>4</v>
      </c>
      <c r="M1761" s="593">
        <v>0</v>
      </c>
      <c r="N1761" s="593">
        <v>29</v>
      </c>
      <c r="O1761" s="593">
        <v>0</v>
      </c>
      <c r="P1761" s="593">
        <v>69</v>
      </c>
      <c r="Q1761" s="593">
        <v>25</v>
      </c>
      <c r="R1761" s="593">
        <v>165</v>
      </c>
      <c r="S1761" s="593">
        <v>29</v>
      </c>
      <c r="T1761" s="593">
        <v>2018</v>
      </c>
      <c r="U1761" s="593">
        <v>2014</v>
      </c>
      <c r="V1761" s="589"/>
      <c r="W1761" s="589"/>
      <c r="X1761" s="589"/>
      <c r="Y1761" s="589"/>
      <c r="Z1761" s="589"/>
      <c r="AA1761" s="589"/>
      <c r="AB1761" s="589"/>
      <c r="AC1761" s="589"/>
      <c r="AD1761" s="589"/>
      <c r="AE1761" s="589"/>
      <c r="AF1761" s="589"/>
      <c r="AG1761" s="589"/>
      <c r="AH1761" s="589"/>
      <c r="AI1761" s="589"/>
      <c r="AJ1761" s="589"/>
      <c r="AK1761" s="589"/>
      <c r="AL1761" s="589"/>
      <c r="AM1761" s="589"/>
      <c r="AN1761" s="589"/>
      <c r="AO1761" s="589"/>
      <c r="AP1761" s="589"/>
      <c r="AQ1761" s="589"/>
      <c r="AR1761" s="589"/>
      <c r="AS1761" s="589"/>
    </row>
    <row r="1762" spans="1:45" ht="15">
      <c r="A1762" s="587" t="s">
        <v>185</v>
      </c>
      <c r="B1762" s="587" t="s">
        <v>646</v>
      </c>
      <c r="C1762" s="587" t="s">
        <v>872</v>
      </c>
      <c r="D1762" s="588">
        <v>2018</v>
      </c>
      <c r="E1762" s="587" t="s">
        <v>775</v>
      </c>
      <c r="F1762" s="588">
        <v>12</v>
      </c>
      <c r="G1762" s="588">
        <v>30</v>
      </c>
      <c r="H1762" s="588">
        <v>30</v>
      </c>
      <c r="I1762" s="588">
        <v>0</v>
      </c>
      <c r="J1762" s="588">
        <v>8</v>
      </c>
      <c r="K1762" s="588">
        <v>7</v>
      </c>
      <c r="L1762" s="588">
        <v>7</v>
      </c>
      <c r="M1762" s="588">
        <v>0</v>
      </c>
      <c r="N1762" s="588">
        <v>13</v>
      </c>
      <c r="O1762" s="588">
        <v>0</v>
      </c>
      <c r="P1762" s="588">
        <v>16</v>
      </c>
      <c r="Q1762" s="588">
        <v>62</v>
      </c>
      <c r="R1762" s="588">
        <v>49</v>
      </c>
      <c r="S1762" s="588">
        <v>99</v>
      </c>
      <c r="T1762" s="588">
        <v>2018</v>
      </c>
      <c r="U1762" s="588">
        <v>2015</v>
      </c>
      <c r="V1762" s="589"/>
      <c r="W1762" s="589"/>
      <c r="X1762" s="589"/>
      <c r="Y1762" s="589"/>
      <c r="Z1762" s="589"/>
      <c r="AA1762" s="589"/>
      <c r="AB1762" s="589"/>
      <c r="AC1762" s="589"/>
      <c r="AD1762" s="589"/>
      <c r="AE1762" s="589"/>
      <c r="AF1762" s="589"/>
      <c r="AG1762" s="589"/>
      <c r="AH1762" s="589"/>
      <c r="AI1762" s="589"/>
      <c r="AJ1762" s="589"/>
      <c r="AK1762" s="589"/>
      <c r="AL1762" s="589"/>
      <c r="AM1762" s="589"/>
      <c r="AN1762" s="589"/>
      <c r="AO1762" s="589"/>
      <c r="AP1762" s="589"/>
      <c r="AQ1762" s="589"/>
      <c r="AR1762" s="589"/>
      <c r="AS1762" s="589"/>
    </row>
    <row r="1763" spans="1:45" ht="15">
      <c r="A1763" s="590" t="s">
        <v>160</v>
      </c>
      <c r="B1763" s="590" t="s">
        <v>456</v>
      </c>
      <c r="C1763" s="590" t="s">
        <v>829</v>
      </c>
      <c r="D1763" s="593">
        <v>2018</v>
      </c>
      <c r="E1763" s="590" t="s">
        <v>775</v>
      </c>
      <c r="F1763" s="593">
        <v>61</v>
      </c>
      <c r="G1763" s="593">
        <v>0</v>
      </c>
      <c r="H1763" s="593">
        <v>0</v>
      </c>
      <c r="I1763" s="593">
        <v>0</v>
      </c>
      <c r="J1763" s="593">
        <v>56</v>
      </c>
      <c r="K1763" s="593">
        <v>0</v>
      </c>
      <c r="L1763" s="593">
        <v>0</v>
      </c>
      <c r="M1763" s="593">
        <v>0</v>
      </c>
      <c r="N1763" s="593">
        <v>51</v>
      </c>
      <c r="O1763" s="593">
        <v>0</v>
      </c>
      <c r="P1763" s="593">
        <v>136</v>
      </c>
      <c r="Q1763" s="593">
        <v>0</v>
      </c>
      <c r="R1763" s="593">
        <v>304</v>
      </c>
      <c r="S1763" s="593">
        <v>0</v>
      </c>
      <c r="T1763" s="593">
        <v>2018</v>
      </c>
      <c r="U1763" s="593">
        <v>2016</v>
      </c>
      <c r="V1763" s="589"/>
      <c r="W1763" s="589"/>
      <c r="X1763" s="589"/>
      <c r="Y1763" s="589"/>
      <c r="Z1763" s="589"/>
      <c r="AA1763" s="589"/>
      <c r="AB1763" s="589"/>
      <c r="AC1763" s="589"/>
      <c r="AD1763" s="589"/>
      <c r="AE1763" s="589"/>
      <c r="AF1763" s="589"/>
      <c r="AG1763" s="589"/>
      <c r="AH1763" s="589"/>
      <c r="AI1763" s="589"/>
      <c r="AJ1763" s="589"/>
      <c r="AK1763" s="589"/>
      <c r="AL1763" s="589"/>
      <c r="AM1763" s="589"/>
      <c r="AN1763" s="589"/>
      <c r="AO1763" s="589"/>
      <c r="AP1763" s="589"/>
      <c r="AQ1763" s="589"/>
      <c r="AR1763" s="589"/>
      <c r="AS1763" s="589"/>
    </row>
    <row r="1764" spans="1:45" ht="15">
      <c r="A1764" s="587" t="s">
        <v>184</v>
      </c>
      <c r="B1764" s="587" t="s">
        <v>631</v>
      </c>
      <c r="C1764" s="587" t="s">
        <v>782</v>
      </c>
      <c r="D1764" s="588">
        <v>2018</v>
      </c>
      <c r="E1764" s="587" t="s">
        <v>775</v>
      </c>
      <c r="F1764" s="588">
        <v>52</v>
      </c>
      <c r="G1764" s="588">
        <v>0</v>
      </c>
      <c r="H1764" s="588">
        <v>0</v>
      </c>
      <c r="I1764" s="588">
        <v>0</v>
      </c>
      <c r="J1764" s="588">
        <v>31</v>
      </c>
      <c r="K1764" s="588">
        <v>0</v>
      </c>
      <c r="L1764" s="588">
        <v>0</v>
      </c>
      <c r="M1764" s="588">
        <v>0</v>
      </c>
      <c r="N1764" s="588">
        <v>36</v>
      </c>
      <c r="O1764" s="588">
        <v>3</v>
      </c>
      <c r="P1764" s="588">
        <v>121</v>
      </c>
      <c r="Q1764" s="588">
        <v>10</v>
      </c>
      <c r="R1764" s="588">
        <v>240</v>
      </c>
      <c r="S1764" s="588">
        <v>13</v>
      </c>
      <c r="T1764" s="588">
        <v>2018</v>
      </c>
      <c r="U1764" s="588">
        <v>2015</v>
      </c>
      <c r="V1764" s="589"/>
      <c r="W1764" s="589"/>
      <c r="X1764" s="589"/>
      <c r="Y1764" s="589"/>
      <c r="Z1764" s="589"/>
      <c r="AA1764" s="589"/>
      <c r="AB1764" s="589"/>
      <c r="AC1764" s="589"/>
      <c r="AD1764" s="589"/>
      <c r="AE1764" s="589"/>
      <c r="AF1764" s="589"/>
      <c r="AG1764" s="589"/>
      <c r="AH1764" s="589"/>
      <c r="AI1764" s="589"/>
      <c r="AJ1764" s="589"/>
      <c r="AK1764" s="589"/>
      <c r="AL1764" s="589"/>
      <c r="AM1764" s="589"/>
      <c r="AN1764" s="589"/>
      <c r="AO1764" s="589"/>
      <c r="AP1764" s="589"/>
      <c r="AQ1764" s="589"/>
      <c r="AR1764" s="589"/>
      <c r="AS1764" s="589"/>
    </row>
    <row r="1765" spans="1:45" ht="15">
      <c r="A1765" s="590" t="s">
        <v>149</v>
      </c>
      <c r="B1765" s="590" t="s">
        <v>338</v>
      </c>
      <c r="C1765" s="590" t="s">
        <v>820</v>
      </c>
      <c r="D1765" s="593">
        <v>2018</v>
      </c>
      <c r="E1765" s="590" t="s">
        <v>775</v>
      </c>
      <c r="F1765" s="593">
        <v>1097</v>
      </c>
      <c r="G1765" s="593">
        <v>0</v>
      </c>
      <c r="H1765" s="593">
        <v>0</v>
      </c>
      <c r="I1765" s="593">
        <v>0</v>
      </c>
      <c r="J1765" s="593">
        <v>821</v>
      </c>
      <c r="K1765" s="593">
        <v>0</v>
      </c>
      <c r="L1765" s="593">
        <v>0</v>
      </c>
      <c r="M1765" s="593">
        <v>0</v>
      </c>
      <c r="N1765" s="593">
        <v>865</v>
      </c>
      <c r="O1765" s="593">
        <v>0</v>
      </c>
      <c r="P1765" s="593">
        <v>2049</v>
      </c>
      <c r="Q1765" s="593">
        <v>202</v>
      </c>
      <c r="R1765" s="593">
        <v>4832</v>
      </c>
      <c r="S1765" s="593">
        <v>202</v>
      </c>
      <c r="T1765" s="593">
        <v>2018</v>
      </c>
      <c r="U1765" s="593">
        <v>2016</v>
      </c>
      <c r="V1765" s="589"/>
      <c r="W1765" s="589"/>
      <c r="X1765" s="589"/>
      <c r="Y1765" s="589"/>
      <c r="Z1765" s="589"/>
      <c r="AA1765" s="589"/>
      <c r="AB1765" s="589"/>
      <c r="AC1765" s="589"/>
      <c r="AD1765" s="589"/>
      <c r="AE1765" s="589"/>
      <c r="AF1765" s="589"/>
      <c r="AG1765" s="589"/>
      <c r="AH1765" s="589"/>
      <c r="AI1765" s="589"/>
      <c r="AJ1765" s="589"/>
      <c r="AK1765" s="589"/>
      <c r="AL1765" s="589"/>
      <c r="AM1765" s="589"/>
      <c r="AN1765" s="589"/>
      <c r="AO1765" s="589"/>
      <c r="AP1765" s="589"/>
      <c r="AQ1765" s="589"/>
      <c r="AR1765" s="589"/>
      <c r="AS1765" s="589"/>
    </row>
    <row r="1766" spans="1:45" ht="15">
      <c r="A1766" s="587" t="s">
        <v>153</v>
      </c>
      <c r="B1766" s="587" t="s">
        <v>376</v>
      </c>
      <c r="C1766" s="587" t="s">
        <v>813</v>
      </c>
      <c r="D1766" s="588">
        <v>2018</v>
      </c>
      <c r="E1766" s="587" t="s">
        <v>775</v>
      </c>
      <c r="F1766" s="588">
        <v>32</v>
      </c>
      <c r="G1766" s="588">
        <v>0</v>
      </c>
      <c r="H1766" s="588">
        <v>0</v>
      </c>
      <c r="I1766" s="588">
        <v>0</v>
      </c>
      <c r="J1766" s="588">
        <v>19</v>
      </c>
      <c r="K1766" s="588">
        <v>0</v>
      </c>
      <c r="L1766" s="588">
        <v>0</v>
      </c>
      <c r="M1766" s="588">
        <v>0</v>
      </c>
      <c r="N1766" s="588">
        <v>21</v>
      </c>
      <c r="O1766" s="588">
        <v>0</v>
      </c>
      <c r="P1766" s="588">
        <v>57</v>
      </c>
      <c r="Q1766" s="588">
        <v>1</v>
      </c>
      <c r="R1766" s="588">
        <v>129</v>
      </c>
      <c r="S1766" s="588">
        <v>1</v>
      </c>
      <c r="T1766" s="588">
        <v>2018</v>
      </c>
      <c r="U1766" s="588">
        <v>2014</v>
      </c>
      <c r="V1766" s="589"/>
      <c r="W1766" s="589"/>
      <c r="X1766" s="589"/>
      <c r="Y1766" s="589"/>
      <c r="Z1766" s="589"/>
      <c r="AA1766" s="589"/>
      <c r="AB1766" s="589"/>
      <c r="AC1766" s="589"/>
      <c r="AD1766" s="589"/>
      <c r="AE1766" s="589"/>
      <c r="AF1766" s="589"/>
      <c r="AG1766" s="589"/>
      <c r="AH1766" s="589"/>
      <c r="AI1766" s="589"/>
      <c r="AJ1766" s="589"/>
      <c r="AK1766" s="589"/>
      <c r="AL1766" s="589"/>
      <c r="AM1766" s="589"/>
      <c r="AN1766" s="589"/>
      <c r="AO1766" s="589"/>
      <c r="AP1766" s="589"/>
      <c r="AQ1766" s="589"/>
      <c r="AR1766" s="589"/>
      <c r="AS1766" s="589"/>
    </row>
    <row r="1767" spans="1:45" ht="15">
      <c r="A1767" s="590" t="s">
        <v>153</v>
      </c>
      <c r="B1767" s="590" t="s">
        <v>377</v>
      </c>
      <c r="C1767" s="590" t="s">
        <v>813</v>
      </c>
      <c r="D1767" s="593">
        <v>2018</v>
      </c>
      <c r="E1767" s="590" t="s">
        <v>775</v>
      </c>
      <c r="F1767" s="593">
        <v>170</v>
      </c>
      <c r="G1767" s="593">
        <v>9</v>
      </c>
      <c r="H1767" s="593">
        <v>9</v>
      </c>
      <c r="I1767" s="593">
        <v>0</v>
      </c>
      <c r="J1767" s="593">
        <v>101</v>
      </c>
      <c r="K1767" s="593">
        <v>0</v>
      </c>
      <c r="L1767" s="593">
        <v>0</v>
      </c>
      <c r="M1767" s="593">
        <v>0</v>
      </c>
      <c r="N1767" s="593">
        <v>112</v>
      </c>
      <c r="O1767" s="593">
        <v>3</v>
      </c>
      <c r="P1767" s="593">
        <v>300</v>
      </c>
      <c r="Q1767" s="593">
        <v>282</v>
      </c>
      <c r="R1767" s="593">
        <v>683</v>
      </c>
      <c r="S1767" s="593">
        <v>294</v>
      </c>
      <c r="T1767" s="593">
        <v>2018</v>
      </c>
      <c r="U1767" s="593">
        <v>2014</v>
      </c>
      <c r="V1767" s="589"/>
      <c r="W1767" s="589"/>
      <c r="X1767" s="589"/>
      <c r="Y1767" s="589"/>
      <c r="Z1767" s="589"/>
      <c r="AA1767" s="589"/>
      <c r="AB1767" s="589"/>
      <c r="AC1767" s="589"/>
      <c r="AD1767" s="589"/>
      <c r="AE1767" s="589"/>
      <c r="AF1767" s="589"/>
      <c r="AG1767" s="589"/>
      <c r="AH1767" s="589"/>
      <c r="AI1767" s="589"/>
      <c r="AJ1767" s="589"/>
      <c r="AK1767" s="589"/>
      <c r="AL1767" s="589"/>
      <c r="AM1767" s="589"/>
      <c r="AN1767" s="589"/>
      <c r="AO1767" s="589"/>
      <c r="AP1767" s="589"/>
      <c r="AQ1767" s="589"/>
      <c r="AR1767" s="589"/>
      <c r="AS1767" s="589"/>
    </row>
    <row r="1768" spans="1:45" ht="15">
      <c r="A1768" s="587" t="s">
        <v>125</v>
      </c>
      <c r="B1768" s="587" t="s">
        <v>239</v>
      </c>
      <c r="C1768" s="587" t="s">
        <v>782</v>
      </c>
      <c r="D1768" s="588">
        <v>2018</v>
      </c>
      <c r="E1768" s="587" t="s">
        <v>775</v>
      </c>
      <c r="F1768" s="588">
        <v>851</v>
      </c>
      <c r="G1768" s="588">
        <v>0</v>
      </c>
      <c r="H1768" s="588">
        <v>0</v>
      </c>
      <c r="I1768" s="588">
        <v>0</v>
      </c>
      <c r="J1768" s="588">
        <v>480</v>
      </c>
      <c r="K1768" s="588">
        <v>0</v>
      </c>
      <c r="L1768" s="588">
        <v>0</v>
      </c>
      <c r="M1768" s="588">
        <v>0</v>
      </c>
      <c r="N1768" s="588">
        <v>608</v>
      </c>
      <c r="O1768" s="588">
        <v>0</v>
      </c>
      <c r="P1768" s="588">
        <v>1981</v>
      </c>
      <c r="Q1768" s="588">
        <v>145</v>
      </c>
      <c r="R1768" s="588">
        <v>3920</v>
      </c>
      <c r="S1768" s="588">
        <v>145</v>
      </c>
      <c r="T1768" s="588">
        <v>2018</v>
      </c>
      <c r="U1768" s="588">
        <v>2015</v>
      </c>
      <c r="V1768" s="589"/>
      <c r="W1768" s="589"/>
      <c r="X1768" s="589"/>
      <c r="Y1768" s="589"/>
      <c r="Z1768" s="589"/>
      <c r="AA1768" s="589"/>
      <c r="AB1768" s="589"/>
      <c r="AC1768" s="589"/>
      <c r="AD1768" s="589"/>
      <c r="AE1768" s="589"/>
      <c r="AF1768" s="589"/>
      <c r="AG1768" s="589"/>
      <c r="AH1768" s="589"/>
      <c r="AI1768" s="589"/>
      <c r="AJ1768" s="589"/>
      <c r="AK1768" s="589"/>
      <c r="AL1768" s="589"/>
      <c r="AM1768" s="589"/>
      <c r="AN1768" s="589"/>
      <c r="AO1768" s="589"/>
      <c r="AP1768" s="589"/>
      <c r="AQ1768" s="589"/>
      <c r="AR1768" s="589"/>
      <c r="AS1768" s="589"/>
    </row>
    <row r="1769" spans="1:45" ht="15">
      <c r="A1769" s="590" t="s">
        <v>193</v>
      </c>
      <c r="B1769" s="590" t="s">
        <v>696</v>
      </c>
      <c r="C1769" s="590" t="s">
        <v>782</v>
      </c>
      <c r="D1769" s="593">
        <v>2018</v>
      </c>
      <c r="E1769" s="590" t="s">
        <v>775</v>
      </c>
      <c r="F1769" s="593">
        <v>31</v>
      </c>
      <c r="G1769" s="593">
        <v>0</v>
      </c>
      <c r="H1769" s="593">
        <v>0</v>
      </c>
      <c r="I1769" s="593">
        <v>0</v>
      </c>
      <c r="J1769" s="593">
        <v>24</v>
      </c>
      <c r="K1769" s="593">
        <v>0</v>
      </c>
      <c r="L1769" s="593">
        <v>0</v>
      </c>
      <c r="M1769" s="593">
        <v>0</v>
      </c>
      <c r="N1769" s="593">
        <v>26</v>
      </c>
      <c r="O1769" s="593">
        <v>11</v>
      </c>
      <c r="P1769" s="593">
        <v>76</v>
      </c>
      <c r="Q1769" s="593">
        <v>41</v>
      </c>
      <c r="R1769" s="593">
        <v>157</v>
      </c>
      <c r="S1769" s="593">
        <v>52</v>
      </c>
      <c r="T1769" s="593">
        <v>2018</v>
      </c>
      <c r="U1769" s="593">
        <v>2015</v>
      </c>
      <c r="V1769" s="589"/>
      <c r="W1769" s="589"/>
      <c r="X1769" s="589"/>
      <c r="Y1769" s="589"/>
      <c r="Z1769" s="589"/>
      <c r="AA1769" s="589"/>
      <c r="AB1769" s="589"/>
      <c r="AC1769" s="589"/>
      <c r="AD1769" s="589"/>
      <c r="AE1769" s="589"/>
      <c r="AF1769" s="589"/>
      <c r="AG1769" s="589"/>
      <c r="AH1769" s="589"/>
      <c r="AI1769" s="589"/>
      <c r="AJ1769" s="589"/>
      <c r="AK1769" s="589"/>
      <c r="AL1769" s="589"/>
      <c r="AM1769" s="589"/>
      <c r="AN1769" s="589"/>
      <c r="AO1769" s="589"/>
      <c r="AP1769" s="589"/>
      <c r="AQ1769" s="589"/>
      <c r="AR1769" s="589"/>
      <c r="AS1769" s="589"/>
    </row>
    <row r="1770" spans="1:45" ht="15">
      <c r="A1770" s="587" t="s">
        <v>173</v>
      </c>
      <c r="B1770" s="587" t="s">
        <v>538</v>
      </c>
      <c r="C1770" s="587" t="s">
        <v>813</v>
      </c>
      <c r="D1770" s="588">
        <v>2018</v>
      </c>
      <c r="E1770" s="587" t="s">
        <v>775</v>
      </c>
      <c r="F1770" s="588">
        <v>134</v>
      </c>
      <c r="G1770" s="588">
        <v>0</v>
      </c>
      <c r="H1770" s="588">
        <v>0</v>
      </c>
      <c r="I1770" s="588">
        <v>0</v>
      </c>
      <c r="J1770" s="588">
        <v>96</v>
      </c>
      <c r="K1770" s="588">
        <v>3</v>
      </c>
      <c r="L1770" s="588">
        <v>0</v>
      </c>
      <c r="M1770" s="588">
        <v>3</v>
      </c>
      <c r="N1770" s="588">
        <v>112</v>
      </c>
      <c r="O1770" s="588">
        <v>59</v>
      </c>
      <c r="P1770" s="588">
        <v>262</v>
      </c>
      <c r="Q1770" s="588">
        <v>1</v>
      </c>
      <c r="R1770" s="588">
        <v>604</v>
      </c>
      <c r="S1770" s="588">
        <v>63</v>
      </c>
      <c r="T1770" s="588">
        <v>2018</v>
      </c>
      <c r="U1770" s="588">
        <v>2014</v>
      </c>
      <c r="V1770" s="589"/>
      <c r="W1770" s="589"/>
      <c r="X1770" s="589"/>
      <c r="Y1770" s="589"/>
      <c r="Z1770" s="589"/>
      <c r="AA1770" s="589"/>
      <c r="AB1770" s="589"/>
      <c r="AC1770" s="589"/>
      <c r="AD1770" s="589"/>
      <c r="AE1770" s="589"/>
      <c r="AF1770" s="589"/>
      <c r="AG1770" s="589"/>
      <c r="AH1770" s="589"/>
      <c r="AI1770" s="589"/>
      <c r="AJ1770" s="589"/>
      <c r="AK1770" s="589"/>
      <c r="AL1770" s="589"/>
      <c r="AM1770" s="589"/>
      <c r="AN1770" s="589"/>
      <c r="AO1770" s="589"/>
      <c r="AP1770" s="589"/>
      <c r="AQ1770" s="589"/>
      <c r="AR1770" s="589"/>
      <c r="AS1770" s="589"/>
    </row>
    <row r="1771" spans="1:45" ht="15">
      <c r="A1771" s="590" t="s">
        <v>136</v>
      </c>
      <c r="B1771" s="590" t="s">
        <v>272</v>
      </c>
      <c r="C1771" s="590" t="s">
        <v>782</v>
      </c>
      <c r="D1771" s="593">
        <v>2018</v>
      </c>
      <c r="E1771" s="590" t="s">
        <v>775</v>
      </c>
      <c r="F1771" s="593">
        <v>220</v>
      </c>
      <c r="G1771" s="593">
        <v>0</v>
      </c>
      <c r="H1771" s="593">
        <v>0</v>
      </c>
      <c r="I1771" s="593">
        <v>0</v>
      </c>
      <c r="J1771" s="593">
        <v>118</v>
      </c>
      <c r="K1771" s="593">
        <v>0</v>
      </c>
      <c r="L1771" s="593">
        <v>0</v>
      </c>
      <c r="M1771" s="593">
        <v>0</v>
      </c>
      <c r="N1771" s="593">
        <v>100</v>
      </c>
      <c r="O1771" s="593">
        <v>0</v>
      </c>
      <c r="P1771" s="593">
        <v>244</v>
      </c>
      <c r="Q1771" s="593">
        <v>227</v>
      </c>
      <c r="R1771" s="593">
        <v>682</v>
      </c>
      <c r="S1771" s="593">
        <v>227</v>
      </c>
      <c r="T1771" s="593">
        <v>2018</v>
      </c>
      <c r="U1771" s="593">
        <v>2015</v>
      </c>
      <c r="V1771" s="589"/>
      <c r="W1771" s="589"/>
      <c r="X1771" s="589"/>
      <c r="Y1771" s="589"/>
      <c r="Z1771" s="589"/>
      <c r="AA1771" s="589"/>
      <c r="AB1771" s="589"/>
      <c r="AC1771" s="589"/>
      <c r="AD1771" s="589"/>
      <c r="AE1771" s="589"/>
      <c r="AF1771" s="589"/>
      <c r="AG1771" s="589"/>
      <c r="AH1771" s="589"/>
      <c r="AI1771" s="589"/>
      <c r="AJ1771" s="589"/>
      <c r="AK1771" s="589"/>
      <c r="AL1771" s="589"/>
      <c r="AM1771" s="589"/>
      <c r="AN1771" s="589"/>
      <c r="AO1771" s="589"/>
      <c r="AP1771" s="589"/>
      <c r="AQ1771" s="589"/>
      <c r="AR1771" s="589"/>
      <c r="AS1771" s="589"/>
    </row>
    <row r="1772" spans="1:45" ht="15">
      <c r="A1772" s="587" t="s">
        <v>153</v>
      </c>
      <c r="B1772" s="587" t="s">
        <v>378</v>
      </c>
      <c r="C1772" s="587" t="s">
        <v>813</v>
      </c>
      <c r="D1772" s="588">
        <v>2018</v>
      </c>
      <c r="E1772" s="587" t="s">
        <v>775</v>
      </c>
      <c r="F1772" s="588">
        <v>1</v>
      </c>
      <c r="G1772" s="588">
        <v>0</v>
      </c>
      <c r="H1772" s="588">
        <v>0</v>
      </c>
      <c r="I1772" s="588">
        <v>0</v>
      </c>
      <c r="J1772" s="588">
        <v>1</v>
      </c>
      <c r="K1772" s="588">
        <v>0</v>
      </c>
      <c r="L1772" s="588">
        <v>0</v>
      </c>
      <c r="M1772" s="588">
        <v>0</v>
      </c>
      <c r="N1772" s="588">
        <v>0</v>
      </c>
      <c r="O1772" s="588">
        <v>1</v>
      </c>
      <c r="P1772" s="588">
        <v>0</v>
      </c>
      <c r="Q1772" s="588">
        <v>10</v>
      </c>
      <c r="R1772" s="588">
        <v>2</v>
      </c>
      <c r="S1772" s="588">
        <v>11</v>
      </c>
      <c r="T1772" s="588">
        <v>2018</v>
      </c>
      <c r="U1772" s="588">
        <v>2014</v>
      </c>
      <c r="V1772" s="589"/>
      <c r="W1772" s="589"/>
      <c r="X1772" s="589"/>
      <c r="Y1772" s="589"/>
      <c r="Z1772" s="589"/>
      <c r="AA1772" s="589"/>
      <c r="AB1772" s="589"/>
      <c r="AC1772" s="589"/>
      <c r="AD1772" s="589"/>
      <c r="AE1772" s="589"/>
      <c r="AF1772" s="589"/>
      <c r="AG1772" s="589"/>
      <c r="AH1772" s="589"/>
      <c r="AI1772" s="589"/>
      <c r="AJ1772" s="589"/>
      <c r="AK1772" s="589"/>
      <c r="AL1772" s="589"/>
      <c r="AM1772" s="589"/>
      <c r="AN1772" s="589"/>
      <c r="AO1772" s="589"/>
      <c r="AP1772" s="589"/>
      <c r="AQ1772" s="589"/>
      <c r="AR1772" s="589"/>
      <c r="AS1772" s="589"/>
    </row>
    <row r="1773" spans="1:45" ht="15">
      <c r="A1773" s="590" t="s">
        <v>153</v>
      </c>
      <c r="B1773" s="590" t="s">
        <v>379</v>
      </c>
      <c r="C1773" s="590" t="s">
        <v>813</v>
      </c>
      <c r="D1773" s="593">
        <v>2018</v>
      </c>
      <c r="E1773" s="590" t="s">
        <v>775</v>
      </c>
      <c r="F1773" s="593">
        <v>5</v>
      </c>
      <c r="G1773" s="593">
        <v>0</v>
      </c>
      <c r="H1773" s="593">
        <v>0</v>
      </c>
      <c r="I1773" s="593">
        <v>0</v>
      </c>
      <c r="J1773" s="593">
        <v>3</v>
      </c>
      <c r="K1773" s="593">
        <v>0</v>
      </c>
      <c r="L1773" s="593">
        <v>0</v>
      </c>
      <c r="M1773" s="593">
        <v>0</v>
      </c>
      <c r="N1773" s="593">
        <v>3</v>
      </c>
      <c r="O1773" s="593">
        <v>0</v>
      </c>
      <c r="P1773" s="593">
        <v>7</v>
      </c>
      <c r="Q1773" s="593">
        <v>0</v>
      </c>
      <c r="R1773" s="593">
        <v>18</v>
      </c>
      <c r="S1773" s="593">
        <v>0</v>
      </c>
      <c r="T1773" s="593">
        <v>2018</v>
      </c>
      <c r="U1773" s="593">
        <v>2014</v>
      </c>
      <c r="V1773" s="589"/>
      <c r="W1773" s="589"/>
      <c r="X1773" s="589"/>
      <c r="Y1773" s="589"/>
      <c r="Z1773" s="589"/>
      <c r="AA1773" s="589"/>
      <c r="AB1773" s="589"/>
      <c r="AC1773" s="589"/>
      <c r="AD1773" s="589"/>
      <c r="AE1773" s="589"/>
      <c r="AF1773" s="589"/>
      <c r="AG1773" s="589"/>
      <c r="AH1773" s="589"/>
      <c r="AI1773" s="589"/>
      <c r="AJ1773" s="589"/>
      <c r="AK1773" s="589"/>
      <c r="AL1773" s="589"/>
      <c r="AM1773" s="589"/>
      <c r="AN1773" s="589"/>
      <c r="AO1773" s="589"/>
      <c r="AP1773" s="589"/>
      <c r="AQ1773" s="589"/>
      <c r="AR1773" s="589"/>
      <c r="AS1773" s="589"/>
    </row>
    <row r="1774" spans="1:45" ht="15">
      <c r="A1774" s="587" t="s">
        <v>178</v>
      </c>
      <c r="B1774" s="587" t="s">
        <v>576</v>
      </c>
      <c r="C1774" s="587" t="s">
        <v>813</v>
      </c>
      <c r="D1774" s="588">
        <v>2018</v>
      </c>
      <c r="E1774" s="587" t="s">
        <v>775</v>
      </c>
      <c r="F1774" s="588">
        <v>349</v>
      </c>
      <c r="G1774" s="588">
        <v>0</v>
      </c>
      <c r="H1774" s="588">
        <v>0</v>
      </c>
      <c r="I1774" s="588">
        <v>0</v>
      </c>
      <c r="J1774" s="588">
        <v>246</v>
      </c>
      <c r="K1774" s="588">
        <v>0</v>
      </c>
      <c r="L1774" s="588">
        <v>0</v>
      </c>
      <c r="M1774" s="588">
        <v>0</v>
      </c>
      <c r="N1774" s="588">
        <v>280</v>
      </c>
      <c r="O1774" s="588">
        <v>0</v>
      </c>
      <c r="P1774" s="588">
        <v>625</v>
      </c>
      <c r="Q1774" s="588">
        <v>17</v>
      </c>
      <c r="R1774" s="588">
        <v>1500</v>
      </c>
      <c r="S1774" s="588">
        <v>17</v>
      </c>
      <c r="T1774" s="588">
        <v>2018</v>
      </c>
      <c r="U1774" s="588">
        <v>2014</v>
      </c>
      <c r="V1774" s="589"/>
      <c r="W1774" s="589"/>
      <c r="X1774" s="589"/>
      <c r="Y1774" s="589"/>
      <c r="Z1774" s="589"/>
      <c r="AA1774" s="589"/>
      <c r="AB1774" s="589"/>
      <c r="AC1774" s="589"/>
      <c r="AD1774" s="589"/>
      <c r="AE1774" s="589"/>
      <c r="AF1774" s="589"/>
      <c r="AG1774" s="589"/>
      <c r="AH1774" s="589"/>
      <c r="AI1774" s="589"/>
      <c r="AJ1774" s="589"/>
      <c r="AK1774" s="589"/>
      <c r="AL1774" s="589"/>
      <c r="AM1774" s="589"/>
      <c r="AN1774" s="589"/>
      <c r="AO1774" s="589"/>
      <c r="AP1774" s="589"/>
      <c r="AQ1774" s="589"/>
      <c r="AR1774" s="589"/>
      <c r="AS1774" s="589"/>
    </row>
    <row r="1775" spans="1:45" ht="15">
      <c r="A1775" s="590" t="s">
        <v>184</v>
      </c>
      <c r="B1775" s="590" t="s">
        <v>632</v>
      </c>
      <c r="C1775" s="590" t="s">
        <v>782</v>
      </c>
      <c r="D1775" s="593">
        <v>2018</v>
      </c>
      <c r="E1775" s="590" t="s">
        <v>775</v>
      </c>
      <c r="F1775" s="593">
        <v>32</v>
      </c>
      <c r="G1775" s="593">
        <v>6</v>
      </c>
      <c r="H1775" s="593">
        <v>0</v>
      </c>
      <c r="I1775" s="593">
        <v>6</v>
      </c>
      <c r="J1775" s="593">
        <v>17</v>
      </c>
      <c r="K1775" s="593">
        <v>4</v>
      </c>
      <c r="L1775" s="593">
        <v>0</v>
      </c>
      <c r="M1775" s="593">
        <v>4</v>
      </c>
      <c r="N1775" s="593">
        <v>21</v>
      </c>
      <c r="O1775" s="593">
        <v>3</v>
      </c>
      <c r="P1775" s="593">
        <v>21</v>
      </c>
      <c r="Q1775" s="593">
        <v>3</v>
      </c>
      <c r="R1775" s="593">
        <v>91</v>
      </c>
      <c r="S1775" s="593">
        <v>16</v>
      </c>
      <c r="T1775" s="593">
        <v>2018</v>
      </c>
      <c r="U1775" s="593">
        <v>2015</v>
      </c>
      <c r="V1775" s="589"/>
      <c r="W1775" s="589"/>
      <c r="X1775" s="589"/>
      <c r="Y1775" s="589"/>
      <c r="Z1775" s="589"/>
      <c r="AA1775" s="589"/>
      <c r="AB1775" s="589"/>
      <c r="AC1775" s="589"/>
      <c r="AD1775" s="589"/>
      <c r="AE1775" s="589"/>
      <c r="AF1775" s="589"/>
      <c r="AG1775" s="589"/>
      <c r="AH1775" s="589"/>
      <c r="AI1775" s="589"/>
      <c r="AJ1775" s="589"/>
      <c r="AK1775" s="589"/>
      <c r="AL1775" s="589"/>
      <c r="AM1775" s="589"/>
      <c r="AN1775" s="589"/>
      <c r="AO1775" s="589"/>
      <c r="AP1775" s="589"/>
      <c r="AQ1775" s="589"/>
      <c r="AR1775" s="589"/>
      <c r="AS1775" s="589"/>
    </row>
    <row r="1776" spans="1:45" ht="15">
      <c r="A1776" s="587" t="s">
        <v>176</v>
      </c>
      <c r="B1776" s="587" t="s">
        <v>563</v>
      </c>
      <c r="C1776" s="587" t="s">
        <v>811</v>
      </c>
      <c r="D1776" s="588">
        <v>2018</v>
      </c>
      <c r="E1776" s="587" t="s">
        <v>775</v>
      </c>
      <c r="F1776" s="588">
        <v>312</v>
      </c>
      <c r="G1776" s="588">
        <v>0</v>
      </c>
      <c r="H1776" s="588">
        <v>0</v>
      </c>
      <c r="I1776" s="588">
        <v>0</v>
      </c>
      <c r="J1776" s="588">
        <v>189</v>
      </c>
      <c r="K1776" s="588">
        <v>0</v>
      </c>
      <c r="L1776" s="588">
        <v>0</v>
      </c>
      <c r="M1776" s="588">
        <v>0</v>
      </c>
      <c r="N1776" s="588">
        <v>258</v>
      </c>
      <c r="O1776" s="588">
        <v>1</v>
      </c>
      <c r="P1776" s="588">
        <v>557</v>
      </c>
      <c r="Q1776" s="588">
        <v>87</v>
      </c>
      <c r="R1776" s="588">
        <v>1316</v>
      </c>
      <c r="S1776" s="588">
        <v>88</v>
      </c>
      <c r="T1776" s="588">
        <v>2018</v>
      </c>
      <c r="U1776" s="588">
        <v>2016</v>
      </c>
      <c r="V1776" s="589"/>
      <c r="W1776" s="589"/>
      <c r="X1776" s="589"/>
      <c r="Y1776" s="589"/>
      <c r="Z1776" s="589"/>
      <c r="AA1776" s="589"/>
      <c r="AB1776" s="589"/>
      <c r="AC1776" s="589"/>
      <c r="AD1776" s="589"/>
      <c r="AE1776" s="589"/>
      <c r="AF1776" s="589"/>
      <c r="AG1776" s="589"/>
      <c r="AH1776" s="589"/>
      <c r="AI1776" s="589"/>
      <c r="AJ1776" s="589"/>
      <c r="AK1776" s="589"/>
      <c r="AL1776" s="589"/>
      <c r="AM1776" s="589"/>
      <c r="AN1776" s="589"/>
      <c r="AO1776" s="589"/>
      <c r="AP1776" s="589"/>
      <c r="AQ1776" s="589"/>
      <c r="AR1776" s="589"/>
      <c r="AS1776" s="589"/>
    </row>
    <row r="1777" spans="1:45" ht="15">
      <c r="A1777" s="590" t="s">
        <v>195</v>
      </c>
      <c r="B1777" s="590" t="s">
        <v>704</v>
      </c>
      <c r="C1777" s="590" t="s">
        <v>811</v>
      </c>
      <c r="D1777" s="593">
        <v>2018</v>
      </c>
      <c r="E1777" s="590" t="s">
        <v>775</v>
      </c>
      <c r="F1777" s="593">
        <v>53</v>
      </c>
      <c r="G1777" s="593">
        <v>0</v>
      </c>
      <c r="H1777" s="593">
        <v>0</v>
      </c>
      <c r="I1777" s="593">
        <v>0</v>
      </c>
      <c r="J1777" s="593">
        <v>34</v>
      </c>
      <c r="K1777" s="593">
        <v>0</v>
      </c>
      <c r="L1777" s="593">
        <v>0</v>
      </c>
      <c r="M1777" s="593">
        <v>0</v>
      </c>
      <c r="N1777" s="593">
        <v>38</v>
      </c>
      <c r="O1777" s="593">
        <v>0</v>
      </c>
      <c r="P1777" s="593">
        <v>93</v>
      </c>
      <c r="Q1777" s="593">
        <v>8</v>
      </c>
      <c r="R1777" s="593">
        <v>218</v>
      </c>
      <c r="S1777" s="593">
        <v>8</v>
      </c>
      <c r="T1777" s="593">
        <v>2018</v>
      </c>
      <c r="U1777" s="593">
        <v>2016</v>
      </c>
      <c r="V1777" s="589"/>
      <c r="W1777" s="589"/>
      <c r="X1777" s="589"/>
      <c r="Y1777" s="589"/>
      <c r="Z1777" s="589"/>
      <c r="AA1777" s="589"/>
      <c r="AB1777" s="589"/>
      <c r="AC1777" s="589"/>
      <c r="AD1777" s="589"/>
      <c r="AE1777" s="589"/>
      <c r="AF1777" s="589"/>
      <c r="AG1777" s="589"/>
      <c r="AH1777" s="589"/>
      <c r="AI1777" s="589"/>
      <c r="AJ1777" s="589"/>
      <c r="AK1777" s="589"/>
      <c r="AL1777" s="589"/>
      <c r="AM1777" s="589"/>
      <c r="AN1777" s="589"/>
      <c r="AO1777" s="589"/>
      <c r="AP1777" s="589"/>
      <c r="AQ1777" s="589"/>
      <c r="AR1777" s="589"/>
      <c r="AS1777" s="589"/>
    </row>
    <row r="1778" spans="1:45" ht="15">
      <c r="A1778" s="587" t="s">
        <v>145</v>
      </c>
      <c r="B1778" s="587" t="s">
        <v>312</v>
      </c>
      <c r="C1778" s="587" t="s">
        <v>785</v>
      </c>
      <c r="D1778" s="588">
        <v>2018</v>
      </c>
      <c r="E1778" s="587" t="s">
        <v>775</v>
      </c>
      <c r="F1778" s="588">
        <v>212</v>
      </c>
      <c r="G1778" s="588">
        <v>2</v>
      </c>
      <c r="H1778" s="588">
        <v>0</v>
      </c>
      <c r="I1778" s="588">
        <v>2</v>
      </c>
      <c r="J1778" s="588">
        <v>135</v>
      </c>
      <c r="K1778" s="588">
        <v>1</v>
      </c>
      <c r="L1778" s="588">
        <v>0</v>
      </c>
      <c r="M1778" s="588">
        <v>1</v>
      </c>
      <c r="N1778" s="588">
        <v>146</v>
      </c>
      <c r="O1778" s="588">
        <v>34</v>
      </c>
      <c r="P1778" s="588">
        <v>366</v>
      </c>
      <c r="Q1778" s="588">
        <v>41</v>
      </c>
      <c r="R1778" s="588">
        <v>859</v>
      </c>
      <c r="S1778" s="588">
        <v>78</v>
      </c>
      <c r="T1778" s="588">
        <v>2018</v>
      </c>
      <c r="U1778" s="588">
        <v>2014</v>
      </c>
      <c r="V1778" s="589"/>
      <c r="W1778" s="589"/>
      <c r="X1778" s="589"/>
      <c r="Y1778" s="589"/>
      <c r="Z1778" s="589"/>
      <c r="AA1778" s="589"/>
      <c r="AB1778" s="589"/>
      <c r="AC1778" s="589"/>
      <c r="AD1778" s="589"/>
      <c r="AE1778" s="589"/>
      <c r="AF1778" s="589"/>
      <c r="AG1778" s="589"/>
      <c r="AH1778" s="589"/>
      <c r="AI1778" s="589"/>
      <c r="AJ1778" s="589"/>
      <c r="AK1778" s="589"/>
      <c r="AL1778" s="589"/>
      <c r="AM1778" s="589"/>
      <c r="AN1778" s="589"/>
      <c r="AO1778" s="589"/>
      <c r="AP1778" s="589"/>
      <c r="AQ1778" s="589"/>
      <c r="AR1778" s="589"/>
      <c r="AS1778" s="589"/>
    </row>
    <row r="1779" spans="1:45" ht="15">
      <c r="A1779" s="590" t="s">
        <v>141</v>
      </c>
      <c r="B1779" s="590" t="s">
        <v>295</v>
      </c>
      <c r="C1779" s="590" t="s">
        <v>811</v>
      </c>
      <c r="D1779" s="593">
        <v>2018</v>
      </c>
      <c r="E1779" s="590" t="s">
        <v>775</v>
      </c>
      <c r="F1779" s="593">
        <v>87</v>
      </c>
      <c r="G1779" s="593">
        <v>0</v>
      </c>
      <c r="H1779" s="593">
        <v>0</v>
      </c>
      <c r="I1779" s="593">
        <v>0</v>
      </c>
      <c r="J1779" s="593">
        <v>107</v>
      </c>
      <c r="K1779" s="593">
        <v>4</v>
      </c>
      <c r="L1779" s="593">
        <v>0</v>
      </c>
      <c r="M1779" s="593">
        <v>4</v>
      </c>
      <c r="N1779" s="593">
        <v>106</v>
      </c>
      <c r="O1779" s="593">
        <v>0</v>
      </c>
      <c r="P1779" s="593">
        <v>124</v>
      </c>
      <c r="Q1779" s="593">
        <v>0</v>
      </c>
      <c r="R1779" s="593">
        <v>424</v>
      </c>
      <c r="S1779" s="593">
        <v>4</v>
      </c>
      <c r="T1779" s="593">
        <v>2018</v>
      </c>
      <c r="U1779" s="593">
        <v>2016</v>
      </c>
      <c r="V1779" s="589"/>
      <c r="W1779" s="589"/>
      <c r="X1779" s="589"/>
      <c r="Y1779" s="589"/>
      <c r="Z1779" s="589"/>
      <c r="AA1779" s="589"/>
      <c r="AB1779" s="589"/>
      <c r="AC1779" s="589"/>
      <c r="AD1779" s="589"/>
      <c r="AE1779" s="589"/>
      <c r="AF1779" s="589"/>
      <c r="AG1779" s="589"/>
      <c r="AH1779" s="589"/>
      <c r="AI1779" s="589"/>
      <c r="AJ1779" s="589"/>
      <c r="AK1779" s="589"/>
      <c r="AL1779" s="589"/>
      <c r="AM1779" s="589"/>
      <c r="AN1779" s="589"/>
      <c r="AO1779" s="589"/>
      <c r="AP1779" s="589"/>
      <c r="AQ1779" s="589"/>
      <c r="AR1779" s="589"/>
      <c r="AS1779" s="589"/>
    </row>
    <row r="1780" spans="1:45" ht="15">
      <c r="A1780" s="587" t="s">
        <v>146</v>
      </c>
      <c r="B1780" s="587" t="s">
        <v>146</v>
      </c>
      <c r="C1780" s="587" t="s">
        <v>813</v>
      </c>
      <c r="D1780" s="588">
        <v>2018</v>
      </c>
      <c r="E1780" s="587" t="s">
        <v>775</v>
      </c>
      <c r="F1780" s="588">
        <v>349</v>
      </c>
      <c r="G1780" s="588">
        <v>0</v>
      </c>
      <c r="H1780" s="588">
        <v>0</v>
      </c>
      <c r="I1780" s="588">
        <v>0</v>
      </c>
      <c r="J1780" s="588">
        <v>205</v>
      </c>
      <c r="K1780" s="588">
        <v>0</v>
      </c>
      <c r="L1780" s="588">
        <v>0</v>
      </c>
      <c r="M1780" s="588">
        <v>0</v>
      </c>
      <c r="N1780" s="588">
        <v>202</v>
      </c>
      <c r="O1780" s="588">
        <v>90</v>
      </c>
      <c r="P1780" s="588">
        <v>553</v>
      </c>
      <c r="Q1780" s="588">
        <v>26</v>
      </c>
      <c r="R1780" s="588">
        <v>1309</v>
      </c>
      <c r="S1780" s="588">
        <v>116</v>
      </c>
      <c r="T1780" s="588">
        <v>2018</v>
      </c>
      <c r="U1780" s="588">
        <v>2014</v>
      </c>
      <c r="V1780" s="589"/>
      <c r="W1780" s="589"/>
      <c r="X1780" s="589"/>
      <c r="Y1780" s="589"/>
      <c r="Z1780" s="589"/>
      <c r="AA1780" s="589"/>
      <c r="AB1780" s="589"/>
      <c r="AC1780" s="589"/>
      <c r="AD1780" s="589"/>
      <c r="AE1780" s="589"/>
      <c r="AF1780" s="589"/>
      <c r="AG1780" s="589"/>
      <c r="AH1780" s="589"/>
      <c r="AI1780" s="589"/>
      <c r="AJ1780" s="589"/>
      <c r="AK1780" s="589"/>
      <c r="AL1780" s="589"/>
      <c r="AM1780" s="589"/>
      <c r="AN1780" s="589"/>
      <c r="AO1780" s="589"/>
      <c r="AP1780" s="589"/>
      <c r="AQ1780" s="589"/>
      <c r="AR1780" s="589"/>
      <c r="AS1780" s="589"/>
    </row>
    <row r="1781" spans="1:45" ht="15">
      <c r="A1781" s="590" t="s">
        <v>179</v>
      </c>
      <c r="B1781" s="590" t="s">
        <v>597</v>
      </c>
      <c r="C1781" s="590" t="s">
        <v>856</v>
      </c>
      <c r="D1781" s="593">
        <v>2018</v>
      </c>
      <c r="E1781" s="590" t="s">
        <v>775</v>
      </c>
      <c r="F1781" s="593">
        <v>63</v>
      </c>
      <c r="G1781" s="593">
        <v>0</v>
      </c>
      <c r="H1781" s="593">
        <v>0</v>
      </c>
      <c r="I1781" s="593">
        <v>0</v>
      </c>
      <c r="J1781" s="593">
        <v>48</v>
      </c>
      <c r="K1781" s="593">
        <v>0</v>
      </c>
      <c r="L1781" s="593">
        <v>0</v>
      </c>
      <c r="M1781" s="593">
        <v>0</v>
      </c>
      <c r="N1781" s="593">
        <v>45</v>
      </c>
      <c r="O1781" s="593">
        <v>0</v>
      </c>
      <c r="P1781" s="593">
        <v>98</v>
      </c>
      <c r="Q1781" s="593">
        <v>64</v>
      </c>
      <c r="R1781" s="593">
        <v>254</v>
      </c>
      <c r="S1781" s="593">
        <v>64</v>
      </c>
      <c r="T1781" s="593">
        <v>2018</v>
      </c>
      <c r="U1781" s="593">
        <v>2013</v>
      </c>
      <c r="V1781" s="589"/>
      <c r="W1781" s="589"/>
      <c r="X1781" s="589"/>
      <c r="Y1781" s="589"/>
      <c r="Z1781" s="589"/>
      <c r="AA1781" s="589"/>
      <c r="AB1781" s="589"/>
      <c r="AC1781" s="589"/>
      <c r="AD1781" s="589"/>
      <c r="AE1781" s="589"/>
      <c r="AF1781" s="589"/>
      <c r="AG1781" s="589"/>
      <c r="AH1781" s="589"/>
      <c r="AI1781" s="589"/>
      <c r="AJ1781" s="589"/>
      <c r="AK1781" s="589"/>
      <c r="AL1781" s="589"/>
      <c r="AM1781" s="589"/>
      <c r="AN1781" s="589"/>
      <c r="AO1781" s="589"/>
      <c r="AP1781" s="589"/>
      <c r="AQ1781" s="589"/>
      <c r="AR1781" s="589"/>
      <c r="AS1781" s="589"/>
    </row>
    <row r="1782" spans="1:45" ht="15">
      <c r="A1782" s="587" t="s">
        <v>146</v>
      </c>
      <c r="B1782" s="587" t="s">
        <v>320</v>
      </c>
      <c r="C1782" s="587" t="s">
        <v>813</v>
      </c>
      <c r="D1782" s="588">
        <v>2018</v>
      </c>
      <c r="E1782" s="587" t="s">
        <v>775</v>
      </c>
      <c r="F1782" s="588">
        <v>1633</v>
      </c>
      <c r="G1782" s="588">
        <v>0</v>
      </c>
      <c r="H1782" s="588">
        <v>0</v>
      </c>
      <c r="I1782" s="588">
        <v>0</v>
      </c>
      <c r="J1782" s="588">
        <v>1001</v>
      </c>
      <c r="K1782" s="588">
        <v>0</v>
      </c>
      <c r="L1782" s="588">
        <v>0</v>
      </c>
      <c r="M1782" s="588">
        <v>0</v>
      </c>
      <c r="N1782" s="588">
        <v>1001</v>
      </c>
      <c r="O1782" s="588">
        <v>0</v>
      </c>
      <c r="P1782" s="588">
        <v>2839</v>
      </c>
      <c r="Q1782" s="588">
        <v>0</v>
      </c>
      <c r="R1782" s="588">
        <v>6474</v>
      </c>
      <c r="S1782" s="588">
        <v>0</v>
      </c>
      <c r="T1782" s="588">
        <v>2018</v>
      </c>
      <c r="U1782" s="588">
        <v>2014</v>
      </c>
      <c r="V1782" s="589"/>
      <c r="W1782" s="589"/>
      <c r="X1782" s="589"/>
      <c r="Y1782" s="589"/>
      <c r="Z1782" s="589"/>
      <c r="AA1782" s="589"/>
      <c r="AB1782" s="589"/>
      <c r="AC1782" s="589"/>
      <c r="AD1782" s="589"/>
      <c r="AE1782" s="589"/>
      <c r="AF1782" s="589"/>
      <c r="AG1782" s="589"/>
      <c r="AH1782" s="589"/>
      <c r="AI1782" s="589"/>
      <c r="AJ1782" s="589"/>
      <c r="AK1782" s="589"/>
      <c r="AL1782" s="589"/>
      <c r="AM1782" s="589"/>
      <c r="AN1782" s="589"/>
      <c r="AO1782" s="589"/>
      <c r="AP1782" s="589"/>
      <c r="AQ1782" s="589"/>
      <c r="AR1782" s="589"/>
      <c r="AS1782" s="589"/>
    </row>
    <row r="1783" spans="1:45" ht="15">
      <c r="A1783" s="590" t="s">
        <v>173</v>
      </c>
      <c r="B1783" s="590" t="s">
        <v>539</v>
      </c>
      <c r="C1783" s="590" t="s">
        <v>813</v>
      </c>
      <c r="D1783" s="593">
        <v>2018</v>
      </c>
      <c r="E1783" s="590" t="s">
        <v>775</v>
      </c>
      <c r="F1783" s="593">
        <v>40</v>
      </c>
      <c r="G1783" s="593">
        <v>0</v>
      </c>
      <c r="H1783" s="593">
        <v>0</v>
      </c>
      <c r="I1783" s="593">
        <v>0</v>
      </c>
      <c r="J1783" s="593">
        <v>27</v>
      </c>
      <c r="K1783" s="593">
        <v>0</v>
      </c>
      <c r="L1783" s="593">
        <v>0</v>
      </c>
      <c r="M1783" s="593">
        <v>0</v>
      </c>
      <c r="N1783" s="593">
        <v>31</v>
      </c>
      <c r="O1783" s="593">
        <v>0</v>
      </c>
      <c r="P1783" s="593">
        <v>62</v>
      </c>
      <c r="Q1783" s="593">
        <v>46</v>
      </c>
      <c r="R1783" s="593">
        <v>160</v>
      </c>
      <c r="S1783" s="593">
        <v>46</v>
      </c>
      <c r="T1783" s="593">
        <v>2018</v>
      </c>
      <c r="U1783" s="593">
        <v>2014</v>
      </c>
      <c r="V1783" s="589"/>
      <c r="W1783" s="589"/>
      <c r="X1783" s="589"/>
      <c r="Y1783" s="589"/>
      <c r="Z1783" s="589"/>
      <c r="AA1783" s="589"/>
      <c r="AB1783" s="589"/>
      <c r="AC1783" s="589"/>
      <c r="AD1783" s="589"/>
      <c r="AE1783" s="589"/>
      <c r="AF1783" s="589"/>
      <c r="AG1783" s="589"/>
      <c r="AH1783" s="589"/>
      <c r="AI1783" s="589"/>
      <c r="AJ1783" s="589"/>
      <c r="AK1783" s="589"/>
      <c r="AL1783" s="589"/>
      <c r="AM1783" s="589"/>
      <c r="AN1783" s="589"/>
      <c r="AO1783" s="589"/>
      <c r="AP1783" s="589"/>
      <c r="AQ1783" s="589"/>
      <c r="AR1783" s="589"/>
      <c r="AS1783" s="589"/>
    </row>
    <row r="1784" spans="1:45" ht="15">
      <c r="A1784" s="587" t="s">
        <v>173</v>
      </c>
      <c r="B1784" s="587" t="s">
        <v>540</v>
      </c>
      <c r="C1784" s="587" t="s">
        <v>813</v>
      </c>
      <c r="D1784" s="588">
        <v>2018</v>
      </c>
      <c r="E1784" s="587" t="s">
        <v>775</v>
      </c>
      <c r="F1784" s="588">
        <v>714</v>
      </c>
      <c r="G1784" s="588">
        <v>0</v>
      </c>
      <c r="H1784" s="588">
        <v>0</v>
      </c>
      <c r="I1784" s="588">
        <v>0</v>
      </c>
      <c r="J1784" s="588">
        <v>487</v>
      </c>
      <c r="K1784" s="588">
        <v>0</v>
      </c>
      <c r="L1784" s="588">
        <v>0</v>
      </c>
      <c r="M1784" s="588">
        <v>0</v>
      </c>
      <c r="N1784" s="588">
        <v>553</v>
      </c>
      <c r="O1784" s="588">
        <v>0</v>
      </c>
      <c r="P1784" s="588">
        <v>1271</v>
      </c>
      <c r="Q1784" s="588">
        <v>31</v>
      </c>
      <c r="R1784" s="588">
        <v>3025</v>
      </c>
      <c r="S1784" s="588">
        <v>31</v>
      </c>
      <c r="T1784" s="588">
        <v>2018</v>
      </c>
      <c r="U1784" s="588">
        <v>2014</v>
      </c>
      <c r="V1784" s="589"/>
      <c r="W1784" s="589"/>
      <c r="X1784" s="589"/>
      <c r="Y1784" s="589"/>
      <c r="Z1784" s="589"/>
      <c r="AA1784" s="589"/>
      <c r="AB1784" s="589"/>
      <c r="AC1784" s="589"/>
      <c r="AD1784" s="589"/>
      <c r="AE1784" s="589"/>
      <c r="AF1784" s="589"/>
      <c r="AG1784" s="589"/>
      <c r="AH1784" s="589"/>
      <c r="AI1784" s="589"/>
      <c r="AJ1784" s="589"/>
      <c r="AK1784" s="589"/>
      <c r="AL1784" s="589"/>
      <c r="AM1784" s="589"/>
      <c r="AN1784" s="589"/>
      <c r="AO1784" s="589"/>
      <c r="AP1784" s="589"/>
      <c r="AQ1784" s="589"/>
      <c r="AR1784" s="589"/>
      <c r="AS1784" s="589"/>
    </row>
    <row r="1785" spans="1:45" ht="15">
      <c r="A1785" s="590" t="s">
        <v>153</v>
      </c>
      <c r="B1785" s="590" t="s">
        <v>381</v>
      </c>
      <c r="C1785" s="590" t="s">
        <v>813</v>
      </c>
      <c r="D1785" s="593">
        <v>2018</v>
      </c>
      <c r="E1785" s="590" t="s">
        <v>775</v>
      </c>
      <c r="F1785" s="593">
        <v>0</v>
      </c>
      <c r="G1785" s="593">
        <v>0</v>
      </c>
      <c r="H1785" s="593">
        <v>0</v>
      </c>
      <c r="I1785" s="593">
        <v>0</v>
      </c>
      <c r="J1785" s="593">
        <v>0</v>
      </c>
      <c r="K1785" s="593">
        <v>0</v>
      </c>
      <c r="L1785" s="593">
        <v>0</v>
      </c>
      <c r="M1785" s="593">
        <v>0</v>
      </c>
      <c r="N1785" s="593">
        <v>0</v>
      </c>
      <c r="O1785" s="593">
        <v>0</v>
      </c>
      <c r="P1785" s="593">
        <v>0</v>
      </c>
      <c r="Q1785" s="593">
        <v>0</v>
      </c>
      <c r="R1785" s="593">
        <v>0</v>
      </c>
      <c r="S1785" s="593">
        <v>0</v>
      </c>
      <c r="T1785" s="593">
        <v>2018</v>
      </c>
      <c r="U1785" s="593">
        <v>2014</v>
      </c>
      <c r="V1785" s="589"/>
      <c r="W1785" s="589"/>
      <c r="X1785" s="589"/>
      <c r="Y1785" s="589"/>
      <c r="Z1785" s="589"/>
      <c r="AA1785" s="589"/>
      <c r="AB1785" s="589"/>
      <c r="AC1785" s="589"/>
      <c r="AD1785" s="589"/>
      <c r="AE1785" s="589"/>
      <c r="AF1785" s="589"/>
      <c r="AG1785" s="589"/>
      <c r="AH1785" s="589"/>
      <c r="AI1785" s="589"/>
      <c r="AJ1785" s="589"/>
      <c r="AK1785" s="589"/>
      <c r="AL1785" s="589"/>
      <c r="AM1785" s="589"/>
      <c r="AN1785" s="589"/>
      <c r="AO1785" s="589"/>
      <c r="AP1785" s="589"/>
      <c r="AQ1785" s="589"/>
      <c r="AR1785" s="589"/>
      <c r="AS1785" s="589"/>
    </row>
    <row r="1786" spans="1:45" ht="15">
      <c r="A1786" s="587" t="s">
        <v>153</v>
      </c>
      <c r="B1786" s="587" t="s">
        <v>382</v>
      </c>
      <c r="C1786" s="587" t="s">
        <v>813</v>
      </c>
      <c r="D1786" s="588">
        <v>2018</v>
      </c>
      <c r="E1786" s="587" t="s">
        <v>775</v>
      </c>
      <c r="F1786" s="588">
        <v>250</v>
      </c>
      <c r="G1786" s="588">
        <v>0</v>
      </c>
      <c r="H1786" s="588">
        <v>0</v>
      </c>
      <c r="I1786" s="588">
        <v>0</v>
      </c>
      <c r="J1786" s="588">
        <v>150</v>
      </c>
      <c r="K1786" s="588">
        <v>0</v>
      </c>
      <c r="L1786" s="588">
        <v>0</v>
      </c>
      <c r="M1786" s="588">
        <v>0</v>
      </c>
      <c r="N1786" s="588">
        <v>167</v>
      </c>
      <c r="O1786" s="588">
        <v>0</v>
      </c>
      <c r="P1786" s="588">
        <v>446</v>
      </c>
      <c r="Q1786" s="588">
        <v>0</v>
      </c>
      <c r="R1786" s="588">
        <v>1013</v>
      </c>
      <c r="S1786" s="588">
        <v>0</v>
      </c>
      <c r="T1786" s="588">
        <v>2018</v>
      </c>
      <c r="U1786" s="588">
        <v>2014</v>
      </c>
      <c r="V1786" s="589"/>
      <c r="W1786" s="589"/>
      <c r="X1786" s="589"/>
      <c r="Y1786" s="589"/>
      <c r="Z1786" s="589"/>
      <c r="AA1786" s="589"/>
      <c r="AB1786" s="589"/>
      <c r="AC1786" s="589"/>
      <c r="AD1786" s="589"/>
      <c r="AE1786" s="589"/>
      <c r="AF1786" s="589"/>
      <c r="AG1786" s="589"/>
      <c r="AH1786" s="589"/>
      <c r="AI1786" s="589"/>
      <c r="AJ1786" s="589"/>
      <c r="AK1786" s="589"/>
      <c r="AL1786" s="589"/>
      <c r="AM1786" s="589"/>
      <c r="AN1786" s="589"/>
      <c r="AO1786" s="589"/>
      <c r="AP1786" s="589"/>
      <c r="AQ1786" s="589"/>
      <c r="AR1786" s="589"/>
      <c r="AS1786" s="589"/>
    </row>
    <row r="1787" spans="1:45" ht="15">
      <c r="A1787" s="590" t="s">
        <v>130</v>
      </c>
      <c r="B1787" s="590" t="s">
        <v>251</v>
      </c>
      <c r="C1787" s="590" t="s">
        <v>785</v>
      </c>
      <c r="D1787" s="593">
        <v>2018</v>
      </c>
      <c r="E1787" s="590" t="s">
        <v>775</v>
      </c>
      <c r="F1787" s="593">
        <v>3</v>
      </c>
      <c r="G1787" s="593">
        <v>0</v>
      </c>
      <c r="H1787" s="593">
        <v>0</v>
      </c>
      <c r="I1787" s="593">
        <v>0</v>
      </c>
      <c r="J1787" s="593">
        <v>3</v>
      </c>
      <c r="K1787" s="593">
        <v>0</v>
      </c>
      <c r="L1787" s="593">
        <v>0</v>
      </c>
      <c r="M1787" s="593">
        <v>0</v>
      </c>
      <c r="N1787" s="593">
        <v>3</v>
      </c>
      <c r="O1787" s="593">
        <v>65</v>
      </c>
      <c r="P1787" s="593">
        <v>7</v>
      </c>
      <c r="Q1787" s="593">
        <v>41</v>
      </c>
      <c r="R1787" s="593">
        <v>16</v>
      </c>
      <c r="S1787" s="593">
        <v>106</v>
      </c>
      <c r="T1787" s="593">
        <v>2018</v>
      </c>
      <c r="U1787" s="593">
        <v>2014</v>
      </c>
      <c r="V1787" s="589"/>
      <c r="W1787" s="589"/>
      <c r="X1787" s="589"/>
      <c r="Y1787" s="589"/>
      <c r="Z1787" s="589"/>
      <c r="AA1787" s="589"/>
      <c r="AB1787" s="589"/>
      <c r="AC1787" s="589"/>
      <c r="AD1787" s="589"/>
      <c r="AE1787" s="589"/>
      <c r="AF1787" s="589"/>
      <c r="AG1787" s="589"/>
      <c r="AH1787" s="589"/>
      <c r="AI1787" s="589"/>
      <c r="AJ1787" s="589"/>
      <c r="AK1787" s="589"/>
      <c r="AL1787" s="589"/>
      <c r="AM1787" s="589"/>
      <c r="AN1787" s="589"/>
      <c r="AO1787" s="589"/>
      <c r="AP1787" s="589"/>
      <c r="AQ1787" s="589"/>
      <c r="AR1787" s="589"/>
      <c r="AS1787" s="589"/>
    </row>
    <row r="1788" spans="1:45" ht="15">
      <c r="A1788" s="587" t="s">
        <v>169</v>
      </c>
      <c r="B1788" s="587" t="s">
        <v>496</v>
      </c>
      <c r="C1788" s="587" t="s">
        <v>813</v>
      </c>
      <c r="D1788" s="588">
        <v>2018</v>
      </c>
      <c r="E1788" s="587" t="s">
        <v>775</v>
      </c>
      <c r="F1788" s="588">
        <v>2817</v>
      </c>
      <c r="G1788" s="588">
        <v>0</v>
      </c>
      <c r="H1788" s="588">
        <v>0</v>
      </c>
      <c r="I1788" s="588">
        <v>0</v>
      </c>
      <c r="J1788" s="588">
        <v>2034</v>
      </c>
      <c r="K1788" s="588">
        <v>0</v>
      </c>
      <c r="L1788" s="588">
        <v>0</v>
      </c>
      <c r="M1788" s="588">
        <v>0</v>
      </c>
      <c r="N1788" s="588">
        <v>2239</v>
      </c>
      <c r="O1788" s="588">
        <v>0</v>
      </c>
      <c r="P1788" s="588">
        <v>5059</v>
      </c>
      <c r="Q1788" s="588">
        <v>3455</v>
      </c>
      <c r="R1788" s="588">
        <v>12149</v>
      </c>
      <c r="S1788" s="588">
        <v>3455</v>
      </c>
      <c r="T1788" s="588">
        <v>2018</v>
      </c>
      <c r="U1788" s="588">
        <v>2014</v>
      </c>
      <c r="V1788" s="589"/>
      <c r="W1788" s="589"/>
      <c r="X1788" s="589"/>
      <c r="Y1788" s="589"/>
      <c r="Z1788" s="589"/>
      <c r="AA1788" s="589"/>
      <c r="AB1788" s="589"/>
      <c r="AC1788" s="589"/>
      <c r="AD1788" s="589"/>
      <c r="AE1788" s="589"/>
      <c r="AF1788" s="589"/>
      <c r="AG1788" s="589"/>
      <c r="AH1788" s="589"/>
      <c r="AI1788" s="589"/>
      <c r="AJ1788" s="589"/>
      <c r="AK1788" s="589"/>
      <c r="AL1788" s="589"/>
      <c r="AM1788" s="589"/>
      <c r="AN1788" s="589"/>
      <c r="AO1788" s="589"/>
      <c r="AP1788" s="589"/>
      <c r="AQ1788" s="589"/>
      <c r="AR1788" s="589"/>
      <c r="AS1788" s="589"/>
    </row>
    <row r="1789" spans="1:45" ht="15">
      <c r="A1789" s="590" t="s">
        <v>153</v>
      </c>
      <c r="B1789" s="590" t="s">
        <v>383</v>
      </c>
      <c r="C1789" s="590" t="s">
        <v>813</v>
      </c>
      <c r="D1789" s="593">
        <v>2018</v>
      </c>
      <c r="E1789" s="590" t="s">
        <v>775</v>
      </c>
      <c r="F1789" s="593">
        <v>4</v>
      </c>
      <c r="G1789" s="593">
        <v>0</v>
      </c>
      <c r="H1789" s="593">
        <v>0</v>
      </c>
      <c r="I1789" s="593">
        <v>0</v>
      </c>
      <c r="J1789" s="593">
        <v>2</v>
      </c>
      <c r="K1789" s="593">
        <v>0</v>
      </c>
      <c r="L1789" s="593">
        <v>0</v>
      </c>
      <c r="M1789" s="593">
        <v>0</v>
      </c>
      <c r="N1789" s="593">
        <v>2</v>
      </c>
      <c r="O1789" s="593">
        <v>0</v>
      </c>
      <c r="P1789" s="593">
        <v>7</v>
      </c>
      <c r="Q1789" s="593">
        <v>0</v>
      </c>
      <c r="R1789" s="593">
        <v>15</v>
      </c>
      <c r="S1789" s="593">
        <v>0</v>
      </c>
      <c r="T1789" s="593">
        <v>2018</v>
      </c>
      <c r="U1789" s="593">
        <v>2014</v>
      </c>
      <c r="V1789" s="589"/>
      <c r="W1789" s="589"/>
      <c r="X1789" s="589"/>
      <c r="Y1789" s="589"/>
      <c r="Z1789" s="589"/>
      <c r="AA1789" s="589"/>
      <c r="AB1789" s="589"/>
      <c r="AC1789" s="589"/>
      <c r="AD1789" s="589"/>
      <c r="AE1789" s="589"/>
      <c r="AF1789" s="589"/>
      <c r="AG1789" s="589"/>
      <c r="AH1789" s="589"/>
      <c r="AI1789" s="589"/>
      <c r="AJ1789" s="589"/>
      <c r="AK1789" s="589"/>
      <c r="AL1789" s="589"/>
      <c r="AM1789" s="589"/>
      <c r="AN1789" s="589"/>
      <c r="AO1789" s="589"/>
      <c r="AP1789" s="589"/>
      <c r="AQ1789" s="589"/>
      <c r="AR1789" s="589"/>
      <c r="AS1789" s="589"/>
    </row>
    <row r="1790" spans="1:45" ht="15">
      <c r="A1790" s="587" t="s">
        <v>174</v>
      </c>
      <c r="B1790" s="587" t="s">
        <v>560</v>
      </c>
      <c r="C1790" s="587" t="s">
        <v>801</v>
      </c>
      <c r="D1790" s="588">
        <v>2018</v>
      </c>
      <c r="E1790" s="587" t="s">
        <v>775</v>
      </c>
      <c r="F1790" s="588">
        <v>4</v>
      </c>
      <c r="G1790" s="588">
        <v>0</v>
      </c>
      <c r="H1790" s="588">
        <v>0</v>
      </c>
      <c r="I1790" s="588">
        <v>0</v>
      </c>
      <c r="J1790" s="588">
        <v>3</v>
      </c>
      <c r="K1790" s="588">
        <v>0</v>
      </c>
      <c r="L1790" s="588">
        <v>0</v>
      </c>
      <c r="M1790" s="588">
        <v>0</v>
      </c>
      <c r="N1790" s="588">
        <v>4</v>
      </c>
      <c r="O1790" s="588">
        <v>0</v>
      </c>
      <c r="P1790" s="588">
        <v>12</v>
      </c>
      <c r="Q1790" s="588">
        <v>0</v>
      </c>
      <c r="R1790" s="588">
        <v>23</v>
      </c>
      <c r="S1790" s="588">
        <v>0</v>
      </c>
      <c r="T1790" s="588">
        <v>2018</v>
      </c>
      <c r="U1790" s="588">
        <v>2014</v>
      </c>
      <c r="V1790" s="589"/>
      <c r="W1790" s="589"/>
      <c r="X1790" s="589"/>
      <c r="Y1790" s="589"/>
      <c r="Z1790" s="589"/>
      <c r="AA1790" s="589"/>
      <c r="AB1790" s="589"/>
      <c r="AC1790" s="589"/>
      <c r="AD1790" s="589"/>
      <c r="AE1790" s="589"/>
      <c r="AF1790" s="589"/>
      <c r="AG1790" s="589"/>
      <c r="AH1790" s="589"/>
      <c r="AI1790" s="589"/>
      <c r="AJ1790" s="589"/>
      <c r="AK1790" s="589"/>
      <c r="AL1790" s="589"/>
      <c r="AM1790" s="589"/>
      <c r="AN1790" s="589"/>
      <c r="AO1790" s="589"/>
      <c r="AP1790" s="589"/>
      <c r="AQ1790" s="589"/>
      <c r="AR1790" s="589"/>
      <c r="AS1790" s="589"/>
    </row>
    <row r="1791" spans="1:45" ht="15">
      <c r="A1791" s="590" t="s">
        <v>130</v>
      </c>
      <c r="B1791" s="590" t="s">
        <v>252</v>
      </c>
      <c r="C1791" s="590" t="s">
        <v>785</v>
      </c>
      <c r="D1791" s="593">
        <v>2018</v>
      </c>
      <c r="E1791" s="590" t="s">
        <v>775</v>
      </c>
      <c r="F1791" s="593">
        <v>4</v>
      </c>
      <c r="G1791" s="593">
        <v>0</v>
      </c>
      <c r="H1791" s="593">
        <v>0</v>
      </c>
      <c r="I1791" s="593">
        <v>0</v>
      </c>
      <c r="J1791" s="593">
        <v>3</v>
      </c>
      <c r="K1791" s="593">
        <v>0</v>
      </c>
      <c r="L1791" s="593">
        <v>0</v>
      </c>
      <c r="M1791" s="593">
        <v>0</v>
      </c>
      <c r="N1791" s="593">
        <v>4</v>
      </c>
      <c r="O1791" s="593">
        <v>0</v>
      </c>
      <c r="P1791" s="593">
        <v>8</v>
      </c>
      <c r="Q1791" s="593">
        <v>18</v>
      </c>
      <c r="R1791" s="593">
        <v>19</v>
      </c>
      <c r="S1791" s="593">
        <v>18</v>
      </c>
      <c r="T1791" s="593">
        <v>2018</v>
      </c>
      <c r="U1791" s="593">
        <v>2014</v>
      </c>
      <c r="V1791" s="589"/>
      <c r="W1791" s="589"/>
      <c r="X1791" s="589"/>
      <c r="Y1791" s="589"/>
      <c r="Z1791" s="589"/>
      <c r="AA1791" s="589"/>
      <c r="AB1791" s="589"/>
      <c r="AC1791" s="589"/>
      <c r="AD1791" s="589"/>
      <c r="AE1791" s="589"/>
      <c r="AF1791" s="589"/>
      <c r="AG1791" s="589"/>
      <c r="AH1791" s="589"/>
      <c r="AI1791" s="589"/>
      <c r="AJ1791" s="589"/>
      <c r="AK1791" s="589"/>
      <c r="AL1791" s="589"/>
      <c r="AM1791" s="589"/>
      <c r="AN1791" s="589"/>
      <c r="AO1791" s="589"/>
      <c r="AP1791" s="589"/>
      <c r="AQ1791" s="589"/>
      <c r="AR1791" s="589"/>
      <c r="AS1791" s="589"/>
    </row>
    <row r="1792" spans="1:45" ht="15">
      <c r="A1792" s="587" t="s">
        <v>173</v>
      </c>
      <c r="B1792" s="587" t="s">
        <v>541</v>
      </c>
      <c r="C1792" s="587" t="s">
        <v>813</v>
      </c>
      <c r="D1792" s="588">
        <v>2018</v>
      </c>
      <c r="E1792" s="587" t="s">
        <v>775</v>
      </c>
      <c r="F1792" s="588">
        <v>409</v>
      </c>
      <c r="G1792" s="588">
        <v>0</v>
      </c>
      <c r="H1792" s="588">
        <v>0</v>
      </c>
      <c r="I1792" s="588">
        <v>0</v>
      </c>
      <c r="J1792" s="588">
        <v>275</v>
      </c>
      <c r="K1792" s="588">
        <v>0</v>
      </c>
      <c r="L1792" s="588">
        <v>0</v>
      </c>
      <c r="M1792" s="588">
        <v>0</v>
      </c>
      <c r="N1792" s="588">
        <v>307</v>
      </c>
      <c r="O1792" s="588">
        <v>0</v>
      </c>
      <c r="P1792" s="588">
        <v>721</v>
      </c>
      <c r="Q1792" s="588">
        <v>340</v>
      </c>
      <c r="R1792" s="588">
        <v>1712</v>
      </c>
      <c r="S1792" s="588">
        <v>340</v>
      </c>
      <c r="T1792" s="588">
        <v>2018</v>
      </c>
      <c r="U1792" s="588">
        <v>2014</v>
      </c>
      <c r="V1792" s="589"/>
      <c r="W1792" s="589"/>
      <c r="X1792" s="589"/>
      <c r="Y1792" s="589"/>
      <c r="Z1792" s="589"/>
      <c r="AA1792" s="589"/>
      <c r="AB1792" s="589"/>
      <c r="AC1792" s="589"/>
      <c r="AD1792" s="589"/>
      <c r="AE1792" s="589"/>
      <c r="AF1792" s="589"/>
      <c r="AG1792" s="589"/>
      <c r="AH1792" s="589"/>
      <c r="AI1792" s="589"/>
      <c r="AJ1792" s="589"/>
      <c r="AK1792" s="589"/>
      <c r="AL1792" s="589"/>
      <c r="AM1792" s="589"/>
      <c r="AN1792" s="589"/>
      <c r="AO1792" s="589"/>
      <c r="AP1792" s="589"/>
      <c r="AQ1792" s="589"/>
      <c r="AR1792" s="589"/>
      <c r="AS1792" s="589"/>
    </row>
    <row r="1793" spans="1:45" ht="15">
      <c r="A1793" s="590" t="s">
        <v>141</v>
      </c>
      <c r="B1793" s="590" t="s">
        <v>296</v>
      </c>
      <c r="C1793" s="590" t="s">
        <v>811</v>
      </c>
      <c r="D1793" s="593">
        <v>2018</v>
      </c>
      <c r="E1793" s="590" t="s">
        <v>775</v>
      </c>
      <c r="F1793" s="593">
        <v>238</v>
      </c>
      <c r="G1793" s="593">
        <v>0</v>
      </c>
      <c r="H1793" s="593">
        <v>0</v>
      </c>
      <c r="I1793" s="593">
        <v>0</v>
      </c>
      <c r="J1793" s="593">
        <v>211</v>
      </c>
      <c r="K1793" s="593">
        <v>1</v>
      </c>
      <c r="L1793" s="593">
        <v>0</v>
      </c>
      <c r="M1793" s="593">
        <v>1</v>
      </c>
      <c r="N1793" s="593">
        <v>202</v>
      </c>
      <c r="O1793" s="593">
        <v>37</v>
      </c>
      <c r="P1793" s="593">
        <v>258</v>
      </c>
      <c r="Q1793" s="593">
        <v>58</v>
      </c>
      <c r="R1793" s="593">
        <v>909</v>
      </c>
      <c r="S1793" s="593">
        <v>96</v>
      </c>
      <c r="T1793" s="593">
        <v>2018</v>
      </c>
      <c r="U1793" s="593">
        <v>2016</v>
      </c>
      <c r="V1793" s="589"/>
      <c r="W1793" s="589"/>
      <c r="X1793" s="589"/>
      <c r="Y1793" s="589"/>
      <c r="Z1793" s="589"/>
      <c r="AA1793" s="589"/>
      <c r="AB1793" s="589"/>
      <c r="AC1793" s="589"/>
      <c r="AD1793" s="589"/>
      <c r="AE1793" s="589"/>
      <c r="AF1793" s="589"/>
      <c r="AG1793" s="589"/>
      <c r="AH1793" s="589"/>
      <c r="AI1793" s="589"/>
      <c r="AJ1793" s="589"/>
      <c r="AK1793" s="589"/>
      <c r="AL1793" s="589"/>
      <c r="AM1793" s="589"/>
      <c r="AN1793" s="589"/>
      <c r="AO1793" s="589"/>
      <c r="AP1793" s="589"/>
      <c r="AQ1793" s="589"/>
      <c r="AR1793" s="589"/>
      <c r="AS1793" s="589"/>
    </row>
    <row r="1794" spans="1:45" ht="15">
      <c r="A1794" s="587" t="s">
        <v>148</v>
      </c>
      <c r="B1794" s="587" t="s">
        <v>328</v>
      </c>
      <c r="C1794" s="587" t="s">
        <v>811</v>
      </c>
      <c r="D1794" s="588">
        <v>2018</v>
      </c>
      <c r="E1794" s="587" t="s">
        <v>775</v>
      </c>
      <c r="F1794" s="588">
        <v>4888</v>
      </c>
      <c r="G1794" s="588">
        <v>0</v>
      </c>
      <c r="H1794" s="588">
        <v>0</v>
      </c>
      <c r="I1794" s="588">
        <v>0</v>
      </c>
      <c r="J1794" s="588">
        <v>3107</v>
      </c>
      <c r="K1794" s="588">
        <v>0</v>
      </c>
      <c r="L1794" s="588">
        <v>0</v>
      </c>
      <c r="M1794" s="588">
        <v>0</v>
      </c>
      <c r="N1794" s="588">
        <v>3126</v>
      </c>
      <c r="O1794" s="588">
        <v>0</v>
      </c>
      <c r="P1794" s="588">
        <v>10462</v>
      </c>
      <c r="Q1794" s="588">
        <v>0</v>
      </c>
      <c r="R1794" s="588">
        <v>21583</v>
      </c>
      <c r="S1794" s="588">
        <v>0</v>
      </c>
      <c r="T1794" s="588">
        <v>2018</v>
      </c>
      <c r="U1794" s="588">
        <v>2016</v>
      </c>
      <c r="V1794" s="589"/>
      <c r="W1794" s="589"/>
      <c r="X1794" s="589"/>
      <c r="Y1794" s="589"/>
      <c r="Z1794" s="589"/>
      <c r="AA1794" s="589"/>
      <c r="AB1794" s="589"/>
      <c r="AC1794" s="589"/>
      <c r="AD1794" s="589"/>
      <c r="AE1794" s="589"/>
      <c r="AF1794" s="589"/>
      <c r="AG1794" s="589"/>
      <c r="AH1794" s="589"/>
      <c r="AI1794" s="589"/>
      <c r="AJ1794" s="589"/>
      <c r="AK1794" s="589"/>
      <c r="AL1794" s="589"/>
      <c r="AM1794" s="589"/>
      <c r="AN1794" s="589"/>
      <c r="AO1794" s="589"/>
      <c r="AP1794" s="589"/>
      <c r="AQ1794" s="589"/>
      <c r="AR1794" s="589"/>
      <c r="AS1794" s="589"/>
    </row>
    <row r="1795" spans="1:45" ht="15">
      <c r="A1795" s="590" t="s">
        <v>164</v>
      </c>
      <c r="B1795" s="590" t="s">
        <v>468</v>
      </c>
      <c r="C1795" s="590" t="s">
        <v>811</v>
      </c>
      <c r="D1795" s="593">
        <v>2018</v>
      </c>
      <c r="E1795" s="590" t="s">
        <v>775</v>
      </c>
      <c r="F1795" s="593">
        <v>43</v>
      </c>
      <c r="G1795" s="593">
        <v>0</v>
      </c>
      <c r="H1795" s="593">
        <v>0</v>
      </c>
      <c r="I1795" s="593">
        <v>0</v>
      </c>
      <c r="J1795" s="593">
        <v>28</v>
      </c>
      <c r="K1795" s="593">
        <v>0</v>
      </c>
      <c r="L1795" s="593">
        <v>0</v>
      </c>
      <c r="M1795" s="593">
        <v>0</v>
      </c>
      <c r="N1795" s="593">
        <v>33</v>
      </c>
      <c r="O1795" s="593">
        <v>0</v>
      </c>
      <c r="P1795" s="593">
        <v>76</v>
      </c>
      <c r="Q1795" s="593">
        <v>40</v>
      </c>
      <c r="R1795" s="593">
        <v>180</v>
      </c>
      <c r="S1795" s="593">
        <v>40</v>
      </c>
      <c r="T1795" s="593">
        <v>2018</v>
      </c>
      <c r="U1795" s="593">
        <v>2016</v>
      </c>
      <c r="V1795" s="589"/>
      <c r="W1795" s="589"/>
      <c r="X1795" s="589"/>
      <c r="Y1795" s="589"/>
      <c r="Z1795" s="589"/>
      <c r="AA1795" s="589"/>
      <c r="AB1795" s="589"/>
      <c r="AC1795" s="589"/>
      <c r="AD1795" s="589"/>
      <c r="AE1795" s="589"/>
      <c r="AF1795" s="589"/>
      <c r="AG1795" s="589"/>
      <c r="AH1795" s="589"/>
      <c r="AI1795" s="589"/>
      <c r="AJ1795" s="589"/>
      <c r="AK1795" s="589"/>
      <c r="AL1795" s="589"/>
      <c r="AM1795" s="589"/>
      <c r="AN1795" s="589"/>
      <c r="AO1795" s="589"/>
      <c r="AP1795" s="589"/>
      <c r="AQ1795" s="589"/>
      <c r="AR1795" s="589"/>
      <c r="AS1795" s="589"/>
    </row>
    <row r="1796" spans="1:45" ht="15">
      <c r="A1796" s="587" t="s">
        <v>149</v>
      </c>
      <c r="B1796" s="587" t="s">
        <v>339</v>
      </c>
      <c r="C1796" s="587" t="s">
        <v>820</v>
      </c>
      <c r="D1796" s="588">
        <v>2018</v>
      </c>
      <c r="E1796" s="587" t="s">
        <v>775</v>
      </c>
      <c r="F1796" s="588">
        <v>186</v>
      </c>
      <c r="G1796" s="588">
        <v>0</v>
      </c>
      <c r="H1796" s="588">
        <v>0</v>
      </c>
      <c r="I1796" s="588">
        <v>0</v>
      </c>
      <c r="J1796" s="588">
        <v>138</v>
      </c>
      <c r="K1796" s="588">
        <v>11</v>
      </c>
      <c r="L1796" s="588">
        <v>0</v>
      </c>
      <c r="M1796" s="588">
        <v>11</v>
      </c>
      <c r="N1796" s="588">
        <v>147</v>
      </c>
      <c r="O1796" s="588">
        <v>1</v>
      </c>
      <c r="P1796" s="588">
        <v>347</v>
      </c>
      <c r="Q1796" s="588">
        <v>8</v>
      </c>
      <c r="R1796" s="588">
        <v>818</v>
      </c>
      <c r="S1796" s="588">
        <v>20</v>
      </c>
      <c r="T1796" s="588">
        <v>2018</v>
      </c>
      <c r="U1796" s="588">
        <v>2016</v>
      </c>
      <c r="V1796" s="589"/>
      <c r="W1796" s="589"/>
      <c r="X1796" s="589"/>
      <c r="Y1796" s="589"/>
      <c r="Z1796" s="589"/>
      <c r="AA1796" s="589"/>
      <c r="AB1796" s="589"/>
      <c r="AC1796" s="589"/>
      <c r="AD1796" s="589"/>
      <c r="AE1796" s="589"/>
      <c r="AF1796" s="589"/>
      <c r="AG1796" s="589"/>
      <c r="AH1796" s="589"/>
      <c r="AI1796" s="589"/>
      <c r="AJ1796" s="589"/>
      <c r="AK1796" s="589"/>
      <c r="AL1796" s="589"/>
      <c r="AM1796" s="589"/>
      <c r="AN1796" s="589"/>
      <c r="AO1796" s="589"/>
      <c r="AP1796" s="589"/>
      <c r="AQ1796" s="589"/>
      <c r="AR1796" s="589"/>
      <c r="AS1796" s="589"/>
    </row>
    <row r="1797" spans="1:45" ht="15">
      <c r="A1797" s="590" t="s">
        <v>141</v>
      </c>
      <c r="B1797" s="590" t="s">
        <v>297</v>
      </c>
      <c r="C1797" s="590" t="s">
        <v>811</v>
      </c>
      <c r="D1797" s="593">
        <v>2018</v>
      </c>
      <c r="E1797" s="590" t="s">
        <v>775</v>
      </c>
      <c r="F1797" s="593">
        <v>113</v>
      </c>
      <c r="G1797" s="593">
        <v>0</v>
      </c>
      <c r="H1797" s="593">
        <v>0</v>
      </c>
      <c r="I1797" s="593">
        <v>0</v>
      </c>
      <c r="J1797" s="593">
        <v>70</v>
      </c>
      <c r="K1797" s="593">
        <v>0</v>
      </c>
      <c r="L1797" s="593">
        <v>0</v>
      </c>
      <c r="M1797" s="593">
        <v>0</v>
      </c>
      <c r="N1797" s="593">
        <v>60</v>
      </c>
      <c r="O1797" s="593">
        <v>0</v>
      </c>
      <c r="P1797" s="593">
        <v>131</v>
      </c>
      <c r="Q1797" s="593">
        <v>0</v>
      </c>
      <c r="R1797" s="593">
        <v>374</v>
      </c>
      <c r="S1797" s="593">
        <v>0</v>
      </c>
      <c r="T1797" s="593">
        <v>2018</v>
      </c>
      <c r="U1797" s="593">
        <v>2016</v>
      </c>
      <c r="V1797" s="589"/>
      <c r="W1797" s="589"/>
      <c r="X1797" s="589"/>
      <c r="Y1797" s="589"/>
      <c r="Z1797" s="589"/>
      <c r="AA1797" s="589"/>
      <c r="AB1797" s="589"/>
      <c r="AC1797" s="589"/>
      <c r="AD1797" s="589"/>
      <c r="AE1797" s="589"/>
      <c r="AF1797" s="589"/>
      <c r="AG1797" s="589"/>
      <c r="AH1797" s="589"/>
      <c r="AI1797" s="589"/>
      <c r="AJ1797" s="589"/>
      <c r="AK1797" s="589"/>
      <c r="AL1797" s="589"/>
      <c r="AM1797" s="589"/>
      <c r="AN1797" s="589"/>
      <c r="AO1797" s="589"/>
      <c r="AP1797" s="589"/>
      <c r="AQ1797" s="589"/>
      <c r="AR1797" s="589"/>
      <c r="AS1797" s="589"/>
    </row>
    <row r="1798" spans="1:45" ht="15">
      <c r="A1798" s="587" t="s">
        <v>153</v>
      </c>
      <c r="B1798" s="587" t="s">
        <v>384</v>
      </c>
      <c r="C1798" s="587" t="s">
        <v>813</v>
      </c>
      <c r="D1798" s="588">
        <v>2018</v>
      </c>
      <c r="E1798" s="587" t="s">
        <v>775</v>
      </c>
      <c r="F1798" s="588">
        <v>30</v>
      </c>
      <c r="G1798" s="588">
        <v>0</v>
      </c>
      <c r="H1798" s="588">
        <v>0</v>
      </c>
      <c r="I1798" s="588">
        <v>0</v>
      </c>
      <c r="J1798" s="588">
        <v>18</v>
      </c>
      <c r="K1798" s="588">
        <v>0</v>
      </c>
      <c r="L1798" s="588">
        <v>0</v>
      </c>
      <c r="M1798" s="588">
        <v>0</v>
      </c>
      <c r="N1798" s="588">
        <v>20</v>
      </c>
      <c r="O1798" s="588">
        <v>0</v>
      </c>
      <c r="P1798" s="588">
        <v>44</v>
      </c>
      <c r="Q1798" s="588">
        <v>19</v>
      </c>
      <c r="R1798" s="588">
        <v>112</v>
      </c>
      <c r="S1798" s="588">
        <v>19</v>
      </c>
      <c r="T1798" s="588">
        <v>2018</v>
      </c>
      <c r="U1798" s="588">
        <v>2014</v>
      </c>
      <c r="V1798" s="589"/>
      <c r="W1798" s="589"/>
      <c r="X1798" s="589"/>
      <c r="Y1798" s="589"/>
      <c r="Z1798" s="589"/>
      <c r="AA1798" s="589"/>
      <c r="AB1798" s="589"/>
      <c r="AC1798" s="589"/>
      <c r="AD1798" s="589"/>
      <c r="AE1798" s="589"/>
      <c r="AF1798" s="589"/>
      <c r="AG1798" s="589"/>
      <c r="AH1798" s="589"/>
      <c r="AI1798" s="589"/>
      <c r="AJ1798" s="589"/>
      <c r="AK1798" s="589"/>
      <c r="AL1798" s="589"/>
      <c r="AM1798" s="589"/>
      <c r="AN1798" s="589"/>
      <c r="AO1798" s="589"/>
      <c r="AP1798" s="589"/>
      <c r="AQ1798" s="589"/>
      <c r="AR1798" s="589"/>
      <c r="AS1798" s="589"/>
    </row>
    <row r="1799" spans="1:45" ht="15">
      <c r="A1799" s="590" t="s">
        <v>169</v>
      </c>
      <c r="B1799" s="590" t="s">
        <v>497</v>
      </c>
      <c r="C1799" s="590" t="s">
        <v>813</v>
      </c>
      <c r="D1799" s="593">
        <v>2018</v>
      </c>
      <c r="E1799" s="590" t="s">
        <v>775</v>
      </c>
      <c r="F1799" s="593">
        <v>1</v>
      </c>
      <c r="G1799" s="593">
        <v>2</v>
      </c>
      <c r="H1799" s="593">
        <v>0</v>
      </c>
      <c r="I1799" s="593">
        <v>2</v>
      </c>
      <c r="J1799" s="593">
        <v>1</v>
      </c>
      <c r="K1799" s="593">
        <v>2</v>
      </c>
      <c r="L1799" s="593">
        <v>0</v>
      </c>
      <c r="M1799" s="593">
        <v>2</v>
      </c>
      <c r="N1799" s="593">
        <v>1</v>
      </c>
      <c r="O1799" s="593">
        <v>3</v>
      </c>
      <c r="P1799" s="593">
        <v>1</v>
      </c>
      <c r="Q1799" s="593">
        <v>47</v>
      </c>
      <c r="R1799" s="593">
        <v>4</v>
      </c>
      <c r="S1799" s="593">
        <v>54</v>
      </c>
      <c r="T1799" s="593">
        <v>2018</v>
      </c>
      <c r="U1799" s="593">
        <v>2014</v>
      </c>
      <c r="V1799" s="589"/>
      <c r="W1799" s="589"/>
      <c r="X1799" s="589"/>
      <c r="Y1799" s="589"/>
      <c r="Z1799" s="589"/>
      <c r="AA1799" s="589"/>
      <c r="AB1799" s="589"/>
      <c r="AC1799" s="589"/>
      <c r="AD1799" s="589"/>
      <c r="AE1799" s="589"/>
      <c r="AF1799" s="589"/>
      <c r="AG1799" s="589"/>
      <c r="AH1799" s="589"/>
      <c r="AI1799" s="589"/>
      <c r="AJ1799" s="589"/>
      <c r="AK1799" s="589"/>
      <c r="AL1799" s="589"/>
      <c r="AM1799" s="589"/>
      <c r="AN1799" s="589"/>
      <c r="AO1799" s="589"/>
      <c r="AP1799" s="589"/>
      <c r="AQ1799" s="589"/>
      <c r="AR1799" s="589"/>
      <c r="AS1799" s="589"/>
    </row>
    <row r="1800" spans="1:45" ht="15">
      <c r="A1800" s="587" t="s">
        <v>153</v>
      </c>
      <c r="B1800" s="587" t="s">
        <v>385</v>
      </c>
      <c r="C1800" s="587" t="s">
        <v>813</v>
      </c>
      <c r="D1800" s="588">
        <v>2018</v>
      </c>
      <c r="E1800" s="587" t="s">
        <v>775</v>
      </c>
      <c r="F1800" s="588">
        <v>32</v>
      </c>
      <c r="G1800" s="588">
        <v>0</v>
      </c>
      <c r="H1800" s="588">
        <v>0</v>
      </c>
      <c r="I1800" s="588">
        <v>0</v>
      </c>
      <c r="J1800" s="588">
        <v>19</v>
      </c>
      <c r="K1800" s="588">
        <v>0</v>
      </c>
      <c r="L1800" s="588">
        <v>0</v>
      </c>
      <c r="M1800" s="588">
        <v>0</v>
      </c>
      <c r="N1800" s="588">
        <v>21</v>
      </c>
      <c r="O1800" s="588">
        <v>0</v>
      </c>
      <c r="P1800" s="588">
        <v>47</v>
      </c>
      <c r="Q1800" s="588">
        <v>0</v>
      </c>
      <c r="R1800" s="588">
        <v>119</v>
      </c>
      <c r="S1800" s="588">
        <v>0</v>
      </c>
      <c r="T1800" s="588">
        <v>2018</v>
      </c>
      <c r="U1800" s="588">
        <v>2014</v>
      </c>
      <c r="V1800" s="589"/>
      <c r="W1800" s="589"/>
      <c r="X1800" s="589"/>
      <c r="Y1800" s="589"/>
      <c r="Z1800" s="589"/>
      <c r="AA1800" s="589"/>
      <c r="AB1800" s="589"/>
      <c r="AC1800" s="589"/>
      <c r="AD1800" s="589"/>
      <c r="AE1800" s="589"/>
      <c r="AF1800" s="589"/>
      <c r="AG1800" s="589"/>
      <c r="AH1800" s="589"/>
      <c r="AI1800" s="589"/>
      <c r="AJ1800" s="589"/>
      <c r="AK1800" s="589"/>
      <c r="AL1800" s="589"/>
      <c r="AM1800" s="589"/>
      <c r="AN1800" s="589"/>
      <c r="AO1800" s="589"/>
      <c r="AP1800" s="589"/>
      <c r="AQ1800" s="589"/>
      <c r="AR1800" s="589"/>
      <c r="AS1800" s="589"/>
    </row>
    <row r="1801" spans="1:45" ht="15">
      <c r="A1801" s="590" t="s">
        <v>179</v>
      </c>
      <c r="B1801" s="590" t="s">
        <v>598</v>
      </c>
      <c r="C1801" s="590" t="s">
        <v>856</v>
      </c>
      <c r="D1801" s="593">
        <v>2018</v>
      </c>
      <c r="E1801" s="590" t="s">
        <v>775</v>
      </c>
      <c r="F1801" s="593">
        <v>430</v>
      </c>
      <c r="G1801" s="593">
        <v>0</v>
      </c>
      <c r="H1801" s="593">
        <v>0</v>
      </c>
      <c r="I1801" s="593">
        <v>0</v>
      </c>
      <c r="J1801" s="593">
        <v>326</v>
      </c>
      <c r="K1801" s="593">
        <v>0</v>
      </c>
      <c r="L1801" s="593">
        <v>0</v>
      </c>
      <c r="M1801" s="593">
        <v>0</v>
      </c>
      <c r="N1801" s="593">
        <v>302</v>
      </c>
      <c r="O1801" s="593">
        <v>0</v>
      </c>
      <c r="P1801" s="593">
        <v>664</v>
      </c>
      <c r="Q1801" s="593">
        <v>122</v>
      </c>
      <c r="R1801" s="593">
        <v>1722</v>
      </c>
      <c r="S1801" s="593">
        <v>122</v>
      </c>
      <c r="T1801" s="593">
        <v>2018</v>
      </c>
      <c r="U1801" s="593">
        <v>2013</v>
      </c>
      <c r="V1801" s="589"/>
      <c r="W1801" s="589"/>
      <c r="X1801" s="589"/>
      <c r="Y1801" s="589"/>
      <c r="Z1801" s="589"/>
      <c r="AA1801" s="589"/>
      <c r="AB1801" s="589"/>
      <c r="AC1801" s="589"/>
      <c r="AD1801" s="589"/>
      <c r="AE1801" s="589"/>
      <c r="AF1801" s="589"/>
      <c r="AG1801" s="589"/>
      <c r="AH1801" s="589"/>
      <c r="AI1801" s="589"/>
      <c r="AJ1801" s="589"/>
      <c r="AK1801" s="589"/>
      <c r="AL1801" s="589"/>
      <c r="AM1801" s="589"/>
      <c r="AN1801" s="589"/>
      <c r="AO1801" s="589"/>
      <c r="AP1801" s="589"/>
      <c r="AQ1801" s="589"/>
      <c r="AR1801" s="589"/>
      <c r="AS1801" s="589"/>
    </row>
    <row r="1802" spans="1:45" ht="15">
      <c r="A1802" s="587" t="s">
        <v>169</v>
      </c>
      <c r="B1802" s="587" t="s">
        <v>498</v>
      </c>
      <c r="C1802" s="587" t="s">
        <v>813</v>
      </c>
      <c r="D1802" s="588">
        <v>2018</v>
      </c>
      <c r="E1802" s="587" t="s">
        <v>775</v>
      </c>
      <c r="F1802" s="588">
        <v>2</v>
      </c>
      <c r="G1802" s="588">
        <v>0</v>
      </c>
      <c r="H1802" s="588">
        <v>0</v>
      </c>
      <c r="I1802" s="588">
        <v>0</v>
      </c>
      <c r="J1802" s="588">
        <v>2</v>
      </c>
      <c r="K1802" s="588">
        <v>0</v>
      </c>
      <c r="L1802" s="588">
        <v>0</v>
      </c>
      <c r="M1802" s="588">
        <v>0</v>
      </c>
      <c r="N1802" s="588">
        <v>2</v>
      </c>
      <c r="O1802" s="588">
        <v>0</v>
      </c>
      <c r="P1802" s="588">
        <v>3</v>
      </c>
      <c r="Q1802" s="588">
        <v>0</v>
      </c>
      <c r="R1802" s="588">
        <v>9</v>
      </c>
      <c r="S1802" s="588">
        <v>0</v>
      </c>
      <c r="T1802" s="588">
        <v>2018</v>
      </c>
      <c r="U1802" s="588">
        <v>2014</v>
      </c>
      <c r="V1802" s="589"/>
      <c r="W1802" s="589"/>
      <c r="X1802" s="589"/>
      <c r="Y1802" s="589"/>
      <c r="Z1802" s="589"/>
      <c r="AA1802" s="589"/>
      <c r="AB1802" s="589"/>
      <c r="AC1802" s="589"/>
      <c r="AD1802" s="589"/>
      <c r="AE1802" s="589"/>
      <c r="AF1802" s="589"/>
      <c r="AG1802" s="589"/>
      <c r="AH1802" s="589"/>
      <c r="AI1802" s="589"/>
      <c r="AJ1802" s="589"/>
      <c r="AK1802" s="589"/>
      <c r="AL1802" s="589"/>
      <c r="AM1802" s="589"/>
      <c r="AN1802" s="589"/>
      <c r="AO1802" s="589"/>
      <c r="AP1802" s="589"/>
      <c r="AQ1802" s="589"/>
      <c r="AR1802" s="589"/>
      <c r="AS1802" s="589"/>
    </row>
    <row r="1803" spans="1:45" ht="15">
      <c r="A1803" s="590" t="s">
        <v>173</v>
      </c>
      <c r="B1803" s="590" t="s">
        <v>542</v>
      </c>
      <c r="C1803" s="590" t="s">
        <v>813</v>
      </c>
      <c r="D1803" s="593">
        <v>2018</v>
      </c>
      <c r="E1803" s="590" t="s">
        <v>775</v>
      </c>
      <c r="F1803" s="593">
        <v>91</v>
      </c>
      <c r="G1803" s="593">
        <v>68</v>
      </c>
      <c r="H1803" s="593">
        <v>68</v>
      </c>
      <c r="I1803" s="593">
        <v>0</v>
      </c>
      <c r="J1803" s="593">
        <v>61</v>
      </c>
      <c r="K1803" s="593">
        <v>0</v>
      </c>
      <c r="L1803" s="593">
        <v>0</v>
      </c>
      <c r="M1803" s="593">
        <v>0</v>
      </c>
      <c r="N1803" s="593">
        <v>66</v>
      </c>
      <c r="O1803" s="593">
        <v>4</v>
      </c>
      <c r="P1803" s="593">
        <v>146</v>
      </c>
      <c r="Q1803" s="593">
        <v>123</v>
      </c>
      <c r="R1803" s="593">
        <v>364</v>
      </c>
      <c r="S1803" s="593">
        <v>195</v>
      </c>
      <c r="T1803" s="593">
        <v>2018</v>
      </c>
      <c r="U1803" s="593">
        <v>2014</v>
      </c>
      <c r="V1803" s="589"/>
      <c r="W1803" s="589"/>
      <c r="X1803" s="589"/>
      <c r="Y1803" s="589"/>
      <c r="Z1803" s="589"/>
      <c r="AA1803" s="589"/>
      <c r="AB1803" s="589"/>
      <c r="AC1803" s="589"/>
      <c r="AD1803" s="589"/>
      <c r="AE1803" s="589"/>
      <c r="AF1803" s="589"/>
      <c r="AG1803" s="589"/>
      <c r="AH1803" s="589"/>
      <c r="AI1803" s="589"/>
      <c r="AJ1803" s="589"/>
      <c r="AK1803" s="589"/>
      <c r="AL1803" s="589"/>
      <c r="AM1803" s="589"/>
      <c r="AN1803" s="589"/>
      <c r="AO1803" s="589"/>
      <c r="AP1803" s="589"/>
      <c r="AQ1803" s="589"/>
      <c r="AR1803" s="589"/>
      <c r="AS1803" s="589"/>
    </row>
    <row r="1804" spans="1:45" ht="15">
      <c r="A1804" s="587" t="s">
        <v>153</v>
      </c>
      <c r="B1804" s="587" t="s">
        <v>388</v>
      </c>
      <c r="C1804" s="587" t="s">
        <v>813</v>
      </c>
      <c r="D1804" s="588">
        <v>2018</v>
      </c>
      <c r="E1804" s="587" t="s">
        <v>775</v>
      </c>
      <c r="F1804" s="588">
        <v>147</v>
      </c>
      <c r="G1804" s="588">
        <v>5</v>
      </c>
      <c r="H1804" s="588">
        <v>2</v>
      </c>
      <c r="I1804" s="588">
        <v>3</v>
      </c>
      <c r="J1804" s="588">
        <v>88</v>
      </c>
      <c r="K1804" s="588">
        <v>0</v>
      </c>
      <c r="L1804" s="588">
        <v>0</v>
      </c>
      <c r="M1804" s="588">
        <v>0</v>
      </c>
      <c r="N1804" s="588">
        <v>94</v>
      </c>
      <c r="O1804" s="588">
        <v>4</v>
      </c>
      <c r="P1804" s="588">
        <v>233</v>
      </c>
      <c r="Q1804" s="588">
        <v>38</v>
      </c>
      <c r="R1804" s="588">
        <v>562</v>
      </c>
      <c r="S1804" s="588">
        <v>47</v>
      </c>
      <c r="T1804" s="588">
        <v>2018</v>
      </c>
      <c r="U1804" s="588">
        <v>2014</v>
      </c>
      <c r="V1804" s="589"/>
      <c r="W1804" s="589"/>
      <c r="X1804" s="589"/>
      <c r="Y1804" s="589"/>
      <c r="Z1804" s="589"/>
      <c r="AA1804" s="589"/>
      <c r="AB1804" s="589"/>
      <c r="AC1804" s="589"/>
      <c r="AD1804" s="589"/>
      <c r="AE1804" s="589"/>
      <c r="AF1804" s="589"/>
      <c r="AG1804" s="589"/>
      <c r="AH1804" s="589"/>
      <c r="AI1804" s="589"/>
      <c r="AJ1804" s="589"/>
      <c r="AK1804" s="589"/>
      <c r="AL1804" s="589"/>
      <c r="AM1804" s="589"/>
      <c r="AN1804" s="589"/>
      <c r="AO1804" s="589"/>
      <c r="AP1804" s="589"/>
      <c r="AQ1804" s="589"/>
      <c r="AR1804" s="589"/>
      <c r="AS1804" s="589"/>
    </row>
    <row r="1805" spans="1:45" ht="15">
      <c r="A1805" s="590" t="s">
        <v>136</v>
      </c>
      <c r="B1805" s="590" t="s">
        <v>273</v>
      </c>
      <c r="C1805" s="590" t="s">
        <v>782</v>
      </c>
      <c r="D1805" s="593">
        <v>2018</v>
      </c>
      <c r="E1805" s="590" t="s">
        <v>775</v>
      </c>
      <c r="F1805" s="593">
        <v>138</v>
      </c>
      <c r="G1805" s="593">
        <v>0</v>
      </c>
      <c r="H1805" s="593">
        <v>0</v>
      </c>
      <c r="I1805" s="593">
        <v>0</v>
      </c>
      <c r="J1805" s="593">
        <v>78</v>
      </c>
      <c r="K1805" s="593">
        <v>0</v>
      </c>
      <c r="L1805" s="593">
        <v>0</v>
      </c>
      <c r="M1805" s="593">
        <v>0</v>
      </c>
      <c r="N1805" s="593">
        <v>85</v>
      </c>
      <c r="O1805" s="593">
        <v>2</v>
      </c>
      <c r="P1805" s="593">
        <v>99</v>
      </c>
      <c r="Q1805" s="593">
        <v>29</v>
      </c>
      <c r="R1805" s="593">
        <v>400</v>
      </c>
      <c r="S1805" s="593">
        <v>31</v>
      </c>
      <c r="T1805" s="593">
        <v>2018</v>
      </c>
      <c r="U1805" s="593">
        <v>2015</v>
      </c>
      <c r="V1805" s="589"/>
      <c r="W1805" s="589"/>
      <c r="X1805" s="589"/>
      <c r="Y1805" s="589"/>
      <c r="Z1805" s="589"/>
      <c r="AA1805" s="589"/>
      <c r="AB1805" s="589"/>
      <c r="AC1805" s="589"/>
      <c r="AD1805" s="589"/>
      <c r="AE1805" s="589"/>
      <c r="AF1805" s="589"/>
      <c r="AG1805" s="589"/>
      <c r="AH1805" s="589"/>
      <c r="AI1805" s="589"/>
      <c r="AJ1805" s="589"/>
      <c r="AK1805" s="589"/>
      <c r="AL1805" s="589"/>
      <c r="AM1805" s="589"/>
      <c r="AN1805" s="589"/>
      <c r="AO1805" s="589"/>
      <c r="AP1805" s="589"/>
      <c r="AQ1805" s="589"/>
      <c r="AR1805" s="589"/>
      <c r="AS1805" s="589"/>
    </row>
    <row r="1806" spans="1:45" ht="15">
      <c r="A1806" s="587" t="s">
        <v>169</v>
      </c>
      <c r="B1806" s="587" t="s">
        <v>499</v>
      </c>
      <c r="C1806" s="587" t="s">
        <v>813</v>
      </c>
      <c r="D1806" s="588">
        <v>2018</v>
      </c>
      <c r="E1806" s="587" t="s">
        <v>775</v>
      </c>
      <c r="F1806" s="588">
        <v>1</v>
      </c>
      <c r="G1806" s="588">
        <v>0</v>
      </c>
      <c r="H1806" s="588">
        <v>0</v>
      </c>
      <c r="I1806" s="588">
        <v>0</v>
      </c>
      <c r="J1806" s="588">
        <v>1</v>
      </c>
      <c r="K1806" s="588">
        <v>1</v>
      </c>
      <c r="L1806" s="588">
        <v>1</v>
      </c>
      <c r="M1806" s="588">
        <v>0</v>
      </c>
      <c r="N1806" s="588">
        <v>0</v>
      </c>
      <c r="O1806" s="588">
        <v>4</v>
      </c>
      <c r="P1806" s="588">
        <v>0</v>
      </c>
      <c r="Q1806" s="588">
        <v>7</v>
      </c>
      <c r="R1806" s="588">
        <v>2</v>
      </c>
      <c r="S1806" s="588">
        <v>12</v>
      </c>
      <c r="T1806" s="588">
        <v>2018</v>
      </c>
      <c r="U1806" s="588">
        <v>2014</v>
      </c>
      <c r="V1806" s="589"/>
      <c r="W1806" s="589"/>
      <c r="X1806" s="589"/>
      <c r="Y1806" s="589"/>
      <c r="Z1806" s="589"/>
      <c r="AA1806" s="589"/>
      <c r="AB1806" s="589"/>
      <c r="AC1806" s="589"/>
      <c r="AD1806" s="589"/>
      <c r="AE1806" s="589"/>
      <c r="AF1806" s="589"/>
      <c r="AG1806" s="589"/>
      <c r="AH1806" s="589"/>
      <c r="AI1806" s="589"/>
      <c r="AJ1806" s="589"/>
      <c r="AK1806" s="589"/>
      <c r="AL1806" s="589"/>
      <c r="AM1806" s="589"/>
      <c r="AN1806" s="589"/>
      <c r="AO1806" s="589"/>
      <c r="AP1806" s="589"/>
      <c r="AQ1806" s="589"/>
      <c r="AR1806" s="589"/>
      <c r="AS1806" s="589"/>
    </row>
    <row r="1807" spans="1:45" ht="15">
      <c r="A1807" s="590" t="s">
        <v>169</v>
      </c>
      <c r="B1807" s="590" t="s">
        <v>500</v>
      </c>
      <c r="C1807" s="590" t="s">
        <v>813</v>
      </c>
      <c r="D1807" s="593">
        <v>2018</v>
      </c>
      <c r="E1807" s="590" t="s">
        <v>775</v>
      </c>
      <c r="F1807" s="593">
        <v>1</v>
      </c>
      <c r="G1807" s="593">
        <v>0</v>
      </c>
      <c r="H1807" s="593">
        <v>0</v>
      </c>
      <c r="I1807" s="593">
        <v>0</v>
      </c>
      <c r="J1807" s="593">
        <v>1</v>
      </c>
      <c r="K1807" s="593">
        <v>0</v>
      </c>
      <c r="L1807" s="593">
        <v>0</v>
      </c>
      <c r="M1807" s="593">
        <v>0</v>
      </c>
      <c r="N1807" s="593">
        <v>0</v>
      </c>
      <c r="O1807" s="593">
        <v>0</v>
      </c>
      <c r="P1807" s="593">
        <v>0</v>
      </c>
      <c r="Q1807" s="593">
        <v>0</v>
      </c>
      <c r="R1807" s="593">
        <v>2</v>
      </c>
      <c r="S1807" s="593">
        <v>0</v>
      </c>
      <c r="T1807" s="593">
        <v>2018</v>
      </c>
      <c r="U1807" s="593">
        <v>2014</v>
      </c>
      <c r="V1807" s="589"/>
      <c r="W1807" s="589"/>
      <c r="X1807" s="589"/>
      <c r="Y1807" s="589"/>
      <c r="Z1807" s="589"/>
      <c r="AA1807" s="589"/>
      <c r="AB1807" s="589"/>
      <c r="AC1807" s="589"/>
      <c r="AD1807" s="589"/>
      <c r="AE1807" s="589"/>
      <c r="AF1807" s="589"/>
      <c r="AG1807" s="589"/>
      <c r="AH1807" s="589"/>
      <c r="AI1807" s="589"/>
      <c r="AJ1807" s="589"/>
      <c r="AK1807" s="589"/>
      <c r="AL1807" s="589"/>
      <c r="AM1807" s="589"/>
      <c r="AN1807" s="589"/>
      <c r="AO1807" s="589"/>
      <c r="AP1807" s="589"/>
      <c r="AQ1807" s="589"/>
      <c r="AR1807" s="589"/>
      <c r="AS1807" s="589"/>
    </row>
    <row r="1808" spans="1:45" ht="15">
      <c r="A1808" s="587" t="s">
        <v>169</v>
      </c>
      <c r="B1808" s="587" t="s">
        <v>501</v>
      </c>
      <c r="C1808" s="587" t="s">
        <v>813</v>
      </c>
      <c r="D1808" s="588">
        <v>2018</v>
      </c>
      <c r="E1808" s="587" t="s">
        <v>775</v>
      </c>
      <c r="F1808" s="588">
        <v>43</v>
      </c>
      <c r="G1808" s="588">
        <v>9</v>
      </c>
      <c r="H1808" s="588">
        <v>9</v>
      </c>
      <c r="I1808" s="588">
        <v>0</v>
      </c>
      <c r="J1808" s="588">
        <v>30</v>
      </c>
      <c r="K1808" s="588">
        <v>0</v>
      </c>
      <c r="L1808" s="588">
        <v>0</v>
      </c>
      <c r="M1808" s="588">
        <v>0</v>
      </c>
      <c r="N1808" s="588">
        <v>34</v>
      </c>
      <c r="O1808" s="588">
        <v>0</v>
      </c>
      <c r="P1808" s="588">
        <v>75</v>
      </c>
      <c r="Q1808" s="588">
        <v>291</v>
      </c>
      <c r="R1808" s="588">
        <v>182</v>
      </c>
      <c r="S1808" s="588">
        <v>300</v>
      </c>
      <c r="T1808" s="588">
        <v>2018</v>
      </c>
      <c r="U1808" s="588">
        <v>2014</v>
      </c>
      <c r="V1808" s="589"/>
      <c r="W1808" s="589"/>
      <c r="X1808" s="589"/>
      <c r="Y1808" s="589"/>
      <c r="Z1808" s="589"/>
      <c r="AA1808" s="589"/>
      <c r="AB1808" s="589"/>
      <c r="AC1808" s="589"/>
      <c r="AD1808" s="589"/>
      <c r="AE1808" s="589"/>
      <c r="AF1808" s="589"/>
      <c r="AG1808" s="589"/>
      <c r="AH1808" s="589"/>
      <c r="AI1808" s="589"/>
      <c r="AJ1808" s="589"/>
      <c r="AK1808" s="589"/>
      <c r="AL1808" s="589"/>
      <c r="AM1808" s="589"/>
      <c r="AN1808" s="589"/>
      <c r="AO1808" s="589"/>
      <c r="AP1808" s="589"/>
      <c r="AQ1808" s="589"/>
      <c r="AR1808" s="589"/>
      <c r="AS1808" s="589"/>
    </row>
    <row r="1809" spans="1:45" ht="15">
      <c r="A1809" s="590" t="s">
        <v>169</v>
      </c>
      <c r="B1809" s="590" t="s">
        <v>502</v>
      </c>
      <c r="C1809" s="590" t="s">
        <v>813</v>
      </c>
      <c r="D1809" s="593">
        <v>2018</v>
      </c>
      <c r="E1809" s="590" t="s">
        <v>775</v>
      </c>
      <c r="F1809" s="593">
        <v>1</v>
      </c>
      <c r="G1809" s="593">
        <v>0</v>
      </c>
      <c r="H1809" s="593">
        <v>0</v>
      </c>
      <c r="I1809" s="593">
        <v>0</v>
      </c>
      <c r="J1809" s="593">
        <v>1</v>
      </c>
      <c r="K1809" s="593">
        <v>0</v>
      </c>
      <c r="L1809" s="593">
        <v>0</v>
      </c>
      <c r="M1809" s="593">
        <v>0</v>
      </c>
      <c r="N1809" s="593">
        <v>0</v>
      </c>
      <c r="O1809" s="593">
        <v>0</v>
      </c>
      <c r="P1809" s="593">
        <v>0</v>
      </c>
      <c r="Q1809" s="593">
        <v>0</v>
      </c>
      <c r="R1809" s="593">
        <v>2</v>
      </c>
      <c r="S1809" s="593">
        <v>0</v>
      </c>
      <c r="T1809" s="593">
        <v>2018</v>
      </c>
      <c r="U1809" s="593">
        <v>2014</v>
      </c>
      <c r="V1809" s="589"/>
      <c r="W1809" s="589"/>
      <c r="X1809" s="589"/>
      <c r="Y1809" s="589"/>
      <c r="Z1809" s="589"/>
      <c r="AA1809" s="589"/>
      <c r="AB1809" s="589"/>
      <c r="AC1809" s="589"/>
      <c r="AD1809" s="589"/>
      <c r="AE1809" s="589"/>
      <c r="AF1809" s="589"/>
      <c r="AG1809" s="589"/>
      <c r="AH1809" s="589"/>
      <c r="AI1809" s="589"/>
      <c r="AJ1809" s="589"/>
      <c r="AK1809" s="589"/>
      <c r="AL1809" s="589"/>
      <c r="AM1809" s="589"/>
      <c r="AN1809" s="589"/>
      <c r="AO1809" s="589"/>
      <c r="AP1809" s="589"/>
      <c r="AQ1809" s="589"/>
      <c r="AR1809" s="589"/>
      <c r="AS1809" s="589"/>
    </row>
    <row r="1810" spans="1:45" ht="15">
      <c r="A1810" s="587" t="s">
        <v>151</v>
      </c>
      <c r="B1810" s="587" t="s">
        <v>342</v>
      </c>
      <c r="C1810" s="587" t="s">
        <v>785</v>
      </c>
      <c r="D1810" s="588">
        <v>2018</v>
      </c>
      <c r="E1810" s="587" t="s">
        <v>775</v>
      </c>
      <c r="F1810" s="588">
        <v>368</v>
      </c>
      <c r="G1810" s="588">
        <v>8</v>
      </c>
      <c r="H1810" s="588">
        <v>0</v>
      </c>
      <c r="I1810" s="588">
        <v>8</v>
      </c>
      <c r="J1810" s="588">
        <v>231</v>
      </c>
      <c r="K1810" s="588">
        <v>17</v>
      </c>
      <c r="L1810" s="588">
        <v>0</v>
      </c>
      <c r="M1810" s="588">
        <v>17</v>
      </c>
      <c r="N1810" s="588">
        <v>256</v>
      </c>
      <c r="O1810" s="588">
        <v>22</v>
      </c>
      <c r="P1810" s="588">
        <v>601</v>
      </c>
      <c r="Q1810" s="588">
        <v>16</v>
      </c>
      <c r="R1810" s="588">
        <v>1456</v>
      </c>
      <c r="S1810" s="588">
        <v>63</v>
      </c>
      <c r="T1810" s="588">
        <v>2018</v>
      </c>
      <c r="U1810" s="588">
        <v>2014</v>
      </c>
      <c r="V1810" s="589"/>
      <c r="W1810" s="589"/>
      <c r="X1810" s="589"/>
      <c r="Y1810" s="589"/>
      <c r="Z1810" s="589"/>
      <c r="AA1810" s="589"/>
      <c r="AB1810" s="589"/>
      <c r="AC1810" s="589"/>
      <c r="AD1810" s="589"/>
      <c r="AE1810" s="589"/>
      <c r="AF1810" s="589"/>
      <c r="AG1810" s="589"/>
      <c r="AH1810" s="589"/>
      <c r="AI1810" s="589"/>
      <c r="AJ1810" s="589"/>
      <c r="AK1810" s="589"/>
      <c r="AL1810" s="589"/>
      <c r="AM1810" s="589"/>
      <c r="AN1810" s="589"/>
      <c r="AO1810" s="589"/>
      <c r="AP1810" s="589"/>
      <c r="AQ1810" s="589"/>
      <c r="AR1810" s="589"/>
      <c r="AS1810" s="589"/>
    </row>
    <row r="1811" spans="1:45" ht="15">
      <c r="A1811" s="590" t="s">
        <v>173</v>
      </c>
      <c r="B1811" s="590" t="s">
        <v>543</v>
      </c>
      <c r="C1811" s="590" t="s">
        <v>813</v>
      </c>
      <c r="D1811" s="593">
        <v>2018</v>
      </c>
      <c r="E1811" s="590" t="s">
        <v>775</v>
      </c>
      <c r="F1811" s="593">
        <v>1196</v>
      </c>
      <c r="G1811" s="593">
        <v>0</v>
      </c>
      <c r="H1811" s="593">
        <v>0</v>
      </c>
      <c r="I1811" s="593">
        <v>0</v>
      </c>
      <c r="J1811" s="593">
        <v>801</v>
      </c>
      <c r="K1811" s="593">
        <v>2</v>
      </c>
      <c r="L1811" s="593">
        <v>0</v>
      </c>
      <c r="M1811" s="593">
        <v>2</v>
      </c>
      <c r="N1811" s="593">
        <v>897</v>
      </c>
      <c r="O1811" s="593">
        <v>56</v>
      </c>
      <c r="P1811" s="593">
        <v>2035</v>
      </c>
      <c r="Q1811" s="593">
        <v>286</v>
      </c>
      <c r="R1811" s="593">
        <v>4929</v>
      </c>
      <c r="S1811" s="593">
        <v>344</v>
      </c>
      <c r="T1811" s="593">
        <v>2018</v>
      </c>
      <c r="U1811" s="593">
        <v>2014</v>
      </c>
      <c r="V1811" s="589"/>
      <c r="W1811" s="589"/>
      <c r="X1811" s="589"/>
      <c r="Y1811" s="589"/>
      <c r="Z1811" s="589"/>
      <c r="AA1811" s="589"/>
      <c r="AB1811" s="589"/>
      <c r="AC1811" s="589"/>
      <c r="AD1811" s="589"/>
      <c r="AE1811" s="589"/>
      <c r="AF1811" s="589"/>
      <c r="AG1811" s="589"/>
      <c r="AH1811" s="589"/>
      <c r="AI1811" s="589"/>
      <c r="AJ1811" s="589"/>
      <c r="AK1811" s="589"/>
      <c r="AL1811" s="589"/>
      <c r="AM1811" s="589"/>
      <c r="AN1811" s="589"/>
      <c r="AO1811" s="589"/>
      <c r="AP1811" s="589"/>
      <c r="AQ1811" s="589"/>
      <c r="AR1811" s="589"/>
      <c r="AS1811" s="589"/>
    </row>
    <row r="1812" spans="1:45" ht="15">
      <c r="A1812" s="587" t="s">
        <v>169</v>
      </c>
      <c r="B1812" s="587" t="s">
        <v>503</v>
      </c>
      <c r="C1812" s="587" t="s">
        <v>813</v>
      </c>
      <c r="D1812" s="588">
        <v>2018</v>
      </c>
      <c r="E1812" s="587" t="s">
        <v>775</v>
      </c>
      <c r="F1812" s="588">
        <v>647</v>
      </c>
      <c r="G1812" s="588">
        <v>0</v>
      </c>
      <c r="H1812" s="588">
        <v>0</v>
      </c>
      <c r="I1812" s="588">
        <v>0</v>
      </c>
      <c r="J1812" s="588">
        <v>450</v>
      </c>
      <c r="K1812" s="588">
        <v>0</v>
      </c>
      <c r="L1812" s="588">
        <v>0</v>
      </c>
      <c r="M1812" s="588">
        <v>0</v>
      </c>
      <c r="N1812" s="588">
        <v>497</v>
      </c>
      <c r="O1812" s="588">
        <v>1</v>
      </c>
      <c r="P1812" s="588">
        <v>1133</v>
      </c>
      <c r="Q1812" s="588">
        <v>237</v>
      </c>
      <c r="R1812" s="588">
        <v>2727</v>
      </c>
      <c r="S1812" s="588">
        <v>238</v>
      </c>
      <c r="T1812" s="588">
        <v>2018</v>
      </c>
      <c r="U1812" s="588">
        <v>2014</v>
      </c>
      <c r="V1812" s="589"/>
      <c r="W1812" s="589"/>
      <c r="X1812" s="589"/>
      <c r="Y1812" s="589"/>
      <c r="Z1812" s="589"/>
      <c r="AA1812" s="589"/>
      <c r="AB1812" s="589"/>
      <c r="AC1812" s="589"/>
      <c r="AD1812" s="589"/>
      <c r="AE1812" s="589"/>
      <c r="AF1812" s="589"/>
      <c r="AG1812" s="589"/>
      <c r="AH1812" s="589"/>
      <c r="AI1812" s="589"/>
      <c r="AJ1812" s="589"/>
      <c r="AK1812" s="589"/>
      <c r="AL1812" s="589"/>
      <c r="AM1812" s="589"/>
      <c r="AN1812" s="589"/>
      <c r="AO1812" s="589"/>
      <c r="AP1812" s="589"/>
      <c r="AQ1812" s="589"/>
      <c r="AR1812" s="589"/>
      <c r="AS1812" s="589"/>
    </row>
    <row r="1813" spans="1:45" ht="15">
      <c r="A1813" s="590" t="s">
        <v>151</v>
      </c>
      <c r="B1813" s="590" t="s">
        <v>343</v>
      </c>
      <c r="C1813" s="590" t="s">
        <v>785</v>
      </c>
      <c r="D1813" s="593">
        <v>2018</v>
      </c>
      <c r="E1813" s="590" t="s">
        <v>775</v>
      </c>
      <c r="F1813" s="593">
        <v>34</v>
      </c>
      <c r="G1813" s="593">
        <v>0</v>
      </c>
      <c r="H1813" s="593">
        <v>0</v>
      </c>
      <c r="I1813" s="593">
        <v>0</v>
      </c>
      <c r="J1813" s="593">
        <v>22</v>
      </c>
      <c r="K1813" s="593">
        <v>24</v>
      </c>
      <c r="L1813" s="593">
        <v>24</v>
      </c>
      <c r="M1813" s="593">
        <v>0</v>
      </c>
      <c r="N1813" s="593">
        <v>27</v>
      </c>
      <c r="O1813" s="593">
        <v>0</v>
      </c>
      <c r="P1813" s="593">
        <v>64</v>
      </c>
      <c r="Q1813" s="593">
        <v>1</v>
      </c>
      <c r="R1813" s="593">
        <v>147</v>
      </c>
      <c r="S1813" s="593">
        <v>25</v>
      </c>
      <c r="T1813" s="593">
        <v>2018</v>
      </c>
      <c r="U1813" s="593">
        <v>2014</v>
      </c>
      <c r="V1813" s="589"/>
      <c r="W1813" s="589"/>
      <c r="X1813" s="589"/>
      <c r="Y1813" s="589"/>
      <c r="Z1813" s="589"/>
      <c r="AA1813" s="589"/>
      <c r="AB1813" s="589"/>
      <c r="AC1813" s="589"/>
      <c r="AD1813" s="589"/>
      <c r="AE1813" s="589"/>
      <c r="AF1813" s="589"/>
      <c r="AG1813" s="589"/>
      <c r="AH1813" s="589"/>
      <c r="AI1813" s="589"/>
      <c r="AJ1813" s="589"/>
      <c r="AK1813" s="589"/>
      <c r="AL1813" s="589"/>
      <c r="AM1813" s="589"/>
      <c r="AN1813" s="589"/>
      <c r="AO1813" s="589"/>
      <c r="AP1813" s="589"/>
      <c r="AQ1813" s="589"/>
      <c r="AR1813" s="589"/>
      <c r="AS1813" s="589"/>
    </row>
    <row r="1814" spans="1:45" ht="15">
      <c r="A1814" s="587" t="s">
        <v>153</v>
      </c>
      <c r="B1814" s="587" t="s">
        <v>389</v>
      </c>
      <c r="C1814" s="587" t="s">
        <v>813</v>
      </c>
      <c r="D1814" s="588">
        <v>2018</v>
      </c>
      <c r="E1814" s="587" t="s">
        <v>775</v>
      </c>
      <c r="F1814" s="588">
        <v>107</v>
      </c>
      <c r="G1814" s="588">
        <v>9</v>
      </c>
      <c r="H1814" s="588">
        <v>0</v>
      </c>
      <c r="I1814" s="588">
        <v>9</v>
      </c>
      <c r="J1814" s="588">
        <v>63</v>
      </c>
      <c r="K1814" s="588">
        <v>0</v>
      </c>
      <c r="L1814" s="588">
        <v>0</v>
      </c>
      <c r="M1814" s="588">
        <v>0</v>
      </c>
      <c r="N1814" s="588">
        <v>67</v>
      </c>
      <c r="O1814" s="588">
        <v>1</v>
      </c>
      <c r="P1814" s="588">
        <v>166</v>
      </c>
      <c r="Q1814" s="588">
        <v>0</v>
      </c>
      <c r="R1814" s="588">
        <v>403</v>
      </c>
      <c r="S1814" s="588">
        <v>10</v>
      </c>
      <c r="T1814" s="588">
        <v>2018</v>
      </c>
      <c r="U1814" s="588">
        <v>2014</v>
      </c>
      <c r="V1814" s="589"/>
      <c r="W1814" s="589"/>
      <c r="X1814" s="589"/>
      <c r="Y1814" s="589"/>
      <c r="Z1814" s="589"/>
      <c r="AA1814" s="589"/>
      <c r="AB1814" s="589"/>
      <c r="AC1814" s="589"/>
      <c r="AD1814" s="589"/>
      <c r="AE1814" s="589"/>
      <c r="AF1814" s="589"/>
      <c r="AG1814" s="589"/>
      <c r="AH1814" s="589"/>
      <c r="AI1814" s="589"/>
      <c r="AJ1814" s="589"/>
      <c r="AK1814" s="589"/>
      <c r="AL1814" s="589"/>
      <c r="AM1814" s="589"/>
      <c r="AN1814" s="589"/>
      <c r="AO1814" s="589"/>
      <c r="AP1814" s="589"/>
      <c r="AQ1814" s="589"/>
      <c r="AR1814" s="589"/>
      <c r="AS1814" s="589"/>
    </row>
    <row r="1815" spans="1:45" ht="15">
      <c r="A1815" s="590" t="s">
        <v>153</v>
      </c>
      <c r="B1815" s="590" t="s">
        <v>390</v>
      </c>
      <c r="C1815" s="590" t="s">
        <v>813</v>
      </c>
      <c r="D1815" s="593">
        <v>2018</v>
      </c>
      <c r="E1815" s="590" t="s">
        <v>775</v>
      </c>
      <c r="F1815" s="593">
        <v>627</v>
      </c>
      <c r="G1815" s="593">
        <v>135</v>
      </c>
      <c r="H1815" s="593">
        <v>135</v>
      </c>
      <c r="I1815" s="593">
        <v>0</v>
      </c>
      <c r="J1815" s="593">
        <v>384</v>
      </c>
      <c r="K1815" s="593">
        <v>40</v>
      </c>
      <c r="L1815" s="593">
        <v>40</v>
      </c>
      <c r="M1815" s="593">
        <v>0</v>
      </c>
      <c r="N1815" s="593">
        <v>413</v>
      </c>
      <c r="O1815" s="593">
        <v>0</v>
      </c>
      <c r="P1815" s="593">
        <v>1086</v>
      </c>
      <c r="Q1815" s="593">
        <v>33</v>
      </c>
      <c r="R1815" s="593">
        <v>2510</v>
      </c>
      <c r="S1815" s="593">
        <v>208</v>
      </c>
      <c r="T1815" s="593">
        <v>2018</v>
      </c>
      <c r="U1815" s="593">
        <v>2014</v>
      </c>
      <c r="V1815" s="589"/>
      <c r="W1815" s="589"/>
      <c r="X1815" s="589"/>
      <c r="Y1815" s="589"/>
      <c r="Z1815" s="589"/>
      <c r="AA1815" s="589"/>
      <c r="AB1815" s="589"/>
      <c r="AC1815" s="589"/>
      <c r="AD1815" s="589"/>
      <c r="AE1815" s="589"/>
      <c r="AF1815" s="589"/>
      <c r="AG1815" s="589"/>
      <c r="AH1815" s="589"/>
      <c r="AI1815" s="589"/>
      <c r="AJ1815" s="589"/>
      <c r="AK1815" s="589"/>
      <c r="AL1815" s="589"/>
      <c r="AM1815" s="589"/>
      <c r="AN1815" s="589"/>
      <c r="AO1815" s="589"/>
      <c r="AP1815" s="589"/>
      <c r="AQ1815" s="589"/>
      <c r="AR1815" s="589"/>
      <c r="AS1815" s="589"/>
    </row>
    <row r="1816" spans="1:45" ht="15">
      <c r="A1816" s="587" t="s">
        <v>157</v>
      </c>
      <c r="B1816" s="587" t="s">
        <v>439</v>
      </c>
      <c r="C1816" s="587" t="s">
        <v>782</v>
      </c>
      <c r="D1816" s="588">
        <v>2018</v>
      </c>
      <c r="E1816" s="587" t="s">
        <v>775</v>
      </c>
      <c r="F1816" s="588">
        <v>40</v>
      </c>
      <c r="G1816" s="588">
        <v>1</v>
      </c>
      <c r="H1816" s="588">
        <v>0</v>
      </c>
      <c r="I1816" s="588">
        <v>1</v>
      </c>
      <c r="J1816" s="588">
        <v>20</v>
      </c>
      <c r="K1816" s="588">
        <v>0</v>
      </c>
      <c r="L1816" s="588">
        <v>0</v>
      </c>
      <c r="M1816" s="588">
        <v>0</v>
      </c>
      <c r="N1816" s="588">
        <v>21</v>
      </c>
      <c r="O1816" s="588">
        <v>0</v>
      </c>
      <c r="P1816" s="588">
        <v>51</v>
      </c>
      <c r="Q1816" s="588">
        <v>3</v>
      </c>
      <c r="R1816" s="588">
        <v>132</v>
      </c>
      <c r="S1816" s="588">
        <v>4</v>
      </c>
      <c r="T1816" s="588">
        <v>2018</v>
      </c>
      <c r="U1816" s="588">
        <v>2015</v>
      </c>
      <c r="V1816" s="589"/>
      <c r="W1816" s="589"/>
      <c r="X1816" s="589"/>
      <c r="Y1816" s="589"/>
      <c r="Z1816" s="589"/>
      <c r="AA1816" s="589"/>
      <c r="AB1816" s="589"/>
      <c r="AC1816" s="589"/>
      <c r="AD1816" s="589"/>
      <c r="AE1816" s="589"/>
      <c r="AF1816" s="589"/>
      <c r="AG1816" s="589"/>
      <c r="AH1816" s="589"/>
      <c r="AI1816" s="589"/>
      <c r="AJ1816" s="589"/>
      <c r="AK1816" s="589"/>
      <c r="AL1816" s="589"/>
      <c r="AM1816" s="589"/>
      <c r="AN1816" s="589"/>
      <c r="AO1816" s="589"/>
      <c r="AP1816" s="589"/>
      <c r="AQ1816" s="589"/>
      <c r="AR1816" s="589"/>
      <c r="AS1816" s="589"/>
    </row>
    <row r="1817" spans="1:45" ht="15">
      <c r="A1817" s="590" t="s">
        <v>182</v>
      </c>
      <c r="B1817" s="590" t="s">
        <v>609</v>
      </c>
      <c r="C1817" s="590" t="s">
        <v>811</v>
      </c>
      <c r="D1817" s="593">
        <v>2018</v>
      </c>
      <c r="E1817" s="590" t="s">
        <v>775</v>
      </c>
      <c r="F1817" s="593">
        <v>1019</v>
      </c>
      <c r="G1817" s="593">
        <v>0</v>
      </c>
      <c r="H1817" s="593">
        <v>0</v>
      </c>
      <c r="I1817" s="593">
        <v>0</v>
      </c>
      <c r="J1817" s="593">
        <v>759</v>
      </c>
      <c r="K1817" s="593">
        <v>0</v>
      </c>
      <c r="L1817" s="593">
        <v>0</v>
      </c>
      <c r="M1817" s="593">
        <v>0</v>
      </c>
      <c r="N1817" s="593">
        <v>957</v>
      </c>
      <c r="O1817" s="593">
        <v>0</v>
      </c>
      <c r="P1817" s="593">
        <v>2421</v>
      </c>
      <c r="Q1817" s="593">
        <v>383</v>
      </c>
      <c r="R1817" s="593">
        <v>5156</v>
      </c>
      <c r="S1817" s="593">
        <v>383</v>
      </c>
      <c r="T1817" s="593">
        <v>2018</v>
      </c>
      <c r="U1817" s="593">
        <v>2016</v>
      </c>
      <c r="V1817" s="589"/>
      <c r="W1817" s="589"/>
      <c r="X1817" s="589"/>
      <c r="Y1817" s="589"/>
      <c r="Z1817" s="589"/>
      <c r="AA1817" s="589"/>
      <c r="AB1817" s="589"/>
      <c r="AC1817" s="589"/>
      <c r="AD1817" s="589"/>
      <c r="AE1817" s="589"/>
      <c r="AF1817" s="589"/>
      <c r="AG1817" s="589"/>
      <c r="AH1817" s="589"/>
      <c r="AI1817" s="589"/>
      <c r="AJ1817" s="589"/>
      <c r="AK1817" s="589"/>
      <c r="AL1817" s="589"/>
      <c r="AM1817" s="589"/>
      <c r="AN1817" s="589"/>
      <c r="AO1817" s="589"/>
      <c r="AP1817" s="589"/>
      <c r="AQ1817" s="589"/>
      <c r="AR1817" s="589"/>
      <c r="AS1817" s="589"/>
    </row>
    <row r="1818" spans="1:45" ht="15">
      <c r="A1818" s="587" t="s">
        <v>153</v>
      </c>
      <c r="B1818" s="587" t="s">
        <v>391</v>
      </c>
      <c r="C1818" s="587" t="s">
        <v>813</v>
      </c>
      <c r="D1818" s="588">
        <v>2018</v>
      </c>
      <c r="E1818" s="587" t="s">
        <v>775</v>
      </c>
      <c r="F1818" s="588">
        <v>96</v>
      </c>
      <c r="G1818" s="588">
        <v>0</v>
      </c>
      <c r="H1818" s="588">
        <v>0</v>
      </c>
      <c r="I1818" s="588">
        <v>0</v>
      </c>
      <c r="J1818" s="588">
        <v>57</v>
      </c>
      <c r="K1818" s="588">
        <v>0</v>
      </c>
      <c r="L1818" s="588">
        <v>0</v>
      </c>
      <c r="M1818" s="588">
        <v>0</v>
      </c>
      <c r="N1818" s="588">
        <v>62</v>
      </c>
      <c r="O1818" s="588">
        <v>0</v>
      </c>
      <c r="P1818" s="588">
        <v>166</v>
      </c>
      <c r="Q1818" s="588">
        <v>20</v>
      </c>
      <c r="R1818" s="588">
        <v>381</v>
      </c>
      <c r="S1818" s="588">
        <v>20</v>
      </c>
      <c r="T1818" s="588">
        <v>2018</v>
      </c>
      <c r="U1818" s="588">
        <v>2014</v>
      </c>
      <c r="V1818" s="589"/>
      <c r="W1818" s="589"/>
      <c r="X1818" s="589"/>
      <c r="Y1818" s="589"/>
      <c r="Z1818" s="589"/>
      <c r="AA1818" s="589"/>
      <c r="AB1818" s="589"/>
      <c r="AC1818" s="589"/>
      <c r="AD1818" s="589"/>
      <c r="AE1818" s="589"/>
      <c r="AF1818" s="589"/>
      <c r="AG1818" s="589"/>
      <c r="AH1818" s="589"/>
      <c r="AI1818" s="589"/>
      <c r="AJ1818" s="589"/>
      <c r="AK1818" s="589"/>
      <c r="AL1818" s="589"/>
      <c r="AM1818" s="589"/>
      <c r="AN1818" s="589"/>
      <c r="AO1818" s="589"/>
      <c r="AP1818" s="589"/>
      <c r="AQ1818" s="589"/>
      <c r="AR1818" s="589"/>
      <c r="AS1818" s="589"/>
    </row>
    <row r="1819" spans="1:45" ht="15">
      <c r="A1819" s="590" t="s">
        <v>179</v>
      </c>
      <c r="B1819" s="590" t="s">
        <v>599</v>
      </c>
      <c r="C1819" s="590" t="s">
        <v>856</v>
      </c>
      <c r="D1819" s="593">
        <v>2018</v>
      </c>
      <c r="E1819" s="590" t="s">
        <v>775</v>
      </c>
      <c r="F1819" s="593">
        <v>77</v>
      </c>
      <c r="G1819" s="593">
        <v>0</v>
      </c>
      <c r="H1819" s="593">
        <v>0</v>
      </c>
      <c r="I1819" s="593">
        <v>0</v>
      </c>
      <c r="J1819" s="593">
        <v>59</v>
      </c>
      <c r="K1819" s="593">
        <v>1</v>
      </c>
      <c r="L1819" s="593">
        <v>0</v>
      </c>
      <c r="M1819" s="593">
        <v>1</v>
      </c>
      <c r="N1819" s="593">
        <v>54</v>
      </c>
      <c r="O1819" s="593">
        <v>24</v>
      </c>
      <c r="P1819" s="593">
        <v>119</v>
      </c>
      <c r="Q1819" s="593">
        <v>3</v>
      </c>
      <c r="R1819" s="593">
        <v>309</v>
      </c>
      <c r="S1819" s="593">
        <v>28</v>
      </c>
      <c r="T1819" s="593">
        <v>2018</v>
      </c>
      <c r="U1819" s="593">
        <v>2013</v>
      </c>
      <c r="V1819" s="589"/>
      <c r="W1819" s="589"/>
      <c r="X1819" s="589"/>
      <c r="Y1819" s="589"/>
      <c r="Z1819" s="589"/>
      <c r="AA1819" s="589"/>
      <c r="AB1819" s="589"/>
      <c r="AC1819" s="589"/>
      <c r="AD1819" s="589"/>
      <c r="AE1819" s="589"/>
      <c r="AF1819" s="589"/>
      <c r="AG1819" s="589"/>
      <c r="AH1819" s="589"/>
      <c r="AI1819" s="589"/>
      <c r="AJ1819" s="589"/>
      <c r="AK1819" s="589"/>
      <c r="AL1819" s="589"/>
      <c r="AM1819" s="589"/>
      <c r="AN1819" s="589"/>
      <c r="AO1819" s="589"/>
      <c r="AP1819" s="589"/>
      <c r="AQ1819" s="589"/>
      <c r="AR1819" s="589"/>
      <c r="AS1819" s="589"/>
    </row>
    <row r="1820" spans="1:45" ht="15">
      <c r="A1820" s="587" t="s">
        <v>149</v>
      </c>
      <c r="B1820" s="587" t="s">
        <v>340</v>
      </c>
      <c r="C1820" s="587" t="s">
        <v>820</v>
      </c>
      <c r="D1820" s="588">
        <v>2018</v>
      </c>
      <c r="E1820" s="587" t="s">
        <v>775</v>
      </c>
      <c r="F1820" s="588">
        <v>677</v>
      </c>
      <c r="G1820" s="588">
        <v>0</v>
      </c>
      <c r="H1820" s="588">
        <v>0</v>
      </c>
      <c r="I1820" s="588">
        <v>0</v>
      </c>
      <c r="J1820" s="588">
        <v>507</v>
      </c>
      <c r="K1820" s="588">
        <v>0</v>
      </c>
      <c r="L1820" s="588">
        <v>0</v>
      </c>
      <c r="M1820" s="588">
        <v>0</v>
      </c>
      <c r="N1820" s="588">
        <v>534</v>
      </c>
      <c r="O1820" s="588">
        <v>8</v>
      </c>
      <c r="P1820" s="588">
        <v>1267</v>
      </c>
      <c r="Q1820" s="588">
        <v>0</v>
      </c>
      <c r="R1820" s="588">
        <v>2985</v>
      </c>
      <c r="S1820" s="588">
        <v>8</v>
      </c>
      <c r="T1820" s="588">
        <v>2018</v>
      </c>
      <c r="U1820" s="588">
        <v>2016</v>
      </c>
      <c r="V1820" s="589"/>
      <c r="W1820" s="589"/>
      <c r="X1820" s="589"/>
      <c r="Y1820" s="589"/>
      <c r="Z1820" s="589"/>
      <c r="AA1820" s="589"/>
      <c r="AB1820" s="589"/>
      <c r="AC1820" s="589"/>
      <c r="AD1820" s="589"/>
      <c r="AE1820" s="589"/>
      <c r="AF1820" s="589"/>
      <c r="AG1820" s="589"/>
      <c r="AH1820" s="589"/>
      <c r="AI1820" s="589"/>
      <c r="AJ1820" s="589"/>
      <c r="AK1820" s="589"/>
      <c r="AL1820" s="589"/>
      <c r="AM1820" s="589"/>
      <c r="AN1820" s="589"/>
      <c r="AO1820" s="589"/>
      <c r="AP1820" s="589"/>
      <c r="AQ1820" s="589"/>
      <c r="AR1820" s="589"/>
      <c r="AS1820" s="589"/>
    </row>
    <row r="1821" spans="1:45" ht="15">
      <c r="A1821" s="590" t="s">
        <v>170</v>
      </c>
      <c r="B1821" s="591" t="s">
        <v>521</v>
      </c>
      <c r="C1821" s="591" t="s">
        <v>801</v>
      </c>
      <c r="D1821" s="592">
        <v>2018</v>
      </c>
      <c r="E1821" s="591" t="s">
        <v>775</v>
      </c>
      <c r="F1821" s="592">
        <v>953</v>
      </c>
      <c r="G1821" s="592">
        <v>0</v>
      </c>
      <c r="H1821" s="592">
        <v>0</v>
      </c>
      <c r="I1821" s="592">
        <v>0</v>
      </c>
      <c r="J1821" s="592">
        <v>668</v>
      </c>
      <c r="K1821" s="592">
        <v>0</v>
      </c>
      <c r="L1821" s="592">
        <v>0</v>
      </c>
      <c r="M1821" s="592">
        <v>0</v>
      </c>
      <c r="N1821" s="593">
        <v>705</v>
      </c>
      <c r="O1821" s="593">
        <v>29</v>
      </c>
      <c r="P1821" s="593">
        <v>1464</v>
      </c>
      <c r="Q1821" s="593">
        <v>16</v>
      </c>
      <c r="R1821" s="593">
        <v>3790</v>
      </c>
      <c r="S1821" s="593">
        <v>45</v>
      </c>
      <c r="T1821" s="593">
        <v>2018</v>
      </c>
      <c r="U1821" s="593">
        <v>2014</v>
      </c>
      <c r="V1821" s="589"/>
      <c r="W1821" s="589"/>
      <c r="X1821" s="589"/>
      <c r="Y1821" s="589"/>
      <c r="Z1821" s="589"/>
      <c r="AA1821" s="589"/>
      <c r="AB1821" s="589"/>
      <c r="AC1821" s="589"/>
      <c r="AD1821" s="589"/>
      <c r="AE1821" s="589"/>
      <c r="AF1821" s="589"/>
      <c r="AG1821" s="589"/>
      <c r="AH1821" s="589"/>
      <c r="AI1821" s="589"/>
      <c r="AJ1821" s="589"/>
      <c r="AK1821" s="589"/>
      <c r="AL1821" s="589"/>
      <c r="AM1821" s="589"/>
      <c r="AN1821" s="589"/>
      <c r="AO1821" s="589"/>
      <c r="AP1821" s="589"/>
      <c r="AQ1821" s="589"/>
      <c r="AR1821" s="589"/>
      <c r="AS1821" s="589"/>
    </row>
    <row r="1822" spans="1:45" ht="15">
      <c r="A1822" s="587" t="s">
        <v>199</v>
      </c>
      <c r="B1822" s="587" t="s">
        <v>723</v>
      </c>
      <c r="C1822" s="587" t="s">
        <v>811</v>
      </c>
      <c r="D1822" s="588">
        <v>2018</v>
      </c>
      <c r="E1822" s="587" t="s">
        <v>775</v>
      </c>
      <c r="F1822" s="588">
        <v>80</v>
      </c>
      <c r="G1822" s="588">
        <v>0</v>
      </c>
      <c r="H1822" s="588">
        <v>0</v>
      </c>
      <c r="I1822" s="588">
        <v>0</v>
      </c>
      <c r="J1822" s="588">
        <v>80</v>
      </c>
      <c r="K1822" s="588">
        <v>1</v>
      </c>
      <c r="L1822" s="588">
        <v>0</v>
      </c>
      <c r="M1822" s="588">
        <v>1</v>
      </c>
      <c r="N1822" s="588">
        <v>82</v>
      </c>
      <c r="O1822" s="588">
        <v>20</v>
      </c>
      <c r="P1822" s="588">
        <v>348</v>
      </c>
      <c r="Q1822" s="588">
        <v>0</v>
      </c>
      <c r="R1822" s="588">
        <v>590</v>
      </c>
      <c r="S1822" s="588">
        <v>21</v>
      </c>
      <c r="T1822" s="588">
        <v>2018</v>
      </c>
      <c r="U1822" s="588">
        <v>2016</v>
      </c>
      <c r="V1822" s="589"/>
      <c r="W1822" s="589"/>
      <c r="X1822" s="589"/>
      <c r="Y1822" s="589"/>
      <c r="Z1822" s="589"/>
      <c r="AA1822" s="589"/>
      <c r="AB1822" s="589"/>
      <c r="AC1822" s="589"/>
      <c r="AD1822" s="589"/>
      <c r="AE1822" s="589"/>
      <c r="AF1822" s="589"/>
      <c r="AG1822" s="589"/>
      <c r="AH1822" s="589"/>
      <c r="AI1822" s="589"/>
      <c r="AJ1822" s="589"/>
      <c r="AK1822" s="589"/>
      <c r="AL1822" s="589"/>
      <c r="AM1822" s="589"/>
      <c r="AN1822" s="589"/>
      <c r="AO1822" s="589"/>
      <c r="AP1822" s="589"/>
      <c r="AQ1822" s="589"/>
      <c r="AR1822" s="589"/>
      <c r="AS1822" s="589"/>
    </row>
    <row r="1823" spans="1:45" ht="15">
      <c r="A1823" s="590" t="s">
        <v>196</v>
      </c>
      <c r="B1823" s="591" t="s">
        <v>713</v>
      </c>
      <c r="C1823" s="591" t="s">
        <v>801</v>
      </c>
      <c r="D1823" s="592">
        <v>2018</v>
      </c>
      <c r="E1823" s="591" t="s">
        <v>775</v>
      </c>
      <c r="F1823" s="592">
        <v>104</v>
      </c>
      <c r="G1823" s="592">
        <v>0</v>
      </c>
      <c r="H1823" s="592">
        <v>0</v>
      </c>
      <c r="I1823" s="592">
        <v>0</v>
      </c>
      <c r="J1823" s="592">
        <v>72</v>
      </c>
      <c r="K1823" s="592">
        <v>0</v>
      </c>
      <c r="L1823" s="592">
        <v>0</v>
      </c>
      <c r="M1823" s="592">
        <v>0</v>
      </c>
      <c r="N1823" s="593">
        <v>83</v>
      </c>
      <c r="O1823" s="593">
        <v>0</v>
      </c>
      <c r="P1823" s="593">
        <v>190</v>
      </c>
      <c r="Q1823" s="593">
        <v>52</v>
      </c>
      <c r="R1823" s="593">
        <v>449</v>
      </c>
      <c r="S1823" s="593">
        <v>52</v>
      </c>
      <c r="T1823" s="593">
        <v>2018</v>
      </c>
      <c r="U1823" s="593">
        <v>2014</v>
      </c>
      <c r="V1823" s="589"/>
      <c r="W1823" s="589"/>
      <c r="X1823" s="589"/>
      <c r="Y1823" s="589"/>
      <c r="Z1823" s="589"/>
      <c r="AA1823" s="589"/>
      <c r="AB1823" s="589"/>
      <c r="AC1823" s="589"/>
      <c r="AD1823" s="589"/>
      <c r="AE1823" s="589"/>
      <c r="AF1823" s="589"/>
      <c r="AG1823" s="589"/>
      <c r="AH1823" s="589"/>
      <c r="AI1823" s="589"/>
      <c r="AJ1823" s="589"/>
      <c r="AK1823" s="589"/>
      <c r="AL1823" s="589"/>
      <c r="AM1823" s="589"/>
      <c r="AN1823" s="589"/>
      <c r="AO1823" s="589"/>
      <c r="AP1823" s="589"/>
      <c r="AQ1823" s="589"/>
      <c r="AR1823" s="589"/>
      <c r="AS1823" s="589"/>
    </row>
    <row r="1824" spans="1:45" ht="15">
      <c r="A1824" s="587" t="s">
        <v>125</v>
      </c>
      <c r="B1824" s="587" t="s">
        <v>240</v>
      </c>
      <c r="C1824" s="587" t="s">
        <v>782</v>
      </c>
      <c r="D1824" s="588">
        <v>2018</v>
      </c>
      <c r="E1824" s="587" t="s">
        <v>775</v>
      </c>
      <c r="F1824" s="588">
        <v>839</v>
      </c>
      <c r="G1824" s="588">
        <v>34</v>
      </c>
      <c r="H1824" s="588">
        <v>34</v>
      </c>
      <c r="I1824" s="588">
        <v>0</v>
      </c>
      <c r="J1824" s="588">
        <v>474</v>
      </c>
      <c r="K1824" s="588">
        <v>10</v>
      </c>
      <c r="L1824" s="588">
        <v>10</v>
      </c>
      <c r="M1824" s="588">
        <v>0</v>
      </c>
      <c r="N1824" s="588">
        <v>496</v>
      </c>
      <c r="O1824" s="588">
        <v>26</v>
      </c>
      <c r="P1824" s="588">
        <v>920</v>
      </c>
      <c r="Q1824" s="588">
        <v>235</v>
      </c>
      <c r="R1824" s="588">
        <v>2729</v>
      </c>
      <c r="S1824" s="588">
        <v>305</v>
      </c>
      <c r="T1824" s="588">
        <v>2018</v>
      </c>
      <c r="U1824" s="588">
        <v>2015</v>
      </c>
      <c r="V1824" s="589"/>
      <c r="W1824" s="589"/>
      <c r="X1824" s="589"/>
      <c r="Y1824" s="589"/>
      <c r="Z1824" s="589"/>
      <c r="AA1824" s="589"/>
      <c r="AB1824" s="589"/>
      <c r="AC1824" s="589"/>
      <c r="AD1824" s="589"/>
      <c r="AE1824" s="589"/>
      <c r="AF1824" s="589"/>
      <c r="AG1824" s="589"/>
      <c r="AH1824" s="589"/>
      <c r="AI1824" s="589"/>
      <c r="AJ1824" s="589"/>
      <c r="AK1824" s="589"/>
      <c r="AL1824" s="589"/>
      <c r="AM1824" s="589"/>
      <c r="AN1824" s="589"/>
      <c r="AO1824" s="589"/>
      <c r="AP1824" s="589"/>
      <c r="AQ1824" s="589"/>
      <c r="AR1824" s="589"/>
      <c r="AS1824" s="589"/>
    </row>
    <row r="1825" spans="1:45" ht="15">
      <c r="A1825" s="590" t="s">
        <v>160</v>
      </c>
      <c r="B1825" s="591" t="s">
        <v>457</v>
      </c>
      <c r="C1825" s="591" t="s">
        <v>829</v>
      </c>
      <c r="D1825" s="592">
        <v>2018</v>
      </c>
      <c r="E1825" s="591" t="s">
        <v>775</v>
      </c>
      <c r="F1825" s="592">
        <v>249</v>
      </c>
      <c r="G1825" s="592">
        <v>0</v>
      </c>
      <c r="H1825" s="592">
        <v>0</v>
      </c>
      <c r="I1825" s="592">
        <v>0</v>
      </c>
      <c r="J1825" s="592">
        <v>178</v>
      </c>
      <c r="K1825" s="592">
        <v>0</v>
      </c>
      <c r="L1825" s="592">
        <v>0</v>
      </c>
      <c r="M1825" s="592">
        <v>0</v>
      </c>
      <c r="N1825" s="593">
        <v>163</v>
      </c>
      <c r="O1825" s="593">
        <v>0</v>
      </c>
      <c r="P1825" s="593">
        <v>435</v>
      </c>
      <c r="Q1825" s="593">
        <v>24</v>
      </c>
      <c r="R1825" s="593">
        <v>1025</v>
      </c>
      <c r="S1825" s="593">
        <v>24</v>
      </c>
      <c r="T1825" s="593">
        <v>2018</v>
      </c>
      <c r="U1825" s="593">
        <v>2016</v>
      </c>
      <c r="V1825" s="589"/>
      <c r="W1825" s="589"/>
      <c r="X1825" s="589"/>
      <c r="Y1825" s="589"/>
      <c r="Z1825" s="589"/>
      <c r="AA1825" s="589"/>
      <c r="AB1825" s="589"/>
      <c r="AC1825" s="589"/>
      <c r="AD1825" s="589"/>
      <c r="AE1825" s="589"/>
      <c r="AF1825" s="589"/>
      <c r="AG1825" s="589"/>
      <c r="AH1825" s="589"/>
      <c r="AI1825" s="589"/>
      <c r="AJ1825" s="589"/>
      <c r="AK1825" s="589"/>
      <c r="AL1825" s="589"/>
      <c r="AM1825" s="589"/>
      <c r="AN1825" s="589"/>
      <c r="AO1825" s="589"/>
      <c r="AP1825" s="589"/>
      <c r="AQ1825" s="589"/>
      <c r="AR1825" s="589"/>
      <c r="AS1825" s="589"/>
    </row>
    <row r="1826" spans="1:45" ht="15">
      <c r="A1826" s="587" t="s">
        <v>182</v>
      </c>
      <c r="B1826" s="587" t="s">
        <v>610</v>
      </c>
      <c r="C1826" s="587" t="s">
        <v>811</v>
      </c>
      <c r="D1826" s="588">
        <v>2018</v>
      </c>
      <c r="E1826" s="587" t="s">
        <v>775</v>
      </c>
      <c r="F1826" s="588">
        <v>497</v>
      </c>
      <c r="G1826" s="588">
        <v>0</v>
      </c>
      <c r="H1826" s="588">
        <v>0</v>
      </c>
      <c r="I1826" s="588">
        <v>0</v>
      </c>
      <c r="J1826" s="588">
        <v>331</v>
      </c>
      <c r="K1826" s="588">
        <v>0</v>
      </c>
      <c r="L1826" s="588">
        <v>0</v>
      </c>
      <c r="M1826" s="588">
        <v>0</v>
      </c>
      <c r="N1826" s="588">
        <v>333</v>
      </c>
      <c r="O1826" s="588">
        <v>48</v>
      </c>
      <c r="P1826" s="588">
        <v>770</v>
      </c>
      <c r="Q1826" s="588">
        <v>170</v>
      </c>
      <c r="R1826" s="588">
        <v>1931</v>
      </c>
      <c r="S1826" s="588">
        <v>218</v>
      </c>
      <c r="T1826" s="588">
        <v>2018</v>
      </c>
      <c r="U1826" s="588">
        <v>2016</v>
      </c>
      <c r="V1826" s="589"/>
      <c r="W1826" s="589"/>
      <c r="X1826" s="589"/>
      <c r="Y1826" s="589"/>
      <c r="Z1826" s="589"/>
      <c r="AA1826" s="589"/>
      <c r="AB1826" s="589"/>
      <c r="AC1826" s="589"/>
      <c r="AD1826" s="589"/>
      <c r="AE1826" s="589"/>
      <c r="AF1826" s="589"/>
      <c r="AG1826" s="589"/>
      <c r="AH1826" s="589"/>
      <c r="AI1826" s="589"/>
      <c r="AJ1826" s="589"/>
      <c r="AK1826" s="589"/>
      <c r="AL1826" s="589"/>
      <c r="AM1826" s="589"/>
      <c r="AN1826" s="589"/>
      <c r="AO1826" s="589"/>
      <c r="AP1826" s="589"/>
      <c r="AQ1826" s="589"/>
      <c r="AR1826" s="589"/>
      <c r="AS1826" s="589"/>
    </row>
    <row r="1827" spans="1:45" ht="15">
      <c r="A1827" s="590" t="s">
        <v>178</v>
      </c>
      <c r="B1827" s="591" t="s">
        <v>577</v>
      </c>
      <c r="C1827" s="591" t="s">
        <v>813</v>
      </c>
      <c r="D1827" s="592">
        <v>2018</v>
      </c>
      <c r="E1827" s="591" t="s">
        <v>775</v>
      </c>
      <c r="F1827" s="592">
        <v>254</v>
      </c>
      <c r="G1827" s="592">
        <v>36</v>
      </c>
      <c r="H1827" s="592">
        <v>0</v>
      </c>
      <c r="I1827" s="592">
        <v>36</v>
      </c>
      <c r="J1827" s="592">
        <v>177</v>
      </c>
      <c r="K1827" s="592">
        <v>50</v>
      </c>
      <c r="L1827" s="592">
        <v>0</v>
      </c>
      <c r="M1827" s="592">
        <v>50</v>
      </c>
      <c r="N1827" s="593">
        <v>202</v>
      </c>
      <c r="O1827" s="593">
        <v>1</v>
      </c>
      <c r="P1827" s="593">
        <v>462</v>
      </c>
      <c r="Q1827" s="593">
        <v>40</v>
      </c>
      <c r="R1827" s="593">
        <v>1095</v>
      </c>
      <c r="S1827" s="593">
        <v>127</v>
      </c>
      <c r="T1827" s="593">
        <v>2018</v>
      </c>
      <c r="U1827" s="593">
        <v>2014</v>
      </c>
      <c r="V1827" s="589"/>
      <c r="W1827" s="589"/>
      <c r="X1827" s="589"/>
      <c r="Y1827" s="589"/>
      <c r="Z1827" s="589"/>
      <c r="AA1827" s="589"/>
      <c r="AB1827" s="589"/>
      <c r="AC1827" s="589"/>
      <c r="AD1827" s="589"/>
      <c r="AE1827" s="589"/>
      <c r="AF1827" s="589"/>
      <c r="AG1827" s="589"/>
      <c r="AH1827" s="589"/>
      <c r="AI1827" s="589"/>
      <c r="AJ1827" s="589"/>
      <c r="AK1827" s="589"/>
      <c r="AL1827" s="589"/>
      <c r="AM1827" s="589"/>
      <c r="AN1827" s="589"/>
      <c r="AO1827" s="589"/>
      <c r="AP1827" s="589"/>
      <c r="AQ1827" s="589"/>
      <c r="AR1827" s="589"/>
      <c r="AS1827" s="589"/>
    </row>
    <row r="1828" spans="1:45" ht="15">
      <c r="A1828" s="587" t="s">
        <v>153</v>
      </c>
      <c r="B1828" s="587" t="s">
        <v>392</v>
      </c>
      <c r="C1828" s="587" t="s">
        <v>813</v>
      </c>
      <c r="D1828" s="588">
        <v>2018</v>
      </c>
      <c r="E1828" s="587" t="s">
        <v>775</v>
      </c>
      <c r="F1828" s="588">
        <v>12</v>
      </c>
      <c r="G1828" s="588">
        <v>0</v>
      </c>
      <c r="H1828" s="588">
        <v>0</v>
      </c>
      <c r="I1828" s="588">
        <v>0</v>
      </c>
      <c r="J1828" s="588">
        <v>7</v>
      </c>
      <c r="K1828" s="588">
        <v>3</v>
      </c>
      <c r="L1828" s="588">
        <v>0</v>
      </c>
      <c r="M1828" s="588">
        <v>3</v>
      </c>
      <c r="N1828" s="588">
        <v>8</v>
      </c>
      <c r="O1828" s="588">
        <v>0</v>
      </c>
      <c r="P1828" s="588">
        <v>20</v>
      </c>
      <c r="Q1828" s="588">
        <v>20</v>
      </c>
      <c r="R1828" s="588">
        <v>47</v>
      </c>
      <c r="S1828" s="588">
        <v>23</v>
      </c>
      <c r="T1828" s="588">
        <v>2018</v>
      </c>
      <c r="U1828" s="588">
        <v>2014</v>
      </c>
      <c r="V1828" s="589"/>
      <c r="W1828" s="589"/>
      <c r="X1828" s="589"/>
      <c r="Y1828" s="589"/>
      <c r="Z1828" s="589"/>
      <c r="AA1828" s="589"/>
      <c r="AB1828" s="589"/>
      <c r="AC1828" s="589"/>
      <c r="AD1828" s="589"/>
      <c r="AE1828" s="589"/>
      <c r="AF1828" s="589"/>
      <c r="AG1828" s="589"/>
      <c r="AH1828" s="589"/>
      <c r="AI1828" s="589"/>
      <c r="AJ1828" s="589"/>
      <c r="AK1828" s="589"/>
      <c r="AL1828" s="589"/>
      <c r="AM1828" s="589"/>
      <c r="AN1828" s="589"/>
      <c r="AO1828" s="589"/>
      <c r="AP1828" s="589"/>
      <c r="AQ1828" s="589"/>
      <c r="AR1828" s="589"/>
      <c r="AS1828" s="589"/>
    </row>
    <row r="1829" spans="1:45" ht="15">
      <c r="A1829" s="590" t="s">
        <v>185</v>
      </c>
      <c r="B1829" s="591" t="s">
        <v>647</v>
      </c>
      <c r="C1829" s="591" t="s">
        <v>872</v>
      </c>
      <c r="D1829" s="592">
        <v>2018</v>
      </c>
      <c r="E1829" s="591" t="s">
        <v>775</v>
      </c>
      <c r="F1829" s="592">
        <v>126</v>
      </c>
      <c r="G1829" s="592">
        <v>0</v>
      </c>
      <c r="H1829" s="592">
        <v>0</v>
      </c>
      <c r="I1829" s="592">
        <v>0</v>
      </c>
      <c r="J1829" s="592">
        <v>84</v>
      </c>
      <c r="K1829" s="592">
        <v>0</v>
      </c>
      <c r="L1829" s="592">
        <v>0</v>
      </c>
      <c r="M1829" s="592">
        <v>0</v>
      </c>
      <c r="N1829" s="593">
        <v>95</v>
      </c>
      <c r="O1829" s="593">
        <v>5</v>
      </c>
      <c r="P1829" s="593">
        <v>221</v>
      </c>
      <c r="Q1829" s="593">
        <v>0</v>
      </c>
      <c r="R1829" s="593">
        <v>526</v>
      </c>
      <c r="S1829" s="593">
        <v>5</v>
      </c>
      <c r="T1829" s="593">
        <v>2018</v>
      </c>
      <c r="U1829" s="593">
        <v>2015</v>
      </c>
      <c r="V1829" s="589"/>
      <c r="W1829" s="589"/>
      <c r="X1829" s="589"/>
      <c r="Y1829" s="589"/>
      <c r="Z1829" s="589"/>
      <c r="AA1829" s="589"/>
      <c r="AB1829" s="589"/>
      <c r="AC1829" s="589"/>
      <c r="AD1829" s="589"/>
      <c r="AE1829" s="589"/>
      <c r="AF1829" s="589"/>
      <c r="AG1829" s="589"/>
      <c r="AH1829" s="589"/>
      <c r="AI1829" s="589"/>
      <c r="AJ1829" s="589"/>
      <c r="AK1829" s="589"/>
      <c r="AL1829" s="589"/>
      <c r="AM1829" s="589"/>
      <c r="AN1829" s="589"/>
      <c r="AO1829" s="589"/>
      <c r="AP1829" s="589"/>
      <c r="AQ1829" s="589"/>
      <c r="AR1829" s="589"/>
      <c r="AS1829" s="589"/>
    </row>
    <row r="1830" spans="1:45" ht="15">
      <c r="A1830" s="587" t="s">
        <v>153</v>
      </c>
      <c r="B1830" s="587" t="s">
        <v>393</v>
      </c>
      <c r="C1830" s="587" t="s">
        <v>813</v>
      </c>
      <c r="D1830" s="588">
        <v>2018</v>
      </c>
      <c r="E1830" s="587" t="s">
        <v>775</v>
      </c>
      <c r="F1830" s="588">
        <v>1773</v>
      </c>
      <c r="G1830" s="588">
        <v>11</v>
      </c>
      <c r="H1830" s="588">
        <v>11</v>
      </c>
      <c r="I1830" s="588">
        <v>0</v>
      </c>
      <c r="J1830" s="588">
        <v>1066</v>
      </c>
      <c r="K1830" s="588">
        <v>36</v>
      </c>
      <c r="L1830" s="588">
        <v>36</v>
      </c>
      <c r="M1830" s="588">
        <v>0</v>
      </c>
      <c r="N1830" s="588">
        <v>1170</v>
      </c>
      <c r="O1830" s="588">
        <v>0</v>
      </c>
      <c r="P1830" s="588">
        <v>3039</v>
      </c>
      <c r="Q1830" s="588">
        <v>222</v>
      </c>
      <c r="R1830" s="588">
        <v>7048</v>
      </c>
      <c r="S1830" s="588">
        <v>269</v>
      </c>
      <c r="T1830" s="588">
        <v>2018</v>
      </c>
      <c r="U1830" s="588">
        <v>2014</v>
      </c>
      <c r="V1830" s="589"/>
      <c r="W1830" s="589"/>
      <c r="X1830" s="589"/>
      <c r="Y1830" s="589"/>
      <c r="Z1830" s="589"/>
      <c r="AA1830" s="589"/>
      <c r="AB1830" s="589"/>
      <c r="AC1830" s="589"/>
      <c r="AD1830" s="589"/>
      <c r="AE1830" s="589"/>
      <c r="AF1830" s="589"/>
      <c r="AG1830" s="589"/>
      <c r="AH1830" s="589"/>
      <c r="AI1830" s="589"/>
      <c r="AJ1830" s="589"/>
      <c r="AK1830" s="589"/>
      <c r="AL1830" s="589"/>
      <c r="AM1830" s="589"/>
      <c r="AN1830" s="589"/>
      <c r="AO1830" s="589"/>
      <c r="AP1830" s="589"/>
      <c r="AQ1830" s="589"/>
      <c r="AR1830" s="589"/>
      <c r="AS1830" s="589"/>
    </row>
    <row r="1831" spans="1:45" ht="15">
      <c r="A1831" s="590" t="s">
        <v>170</v>
      </c>
      <c r="B1831" s="591" t="s">
        <v>522</v>
      </c>
      <c r="C1831" s="591" t="s">
        <v>801</v>
      </c>
      <c r="D1831" s="592">
        <v>2018</v>
      </c>
      <c r="E1831" s="591" t="s">
        <v>775</v>
      </c>
      <c r="F1831" s="592">
        <v>39</v>
      </c>
      <c r="G1831" s="592">
        <v>0</v>
      </c>
      <c r="H1831" s="592">
        <v>0</v>
      </c>
      <c r="I1831" s="592">
        <v>0</v>
      </c>
      <c r="J1831" s="592">
        <v>27</v>
      </c>
      <c r="K1831" s="592">
        <v>0</v>
      </c>
      <c r="L1831" s="592">
        <v>0</v>
      </c>
      <c r="M1831" s="592">
        <v>0</v>
      </c>
      <c r="N1831" s="593">
        <v>29</v>
      </c>
      <c r="O1831" s="593">
        <v>0</v>
      </c>
      <c r="P1831" s="593">
        <v>59</v>
      </c>
      <c r="Q1831" s="593">
        <v>0</v>
      </c>
      <c r="R1831" s="593">
        <v>154</v>
      </c>
      <c r="S1831" s="593">
        <v>0</v>
      </c>
      <c r="T1831" s="593">
        <v>2018</v>
      </c>
      <c r="U1831" s="593">
        <v>2014</v>
      </c>
      <c r="V1831" s="589"/>
      <c r="W1831" s="589"/>
      <c r="X1831" s="589"/>
      <c r="Y1831" s="589"/>
      <c r="Z1831" s="589"/>
      <c r="AA1831" s="589"/>
      <c r="AB1831" s="589"/>
      <c r="AC1831" s="589"/>
      <c r="AD1831" s="589"/>
      <c r="AE1831" s="589"/>
      <c r="AF1831" s="589"/>
      <c r="AG1831" s="589"/>
      <c r="AH1831" s="589"/>
      <c r="AI1831" s="589"/>
      <c r="AJ1831" s="589"/>
      <c r="AK1831" s="589"/>
      <c r="AL1831" s="589"/>
      <c r="AM1831" s="589"/>
      <c r="AN1831" s="589"/>
      <c r="AO1831" s="589"/>
      <c r="AP1831" s="589"/>
      <c r="AQ1831" s="589"/>
      <c r="AR1831" s="589"/>
      <c r="AS1831" s="589"/>
    </row>
    <row r="1832" spans="1:45" ht="15">
      <c r="A1832" s="587" t="s">
        <v>169</v>
      </c>
      <c r="B1832" s="587" t="s">
        <v>504</v>
      </c>
      <c r="C1832" s="587" t="s">
        <v>813</v>
      </c>
      <c r="D1832" s="588">
        <v>2018</v>
      </c>
      <c r="E1832" s="587" t="s">
        <v>775</v>
      </c>
      <c r="F1832" s="588">
        <v>14</v>
      </c>
      <c r="G1832" s="588">
        <v>0</v>
      </c>
      <c r="H1832" s="588">
        <v>0</v>
      </c>
      <c r="I1832" s="588">
        <v>0</v>
      </c>
      <c r="J1832" s="588">
        <v>10</v>
      </c>
      <c r="K1832" s="588">
        <v>0</v>
      </c>
      <c r="L1832" s="588">
        <v>0</v>
      </c>
      <c r="M1832" s="588">
        <v>0</v>
      </c>
      <c r="N1832" s="588">
        <v>11</v>
      </c>
      <c r="O1832" s="588">
        <v>0</v>
      </c>
      <c r="P1832" s="588">
        <v>26</v>
      </c>
      <c r="Q1832" s="588">
        <v>64</v>
      </c>
      <c r="R1832" s="588">
        <v>61</v>
      </c>
      <c r="S1832" s="588">
        <v>64</v>
      </c>
      <c r="T1832" s="588">
        <v>2018</v>
      </c>
      <c r="U1832" s="588">
        <v>2014</v>
      </c>
      <c r="V1832" s="589"/>
      <c r="W1832" s="589"/>
      <c r="X1832" s="589"/>
      <c r="Y1832" s="589"/>
      <c r="Z1832" s="589"/>
      <c r="AA1832" s="589"/>
      <c r="AB1832" s="589"/>
      <c r="AC1832" s="589"/>
      <c r="AD1832" s="589"/>
      <c r="AE1832" s="589"/>
      <c r="AF1832" s="589"/>
      <c r="AG1832" s="589"/>
      <c r="AH1832" s="589"/>
      <c r="AI1832" s="589"/>
      <c r="AJ1832" s="589"/>
      <c r="AK1832" s="589"/>
      <c r="AL1832" s="589"/>
      <c r="AM1832" s="589"/>
      <c r="AN1832" s="589"/>
      <c r="AO1832" s="589"/>
      <c r="AP1832" s="589"/>
      <c r="AQ1832" s="589"/>
      <c r="AR1832" s="589"/>
      <c r="AS1832" s="589"/>
    </row>
    <row r="1833" spans="1:45" ht="15">
      <c r="A1833" s="590" t="s">
        <v>187</v>
      </c>
      <c r="B1833" s="591" t="s">
        <v>654</v>
      </c>
      <c r="C1833" s="591" t="s">
        <v>782</v>
      </c>
      <c r="D1833" s="592">
        <v>2018</v>
      </c>
      <c r="E1833" s="591" t="s">
        <v>775</v>
      </c>
      <c r="F1833" s="592">
        <v>169</v>
      </c>
      <c r="G1833" s="592">
        <v>0</v>
      </c>
      <c r="H1833" s="592">
        <v>0</v>
      </c>
      <c r="I1833" s="592">
        <v>0</v>
      </c>
      <c r="J1833" s="592">
        <v>99</v>
      </c>
      <c r="K1833" s="592">
        <v>10</v>
      </c>
      <c r="L1833" s="592">
        <v>2</v>
      </c>
      <c r="M1833" s="592">
        <v>8</v>
      </c>
      <c r="N1833" s="593">
        <v>112</v>
      </c>
      <c r="O1833" s="593">
        <v>1</v>
      </c>
      <c r="P1833" s="593">
        <v>97</v>
      </c>
      <c r="Q1833" s="593">
        <v>60</v>
      </c>
      <c r="R1833" s="593">
        <v>477</v>
      </c>
      <c r="S1833" s="593">
        <v>71</v>
      </c>
      <c r="T1833" s="593">
        <v>2018</v>
      </c>
      <c r="U1833" s="593">
        <v>2015</v>
      </c>
      <c r="V1833" s="589"/>
      <c r="W1833" s="589"/>
      <c r="X1833" s="589"/>
      <c r="Y1833" s="589"/>
      <c r="Z1833" s="589"/>
      <c r="AA1833" s="589"/>
      <c r="AB1833" s="589"/>
      <c r="AC1833" s="589"/>
      <c r="AD1833" s="589"/>
      <c r="AE1833" s="589"/>
      <c r="AF1833" s="589"/>
      <c r="AG1833" s="589"/>
      <c r="AH1833" s="589"/>
      <c r="AI1833" s="589"/>
      <c r="AJ1833" s="589"/>
      <c r="AK1833" s="589"/>
      <c r="AL1833" s="589"/>
      <c r="AM1833" s="589"/>
      <c r="AN1833" s="589"/>
      <c r="AO1833" s="589"/>
      <c r="AP1833" s="589"/>
      <c r="AQ1833" s="589"/>
      <c r="AR1833" s="589"/>
      <c r="AS1833" s="589"/>
    </row>
    <row r="1834" spans="1:45" ht="15">
      <c r="A1834" s="587" t="s">
        <v>187</v>
      </c>
      <c r="B1834" s="587" t="s">
        <v>655</v>
      </c>
      <c r="C1834" s="587" t="s">
        <v>782</v>
      </c>
      <c r="D1834" s="588">
        <v>2018</v>
      </c>
      <c r="E1834" s="587" t="s">
        <v>775</v>
      </c>
      <c r="F1834" s="588">
        <v>46</v>
      </c>
      <c r="G1834" s="588">
        <v>3</v>
      </c>
      <c r="H1834" s="588">
        <v>0</v>
      </c>
      <c r="I1834" s="588">
        <v>3</v>
      </c>
      <c r="J1834" s="588">
        <v>28</v>
      </c>
      <c r="K1834" s="588">
        <v>1</v>
      </c>
      <c r="L1834" s="588">
        <v>0</v>
      </c>
      <c r="M1834" s="588">
        <v>1</v>
      </c>
      <c r="N1834" s="588">
        <v>32</v>
      </c>
      <c r="O1834" s="588">
        <v>1</v>
      </c>
      <c r="P1834" s="588">
        <v>15</v>
      </c>
      <c r="Q1834" s="588">
        <v>23</v>
      </c>
      <c r="R1834" s="588">
        <v>121</v>
      </c>
      <c r="S1834" s="588">
        <v>28</v>
      </c>
      <c r="T1834" s="588">
        <v>2018</v>
      </c>
      <c r="U1834" s="588">
        <v>2015</v>
      </c>
      <c r="V1834" s="589"/>
      <c r="W1834" s="589"/>
      <c r="X1834" s="589"/>
      <c r="Y1834" s="589"/>
      <c r="Z1834" s="589"/>
      <c r="AA1834" s="589"/>
      <c r="AB1834" s="589"/>
      <c r="AC1834" s="589"/>
      <c r="AD1834" s="589"/>
      <c r="AE1834" s="589"/>
      <c r="AF1834" s="589"/>
      <c r="AG1834" s="589"/>
      <c r="AH1834" s="589"/>
      <c r="AI1834" s="589"/>
      <c r="AJ1834" s="589"/>
      <c r="AK1834" s="589"/>
      <c r="AL1834" s="589"/>
      <c r="AM1834" s="589"/>
      <c r="AN1834" s="589"/>
      <c r="AO1834" s="589"/>
      <c r="AP1834" s="589"/>
      <c r="AQ1834" s="589"/>
      <c r="AR1834" s="589"/>
      <c r="AS1834" s="589"/>
    </row>
    <row r="1835" spans="1:45" ht="15">
      <c r="A1835" s="590" t="s">
        <v>153</v>
      </c>
      <c r="B1835" s="591" t="s">
        <v>153</v>
      </c>
      <c r="C1835" s="591" t="s">
        <v>813</v>
      </c>
      <c r="D1835" s="592">
        <v>2018</v>
      </c>
      <c r="E1835" s="591" t="s">
        <v>775</v>
      </c>
      <c r="F1835" s="592">
        <v>20427</v>
      </c>
      <c r="G1835" s="592">
        <v>1101</v>
      </c>
      <c r="H1835" s="592">
        <v>1101</v>
      </c>
      <c r="I1835" s="592">
        <v>0</v>
      </c>
      <c r="J1835" s="592">
        <v>12435</v>
      </c>
      <c r="K1835" s="592">
        <v>326</v>
      </c>
      <c r="L1835" s="592">
        <v>326</v>
      </c>
      <c r="M1835" s="592">
        <v>0</v>
      </c>
      <c r="N1835" s="593">
        <v>13728</v>
      </c>
      <c r="O1835" s="593">
        <v>168</v>
      </c>
      <c r="P1835" s="593">
        <v>35412</v>
      </c>
      <c r="Q1835" s="593">
        <v>19236</v>
      </c>
      <c r="R1835" s="593">
        <v>82002</v>
      </c>
      <c r="S1835" s="593">
        <v>20831</v>
      </c>
      <c r="T1835" s="593">
        <v>2018</v>
      </c>
      <c r="U1835" s="593">
        <v>2014</v>
      </c>
      <c r="V1835" s="589"/>
      <c r="W1835" s="589"/>
      <c r="X1835" s="589"/>
      <c r="Y1835" s="589"/>
      <c r="Z1835" s="589"/>
      <c r="AA1835" s="589"/>
      <c r="AB1835" s="589"/>
      <c r="AC1835" s="589"/>
      <c r="AD1835" s="589"/>
      <c r="AE1835" s="589"/>
      <c r="AF1835" s="589"/>
      <c r="AG1835" s="589"/>
      <c r="AH1835" s="589"/>
      <c r="AI1835" s="589"/>
      <c r="AJ1835" s="589"/>
      <c r="AK1835" s="589"/>
      <c r="AL1835" s="589"/>
      <c r="AM1835" s="589"/>
      <c r="AN1835" s="589"/>
      <c r="AO1835" s="589"/>
      <c r="AP1835" s="589"/>
      <c r="AQ1835" s="589"/>
      <c r="AR1835" s="589"/>
      <c r="AS1835" s="589"/>
    </row>
    <row r="1836" spans="1:45" ht="15">
      <c r="A1836" s="587" t="s">
        <v>153</v>
      </c>
      <c r="B1836" s="587" t="s">
        <v>394</v>
      </c>
      <c r="C1836" s="587" t="s">
        <v>813</v>
      </c>
      <c r="D1836" s="588">
        <v>2018</v>
      </c>
      <c r="E1836" s="587" t="s">
        <v>775</v>
      </c>
      <c r="F1836" s="588">
        <v>7359</v>
      </c>
      <c r="G1836" s="588">
        <v>38</v>
      </c>
      <c r="H1836" s="588">
        <v>38</v>
      </c>
      <c r="I1836" s="588">
        <v>0</v>
      </c>
      <c r="J1836" s="588">
        <v>4251</v>
      </c>
      <c r="K1836" s="588">
        <v>14</v>
      </c>
      <c r="L1836" s="588">
        <v>14</v>
      </c>
      <c r="M1836" s="588">
        <v>0</v>
      </c>
      <c r="N1836" s="588">
        <v>4898</v>
      </c>
      <c r="O1836" s="588">
        <v>19</v>
      </c>
      <c r="P1836" s="588">
        <v>10749</v>
      </c>
      <c r="Q1836" s="588">
        <v>562</v>
      </c>
      <c r="R1836" s="588">
        <v>27257</v>
      </c>
      <c r="S1836" s="588">
        <v>633</v>
      </c>
      <c r="T1836" s="588">
        <v>2018</v>
      </c>
      <c r="U1836" s="588">
        <v>2014</v>
      </c>
      <c r="V1836" s="589"/>
      <c r="W1836" s="589"/>
      <c r="X1836" s="589"/>
      <c r="Y1836" s="589"/>
      <c r="Z1836" s="589"/>
      <c r="AA1836" s="589"/>
      <c r="AB1836" s="589"/>
      <c r="AC1836" s="589"/>
      <c r="AD1836" s="589"/>
      <c r="AE1836" s="589"/>
      <c r="AF1836" s="589"/>
      <c r="AG1836" s="589"/>
      <c r="AH1836" s="589"/>
      <c r="AI1836" s="589"/>
      <c r="AJ1836" s="589"/>
      <c r="AK1836" s="589"/>
      <c r="AL1836" s="589"/>
      <c r="AM1836" s="589"/>
      <c r="AN1836" s="589"/>
      <c r="AO1836" s="589"/>
      <c r="AP1836" s="589"/>
      <c r="AQ1836" s="589"/>
      <c r="AR1836" s="589"/>
      <c r="AS1836" s="589"/>
    </row>
    <row r="1837" spans="1:45" ht="15">
      <c r="A1837" s="590" t="s">
        <v>160</v>
      </c>
      <c r="B1837" s="591" t="s">
        <v>458</v>
      </c>
      <c r="C1837" s="591" t="s">
        <v>829</v>
      </c>
      <c r="D1837" s="592">
        <v>2018</v>
      </c>
      <c r="E1837" s="591" t="s">
        <v>775</v>
      </c>
      <c r="F1837" s="592">
        <v>604</v>
      </c>
      <c r="G1837" s="592">
        <v>0</v>
      </c>
      <c r="H1837" s="592">
        <v>0</v>
      </c>
      <c r="I1837" s="592">
        <v>0</v>
      </c>
      <c r="J1837" s="592">
        <v>431</v>
      </c>
      <c r="K1837" s="592">
        <v>1</v>
      </c>
      <c r="L1837" s="592">
        <v>0</v>
      </c>
      <c r="M1837" s="592">
        <v>1</v>
      </c>
      <c r="N1837" s="593">
        <v>396</v>
      </c>
      <c r="O1837" s="593">
        <v>4</v>
      </c>
      <c r="P1837" s="593">
        <v>1049</v>
      </c>
      <c r="Q1837" s="593">
        <v>258</v>
      </c>
      <c r="R1837" s="593">
        <v>2480</v>
      </c>
      <c r="S1837" s="593">
        <v>263</v>
      </c>
      <c r="T1837" s="593">
        <v>2018</v>
      </c>
      <c r="U1837" s="593">
        <v>2016</v>
      </c>
      <c r="V1837" s="589"/>
      <c r="W1837" s="589"/>
      <c r="X1837" s="589"/>
      <c r="Y1837" s="589"/>
      <c r="Z1837" s="589"/>
      <c r="AA1837" s="589"/>
      <c r="AB1837" s="589"/>
      <c r="AC1837" s="589"/>
      <c r="AD1837" s="589"/>
      <c r="AE1837" s="589"/>
      <c r="AF1837" s="589"/>
      <c r="AG1837" s="589"/>
      <c r="AH1837" s="589"/>
      <c r="AI1837" s="589"/>
      <c r="AJ1837" s="589"/>
      <c r="AK1837" s="589"/>
      <c r="AL1837" s="589"/>
      <c r="AM1837" s="589"/>
      <c r="AN1837" s="589"/>
      <c r="AO1837" s="589"/>
      <c r="AP1837" s="589"/>
      <c r="AQ1837" s="589"/>
      <c r="AR1837" s="589"/>
      <c r="AS1837" s="589"/>
    </row>
    <row r="1838" spans="1:45" ht="15">
      <c r="A1838" s="587" t="s">
        <v>187</v>
      </c>
      <c r="B1838" s="587" t="s">
        <v>656</v>
      </c>
      <c r="C1838" s="587" t="s">
        <v>782</v>
      </c>
      <c r="D1838" s="588">
        <v>2018</v>
      </c>
      <c r="E1838" s="587" t="s">
        <v>775</v>
      </c>
      <c r="F1838" s="588">
        <v>201</v>
      </c>
      <c r="G1838" s="588">
        <v>0</v>
      </c>
      <c r="H1838" s="588">
        <v>0</v>
      </c>
      <c r="I1838" s="588">
        <v>0</v>
      </c>
      <c r="J1838" s="588">
        <v>112</v>
      </c>
      <c r="K1838" s="588">
        <v>0</v>
      </c>
      <c r="L1838" s="588">
        <v>0</v>
      </c>
      <c r="M1838" s="588">
        <v>0</v>
      </c>
      <c r="N1838" s="588">
        <v>132</v>
      </c>
      <c r="O1838" s="588">
        <v>16</v>
      </c>
      <c r="P1838" s="588">
        <v>174</v>
      </c>
      <c r="Q1838" s="588">
        <v>7</v>
      </c>
      <c r="R1838" s="588">
        <v>619</v>
      </c>
      <c r="S1838" s="588">
        <v>23</v>
      </c>
      <c r="T1838" s="588">
        <v>2018</v>
      </c>
      <c r="U1838" s="588">
        <v>2015</v>
      </c>
      <c r="V1838" s="589"/>
      <c r="W1838" s="589"/>
      <c r="X1838" s="589"/>
      <c r="Y1838" s="589"/>
      <c r="Z1838" s="589"/>
      <c r="AA1838" s="589"/>
      <c r="AB1838" s="589"/>
      <c r="AC1838" s="589"/>
      <c r="AD1838" s="589"/>
      <c r="AE1838" s="589"/>
      <c r="AF1838" s="589"/>
      <c r="AG1838" s="589"/>
      <c r="AH1838" s="589"/>
      <c r="AI1838" s="589"/>
      <c r="AJ1838" s="589"/>
      <c r="AK1838" s="589"/>
      <c r="AL1838" s="589"/>
      <c r="AM1838" s="589"/>
      <c r="AN1838" s="589"/>
      <c r="AO1838" s="589"/>
      <c r="AP1838" s="589"/>
      <c r="AQ1838" s="589"/>
      <c r="AR1838" s="589"/>
      <c r="AS1838" s="589"/>
    </row>
    <row r="1839" spans="1:45" ht="15">
      <c r="A1839" s="590" t="s">
        <v>153</v>
      </c>
      <c r="B1839" s="591" t="s">
        <v>395</v>
      </c>
      <c r="C1839" s="591" t="s">
        <v>813</v>
      </c>
      <c r="D1839" s="592">
        <v>2018</v>
      </c>
      <c r="E1839" s="591" t="s">
        <v>775</v>
      </c>
      <c r="F1839" s="592">
        <v>123</v>
      </c>
      <c r="G1839" s="592">
        <v>0</v>
      </c>
      <c r="H1839" s="592">
        <v>0</v>
      </c>
      <c r="I1839" s="592">
        <v>0</v>
      </c>
      <c r="J1839" s="592">
        <v>72</v>
      </c>
      <c r="K1839" s="592">
        <v>0</v>
      </c>
      <c r="L1839" s="592">
        <v>0</v>
      </c>
      <c r="M1839" s="592">
        <v>0</v>
      </c>
      <c r="N1839" s="593">
        <v>81</v>
      </c>
      <c r="O1839" s="593">
        <v>0</v>
      </c>
      <c r="P1839" s="593">
        <v>218</v>
      </c>
      <c r="Q1839" s="593">
        <v>0</v>
      </c>
      <c r="R1839" s="593">
        <v>494</v>
      </c>
      <c r="S1839" s="593">
        <v>0</v>
      </c>
      <c r="T1839" s="593">
        <v>2018</v>
      </c>
      <c r="U1839" s="593">
        <v>2014</v>
      </c>
      <c r="V1839" s="589"/>
      <c r="W1839" s="589"/>
      <c r="X1839" s="589"/>
      <c r="Y1839" s="589"/>
      <c r="Z1839" s="589"/>
      <c r="AA1839" s="589"/>
      <c r="AB1839" s="589"/>
      <c r="AC1839" s="589"/>
      <c r="AD1839" s="589"/>
      <c r="AE1839" s="589"/>
      <c r="AF1839" s="589"/>
      <c r="AG1839" s="589"/>
      <c r="AH1839" s="589"/>
      <c r="AI1839" s="589"/>
      <c r="AJ1839" s="589"/>
      <c r="AK1839" s="589"/>
      <c r="AL1839" s="589"/>
      <c r="AM1839" s="589"/>
      <c r="AN1839" s="589"/>
      <c r="AO1839" s="589"/>
      <c r="AP1839" s="589"/>
      <c r="AQ1839" s="589"/>
      <c r="AR1839" s="589"/>
      <c r="AS1839" s="589"/>
    </row>
    <row r="1840" spans="1:45" ht="15">
      <c r="A1840" s="587" t="s">
        <v>156</v>
      </c>
      <c r="B1840" s="587" t="s">
        <v>156</v>
      </c>
      <c r="C1840" s="587" t="s">
        <v>820</v>
      </c>
      <c r="D1840" s="588">
        <v>2018</v>
      </c>
      <c r="E1840" s="587" t="s">
        <v>775</v>
      </c>
      <c r="F1840" s="588">
        <v>1352</v>
      </c>
      <c r="G1840" s="588">
        <v>0</v>
      </c>
      <c r="H1840" s="588">
        <v>0</v>
      </c>
      <c r="I1840" s="588">
        <v>0</v>
      </c>
      <c r="J1840" s="588">
        <v>1056</v>
      </c>
      <c r="K1840" s="588">
        <v>0</v>
      </c>
      <c r="L1840" s="588">
        <v>0</v>
      </c>
      <c r="M1840" s="588">
        <v>0</v>
      </c>
      <c r="N1840" s="588">
        <v>1091</v>
      </c>
      <c r="O1840" s="588">
        <v>0</v>
      </c>
      <c r="P1840" s="588">
        <v>2600</v>
      </c>
      <c r="Q1840" s="588">
        <v>69</v>
      </c>
      <c r="R1840" s="588">
        <v>6099</v>
      </c>
      <c r="S1840" s="588">
        <v>69</v>
      </c>
      <c r="T1840" s="588">
        <v>2018</v>
      </c>
      <c r="U1840" s="588">
        <v>2016</v>
      </c>
      <c r="V1840" s="589"/>
      <c r="W1840" s="589"/>
      <c r="X1840" s="589"/>
      <c r="Y1840" s="589"/>
      <c r="Z1840" s="589"/>
      <c r="AA1840" s="589"/>
      <c r="AB1840" s="589"/>
      <c r="AC1840" s="589"/>
      <c r="AD1840" s="589"/>
      <c r="AE1840" s="589"/>
      <c r="AF1840" s="589"/>
      <c r="AG1840" s="589"/>
      <c r="AH1840" s="589"/>
      <c r="AI1840" s="589"/>
      <c r="AJ1840" s="589"/>
      <c r="AK1840" s="589"/>
      <c r="AL1840" s="589"/>
      <c r="AM1840" s="589"/>
      <c r="AN1840" s="589"/>
      <c r="AO1840" s="589"/>
      <c r="AP1840" s="589"/>
      <c r="AQ1840" s="589"/>
      <c r="AR1840" s="589"/>
      <c r="AS1840" s="589"/>
    </row>
    <row r="1841" spans="1:45" ht="15">
      <c r="A1841" s="590" t="s">
        <v>156</v>
      </c>
      <c r="B1841" s="591" t="s">
        <v>435</v>
      </c>
      <c r="C1841" s="591" t="s">
        <v>820</v>
      </c>
      <c r="D1841" s="592">
        <v>2018</v>
      </c>
      <c r="E1841" s="591" t="s">
        <v>775</v>
      </c>
      <c r="F1841" s="592">
        <v>1285</v>
      </c>
      <c r="G1841" s="592">
        <v>0</v>
      </c>
      <c r="H1841" s="592">
        <v>0</v>
      </c>
      <c r="I1841" s="592">
        <v>0</v>
      </c>
      <c r="J1841" s="592">
        <v>984</v>
      </c>
      <c r="K1841" s="592">
        <v>10</v>
      </c>
      <c r="L1841" s="592">
        <v>0</v>
      </c>
      <c r="M1841" s="592">
        <v>10</v>
      </c>
      <c r="N1841" s="593">
        <v>1015</v>
      </c>
      <c r="O1841" s="593">
        <v>0</v>
      </c>
      <c r="P1841" s="593">
        <v>2398</v>
      </c>
      <c r="Q1841" s="593">
        <v>295</v>
      </c>
      <c r="R1841" s="593">
        <v>5682</v>
      </c>
      <c r="S1841" s="593">
        <v>305</v>
      </c>
      <c r="T1841" s="593">
        <v>2018</v>
      </c>
      <c r="U1841" s="593">
        <v>2016</v>
      </c>
      <c r="V1841" s="589"/>
      <c r="W1841" s="589"/>
      <c r="X1841" s="589"/>
      <c r="Y1841" s="589"/>
      <c r="Z1841" s="589"/>
      <c r="AA1841" s="589"/>
      <c r="AB1841" s="589"/>
      <c r="AC1841" s="589"/>
      <c r="AD1841" s="589"/>
      <c r="AE1841" s="589"/>
      <c r="AF1841" s="589"/>
      <c r="AG1841" s="589"/>
      <c r="AH1841" s="589"/>
      <c r="AI1841" s="589"/>
      <c r="AJ1841" s="589"/>
      <c r="AK1841" s="589"/>
      <c r="AL1841" s="589"/>
      <c r="AM1841" s="589"/>
      <c r="AN1841" s="589"/>
      <c r="AO1841" s="589"/>
      <c r="AP1841" s="589"/>
      <c r="AQ1841" s="589"/>
      <c r="AR1841" s="589"/>
      <c r="AS1841" s="589"/>
    </row>
    <row r="1842" spans="1:45" ht="15">
      <c r="A1842" s="587" t="s">
        <v>153</v>
      </c>
      <c r="B1842" s="587" t="s">
        <v>396</v>
      </c>
      <c r="C1842" s="587" t="s">
        <v>813</v>
      </c>
      <c r="D1842" s="588">
        <v>2018</v>
      </c>
      <c r="E1842" s="587" t="s">
        <v>775</v>
      </c>
      <c r="F1842" s="588">
        <v>1</v>
      </c>
      <c r="G1842" s="588">
        <v>0</v>
      </c>
      <c r="H1842" s="588">
        <v>0</v>
      </c>
      <c r="I1842" s="588">
        <v>0</v>
      </c>
      <c r="J1842" s="588">
        <v>1</v>
      </c>
      <c r="K1842" s="588">
        <v>0</v>
      </c>
      <c r="L1842" s="588">
        <v>0</v>
      </c>
      <c r="M1842" s="588">
        <v>0</v>
      </c>
      <c r="N1842" s="588">
        <v>0</v>
      </c>
      <c r="O1842" s="588">
        <v>0</v>
      </c>
      <c r="P1842" s="588">
        <v>0</v>
      </c>
      <c r="Q1842" s="588">
        <v>17</v>
      </c>
      <c r="R1842" s="588">
        <v>2</v>
      </c>
      <c r="S1842" s="588">
        <v>17</v>
      </c>
      <c r="T1842" s="588">
        <v>2018</v>
      </c>
      <c r="U1842" s="588">
        <v>2014</v>
      </c>
      <c r="V1842" s="589"/>
      <c r="W1842" s="589"/>
      <c r="X1842" s="589"/>
      <c r="Y1842" s="589"/>
      <c r="Z1842" s="589"/>
      <c r="AA1842" s="589"/>
      <c r="AB1842" s="589"/>
      <c r="AC1842" s="589"/>
      <c r="AD1842" s="589"/>
      <c r="AE1842" s="589"/>
      <c r="AF1842" s="589"/>
      <c r="AG1842" s="589"/>
      <c r="AH1842" s="589"/>
      <c r="AI1842" s="589"/>
      <c r="AJ1842" s="589"/>
      <c r="AK1842" s="589"/>
      <c r="AL1842" s="589"/>
      <c r="AM1842" s="589"/>
      <c r="AN1842" s="589"/>
      <c r="AO1842" s="589"/>
      <c r="AP1842" s="589"/>
      <c r="AQ1842" s="589"/>
      <c r="AR1842" s="589"/>
      <c r="AS1842" s="589"/>
    </row>
    <row r="1843" spans="1:45" ht="15">
      <c r="A1843" s="590" t="s">
        <v>163</v>
      </c>
      <c r="B1843" s="591" t="s">
        <v>462</v>
      </c>
      <c r="C1843" s="591" t="s">
        <v>785</v>
      </c>
      <c r="D1843" s="592">
        <v>2018</v>
      </c>
      <c r="E1843" s="591" t="s">
        <v>775</v>
      </c>
      <c r="F1843" s="592">
        <v>17</v>
      </c>
      <c r="G1843" s="592">
        <v>0</v>
      </c>
      <c r="H1843" s="592">
        <v>0</v>
      </c>
      <c r="I1843" s="592">
        <v>0</v>
      </c>
      <c r="J1843" s="592">
        <v>12</v>
      </c>
      <c r="K1843" s="592">
        <v>0</v>
      </c>
      <c r="L1843" s="592">
        <v>0</v>
      </c>
      <c r="M1843" s="592">
        <v>0</v>
      </c>
      <c r="N1843" s="593">
        <v>14</v>
      </c>
      <c r="O1843" s="593">
        <v>0</v>
      </c>
      <c r="P1843" s="593">
        <v>31</v>
      </c>
      <c r="Q1843" s="593">
        <v>38</v>
      </c>
      <c r="R1843" s="593">
        <v>74</v>
      </c>
      <c r="S1843" s="593">
        <v>38</v>
      </c>
      <c r="T1843" s="593">
        <v>2018</v>
      </c>
      <c r="U1843" s="593">
        <v>2014</v>
      </c>
      <c r="V1843" s="589"/>
      <c r="W1843" s="589"/>
      <c r="X1843" s="589"/>
      <c r="Y1843" s="589"/>
      <c r="Z1843" s="589"/>
      <c r="AA1843" s="589"/>
      <c r="AB1843" s="589"/>
      <c r="AC1843" s="589"/>
      <c r="AD1843" s="589"/>
      <c r="AE1843" s="589"/>
      <c r="AF1843" s="589"/>
      <c r="AG1843" s="589"/>
      <c r="AH1843" s="589"/>
      <c r="AI1843" s="589"/>
      <c r="AJ1843" s="589"/>
      <c r="AK1843" s="589"/>
      <c r="AL1843" s="589"/>
      <c r="AM1843" s="589"/>
      <c r="AN1843" s="589"/>
      <c r="AO1843" s="589"/>
      <c r="AP1843" s="589"/>
      <c r="AQ1843" s="589"/>
      <c r="AR1843" s="589"/>
      <c r="AS1843" s="589"/>
    </row>
    <row r="1844" spans="1:45" ht="15">
      <c r="A1844" s="587" t="s">
        <v>153</v>
      </c>
      <c r="B1844" s="587" t="s">
        <v>397</v>
      </c>
      <c r="C1844" s="587" t="s">
        <v>813</v>
      </c>
      <c r="D1844" s="588">
        <v>2018</v>
      </c>
      <c r="E1844" s="587" t="s">
        <v>775</v>
      </c>
      <c r="F1844" s="588">
        <v>10</v>
      </c>
      <c r="G1844" s="588">
        <v>0</v>
      </c>
      <c r="H1844" s="588">
        <v>0</v>
      </c>
      <c r="I1844" s="588">
        <v>0</v>
      </c>
      <c r="J1844" s="588">
        <v>6</v>
      </c>
      <c r="K1844" s="588">
        <v>0</v>
      </c>
      <c r="L1844" s="588">
        <v>0</v>
      </c>
      <c r="M1844" s="588">
        <v>0</v>
      </c>
      <c r="N1844" s="588">
        <v>7</v>
      </c>
      <c r="O1844" s="588">
        <v>0</v>
      </c>
      <c r="P1844" s="588">
        <v>15</v>
      </c>
      <c r="Q1844" s="588">
        <v>43</v>
      </c>
      <c r="R1844" s="588">
        <v>38</v>
      </c>
      <c r="S1844" s="588">
        <v>43</v>
      </c>
      <c r="T1844" s="588">
        <v>2018</v>
      </c>
      <c r="U1844" s="588">
        <v>2014</v>
      </c>
      <c r="V1844" s="589"/>
      <c r="W1844" s="589"/>
      <c r="X1844" s="589"/>
      <c r="Y1844" s="589"/>
      <c r="Z1844" s="589"/>
      <c r="AA1844" s="589"/>
      <c r="AB1844" s="589"/>
      <c r="AC1844" s="589"/>
      <c r="AD1844" s="589"/>
      <c r="AE1844" s="589"/>
      <c r="AF1844" s="589"/>
      <c r="AG1844" s="589"/>
      <c r="AH1844" s="589"/>
      <c r="AI1844" s="589"/>
      <c r="AJ1844" s="589"/>
      <c r="AK1844" s="589"/>
      <c r="AL1844" s="589"/>
      <c r="AM1844" s="589"/>
      <c r="AN1844" s="589"/>
      <c r="AO1844" s="589"/>
      <c r="AP1844" s="589"/>
      <c r="AQ1844" s="589"/>
      <c r="AR1844" s="589"/>
      <c r="AS1844" s="589"/>
    </row>
    <row r="1845" spans="1:45" ht="15">
      <c r="A1845" s="590" t="s">
        <v>182</v>
      </c>
      <c r="B1845" s="591" t="s">
        <v>611</v>
      </c>
      <c r="C1845" s="591" t="s">
        <v>811</v>
      </c>
      <c r="D1845" s="592">
        <v>2018</v>
      </c>
      <c r="E1845" s="591" t="s">
        <v>775</v>
      </c>
      <c r="F1845" s="592">
        <v>925</v>
      </c>
      <c r="G1845" s="592">
        <v>4</v>
      </c>
      <c r="H1845" s="592">
        <v>0</v>
      </c>
      <c r="I1845" s="592">
        <v>4</v>
      </c>
      <c r="J1845" s="592">
        <v>693</v>
      </c>
      <c r="K1845" s="592">
        <v>5</v>
      </c>
      <c r="L1845" s="592">
        <v>0</v>
      </c>
      <c r="M1845" s="592">
        <v>5</v>
      </c>
      <c r="N1845" s="593">
        <v>825</v>
      </c>
      <c r="O1845" s="593">
        <v>4</v>
      </c>
      <c r="P1845" s="593">
        <v>1958</v>
      </c>
      <c r="Q1845" s="593">
        <v>476</v>
      </c>
      <c r="R1845" s="593">
        <v>4401</v>
      </c>
      <c r="S1845" s="593">
        <v>489</v>
      </c>
      <c r="T1845" s="593">
        <v>2018</v>
      </c>
      <c r="U1845" s="593">
        <v>2016</v>
      </c>
      <c r="V1845" s="589"/>
      <c r="W1845" s="589"/>
      <c r="X1845" s="589"/>
      <c r="Y1845" s="589"/>
      <c r="Z1845" s="589"/>
      <c r="AA1845" s="589"/>
      <c r="AB1845" s="589"/>
      <c r="AC1845" s="589"/>
      <c r="AD1845" s="589"/>
      <c r="AE1845" s="589"/>
      <c r="AF1845" s="589"/>
      <c r="AG1845" s="589"/>
      <c r="AH1845" s="589"/>
      <c r="AI1845" s="589"/>
      <c r="AJ1845" s="589"/>
      <c r="AK1845" s="589"/>
      <c r="AL1845" s="589"/>
      <c r="AM1845" s="589"/>
      <c r="AN1845" s="589"/>
      <c r="AO1845" s="589"/>
      <c r="AP1845" s="589"/>
      <c r="AQ1845" s="589"/>
      <c r="AR1845" s="589"/>
      <c r="AS1845" s="589"/>
    </row>
    <row r="1846" spans="1:45" ht="15">
      <c r="A1846" s="587" t="s">
        <v>148</v>
      </c>
      <c r="B1846" s="587" t="s">
        <v>329</v>
      </c>
      <c r="C1846" s="587" t="s">
        <v>811</v>
      </c>
      <c r="D1846" s="588">
        <v>2018</v>
      </c>
      <c r="E1846" s="587" t="s">
        <v>775</v>
      </c>
      <c r="F1846" s="588">
        <v>11</v>
      </c>
      <c r="G1846" s="588">
        <v>0</v>
      </c>
      <c r="H1846" s="588">
        <v>0</v>
      </c>
      <c r="I1846" s="588">
        <v>0</v>
      </c>
      <c r="J1846" s="588">
        <v>5</v>
      </c>
      <c r="K1846" s="588">
        <v>0</v>
      </c>
      <c r="L1846" s="588">
        <v>0</v>
      </c>
      <c r="M1846" s="588">
        <v>0</v>
      </c>
      <c r="N1846" s="588">
        <v>6</v>
      </c>
      <c r="O1846" s="588">
        <v>0</v>
      </c>
      <c r="P1846" s="588">
        <v>14</v>
      </c>
      <c r="Q1846" s="588">
        <v>0</v>
      </c>
      <c r="R1846" s="588">
        <v>36</v>
      </c>
      <c r="S1846" s="588">
        <v>0</v>
      </c>
      <c r="T1846" s="588">
        <v>2018</v>
      </c>
      <c r="U1846" s="588">
        <v>2016</v>
      </c>
      <c r="V1846" s="589"/>
      <c r="W1846" s="589"/>
      <c r="X1846" s="589"/>
      <c r="Y1846" s="589"/>
      <c r="Z1846" s="589"/>
      <c r="AA1846" s="589"/>
      <c r="AB1846" s="589"/>
      <c r="AC1846" s="589"/>
      <c r="AD1846" s="589"/>
      <c r="AE1846" s="589"/>
      <c r="AF1846" s="589"/>
      <c r="AG1846" s="589"/>
      <c r="AH1846" s="589"/>
      <c r="AI1846" s="589"/>
      <c r="AJ1846" s="589"/>
      <c r="AK1846" s="589"/>
      <c r="AL1846" s="589"/>
      <c r="AM1846" s="589"/>
      <c r="AN1846" s="589"/>
      <c r="AO1846" s="589"/>
      <c r="AP1846" s="589"/>
      <c r="AQ1846" s="589"/>
      <c r="AR1846" s="589"/>
      <c r="AS1846" s="589"/>
    </row>
    <row r="1847" spans="1:45" ht="15">
      <c r="A1847" s="590" t="s">
        <v>157</v>
      </c>
      <c r="B1847" s="591" t="s">
        <v>440</v>
      </c>
      <c r="C1847" s="591" t="s">
        <v>782</v>
      </c>
      <c r="D1847" s="592">
        <v>2018</v>
      </c>
      <c r="E1847" s="591" t="s">
        <v>775</v>
      </c>
      <c r="F1847" s="592">
        <v>55</v>
      </c>
      <c r="G1847" s="592">
        <v>8</v>
      </c>
      <c r="H1847" s="592">
        <v>1</v>
      </c>
      <c r="I1847" s="592">
        <v>7</v>
      </c>
      <c r="J1847" s="592">
        <v>32</v>
      </c>
      <c r="K1847" s="592">
        <v>0</v>
      </c>
      <c r="L1847" s="592">
        <v>0</v>
      </c>
      <c r="M1847" s="592">
        <v>0</v>
      </c>
      <c r="N1847" s="593">
        <v>37</v>
      </c>
      <c r="O1847" s="593">
        <v>3</v>
      </c>
      <c r="P1847" s="593">
        <v>61</v>
      </c>
      <c r="Q1847" s="593">
        <v>36</v>
      </c>
      <c r="R1847" s="593">
        <v>185</v>
      </c>
      <c r="S1847" s="593">
        <v>47</v>
      </c>
      <c r="T1847" s="593">
        <v>2018</v>
      </c>
      <c r="U1847" s="593">
        <v>2015</v>
      </c>
      <c r="V1847" s="589"/>
      <c r="W1847" s="589"/>
      <c r="X1847" s="589"/>
      <c r="Y1847" s="589"/>
      <c r="Z1847" s="589"/>
      <c r="AA1847" s="589"/>
      <c r="AB1847" s="589"/>
      <c r="AC1847" s="589"/>
      <c r="AD1847" s="589"/>
      <c r="AE1847" s="589"/>
      <c r="AF1847" s="589"/>
      <c r="AG1847" s="589"/>
      <c r="AH1847" s="589"/>
      <c r="AI1847" s="589"/>
      <c r="AJ1847" s="589"/>
      <c r="AK1847" s="589"/>
      <c r="AL1847" s="589"/>
      <c r="AM1847" s="589"/>
      <c r="AN1847" s="589"/>
      <c r="AO1847" s="589"/>
      <c r="AP1847" s="589"/>
      <c r="AQ1847" s="589"/>
      <c r="AR1847" s="589"/>
      <c r="AS1847" s="589"/>
    </row>
    <row r="1848" spans="1:45" ht="15">
      <c r="A1848" s="587" t="s">
        <v>164</v>
      </c>
      <c r="B1848" s="587" t="s">
        <v>469</v>
      </c>
      <c r="C1848" s="587" t="s">
        <v>811</v>
      </c>
      <c r="D1848" s="588">
        <v>2018</v>
      </c>
      <c r="E1848" s="587" t="s">
        <v>775</v>
      </c>
      <c r="F1848" s="588">
        <v>315</v>
      </c>
      <c r="G1848" s="588">
        <v>0</v>
      </c>
      <c r="H1848" s="588">
        <v>0</v>
      </c>
      <c r="I1848" s="588">
        <v>0</v>
      </c>
      <c r="J1848" s="588">
        <v>206</v>
      </c>
      <c r="K1848" s="588">
        <v>0</v>
      </c>
      <c r="L1848" s="588">
        <v>0</v>
      </c>
      <c r="M1848" s="588">
        <v>0</v>
      </c>
      <c r="N1848" s="588">
        <v>239</v>
      </c>
      <c r="O1848" s="588">
        <v>0</v>
      </c>
      <c r="P1848" s="588">
        <v>548</v>
      </c>
      <c r="Q1848" s="588">
        <v>121</v>
      </c>
      <c r="R1848" s="588">
        <v>1308</v>
      </c>
      <c r="S1848" s="588">
        <v>121</v>
      </c>
      <c r="T1848" s="588">
        <v>2018</v>
      </c>
      <c r="U1848" s="588">
        <v>2016</v>
      </c>
      <c r="V1848" s="589"/>
      <c r="W1848" s="589"/>
      <c r="X1848" s="589"/>
      <c r="Y1848" s="589"/>
      <c r="Z1848" s="589"/>
      <c r="AA1848" s="589"/>
      <c r="AB1848" s="589"/>
      <c r="AC1848" s="589"/>
      <c r="AD1848" s="589"/>
      <c r="AE1848" s="589"/>
      <c r="AF1848" s="589"/>
      <c r="AG1848" s="589"/>
      <c r="AH1848" s="589"/>
      <c r="AI1848" s="589"/>
      <c r="AJ1848" s="589"/>
      <c r="AK1848" s="589"/>
      <c r="AL1848" s="589"/>
      <c r="AM1848" s="589"/>
      <c r="AN1848" s="589"/>
      <c r="AO1848" s="589"/>
      <c r="AP1848" s="589"/>
      <c r="AQ1848" s="589"/>
      <c r="AR1848" s="589"/>
      <c r="AS1848" s="589"/>
    </row>
    <row r="1849" spans="1:45" ht="15">
      <c r="A1849" s="590" t="s">
        <v>158</v>
      </c>
      <c r="B1849" s="591" t="s">
        <v>448</v>
      </c>
      <c r="C1849" s="591" t="s">
        <v>785</v>
      </c>
      <c r="D1849" s="592">
        <v>2018</v>
      </c>
      <c r="E1849" s="591" t="s">
        <v>775</v>
      </c>
      <c r="F1849" s="592">
        <v>265</v>
      </c>
      <c r="G1849" s="592">
        <v>0</v>
      </c>
      <c r="H1849" s="592">
        <v>0</v>
      </c>
      <c r="I1849" s="592">
        <v>0</v>
      </c>
      <c r="J1849" s="592">
        <v>130</v>
      </c>
      <c r="K1849" s="592">
        <v>0</v>
      </c>
      <c r="L1849" s="592">
        <v>0</v>
      </c>
      <c r="M1849" s="592">
        <v>0</v>
      </c>
      <c r="N1849" s="593">
        <v>180</v>
      </c>
      <c r="O1849" s="593">
        <v>0</v>
      </c>
      <c r="P1849" s="593">
        <v>420</v>
      </c>
      <c r="Q1849" s="593">
        <v>56</v>
      </c>
      <c r="R1849" s="593">
        <v>995</v>
      </c>
      <c r="S1849" s="593">
        <v>56</v>
      </c>
      <c r="T1849" s="593">
        <v>2018</v>
      </c>
      <c r="U1849" s="593">
        <v>2014</v>
      </c>
      <c r="V1849" s="589"/>
      <c r="W1849" s="589"/>
      <c r="X1849" s="589"/>
      <c r="Y1849" s="589"/>
      <c r="Z1849" s="589"/>
      <c r="AA1849" s="589"/>
      <c r="AB1849" s="589"/>
      <c r="AC1849" s="589"/>
      <c r="AD1849" s="589"/>
      <c r="AE1849" s="589"/>
      <c r="AF1849" s="589"/>
      <c r="AG1849" s="589"/>
      <c r="AH1849" s="589"/>
      <c r="AI1849" s="589"/>
      <c r="AJ1849" s="589"/>
      <c r="AK1849" s="589"/>
      <c r="AL1849" s="589"/>
      <c r="AM1849" s="589"/>
      <c r="AN1849" s="589"/>
      <c r="AO1849" s="589"/>
      <c r="AP1849" s="589"/>
      <c r="AQ1849" s="589"/>
      <c r="AR1849" s="589"/>
      <c r="AS1849" s="589"/>
    </row>
    <row r="1850" spans="1:45" ht="15">
      <c r="A1850" s="587" t="s">
        <v>136</v>
      </c>
      <c r="B1850" s="587" t="s">
        <v>274</v>
      </c>
      <c r="C1850" s="587" t="s">
        <v>782</v>
      </c>
      <c r="D1850" s="588">
        <v>2018</v>
      </c>
      <c r="E1850" s="587" t="s">
        <v>775</v>
      </c>
      <c r="F1850" s="588">
        <v>124</v>
      </c>
      <c r="G1850" s="588">
        <v>0</v>
      </c>
      <c r="H1850" s="588">
        <v>0</v>
      </c>
      <c r="I1850" s="588">
        <v>0</v>
      </c>
      <c r="J1850" s="588">
        <v>72</v>
      </c>
      <c r="K1850" s="588">
        <v>0</v>
      </c>
      <c r="L1850" s="588">
        <v>0</v>
      </c>
      <c r="M1850" s="588">
        <v>0</v>
      </c>
      <c r="N1850" s="588">
        <v>78</v>
      </c>
      <c r="O1850" s="588">
        <v>0</v>
      </c>
      <c r="P1850" s="588">
        <v>195</v>
      </c>
      <c r="Q1850" s="588">
        <v>5</v>
      </c>
      <c r="R1850" s="588">
        <v>469</v>
      </c>
      <c r="S1850" s="588">
        <v>5</v>
      </c>
      <c r="T1850" s="588">
        <v>2018</v>
      </c>
      <c r="U1850" s="588">
        <v>2015</v>
      </c>
      <c r="V1850" s="589"/>
      <c r="W1850" s="589"/>
      <c r="X1850" s="589"/>
      <c r="Y1850" s="589"/>
      <c r="Z1850" s="589"/>
      <c r="AA1850" s="589"/>
      <c r="AB1850" s="589"/>
      <c r="AC1850" s="589"/>
      <c r="AD1850" s="589"/>
      <c r="AE1850" s="589"/>
      <c r="AF1850" s="589"/>
      <c r="AG1850" s="589"/>
      <c r="AH1850" s="589"/>
      <c r="AI1850" s="589"/>
      <c r="AJ1850" s="589"/>
      <c r="AK1850" s="589"/>
      <c r="AL1850" s="589"/>
      <c r="AM1850" s="589"/>
      <c r="AN1850" s="589"/>
      <c r="AO1850" s="589"/>
      <c r="AP1850" s="589"/>
      <c r="AQ1850" s="589"/>
      <c r="AR1850" s="589"/>
      <c r="AS1850" s="589"/>
    </row>
    <row r="1851" spans="1:45" ht="15">
      <c r="A1851" s="590" t="s">
        <v>204</v>
      </c>
      <c r="B1851" s="591" t="s">
        <v>746</v>
      </c>
      <c r="C1851" s="591" t="s">
        <v>801</v>
      </c>
      <c r="D1851" s="592">
        <v>2018</v>
      </c>
      <c r="E1851" s="591" t="s">
        <v>775</v>
      </c>
      <c r="F1851" s="592">
        <v>12</v>
      </c>
      <c r="G1851" s="592">
        <v>0</v>
      </c>
      <c r="H1851" s="592">
        <v>0</v>
      </c>
      <c r="I1851" s="592">
        <v>0</v>
      </c>
      <c r="J1851" s="592">
        <v>8</v>
      </c>
      <c r="K1851" s="592">
        <v>0</v>
      </c>
      <c r="L1851" s="592">
        <v>0</v>
      </c>
      <c r="M1851" s="592">
        <v>0</v>
      </c>
      <c r="N1851" s="593">
        <v>13</v>
      </c>
      <c r="O1851" s="593">
        <v>0</v>
      </c>
      <c r="P1851" s="593">
        <v>39</v>
      </c>
      <c r="Q1851" s="593">
        <v>4</v>
      </c>
      <c r="R1851" s="593">
        <v>72</v>
      </c>
      <c r="S1851" s="593">
        <v>4</v>
      </c>
      <c r="T1851" s="593">
        <v>2018</v>
      </c>
      <c r="U1851" s="593">
        <v>2014</v>
      </c>
      <c r="V1851" s="589"/>
      <c r="W1851" s="589"/>
      <c r="X1851" s="589"/>
      <c r="Y1851" s="589"/>
      <c r="Z1851" s="589"/>
      <c r="AA1851" s="589"/>
      <c r="AB1851" s="589"/>
      <c r="AC1851" s="589"/>
      <c r="AD1851" s="589"/>
      <c r="AE1851" s="589"/>
      <c r="AF1851" s="589"/>
      <c r="AG1851" s="589"/>
      <c r="AH1851" s="589"/>
      <c r="AI1851" s="589"/>
      <c r="AJ1851" s="589"/>
      <c r="AK1851" s="589"/>
      <c r="AL1851" s="589"/>
      <c r="AM1851" s="589"/>
      <c r="AN1851" s="589"/>
      <c r="AO1851" s="589"/>
      <c r="AP1851" s="589"/>
      <c r="AQ1851" s="589"/>
      <c r="AR1851" s="589"/>
      <c r="AS1851" s="589"/>
    </row>
    <row r="1852" spans="1:45" ht="15">
      <c r="A1852" s="587" t="s">
        <v>159</v>
      </c>
      <c r="B1852" s="587" t="s">
        <v>450</v>
      </c>
      <c r="C1852" s="587" t="s">
        <v>785</v>
      </c>
      <c r="D1852" s="588">
        <v>2018</v>
      </c>
      <c r="E1852" s="587" t="s">
        <v>775</v>
      </c>
      <c r="F1852" s="588">
        <v>40</v>
      </c>
      <c r="G1852" s="588">
        <v>0</v>
      </c>
      <c r="H1852" s="588">
        <v>0</v>
      </c>
      <c r="I1852" s="588">
        <v>0</v>
      </c>
      <c r="J1852" s="588">
        <v>27</v>
      </c>
      <c r="K1852" s="588">
        <v>0</v>
      </c>
      <c r="L1852" s="588">
        <v>0</v>
      </c>
      <c r="M1852" s="588">
        <v>0</v>
      </c>
      <c r="N1852" s="588">
        <v>27</v>
      </c>
      <c r="O1852" s="588">
        <v>0</v>
      </c>
      <c r="P1852" s="588">
        <v>74</v>
      </c>
      <c r="Q1852" s="588">
        <v>79</v>
      </c>
      <c r="R1852" s="588">
        <v>168</v>
      </c>
      <c r="S1852" s="588">
        <v>79</v>
      </c>
      <c r="T1852" s="588">
        <v>2018</v>
      </c>
      <c r="U1852" s="588">
        <v>2014</v>
      </c>
      <c r="V1852" s="589"/>
      <c r="W1852" s="589"/>
      <c r="X1852" s="589"/>
      <c r="Y1852" s="589"/>
      <c r="Z1852" s="589"/>
      <c r="AA1852" s="589"/>
      <c r="AB1852" s="589"/>
      <c r="AC1852" s="589"/>
      <c r="AD1852" s="589"/>
      <c r="AE1852" s="589"/>
      <c r="AF1852" s="589"/>
      <c r="AG1852" s="589"/>
      <c r="AH1852" s="589"/>
      <c r="AI1852" s="589"/>
      <c r="AJ1852" s="589"/>
      <c r="AK1852" s="589"/>
      <c r="AL1852" s="589"/>
      <c r="AM1852" s="589"/>
      <c r="AN1852" s="589"/>
      <c r="AO1852" s="589"/>
      <c r="AP1852" s="589"/>
      <c r="AQ1852" s="589"/>
      <c r="AR1852" s="589"/>
      <c r="AS1852" s="589"/>
    </row>
    <row r="1853" spans="1:45" ht="15">
      <c r="A1853" s="590" t="s">
        <v>173</v>
      </c>
      <c r="B1853" s="591" t="s">
        <v>544</v>
      </c>
      <c r="C1853" s="591" t="s">
        <v>813</v>
      </c>
      <c r="D1853" s="592">
        <v>2018</v>
      </c>
      <c r="E1853" s="591" t="s">
        <v>775</v>
      </c>
      <c r="F1853" s="592">
        <v>1488</v>
      </c>
      <c r="G1853" s="592">
        <v>0</v>
      </c>
      <c r="H1853" s="592">
        <v>0</v>
      </c>
      <c r="I1853" s="592">
        <v>0</v>
      </c>
      <c r="J1853" s="592">
        <v>1007</v>
      </c>
      <c r="K1853" s="592">
        <v>1</v>
      </c>
      <c r="L1853" s="592">
        <v>0</v>
      </c>
      <c r="M1853" s="592">
        <v>1</v>
      </c>
      <c r="N1853" s="593">
        <v>1140</v>
      </c>
      <c r="O1853" s="593">
        <v>181</v>
      </c>
      <c r="P1853" s="593">
        <v>2610</v>
      </c>
      <c r="Q1853" s="593">
        <v>759</v>
      </c>
      <c r="R1853" s="593">
        <v>6245</v>
      </c>
      <c r="S1853" s="593">
        <v>941</v>
      </c>
      <c r="T1853" s="593">
        <v>2018</v>
      </c>
      <c r="U1853" s="593">
        <v>2014</v>
      </c>
      <c r="V1853" s="589"/>
      <c r="W1853" s="589"/>
      <c r="X1853" s="589"/>
      <c r="Y1853" s="589"/>
      <c r="Z1853" s="589"/>
      <c r="AA1853" s="589"/>
      <c r="AB1853" s="589"/>
      <c r="AC1853" s="589"/>
      <c r="AD1853" s="589"/>
      <c r="AE1853" s="589"/>
      <c r="AF1853" s="589"/>
      <c r="AG1853" s="589"/>
      <c r="AH1853" s="589"/>
      <c r="AI1853" s="589"/>
      <c r="AJ1853" s="589"/>
      <c r="AK1853" s="589"/>
      <c r="AL1853" s="589"/>
      <c r="AM1853" s="589"/>
      <c r="AN1853" s="589"/>
      <c r="AO1853" s="589"/>
      <c r="AP1853" s="589"/>
      <c r="AQ1853" s="589"/>
      <c r="AR1853" s="589"/>
      <c r="AS1853" s="589"/>
    </row>
    <row r="1854" spans="1:45" ht="15">
      <c r="A1854" s="587" t="s">
        <v>184</v>
      </c>
      <c r="B1854" s="587" t="s">
        <v>633</v>
      </c>
      <c r="C1854" s="587" t="s">
        <v>782</v>
      </c>
      <c r="D1854" s="588">
        <v>2018</v>
      </c>
      <c r="E1854" s="587" t="s">
        <v>775</v>
      </c>
      <c r="F1854" s="588">
        <v>233</v>
      </c>
      <c r="G1854" s="588">
        <v>9</v>
      </c>
      <c r="H1854" s="588">
        <v>0</v>
      </c>
      <c r="I1854" s="588">
        <v>9</v>
      </c>
      <c r="J1854" s="588">
        <v>129</v>
      </c>
      <c r="K1854" s="588">
        <v>6</v>
      </c>
      <c r="L1854" s="588">
        <v>1</v>
      </c>
      <c r="M1854" s="588">
        <v>5</v>
      </c>
      <c r="N1854" s="588">
        <v>143</v>
      </c>
      <c r="O1854" s="588">
        <v>3</v>
      </c>
      <c r="P1854" s="588">
        <v>150</v>
      </c>
      <c r="Q1854" s="588">
        <v>26</v>
      </c>
      <c r="R1854" s="588">
        <v>655</v>
      </c>
      <c r="S1854" s="588">
        <v>44</v>
      </c>
      <c r="T1854" s="588">
        <v>2018</v>
      </c>
      <c r="U1854" s="588">
        <v>2015</v>
      </c>
      <c r="V1854" s="589"/>
      <c r="W1854" s="589"/>
      <c r="X1854" s="589"/>
      <c r="Y1854" s="589"/>
      <c r="Z1854" s="589"/>
      <c r="AA1854" s="589"/>
      <c r="AB1854" s="589"/>
      <c r="AC1854" s="589"/>
      <c r="AD1854" s="589"/>
      <c r="AE1854" s="589"/>
      <c r="AF1854" s="589"/>
      <c r="AG1854" s="589"/>
      <c r="AH1854" s="589"/>
      <c r="AI1854" s="589"/>
      <c r="AJ1854" s="589"/>
      <c r="AK1854" s="589"/>
      <c r="AL1854" s="589"/>
      <c r="AM1854" s="589"/>
      <c r="AN1854" s="589"/>
      <c r="AO1854" s="589"/>
      <c r="AP1854" s="589"/>
      <c r="AQ1854" s="589"/>
      <c r="AR1854" s="589"/>
      <c r="AS1854" s="589"/>
    </row>
    <row r="1855" spans="1:45" ht="15">
      <c r="A1855" s="590" t="s">
        <v>160</v>
      </c>
      <c r="B1855" s="591" t="s">
        <v>160</v>
      </c>
      <c r="C1855" s="591" t="s">
        <v>829</v>
      </c>
      <c r="D1855" s="592">
        <v>2018</v>
      </c>
      <c r="E1855" s="591" t="s">
        <v>775</v>
      </c>
      <c r="F1855" s="592">
        <v>1351</v>
      </c>
      <c r="G1855" s="592">
        <v>0</v>
      </c>
      <c r="H1855" s="592">
        <v>0</v>
      </c>
      <c r="I1855" s="592">
        <v>0</v>
      </c>
      <c r="J1855" s="592">
        <v>966</v>
      </c>
      <c r="K1855" s="592">
        <v>0</v>
      </c>
      <c r="L1855" s="592">
        <v>0</v>
      </c>
      <c r="M1855" s="592">
        <v>0</v>
      </c>
      <c r="N1855" s="593">
        <v>886</v>
      </c>
      <c r="O1855" s="593">
        <v>0</v>
      </c>
      <c r="P1855" s="593">
        <v>2348</v>
      </c>
      <c r="Q1855" s="593">
        <v>603</v>
      </c>
      <c r="R1855" s="593">
        <v>5551</v>
      </c>
      <c r="S1855" s="593">
        <v>603</v>
      </c>
      <c r="T1855" s="593">
        <v>2018</v>
      </c>
      <c r="U1855" s="593">
        <v>2016</v>
      </c>
      <c r="V1855" s="589"/>
      <c r="W1855" s="589"/>
      <c r="X1855" s="589"/>
      <c r="Y1855" s="589"/>
      <c r="Z1855" s="589"/>
      <c r="AA1855" s="589"/>
      <c r="AB1855" s="589"/>
      <c r="AC1855" s="589"/>
      <c r="AD1855" s="589"/>
      <c r="AE1855" s="589"/>
      <c r="AF1855" s="589"/>
      <c r="AG1855" s="589"/>
      <c r="AH1855" s="589"/>
      <c r="AI1855" s="589"/>
      <c r="AJ1855" s="589"/>
      <c r="AK1855" s="589"/>
      <c r="AL1855" s="589"/>
      <c r="AM1855" s="589"/>
      <c r="AN1855" s="589"/>
      <c r="AO1855" s="589"/>
      <c r="AP1855" s="589"/>
      <c r="AQ1855" s="589"/>
      <c r="AR1855" s="589"/>
      <c r="AS1855" s="589"/>
    </row>
    <row r="1856" spans="1:45" ht="15">
      <c r="A1856" s="587" t="s">
        <v>160</v>
      </c>
      <c r="B1856" s="587" t="s">
        <v>459</v>
      </c>
      <c r="C1856" s="587" t="s">
        <v>829</v>
      </c>
      <c r="D1856" s="588">
        <v>2018</v>
      </c>
      <c r="E1856" s="587" t="s">
        <v>775</v>
      </c>
      <c r="F1856" s="588">
        <v>1085</v>
      </c>
      <c r="G1856" s="588">
        <v>0</v>
      </c>
      <c r="H1856" s="588">
        <v>0</v>
      </c>
      <c r="I1856" s="588">
        <v>0</v>
      </c>
      <c r="J1856" s="588">
        <v>775</v>
      </c>
      <c r="K1856" s="588">
        <v>11</v>
      </c>
      <c r="L1856" s="588">
        <v>0</v>
      </c>
      <c r="M1856" s="588">
        <v>11</v>
      </c>
      <c r="N1856" s="588">
        <v>711</v>
      </c>
      <c r="O1856" s="588">
        <v>1</v>
      </c>
      <c r="P1856" s="588">
        <v>1885</v>
      </c>
      <c r="Q1856" s="588">
        <v>148</v>
      </c>
      <c r="R1856" s="588">
        <v>4456</v>
      </c>
      <c r="S1856" s="588">
        <v>160</v>
      </c>
      <c r="T1856" s="588">
        <v>2018</v>
      </c>
      <c r="U1856" s="588">
        <v>2016</v>
      </c>
      <c r="V1856" s="589"/>
      <c r="W1856" s="589"/>
      <c r="X1856" s="589"/>
      <c r="Y1856" s="589"/>
      <c r="Z1856" s="589"/>
      <c r="AA1856" s="589"/>
      <c r="AB1856" s="589"/>
      <c r="AC1856" s="589"/>
      <c r="AD1856" s="589"/>
      <c r="AE1856" s="589"/>
      <c r="AF1856" s="589"/>
      <c r="AG1856" s="589"/>
      <c r="AH1856" s="589"/>
      <c r="AI1856" s="589"/>
      <c r="AJ1856" s="589"/>
      <c r="AK1856" s="589"/>
      <c r="AL1856" s="589"/>
      <c r="AM1856" s="589"/>
      <c r="AN1856" s="589"/>
      <c r="AO1856" s="589"/>
      <c r="AP1856" s="589"/>
      <c r="AQ1856" s="589"/>
      <c r="AR1856" s="589"/>
      <c r="AS1856" s="589"/>
    </row>
    <row r="1857" spans="1:45" ht="15">
      <c r="A1857" s="590" t="s">
        <v>157</v>
      </c>
      <c r="B1857" s="590" t="s">
        <v>441</v>
      </c>
      <c r="C1857" s="590" t="s">
        <v>782</v>
      </c>
      <c r="D1857" s="593">
        <v>2018</v>
      </c>
      <c r="E1857" s="590" t="s">
        <v>775</v>
      </c>
      <c r="F1857" s="593">
        <v>41</v>
      </c>
      <c r="G1857" s="593">
        <v>5</v>
      </c>
      <c r="H1857" s="593">
        <v>0</v>
      </c>
      <c r="I1857" s="593">
        <v>5</v>
      </c>
      <c r="J1857" s="593">
        <v>24</v>
      </c>
      <c r="K1857" s="593">
        <v>3</v>
      </c>
      <c r="L1857" s="593">
        <v>0</v>
      </c>
      <c r="M1857" s="593">
        <v>3</v>
      </c>
      <c r="N1857" s="593">
        <v>26</v>
      </c>
      <c r="O1857" s="593">
        <v>3</v>
      </c>
      <c r="P1857" s="593">
        <v>38</v>
      </c>
      <c r="Q1857" s="593">
        <v>4</v>
      </c>
      <c r="R1857" s="593">
        <v>129</v>
      </c>
      <c r="S1857" s="593">
        <v>15</v>
      </c>
      <c r="T1857" s="593">
        <v>2018</v>
      </c>
      <c r="U1857" s="593">
        <v>2015</v>
      </c>
      <c r="V1857" s="589"/>
      <c r="W1857" s="589"/>
      <c r="X1857" s="589"/>
      <c r="Y1857" s="589"/>
      <c r="Z1857" s="589"/>
      <c r="AA1857" s="589"/>
      <c r="AB1857" s="589"/>
      <c r="AC1857" s="589"/>
      <c r="AD1857" s="589"/>
      <c r="AE1857" s="589"/>
      <c r="AF1857" s="589"/>
      <c r="AG1857" s="589"/>
      <c r="AH1857" s="589"/>
      <c r="AI1857" s="589"/>
      <c r="AJ1857" s="589"/>
      <c r="AK1857" s="589"/>
      <c r="AL1857" s="589"/>
      <c r="AM1857" s="589"/>
      <c r="AN1857" s="589"/>
      <c r="AO1857" s="589"/>
      <c r="AP1857" s="589"/>
      <c r="AQ1857" s="589"/>
      <c r="AR1857" s="589"/>
      <c r="AS1857" s="589"/>
    </row>
    <row r="1858" spans="1:45" ht="15">
      <c r="A1858" s="587" t="s">
        <v>184</v>
      </c>
      <c r="B1858" s="587" t="s">
        <v>634</v>
      </c>
      <c r="C1858" s="587" t="s">
        <v>782</v>
      </c>
      <c r="D1858" s="588">
        <v>2018</v>
      </c>
      <c r="E1858" s="587" t="s">
        <v>775</v>
      </c>
      <c r="F1858" s="588">
        <v>193</v>
      </c>
      <c r="G1858" s="588">
        <v>0</v>
      </c>
      <c r="H1858" s="588">
        <v>0</v>
      </c>
      <c r="I1858" s="588">
        <v>0</v>
      </c>
      <c r="J1858" s="588">
        <v>101</v>
      </c>
      <c r="K1858" s="588">
        <v>0</v>
      </c>
      <c r="L1858" s="588">
        <v>0</v>
      </c>
      <c r="M1858" s="588">
        <v>0</v>
      </c>
      <c r="N1858" s="588">
        <v>112</v>
      </c>
      <c r="O1858" s="588">
        <v>0</v>
      </c>
      <c r="P1858" s="588">
        <v>257</v>
      </c>
      <c r="Q1858" s="588">
        <v>0</v>
      </c>
      <c r="R1858" s="588">
        <v>663</v>
      </c>
      <c r="S1858" s="588">
        <v>0</v>
      </c>
      <c r="T1858" s="588">
        <v>2018</v>
      </c>
      <c r="U1858" s="588">
        <v>2015</v>
      </c>
      <c r="V1858" s="589"/>
      <c r="W1858" s="589"/>
      <c r="X1858" s="589"/>
      <c r="Y1858" s="589"/>
      <c r="Z1858" s="589"/>
      <c r="AA1858" s="589"/>
      <c r="AB1858" s="589"/>
      <c r="AC1858" s="589"/>
      <c r="AD1858" s="589"/>
      <c r="AE1858" s="589"/>
      <c r="AF1858" s="589"/>
      <c r="AG1858" s="589"/>
      <c r="AH1858" s="589"/>
      <c r="AI1858" s="589"/>
      <c r="AJ1858" s="589"/>
      <c r="AK1858" s="589"/>
      <c r="AL1858" s="589"/>
      <c r="AM1858" s="589"/>
      <c r="AN1858" s="589"/>
      <c r="AO1858" s="589"/>
      <c r="AP1858" s="589"/>
      <c r="AQ1858" s="589"/>
      <c r="AR1858" s="589"/>
      <c r="AS1858" s="589"/>
    </row>
    <row r="1859" spans="1:45" ht="15">
      <c r="A1859" s="590" t="s">
        <v>187</v>
      </c>
      <c r="B1859" s="590" t="s">
        <v>657</v>
      </c>
      <c r="C1859" s="590" t="s">
        <v>782</v>
      </c>
      <c r="D1859" s="593">
        <v>2018</v>
      </c>
      <c r="E1859" s="590" t="s">
        <v>775</v>
      </c>
      <c r="F1859" s="593">
        <v>1004</v>
      </c>
      <c r="G1859" s="593">
        <v>10</v>
      </c>
      <c r="H1859" s="593">
        <v>10</v>
      </c>
      <c r="I1859" s="593">
        <v>0</v>
      </c>
      <c r="J1859" s="593">
        <v>570</v>
      </c>
      <c r="K1859" s="593">
        <v>0</v>
      </c>
      <c r="L1859" s="593">
        <v>0</v>
      </c>
      <c r="M1859" s="593">
        <v>0</v>
      </c>
      <c r="N1859" s="593">
        <v>565</v>
      </c>
      <c r="O1859" s="593">
        <v>0</v>
      </c>
      <c r="P1859" s="593">
        <v>1151</v>
      </c>
      <c r="Q1859" s="593">
        <v>1776</v>
      </c>
      <c r="R1859" s="593">
        <v>3290</v>
      </c>
      <c r="S1859" s="593">
        <v>1786</v>
      </c>
      <c r="T1859" s="593">
        <v>2018</v>
      </c>
      <c r="U1859" s="593">
        <v>2015</v>
      </c>
      <c r="V1859" s="589"/>
      <c r="W1859" s="589"/>
      <c r="X1859" s="589"/>
      <c r="Y1859" s="589"/>
      <c r="Z1859" s="589"/>
      <c r="AA1859" s="589"/>
      <c r="AB1859" s="589"/>
      <c r="AC1859" s="589"/>
      <c r="AD1859" s="589"/>
      <c r="AE1859" s="589"/>
      <c r="AF1859" s="589"/>
      <c r="AG1859" s="589"/>
      <c r="AH1859" s="589"/>
      <c r="AI1859" s="589"/>
      <c r="AJ1859" s="589"/>
      <c r="AK1859" s="589"/>
      <c r="AL1859" s="589"/>
      <c r="AM1859" s="589"/>
      <c r="AN1859" s="589"/>
      <c r="AO1859" s="589"/>
      <c r="AP1859" s="589"/>
      <c r="AQ1859" s="589"/>
      <c r="AR1859" s="589"/>
      <c r="AS1859" s="589"/>
    </row>
    <row r="1860" spans="1:45" ht="15">
      <c r="A1860" s="587" t="s">
        <v>169</v>
      </c>
      <c r="B1860" s="587" t="s">
        <v>505</v>
      </c>
      <c r="C1860" s="587" t="s">
        <v>813</v>
      </c>
      <c r="D1860" s="588">
        <v>2018</v>
      </c>
      <c r="E1860" s="587" t="s">
        <v>775</v>
      </c>
      <c r="F1860" s="588">
        <v>42</v>
      </c>
      <c r="G1860" s="588">
        <v>0</v>
      </c>
      <c r="H1860" s="588">
        <v>0</v>
      </c>
      <c r="I1860" s="588">
        <v>0</v>
      </c>
      <c r="J1860" s="588">
        <v>29</v>
      </c>
      <c r="K1860" s="588">
        <v>0</v>
      </c>
      <c r="L1860" s="588">
        <v>0</v>
      </c>
      <c r="M1860" s="588">
        <v>0</v>
      </c>
      <c r="N1860" s="588">
        <v>33</v>
      </c>
      <c r="O1860" s="588">
        <v>0</v>
      </c>
      <c r="P1860" s="588">
        <v>73</v>
      </c>
      <c r="Q1860" s="588">
        <v>5</v>
      </c>
      <c r="R1860" s="588">
        <v>177</v>
      </c>
      <c r="S1860" s="588">
        <v>5</v>
      </c>
      <c r="T1860" s="588">
        <v>2018</v>
      </c>
      <c r="U1860" s="588">
        <v>2014</v>
      </c>
      <c r="V1860" s="589"/>
      <c r="W1860" s="589"/>
      <c r="X1860" s="589"/>
      <c r="Y1860" s="589"/>
      <c r="Z1860" s="589"/>
      <c r="AA1860" s="589"/>
      <c r="AB1860" s="589"/>
      <c r="AC1860" s="589"/>
      <c r="AD1860" s="589"/>
      <c r="AE1860" s="589"/>
      <c r="AF1860" s="589"/>
      <c r="AG1860" s="589"/>
      <c r="AH1860" s="589"/>
      <c r="AI1860" s="589"/>
      <c r="AJ1860" s="589"/>
      <c r="AK1860" s="589"/>
      <c r="AL1860" s="589"/>
      <c r="AM1860" s="589"/>
      <c r="AN1860" s="589"/>
      <c r="AO1860" s="589"/>
      <c r="AP1860" s="589"/>
      <c r="AQ1860" s="589"/>
      <c r="AR1860" s="589"/>
      <c r="AS1860" s="589"/>
    </row>
    <row r="1861" spans="1:45" ht="15">
      <c r="A1861" s="590" t="s">
        <v>195</v>
      </c>
      <c r="B1861" s="590" t="s">
        <v>705</v>
      </c>
      <c r="C1861" s="590" t="s">
        <v>811</v>
      </c>
      <c r="D1861" s="593">
        <v>2018</v>
      </c>
      <c r="E1861" s="590" t="s">
        <v>775</v>
      </c>
      <c r="F1861" s="593">
        <v>1546</v>
      </c>
      <c r="G1861" s="593">
        <v>0</v>
      </c>
      <c r="H1861" s="593">
        <v>0</v>
      </c>
      <c r="I1861" s="593">
        <v>0</v>
      </c>
      <c r="J1861" s="593">
        <v>991</v>
      </c>
      <c r="K1861" s="593">
        <v>6</v>
      </c>
      <c r="L1861" s="593">
        <v>5</v>
      </c>
      <c r="M1861" s="593">
        <v>1</v>
      </c>
      <c r="N1861" s="593">
        <v>1100</v>
      </c>
      <c r="O1861" s="593">
        <v>87</v>
      </c>
      <c r="P1861" s="593">
        <v>2724</v>
      </c>
      <c r="Q1861" s="593">
        <v>120</v>
      </c>
      <c r="R1861" s="593">
        <v>6361</v>
      </c>
      <c r="S1861" s="593">
        <v>213</v>
      </c>
      <c r="T1861" s="593">
        <v>2018</v>
      </c>
      <c r="U1861" s="593">
        <v>2016</v>
      </c>
      <c r="V1861" s="589"/>
      <c r="W1861" s="589"/>
      <c r="X1861" s="589"/>
      <c r="Y1861" s="589"/>
      <c r="Z1861" s="589"/>
      <c r="AA1861" s="589"/>
      <c r="AB1861" s="589"/>
      <c r="AC1861" s="589"/>
      <c r="AD1861" s="589"/>
      <c r="AE1861" s="589"/>
      <c r="AF1861" s="589"/>
      <c r="AG1861" s="589"/>
      <c r="AH1861" s="589"/>
      <c r="AI1861" s="589"/>
      <c r="AJ1861" s="589"/>
      <c r="AK1861" s="589"/>
      <c r="AL1861" s="589"/>
      <c r="AM1861" s="589"/>
      <c r="AN1861" s="589"/>
      <c r="AO1861" s="589"/>
      <c r="AP1861" s="589"/>
      <c r="AQ1861" s="589"/>
      <c r="AR1861" s="589"/>
      <c r="AS1861" s="589"/>
    </row>
    <row r="1862" spans="1:45" ht="15">
      <c r="A1862" s="587" t="s">
        <v>162</v>
      </c>
      <c r="B1862" s="587" t="s">
        <v>461</v>
      </c>
      <c r="C1862" s="587" t="s">
        <v>785</v>
      </c>
      <c r="D1862" s="588">
        <v>2018</v>
      </c>
      <c r="E1862" s="587" t="s">
        <v>775</v>
      </c>
      <c r="F1862" s="588">
        <v>2</v>
      </c>
      <c r="G1862" s="588">
        <v>0</v>
      </c>
      <c r="H1862" s="588">
        <v>0</v>
      </c>
      <c r="I1862" s="588">
        <v>0</v>
      </c>
      <c r="J1862" s="588">
        <v>2</v>
      </c>
      <c r="K1862" s="588">
        <v>2</v>
      </c>
      <c r="L1862" s="588">
        <v>0</v>
      </c>
      <c r="M1862" s="588">
        <v>2</v>
      </c>
      <c r="N1862" s="588">
        <v>1</v>
      </c>
      <c r="O1862" s="588">
        <v>3</v>
      </c>
      <c r="P1862" s="588">
        <v>5</v>
      </c>
      <c r="Q1862" s="588">
        <v>3</v>
      </c>
      <c r="R1862" s="588">
        <v>10</v>
      </c>
      <c r="S1862" s="588">
        <v>8</v>
      </c>
      <c r="T1862" s="588">
        <v>2018</v>
      </c>
      <c r="U1862" s="588">
        <v>2014</v>
      </c>
      <c r="V1862" s="589"/>
      <c r="W1862" s="589"/>
      <c r="X1862" s="589"/>
      <c r="Y1862" s="589"/>
      <c r="Z1862" s="589"/>
      <c r="AA1862" s="589"/>
      <c r="AB1862" s="589"/>
      <c r="AC1862" s="589"/>
      <c r="AD1862" s="589"/>
      <c r="AE1862" s="589"/>
      <c r="AF1862" s="589"/>
      <c r="AG1862" s="589"/>
      <c r="AH1862" s="589"/>
      <c r="AI1862" s="589"/>
      <c r="AJ1862" s="589"/>
      <c r="AK1862" s="589"/>
      <c r="AL1862" s="589"/>
      <c r="AM1862" s="589"/>
      <c r="AN1862" s="589"/>
      <c r="AO1862" s="589"/>
      <c r="AP1862" s="589"/>
      <c r="AQ1862" s="589"/>
      <c r="AR1862" s="589"/>
      <c r="AS1862" s="589"/>
    </row>
    <row r="1863" spans="1:45" ht="15">
      <c r="A1863" s="590" t="s">
        <v>163</v>
      </c>
      <c r="B1863" s="590" t="s">
        <v>463</v>
      </c>
      <c r="C1863" s="590" t="s">
        <v>785</v>
      </c>
      <c r="D1863" s="593">
        <v>2018</v>
      </c>
      <c r="E1863" s="590" t="s">
        <v>775</v>
      </c>
      <c r="F1863" s="593">
        <v>11</v>
      </c>
      <c r="G1863" s="593">
        <v>0</v>
      </c>
      <c r="H1863" s="593">
        <v>0</v>
      </c>
      <c r="I1863" s="593">
        <v>0</v>
      </c>
      <c r="J1863" s="593">
        <v>7</v>
      </c>
      <c r="K1863" s="593">
        <v>9</v>
      </c>
      <c r="L1863" s="593">
        <v>0</v>
      </c>
      <c r="M1863" s="593">
        <v>9</v>
      </c>
      <c r="N1863" s="593">
        <v>9</v>
      </c>
      <c r="O1863" s="593">
        <v>11</v>
      </c>
      <c r="P1863" s="593">
        <v>19</v>
      </c>
      <c r="Q1863" s="593">
        <v>7</v>
      </c>
      <c r="R1863" s="593">
        <v>46</v>
      </c>
      <c r="S1863" s="593">
        <v>27</v>
      </c>
      <c r="T1863" s="593">
        <v>2018</v>
      </c>
      <c r="U1863" s="593">
        <v>2014</v>
      </c>
      <c r="V1863" s="589"/>
      <c r="W1863" s="589"/>
      <c r="X1863" s="589"/>
      <c r="Y1863" s="589"/>
      <c r="Z1863" s="589"/>
      <c r="AA1863" s="589"/>
      <c r="AB1863" s="589"/>
      <c r="AC1863" s="589"/>
      <c r="AD1863" s="589"/>
      <c r="AE1863" s="589"/>
      <c r="AF1863" s="589"/>
      <c r="AG1863" s="589"/>
      <c r="AH1863" s="589"/>
      <c r="AI1863" s="589"/>
      <c r="AJ1863" s="589"/>
      <c r="AK1863" s="589"/>
      <c r="AL1863" s="589"/>
      <c r="AM1863" s="589"/>
      <c r="AN1863" s="589"/>
      <c r="AO1863" s="589"/>
      <c r="AP1863" s="589"/>
      <c r="AQ1863" s="589"/>
      <c r="AR1863" s="589"/>
      <c r="AS1863" s="589"/>
    </row>
    <row r="1864" spans="1:45" ht="15">
      <c r="A1864" s="587" t="s">
        <v>153</v>
      </c>
      <c r="B1864" s="587" t="s">
        <v>399</v>
      </c>
      <c r="C1864" s="587" t="s">
        <v>813</v>
      </c>
      <c r="D1864" s="588">
        <v>2018</v>
      </c>
      <c r="E1864" s="587" t="s">
        <v>775</v>
      </c>
      <c r="F1864" s="588">
        <v>101</v>
      </c>
      <c r="G1864" s="588">
        <v>0</v>
      </c>
      <c r="H1864" s="588">
        <v>0</v>
      </c>
      <c r="I1864" s="588">
        <v>0</v>
      </c>
      <c r="J1864" s="588">
        <v>61</v>
      </c>
      <c r="K1864" s="588">
        <v>0</v>
      </c>
      <c r="L1864" s="588">
        <v>0</v>
      </c>
      <c r="M1864" s="588">
        <v>0</v>
      </c>
      <c r="N1864" s="588">
        <v>65</v>
      </c>
      <c r="O1864" s="588">
        <v>0</v>
      </c>
      <c r="P1864" s="588">
        <v>162</v>
      </c>
      <c r="Q1864" s="588">
        <v>26</v>
      </c>
      <c r="R1864" s="588">
        <v>389</v>
      </c>
      <c r="S1864" s="588">
        <v>26</v>
      </c>
      <c r="T1864" s="588">
        <v>2018</v>
      </c>
      <c r="U1864" s="588">
        <v>2014</v>
      </c>
      <c r="V1864" s="589"/>
      <c r="W1864" s="589"/>
      <c r="X1864" s="589"/>
      <c r="Y1864" s="589"/>
      <c r="Z1864" s="589"/>
      <c r="AA1864" s="589"/>
      <c r="AB1864" s="589"/>
      <c r="AC1864" s="589"/>
      <c r="AD1864" s="589"/>
      <c r="AE1864" s="589"/>
      <c r="AF1864" s="589"/>
      <c r="AG1864" s="589"/>
      <c r="AH1864" s="589"/>
      <c r="AI1864" s="589"/>
      <c r="AJ1864" s="589"/>
      <c r="AK1864" s="589"/>
      <c r="AL1864" s="589"/>
      <c r="AM1864" s="589"/>
      <c r="AN1864" s="589"/>
      <c r="AO1864" s="589"/>
      <c r="AP1864" s="589"/>
      <c r="AQ1864" s="589"/>
      <c r="AR1864" s="589"/>
      <c r="AS1864" s="589"/>
    </row>
    <row r="1865" spans="1:45" ht="15">
      <c r="A1865" s="590" t="s">
        <v>191</v>
      </c>
      <c r="B1865" s="590" t="s">
        <v>680</v>
      </c>
      <c r="C1865" s="590" t="s">
        <v>785</v>
      </c>
      <c r="D1865" s="593">
        <v>2018</v>
      </c>
      <c r="E1865" s="590" t="s">
        <v>775</v>
      </c>
      <c r="F1865" s="593">
        <v>5</v>
      </c>
      <c r="G1865" s="593">
        <v>0</v>
      </c>
      <c r="H1865" s="593">
        <v>0</v>
      </c>
      <c r="I1865" s="593">
        <v>0</v>
      </c>
      <c r="J1865" s="593">
        <v>3</v>
      </c>
      <c r="K1865" s="593">
        <v>0</v>
      </c>
      <c r="L1865" s="593">
        <v>0</v>
      </c>
      <c r="M1865" s="593">
        <v>0</v>
      </c>
      <c r="N1865" s="593">
        <v>3</v>
      </c>
      <c r="O1865" s="593">
        <v>0</v>
      </c>
      <c r="P1865" s="593">
        <v>8</v>
      </c>
      <c r="Q1865" s="593">
        <v>0</v>
      </c>
      <c r="R1865" s="593">
        <v>19</v>
      </c>
      <c r="S1865" s="593">
        <v>0</v>
      </c>
      <c r="T1865" s="593">
        <v>2018</v>
      </c>
      <c r="U1865" s="593">
        <v>2014</v>
      </c>
      <c r="V1865" s="589"/>
      <c r="W1865" s="589"/>
      <c r="X1865" s="589"/>
      <c r="Y1865" s="589"/>
      <c r="Z1865" s="589"/>
      <c r="AA1865" s="589"/>
      <c r="AB1865" s="589"/>
      <c r="AC1865" s="589"/>
      <c r="AD1865" s="589"/>
      <c r="AE1865" s="589"/>
      <c r="AF1865" s="589"/>
      <c r="AG1865" s="589"/>
      <c r="AH1865" s="589"/>
      <c r="AI1865" s="589"/>
      <c r="AJ1865" s="589"/>
      <c r="AK1865" s="589"/>
      <c r="AL1865" s="589"/>
      <c r="AM1865" s="589"/>
      <c r="AN1865" s="589"/>
      <c r="AO1865" s="589"/>
      <c r="AP1865" s="589"/>
      <c r="AQ1865" s="589"/>
      <c r="AR1865" s="589"/>
      <c r="AS1865" s="589"/>
    </row>
    <row r="1866" spans="1:45" ht="15">
      <c r="A1866" s="587" t="s">
        <v>178</v>
      </c>
      <c r="B1866" s="587" t="s">
        <v>578</v>
      </c>
      <c r="C1866" s="587" t="s">
        <v>813</v>
      </c>
      <c r="D1866" s="588">
        <v>2018</v>
      </c>
      <c r="E1866" s="587" t="s">
        <v>775</v>
      </c>
      <c r="F1866" s="588">
        <v>164</v>
      </c>
      <c r="G1866" s="588">
        <v>0</v>
      </c>
      <c r="H1866" s="588">
        <v>0</v>
      </c>
      <c r="I1866" s="588">
        <v>0</v>
      </c>
      <c r="J1866" s="588">
        <v>114</v>
      </c>
      <c r="K1866" s="588">
        <v>0</v>
      </c>
      <c r="L1866" s="588">
        <v>0</v>
      </c>
      <c r="M1866" s="588">
        <v>0</v>
      </c>
      <c r="N1866" s="588">
        <v>125</v>
      </c>
      <c r="O1866" s="588">
        <v>0</v>
      </c>
      <c r="P1866" s="588">
        <v>294</v>
      </c>
      <c r="Q1866" s="588">
        <v>221</v>
      </c>
      <c r="R1866" s="588">
        <v>697</v>
      </c>
      <c r="S1866" s="588">
        <v>221</v>
      </c>
      <c r="T1866" s="588">
        <v>2018</v>
      </c>
      <c r="U1866" s="588">
        <v>2014</v>
      </c>
      <c r="V1866" s="589"/>
      <c r="W1866" s="589"/>
      <c r="X1866" s="589"/>
      <c r="Y1866" s="589"/>
      <c r="Z1866" s="589"/>
      <c r="AA1866" s="589"/>
      <c r="AB1866" s="589"/>
      <c r="AC1866" s="589"/>
      <c r="AD1866" s="589"/>
      <c r="AE1866" s="589"/>
      <c r="AF1866" s="589"/>
      <c r="AG1866" s="589"/>
      <c r="AH1866" s="589"/>
      <c r="AI1866" s="589"/>
      <c r="AJ1866" s="589"/>
      <c r="AK1866" s="589"/>
      <c r="AL1866" s="589"/>
      <c r="AM1866" s="589"/>
      <c r="AN1866" s="589"/>
      <c r="AO1866" s="589"/>
      <c r="AP1866" s="589"/>
      <c r="AQ1866" s="589"/>
      <c r="AR1866" s="589"/>
      <c r="AS1866" s="589"/>
    </row>
    <row r="1867" spans="1:45" ht="15">
      <c r="A1867" s="590" t="s">
        <v>187</v>
      </c>
      <c r="B1867" s="590" t="s">
        <v>658</v>
      </c>
      <c r="C1867" s="590" t="s">
        <v>782</v>
      </c>
      <c r="D1867" s="593">
        <v>2018</v>
      </c>
      <c r="E1867" s="590" t="s">
        <v>775</v>
      </c>
      <c r="F1867" s="593">
        <v>23</v>
      </c>
      <c r="G1867" s="593">
        <v>8</v>
      </c>
      <c r="H1867" s="593">
        <v>0</v>
      </c>
      <c r="I1867" s="593">
        <v>8</v>
      </c>
      <c r="J1867" s="593">
        <v>13</v>
      </c>
      <c r="K1867" s="593">
        <v>0</v>
      </c>
      <c r="L1867" s="593">
        <v>0</v>
      </c>
      <c r="M1867" s="593">
        <v>0</v>
      </c>
      <c r="N1867" s="593">
        <v>13</v>
      </c>
      <c r="O1867" s="593">
        <v>0</v>
      </c>
      <c r="P1867" s="593">
        <v>12</v>
      </c>
      <c r="Q1867" s="593">
        <v>0</v>
      </c>
      <c r="R1867" s="593">
        <v>61</v>
      </c>
      <c r="S1867" s="593">
        <v>8</v>
      </c>
      <c r="T1867" s="593">
        <v>2018</v>
      </c>
      <c r="U1867" s="593">
        <v>2015</v>
      </c>
      <c r="V1867" s="589"/>
      <c r="W1867" s="589"/>
      <c r="X1867" s="589"/>
      <c r="Y1867" s="589"/>
      <c r="Z1867" s="589"/>
      <c r="AA1867" s="589"/>
      <c r="AB1867" s="589"/>
      <c r="AC1867" s="589"/>
      <c r="AD1867" s="589"/>
      <c r="AE1867" s="589"/>
      <c r="AF1867" s="589"/>
      <c r="AG1867" s="589"/>
      <c r="AH1867" s="589"/>
      <c r="AI1867" s="589"/>
      <c r="AJ1867" s="589"/>
      <c r="AK1867" s="589"/>
      <c r="AL1867" s="589"/>
      <c r="AM1867" s="589"/>
      <c r="AN1867" s="589"/>
      <c r="AO1867" s="589"/>
      <c r="AP1867" s="589"/>
      <c r="AQ1867" s="589"/>
      <c r="AR1867" s="589"/>
      <c r="AS1867" s="589"/>
    </row>
    <row r="1868" spans="1:45" ht="15">
      <c r="A1868" s="587" t="s">
        <v>164</v>
      </c>
      <c r="B1868" s="587" t="s">
        <v>164</v>
      </c>
      <c r="C1868" s="587" t="s">
        <v>811</v>
      </c>
      <c r="D1868" s="588">
        <v>2018</v>
      </c>
      <c r="E1868" s="587" t="s">
        <v>775</v>
      </c>
      <c r="F1868" s="588">
        <v>157</v>
      </c>
      <c r="G1868" s="588">
        <v>0</v>
      </c>
      <c r="H1868" s="588">
        <v>0</v>
      </c>
      <c r="I1868" s="588">
        <v>0</v>
      </c>
      <c r="J1868" s="588">
        <v>102</v>
      </c>
      <c r="K1868" s="588">
        <v>0</v>
      </c>
      <c r="L1868" s="588">
        <v>0</v>
      </c>
      <c r="M1868" s="588">
        <v>0</v>
      </c>
      <c r="N1868" s="588">
        <v>119</v>
      </c>
      <c r="O1868" s="588">
        <v>0</v>
      </c>
      <c r="P1868" s="588">
        <v>272</v>
      </c>
      <c r="Q1868" s="588">
        <v>4</v>
      </c>
      <c r="R1868" s="588">
        <v>650</v>
      </c>
      <c r="S1868" s="588">
        <v>4</v>
      </c>
      <c r="T1868" s="588">
        <v>2018</v>
      </c>
      <c r="U1868" s="588">
        <v>2016</v>
      </c>
      <c r="V1868" s="589"/>
      <c r="W1868" s="589"/>
      <c r="X1868" s="589"/>
      <c r="Y1868" s="589"/>
      <c r="Z1868" s="589"/>
      <c r="AA1868" s="589"/>
      <c r="AB1868" s="589"/>
      <c r="AC1868" s="589"/>
      <c r="AD1868" s="589"/>
      <c r="AE1868" s="589"/>
      <c r="AF1868" s="589"/>
      <c r="AG1868" s="589"/>
      <c r="AH1868" s="589"/>
      <c r="AI1868" s="589"/>
      <c r="AJ1868" s="589"/>
      <c r="AK1868" s="589"/>
      <c r="AL1868" s="589"/>
      <c r="AM1868" s="589"/>
      <c r="AN1868" s="589"/>
      <c r="AO1868" s="589"/>
      <c r="AP1868" s="589"/>
      <c r="AQ1868" s="589"/>
      <c r="AR1868" s="589"/>
      <c r="AS1868" s="589"/>
    </row>
    <row r="1869" spans="1:45" ht="15">
      <c r="A1869" s="590" t="s">
        <v>164</v>
      </c>
      <c r="B1869" s="590" t="s">
        <v>470</v>
      </c>
      <c r="C1869" s="590" t="s">
        <v>811</v>
      </c>
      <c r="D1869" s="593">
        <v>2018</v>
      </c>
      <c r="E1869" s="590" t="s">
        <v>775</v>
      </c>
      <c r="F1869" s="593">
        <v>374</v>
      </c>
      <c r="G1869" s="593">
        <v>0</v>
      </c>
      <c r="H1869" s="593">
        <v>0</v>
      </c>
      <c r="I1869" s="593">
        <v>0</v>
      </c>
      <c r="J1869" s="593">
        <v>244</v>
      </c>
      <c r="K1869" s="593">
        <v>0</v>
      </c>
      <c r="L1869" s="593">
        <v>0</v>
      </c>
      <c r="M1869" s="593">
        <v>0</v>
      </c>
      <c r="N1869" s="593">
        <v>282</v>
      </c>
      <c r="O1869" s="593">
        <v>4</v>
      </c>
      <c r="P1869" s="593">
        <v>651</v>
      </c>
      <c r="Q1869" s="593">
        <v>230</v>
      </c>
      <c r="R1869" s="593">
        <v>1551</v>
      </c>
      <c r="S1869" s="593">
        <v>234</v>
      </c>
      <c r="T1869" s="593">
        <v>2018</v>
      </c>
      <c r="U1869" s="593">
        <v>2016</v>
      </c>
      <c r="V1869" s="589"/>
      <c r="W1869" s="589"/>
      <c r="X1869" s="589"/>
      <c r="Y1869" s="589"/>
      <c r="Z1869" s="589"/>
      <c r="AA1869" s="589"/>
      <c r="AB1869" s="589"/>
      <c r="AC1869" s="589"/>
      <c r="AD1869" s="589"/>
      <c r="AE1869" s="589"/>
      <c r="AF1869" s="589"/>
      <c r="AG1869" s="589"/>
      <c r="AH1869" s="589"/>
      <c r="AI1869" s="589"/>
      <c r="AJ1869" s="589"/>
      <c r="AK1869" s="589"/>
      <c r="AL1869" s="589"/>
      <c r="AM1869" s="589"/>
      <c r="AN1869" s="589"/>
      <c r="AO1869" s="589"/>
      <c r="AP1869" s="589"/>
      <c r="AQ1869" s="589"/>
      <c r="AR1869" s="589"/>
      <c r="AS1869" s="589"/>
    </row>
    <row r="1870" spans="1:45" ht="15">
      <c r="A1870" s="587" t="s">
        <v>153</v>
      </c>
      <c r="B1870" s="587" t="s">
        <v>401</v>
      </c>
      <c r="C1870" s="587" t="s">
        <v>813</v>
      </c>
      <c r="D1870" s="588">
        <v>2018</v>
      </c>
      <c r="E1870" s="587" t="s">
        <v>775</v>
      </c>
      <c r="F1870" s="588">
        <v>205</v>
      </c>
      <c r="G1870" s="588">
        <v>0</v>
      </c>
      <c r="H1870" s="588">
        <v>0</v>
      </c>
      <c r="I1870" s="588">
        <v>0</v>
      </c>
      <c r="J1870" s="588">
        <v>123</v>
      </c>
      <c r="K1870" s="588">
        <v>0</v>
      </c>
      <c r="L1870" s="588">
        <v>0</v>
      </c>
      <c r="M1870" s="588">
        <v>0</v>
      </c>
      <c r="N1870" s="588">
        <v>137</v>
      </c>
      <c r="O1870" s="588">
        <v>0</v>
      </c>
      <c r="P1870" s="588">
        <v>350</v>
      </c>
      <c r="Q1870" s="588">
        <v>1</v>
      </c>
      <c r="R1870" s="588">
        <v>815</v>
      </c>
      <c r="S1870" s="588">
        <v>1</v>
      </c>
      <c r="T1870" s="588">
        <v>2018</v>
      </c>
      <c r="U1870" s="588">
        <v>2014</v>
      </c>
      <c r="V1870" s="589"/>
      <c r="W1870" s="589"/>
      <c r="X1870" s="589"/>
      <c r="Y1870" s="589"/>
      <c r="Z1870" s="589"/>
      <c r="AA1870" s="589"/>
      <c r="AB1870" s="589"/>
      <c r="AC1870" s="589"/>
      <c r="AD1870" s="589"/>
      <c r="AE1870" s="589"/>
      <c r="AF1870" s="589"/>
      <c r="AG1870" s="589"/>
      <c r="AH1870" s="589"/>
      <c r="AI1870" s="589"/>
      <c r="AJ1870" s="589"/>
      <c r="AK1870" s="589"/>
      <c r="AL1870" s="589"/>
      <c r="AM1870" s="589"/>
      <c r="AN1870" s="589"/>
      <c r="AO1870" s="589"/>
      <c r="AP1870" s="589"/>
      <c r="AQ1870" s="589"/>
      <c r="AR1870" s="589"/>
      <c r="AS1870" s="589"/>
    </row>
    <row r="1871" spans="1:45" ht="15">
      <c r="A1871" s="590" t="s">
        <v>201</v>
      </c>
      <c r="B1871" s="590" t="s">
        <v>732</v>
      </c>
      <c r="C1871" s="590" t="s">
        <v>813</v>
      </c>
      <c r="D1871" s="593">
        <v>2018</v>
      </c>
      <c r="E1871" s="590" t="s">
        <v>775</v>
      </c>
      <c r="F1871" s="593">
        <v>289</v>
      </c>
      <c r="G1871" s="593">
        <v>0</v>
      </c>
      <c r="H1871" s="593">
        <v>0</v>
      </c>
      <c r="I1871" s="593">
        <v>0</v>
      </c>
      <c r="J1871" s="593">
        <v>197</v>
      </c>
      <c r="K1871" s="593">
        <v>3</v>
      </c>
      <c r="L1871" s="593">
        <v>0</v>
      </c>
      <c r="M1871" s="593">
        <v>3</v>
      </c>
      <c r="N1871" s="593">
        <v>216</v>
      </c>
      <c r="O1871" s="593">
        <v>0</v>
      </c>
      <c r="P1871" s="593">
        <v>462</v>
      </c>
      <c r="Q1871" s="593">
        <v>16</v>
      </c>
      <c r="R1871" s="593">
        <v>1164</v>
      </c>
      <c r="S1871" s="593">
        <v>19</v>
      </c>
      <c r="T1871" s="593">
        <v>2018</v>
      </c>
      <c r="U1871" s="593">
        <v>2014</v>
      </c>
      <c r="V1871" s="589"/>
      <c r="W1871" s="589"/>
      <c r="X1871" s="589"/>
      <c r="Y1871" s="589"/>
      <c r="Z1871" s="589"/>
      <c r="AA1871" s="589"/>
      <c r="AB1871" s="589"/>
      <c r="AC1871" s="589"/>
      <c r="AD1871" s="589"/>
      <c r="AE1871" s="589"/>
      <c r="AF1871" s="589"/>
      <c r="AG1871" s="589"/>
      <c r="AH1871" s="589"/>
      <c r="AI1871" s="589"/>
      <c r="AJ1871" s="589"/>
      <c r="AK1871" s="589"/>
      <c r="AL1871" s="589"/>
      <c r="AM1871" s="589"/>
      <c r="AN1871" s="589"/>
      <c r="AO1871" s="589"/>
      <c r="AP1871" s="589"/>
      <c r="AQ1871" s="589"/>
      <c r="AR1871" s="589"/>
      <c r="AS1871" s="589"/>
    </row>
    <row r="1872" spans="1:45" ht="15">
      <c r="A1872" s="587" t="s">
        <v>136</v>
      </c>
      <c r="B1872" s="587" t="s">
        <v>275</v>
      </c>
      <c r="C1872" s="587" t="s">
        <v>782</v>
      </c>
      <c r="D1872" s="588">
        <v>2018</v>
      </c>
      <c r="E1872" s="587" t="s">
        <v>775</v>
      </c>
      <c r="F1872" s="588">
        <v>75</v>
      </c>
      <c r="G1872" s="588">
        <v>0</v>
      </c>
      <c r="H1872" s="588">
        <v>0</v>
      </c>
      <c r="I1872" s="588">
        <v>0</v>
      </c>
      <c r="J1872" s="588">
        <v>44</v>
      </c>
      <c r="K1872" s="588">
        <v>0</v>
      </c>
      <c r="L1872" s="588">
        <v>0</v>
      </c>
      <c r="M1872" s="588">
        <v>0</v>
      </c>
      <c r="N1872" s="588">
        <v>50</v>
      </c>
      <c r="O1872" s="588">
        <v>1</v>
      </c>
      <c r="P1872" s="588">
        <v>60</v>
      </c>
      <c r="Q1872" s="588">
        <v>34</v>
      </c>
      <c r="R1872" s="588">
        <v>229</v>
      </c>
      <c r="S1872" s="588">
        <v>35</v>
      </c>
      <c r="T1872" s="588">
        <v>2018</v>
      </c>
      <c r="U1872" s="588">
        <v>2015</v>
      </c>
      <c r="V1872" s="589"/>
      <c r="W1872" s="589"/>
      <c r="X1872" s="589"/>
      <c r="Y1872" s="589"/>
      <c r="Z1872" s="589"/>
      <c r="AA1872" s="589"/>
      <c r="AB1872" s="589"/>
      <c r="AC1872" s="589"/>
      <c r="AD1872" s="589"/>
      <c r="AE1872" s="589"/>
      <c r="AF1872" s="589"/>
      <c r="AG1872" s="589"/>
      <c r="AH1872" s="589"/>
      <c r="AI1872" s="589"/>
      <c r="AJ1872" s="589"/>
      <c r="AK1872" s="589"/>
      <c r="AL1872" s="589"/>
      <c r="AM1872" s="589"/>
      <c r="AN1872" s="589"/>
      <c r="AO1872" s="589"/>
      <c r="AP1872" s="589"/>
      <c r="AQ1872" s="589"/>
      <c r="AR1872" s="589"/>
      <c r="AS1872" s="589"/>
    </row>
    <row r="1873" spans="1:45" ht="15">
      <c r="A1873" s="590" t="s">
        <v>173</v>
      </c>
      <c r="B1873" s="590" t="s">
        <v>545</v>
      </c>
      <c r="C1873" s="590" t="s">
        <v>813</v>
      </c>
      <c r="D1873" s="593">
        <v>2018</v>
      </c>
      <c r="E1873" s="590" t="s">
        <v>775</v>
      </c>
      <c r="F1873" s="593">
        <v>1500</v>
      </c>
      <c r="G1873" s="593">
        <v>0</v>
      </c>
      <c r="H1873" s="593">
        <v>0</v>
      </c>
      <c r="I1873" s="593">
        <v>0</v>
      </c>
      <c r="J1873" s="593">
        <v>993</v>
      </c>
      <c r="K1873" s="593">
        <v>0</v>
      </c>
      <c r="L1873" s="593">
        <v>0</v>
      </c>
      <c r="M1873" s="593">
        <v>0</v>
      </c>
      <c r="N1873" s="593">
        <v>1112</v>
      </c>
      <c r="O1873" s="593">
        <v>135</v>
      </c>
      <c r="P1873" s="593">
        <v>2564</v>
      </c>
      <c r="Q1873" s="593">
        <v>415</v>
      </c>
      <c r="R1873" s="593">
        <v>6169</v>
      </c>
      <c r="S1873" s="593">
        <v>550</v>
      </c>
      <c r="T1873" s="593">
        <v>2018</v>
      </c>
      <c r="U1873" s="593">
        <v>2014</v>
      </c>
      <c r="V1873" s="589"/>
      <c r="W1873" s="589"/>
      <c r="X1873" s="589"/>
      <c r="Y1873" s="589"/>
      <c r="Z1873" s="589"/>
      <c r="AA1873" s="589"/>
      <c r="AB1873" s="589"/>
      <c r="AC1873" s="589"/>
      <c r="AD1873" s="589"/>
      <c r="AE1873" s="589"/>
      <c r="AF1873" s="589"/>
      <c r="AG1873" s="589"/>
      <c r="AH1873" s="589"/>
      <c r="AI1873" s="589"/>
      <c r="AJ1873" s="589"/>
      <c r="AK1873" s="589"/>
      <c r="AL1873" s="589"/>
      <c r="AM1873" s="589"/>
      <c r="AN1873" s="589"/>
      <c r="AO1873" s="589"/>
      <c r="AP1873" s="589"/>
      <c r="AQ1873" s="589"/>
      <c r="AR1873" s="589"/>
      <c r="AS1873" s="589"/>
    </row>
    <row r="1874" spans="1:45" ht="15">
      <c r="A1874" s="587" t="s">
        <v>183</v>
      </c>
      <c r="B1874" s="587" t="s">
        <v>619</v>
      </c>
      <c r="C1874" s="587" t="s">
        <v>785</v>
      </c>
      <c r="D1874" s="588">
        <v>2018</v>
      </c>
      <c r="E1874" s="587" t="s">
        <v>775</v>
      </c>
      <c r="F1874" s="588">
        <v>39</v>
      </c>
      <c r="G1874" s="588">
        <v>0</v>
      </c>
      <c r="H1874" s="588">
        <v>0</v>
      </c>
      <c r="I1874" s="588">
        <v>0</v>
      </c>
      <c r="J1874" s="588">
        <v>24</v>
      </c>
      <c r="K1874" s="588">
        <v>0</v>
      </c>
      <c r="L1874" s="588">
        <v>0</v>
      </c>
      <c r="M1874" s="588">
        <v>0</v>
      </c>
      <c r="N1874" s="588">
        <v>27</v>
      </c>
      <c r="O1874" s="588">
        <v>2</v>
      </c>
      <c r="P1874" s="588">
        <v>65</v>
      </c>
      <c r="Q1874" s="588">
        <v>38</v>
      </c>
      <c r="R1874" s="588">
        <v>155</v>
      </c>
      <c r="S1874" s="588">
        <v>40</v>
      </c>
      <c r="T1874" s="588">
        <v>2018</v>
      </c>
      <c r="U1874" s="588">
        <v>2014</v>
      </c>
      <c r="V1874" s="589"/>
      <c r="W1874" s="589"/>
      <c r="X1874" s="589"/>
      <c r="Y1874" s="589"/>
      <c r="Z1874" s="589"/>
      <c r="AA1874" s="589"/>
      <c r="AB1874" s="589"/>
      <c r="AC1874" s="589"/>
      <c r="AD1874" s="589"/>
      <c r="AE1874" s="589"/>
      <c r="AF1874" s="589"/>
      <c r="AG1874" s="589"/>
      <c r="AH1874" s="589"/>
      <c r="AI1874" s="589"/>
      <c r="AJ1874" s="589"/>
      <c r="AK1874" s="589"/>
      <c r="AL1874" s="589"/>
      <c r="AM1874" s="589"/>
      <c r="AN1874" s="589"/>
      <c r="AO1874" s="589"/>
      <c r="AP1874" s="589"/>
      <c r="AQ1874" s="589"/>
      <c r="AR1874" s="589"/>
      <c r="AS1874" s="589"/>
    </row>
    <row r="1875" spans="1:45" ht="15">
      <c r="A1875" s="590" t="s">
        <v>191</v>
      </c>
      <c r="B1875" s="590" t="s">
        <v>681</v>
      </c>
      <c r="C1875" s="590" t="s">
        <v>785</v>
      </c>
      <c r="D1875" s="593">
        <v>2018</v>
      </c>
      <c r="E1875" s="590" t="s">
        <v>775</v>
      </c>
      <c r="F1875" s="593">
        <v>11</v>
      </c>
      <c r="G1875" s="593">
        <v>0</v>
      </c>
      <c r="H1875" s="593">
        <v>0</v>
      </c>
      <c r="I1875" s="593">
        <v>0</v>
      </c>
      <c r="J1875" s="593">
        <v>7</v>
      </c>
      <c r="K1875" s="593">
        <v>0</v>
      </c>
      <c r="L1875" s="593">
        <v>0</v>
      </c>
      <c r="M1875" s="593">
        <v>0</v>
      </c>
      <c r="N1875" s="593">
        <v>8</v>
      </c>
      <c r="O1875" s="593">
        <v>0</v>
      </c>
      <c r="P1875" s="593">
        <v>19</v>
      </c>
      <c r="Q1875" s="593">
        <v>0</v>
      </c>
      <c r="R1875" s="593">
        <v>45</v>
      </c>
      <c r="S1875" s="593">
        <v>0</v>
      </c>
      <c r="T1875" s="593">
        <v>2018</v>
      </c>
      <c r="U1875" s="593">
        <v>2014</v>
      </c>
      <c r="V1875" s="589"/>
      <c r="W1875" s="589"/>
      <c r="X1875" s="589"/>
      <c r="Y1875" s="589"/>
      <c r="Z1875" s="589"/>
      <c r="AA1875" s="589"/>
      <c r="AB1875" s="589"/>
      <c r="AC1875" s="589"/>
      <c r="AD1875" s="589"/>
      <c r="AE1875" s="589"/>
      <c r="AF1875" s="589"/>
      <c r="AG1875" s="589"/>
      <c r="AH1875" s="589"/>
      <c r="AI1875" s="589"/>
      <c r="AJ1875" s="589"/>
      <c r="AK1875" s="589"/>
      <c r="AL1875" s="589"/>
      <c r="AM1875" s="589"/>
      <c r="AN1875" s="589"/>
      <c r="AO1875" s="589"/>
      <c r="AP1875" s="589"/>
      <c r="AQ1875" s="589"/>
      <c r="AR1875" s="589"/>
      <c r="AS1875" s="589"/>
    </row>
    <row r="1876" spans="1:45" ht="15">
      <c r="A1876" s="587" t="s">
        <v>187</v>
      </c>
      <c r="B1876" s="587" t="s">
        <v>660</v>
      </c>
      <c r="C1876" s="587" t="s">
        <v>782</v>
      </c>
      <c r="D1876" s="588">
        <v>2018</v>
      </c>
      <c r="E1876" s="587" t="s">
        <v>775</v>
      </c>
      <c r="F1876" s="588">
        <v>814</v>
      </c>
      <c r="G1876" s="588">
        <v>0</v>
      </c>
      <c r="H1876" s="588">
        <v>0</v>
      </c>
      <c r="I1876" s="588">
        <v>0</v>
      </c>
      <c r="J1876" s="588">
        <v>492</v>
      </c>
      <c r="K1876" s="588">
        <v>10</v>
      </c>
      <c r="L1876" s="588">
        <v>10</v>
      </c>
      <c r="M1876" s="588">
        <v>0</v>
      </c>
      <c r="N1876" s="588">
        <v>527</v>
      </c>
      <c r="O1876" s="588">
        <v>0</v>
      </c>
      <c r="P1876" s="588">
        <v>1093</v>
      </c>
      <c r="Q1876" s="588">
        <v>320</v>
      </c>
      <c r="R1876" s="588">
        <v>2926</v>
      </c>
      <c r="S1876" s="588">
        <v>330</v>
      </c>
      <c r="T1876" s="588">
        <v>2018</v>
      </c>
      <c r="U1876" s="588">
        <v>2015</v>
      </c>
      <c r="V1876" s="589"/>
      <c r="W1876" s="589"/>
      <c r="X1876" s="589"/>
      <c r="Y1876" s="589"/>
      <c r="Z1876" s="589"/>
      <c r="AA1876" s="589"/>
      <c r="AB1876" s="589"/>
      <c r="AC1876" s="589"/>
      <c r="AD1876" s="589"/>
      <c r="AE1876" s="589"/>
      <c r="AF1876" s="589"/>
      <c r="AG1876" s="589"/>
      <c r="AH1876" s="589"/>
      <c r="AI1876" s="589"/>
      <c r="AJ1876" s="589"/>
      <c r="AK1876" s="589"/>
      <c r="AL1876" s="589"/>
      <c r="AM1876" s="589"/>
      <c r="AN1876" s="589"/>
      <c r="AO1876" s="589"/>
      <c r="AP1876" s="589"/>
      <c r="AQ1876" s="589"/>
      <c r="AR1876" s="589"/>
      <c r="AS1876" s="589"/>
    </row>
    <row r="1877" spans="1:45" ht="15">
      <c r="A1877" s="590" t="s">
        <v>173</v>
      </c>
      <c r="B1877" s="590" t="s">
        <v>546</v>
      </c>
      <c r="C1877" s="590" t="s">
        <v>813</v>
      </c>
      <c r="D1877" s="593">
        <v>2018</v>
      </c>
      <c r="E1877" s="590" t="s">
        <v>775</v>
      </c>
      <c r="F1877" s="593">
        <v>395</v>
      </c>
      <c r="G1877" s="593">
        <v>0</v>
      </c>
      <c r="H1877" s="593">
        <v>0</v>
      </c>
      <c r="I1877" s="593">
        <v>0</v>
      </c>
      <c r="J1877" s="593">
        <v>262</v>
      </c>
      <c r="K1877" s="593">
        <v>0</v>
      </c>
      <c r="L1877" s="593">
        <v>0</v>
      </c>
      <c r="M1877" s="593">
        <v>0</v>
      </c>
      <c r="N1877" s="593">
        <v>289</v>
      </c>
      <c r="O1877" s="593">
        <v>0</v>
      </c>
      <c r="P1877" s="593">
        <v>627</v>
      </c>
      <c r="Q1877" s="593">
        <v>245</v>
      </c>
      <c r="R1877" s="593">
        <v>1573</v>
      </c>
      <c r="S1877" s="593">
        <v>245</v>
      </c>
      <c r="T1877" s="593">
        <v>2018</v>
      </c>
      <c r="U1877" s="593">
        <v>2014</v>
      </c>
      <c r="V1877" s="589"/>
      <c r="W1877" s="589"/>
      <c r="X1877" s="589"/>
      <c r="Y1877" s="589"/>
      <c r="Z1877" s="589"/>
      <c r="AA1877" s="589"/>
      <c r="AB1877" s="589"/>
      <c r="AC1877" s="589"/>
      <c r="AD1877" s="589"/>
      <c r="AE1877" s="589"/>
      <c r="AF1877" s="589"/>
      <c r="AG1877" s="589"/>
      <c r="AH1877" s="589"/>
      <c r="AI1877" s="589"/>
      <c r="AJ1877" s="589"/>
      <c r="AK1877" s="589"/>
      <c r="AL1877" s="589"/>
      <c r="AM1877" s="589"/>
      <c r="AN1877" s="589"/>
      <c r="AO1877" s="589"/>
      <c r="AP1877" s="589"/>
      <c r="AQ1877" s="589"/>
      <c r="AR1877" s="589"/>
      <c r="AS1877" s="589"/>
    </row>
    <row r="1878" spans="1:45" ht="15">
      <c r="A1878" s="587" t="s">
        <v>166</v>
      </c>
      <c r="B1878" s="587" t="s">
        <v>166</v>
      </c>
      <c r="C1878" s="587" t="s">
        <v>782</v>
      </c>
      <c r="D1878" s="588">
        <v>2018</v>
      </c>
      <c r="E1878" s="587" t="s">
        <v>775</v>
      </c>
      <c r="F1878" s="588">
        <v>185</v>
      </c>
      <c r="G1878" s="588">
        <v>53</v>
      </c>
      <c r="H1878" s="588">
        <v>53</v>
      </c>
      <c r="I1878" s="588">
        <v>0</v>
      </c>
      <c r="J1878" s="588">
        <v>106</v>
      </c>
      <c r="K1878" s="588">
        <v>15</v>
      </c>
      <c r="L1878" s="588">
        <v>15</v>
      </c>
      <c r="M1878" s="588">
        <v>0</v>
      </c>
      <c r="N1878" s="588">
        <v>141</v>
      </c>
      <c r="O1878" s="588">
        <v>0</v>
      </c>
      <c r="P1878" s="588">
        <v>403</v>
      </c>
      <c r="Q1878" s="588">
        <v>523</v>
      </c>
      <c r="R1878" s="588">
        <v>835</v>
      </c>
      <c r="S1878" s="588">
        <v>591</v>
      </c>
      <c r="T1878" s="588">
        <v>2018</v>
      </c>
      <c r="U1878" s="588">
        <v>2015</v>
      </c>
      <c r="V1878" s="589"/>
      <c r="W1878" s="589"/>
      <c r="X1878" s="589"/>
      <c r="Y1878" s="589"/>
      <c r="Z1878" s="589"/>
      <c r="AA1878" s="589"/>
      <c r="AB1878" s="589"/>
      <c r="AC1878" s="589"/>
      <c r="AD1878" s="589"/>
      <c r="AE1878" s="589"/>
      <c r="AF1878" s="589"/>
      <c r="AG1878" s="589"/>
      <c r="AH1878" s="589"/>
      <c r="AI1878" s="589"/>
      <c r="AJ1878" s="589"/>
      <c r="AK1878" s="589"/>
      <c r="AL1878" s="589"/>
      <c r="AM1878" s="589"/>
      <c r="AN1878" s="589"/>
      <c r="AO1878" s="589"/>
      <c r="AP1878" s="589"/>
      <c r="AQ1878" s="589"/>
      <c r="AR1878" s="589"/>
      <c r="AS1878" s="589"/>
    </row>
    <row r="1879" spans="1:45" ht="15">
      <c r="A1879" s="590" t="s">
        <v>166</v>
      </c>
      <c r="B1879" s="590" t="s">
        <v>478</v>
      </c>
      <c r="C1879" s="590" t="s">
        <v>782</v>
      </c>
      <c r="D1879" s="593">
        <v>2018</v>
      </c>
      <c r="E1879" s="590" t="s">
        <v>775</v>
      </c>
      <c r="F1879" s="593">
        <v>51</v>
      </c>
      <c r="G1879" s="593">
        <v>3</v>
      </c>
      <c r="H1879" s="593">
        <v>0</v>
      </c>
      <c r="I1879" s="593">
        <v>3</v>
      </c>
      <c r="J1879" s="593">
        <v>30</v>
      </c>
      <c r="K1879" s="593">
        <v>0</v>
      </c>
      <c r="L1879" s="593">
        <v>0</v>
      </c>
      <c r="M1879" s="593">
        <v>0</v>
      </c>
      <c r="N1879" s="593">
        <v>32</v>
      </c>
      <c r="O1879" s="593">
        <v>6</v>
      </c>
      <c r="P1879" s="593">
        <v>67</v>
      </c>
      <c r="Q1879" s="593">
        <v>22</v>
      </c>
      <c r="R1879" s="593">
        <v>180</v>
      </c>
      <c r="S1879" s="593">
        <v>31</v>
      </c>
      <c r="T1879" s="593">
        <v>2018</v>
      </c>
      <c r="U1879" s="593">
        <v>2015</v>
      </c>
      <c r="V1879" s="589"/>
      <c r="W1879" s="589"/>
      <c r="X1879" s="589"/>
      <c r="Y1879" s="589"/>
      <c r="Z1879" s="589"/>
      <c r="AA1879" s="589"/>
      <c r="AB1879" s="589"/>
      <c r="AC1879" s="589"/>
      <c r="AD1879" s="589"/>
      <c r="AE1879" s="589"/>
      <c r="AF1879" s="589"/>
      <c r="AG1879" s="589"/>
      <c r="AH1879" s="589"/>
      <c r="AI1879" s="589"/>
      <c r="AJ1879" s="589"/>
      <c r="AK1879" s="589"/>
      <c r="AL1879" s="589"/>
      <c r="AM1879" s="589"/>
      <c r="AN1879" s="589"/>
      <c r="AO1879" s="589"/>
      <c r="AP1879" s="589"/>
      <c r="AQ1879" s="589"/>
      <c r="AR1879" s="589"/>
      <c r="AS1879" s="589"/>
    </row>
    <row r="1880" spans="1:45" ht="15">
      <c r="A1880" s="587" t="s">
        <v>179</v>
      </c>
      <c r="B1880" s="587" t="s">
        <v>600</v>
      </c>
      <c r="C1880" s="587" t="s">
        <v>856</v>
      </c>
      <c r="D1880" s="588">
        <v>2018</v>
      </c>
      <c r="E1880" s="587" t="s">
        <v>775</v>
      </c>
      <c r="F1880" s="588">
        <v>465</v>
      </c>
      <c r="G1880" s="588">
        <v>0</v>
      </c>
      <c r="H1880" s="588">
        <v>0</v>
      </c>
      <c r="I1880" s="588">
        <v>0</v>
      </c>
      <c r="J1880" s="588">
        <v>353</v>
      </c>
      <c r="K1880" s="588">
        <v>0</v>
      </c>
      <c r="L1880" s="588">
        <v>0</v>
      </c>
      <c r="M1880" s="588">
        <v>0</v>
      </c>
      <c r="N1880" s="588">
        <v>327</v>
      </c>
      <c r="O1880" s="588">
        <v>0</v>
      </c>
      <c r="P1880" s="588">
        <v>718</v>
      </c>
      <c r="Q1880" s="588">
        <v>60</v>
      </c>
      <c r="R1880" s="588">
        <v>1863</v>
      </c>
      <c r="S1880" s="588">
        <v>60</v>
      </c>
      <c r="T1880" s="588">
        <v>2018</v>
      </c>
      <c r="U1880" s="588">
        <v>2013</v>
      </c>
      <c r="V1880" s="589"/>
      <c r="W1880" s="589"/>
      <c r="X1880" s="589"/>
      <c r="Y1880" s="589"/>
      <c r="Z1880" s="589"/>
      <c r="AA1880" s="589"/>
      <c r="AB1880" s="589"/>
      <c r="AC1880" s="589"/>
      <c r="AD1880" s="589"/>
      <c r="AE1880" s="589"/>
      <c r="AF1880" s="589"/>
      <c r="AG1880" s="589"/>
      <c r="AH1880" s="589"/>
      <c r="AI1880" s="589"/>
      <c r="AJ1880" s="589"/>
      <c r="AK1880" s="589"/>
      <c r="AL1880" s="589"/>
      <c r="AM1880" s="589"/>
      <c r="AN1880" s="589"/>
      <c r="AO1880" s="589"/>
      <c r="AP1880" s="589"/>
      <c r="AQ1880" s="589"/>
      <c r="AR1880" s="589"/>
      <c r="AS1880" s="589"/>
    </row>
    <row r="1881" spans="1:45" ht="15">
      <c r="A1881" s="590" t="s">
        <v>178</v>
      </c>
      <c r="B1881" s="590" t="s">
        <v>579</v>
      </c>
      <c r="C1881" s="590" t="s">
        <v>813</v>
      </c>
      <c r="D1881" s="593">
        <v>2018</v>
      </c>
      <c r="E1881" s="590" t="s">
        <v>775</v>
      </c>
      <c r="F1881" s="593">
        <v>38</v>
      </c>
      <c r="G1881" s="593">
        <v>0</v>
      </c>
      <c r="H1881" s="593">
        <v>0</v>
      </c>
      <c r="I1881" s="593">
        <v>0</v>
      </c>
      <c r="J1881" s="593">
        <v>29</v>
      </c>
      <c r="K1881" s="593">
        <v>0</v>
      </c>
      <c r="L1881" s="593">
        <v>0</v>
      </c>
      <c r="M1881" s="593">
        <v>0</v>
      </c>
      <c r="N1881" s="593">
        <v>34</v>
      </c>
      <c r="O1881" s="593">
        <v>0</v>
      </c>
      <c r="P1881" s="593">
        <v>80</v>
      </c>
      <c r="Q1881" s="593">
        <v>1</v>
      </c>
      <c r="R1881" s="593">
        <v>181</v>
      </c>
      <c r="S1881" s="593">
        <v>1</v>
      </c>
      <c r="T1881" s="593">
        <v>2018</v>
      </c>
      <c r="U1881" s="593">
        <v>2014</v>
      </c>
      <c r="V1881" s="589"/>
      <c r="W1881" s="589"/>
      <c r="X1881" s="589"/>
      <c r="Y1881" s="589"/>
      <c r="Z1881" s="589"/>
      <c r="AA1881" s="589"/>
      <c r="AB1881" s="589"/>
      <c r="AC1881" s="589"/>
      <c r="AD1881" s="589"/>
      <c r="AE1881" s="589"/>
      <c r="AF1881" s="589"/>
      <c r="AG1881" s="589"/>
      <c r="AH1881" s="589"/>
      <c r="AI1881" s="589"/>
      <c r="AJ1881" s="589"/>
      <c r="AK1881" s="589"/>
      <c r="AL1881" s="589"/>
      <c r="AM1881" s="589"/>
      <c r="AN1881" s="589"/>
      <c r="AO1881" s="589"/>
      <c r="AP1881" s="589"/>
      <c r="AQ1881" s="589"/>
      <c r="AR1881" s="589"/>
      <c r="AS1881" s="589"/>
    </row>
    <row r="1882" spans="1:45" ht="15">
      <c r="A1882" s="587" t="s">
        <v>168</v>
      </c>
      <c r="B1882" s="587" t="s">
        <v>482</v>
      </c>
      <c r="C1882" s="587" t="s">
        <v>785</v>
      </c>
      <c r="D1882" s="588">
        <v>2018</v>
      </c>
      <c r="E1882" s="587" t="s">
        <v>775</v>
      </c>
      <c r="F1882" s="588">
        <v>19</v>
      </c>
      <c r="G1882" s="588">
        <v>0</v>
      </c>
      <c r="H1882" s="588">
        <v>0</v>
      </c>
      <c r="I1882" s="588">
        <v>0</v>
      </c>
      <c r="J1882" s="588">
        <v>14</v>
      </c>
      <c r="K1882" s="588">
        <v>1</v>
      </c>
      <c r="L1882" s="588">
        <v>0</v>
      </c>
      <c r="M1882" s="588">
        <v>1</v>
      </c>
      <c r="N1882" s="588">
        <v>16</v>
      </c>
      <c r="O1882" s="588">
        <v>1</v>
      </c>
      <c r="P1882" s="588">
        <v>36</v>
      </c>
      <c r="Q1882" s="588">
        <v>1</v>
      </c>
      <c r="R1882" s="588">
        <v>85</v>
      </c>
      <c r="S1882" s="588">
        <v>3</v>
      </c>
      <c r="T1882" s="588">
        <v>2018</v>
      </c>
      <c r="U1882" s="588">
        <v>2014</v>
      </c>
      <c r="V1882" s="589"/>
      <c r="W1882" s="589"/>
      <c r="X1882" s="589"/>
      <c r="Y1882" s="589"/>
      <c r="Z1882" s="589"/>
      <c r="AA1882" s="589"/>
      <c r="AB1882" s="589"/>
      <c r="AC1882" s="589"/>
      <c r="AD1882" s="589"/>
      <c r="AE1882" s="589"/>
      <c r="AF1882" s="589"/>
      <c r="AG1882" s="589"/>
      <c r="AH1882" s="589"/>
      <c r="AI1882" s="589"/>
      <c r="AJ1882" s="589"/>
      <c r="AK1882" s="589"/>
      <c r="AL1882" s="589"/>
      <c r="AM1882" s="589"/>
      <c r="AN1882" s="589"/>
      <c r="AO1882" s="589"/>
      <c r="AP1882" s="589"/>
      <c r="AQ1882" s="589"/>
      <c r="AR1882" s="589"/>
      <c r="AS1882" s="589"/>
    </row>
    <row r="1883" spans="1:45" ht="15">
      <c r="A1883" s="590" t="s">
        <v>168</v>
      </c>
      <c r="B1883" s="590" t="s">
        <v>483</v>
      </c>
      <c r="C1883" s="590" t="s">
        <v>785</v>
      </c>
      <c r="D1883" s="593">
        <v>2018</v>
      </c>
      <c r="E1883" s="590" t="s">
        <v>775</v>
      </c>
      <c r="F1883" s="593">
        <v>174</v>
      </c>
      <c r="G1883" s="593">
        <v>4</v>
      </c>
      <c r="H1883" s="593">
        <v>0</v>
      </c>
      <c r="I1883" s="593">
        <v>4</v>
      </c>
      <c r="J1883" s="593">
        <v>126</v>
      </c>
      <c r="K1883" s="593">
        <v>11</v>
      </c>
      <c r="L1883" s="593">
        <v>0</v>
      </c>
      <c r="M1883" s="593">
        <v>11</v>
      </c>
      <c r="N1883" s="593">
        <v>150</v>
      </c>
      <c r="O1883" s="593">
        <v>3</v>
      </c>
      <c r="P1883" s="593">
        <v>314</v>
      </c>
      <c r="Q1883" s="593">
        <v>10</v>
      </c>
      <c r="R1883" s="593">
        <v>764</v>
      </c>
      <c r="S1883" s="593">
        <v>28</v>
      </c>
      <c r="T1883" s="593">
        <v>2018</v>
      </c>
      <c r="U1883" s="593">
        <v>2014</v>
      </c>
      <c r="V1883" s="589"/>
      <c r="W1883" s="589"/>
      <c r="X1883" s="589"/>
      <c r="Y1883" s="589"/>
      <c r="Z1883" s="589"/>
      <c r="AA1883" s="589"/>
      <c r="AB1883" s="589"/>
      <c r="AC1883" s="589"/>
      <c r="AD1883" s="589"/>
      <c r="AE1883" s="589"/>
      <c r="AF1883" s="589"/>
      <c r="AG1883" s="589"/>
      <c r="AH1883" s="589"/>
      <c r="AI1883" s="589"/>
      <c r="AJ1883" s="589"/>
      <c r="AK1883" s="589"/>
      <c r="AL1883" s="589"/>
      <c r="AM1883" s="589"/>
      <c r="AN1883" s="589"/>
      <c r="AO1883" s="589"/>
      <c r="AP1883" s="589"/>
      <c r="AQ1883" s="589"/>
      <c r="AR1883" s="589"/>
      <c r="AS1883" s="589"/>
    </row>
    <row r="1884" spans="1:45" ht="15">
      <c r="A1884" s="587" t="s">
        <v>125</v>
      </c>
      <c r="B1884" s="587" t="s">
        <v>241</v>
      </c>
      <c r="C1884" s="587" t="s">
        <v>782</v>
      </c>
      <c r="D1884" s="588">
        <v>2018</v>
      </c>
      <c r="E1884" s="587" t="s">
        <v>775</v>
      </c>
      <c r="F1884" s="588">
        <v>330</v>
      </c>
      <c r="G1884" s="588">
        <v>0</v>
      </c>
      <c r="H1884" s="588">
        <v>0</v>
      </c>
      <c r="I1884" s="588">
        <v>0</v>
      </c>
      <c r="J1884" s="588">
        <v>167</v>
      </c>
      <c r="K1884" s="588">
        <v>0</v>
      </c>
      <c r="L1884" s="588">
        <v>0</v>
      </c>
      <c r="M1884" s="588">
        <v>0</v>
      </c>
      <c r="N1884" s="588">
        <v>158</v>
      </c>
      <c r="O1884" s="588">
        <v>0</v>
      </c>
      <c r="P1884" s="588">
        <v>423</v>
      </c>
      <c r="Q1884" s="588">
        <v>460</v>
      </c>
      <c r="R1884" s="588">
        <v>1078</v>
      </c>
      <c r="S1884" s="588">
        <v>460</v>
      </c>
      <c r="T1884" s="588">
        <v>2018</v>
      </c>
      <c r="U1884" s="588">
        <v>2015</v>
      </c>
      <c r="V1884" s="589"/>
      <c r="W1884" s="589"/>
      <c r="X1884" s="589"/>
      <c r="Y1884" s="589"/>
      <c r="Z1884" s="589"/>
      <c r="AA1884" s="589"/>
      <c r="AB1884" s="589"/>
      <c r="AC1884" s="589"/>
      <c r="AD1884" s="589"/>
      <c r="AE1884" s="589"/>
      <c r="AF1884" s="589"/>
      <c r="AG1884" s="589"/>
      <c r="AH1884" s="589"/>
      <c r="AI1884" s="589"/>
      <c r="AJ1884" s="589"/>
      <c r="AK1884" s="589"/>
      <c r="AL1884" s="589"/>
      <c r="AM1884" s="589"/>
      <c r="AN1884" s="589"/>
      <c r="AO1884" s="589"/>
      <c r="AP1884" s="589"/>
      <c r="AQ1884" s="589"/>
      <c r="AR1884" s="589"/>
      <c r="AS1884" s="589"/>
    </row>
    <row r="1885" spans="1:45" ht="15">
      <c r="A1885" s="590" t="s">
        <v>195</v>
      </c>
      <c r="B1885" s="590" t="s">
        <v>706</v>
      </c>
      <c r="C1885" s="590" t="s">
        <v>811</v>
      </c>
      <c r="D1885" s="593">
        <v>2018</v>
      </c>
      <c r="E1885" s="590" t="s">
        <v>775</v>
      </c>
      <c r="F1885" s="593">
        <v>186</v>
      </c>
      <c r="G1885" s="593">
        <v>0</v>
      </c>
      <c r="H1885" s="593">
        <v>0</v>
      </c>
      <c r="I1885" s="593">
        <v>0</v>
      </c>
      <c r="J1885" s="593">
        <v>119</v>
      </c>
      <c r="K1885" s="593">
        <v>0</v>
      </c>
      <c r="L1885" s="593">
        <v>0</v>
      </c>
      <c r="M1885" s="593">
        <v>0</v>
      </c>
      <c r="N1885" s="593">
        <v>136</v>
      </c>
      <c r="O1885" s="593">
        <v>2</v>
      </c>
      <c r="P1885" s="593">
        <v>337</v>
      </c>
      <c r="Q1885" s="593">
        <v>48</v>
      </c>
      <c r="R1885" s="593">
        <v>778</v>
      </c>
      <c r="S1885" s="593">
        <v>50</v>
      </c>
      <c r="T1885" s="593">
        <v>2018</v>
      </c>
      <c r="U1885" s="593">
        <v>2016</v>
      </c>
      <c r="V1885" s="589"/>
      <c r="W1885" s="589"/>
      <c r="X1885" s="589"/>
      <c r="Y1885" s="589"/>
      <c r="Z1885" s="589"/>
      <c r="AA1885" s="589"/>
      <c r="AB1885" s="589"/>
      <c r="AC1885" s="589"/>
      <c r="AD1885" s="589"/>
      <c r="AE1885" s="589"/>
      <c r="AF1885" s="589"/>
      <c r="AG1885" s="589"/>
      <c r="AH1885" s="589"/>
      <c r="AI1885" s="589"/>
      <c r="AJ1885" s="589"/>
      <c r="AK1885" s="589"/>
      <c r="AL1885" s="589"/>
      <c r="AM1885" s="589"/>
      <c r="AN1885" s="589"/>
      <c r="AO1885" s="589"/>
      <c r="AP1885" s="589"/>
      <c r="AQ1885" s="589"/>
      <c r="AR1885" s="589"/>
      <c r="AS1885" s="589"/>
    </row>
    <row r="1886" spans="1:45" ht="15">
      <c r="A1886" s="587" t="s">
        <v>169</v>
      </c>
      <c r="B1886" s="587" t="s">
        <v>506</v>
      </c>
      <c r="C1886" s="587" t="s">
        <v>813</v>
      </c>
      <c r="D1886" s="588">
        <v>2018</v>
      </c>
      <c r="E1886" s="587" t="s">
        <v>775</v>
      </c>
      <c r="F1886" s="588">
        <v>1</v>
      </c>
      <c r="G1886" s="588">
        <v>1</v>
      </c>
      <c r="H1886" s="588">
        <v>0</v>
      </c>
      <c r="I1886" s="588">
        <v>1</v>
      </c>
      <c r="J1886" s="588">
        <v>1</v>
      </c>
      <c r="K1886" s="588">
        <v>0</v>
      </c>
      <c r="L1886" s="588">
        <v>0</v>
      </c>
      <c r="M1886" s="588">
        <v>0</v>
      </c>
      <c r="N1886" s="588">
        <v>1</v>
      </c>
      <c r="O1886" s="588">
        <v>0</v>
      </c>
      <c r="P1886" s="588">
        <v>2</v>
      </c>
      <c r="Q1886" s="588">
        <v>35</v>
      </c>
      <c r="R1886" s="588">
        <v>5</v>
      </c>
      <c r="S1886" s="588">
        <v>36</v>
      </c>
      <c r="T1886" s="588">
        <v>2018</v>
      </c>
      <c r="U1886" s="588">
        <v>2014</v>
      </c>
      <c r="V1886" s="589"/>
      <c r="W1886" s="589"/>
      <c r="X1886" s="589"/>
      <c r="Y1886" s="589"/>
      <c r="Z1886" s="589"/>
      <c r="AA1886" s="589"/>
      <c r="AB1886" s="589"/>
      <c r="AC1886" s="589"/>
      <c r="AD1886" s="589"/>
      <c r="AE1886" s="589"/>
      <c r="AF1886" s="589"/>
      <c r="AG1886" s="589"/>
      <c r="AH1886" s="589"/>
      <c r="AI1886" s="589"/>
      <c r="AJ1886" s="589"/>
      <c r="AK1886" s="589"/>
      <c r="AL1886" s="589"/>
      <c r="AM1886" s="589"/>
      <c r="AN1886" s="589"/>
      <c r="AO1886" s="589"/>
      <c r="AP1886" s="589"/>
      <c r="AQ1886" s="589"/>
      <c r="AR1886" s="589"/>
      <c r="AS1886" s="589"/>
    </row>
    <row r="1887" spans="1:45" ht="15">
      <c r="A1887" s="590" t="s">
        <v>153</v>
      </c>
      <c r="B1887" s="590" t="s">
        <v>402</v>
      </c>
      <c r="C1887" s="590" t="s">
        <v>813</v>
      </c>
      <c r="D1887" s="593">
        <v>2018</v>
      </c>
      <c r="E1887" s="590" t="s">
        <v>775</v>
      </c>
      <c r="F1887" s="593">
        <v>52</v>
      </c>
      <c r="G1887" s="593">
        <v>0</v>
      </c>
      <c r="H1887" s="593">
        <v>0</v>
      </c>
      <c r="I1887" s="593">
        <v>0</v>
      </c>
      <c r="J1887" s="593">
        <v>31</v>
      </c>
      <c r="K1887" s="593">
        <v>3</v>
      </c>
      <c r="L1887" s="593">
        <v>0</v>
      </c>
      <c r="M1887" s="593">
        <v>3</v>
      </c>
      <c r="N1887" s="593">
        <v>33</v>
      </c>
      <c r="O1887" s="593">
        <v>3</v>
      </c>
      <c r="P1887" s="593">
        <v>85</v>
      </c>
      <c r="Q1887" s="593">
        <v>26</v>
      </c>
      <c r="R1887" s="593">
        <v>201</v>
      </c>
      <c r="S1887" s="593">
        <v>32</v>
      </c>
      <c r="T1887" s="593">
        <v>2018</v>
      </c>
      <c r="U1887" s="593">
        <v>2014</v>
      </c>
      <c r="V1887" s="589"/>
      <c r="W1887" s="589"/>
      <c r="X1887" s="589"/>
      <c r="Y1887" s="589"/>
      <c r="Z1887" s="589"/>
      <c r="AA1887" s="589"/>
      <c r="AB1887" s="589"/>
      <c r="AC1887" s="589"/>
      <c r="AD1887" s="589"/>
      <c r="AE1887" s="589"/>
      <c r="AF1887" s="589"/>
      <c r="AG1887" s="589"/>
      <c r="AH1887" s="589"/>
      <c r="AI1887" s="589"/>
      <c r="AJ1887" s="589"/>
      <c r="AK1887" s="589"/>
      <c r="AL1887" s="589"/>
      <c r="AM1887" s="589"/>
      <c r="AN1887" s="589"/>
      <c r="AO1887" s="589"/>
      <c r="AP1887" s="589"/>
      <c r="AQ1887" s="589"/>
      <c r="AR1887" s="589"/>
      <c r="AS1887" s="589"/>
    </row>
    <row r="1888" spans="1:45" ht="15">
      <c r="A1888" s="587" t="s">
        <v>157</v>
      </c>
      <c r="B1888" s="587" t="s">
        <v>442</v>
      </c>
      <c r="C1888" s="587" t="s">
        <v>782</v>
      </c>
      <c r="D1888" s="588">
        <v>2018</v>
      </c>
      <c r="E1888" s="587" t="s">
        <v>775</v>
      </c>
      <c r="F1888" s="588">
        <v>111</v>
      </c>
      <c r="G1888" s="588">
        <v>9</v>
      </c>
      <c r="H1888" s="588">
        <v>5</v>
      </c>
      <c r="I1888" s="588">
        <v>4</v>
      </c>
      <c r="J1888" s="588">
        <v>65</v>
      </c>
      <c r="K1888" s="588">
        <v>6</v>
      </c>
      <c r="L1888" s="588">
        <v>4</v>
      </c>
      <c r="M1888" s="588">
        <v>2</v>
      </c>
      <c r="N1888" s="588">
        <v>72</v>
      </c>
      <c r="O1888" s="588">
        <v>39</v>
      </c>
      <c r="P1888" s="588">
        <v>167</v>
      </c>
      <c r="Q1888" s="588">
        <v>8</v>
      </c>
      <c r="R1888" s="588">
        <v>415</v>
      </c>
      <c r="S1888" s="588">
        <v>62</v>
      </c>
      <c r="T1888" s="588">
        <v>2018</v>
      </c>
      <c r="U1888" s="588">
        <v>2015</v>
      </c>
      <c r="V1888" s="589"/>
      <c r="W1888" s="589"/>
      <c r="X1888" s="589"/>
      <c r="Y1888" s="589"/>
      <c r="Z1888" s="589"/>
      <c r="AA1888" s="589"/>
      <c r="AB1888" s="589"/>
      <c r="AC1888" s="589"/>
      <c r="AD1888" s="589"/>
      <c r="AE1888" s="589"/>
      <c r="AF1888" s="589"/>
      <c r="AG1888" s="589"/>
      <c r="AH1888" s="589"/>
      <c r="AI1888" s="589"/>
      <c r="AJ1888" s="589"/>
      <c r="AK1888" s="589"/>
      <c r="AL1888" s="589"/>
      <c r="AM1888" s="589"/>
      <c r="AN1888" s="589"/>
      <c r="AO1888" s="589"/>
      <c r="AP1888" s="589"/>
      <c r="AQ1888" s="589"/>
      <c r="AR1888" s="589"/>
      <c r="AS1888" s="589"/>
    </row>
    <row r="1889" spans="1:45" ht="15">
      <c r="A1889" s="590" t="s">
        <v>195</v>
      </c>
      <c r="B1889" s="590" t="s">
        <v>707</v>
      </c>
      <c r="C1889" s="590" t="s">
        <v>811</v>
      </c>
      <c r="D1889" s="593">
        <v>2018</v>
      </c>
      <c r="E1889" s="590" t="s">
        <v>775</v>
      </c>
      <c r="F1889" s="593">
        <v>315</v>
      </c>
      <c r="G1889" s="593">
        <v>0</v>
      </c>
      <c r="H1889" s="593">
        <v>0</v>
      </c>
      <c r="I1889" s="593">
        <v>0</v>
      </c>
      <c r="J1889" s="593">
        <v>202</v>
      </c>
      <c r="K1889" s="593">
        <v>1</v>
      </c>
      <c r="L1889" s="593">
        <v>0</v>
      </c>
      <c r="M1889" s="593">
        <v>1</v>
      </c>
      <c r="N1889" s="593">
        <v>210</v>
      </c>
      <c r="O1889" s="593">
        <v>4</v>
      </c>
      <c r="P1889" s="593">
        <v>520</v>
      </c>
      <c r="Q1889" s="593">
        <v>119</v>
      </c>
      <c r="R1889" s="593">
        <v>1247</v>
      </c>
      <c r="S1889" s="593">
        <v>124</v>
      </c>
      <c r="T1889" s="593">
        <v>2018</v>
      </c>
      <c r="U1889" s="593">
        <v>2016</v>
      </c>
      <c r="V1889" s="589"/>
      <c r="W1889" s="589"/>
      <c r="X1889" s="589"/>
      <c r="Y1889" s="589"/>
      <c r="Z1889" s="589"/>
      <c r="AA1889" s="589"/>
      <c r="AB1889" s="589"/>
      <c r="AC1889" s="589"/>
      <c r="AD1889" s="589"/>
      <c r="AE1889" s="589"/>
      <c r="AF1889" s="589"/>
      <c r="AG1889" s="589"/>
      <c r="AH1889" s="589"/>
      <c r="AI1889" s="589"/>
      <c r="AJ1889" s="589"/>
      <c r="AK1889" s="589"/>
      <c r="AL1889" s="589"/>
      <c r="AM1889" s="589"/>
      <c r="AN1889" s="589"/>
      <c r="AO1889" s="589"/>
      <c r="AP1889" s="589"/>
      <c r="AQ1889" s="589"/>
      <c r="AR1889" s="589"/>
      <c r="AS1889" s="589"/>
    </row>
    <row r="1890" spans="1:45" ht="15">
      <c r="A1890" s="587" t="s">
        <v>125</v>
      </c>
      <c r="B1890" s="587" t="s">
        <v>242</v>
      </c>
      <c r="C1890" s="587" t="s">
        <v>782</v>
      </c>
      <c r="D1890" s="588">
        <v>2018</v>
      </c>
      <c r="E1890" s="587" t="s">
        <v>775</v>
      </c>
      <c r="F1890" s="588">
        <v>2059</v>
      </c>
      <c r="G1890" s="588">
        <v>204</v>
      </c>
      <c r="H1890" s="588">
        <v>204</v>
      </c>
      <c r="I1890" s="588">
        <v>0</v>
      </c>
      <c r="J1890" s="588">
        <v>2075</v>
      </c>
      <c r="K1890" s="588">
        <v>85</v>
      </c>
      <c r="L1890" s="588">
        <v>85</v>
      </c>
      <c r="M1890" s="588">
        <v>0</v>
      </c>
      <c r="N1890" s="588">
        <v>2815</v>
      </c>
      <c r="O1890" s="588">
        <v>48</v>
      </c>
      <c r="P1890" s="588">
        <v>7816</v>
      </c>
      <c r="Q1890" s="588">
        <v>4280</v>
      </c>
      <c r="R1890" s="588">
        <v>14765</v>
      </c>
      <c r="S1890" s="588">
        <v>4617</v>
      </c>
      <c r="T1890" s="588">
        <v>2018</v>
      </c>
      <c r="U1890" s="588">
        <v>2015</v>
      </c>
      <c r="V1890" s="589"/>
      <c r="W1890" s="589"/>
      <c r="X1890" s="589"/>
      <c r="Y1890" s="589"/>
      <c r="Z1890" s="589"/>
      <c r="AA1890" s="589"/>
      <c r="AB1890" s="589"/>
      <c r="AC1890" s="589"/>
      <c r="AD1890" s="589"/>
      <c r="AE1890" s="589"/>
      <c r="AF1890" s="589"/>
      <c r="AG1890" s="589"/>
      <c r="AH1890" s="589"/>
      <c r="AI1890" s="589"/>
      <c r="AJ1890" s="589"/>
      <c r="AK1890" s="589"/>
      <c r="AL1890" s="589"/>
      <c r="AM1890" s="589"/>
      <c r="AN1890" s="589"/>
      <c r="AO1890" s="589"/>
      <c r="AP1890" s="589"/>
      <c r="AQ1890" s="589"/>
      <c r="AR1890" s="589"/>
      <c r="AS1890" s="589"/>
    </row>
    <row r="1891" spans="1:45" ht="15">
      <c r="A1891" s="590" t="s">
        <v>136</v>
      </c>
      <c r="B1891" s="590" t="s">
        <v>276</v>
      </c>
      <c r="C1891" s="590" t="s">
        <v>782</v>
      </c>
      <c r="D1891" s="593">
        <v>2018</v>
      </c>
      <c r="E1891" s="590" t="s">
        <v>775</v>
      </c>
      <c r="F1891" s="593">
        <v>317</v>
      </c>
      <c r="G1891" s="593">
        <v>0</v>
      </c>
      <c r="H1891" s="593">
        <v>0</v>
      </c>
      <c r="I1891" s="593">
        <v>0</v>
      </c>
      <c r="J1891" s="593">
        <v>174</v>
      </c>
      <c r="K1891" s="593">
        <v>0</v>
      </c>
      <c r="L1891" s="593">
        <v>0</v>
      </c>
      <c r="M1891" s="593">
        <v>0</v>
      </c>
      <c r="N1891" s="593">
        <v>175</v>
      </c>
      <c r="O1891" s="593">
        <v>0</v>
      </c>
      <c r="P1891" s="593">
        <v>502</v>
      </c>
      <c r="Q1891" s="593">
        <v>192</v>
      </c>
      <c r="R1891" s="593">
        <v>1168</v>
      </c>
      <c r="S1891" s="593">
        <v>192</v>
      </c>
      <c r="T1891" s="593">
        <v>2018</v>
      </c>
      <c r="U1891" s="593">
        <v>2015</v>
      </c>
      <c r="V1891" s="589"/>
      <c r="W1891" s="589"/>
      <c r="X1891" s="589"/>
      <c r="Y1891" s="589"/>
      <c r="Z1891" s="589"/>
      <c r="AA1891" s="589"/>
      <c r="AB1891" s="589"/>
      <c r="AC1891" s="589"/>
      <c r="AD1891" s="589"/>
      <c r="AE1891" s="589"/>
      <c r="AF1891" s="589"/>
      <c r="AG1891" s="589"/>
      <c r="AH1891" s="589"/>
      <c r="AI1891" s="589"/>
      <c r="AJ1891" s="589"/>
      <c r="AK1891" s="589"/>
      <c r="AL1891" s="589"/>
      <c r="AM1891" s="589"/>
      <c r="AN1891" s="589"/>
      <c r="AO1891" s="589"/>
      <c r="AP1891" s="589"/>
      <c r="AQ1891" s="589"/>
      <c r="AR1891" s="589"/>
      <c r="AS1891" s="589"/>
    </row>
    <row r="1892" spans="1:45" ht="15">
      <c r="A1892" s="587" t="s">
        <v>179</v>
      </c>
      <c r="B1892" s="587" t="s">
        <v>601</v>
      </c>
      <c r="C1892" s="587" t="s">
        <v>856</v>
      </c>
      <c r="D1892" s="588">
        <v>2018</v>
      </c>
      <c r="E1892" s="587" t="s">
        <v>775</v>
      </c>
      <c r="F1892" s="588">
        <v>1549</v>
      </c>
      <c r="G1892" s="588">
        <v>0</v>
      </c>
      <c r="H1892" s="588">
        <v>0</v>
      </c>
      <c r="I1892" s="588">
        <v>0</v>
      </c>
      <c r="J1892" s="588">
        <v>1178</v>
      </c>
      <c r="K1892" s="588">
        <v>0</v>
      </c>
      <c r="L1892" s="588">
        <v>0</v>
      </c>
      <c r="M1892" s="588">
        <v>0</v>
      </c>
      <c r="N1892" s="588">
        <v>1090</v>
      </c>
      <c r="O1892" s="588">
        <v>27</v>
      </c>
      <c r="P1892" s="588">
        <v>2393</v>
      </c>
      <c r="Q1892" s="588">
        <v>267</v>
      </c>
      <c r="R1892" s="588">
        <v>6210</v>
      </c>
      <c r="S1892" s="588">
        <v>294</v>
      </c>
      <c r="T1892" s="588">
        <v>2018</v>
      </c>
      <c r="U1892" s="588">
        <v>2013</v>
      </c>
      <c r="V1892" s="589"/>
      <c r="W1892" s="589"/>
      <c r="X1892" s="589"/>
      <c r="Y1892" s="589"/>
      <c r="Z1892" s="589"/>
      <c r="AA1892" s="589"/>
      <c r="AB1892" s="589"/>
      <c r="AC1892" s="589"/>
      <c r="AD1892" s="589"/>
      <c r="AE1892" s="589"/>
      <c r="AF1892" s="589"/>
      <c r="AG1892" s="589"/>
      <c r="AH1892" s="589"/>
      <c r="AI1892" s="589"/>
      <c r="AJ1892" s="589"/>
      <c r="AK1892" s="589"/>
      <c r="AL1892" s="589"/>
      <c r="AM1892" s="589"/>
      <c r="AN1892" s="589"/>
      <c r="AO1892" s="589"/>
      <c r="AP1892" s="589"/>
      <c r="AQ1892" s="589"/>
      <c r="AR1892" s="589"/>
      <c r="AS1892" s="589"/>
    </row>
    <row r="1893" spans="1:45" ht="15">
      <c r="A1893" s="590" t="s">
        <v>201</v>
      </c>
      <c r="B1893" s="590" t="s">
        <v>733</v>
      </c>
      <c r="C1893" s="590" t="s">
        <v>813</v>
      </c>
      <c r="D1893" s="593">
        <v>2018</v>
      </c>
      <c r="E1893" s="590" t="s">
        <v>775</v>
      </c>
      <c r="F1893" s="593">
        <v>87</v>
      </c>
      <c r="G1893" s="593">
        <v>0</v>
      </c>
      <c r="H1893" s="593">
        <v>0</v>
      </c>
      <c r="I1893" s="593">
        <v>0</v>
      </c>
      <c r="J1893" s="593">
        <v>59</v>
      </c>
      <c r="K1893" s="593">
        <v>0</v>
      </c>
      <c r="L1893" s="593">
        <v>0</v>
      </c>
      <c r="M1893" s="593">
        <v>0</v>
      </c>
      <c r="N1893" s="593">
        <v>70</v>
      </c>
      <c r="O1893" s="593">
        <v>22</v>
      </c>
      <c r="P1893" s="593">
        <v>155</v>
      </c>
      <c r="Q1893" s="593">
        <v>1</v>
      </c>
      <c r="R1893" s="593">
        <v>371</v>
      </c>
      <c r="S1893" s="593">
        <v>23</v>
      </c>
      <c r="T1893" s="593">
        <v>2018</v>
      </c>
      <c r="U1893" s="593">
        <v>2014</v>
      </c>
      <c r="V1893" s="589"/>
      <c r="W1893" s="589"/>
      <c r="X1893" s="589"/>
      <c r="Y1893" s="589"/>
      <c r="Z1893" s="589"/>
      <c r="AA1893" s="589"/>
      <c r="AB1893" s="589"/>
      <c r="AC1893" s="589"/>
      <c r="AD1893" s="589"/>
      <c r="AE1893" s="589"/>
      <c r="AF1893" s="589"/>
      <c r="AG1893" s="589"/>
      <c r="AH1893" s="589"/>
      <c r="AI1893" s="589"/>
      <c r="AJ1893" s="589"/>
      <c r="AK1893" s="589"/>
      <c r="AL1893" s="589"/>
      <c r="AM1893" s="589"/>
      <c r="AN1893" s="589"/>
      <c r="AO1893" s="589"/>
      <c r="AP1893" s="589"/>
      <c r="AQ1893" s="589"/>
      <c r="AR1893" s="589"/>
      <c r="AS1893" s="589"/>
    </row>
    <row r="1894" spans="1:45" ht="15">
      <c r="A1894" s="587" t="s">
        <v>178</v>
      </c>
      <c r="B1894" s="587" t="s">
        <v>580</v>
      </c>
      <c r="C1894" s="587" t="s">
        <v>813</v>
      </c>
      <c r="D1894" s="588">
        <v>2018</v>
      </c>
      <c r="E1894" s="587" t="s">
        <v>775</v>
      </c>
      <c r="F1894" s="588">
        <v>2592</v>
      </c>
      <c r="G1894" s="588">
        <v>50</v>
      </c>
      <c r="H1894" s="588">
        <v>50</v>
      </c>
      <c r="I1894" s="588">
        <v>0</v>
      </c>
      <c r="J1894" s="588">
        <v>1745</v>
      </c>
      <c r="K1894" s="588">
        <v>24</v>
      </c>
      <c r="L1894" s="588">
        <v>24</v>
      </c>
      <c r="M1894" s="588">
        <v>0</v>
      </c>
      <c r="N1894" s="588">
        <v>1977</v>
      </c>
      <c r="O1894" s="588">
        <v>72</v>
      </c>
      <c r="P1894" s="588">
        <v>4547</v>
      </c>
      <c r="Q1894" s="588">
        <v>1167</v>
      </c>
      <c r="R1894" s="588">
        <v>10861</v>
      </c>
      <c r="S1894" s="588">
        <v>1313</v>
      </c>
      <c r="T1894" s="588">
        <v>2018</v>
      </c>
      <c r="U1894" s="588">
        <v>2014</v>
      </c>
      <c r="V1894" s="589"/>
      <c r="W1894" s="589"/>
      <c r="X1894" s="589"/>
      <c r="Y1894" s="589"/>
      <c r="Z1894" s="589"/>
      <c r="AA1894" s="589"/>
      <c r="AB1894" s="589"/>
      <c r="AC1894" s="589"/>
      <c r="AD1894" s="589"/>
      <c r="AE1894" s="589"/>
      <c r="AF1894" s="589"/>
      <c r="AG1894" s="589"/>
      <c r="AH1894" s="589"/>
      <c r="AI1894" s="589"/>
      <c r="AJ1894" s="589"/>
      <c r="AK1894" s="589"/>
      <c r="AL1894" s="589"/>
      <c r="AM1894" s="589"/>
      <c r="AN1894" s="589"/>
      <c r="AO1894" s="589"/>
      <c r="AP1894" s="589"/>
      <c r="AQ1894" s="589"/>
      <c r="AR1894" s="589"/>
      <c r="AS1894" s="589"/>
    </row>
    <row r="1895" spans="1:45" ht="15">
      <c r="A1895" s="590" t="s">
        <v>169</v>
      </c>
      <c r="B1895" s="590" t="s">
        <v>169</v>
      </c>
      <c r="C1895" s="590" t="s">
        <v>813</v>
      </c>
      <c r="D1895" s="593">
        <v>2018</v>
      </c>
      <c r="E1895" s="590" t="s">
        <v>775</v>
      </c>
      <c r="F1895" s="593">
        <v>83</v>
      </c>
      <c r="G1895" s="593">
        <v>0</v>
      </c>
      <c r="H1895" s="593">
        <v>0</v>
      </c>
      <c r="I1895" s="593">
        <v>0</v>
      </c>
      <c r="J1895" s="593">
        <v>59</v>
      </c>
      <c r="K1895" s="593">
        <v>0</v>
      </c>
      <c r="L1895" s="593">
        <v>0</v>
      </c>
      <c r="M1895" s="593">
        <v>0</v>
      </c>
      <c r="N1895" s="593">
        <v>66</v>
      </c>
      <c r="O1895" s="593">
        <v>10</v>
      </c>
      <c r="P1895" s="593">
        <v>155</v>
      </c>
      <c r="Q1895" s="593">
        <v>19</v>
      </c>
      <c r="R1895" s="593">
        <v>363</v>
      </c>
      <c r="S1895" s="593">
        <v>29</v>
      </c>
      <c r="T1895" s="593">
        <v>2018</v>
      </c>
      <c r="U1895" s="593">
        <v>2014</v>
      </c>
      <c r="V1895" s="589"/>
      <c r="W1895" s="589"/>
      <c r="X1895" s="589"/>
      <c r="Y1895" s="589"/>
      <c r="Z1895" s="589"/>
      <c r="AA1895" s="589"/>
      <c r="AB1895" s="589"/>
      <c r="AC1895" s="589"/>
      <c r="AD1895" s="589"/>
      <c r="AE1895" s="589"/>
      <c r="AF1895" s="589"/>
      <c r="AG1895" s="589"/>
      <c r="AH1895" s="589"/>
      <c r="AI1895" s="589"/>
      <c r="AJ1895" s="589"/>
      <c r="AK1895" s="589"/>
      <c r="AL1895" s="589"/>
      <c r="AM1895" s="589"/>
      <c r="AN1895" s="589"/>
      <c r="AO1895" s="589"/>
      <c r="AP1895" s="589"/>
      <c r="AQ1895" s="589"/>
      <c r="AR1895" s="589"/>
      <c r="AS1895" s="589"/>
    </row>
    <row r="1896" spans="1:45" ht="15">
      <c r="A1896" s="587" t="s">
        <v>169</v>
      </c>
      <c r="B1896" s="587" t="s">
        <v>507</v>
      </c>
      <c r="C1896" s="587" t="s">
        <v>813</v>
      </c>
      <c r="D1896" s="588">
        <v>2018</v>
      </c>
      <c r="E1896" s="587" t="s">
        <v>775</v>
      </c>
      <c r="F1896" s="588">
        <v>1240</v>
      </c>
      <c r="G1896" s="588">
        <v>0</v>
      </c>
      <c r="H1896" s="588">
        <v>0</v>
      </c>
      <c r="I1896" s="588">
        <v>0</v>
      </c>
      <c r="J1896" s="588">
        <v>879</v>
      </c>
      <c r="K1896" s="588">
        <v>0</v>
      </c>
      <c r="L1896" s="588">
        <v>0</v>
      </c>
      <c r="M1896" s="588">
        <v>0</v>
      </c>
      <c r="N1896" s="588">
        <v>979</v>
      </c>
      <c r="O1896" s="588">
        <v>0</v>
      </c>
      <c r="P1896" s="588">
        <v>2174</v>
      </c>
      <c r="Q1896" s="588">
        <v>606</v>
      </c>
      <c r="R1896" s="588">
        <v>5272</v>
      </c>
      <c r="S1896" s="588">
        <v>606</v>
      </c>
      <c r="T1896" s="588">
        <v>2018</v>
      </c>
      <c r="U1896" s="588">
        <v>2014</v>
      </c>
      <c r="V1896" s="589"/>
      <c r="W1896" s="589"/>
      <c r="X1896" s="589"/>
      <c r="Y1896" s="589"/>
      <c r="Z1896" s="589"/>
      <c r="AA1896" s="589"/>
      <c r="AB1896" s="589"/>
      <c r="AC1896" s="589"/>
      <c r="AD1896" s="589"/>
      <c r="AE1896" s="589"/>
      <c r="AF1896" s="589"/>
      <c r="AG1896" s="589"/>
      <c r="AH1896" s="589"/>
      <c r="AI1896" s="589"/>
      <c r="AJ1896" s="589"/>
      <c r="AK1896" s="589"/>
      <c r="AL1896" s="589"/>
      <c r="AM1896" s="589"/>
      <c r="AN1896" s="589"/>
      <c r="AO1896" s="589"/>
      <c r="AP1896" s="589"/>
      <c r="AQ1896" s="589"/>
      <c r="AR1896" s="589"/>
      <c r="AS1896" s="589"/>
    </row>
    <row r="1897" spans="1:45" ht="15">
      <c r="A1897" s="590" t="s">
        <v>141</v>
      </c>
      <c r="B1897" s="590" t="s">
        <v>299</v>
      </c>
      <c r="C1897" s="590" t="s">
        <v>811</v>
      </c>
      <c r="D1897" s="593">
        <v>2018</v>
      </c>
      <c r="E1897" s="590" t="s">
        <v>775</v>
      </c>
      <c r="F1897" s="593">
        <v>111</v>
      </c>
      <c r="G1897" s="593">
        <v>0</v>
      </c>
      <c r="H1897" s="593">
        <v>0</v>
      </c>
      <c r="I1897" s="593">
        <v>0</v>
      </c>
      <c r="J1897" s="593">
        <v>86</v>
      </c>
      <c r="K1897" s="593">
        <v>1</v>
      </c>
      <c r="L1897" s="593">
        <v>0</v>
      </c>
      <c r="M1897" s="593">
        <v>1</v>
      </c>
      <c r="N1897" s="593">
        <v>105</v>
      </c>
      <c r="O1897" s="593">
        <v>1</v>
      </c>
      <c r="P1897" s="593">
        <v>367</v>
      </c>
      <c r="Q1897" s="593">
        <v>0</v>
      </c>
      <c r="R1897" s="593">
        <v>669</v>
      </c>
      <c r="S1897" s="593">
        <v>2</v>
      </c>
      <c r="T1897" s="593">
        <v>2018</v>
      </c>
      <c r="U1897" s="593">
        <v>2016</v>
      </c>
      <c r="V1897" s="589"/>
      <c r="W1897" s="589"/>
      <c r="X1897" s="589"/>
      <c r="Y1897" s="589"/>
      <c r="Z1897" s="589"/>
      <c r="AA1897" s="589"/>
      <c r="AB1897" s="589"/>
      <c r="AC1897" s="589"/>
      <c r="AD1897" s="589"/>
      <c r="AE1897" s="589"/>
      <c r="AF1897" s="589"/>
      <c r="AG1897" s="589"/>
      <c r="AH1897" s="589"/>
      <c r="AI1897" s="589"/>
      <c r="AJ1897" s="589"/>
      <c r="AK1897" s="589"/>
      <c r="AL1897" s="589"/>
      <c r="AM1897" s="589"/>
      <c r="AN1897" s="589"/>
      <c r="AO1897" s="589"/>
      <c r="AP1897" s="589"/>
      <c r="AQ1897" s="589"/>
      <c r="AR1897" s="589"/>
      <c r="AS1897" s="589"/>
    </row>
    <row r="1898" spans="1:45" ht="15">
      <c r="A1898" s="587" t="s">
        <v>136</v>
      </c>
      <c r="B1898" s="587" t="s">
        <v>277</v>
      </c>
      <c r="C1898" s="587" t="s">
        <v>782</v>
      </c>
      <c r="D1898" s="588">
        <v>2018</v>
      </c>
      <c r="E1898" s="587" t="s">
        <v>775</v>
      </c>
      <c r="F1898" s="588">
        <v>84</v>
      </c>
      <c r="G1898" s="588">
        <v>0</v>
      </c>
      <c r="H1898" s="588">
        <v>0</v>
      </c>
      <c r="I1898" s="588">
        <v>0</v>
      </c>
      <c r="J1898" s="588">
        <v>47</v>
      </c>
      <c r="K1898" s="588">
        <v>0</v>
      </c>
      <c r="L1898" s="588">
        <v>0</v>
      </c>
      <c r="M1898" s="588">
        <v>0</v>
      </c>
      <c r="N1898" s="588">
        <v>54</v>
      </c>
      <c r="O1898" s="588">
        <v>4</v>
      </c>
      <c r="P1898" s="588">
        <v>42</v>
      </c>
      <c r="Q1898" s="588">
        <v>51</v>
      </c>
      <c r="R1898" s="588">
        <v>227</v>
      </c>
      <c r="S1898" s="588">
        <v>55</v>
      </c>
      <c r="T1898" s="588">
        <v>2018</v>
      </c>
      <c r="U1898" s="588">
        <v>2015</v>
      </c>
      <c r="V1898" s="589"/>
      <c r="W1898" s="589"/>
      <c r="X1898" s="589"/>
      <c r="Y1898" s="589"/>
      <c r="Z1898" s="589"/>
      <c r="AA1898" s="589"/>
      <c r="AB1898" s="589"/>
      <c r="AC1898" s="589"/>
      <c r="AD1898" s="589"/>
      <c r="AE1898" s="589"/>
      <c r="AF1898" s="589"/>
      <c r="AG1898" s="589"/>
      <c r="AH1898" s="589"/>
      <c r="AI1898" s="589"/>
      <c r="AJ1898" s="589"/>
      <c r="AK1898" s="589"/>
      <c r="AL1898" s="589"/>
      <c r="AM1898" s="589"/>
      <c r="AN1898" s="589"/>
      <c r="AO1898" s="589"/>
      <c r="AP1898" s="589"/>
      <c r="AQ1898" s="589"/>
      <c r="AR1898" s="589"/>
      <c r="AS1898" s="589"/>
    </row>
    <row r="1899" spans="1:45" ht="15">
      <c r="A1899" s="590" t="s">
        <v>144</v>
      </c>
      <c r="B1899" s="590" t="s">
        <v>305</v>
      </c>
      <c r="C1899" s="590" t="s">
        <v>785</v>
      </c>
      <c r="D1899" s="593">
        <v>2018</v>
      </c>
      <c r="E1899" s="590" t="s">
        <v>775</v>
      </c>
      <c r="F1899" s="593">
        <v>20</v>
      </c>
      <c r="G1899" s="593">
        <v>0</v>
      </c>
      <c r="H1899" s="593">
        <v>0</v>
      </c>
      <c r="I1899" s="593">
        <v>0</v>
      </c>
      <c r="J1899" s="593">
        <v>10</v>
      </c>
      <c r="K1899" s="593">
        <v>33</v>
      </c>
      <c r="L1899" s="593">
        <v>33</v>
      </c>
      <c r="M1899" s="593">
        <v>0</v>
      </c>
      <c r="N1899" s="593">
        <v>14</v>
      </c>
      <c r="O1899" s="593">
        <v>13</v>
      </c>
      <c r="P1899" s="593">
        <v>36</v>
      </c>
      <c r="Q1899" s="593">
        <v>0</v>
      </c>
      <c r="R1899" s="593">
        <v>80</v>
      </c>
      <c r="S1899" s="593">
        <v>46</v>
      </c>
      <c r="T1899" s="593">
        <v>2018</v>
      </c>
      <c r="U1899" s="593">
        <v>2014</v>
      </c>
      <c r="V1899" s="589"/>
      <c r="W1899" s="589"/>
      <c r="X1899" s="589"/>
      <c r="Y1899" s="589"/>
      <c r="Z1899" s="589"/>
      <c r="AA1899" s="589"/>
      <c r="AB1899" s="589"/>
      <c r="AC1899" s="589"/>
      <c r="AD1899" s="589"/>
      <c r="AE1899" s="589"/>
      <c r="AF1899" s="589"/>
      <c r="AG1899" s="589"/>
      <c r="AH1899" s="589"/>
      <c r="AI1899" s="589"/>
      <c r="AJ1899" s="589"/>
      <c r="AK1899" s="589"/>
      <c r="AL1899" s="589"/>
      <c r="AM1899" s="589"/>
      <c r="AN1899" s="589"/>
      <c r="AO1899" s="589"/>
      <c r="AP1899" s="589"/>
      <c r="AQ1899" s="589"/>
      <c r="AR1899" s="589"/>
      <c r="AS1899" s="589"/>
    </row>
    <row r="1900" spans="1:45" ht="15">
      <c r="A1900" s="587" t="s">
        <v>131</v>
      </c>
      <c r="B1900" s="587" t="s">
        <v>259</v>
      </c>
      <c r="C1900" s="587" t="s">
        <v>787</v>
      </c>
      <c r="D1900" s="588">
        <v>2018</v>
      </c>
      <c r="E1900" s="587" t="s">
        <v>775</v>
      </c>
      <c r="F1900" s="588">
        <v>419</v>
      </c>
      <c r="G1900" s="588">
        <v>0</v>
      </c>
      <c r="H1900" s="588">
        <v>0</v>
      </c>
      <c r="I1900" s="588">
        <v>0</v>
      </c>
      <c r="J1900" s="588">
        <v>284</v>
      </c>
      <c r="K1900" s="588">
        <v>0</v>
      </c>
      <c r="L1900" s="588">
        <v>0</v>
      </c>
      <c r="M1900" s="588">
        <v>0</v>
      </c>
      <c r="N1900" s="588">
        <v>306</v>
      </c>
      <c r="O1900" s="588">
        <v>0</v>
      </c>
      <c r="P1900" s="588">
        <v>784</v>
      </c>
      <c r="Q1900" s="588">
        <v>9</v>
      </c>
      <c r="R1900" s="588">
        <v>1793</v>
      </c>
      <c r="S1900" s="588">
        <v>9</v>
      </c>
      <c r="T1900" s="588">
        <v>2018</v>
      </c>
      <c r="U1900" s="588">
        <v>2014</v>
      </c>
      <c r="V1900" s="589"/>
      <c r="W1900" s="589"/>
      <c r="X1900" s="589"/>
      <c r="Y1900" s="589"/>
      <c r="Z1900" s="589"/>
      <c r="AA1900" s="589"/>
      <c r="AB1900" s="589"/>
      <c r="AC1900" s="589"/>
      <c r="AD1900" s="589"/>
      <c r="AE1900" s="589"/>
      <c r="AF1900" s="589"/>
      <c r="AG1900" s="589"/>
      <c r="AH1900" s="589"/>
      <c r="AI1900" s="589"/>
      <c r="AJ1900" s="589"/>
      <c r="AK1900" s="589"/>
      <c r="AL1900" s="589"/>
      <c r="AM1900" s="589"/>
      <c r="AN1900" s="589"/>
      <c r="AO1900" s="589"/>
      <c r="AP1900" s="589"/>
      <c r="AQ1900" s="589"/>
      <c r="AR1900" s="589"/>
      <c r="AS1900" s="589"/>
    </row>
    <row r="1901" spans="1:45" ht="15">
      <c r="A1901" s="590" t="s">
        <v>201</v>
      </c>
      <c r="B1901" s="590" t="s">
        <v>734</v>
      </c>
      <c r="C1901" s="590" t="s">
        <v>813</v>
      </c>
      <c r="D1901" s="593">
        <v>2018</v>
      </c>
      <c r="E1901" s="590" t="s">
        <v>775</v>
      </c>
      <c r="F1901" s="593">
        <v>1688</v>
      </c>
      <c r="G1901" s="593">
        <v>51</v>
      </c>
      <c r="H1901" s="593">
        <v>51</v>
      </c>
      <c r="I1901" s="593">
        <v>0</v>
      </c>
      <c r="J1901" s="593">
        <v>1160</v>
      </c>
      <c r="K1901" s="593">
        <v>230</v>
      </c>
      <c r="L1901" s="593">
        <v>229</v>
      </c>
      <c r="M1901" s="593">
        <v>1</v>
      </c>
      <c r="N1901" s="593">
        <v>1351</v>
      </c>
      <c r="O1901" s="593">
        <v>0</v>
      </c>
      <c r="P1901" s="593">
        <v>3102</v>
      </c>
      <c r="Q1901" s="593">
        <v>146</v>
      </c>
      <c r="R1901" s="593">
        <v>7301</v>
      </c>
      <c r="S1901" s="593">
        <v>427</v>
      </c>
      <c r="T1901" s="593">
        <v>2018</v>
      </c>
      <c r="U1901" s="593">
        <v>2014</v>
      </c>
      <c r="V1901" s="589"/>
      <c r="W1901" s="589"/>
      <c r="X1901" s="589"/>
      <c r="Y1901" s="589"/>
      <c r="Z1901" s="589"/>
      <c r="AA1901" s="589"/>
      <c r="AB1901" s="589"/>
      <c r="AC1901" s="589"/>
      <c r="AD1901" s="589"/>
      <c r="AE1901" s="589"/>
      <c r="AF1901" s="589"/>
      <c r="AG1901" s="589"/>
      <c r="AH1901" s="589"/>
      <c r="AI1901" s="589"/>
      <c r="AJ1901" s="589"/>
      <c r="AK1901" s="589"/>
      <c r="AL1901" s="589"/>
      <c r="AM1901" s="589"/>
      <c r="AN1901" s="589"/>
      <c r="AO1901" s="589"/>
      <c r="AP1901" s="589"/>
      <c r="AQ1901" s="589"/>
      <c r="AR1901" s="589"/>
      <c r="AS1901" s="589"/>
    </row>
    <row r="1902" spans="1:45" ht="15">
      <c r="A1902" s="587" t="s">
        <v>164</v>
      </c>
      <c r="B1902" s="587" t="s">
        <v>471</v>
      </c>
      <c r="C1902" s="587" t="s">
        <v>811</v>
      </c>
      <c r="D1902" s="588">
        <v>2018</v>
      </c>
      <c r="E1902" s="587" t="s">
        <v>775</v>
      </c>
      <c r="F1902" s="588">
        <v>28</v>
      </c>
      <c r="G1902" s="588">
        <v>0</v>
      </c>
      <c r="H1902" s="588">
        <v>0</v>
      </c>
      <c r="I1902" s="588">
        <v>0</v>
      </c>
      <c r="J1902" s="588">
        <v>18</v>
      </c>
      <c r="K1902" s="588">
        <v>0</v>
      </c>
      <c r="L1902" s="588">
        <v>0</v>
      </c>
      <c r="M1902" s="588">
        <v>0</v>
      </c>
      <c r="N1902" s="588">
        <v>21</v>
      </c>
      <c r="O1902" s="588">
        <v>6</v>
      </c>
      <c r="P1902" s="588">
        <v>48</v>
      </c>
      <c r="Q1902" s="588">
        <v>11</v>
      </c>
      <c r="R1902" s="588">
        <v>115</v>
      </c>
      <c r="S1902" s="588">
        <v>17</v>
      </c>
      <c r="T1902" s="588">
        <v>2018</v>
      </c>
      <c r="U1902" s="588">
        <v>2016</v>
      </c>
      <c r="V1902" s="589"/>
      <c r="W1902" s="589"/>
      <c r="X1902" s="589"/>
      <c r="Y1902" s="589"/>
      <c r="Z1902" s="589"/>
      <c r="AA1902" s="589"/>
      <c r="AB1902" s="589"/>
      <c r="AC1902" s="589"/>
      <c r="AD1902" s="589"/>
      <c r="AE1902" s="589"/>
      <c r="AF1902" s="589"/>
      <c r="AG1902" s="589"/>
      <c r="AH1902" s="589"/>
      <c r="AI1902" s="589"/>
      <c r="AJ1902" s="589"/>
      <c r="AK1902" s="589"/>
      <c r="AL1902" s="589"/>
      <c r="AM1902" s="589"/>
      <c r="AN1902" s="589"/>
      <c r="AO1902" s="589"/>
      <c r="AP1902" s="589"/>
      <c r="AQ1902" s="589"/>
      <c r="AR1902" s="589"/>
      <c r="AS1902" s="589"/>
    </row>
    <row r="1903" spans="1:45" ht="15">
      <c r="A1903" s="590" t="s">
        <v>184</v>
      </c>
      <c r="B1903" s="590" t="s">
        <v>635</v>
      </c>
      <c r="C1903" s="590" t="s">
        <v>782</v>
      </c>
      <c r="D1903" s="593">
        <v>2018</v>
      </c>
      <c r="E1903" s="590" t="s">
        <v>775</v>
      </c>
      <c r="F1903" s="593">
        <v>121</v>
      </c>
      <c r="G1903" s="593">
        <v>0</v>
      </c>
      <c r="H1903" s="593">
        <v>0</v>
      </c>
      <c r="I1903" s="593">
        <v>0</v>
      </c>
      <c r="J1903" s="593">
        <v>68</v>
      </c>
      <c r="K1903" s="593">
        <v>0</v>
      </c>
      <c r="L1903" s="593">
        <v>0</v>
      </c>
      <c r="M1903" s="593">
        <v>0</v>
      </c>
      <c r="N1903" s="593">
        <v>70</v>
      </c>
      <c r="O1903" s="593">
        <v>0</v>
      </c>
      <c r="P1903" s="593">
        <v>154</v>
      </c>
      <c r="Q1903" s="593">
        <v>26</v>
      </c>
      <c r="R1903" s="593">
        <v>413</v>
      </c>
      <c r="S1903" s="593">
        <v>26</v>
      </c>
      <c r="T1903" s="593">
        <v>2018</v>
      </c>
      <c r="U1903" s="593">
        <v>2015</v>
      </c>
      <c r="V1903" s="589"/>
      <c r="W1903" s="589"/>
      <c r="X1903" s="589"/>
      <c r="Y1903" s="589"/>
      <c r="Z1903" s="589"/>
      <c r="AA1903" s="589"/>
      <c r="AB1903" s="589"/>
      <c r="AC1903" s="589"/>
      <c r="AD1903" s="589"/>
      <c r="AE1903" s="589"/>
      <c r="AF1903" s="589"/>
      <c r="AG1903" s="589"/>
      <c r="AH1903" s="589"/>
      <c r="AI1903" s="589"/>
      <c r="AJ1903" s="589"/>
      <c r="AK1903" s="589"/>
      <c r="AL1903" s="589"/>
      <c r="AM1903" s="589"/>
      <c r="AN1903" s="589"/>
      <c r="AO1903" s="589"/>
      <c r="AP1903" s="589"/>
      <c r="AQ1903" s="589"/>
      <c r="AR1903" s="589"/>
      <c r="AS1903" s="589"/>
    </row>
    <row r="1904" spans="1:45" ht="15">
      <c r="A1904" s="587" t="s">
        <v>173</v>
      </c>
      <c r="B1904" s="587" t="s">
        <v>548</v>
      </c>
      <c r="C1904" s="587" t="s">
        <v>813</v>
      </c>
      <c r="D1904" s="588">
        <v>2018</v>
      </c>
      <c r="E1904" s="587" t="s">
        <v>775</v>
      </c>
      <c r="F1904" s="588">
        <v>98</v>
      </c>
      <c r="G1904" s="588">
        <v>0</v>
      </c>
      <c r="H1904" s="588">
        <v>0</v>
      </c>
      <c r="I1904" s="588">
        <v>0</v>
      </c>
      <c r="J1904" s="588">
        <v>67</v>
      </c>
      <c r="K1904" s="588">
        <v>0</v>
      </c>
      <c r="L1904" s="588">
        <v>0</v>
      </c>
      <c r="M1904" s="588">
        <v>0</v>
      </c>
      <c r="N1904" s="588">
        <v>76</v>
      </c>
      <c r="O1904" s="588">
        <v>0</v>
      </c>
      <c r="P1904" s="588">
        <v>172</v>
      </c>
      <c r="Q1904" s="588">
        <v>0</v>
      </c>
      <c r="R1904" s="588">
        <v>413</v>
      </c>
      <c r="S1904" s="588">
        <v>0</v>
      </c>
      <c r="T1904" s="588">
        <v>2018</v>
      </c>
      <c r="U1904" s="588">
        <v>2014</v>
      </c>
      <c r="V1904" s="589"/>
      <c r="W1904" s="589"/>
      <c r="X1904" s="589"/>
      <c r="Y1904" s="589"/>
      <c r="Z1904" s="589"/>
      <c r="AA1904" s="589"/>
      <c r="AB1904" s="589"/>
      <c r="AC1904" s="589"/>
      <c r="AD1904" s="589"/>
      <c r="AE1904" s="589"/>
      <c r="AF1904" s="589"/>
      <c r="AG1904" s="589"/>
      <c r="AH1904" s="589"/>
      <c r="AI1904" s="589"/>
      <c r="AJ1904" s="589"/>
      <c r="AK1904" s="589"/>
      <c r="AL1904" s="589"/>
      <c r="AM1904" s="589"/>
      <c r="AN1904" s="589"/>
      <c r="AO1904" s="589"/>
      <c r="AP1904" s="589"/>
      <c r="AQ1904" s="589"/>
      <c r="AR1904" s="589"/>
      <c r="AS1904" s="589"/>
    </row>
    <row r="1905" spans="1:45" ht="15">
      <c r="A1905" s="590" t="s">
        <v>153</v>
      </c>
      <c r="B1905" s="590" t="s">
        <v>403</v>
      </c>
      <c r="C1905" s="590" t="s">
        <v>813</v>
      </c>
      <c r="D1905" s="593">
        <v>2018</v>
      </c>
      <c r="E1905" s="590" t="s">
        <v>775</v>
      </c>
      <c r="F1905" s="593">
        <v>1397</v>
      </c>
      <c r="G1905" s="593">
        <v>0</v>
      </c>
      <c r="H1905" s="593">
        <v>0</v>
      </c>
      <c r="I1905" s="593">
        <v>0</v>
      </c>
      <c r="J1905" s="593">
        <v>828</v>
      </c>
      <c r="K1905" s="593">
        <v>0</v>
      </c>
      <c r="L1905" s="593">
        <v>0</v>
      </c>
      <c r="M1905" s="593">
        <v>0</v>
      </c>
      <c r="N1905" s="593">
        <v>899</v>
      </c>
      <c r="O1905" s="593">
        <v>62</v>
      </c>
      <c r="P1905" s="593">
        <v>2334</v>
      </c>
      <c r="Q1905" s="593">
        <v>0</v>
      </c>
      <c r="R1905" s="593">
        <v>5458</v>
      </c>
      <c r="S1905" s="593">
        <v>62</v>
      </c>
      <c r="T1905" s="593">
        <v>2018</v>
      </c>
      <c r="U1905" s="593">
        <v>2014</v>
      </c>
      <c r="V1905" s="589"/>
      <c r="W1905" s="589"/>
      <c r="X1905" s="589"/>
      <c r="Y1905" s="589"/>
      <c r="Z1905" s="589"/>
      <c r="AA1905" s="589"/>
      <c r="AB1905" s="589"/>
      <c r="AC1905" s="589"/>
      <c r="AD1905" s="589"/>
      <c r="AE1905" s="589"/>
      <c r="AF1905" s="589"/>
      <c r="AG1905" s="589"/>
      <c r="AH1905" s="589"/>
      <c r="AI1905" s="589"/>
      <c r="AJ1905" s="589"/>
      <c r="AK1905" s="589"/>
      <c r="AL1905" s="589"/>
      <c r="AM1905" s="589"/>
      <c r="AN1905" s="589"/>
      <c r="AO1905" s="589"/>
      <c r="AP1905" s="589"/>
      <c r="AQ1905" s="589"/>
      <c r="AR1905" s="589"/>
      <c r="AS1905" s="589"/>
    </row>
    <row r="1906" spans="1:45" ht="15">
      <c r="A1906" s="587" t="s">
        <v>187</v>
      </c>
      <c r="B1906" s="587" t="s">
        <v>661</v>
      </c>
      <c r="C1906" s="587" t="s">
        <v>782</v>
      </c>
      <c r="D1906" s="588">
        <v>2018</v>
      </c>
      <c r="E1906" s="587" t="s">
        <v>775</v>
      </c>
      <c r="F1906" s="588">
        <v>691</v>
      </c>
      <c r="G1906" s="588">
        <v>0</v>
      </c>
      <c r="H1906" s="588">
        <v>0</v>
      </c>
      <c r="I1906" s="588">
        <v>0</v>
      </c>
      <c r="J1906" s="588">
        <v>432</v>
      </c>
      <c r="K1906" s="588">
        <v>0</v>
      </c>
      <c r="L1906" s="588">
        <v>0</v>
      </c>
      <c r="M1906" s="588">
        <v>0</v>
      </c>
      <c r="N1906" s="588">
        <v>278</v>
      </c>
      <c r="O1906" s="588">
        <v>0</v>
      </c>
      <c r="P1906" s="588">
        <v>587</v>
      </c>
      <c r="Q1906" s="588">
        <v>54</v>
      </c>
      <c r="R1906" s="588">
        <v>1988</v>
      </c>
      <c r="S1906" s="588">
        <v>54</v>
      </c>
      <c r="T1906" s="588">
        <v>2018</v>
      </c>
      <c r="U1906" s="588">
        <v>2015</v>
      </c>
      <c r="V1906" s="589"/>
      <c r="W1906" s="589"/>
      <c r="X1906" s="589"/>
      <c r="Y1906" s="589"/>
      <c r="Z1906" s="589"/>
      <c r="AA1906" s="589"/>
      <c r="AB1906" s="589"/>
      <c r="AC1906" s="589"/>
      <c r="AD1906" s="589"/>
      <c r="AE1906" s="589"/>
      <c r="AF1906" s="589"/>
      <c r="AG1906" s="589"/>
      <c r="AH1906" s="589"/>
      <c r="AI1906" s="589"/>
      <c r="AJ1906" s="589"/>
      <c r="AK1906" s="589"/>
      <c r="AL1906" s="589"/>
      <c r="AM1906" s="589"/>
      <c r="AN1906" s="589"/>
      <c r="AO1906" s="589"/>
      <c r="AP1906" s="589"/>
      <c r="AQ1906" s="589"/>
      <c r="AR1906" s="589"/>
      <c r="AS1906" s="589"/>
    </row>
    <row r="1907" spans="1:45" ht="15">
      <c r="A1907" s="590" t="s">
        <v>153</v>
      </c>
      <c r="B1907" s="590" t="s">
        <v>404</v>
      </c>
      <c r="C1907" s="590" t="s">
        <v>813</v>
      </c>
      <c r="D1907" s="593">
        <v>2018</v>
      </c>
      <c r="E1907" s="590" t="s">
        <v>775</v>
      </c>
      <c r="F1907" s="593">
        <v>4</v>
      </c>
      <c r="G1907" s="593">
        <v>0</v>
      </c>
      <c r="H1907" s="593">
        <v>0</v>
      </c>
      <c r="I1907" s="593">
        <v>0</v>
      </c>
      <c r="J1907" s="593">
        <v>3</v>
      </c>
      <c r="K1907" s="593">
        <v>0</v>
      </c>
      <c r="L1907" s="593">
        <v>0</v>
      </c>
      <c r="M1907" s="593">
        <v>0</v>
      </c>
      <c r="N1907" s="593">
        <v>3</v>
      </c>
      <c r="O1907" s="593">
        <v>1</v>
      </c>
      <c r="P1907" s="593">
        <v>6</v>
      </c>
      <c r="Q1907" s="593">
        <v>29</v>
      </c>
      <c r="R1907" s="593">
        <v>16</v>
      </c>
      <c r="S1907" s="593">
        <v>30</v>
      </c>
      <c r="T1907" s="593">
        <v>2018</v>
      </c>
      <c r="U1907" s="593">
        <v>2014</v>
      </c>
      <c r="V1907" s="589"/>
      <c r="W1907" s="589"/>
      <c r="X1907" s="589"/>
      <c r="Y1907" s="589"/>
      <c r="Z1907" s="589"/>
      <c r="AA1907" s="589"/>
      <c r="AB1907" s="589"/>
      <c r="AC1907" s="589"/>
      <c r="AD1907" s="589"/>
      <c r="AE1907" s="589"/>
      <c r="AF1907" s="589"/>
      <c r="AG1907" s="589"/>
      <c r="AH1907" s="589"/>
      <c r="AI1907" s="589"/>
      <c r="AJ1907" s="589"/>
      <c r="AK1907" s="589"/>
      <c r="AL1907" s="589"/>
      <c r="AM1907" s="589"/>
      <c r="AN1907" s="589"/>
      <c r="AO1907" s="589"/>
      <c r="AP1907" s="589"/>
      <c r="AQ1907" s="589"/>
      <c r="AR1907" s="589"/>
      <c r="AS1907" s="589"/>
    </row>
    <row r="1908" spans="1:45" ht="15">
      <c r="A1908" s="587" t="s">
        <v>131</v>
      </c>
      <c r="B1908" s="587" t="s">
        <v>260</v>
      </c>
      <c r="C1908" s="587" t="s">
        <v>787</v>
      </c>
      <c r="D1908" s="588">
        <v>2018</v>
      </c>
      <c r="E1908" s="587" t="s">
        <v>775</v>
      </c>
      <c r="F1908" s="588">
        <v>141</v>
      </c>
      <c r="G1908" s="588">
        <v>0</v>
      </c>
      <c r="H1908" s="588">
        <v>0</v>
      </c>
      <c r="I1908" s="588">
        <v>0</v>
      </c>
      <c r="J1908" s="588">
        <v>100</v>
      </c>
      <c r="K1908" s="588">
        <v>61</v>
      </c>
      <c r="L1908" s="588">
        <v>0</v>
      </c>
      <c r="M1908" s="588">
        <v>61</v>
      </c>
      <c r="N1908" s="588">
        <v>93</v>
      </c>
      <c r="O1908" s="588">
        <v>0</v>
      </c>
      <c r="P1908" s="588">
        <v>303</v>
      </c>
      <c r="Q1908" s="588">
        <v>0</v>
      </c>
      <c r="R1908" s="588">
        <v>637</v>
      </c>
      <c r="S1908" s="588">
        <v>61</v>
      </c>
      <c r="T1908" s="588">
        <v>2018</v>
      </c>
      <c r="U1908" s="588">
        <v>2014</v>
      </c>
      <c r="V1908" s="589"/>
      <c r="W1908" s="589"/>
      <c r="X1908" s="589"/>
      <c r="Y1908" s="589"/>
      <c r="Z1908" s="589"/>
      <c r="AA1908" s="589"/>
      <c r="AB1908" s="589"/>
      <c r="AC1908" s="589"/>
      <c r="AD1908" s="589"/>
      <c r="AE1908" s="589"/>
      <c r="AF1908" s="589"/>
      <c r="AG1908" s="589"/>
      <c r="AH1908" s="589"/>
      <c r="AI1908" s="589"/>
      <c r="AJ1908" s="589"/>
      <c r="AK1908" s="589"/>
      <c r="AL1908" s="589"/>
      <c r="AM1908" s="589"/>
      <c r="AN1908" s="589"/>
      <c r="AO1908" s="589"/>
      <c r="AP1908" s="589"/>
      <c r="AQ1908" s="589"/>
      <c r="AR1908" s="589"/>
      <c r="AS1908" s="589"/>
    </row>
    <row r="1909" spans="1:45" ht="15">
      <c r="A1909" s="590" t="s">
        <v>153</v>
      </c>
      <c r="B1909" s="590" t="s">
        <v>405</v>
      </c>
      <c r="C1909" s="590" t="s">
        <v>813</v>
      </c>
      <c r="D1909" s="593">
        <v>2018</v>
      </c>
      <c r="E1909" s="590" t="s">
        <v>775</v>
      </c>
      <c r="F1909" s="593">
        <v>26</v>
      </c>
      <c r="G1909" s="593">
        <v>0</v>
      </c>
      <c r="H1909" s="593">
        <v>0</v>
      </c>
      <c r="I1909" s="593">
        <v>0</v>
      </c>
      <c r="J1909" s="593">
        <v>16</v>
      </c>
      <c r="K1909" s="593">
        <v>0</v>
      </c>
      <c r="L1909" s="593">
        <v>0</v>
      </c>
      <c r="M1909" s="593">
        <v>0</v>
      </c>
      <c r="N1909" s="593">
        <v>17</v>
      </c>
      <c r="O1909" s="593">
        <v>0</v>
      </c>
      <c r="P1909" s="593">
        <v>46</v>
      </c>
      <c r="Q1909" s="593">
        <v>43</v>
      </c>
      <c r="R1909" s="593">
        <v>105</v>
      </c>
      <c r="S1909" s="593">
        <v>43</v>
      </c>
      <c r="T1909" s="593">
        <v>2018</v>
      </c>
      <c r="U1909" s="593">
        <v>2014</v>
      </c>
      <c r="V1909" s="589"/>
      <c r="W1909" s="589"/>
      <c r="X1909" s="589"/>
      <c r="Y1909" s="589"/>
      <c r="Z1909" s="589"/>
      <c r="AA1909" s="589"/>
      <c r="AB1909" s="589"/>
      <c r="AC1909" s="589"/>
      <c r="AD1909" s="589"/>
      <c r="AE1909" s="589"/>
      <c r="AF1909" s="589"/>
      <c r="AG1909" s="589"/>
      <c r="AH1909" s="589"/>
      <c r="AI1909" s="589"/>
      <c r="AJ1909" s="589"/>
      <c r="AK1909" s="589"/>
      <c r="AL1909" s="589"/>
      <c r="AM1909" s="589"/>
      <c r="AN1909" s="589"/>
      <c r="AO1909" s="589"/>
      <c r="AP1909" s="589"/>
      <c r="AQ1909" s="589"/>
      <c r="AR1909" s="589"/>
      <c r="AS1909" s="589"/>
    </row>
    <row r="1910" spans="1:45" ht="15">
      <c r="A1910" s="587" t="s">
        <v>141</v>
      </c>
      <c r="B1910" s="587" t="s">
        <v>300</v>
      </c>
      <c r="C1910" s="587" t="s">
        <v>811</v>
      </c>
      <c r="D1910" s="588">
        <v>2018</v>
      </c>
      <c r="E1910" s="587" t="s">
        <v>775</v>
      </c>
      <c r="F1910" s="588">
        <v>110</v>
      </c>
      <c r="G1910" s="588">
        <v>10</v>
      </c>
      <c r="H1910" s="588">
        <v>6</v>
      </c>
      <c r="I1910" s="588">
        <v>4</v>
      </c>
      <c r="J1910" s="588">
        <v>82</v>
      </c>
      <c r="K1910" s="588">
        <v>20</v>
      </c>
      <c r="L1910" s="588">
        <v>12</v>
      </c>
      <c r="M1910" s="588">
        <v>8</v>
      </c>
      <c r="N1910" s="588">
        <v>77</v>
      </c>
      <c r="O1910" s="588">
        <v>4</v>
      </c>
      <c r="P1910" s="588">
        <v>319</v>
      </c>
      <c r="Q1910" s="588">
        <v>0</v>
      </c>
      <c r="R1910" s="588">
        <v>588</v>
      </c>
      <c r="S1910" s="588">
        <v>34</v>
      </c>
      <c r="T1910" s="588">
        <v>2018</v>
      </c>
      <c r="U1910" s="588">
        <v>2016</v>
      </c>
      <c r="V1910" s="589"/>
      <c r="W1910" s="589"/>
      <c r="X1910" s="589"/>
      <c r="Y1910" s="589"/>
      <c r="Z1910" s="589"/>
      <c r="AA1910" s="589"/>
      <c r="AB1910" s="589"/>
      <c r="AC1910" s="589"/>
      <c r="AD1910" s="589"/>
      <c r="AE1910" s="589"/>
      <c r="AF1910" s="589"/>
      <c r="AG1910" s="589"/>
      <c r="AH1910" s="589"/>
      <c r="AI1910" s="589"/>
      <c r="AJ1910" s="589"/>
      <c r="AK1910" s="589"/>
      <c r="AL1910" s="589"/>
      <c r="AM1910" s="589"/>
      <c r="AN1910" s="589"/>
      <c r="AO1910" s="589"/>
      <c r="AP1910" s="589"/>
      <c r="AQ1910" s="589"/>
      <c r="AR1910" s="589"/>
      <c r="AS1910" s="589"/>
    </row>
    <row r="1911" spans="1:45" ht="15">
      <c r="A1911" s="590" t="s">
        <v>153</v>
      </c>
      <c r="B1911" s="590" t="s">
        <v>406</v>
      </c>
      <c r="C1911" s="590" t="s">
        <v>813</v>
      </c>
      <c r="D1911" s="593">
        <v>2018</v>
      </c>
      <c r="E1911" s="590" t="s">
        <v>775</v>
      </c>
      <c r="F1911" s="593">
        <v>340</v>
      </c>
      <c r="G1911" s="593">
        <v>1</v>
      </c>
      <c r="H1911" s="593">
        <v>1</v>
      </c>
      <c r="I1911" s="593">
        <v>0</v>
      </c>
      <c r="J1911" s="593">
        <v>207</v>
      </c>
      <c r="K1911" s="593">
        <v>0</v>
      </c>
      <c r="L1911" s="593">
        <v>0</v>
      </c>
      <c r="M1911" s="593">
        <v>0</v>
      </c>
      <c r="N1911" s="593">
        <v>224</v>
      </c>
      <c r="O1911" s="593">
        <v>0</v>
      </c>
      <c r="P1911" s="593">
        <v>561</v>
      </c>
      <c r="Q1911" s="593">
        <v>535</v>
      </c>
      <c r="R1911" s="593">
        <v>1332</v>
      </c>
      <c r="S1911" s="593">
        <v>536</v>
      </c>
      <c r="T1911" s="593">
        <v>2018</v>
      </c>
      <c r="U1911" s="593">
        <v>2014</v>
      </c>
      <c r="V1911" s="589"/>
      <c r="W1911" s="589"/>
      <c r="X1911" s="589"/>
      <c r="Y1911" s="589"/>
      <c r="Z1911" s="589"/>
      <c r="AA1911" s="589"/>
      <c r="AB1911" s="589"/>
      <c r="AC1911" s="589"/>
      <c r="AD1911" s="589"/>
      <c r="AE1911" s="589"/>
      <c r="AF1911" s="589"/>
      <c r="AG1911" s="589"/>
      <c r="AH1911" s="589"/>
      <c r="AI1911" s="589"/>
      <c r="AJ1911" s="589"/>
      <c r="AK1911" s="589"/>
      <c r="AL1911" s="589"/>
      <c r="AM1911" s="589"/>
      <c r="AN1911" s="589"/>
      <c r="AO1911" s="589"/>
      <c r="AP1911" s="589"/>
      <c r="AQ1911" s="589"/>
      <c r="AR1911" s="589"/>
      <c r="AS1911" s="589"/>
    </row>
    <row r="1912" spans="1:45" ht="15">
      <c r="A1912" s="587" t="s">
        <v>183</v>
      </c>
      <c r="B1912" s="587" t="s">
        <v>620</v>
      </c>
      <c r="C1912" s="587" t="s">
        <v>785</v>
      </c>
      <c r="D1912" s="588">
        <v>2018</v>
      </c>
      <c r="E1912" s="587" t="s">
        <v>775</v>
      </c>
      <c r="F1912" s="588">
        <v>123</v>
      </c>
      <c r="G1912" s="588">
        <v>54</v>
      </c>
      <c r="H1912" s="588">
        <v>54</v>
      </c>
      <c r="I1912" s="588">
        <v>0</v>
      </c>
      <c r="J1912" s="588">
        <v>77</v>
      </c>
      <c r="K1912" s="588">
        <v>21</v>
      </c>
      <c r="L1912" s="588">
        <v>21</v>
      </c>
      <c r="M1912" s="588">
        <v>0</v>
      </c>
      <c r="N1912" s="588">
        <v>87</v>
      </c>
      <c r="O1912" s="588">
        <v>13</v>
      </c>
      <c r="P1912" s="588">
        <v>206</v>
      </c>
      <c r="Q1912" s="588">
        <v>12</v>
      </c>
      <c r="R1912" s="588">
        <v>493</v>
      </c>
      <c r="S1912" s="588">
        <v>100</v>
      </c>
      <c r="T1912" s="588">
        <v>2018</v>
      </c>
      <c r="U1912" s="588">
        <v>2014</v>
      </c>
      <c r="V1912" s="589"/>
      <c r="W1912" s="589"/>
      <c r="X1912" s="589"/>
      <c r="Y1912" s="589"/>
      <c r="Z1912" s="589"/>
      <c r="AA1912" s="589"/>
      <c r="AB1912" s="589"/>
      <c r="AC1912" s="589"/>
      <c r="AD1912" s="589"/>
      <c r="AE1912" s="589"/>
      <c r="AF1912" s="589"/>
      <c r="AG1912" s="589"/>
      <c r="AH1912" s="589"/>
      <c r="AI1912" s="589"/>
      <c r="AJ1912" s="589"/>
      <c r="AK1912" s="589"/>
      <c r="AL1912" s="589"/>
      <c r="AM1912" s="589"/>
      <c r="AN1912" s="589"/>
      <c r="AO1912" s="589"/>
      <c r="AP1912" s="589"/>
      <c r="AQ1912" s="589"/>
      <c r="AR1912" s="589"/>
      <c r="AS1912" s="589"/>
    </row>
    <row r="1913" spans="1:45" ht="15">
      <c r="A1913" s="590" t="s">
        <v>173</v>
      </c>
      <c r="B1913" s="590" t="s">
        <v>550</v>
      </c>
      <c r="C1913" s="590" t="s">
        <v>813</v>
      </c>
      <c r="D1913" s="593">
        <v>2018</v>
      </c>
      <c r="E1913" s="590" t="s">
        <v>775</v>
      </c>
      <c r="F1913" s="593">
        <v>1026</v>
      </c>
      <c r="G1913" s="593">
        <v>0</v>
      </c>
      <c r="H1913" s="593">
        <v>0</v>
      </c>
      <c r="I1913" s="593">
        <v>0</v>
      </c>
      <c r="J1913" s="593">
        <v>681</v>
      </c>
      <c r="K1913" s="593">
        <v>0</v>
      </c>
      <c r="L1913" s="593">
        <v>0</v>
      </c>
      <c r="M1913" s="593">
        <v>0</v>
      </c>
      <c r="N1913" s="593">
        <v>759</v>
      </c>
      <c r="O1913" s="593">
        <v>0</v>
      </c>
      <c r="P1913" s="593">
        <v>1814</v>
      </c>
      <c r="Q1913" s="593">
        <v>0</v>
      </c>
      <c r="R1913" s="593">
        <v>4280</v>
      </c>
      <c r="S1913" s="593">
        <v>0</v>
      </c>
      <c r="T1913" s="593">
        <v>2018</v>
      </c>
      <c r="U1913" s="593">
        <v>2014</v>
      </c>
      <c r="V1913" s="589"/>
      <c r="W1913" s="589"/>
      <c r="X1913" s="589"/>
      <c r="Y1913" s="589"/>
      <c r="Z1913" s="589"/>
      <c r="AA1913" s="589"/>
      <c r="AB1913" s="589"/>
      <c r="AC1913" s="589"/>
      <c r="AD1913" s="589"/>
      <c r="AE1913" s="589"/>
      <c r="AF1913" s="589"/>
      <c r="AG1913" s="589"/>
      <c r="AH1913" s="589"/>
      <c r="AI1913" s="589"/>
      <c r="AJ1913" s="589"/>
      <c r="AK1913" s="589"/>
      <c r="AL1913" s="589"/>
      <c r="AM1913" s="589"/>
      <c r="AN1913" s="589"/>
      <c r="AO1913" s="589"/>
      <c r="AP1913" s="589"/>
      <c r="AQ1913" s="589"/>
      <c r="AR1913" s="589"/>
      <c r="AS1913" s="589"/>
    </row>
    <row r="1914" spans="1:45" ht="15">
      <c r="A1914" s="587" t="s">
        <v>193</v>
      </c>
      <c r="B1914" s="587" t="s">
        <v>697</v>
      </c>
      <c r="C1914" s="587" t="s">
        <v>782</v>
      </c>
      <c r="D1914" s="588">
        <v>2018</v>
      </c>
      <c r="E1914" s="587" t="s">
        <v>775</v>
      </c>
      <c r="F1914" s="588">
        <v>199</v>
      </c>
      <c r="G1914" s="588">
        <v>0</v>
      </c>
      <c r="H1914" s="588">
        <v>0</v>
      </c>
      <c r="I1914" s="588">
        <v>0</v>
      </c>
      <c r="J1914" s="588">
        <v>103</v>
      </c>
      <c r="K1914" s="588">
        <v>4</v>
      </c>
      <c r="L1914" s="588">
        <v>4</v>
      </c>
      <c r="M1914" s="588">
        <v>0</v>
      </c>
      <c r="N1914" s="588">
        <v>121</v>
      </c>
      <c r="O1914" s="588">
        <v>31</v>
      </c>
      <c r="P1914" s="588">
        <v>322</v>
      </c>
      <c r="Q1914" s="588">
        <v>77</v>
      </c>
      <c r="R1914" s="588">
        <v>745</v>
      </c>
      <c r="S1914" s="588">
        <v>112</v>
      </c>
      <c r="T1914" s="588">
        <v>2018</v>
      </c>
      <c r="U1914" s="588">
        <v>2015</v>
      </c>
      <c r="V1914" s="589"/>
      <c r="W1914" s="589"/>
      <c r="X1914" s="589"/>
      <c r="Y1914" s="589"/>
      <c r="Z1914" s="589"/>
      <c r="AA1914" s="589"/>
      <c r="AB1914" s="589"/>
      <c r="AC1914" s="589"/>
      <c r="AD1914" s="589"/>
      <c r="AE1914" s="589"/>
      <c r="AF1914" s="589"/>
      <c r="AG1914" s="589"/>
      <c r="AH1914" s="589"/>
      <c r="AI1914" s="589"/>
      <c r="AJ1914" s="589"/>
      <c r="AK1914" s="589"/>
      <c r="AL1914" s="589"/>
      <c r="AM1914" s="589"/>
      <c r="AN1914" s="589"/>
      <c r="AO1914" s="589"/>
      <c r="AP1914" s="589"/>
      <c r="AQ1914" s="589"/>
      <c r="AR1914" s="589"/>
      <c r="AS1914" s="589"/>
    </row>
    <row r="1915" spans="1:45" ht="15">
      <c r="A1915" s="590" t="s">
        <v>153</v>
      </c>
      <c r="B1915" s="590" t="s">
        <v>407</v>
      </c>
      <c r="C1915" s="590" t="s">
        <v>813</v>
      </c>
      <c r="D1915" s="593">
        <v>2018</v>
      </c>
      <c r="E1915" s="590" t="s">
        <v>775</v>
      </c>
      <c r="F1915" s="593">
        <v>217</v>
      </c>
      <c r="G1915" s="593">
        <v>0</v>
      </c>
      <c r="H1915" s="593">
        <v>0</v>
      </c>
      <c r="I1915" s="593">
        <v>0</v>
      </c>
      <c r="J1915" s="593">
        <v>131</v>
      </c>
      <c r="K1915" s="593">
        <v>0</v>
      </c>
      <c r="L1915" s="593">
        <v>0</v>
      </c>
      <c r="M1915" s="593">
        <v>0</v>
      </c>
      <c r="N1915" s="593">
        <v>140</v>
      </c>
      <c r="O1915" s="593">
        <v>0</v>
      </c>
      <c r="P1915" s="593">
        <v>362</v>
      </c>
      <c r="Q1915" s="593">
        <v>13</v>
      </c>
      <c r="R1915" s="593">
        <v>850</v>
      </c>
      <c r="S1915" s="593">
        <v>13</v>
      </c>
      <c r="T1915" s="593">
        <v>2018</v>
      </c>
      <c r="U1915" s="593">
        <v>2014</v>
      </c>
      <c r="V1915" s="589"/>
      <c r="W1915" s="589"/>
      <c r="X1915" s="589"/>
      <c r="Y1915" s="589"/>
      <c r="Z1915" s="589"/>
      <c r="AA1915" s="589"/>
      <c r="AB1915" s="589"/>
      <c r="AC1915" s="589"/>
      <c r="AD1915" s="589"/>
      <c r="AE1915" s="589"/>
      <c r="AF1915" s="589"/>
      <c r="AG1915" s="589"/>
      <c r="AH1915" s="589"/>
      <c r="AI1915" s="589"/>
      <c r="AJ1915" s="589"/>
      <c r="AK1915" s="589"/>
      <c r="AL1915" s="589"/>
      <c r="AM1915" s="589"/>
      <c r="AN1915" s="589"/>
      <c r="AO1915" s="589"/>
      <c r="AP1915" s="589"/>
      <c r="AQ1915" s="589"/>
      <c r="AR1915" s="589"/>
      <c r="AS1915" s="589"/>
    </row>
    <row r="1916" spans="1:45" ht="15">
      <c r="A1916" s="587" t="s">
        <v>125</v>
      </c>
      <c r="B1916" s="587" t="s">
        <v>243</v>
      </c>
      <c r="C1916" s="587" t="s">
        <v>782</v>
      </c>
      <c r="D1916" s="588">
        <v>2018</v>
      </c>
      <c r="E1916" s="587" t="s">
        <v>775</v>
      </c>
      <c r="F1916" s="588">
        <v>24</v>
      </c>
      <c r="G1916" s="588">
        <v>0</v>
      </c>
      <c r="H1916" s="588">
        <v>0</v>
      </c>
      <c r="I1916" s="588">
        <v>0</v>
      </c>
      <c r="J1916" s="588">
        <v>14</v>
      </c>
      <c r="K1916" s="588">
        <v>4</v>
      </c>
      <c r="L1916" s="588">
        <v>0</v>
      </c>
      <c r="M1916" s="588">
        <v>4</v>
      </c>
      <c r="N1916" s="588">
        <v>15</v>
      </c>
      <c r="O1916" s="588">
        <v>2</v>
      </c>
      <c r="P1916" s="588">
        <v>7</v>
      </c>
      <c r="Q1916" s="588">
        <v>8</v>
      </c>
      <c r="R1916" s="588">
        <v>60</v>
      </c>
      <c r="S1916" s="588">
        <v>14</v>
      </c>
      <c r="T1916" s="588">
        <v>2018</v>
      </c>
      <c r="U1916" s="588">
        <v>2015</v>
      </c>
      <c r="V1916" s="589"/>
      <c r="W1916" s="589"/>
      <c r="X1916" s="589"/>
      <c r="Y1916" s="589"/>
      <c r="Z1916" s="589"/>
      <c r="AA1916" s="589"/>
      <c r="AB1916" s="589"/>
      <c r="AC1916" s="589"/>
      <c r="AD1916" s="589"/>
      <c r="AE1916" s="589"/>
      <c r="AF1916" s="589"/>
      <c r="AG1916" s="589"/>
      <c r="AH1916" s="589"/>
      <c r="AI1916" s="589"/>
      <c r="AJ1916" s="589"/>
      <c r="AK1916" s="589"/>
      <c r="AL1916" s="589"/>
      <c r="AM1916" s="589"/>
      <c r="AN1916" s="589"/>
      <c r="AO1916" s="589"/>
      <c r="AP1916" s="589"/>
      <c r="AQ1916" s="589"/>
      <c r="AR1916" s="589"/>
      <c r="AS1916" s="589"/>
    </row>
    <row r="1917" spans="1:45" ht="15">
      <c r="A1917" s="590" t="s">
        <v>136</v>
      </c>
      <c r="B1917" s="590" t="s">
        <v>278</v>
      </c>
      <c r="C1917" s="590" t="s">
        <v>782</v>
      </c>
      <c r="D1917" s="593">
        <v>2018</v>
      </c>
      <c r="E1917" s="590" t="s">
        <v>775</v>
      </c>
      <c r="F1917" s="593">
        <v>80</v>
      </c>
      <c r="G1917" s="593">
        <v>0</v>
      </c>
      <c r="H1917" s="593">
        <v>0</v>
      </c>
      <c r="I1917" s="593">
        <v>0</v>
      </c>
      <c r="J1917" s="593">
        <v>48</v>
      </c>
      <c r="K1917" s="593">
        <v>0</v>
      </c>
      <c r="L1917" s="593">
        <v>0</v>
      </c>
      <c r="M1917" s="593">
        <v>0</v>
      </c>
      <c r="N1917" s="593">
        <v>43</v>
      </c>
      <c r="O1917" s="593">
        <v>0</v>
      </c>
      <c r="P1917" s="593">
        <v>126</v>
      </c>
      <c r="Q1917" s="593">
        <v>2</v>
      </c>
      <c r="R1917" s="593">
        <v>297</v>
      </c>
      <c r="S1917" s="593">
        <v>2</v>
      </c>
      <c r="T1917" s="593">
        <v>2018</v>
      </c>
      <c r="U1917" s="593">
        <v>2015</v>
      </c>
      <c r="V1917" s="589"/>
      <c r="W1917" s="589"/>
      <c r="X1917" s="589"/>
      <c r="Y1917" s="589"/>
      <c r="Z1917" s="589"/>
      <c r="AA1917" s="589"/>
      <c r="AB1917" s="589"/>
      <c r="AC1917" s="589"/>
      <c r="AD1917" s="589"/>
      <c r="AE1917" s="589"/>
      <c r="AF1917" s="589"/>
      <c r="AG1917" s="589"/>
      <c r="AH1917" s="589"/>
      <c r="AI1917" s="589"/>
      <c r="AJ1917" s="589"/>
      <c r="AK1917" s="589"/>
      <c r="AL1917" s="589"/>
      <c r="AM1917" s="589"/>
      <c r="AN1917" s="589"/>
      <c r="AO1917" s="589"/>
      <c r="AP1917" s="589"/>
      <c r="AQ1917" s="589"/>
      <c r="AR1917" s="589"/>
      <c r="AS1917" s="589"/>
    </row>
    <row r="1918" spans="1:45" ht="15">
      <c r="A1918" s="587" t="s">
        <v>183</v>
      </c>
      <c r="B1918" s="587" t="s">
        <v>621</v>
      </c>
      <c r="C1918" s="587" t="s">
        <v>785</v>
      </c>
      <c r="D1918" s="588">
        <v>2018</v>
      </c>
      <c r="E1918" s="587" t="s">
        <v>775</v>
      </c>
      <c r="F1918" s="588">
        <v>38</v>
      </c>
      <c r="G1918" s="588">
        <v>0</v>
      </c>
      <c r="H1918" s="588">
        <v>0</v>
      </c>
      <c r="I1918" s="588">
        <v>0</v>
      </c>
      <c r="J1918" s="588">
        <v>24</v>
      </c>
      <c r="K1918" s="588">
        <v>0</v>
      </c>
      <c r="L1918" s="588">
        <v>0</v>
      </c>
      <c r="M1918" s="588">
        <v>0</v>
      </c>
      <c r="N1918" s="588">
        <v>27</v>
      </c>
      <c r="O1918" s="588">
        <v>0</v>
      </c>
      <c r="P1918" s="588">
        <v>64</v>
      </c>
      <c r="Q1918" s="588">
        <v>10</v>
      </c>
      <c r="R1918" s="588">
        <v>153</v>
      </c>
      <c r="S1918" s="588">
        <v>10</v>
      </c>
      <c r="T1918" s="588">
        <v>2018</v>
      </c>
      <c r="U1918" s="588">
        <v>2014</v>
      </c>
      <c r="V1918" s="589"/>
      <c r="W1918" s="589"/>
      <c r="X1918" s="589"/>
      <c r="Y1918" s="589"/>
      <c r="Z1918" s="589"/>
      <c r="AA1918" s="589"/>
      <c r="AB1918" s="589"/>
      <c r="AC1918" s="589"/>
      <c r="AD1918" s="589"/>
      <c r="AE1918" s="589"/>
      <c r="AF1918" s="589"/>
      <c r="AG1918" s="589"/>
      <c r="AH1918" s="589"/>
      <c r="AI1918" s="589"/>
      <c r="AJ1918" s="589"/>
      <c r="AK1918" s="589"/>
      <c r="AL1918" s="589"/>
      <c r="AM1918" s="589"/>
      <c r="AN1918" s="589"/>
      <c r="AO1918" s="589"/>
      <c r="AP1918" s="589"/>
      <c r="AQ1918" s="589"/>
      <c r="AR1918" s="589"/>
      <c r="AS1918" s="589"/>
    </row>
    <row r="1919" spans="1:45" ht="15">
      <c r="A1919" s="590" t="s">
        <v>136</v>
      </c>
      <c r="B1919" s="590" t="s">
        <v>279</v>
      </c>
      <c r="C1919" s="590" t="s">
        <v>782</v>
      </c>
      <c r="D1919" s="593">
        <v>2018</v>
      </c>
      <c r="E1919" s="590" t="s">
        <v>775</v>
      </c>
      <c r="F1919" s="593">
        <v>392</v>
      </c>
      <c r="G1919" s="593">
        <v>23</v>
      </c>
      <c r="H1919" s="593">
        <v>23</v>
      </c>
      <c r="I1919" s="593">
        <v>0</v>
      </c>
      <c r="J1919" s="593">
        <v>254</v>
      </c>
      <c r="K1919" s="593">
        <v>208</v>
      </c>
      <c r="L1919" s="593">
        <v>205</v>
      </c>
      <c r="M1919" s="593">
        <v>3</v>
      </c>
      <c r="N1919" s="593">
        <v>316</v>
      </c>
      <c r="O1919" s="593">
        <v>48</v>
      </c>
      <c r="P1919" s="593">
        <v>1063</v>
      </c>
      <c r="Q1919" s="593">
        <v>68</v>
      </c>
      <c r="R1919" s="593">
        <v>2025</v>
      </c>
      <c r="S1919" s="593">
        <v>347</v>
      </c>
      <c r="T1919" s="593">
        <v>2018</v>
      </c>
      <c r="U1919" s="593">
        <v>2015</v>
      </c>
      <c r="V1919" s="589"/>
      <c r="W1919" s="589"/>
      <c r="X1919" s="589"/>
      <c r="Y1919" s="589"/>
      <c r="Z1919" s="589"/>
      <c r="AA1919" s="589"/>
      <c r="AB1919" s="589"/>
      <c r="AC1919" s="589"/>
      <c r="AD1919" s="589"/>
      <c r="AE1919" s="589"/>
      <c r="AF1919" s="589"/>
      <c r="AG1919" s="589"/>
      <c r="AH1919" s="589"/>
      <c r="AI1919" s="589"/>
      <c r="AJ1919" s="589"/>
      <c r="AK1919" s="589"/>
      <c r="AL1919" s="589"/>
      <c r="AM1919" s="589"/>
      <c r="AN1919" s="589"/>
      <c r="AO1919" s="589"/>
      <c r="AP1919" s="589"/>
      <c r="AQ1919" s="589"/>
      <c r="AR1919" s="589"/>
      <c r="AS1919" s="589"/>
    </row>
    <row r="1920" spans="1:45" ht="15">
      <c r="A1920" s="587" t="s">
        <v>169</v>
      </c>
      <c r="B1920" s="587" t="s">
        <v>508</v>
      </c>
      <c r="C1920" s="587" t="s">
        <v>813</v>
      </c>
      <c r="D1920" s="588">
        <v>2018</v>
      </c>
      <c r="E1920" s="587" t="s">
        <v>775</v>
      </c>
      <c r="F1920" s="588">
        <v>112</v>
      </c>
      <c r="G1920" s="588">
        <v>49</v>
      </c>
      <c r="H1920" s="588">
        <v>49</v>
      </c>
      <c r="I1920" s="588">
        <v>0</v>
      </c>
      <c r="J1920" s="588">
        <v>81</v>
      </c>
      <c r="K1920" s="588">
        <v>0</v>
      </c>
      <c r="L1920" s="588">
        <v>0</v>
      </c>
      <c r="M1920" s="588">
        <v>0</v>
      </c>
      <c r="N1920" s="588">
        <v>90</v>
      </c>
      <c r="O1920" s="588">
        <v>2</v>
      </c>
      <c r="P1920" s="588">
        <v>209</v>
      </c>
      <c r="Q1920" s="588">
        <v>3</v>
      </c>
      <c r="R1920" s="588">
        <v>492</v>
      </c>
      <c r="S1920" s="588">
        <v>54</v>
      </c>
      <c r="T1920" s="588">
        <v>2018</v>
      </c>
      <c r="U1920" s="588">
        <v>2014</v>
      </c>
      <c r="V1920" s="589"/>
      <c r="W1920" s="589"/>
      <c r="X1920" s="589"/>
      <c r="Y1920" s="589"/>
      <c r="Z1920" s="589"/>
      <c r="AA1920" s="589"/>
      <c r="AB1920" s="589"/>
      <c r="AC1920" s="589"/>
      <c r="AD1920" s="589"/>
      <c r="AE1920" s="589"/>
      <c r="AF1920" s="589"/>
      <c r="AG1920" s="589"/>
      <c r="AH1920" s="589"/>
      <c r="AI1920" s="589"/>
      <c r="AJ1920" s="589"/>
      <c r="AK1920" s="589"/>
      <c r="AL1920" s="589"/>
      <c r="AM1920" s="589"/>
      <c r="AN1920" s="589"/>
      <c r="AO1920" s="589"/>
      <c r="AP1920" s="589"/>
      <c r="AQ1920" s="589"/>
      <c r="AR1920" s="589"/>
      <c r="AS1920" s="589"/>
    </row>
    <row r="1921" spans="1:45" ht="15">
      <c r="A1921" s="590" t="s">
        <v>170</v>
      </c>
      <c r="B1921" s="590" t="s">
        <v>523</v>
      </c>
      <c r="C1921" s="590" t="s">
        <v>801</v>
      </c>
      <c r="D1921" s="593">
        <v>2018</v>
      </c>
      <c r="E1921" s="590" t="s">
        <v>775</v>
      </c>
      <c r="F1921" s="593">
        <v>1365</v>
      </c>
      <c r="G1921" s="593">
        <v>0</v>
      </c>
      <c r="H1921" s="593">
        <v>0</v>
      </c>
      <c r="I1921" s="593">
        <v>0</v>
      </c>
      <c r="J1921" s="593">
        <v>957</v>
      </c>
      <c r="K1921" s="593">
        <v>1</v>
      </c>
      <c r="L1921" s="593">
        <v>1</v>
      </c>
      <c r="M1921" s="593">
        <v>0</v>
      </c>
      <c r="N1921" s="593">
        <v>936</v>
      </c>
      <c r="O1921" s="593">
        <v>48</v>
      </c>
      <c r="P1921" s="593">
        <v>1773</v>
      </c>
      <c r="Q1921" s="593">
        <v>290</v>
      </c>
      <c r="R1921" s="593">
        <v>5031</v>
      </c>
      <c r="S1921" s="593">
        <v>339</v>
      </c>
      <c r="T1921" s="593">
        <v>2018</v>
      </c>
      <c r="U1921" s="593">
        <v>2014</v>
      </c>
      <c r="V1921" s="589"/>
      <c r="W1921" s="589"/>
      <c r="X1921" s="589"/>
      <c r="Y1921" s="589"/>
      <c r="Z1921" s="589"/>
      <c r="AA1921" s="589"/>
      <c r="AB1921" s="589"/>
      <c r="AC1921" s="589"/>
      <c r="AD1921" s="589"/>
      <c r="AE1921" s="589"/>
      <c r="AF1921" s="589"/>
      <c r="AG1921" s="589"/>
      <c r="AH1921" s="589"/>
      <c r="AI1921" s="589"/>
      <c r="AJ1921" s="589"/>
      <c r="AK1921" s="589"/>
      <c r="AL1921" s="589"/>
      <c r="AM1921" s="589"/>
      <c r="AN1921" s="589"/>
      <c r="AO1921" s="589"/>
      <c r="AP1921" s="589"/>
      <c r="AQ1921" s="589"/>
      <c r="AR1921" s="589"/>
      <c r="AS1921" s="589"/>
    </row>
    <row r="1922" spans="1:45" ht="15">
      <c r="A1922" s="587" t="s">
        <v>139</v>
      </c>
      <c r="B1922" s="587" t="s">
        <v>288</v>
      </c>
      <c r="C1922" s="587" t="s">
        <v>801</v>
      </c>
      <c r="D1922" s="588">
        <v>2018</v>
      </c>
      <c r="E1922" s="587" t="s">
        <v>775</v>
      </c>
      <c r="F1922" s="588">
        <v>78</v>
      </c>
      <c r="G1922" s="588">
        <v>0</v>
      </c>
      <c r="H1922" s="588">
        <v>0</v>
      </c>
      <c r="I1922" s="588">
        <v>0</v>
      </c>
      <c r="J1922" s="588">
        <v>55</v>
      </c>
      <c r="K1922" s="588">
        <v>0</v>
      </c>
      <c r="L1922" s="588">
        <v>0</v>
      </c>
      <c r="M1922" s="588">
        <v>0</v>
      </c>
      <c r="N1922" s="588">
        <v>69</v>
      </c>
      <c r="O1922" s="588">
        <v>7</v>
      </c>
      <c r="P1922" s="588">
        <v>170</v>
      </c>
      <c r="Q1922" s="588">
        <v>18</v>
      </c>
      <c r="R1922" s="588">
        <v>372</v>
      </c>
      <c r="S1922" s="588">
        <v>25</v>
      </c>
      <c r="T1922" s="588">
        <v>2018</v>
      </c>
      <c r="U1922" s="588">
        <v>2014</v>
      </c>
      <c r="V1922" s="589"/>
      <c r="W1922" s="589"/>
      <c r="X1922" s="589"/>
      <c r="Y1922" s="589"/>
      <c r="Z1922" s="589"/>
      <c r="AA1922" s="589"/>
      <c r="AB1922" s="589"/>
      <c r="AC1922" s="589"/>
      <c r="AD1922" s="589"/>
      <c r="AE1922" s="589"/>
      <c r="AF1922" s="589"/>
      <c r="AG1922" s="589"/>
      <c r="AH1922" s="589"/>
      <c r="AI1922" s="589"/>
      <c r="AJ1922" s="589"/>
      <c r="AK1922" s="589"/>
      <c r="AL1922" s="589"/>
      <c r="AM1922" s="589"/>
      <c r="AN1922" s="589"/>
      <c r="AO1922" s="589"/>
      <c r="AP1922" s="589"/>
      <c r="AQ1922" s="589"/>
      <c r="AR1922" s="589"/>
      <c r="AS1922" s="589"/>
    </row>
    <row r="1923" spans="1:45" ht="15">
      <c r="A1923" s="590" t="s">
        <v>136</v>
      </c>
      <c r="B1923" s="590" t="s">
        <v>280</v>
      </c>
      <c r="C1923" s="590" t="s">
        <v>782</v>
      </c>
      <c r="D1923" s="593">
        <v>2018</v>
      </c>
      <c r="E1923" s="590" t="s">
        <v>775</v>
      </c>
      <c r="F1923" s="593">
        <v>118</v>
      </c>
      <c r="G1923" s="593">
        <v>0</v>
      </c>
      <c r="H1923" s="593">
        <v>0</v>
      </c>
      <c r="I1923" s="593">
        <v>0</v>
      </c>
      <c r="J1923" s="593">
        <v>69</v>
      </c>
      <c r="K1923" s="593">
        <v>0</v>
      </c>
      <c r="L1923" s="593">
        <v>0</v>
      </c>
      <c r="M1923" s="593">
        <v>0</v>
      </c>
      <c r="N1923" s="593">
        <v>84</v>
      </c>
      <c r="O1923" s="593">
        <v>9</v>
      </c>
      <c r="P1923" s="593">
        <v>177</v>
      </c>
      <c r="Q1923" s="593">
        <v>39</v>
      </c>
      <c r="R1923" s="593">
        <v>448</v>
      </c>
      <c r="S1923" s="593">
        <v>48</v>
      </c>
      <c r="T1923" s="593">
        <v>2018</v>
      </c>
      <c r="U1923" s="593">
        <v>2015</v>
      </c>
      <c r="V1923" s="589"/>
      <c r="W1923" s="589"/>
      <c r="X1923" s="589"/>
      <c r="Y1923" s="589"/>
      <c r="Z1923" s="589"/>
      <c r="AA1923" s="589"/>
      <c r="AB1923" s="589"/>
      <c r="AC1923" s="589"/>
      <c r="AD1923" s="589"/>
      <c r="AE1923" s="589"/>
      <c r="AF1923" s="589"/>
      <c r="AG1923" s="589"/>
      <c r="AH1923" s="589"/>
      <c r="AI1923" s="589"/>
      <c r="AJ1923" s="589"/>
      <c r="AK1923" s="589"/>
      <c r="AL1923" s="589"/>
      <c r="AM1923" s="589"/>
      <c r="AN1923" s="589"/>
      <c r="AO1923" s="589"/>
      <c r="AP1923" s="589"/>
      <c r="AQ1923" s="589"/>
      <c r="AR1923" s="589"/>
      <c r="AS1923" s="589"/>
    </row>
    <row r="1924" spans="1:45" ht="15">
      <c r="A1924" s="587" t="s">
        <v>125</v>
      </c>
      <c r="B1924" s="587" t="s">
        <v>244</v>
      </c>
      <c r="C1924" s="587" t="s">
        <v>782</v>
      </c>
      <c r="D1924" s="588">
        <v>2018</v>
      </c>
      <c r="E1924" s="587" t="s">
        <v>775</v>
      </c>
      <c r="F1924" s="588">
        <v>716</v>
      </c>
      <c r="G1924" s="588">
        <v>25</v>
      </c>
      <c r="H1924" s="588">
        <v>25</v>
      </c>
      <c r="I1924" s="588">
        <v>0</v>
      </c>
      <c r="J1924" s="588">
        <v>391</v>
      </c>
      <c r="K1924" s="588">
        <v>28</v>
      </c>
      <c r="L1924" s="588">
        <v>28</v>
      </c>
      <c r="M1924" s="588">
        <v>0</v>
      </c>
      <c r="N1924" s="588">
        <v>407</v>
      </c>
      <c r="O1924" s="588">
        <v>7</v>
      </c>
      <c r="P1924" s="588">
        <v>553</v>
      </c>
      <c r="Q1924" s="588">
        <v>38</v>
      </c>
      <c r="R1924" s="588">
        <v>2067</v>
      </c>
      <c r="S1924" s="588">
        <v>98</v>
      </c>
      <c r="T1924" s="588">
        <v>2018</v>
      </c>
      <c r="U1924" s="588">
        <v>2015</v>
      </c>
      <c r="V1924" s="589"/>
      <c r="W1924" s="589"/>
      <c r="X1924" s="589"/>
      <c r="Y1924" s="589"/>
      <c r="Z1924" s="589"/>
      <c r="AA1924" s="589"/>
      <c r="AB1924" s="589"/>
      <c r="AC1924" s="589"/>
      <c r="AD1924" s="589"/>
      <c r="AE1924" s="589"/>
      <c r="AF1924" s="589"/>
      <c r="AG1924" s="589"/>
      <c r="AH1924" s="589"/>
      <c r="AI1924" s="589"/>
      <c r="AJ1924" s="589"/>
      <c r="AK1924" s="589"/>
      <c r="AL1924" s="589"/>
      <c r="AM1924" s="589"/>
      <c r="AN1924" s="589"/>
      <c r="AO1924" s="589"/>
      <c r="AP1924" s="589"/>
      <c r="AQ1924" s="589"/>
      <c r="AR1924" s="589"/>
      <c r="AS1924" s="589"/>
    </row>
    <row r="1925" spans="1:45" ht="15">
      <c r="A1925" s="590" t="s">
        <v>171</v>
      </c>
      <c r="B1925" s="590" t="s">
        <v>526</v>
      </c>
      <c r="C1925" s="590" t="s">
        <v>785</v>
      </c>
      <c r="D1925" s="593">
        <v>2018</v>
      </c>
      <c r="E1925" s="590" t="s">
        <v>775</v>
      </c>
      <c r="F1925" s="593">
        <v>12</v>
      </c>
      <c r="G1925" s="593">
        <v>0</v>
      </c>
      <c r="H1925" s="593">
        <v>0</v>
      </c>
      <c r="I1925" s="593">
        <v>0</v>
      </c>
      <c r="J1925" s="593">
        <v>8</v>
      </c>
      <c r="K1925" s="593">
        <v>0</v>
      </c>
      <c r="L1925" s="593">
        <v>0</v>
      </c>
      <c r="M1925" s="593">
        <v>0</v>
      </c>
      <c r="N1925" s="593">
        <v>12</v>
      </c>
      <c r="O1925" s="593">
        <v>15</v>
      </c>
      <c r="P1925" s="593">
        <v>25</v>
      </c>
      <c r="Q1925" s="593">
        <v>41</v>
      </c>
      <c r="R1925" s="593">
        <v>57</v>
      </c>
      <c r="S1925" s="593">
        <v>56</v>
      </c>
      <c r="T1925" s="593">
        <v>2018</v>
      </c>
      <c r="U1925" s="593">
        <v>2014</v>
      </c>
      <c r="V1925" s="589"/>
      <c r="W1925" s="589"/>
      <c r="X1925" s="589"/>
      <c r="Y1925" s="589"/>
      <c r="Z1925" s="589"/>
      <c r="AA1925" s="589"/>
      <c r="AB1925" s="589"/>
      <c r="AC1925" s="589"/>
      <c r="AD1925" s="589"/>
      <c r="AE1925" s="589"/>
      <c r="AF1925" s="589"/>
      <c r="AG1925" s="589"/>
      <c r="AH1925" s="589"/>
      <c r="AI1925" s="589"/>
      <c r="AJ1925" s="589"/>
      <c r="AK1925" s="589"/>
      <c r="AL1925" s="589"/>
      <c r="AM1925" s="589"/>
      <c r="AN1925" s="589"/>
      <c r="AO1925" s="589"/>
      <c r="AP1925" s="589"/>
      <c r="AQ1925" s="589"/>
      <c r="AR1925" s="589"/>
      <c r="AS1925" s="589"/>
    </row>
    <row r="1926" spans="1:45" ht="15">
      <c r="A1926" s="587" t="s">
        <v>130</v>
      </c>
      <c r="B1926" s="587" t="s">
        <v>253</v>
      </c>
      <c r="C1926" s="587" t="s">
        <v>785</v>
      </c>
      <c r="D1926" s="588">
        <v>2018</v>
      </c>
      <c r="E1926" s="587" t="s">
        <v>775</v>
      </c>
      <c r="F1926" s="588">
        <v>1</v>
      </c>
      <c r="G1926" s="588">
        <v>0</v>
      </c>
      <c r="H1926" s="588">
        <v>0</v>
      </c>
      <c r="I1926" s="588">
        <v>0</v>
      </c>
      <c r="J1926" s="588">
        <v>1</v>
      </c>
      <c r="K1926" s="588">
        <v>0</v>
      </c>
      <c r="L1926" s="588">
        <v>0</v>
      </c>
      <c r="M1926" s="588">
        <v>0</v>
      </c>
      <c r="N1926" s="588">
        <v>1</v>
      </c>
      <c r="O1926" s="588">
        <v>0</v>
      </c>
      <c r="P1926" s="588">
        <v>1</v>
      </c>
      <c r="Q1926" s="588">
        <v>19</v>
      </c>
      <c r="R1926" s="588">
        <v>4</v>
      </c>
      <c r="S1926" s="588">
        <v>19</v>
      </c>
      <c r="T1926" s="588">
        <v>2018</v>
      </c>
      <c r="U1926" s="588">
        <v>2014</v>
      </c>
      <c r="V1926" s="589"/>
      <c r="W1926" s="589"/>
      <c r="X1926" s="589"/>
      <c r="Y1926" s="589"/>
      <c r="Z1926" s="589"/>
      <c r="AA1926" s="589"/>
      <c r="AB1926" s="589"/>
      <c r="AC1926" s="589"/>
      <c r="AD1926" s="589"/>
      <c r="AE1926" s="589"/>
      <c r="AF1926" s="589"/>
      <c r="AG1926" s="589"/>
      <c r="AH1926" s="589"/>
      <c r="AI1926" s="589"/>
      <c r="AJ1926" s="589"/>
      <c r="AK1926" s="589"/>
      <c r="AL1926" s="589"/>
      <c r="AM1926" s="589"/>
      <c r="AN1926" s="589"/>
      <c r="AO1926" s="589"/>
      <c r="AP1926" s="589"/>
      <c r="AQ1926" s="589"/>
      <c r="AR1926" s="589"/>
      <c r="AS1926" s="589"/>
    </row>
    <row r="1927" spans="1:45" ht="15">
      <c r="A1927" s="590" t="s">
        <v>159</v>
      </c>
      <c r="B1927" s="590" t="s">
        <v>451</v>
      </c>
      <c r="C1927" s="590" t="s">
        <v>785</v>
      </c>
      <c r="D1927" s="593">
        <v>2018</v>
      </c>
      <c r="E1927" s="590" t="s">
        <v>775</v>
      </c>
      <c r="F1927" s="593">
        <v>1</v>
      </c>
      <c r="G1927" s="593">
        <v>0</v>
      </c>
      <c r="H1927" s="593">
        <v>0</v>
      </c>
      <c r="I1927" s="593">
        <v>0</v>
      </c>
      <c r="J1927" s="593">
        <v>1</v>
      </c>
      <c r="K1927" s="593">
        <v>0</v>
      </c>
      <c r="L1927" s="593">
        <v>0</v>
      </c>
      <c r="M1927" s="593">
        <v>0</v>
      </c>
      <c r="N1927" s="593">
        <v>1</v>
      </c>
      <c r="O1927" s="593">
        <v>0</v>
      </c>
      <c r="P1927" s="593">
        <v>1</v>
      </c>
      <c r="Q1927" s="593">
        <v>8</v>
      </c>
      <c r="R1927" s="593">
        <v>4</v>
      </c>
      <c r="S1927" s="593">
        <v>8</v>
      </c>
      <c r="T1927" s="593">
        <v>2018</v>
      </c>
      <c r="U1927" s="593">
        <v>2014</v>
      </c>
      <c r="V1927" s="589"/>
      <c r="W1927" s="589"/>
      <c r="X1927" s="589"/>
      <c r="Y1927" s="589"/>
      <c r="Z1927" s="589"/>
      <c r="AA1927" s="589"/>
      <c r="AB1927" s="589"/>
      <c r="AC1927" s="589"/>
      <c r="AD1927" s="589"/>
      <c r="AE1927" s="589"/>
      <c r="AF1927" s="589"/>
      <c r="AG1927" s="589"/>
      <c r="AH1927" s="589"/>
      <c r="AI1927" s="589"/>
      <c r="AJ1927" s="589"/>
      <c r="AK1927" s="589"/>
      <c r="AL1927" s="589"/>
      <c r="AM1927" s="589"/>
      <c r="AN1927" s="589"/>
      <c r="AO1927" s="589"/>
      <c r="AP1927" s="589"/>
      <c r="AQ1927" s="589"/>
      <c r="AR1927" s="589"/>
      <c r="AS1927" s="589"/>
    </row>
    <row r="1928" spans="1:45" ht="15">
      <c r="A1928" s="587" t="s">
        <v>153</v>
      </c>
      <c r="B1928" s="587" t="s">
        <v>408</v>
      </c>
      <c r="C1928" s="587" t="s">
        <v>813</v>
      </c>
      <c r="D1928" s="588">
        <v>2018</v>
      </c>
      <c r="E1928" s="587" t="s">
        <v>775</v>
      </c>
      <c r="F1928" s="588">
        <v>919</v>
      </c>
      <c r="G1928" s="588">
        <v>0</v>
      </c>
      <c r="H1928" s="588">
        <v>0</v>
      </c>
      <c r="I1928" s="588">
        <v>0</v>
      </c>
      <c r="J1928" s="588">
        <v>543</v>
      </c>
      <c r="K1928" s="588">
        <v>0</v>
      </c>
      <c r="L1928" s="588">
        <v>0</v>
      </c>
      <c r="M1928" s="588">
        <v>0</v>
      </c>
      <c r="N1928" s="588">
        <v>592</v>
      </c>
      <c r="O1928" s="588">
        <v>0</v>
      </c>
      <c r="P1928" s="588">
        <v>1572</v>
      </c>
      <c r="Q1928" s="588">
        <v>240</v>
      </c>
      <c r="R1928" s="588">
        <v>3626</v>
      </c>
      <c r="S1928" s="588">
        <v>240</v>
      </c>
      <c r="T1928" s="588">
        <v>2018</v>
      </c>
      <c r="U1928" s="588">
        <v>2014</v>
      </c>
      <c r="V1928" s="589"/>
      <c r="W1928" s="589"/>
      <c r="X1928" s="589"/>
      <c r="Y1928" s="589"/>
      <c r="Z1928" s="589"/>
      <c r="AA1928" s="589"/>
      <c r="AB1928" s="589"/>
      <c r="AC1928" s="589"/>
      <c r="AD1928" s="589"/>
      <c r="AE1928" s="589"/>
      <c r="AF1928" s="589"/>
      <c r="AG1928" s="589"/>
      <c r="AH1928" s="589"/>
      <c r="AI1928" s="589"/>
      <c r="AJ1928" s="589"/>
      <c r="AK1928" s="589"/>
      <c r="AL1928" s="589"/>
      <c r="AM1928" s="589"/>
      <c r="AN1928" s="589"/>
      <c r="AO1928" s="589"/>
      <c r="AP1928" s="589"/>
      <c r="AQ1928" s="589"/>
      <c r="AR1928" s="589"/>
      <c r="AS1928" s="589"/>
    </row>
    <row r="1929" spans="1:45" ht="15">
      <c r="A1929" s="590" t="s">
        <v>201</v>
      </c>
      <c r="B1929" s="590" t="s">
        <v>735</v>
      </c>
      <c r="C1929" s="590" t="s">
        <v>813</v>
      </c>
      <c r="D1929" s="593">
        <v>2018</v>
      </c>
      <c r="E1929" s="590" t="s">
        <v>775</v>
      </c>
      <c r="F1929" s="593">
        <v>1</v>
      </c>
      <c r="G1929" s="593">
        <v>0</v>
      </c>
      <c r="H1929" s="593">
        <v>0</v>
      </c>
      <c r="I1929" s="593">
        <v>0</v>
      </c>
      <c r="J1929" s="593">
        <v>1</v>
      </c>
      <c r="K1929" s="593">
        <v>0</v>
      </c>
      <c r="L1929" s="593">
        <v>0</v>
      </c>
      <c r="M1929" s="593">
        <v>0</v>
      </c>
      <c r="N1929" s="593">
        <v>0</v>
      </c>
      <c r="O1929" s="593">
        <v>0</v>
      </c>
      <c r="P1929" s="593">
        <v>0</v>
      </c>
      <c r="Q1929" s="593">
        <v>0</v>
      </c>
      <c r="R1929" s="593">
        <v>2</v>
      </c>
      <c r="S1929" s="593">
        <v>0</v>
      </c>
      <c r="T1929" s="593">
        <v>2018</v>
      </c>
      <c r="U1929" s="593">
        <v>2014</v>
      </c>
      <c r="V1929" s="589"/>
      <c r="W1929" s="589"/>
      <c r="X1929" s="589"/>
      <c r="Y1929" s="589"/>
      <c r="Z1929" s="589"/>
      <c r="AA1929" s="589"/>
      <c r="AB1929" s="589"/>
      <c r="AC1929" s="589"/>
      <c r="AD1929" s="589"/>
      <c r="AE1929" s="589"/>
      <c r="AF1929" s="589"/>
      <c r="AG1929" s="589"/>
      <c r="AH1929" s="589"/>
      <c r="AI1929" s="589"/>
      <c r="AJ1929" s="589"/>
      <c r="AK1929" s="589"/>
      <c r="AL1929" s="589"/>
      <c r="AM1929" s="589"/>
      <c r="AN1929" s="589"/>
      <c r="AO1929" s="589"/>
      <c r="AP1929" s="589"/>
      <c r="AQ1929" s="589"/>
      <c r="AR1929" s="589"/>
      <c r="AS1929" s="589"/>
    </row>
    <row r="1930" spans="1:45" ht="15">
      <c r="A1930" s="587" t="s">
        <v>199</v>
      </c>
      <c r="B1930" s="587" t="s">
        <v>724</v>
      </c>
      <c r="C1930" s="587" t="s">
        <v>811</v>
      </c>
      <c r="D1930" s="588">
        <v>2018</v>
      </c>
      <c r="E1930" s="587" t="s">
        <v>775</v>
      </c>
      <c r="F1930" s="588">
        <v>623</v>
      </c>
      <c r="G1930" s="588">
        <v>10</v>
      </c>
      <c r="H1930" s="588">
        <v>0</v>
      </c>
      <c r="I1930" s="588">
        <v>10</v>
      </c>
      <c r="J1930" s="588">
        <v>576</v>
      </c>
      <c r="K1930" s="588">
        <v>25</v>
      </c>
      <c r="L1930" s="588">
        <v>1</v>
      </c>
      <c r="M1930" s="588">
        <v>24</v>
      </c>
      <c r="N1930" s="588">
        <v>566</v>
      </c>
      <c r="O1930" s="588">
        <v>41</v>
      </c>
      <c r="P1930" s="588">
        <v>1431</v>
      </c>
      <c r="Q1930" s="588">
        <v>11</v>
      </c>
      <c r="R1930" s="588">
        <v>3196</v>
      </c>
      <c r="S1930" s="588">
        <v>87</v>
      </c>
      <c r="T1930" s="588">
        <v>2018</v>
      </c>
      <c r="U1930" s="588">
        <v>2016</v>
      </c>
      <c r="V1930" s="589"/>
      <c r="W1930" s="589"/>
      <c r="X1930" s="589"/>
      <c r="Y1930" s="589"/>
      <c r="Z1930" s="589"/>
      <c r="AA1930" s="589"/>
      <c r="AB1930" s="589"/>
      <c r="AC1930" s="589"/>
      <c r="AD1930" s="589"/>
      <c r="AE1930" s="589"/>
      <c r="AF1930" s="589"/>
      <c r="AG1930" s="589"/>
      <c r="AH1930" s="589"/>
      <c r="AI1930" s="589"/>
      <c r="AJ1930" s="589"/>
      <c r="AK1930" s="589"/>
      <c r="AL1930" s="589"/>
      <c r="AM1930" s="589"/>
      <c r="AN1930" s="589"/>
      <c r="AO1930" s="589"/>
      <c r="AP1930" s="589"/>
      <c r="AQ1930" s="589"/>
      <c r="AR1930" s="589"/>
      <c r="AS1930" s="589"/>
    </row>
    <row r="1931" spans="1:45" ht="15">
      <c r="A1931" s="590" t="s">
        <v>171</v>
      </c>
      <c r="B1931" s="590" t="s">
        <v>527</v>
      </c>
      <c r="C1931" s="590" t="s">
        <v>785</v>
      </c>
      <c r="D1931" s="593">
        <v>2018</v>
      </c>
      <c r="E1931" s="590" t="s">
        <v>775</v>
      </c>
      <c r="F1931" s="593">
        <v>3</v>
      </c>
      <c r="G1931" s="593">
        <v>0</v>
      </c>
      <c r="H1931" s="593">
        <v>0</v>
      </c>
      <c r="I1931" s="593">
        <v>0</v>
      </c>
      <c r="J1931" s="593">
        <v>2</v>
      </c>
      <c r="K1931" s="593">
        <v>0</v>
      </c>
      <c r="L1931" s="593">
        <v>0</v>
      </c>
      <c r="M1931" s="593">
        <v>0</v>
      </c>
      <c r="N1931" s="593">
        <v>3</v>
      </c>
      <c r="O1931" s="593">
        <v>0</v>
      </c>
      <c r="P1931" s="593">
        <v>5</v>
      </c>
      <c r="Q1931" s="593">
        <v>1</v>
      </c>
      <c r="R1931" s="593">
        <v>13</v>
      </c>
      <c r="S1931" s="593">
        <v>1</v>
      </c>
      <c r="T1931" s="593">
        <v>2018</v>
      </c>
      <c r="U1931" s="593">
        <v>2014</v>
      </c>
      <c r="V1931" s="589"/>
      <c r="W1931" s="589"/>
      <c r="X1931" s="589"/>
      <c r="Y1931" s="589"/>
      <c r="Z1931" s="589"/>
      <c r="AA1931" s="589"/>
      <c r="AB1931" s="589"/>
      <c r="AC1931" s="589"/>
      <c r="AD1931" s="589"/>
      <c r="AE1931" s="589"/>
      <c r="AF1931" s="589"/>
      <c r="AG1931" s="589"/>
      <c r="AH1931" s="589"/>
      <c r="AI1931" s="589"/>
      <c r="AJ1931" s="589"/>
      <c r="AK1931" s="589"/>
      <c r="AL1931" s="589"/>
      <c r="AM1931" s="589"/>
      <c r="AN1931" s="589"/>
      <c r="AO1931" s="589"/>
      <c r="AP1931" s="589"/>
      <c r="AQ1931" s="589"/>
      <c r="AR1931" s="589"/>
      <c r="AS1931" s="589"/>
    </row>
    <row r="1932" spans="1:45" ht="15">
      <c r="A1932" s="587" t="s">
        <v>184</v>
      </c>
      <c r="B1932" s="587" t="s">
        <v>636</v>
      </c>
      <c r="C1932" s="587" t="s">
        <v>782</v>
      </c>
      <c r="D1932" s="588">
        <v>2018</v>
      </c>
      <c r="E1932" s="587" t="s">
        <v>775</v>
      </c>
      <c r="F1932" s="588">
        <v>21</v>
      </c>
      <c r="G1932" s="588">
        <v>4</v>
      </c>
      <c r="H1932" s="588">
        <v>0</v>
      </c>
      <c r="I1932" s="588">
        <v>4</v>
      </c>
      <c r="J1932" s="588">
        <v>15</v>
      </c>
      <c r="K1932" s="588">
        <v>1</v>
      </c>
      <c r="L1932" s="588">
        <v>0</v>
      </c>
      <c r="M1932" s="588">
        <v>1</v>
      </c>
      <c r="N1932" s="588">
        <v>15</v>
      </c>
      <c r="O1932" s="588">
        <v>1</v>
      </c>
      <c r="P1932" s="588">
        <v>13</v>
      </c>
      <c r="Q1932" s="588">
        <v>2</v>
      </c>
      <c r="R1932" s="588">
        <v>64</v>
      </c>
      <c r="S1932" s="588">
        <v>8</v>
      </c>
      <c r="T1932" s="588">
        <v>2018</v>
      </c>
      <c r="U1932" s="588">
        <v>2015</v>
      </c>
      <c r="V1932" s="589"/>
      <c r="W1932" s="589"/>
      <c r="X1932" s="589"/>
      <c r="Y1932" s="589"/>
      <c r="Z1932" s="589"/>
      <c r="AA1932" s="589"/>
      <c r="AB1932" s="589"/>
      <c r="AC1932" s="589"/>
      <c r="AD1932" s="589"/>
      <c r="AE1932" s="589"/>
      <c r="AF1932" s="589"/>
      <c r="AG1932" s="589"/>
      <c r="AH1932" s="589"/>
      <c r="AI1932" s="589"/>
      <c r="AJ1932" s="589"/>
      <c r="AK1932" s="589"/>
      <c r="AL1932" s="589"/>
      <c r="AM1932" s="589"/>
      <c r="AN1932" s="589"/>
      <c r="AO1932" s="589"/>
      <c r="AP1932" s="589"/>
      <c r="AQ1932" s="589"/>
      <c r="AR1932" s="589"/>
      <c r="AS1932" s="589"/>
    </row>
    <row r="1933" spans="1:45" ht="15">
      <c r="A1933" s="590" t="s">
        <v>179</v>
      </c>
      <c r="B1933" s="590" t="s">
        <v>602</v>
      </c>
      <c r="C1933" s="590" t="s">
        <v>856</v>
      </c>
      <c r="D1933" s="593">
        <v>2018</v>
      </c>
      <c r="E1933" s="590" t="s">
        <v>775</v>
      </c>
      <c r="F1933" s="593">
        <v>201</v>
      </c>
      <c r="G1933" s="593">
        <v>0</v>
      </c>
      <c r="H1933" s="593">
        <v>0</v>
      </c>
      <c r="I1933" s="593">
        <v>0</v>
      </c>
      <c r="J1933" s="593">
        <v>152</v>
      </c>
      <c r="K1933" s="593">
        <v>0</v>
      </c>
      <c r="L1933" s="593">
        <v>0</v>
      </c>
      <c r="M1933" s="593">
        <v>0</v>
      </c>
      <c r="N1933" s="593">
        <v>282</v>
      </c>
      <c r="O1933" s="593">
        <v>0</v>
      </c>
      <c r="P1933" s="593">
        <v>618</v>
      </c>
      <c r="Q1933" s="593">
        <v>15</v>
      </c>
      <c r="R1933" s="593">
        <v>1253</v>
      </c>
      <c r="S1933" s="593">
        <v>15</v>
      </c>
      <c r="T1933" s="593">
        <v>2018</v>
      </c>
      <c r="U1933" s="593">
        <v>2013</v>
      </c>
      <c r="V1933" s="589"/>
      <c r="W1933" s="589"/>
      <c r="X1933" s="589"/>
      <c r="Y1933" s="589"/>
      <c r="Z1933" s="589"/>
      <c r="AA1933" s="589"/>
      <c r="AB1933" s="589"/>
      <c r="AC1933" s="589"/>
      <c r="AD1933" s="589"/>
      <c r="AE1933" s="589"/>
      <c r="AF1933" s="589"/>
      <c r="AG1933" s="589"/>
      <c r="AH1933" s="589"/>
      <c r="AI1933" s="589"/>
      <c r="AJ1933" s="589"/>
      <c r="AK1933" s="589"/>
      <c r="AL1933" s="589"/>
      <c r="AM1933" s="589"/>
      <c r="AN1933" s="589"/>
      <c r="AO1933" s="589"/>
      <c r="AP1933" s="589"/>
      <c r="AQ1933" s="589"/>
      <c r="AR1933" s="589"/>
      <c r="AS1933" s="589"/>
    </row>
    <row r="1934" spans="1:45" ht="15">
      <c r="A1934" s="587" t="s">
        <v>174</v>
      </c>
      <c r="B1934" s="587" t="s">
        <v>561</v>
      </c>
      <c r="C1934" s="587" t="s">
        <v>801</v>
      </c>
      <c r="D1934" s="588">
        <v>2018</v>
      </c>
      <c r="E1934" s="587" t="s">
        <v>775</v>
      </c>
      <c r="F1934" s="588">
        <v>1539</v>
      </c>
      <c r="G1934" s="588">
        <v>0</v>
      </c>
      <c r="H1934" s="588">
        <v>0</v>
      </c>
      <c r="I1934" s="588">
        <v>0</v>
      </c>
      <c r="J1934" s="588">
        <v>1079</v>
      </c>
      <c r="K1934" s="588">
        <v>0</v>
      </c>
      <c r="L1934" s="588">
        <v>0</v>
      </c>
      <c r="M1934" s="588">
        <v>0</v>
      </c>
      <c r="N1934" s="588">
        <v>1303</v>
      </c>
      <c r="O1934" s="588">
        <v>104</v>
      </c>
      <c r="P1934" s="588">
        <v>3087</v>
      </c>
      <c r="Q1934" s="588">
        <v>142</v>
      </c>
      <c r="R1934" s="588">
        <v>7008</v>
      </c>
      <c r="S1934" s="588">
        <v>246</v>
      </c>
      <c r="T1934" s="588">
        <v>2018</v>
      </c>
      <c r="U1934" s="588">
        <v>2014</v>
      </c>
      <c r="V1934" s="589"/>
      <c r="W1934" s="589"/>
      <c r="X1934" s="589"/>
      <c r="Y1934" s="589"/>
      <c r="Z1934" s="589"/>
      <c r="AA1934" s="589"/>
      <c r="AB1934" s="589"/>
      <c r="AC1934" s="589"/>
      <c r="AD1934" s="589"/>
      <c r="AE1934" s="589"/>
      <c r="AF1934" s="589"/>
      <c r="AG1934" s="589"/>
      <c r="AH1934" s="589"/>
      <c r="AI1934" s="589"/>
      <c r="AJ1934" s="589"/>
      <c r="AK1934" s="589"/>
      <c r="AL1934" s="589"/>
      <c r="AM1934" s="589"/>
      <c r="AN1934" s="589"/>
      <c r="AO1934" s="589"/>
      <c r="AP1934" s="589"/>
      <c r="AQ1934" s="589"/>
      <c r="AR1934" s="589"/>
      <c r="AS1934" s="589"/>
    </row>
    <row r="1935" spans="1:45" ht="15">
      <c r="A1935" s="590" t="s">
        <v>178</v>
      </c>
      <c r="B1935" s="590" t="s">
        <v>581</v>
      </c>
      <c r="C1935" s="590" t="s">
        <v>813</v>
      </c>
      <c r="D1935" s="593">
        <v>2018</v>
      </c>
      <c r="E1935" s="590" t="s">
        <v>775</v>
      </c>
      <c r="F1935" s="593">
        <v>209</v>
      </c>
      <c r="G1935" s="593">
        <v>0</v>
      </c>
      <c r="H1935" s="593">
        <v>0</v>
      </c>
      <c r="I1935" s="593">
        <v>0</v>
      </c>
      <c r="J1935" s="593">
        <v>141</v>
      </c>
      <c r="K1935" s="593">
        <v>0</v>
      </c>
      <c r="L1935" s="593">
        <v>0</v>
      </c>
      <c r="M1935" s="593">
        <v>0</v>
      </c>
      <c r="N1935" s="593">
        <v>158</v>
      </c>
      <c r="O1935" s="593">
        <v>0</v>
      </c>
      <c r="P1935" s="593">
        <v>340</v>
      </c>
      <c r="Q1935" s="593">
        <v>255</v>
      </c>
      <c r="R1935" s="593">
        <v>848</v>
      </c>
      <c r="S1935" s="593">
        <v>255</v>
      </c>
      <c r="T1935" s="593">
        <v>2018</v>
      </c>
      <c r="U1935" s="593">
        <v>2014</v>
      </c>
      <c r="V1935" s="589"/>
      <c r="W1935" s="589"/>
      <c r="X1935" s="589"/>
      <c r="Y1935" s="589"/>
      <c r="Z1935" s="589"/>
      <c r="AA1935" s="589"/>
      <c r="AB1935" s="589"/>
      <c r="AC1935" s="589"/>
      <c r="AD1935" s="589"/>
      <c r="AE1935" s="589"/>
      <c r="AF1935" s="589"/>
      <c r="AG1935" s="589"/>
      <c r="AH1935" s="589"/>
      <c r="AI1935" s="589"/>
      <c r="AJ1935" s="589"/>
      <c r="AK1935" s="589"/>
      <c r="AL1935" s="589"/>
      <c r="AM1935" s="589"/>
      <c r="AN1935" s="589"/>
      <c r="AO1935" s="589"/>
      <c r="AP1935" s="589"/>
      <c r="AQ1935" s="589"/>
      <c r="AR1935" s="589"/>
      <c r="AS1935" s="589"/>
    </row>
    <row r="1936" spans="1:45" ht="15">
      <c r="A1936" s="587" t="s">
        <v>173</v>
      </c>
      <c r="B1936" s="587" t="s">
        <v>551</v>
      </c>
      <c r="C1936" s="587" t="s">
        <v>813</v>
      </c>
      <c r="D1936" s="588">
        <v>2018</v>
      </c>
      <c r="E1936" s="587" t="s">
        <v>775</v>
      </c>
      <c r="F1936" s="588">
        <v>23</v>
      </c>
      <c r="G1936" s="588">
        <v>0</v>
      </c>
      <c r="H1936" s="588">
        <v>0</v>
      </c>
      <c r="I1936" s="588">
        <v>0</v>
      </c>
      <c r="J1936" s="588">
        <v>15</v>
      </c>
      <c r="K1936" s="588">
        <v>0</v>
      </c>
      <c r="L1936" s="588">
        <v>0</v>
      </c>
      <c r="M1936" s="588">
        <v>0</v>
      </c>
      <c r="N1936" s="588">
        <v>18</v>
      </c>
      <c r="O1936" s="588">
        <v>1</v>
      </c>
      <c r="P1936" s="588">
        <v>39</v>
      </c>
      <c r="Q1936" s="588">
        <v>0</v>
      </c>
      <c r="R1936" s="588">
        <v>95</v>
      </c>
      <c r="S1936" s="588">
        <v>1</v>
      </c>
      <c r="T1936" s="588">
        <v>2018</v>
      </c>
      <c r="U1936" s="588">
        <v>2014</v>
      </c>
      <c r="V1936" s="589"/>
      <c r="W1936" s="589"/>
      <c r="X1936" s="589"/>
      <c r="Y1936" s="589"/>
      <c r="Z1936" s="589"/>
      <c r="AA1936" s="589"/>
      <c r="AB1936" s="589"/>
      <c r="AC1936" s="589"/>
      <c r="AD1936" s="589"/>
      <c r="AE1936" s="589"/>
      <c r="AF1936" s="589"/>
      <c r="AG1936" s="589"/>
      <c r="AH1936" s="589"/>
      <c r="AI1936" s="589"/>
      <c r="AJ1936" s="589"/>
      <c r="AK1936" s="589"/>
      <c r="AL1936" s="589"/>
      <c r="AM1936" s="589"/>
      <c r="AN1936" s="589"/>
      <c r="AO1936" s="589"/>
      <c r="AP1936" s="589"/>
      <c r="AQ1936" s="589"/>
      <c r="AR1936" s="589"/>
      <c r="AS1936" s="589"/>
    </row>
    <row r="1937" spans="1:45" ht="15">
      <c r="A1937" s="590" t="s">
        <v>153</v>
      </c>
      <c r="B1937" s="590" t="s">
        <v>409</v>
      </c>
      <c r="C1937" s="590" t="s">
        <v>813</v>
      </c>
      <c r="D1937" s="593">
        <v>2018</v>
      </c>
      <c r="E1937" s="590" t="s">
        <v>775</v>
      </c>
      <c r="F1937" s="593">
        <v>8</v>
      </c>
      <c r="G1937" s="593">
        <v>0</v>
      </c>
      <c r="H1937" s="593">
        <v>0</v>
      </c>
      <c r="I1937" s="593">
        <v>0</v>
      </c>
      <c r="J1937" s="593">
        <v>5</v>
      </c>
      <c r="K1937" s="593">
        <v>0</v>
      </c>
      <c r="L1937" s="593">
        <v>0</v>
      </c>
      <c r="M1937" s="593">
        <v>0</v>
      </c>
      <c r="N1937" s="593">
        <v>5</v>
      </c>
      <c r="O1937" s="593">
        <v>1</v>
      </c>
      <c r="P1937" s="593">
        <v>13</v>
      </c>
      <c r="Q1937" s="593">
        <v>21</v>
      </c>
      <c r="R1937" s="593">
        <v>31</v>
      </c>
      <c r="S1937" s="593">
        <v>22</v>
      </c>
      <c r="T1937" s="593">
        <v>2018</v>
      </c>
      <c r="U1937" s="593">
        <v>2014</v>
      </c>
      <c r="V1937" s="589"/>
      <c r="W1937" s="589"/>
      <c r="X1937" s="589"/>
      <c r="Y1937" s="589"/>
      <c r="Z1937" s="589"/>
      <c r="AA1937" s="589"/>
      <c r="AB1937" s="589"/>
      <c r="AC1937" s="589"/>
      <c r="AD1937" s="589"/>
      <c r="AE1937" s="589"/>
      <c r="AF1937" s="589"/>
      <c r="AG1937" s="589"/>
      <c r="AH1937" s="589"/>
      <c r="AI1937" s="589"/>
      <c r="AJ1937" s="589"/>
      <c r="AK1937" s="589"/>
      <c r="AL1937" s="589"/>
      <c r="AM1937" s="589"/>
      <c r="AN1937" s="589"/>
      <c r="AO1937" s="589"/>
      <c r="AP1937" s="589"/>
      <c r="AQ1937" s="589"/>
      <c r="AR1937" s="589"/>
      <c r="AS1937" s="589"/>
    </row>
    <row r="1938" spans="1:45" ht="15">
      <c r="A1938" s="587" t="s">
        <v>169</v>
      </c>
      <c r="B1938" s="587" t="s">
        <v>509</v>
      </c>
      <c r="C1938" s="587" t="s">
        <v>813</v>
      </c>
      <c r="D1938" s="588">
        <v>2018</v>
      </c>
      <c r="E1938" s="587" t="s">
        <v>775</v>
      </c>
      <c r="F1938" s="588">
        <v>1</v>
      </c>
      <c r="G1938" s="588">
        <v>0</v>
      </c>
      <c r="H1938" s="588">
        <v>0</v>
      </c>
      <c r="I1938" s="588">
        <v>0</v>
      </c>
      <c r="J1938" s="588">
        <v>1</v>
      </c>
      <c r="K1938" s="588">
        <v>0</v>
      </c>
      <c r="L1938" s="588">
        <v>0</v>
      </c>
      <c r="M1938" s="588">
        <v>0</v>
      </c>
      <c r="N1938" s="588">
        <v>0</v>
      </c>
      <c r="O1938" s="588">
        <v>0</v>
      </c>
      <c r="P1938" s="588">
        <v>0</v>
      </c>
      <c r="Q1938" s="588">
        <v>0</v>
      </c>
      <c r="R1938" s="588">
        <v>2</v>
      </c>
      <c r="S1938" s="588">
        <v>0</v>
      </c>
      <c r="T1938" s="588">
        <v>2018</v>
      </c>
      <c r="U1938" s="588">
        <v>2014</v>
      </c>
      <c r="V1938" s="589"/>
      <c r="W1938" s="589"/>
      <c r="X1938" s="589"/>
      <c r="Y1938" s="589"/>
      <c r="Z1938" s="589"/>
      <c r="AA1938" s="589"/>
      <c r="AB1938" s="589"/>
      <c r="AC1938" s="589"/>
      <c r="AD1938" s="589"/>
      <c r="AE1938" s="589"/>
      <c r="AF1938" s="589"/>
      <c r="AG1938" s="589"/>
      <c r="AH1938" s="589"/>
      <c r="AI1938" s="589"/>
      <c r="AJ1938" s="589"/>
      <c r="AK1938" s="589"/>
      <c r="AL1938" s="589"/>
      <c r="AM1938" s="589"/>
      <c r="AN1938" s="589"/>
      <c r="AO1938" s="589"/>
      <c r="AP1938" s="589"/>
      <c r="AQ1938" s="589"/>
      <c r="AR1938" s="589"/>
      <c r="AS1938" s="589"/>
    </row>
    <row r="1939" spans="1:45" ht="15">
      <c r="A1939" s="590" t="s">
        <v>197</v>
      </c>
      <c r="B1939" s="590" t="s">
        <v>717</v>
      </c>
      <c r="C1939" s="590" t="s">
        <v>785</v>
      </c>
      <c r="D1939" s="593">
        <v>2018</v>
      </c>
      <c r="E1939" s="590" t="s">
        <v>775</v>
      </c>
      <c r="F1939" s="593">
        <v>73</v>
      </c>
      <c r="G1939" s="593">
        <v>0</v>
      </c>
      <c r="H1939" s="593">
        <v>0</v>
      </c>
      <c r="I1939" s="593">
        <v>0</v>
      </c>
      <c r="J1939" s="593">
        <v>52</v>
      </c>
      <c r="K1939" s="593">
        <v>2</v>
      </c>
      <c r="L1939" s="593">
        <v>0</v>
      </c>
      <c r="M1939" s="593">
        <v>2</v>
      </c>
      <c r="N1939" s="593">
        <v>61</v>
      </c>
      <c r="O1939" s="593">
        <v>3</v>
      </c>
      <c r="P1939" s="593">
        <v>137</v>
      </c>
      <c r="Q1939" s="593">
        <v>0</v>
      </c>
      <c r="R1939" s="593">
        <v>323</v>
      </c>
      <c r="S1939" s="593">
        <v>5</v>
      </c>
      <c r="T1939" s="593">
        <v>2018</v>
      </c>
      <c r="U1939" s="593">
        <v>2014</v>
      </c>
      <c r="V1939" s="589"/>
      <c r="W1939" s="589"/>
      <c r="X1939" s="589"/>
      <c r="Y1939" s="589"/>
      <c r="Z1939" s="589"/>
      <c r="AA1939" s="589"/>
      <c r="AB1939" s="589"/>
      <c r="AC1939" s="589"/>
      <c r="AD1939" s="589"/>
      <c r="AE1939" s="589"/>
      <c r="AF1939" s="589"/>
      <c r="AG1939" s="589"/>
      <c r="AH1939" s="589"/>
      <c r="AI1939" s="589"/>
      <c r="AJ1939" s="589"/>
      <c r="AK1939" s="589"/>
      <c r="AL1939" s="589"/>
      <c r="AM1939" s="589"/>
      <c r="AN1939" s="589"/>
      <c r="AO1939" s="589"/>
      <c r="AP1939" s="589"/>
      <c r="AQ1939" s="589"/>
      <c r="AR1939" s="589"/>
      <c r="AS1939" s="589"/>
    </row>
    <row r="1940" spans="1:45" ht="15">
      <c r="A1940" s="587" t="s">
        <v>189</v>
      </c>
      <c r="B1940" s="587" t="s">
        <v>671</v>
      </c>
      <c r="C1940" s="587" t="s">
        <v>785</v>
      </c>
      <c r="D1940" s="588">
        <v>2018</v>
      </c>
      <c r="E1940" s="587" t="s">
        <v>775</v>
      </c>
      <c r="F1940" s="588">
        <v>287</v>
      </c>
      <c r="G1940" s="588">
        <v>0</v>
      </c>
      <c r="H1940" s="588">
        <v>0</v>
      </c>
      <c r="I1940" s="588">
        <v>0</v>
      </c>
      <c r="J1940" s="588">
        <v>181</v>
      </c>
      <c r="K1940" s="588">
        <v>79</v>
      </c>
      <c r="L1940" s="588">
        <v>79</v>
      </c>
      <c r="M1940" s="588">
        <v>0</v>
      </c>
      <c r="N1940" s="588">
        <v>205</v>
      </c>
      <c r="O1940" s="588">
        <v>10</v>
      </c>
      <c r="P1940" s="588">
        <v>502</v>
      </c>
      <c r="Q1940" s="588">
        <v>109</v>
      </c>
      <c r="R1940" s="588">
        <v>1175</v>
      </c>
      <c r="S1940" s="588">
        <v>198</v>
      </c>
      <c r="T1940" s="588">
        <v>2018</v>
      </c>
      <c r="U1940" s="588">
        <v>2014</v>
      </c>
      <c r="V1940" s="589"/>
      <c r="W1940" s="589"/>
      <c r="X1940" s="589"/>
      <c r="Y1940" s="589"/>
      <c r="Z1940" s="589"/>
      <c r="AA1940" s="589"/>
      <c r="AB1940" s="589"/>
      <c r="AC1940" s="589"/>
      <c r="AD1940" s="589"/>
      <c r="AE1940" s="589"/>
      <c r="AF1940" s="589"/>
      <c r="AG1940" s="589"/>
      <c r="AH1940" s="589"/>
      <c r="AI1940" s="589"/>
      <c r="AJ1940" s="589"/>
      <c r="AK1940" s="589"/>
      <c r="AL1940" s="589"/>
      <c r="AM1940" s="589"/>
      <c r="AN1940" s="589"/>
      <c r="AO1940" s="589"/>
      <c r="AP1940" s="589"/>
      <c r="AQ1940" s="589"/>
      <c r="AR1940" s="589"/>
      <c r="AS1940" s="589"/>
    </row>
    <row r="1941" spans="1:45" ht="15">
      <c r="A1941" s="590" t="s">
        <v>178</v>
      </c>
      <c r="B1941" s="590" t="s">
        <v>582</v>
      </c>
      <c r="C1941" s="590" t="s">
        <v>813</v>
      </c>
      <c r="D1941" s="593">
        <v>2018</v>
      </c>
      <c r="E1941" s="590" t="s">
        <v>775</v>
      </c>
      <c r="F1941" s="593">
        <v>579</v>
      </c>
      <c r="G1941" s="593">
        <v>0</v>
      </c>
      <c r="H1941" s="593">
        <v>0</v>
      </c>
      <c r="I1941" s="593">
        <v>0</v>
      </c>
      <c r="J1941" s="593">
        <v>396</v>
      </c>
      <c r="K1941" s="593">
        <v>8</v>
      </c>
      <c r="L1941" s="593">
        <v>0</v>
      </c>
      <c r="M1941" s="593">
        <v>8</v>
      </c>
      <c r="N1941" s="593">
        <v>453</v>
      </c>
      <c r="O1941" s="593">
        <v>0</v>
      </c>
      <c r="P1941" s="593">
        <v>1001</v>
      </c>
      <c r="Q1941" s="593">
        <v>61</v>
      </c>
      <c r="R1941" s="593">
        <v>2429</v>
      </c>
      <c r="S1941" s="593">
        <v>69</v>
      </c>
      <c r="T1941" s="593">
        <v>2018</v>
      </c>
      <c r="U1941" s="593">
        <v>2014</v>
      </c>
      <c r="V1941" s="589"/>
      <c r="W1941" s="589"/>
      <c r="X1941" s="589"/>
      <c r="Y1941" s="589"/>
      <c r="Z1941" s="589"/>
      <c r="AA1941" s="589"/>
      <c r="AB1941" s="589"/>
      <c r="AC1941" s="589"/>
      <c r="AD1941" s="589"/>
      <c r="AE1941" s="589"/>
      <c r="AF1941" s="589"/>
      <c r="AG1941" s="589"/>
      <c r="AH1941" s="589"/>
      <c r="AI1941" s="589"/>
      <c r="AJ1941" s="589"/>
      <c r="AK1941" s="589"/>
      <c r="AL1941" s="589"/>
      <c r="AM1941" s="589"/>
      <c r="AN1941" s="589"/>
      <c r="AO1941" s="589"/>
      <c r="AP1941" s="589"/>
      <c r="AQ1941" s="589"/>
      <c r="AR1941" s="589"/>
      <c r="AS1941" s="589"/>
    </row>
    <row r="1942" spans="1:45" ht="15">
      <c r="A1942" s="587" t="s">
        <v>153</v>
      </c>
      <c r="B1942" s="587" t="s">
        <v>410</v>
      </c>
      <c r="C1942" s="587" t="s">
        <v>813</v>
      </c>
      <c r="D1942" s="588">
        <v>2018</v>
      </c>
      <c r="E1942" s="587" t="s">
        <v>775</v>
      </c>
      <c r="F1942" s="588">
        <v>372</v>
      </c>
      <c r="G1942" s="588">
        <v>0</v>
      </c>
      <c r="H1942" s="588">
        <v>0</v>
      </c>
      <c r="I1942" s="588">
        <v>0</v>
      </c>
      <c r="J1942" s="588">
        <v>223</v>
      </c>
      <c r="K1942" s="588">
        <v>13</v>
      </c>
      <c r="L1942" s="588">
        <v>0</v>
      </c>
      <c r="M1942" s="588">
        <v>13</v>
      </c>
      <c r="N1942" s="588">
        <v>238</v>
      </c>
      <c r="O1942" s="588">
        <v>0</v>
      </c>
      <c r="P1942" s="588">
        <v>564</v>
      </c>
      <c r="Q1942" s="588">
        <v>115</v>
      </c>
      <c r="R1942" s="588">
        <v>1397</v>
      </c>
      <c r="S1942" s="588">
        <v>128</v>
      </c>
      <c r="T1942" s="588">
        <v>2018</v>
      </c>
      <c r="U1942" s="588">
        <v>2014</v>
      </c>
      <c r="V1942" s="589"/>
      <c r="W1942" s="589"/>
      <c r="X1942" s="589"/>
      <c r="Y1942" s="589"/>
      <c r="Z1942" s="589"/>
      <c r="AA1942" s="589"/>
      <c r="AB1942" s="589"/>
      <c r="AC1942" s="589"/>
      <c r="AD1942" s="589"/>
      <c r="AE1942" s="589"/>
      <c r="AF1942" s="589"/>
      <c r="AG1942" s="589"/>
      <c r="AH1942" s="589"/>
      <c r="AI1942" s="589"/>
      <c r="AJ1942" s="589"/>
      <c r="AK1942" s="589"/>
      <c r="AL1942" s="589"/>
      <c r="AM1942" s="589"/>
      <c r="AN1942" s="589"/>
      <c r="AO1942" s="589"/>
      <c r="AP1942" s="589"/>
      <c r="AQ1942" s="589"/>
      <c r="AR1942" s="589"/>
      <c r="AS1942" s="589"/>
    </row>
    <row r="1943" spans="1:45" ht="15">
      <c r="A1943" s="590" t="s">
        <v>184</v>
      </c>
      <c r="B1943" s="590" t="s">
        <v>637</v>
      </c>
      <c r="C1943" s="590" t="s">
        <v>782</v>
      </c>
      <c r="D1943" s="593">
        <v>2018</v>
      </c>
      <c r="E1943" s="590" t="s">
        <v>775</v>
      </c>
      <c r="F1943" s="593">
        <v>706</v>
      </c>
      <c r="G1943" s="593">
        <v>0</v>
      </c>
      <c r="H1943" s="593">
        <v>0</v>
      </c>
      <c r="I1943" s="593">
        <v>0</v>
      </c>
      <c r="J1943" s="593">
        <v>429</v>
      </c>
      <c r="K1943" s="593">
        <v>58</v>
      </c>
      <c r="L1943" s="593">
        <v>35</v>
      </c>
      <c r="M1943" s="593">
        <v>23</v>
      </c>
      <c r="N1943" s="593">
        <v>502</v>
      </c>
      <c r="O1943" s="593">
        <v>0</v>
      </c>
      <c r="P1943" s="593">
        <v>1152</v>
      </c>
      <c r="Q1943" s="593">
        <v>348</v>
      </c>
      <c r="R1943" s="593">
        <v>2789</v>
      </c>
      <c r="S1943" s="593">
        <v>406</v>
      </c>
      <c r="T1943" s="593">
        <v>2018</v>
      </c>
      <c r="U1943" s="593">
        <v>2015</v>
      </c>
      <c r="V1943" s="589"/>
      <c r="W1943" s="589"/>
      <c r="X1943" s="589"/>
      <c r="Y1943" s="589"/>
      <c r="Z1943" s="589"/>
      <c r="AA1943" s="589"/>
      <c r="AB1943" s="589"/>
      <c r="AC1943" s="589"/>
      <c r="AD1943" s="589"/>
      <c r="AE1943" s="589"/>
      <c r="AF1943" s="589"/>
      <c r="AG1943" s="589"/>
      <c r="AH1943" s="589"/>
      <c r="AI1943" s="589"/>
      <c r="AJ1943" s="589"/>
      <c r="AK1943" s="589"/>
      <c r="AL1943" s="589"/>
      <c r="AM1943" s="589"/>
      <c r="AN1943" s="589"/>
      <c r="AO1943" s="589"/>
      <c r="AP1943" s="589"/>
      <c r="AQ1943" s="589"/>
      <c r="AR1943" s="589"/>
      <c r="AS1943" s="589"/>
    </row>
    <row r="1944" spans="1:45" ht="15">
      <c r="A1944" s="587" t="s">
        <v>141</v>
      </c>
      <c r="B1944" s="587" t="s">
        <v>301</v>
      </c>
      <c r="C1944" s="587" t="s">
        <v>811</v>
      </c>
      <c r="D1944" s="588">
        <v>2018</v>
      </c>
      <c r="E1944" s="587" t="s">
        <v>775</v>
      </c>
      <c r="F1944" s="588">
        <v>393</v>
      </c>
      <c r="G1944" s="588">
        <v>0</v>
      </c>
      <c r="H1944" s="588">
        <v>0</v>
      </c>
      <c r="I1944" s="588">
        <v>0</v>
      </c>
      <c r="J1944" s="588">
        <v>204</v>
      </c>
      <c r="K1944" s="588">
        <v>1</v>
      </c>
      <c r="L1944" s="588">
        <v>0</v>
      </c>
      <c r="M1944" s="588">
        <v>1</v>
      </c>
      <c r="N1944" s="588">
        <v>161</v>
      </c>
      <c r="O1944" s="588">
        <v>21</v>
      </c>
      <c r="P1944" s="588">
        <v>553</v>
      </c>
      <c r="Q1944" s="588">
        <v>1</v>
      </c>
      <c r="R1944" s="588">
        <v>1311</v>
      </c>
      <c r="S1944" s="588">
        <v>23</v>
      </c>
      <c r="T1944" s="588">
        <v>2018</v>
      </c>
      <c r="U1944" s="588">
        <v>2016</v>
      </c>
      <c r="V1944" s="589"/>
      <c r="W1944" s="589"/>
      <c r="X1944" s="589"/>
      <c r="Y1944" s="589"/>
      <c r="Z1944" s="589"/>
      <c r="AA1944" s="589"/>
      <c r="AB1944" s="589"/>
      <c r="AC1944" s="589"/>
      <c r="AD1944" s="589"/>
      <c r="AE1944" s="589"/>
      <c r="AF1944" s="589"/>
      <c r="AG1944" s="589"/>
      <c r="AH1944" s="589"/>
      <c r="AI1944" s="589"/>
      <c r="AJ1944" s="589"/>
      <c r="AK1944" s="589"/>
      <c r="AL1944" s="589"/>
      <c r="AM1944" s="589"/>
      <c r="AN1944" s="589"/>
      <c r="AO1944" s="589"/>
      <c r="AP1944" s="589"/>
      <c r="AQ1944" s="589"/>
      <c r="AR1944" s="589"/>
      <c r="AS1944" s="589"/>
    </row>
    <row r="1945" spans="1:45" ht="15">
      <c r="A1945" s="590" t="s">
        <v>136</v>
      </c>
      <c r="B1945" s="590" t="s">
        <v>281</v>
      </c>
      <c r="C1945" s="590" t="s">
        <v>782</v>
      </c>
      <c r="D1945" s="593">
        <v>2018</v>
      </c>
      <c r="E1945" s="590" t="s">
        <v>775</v>
      </c>
      <c r="F1945" s="593">
        <v>438</v>
      </c>
      <c r="G1945" s="593">
        <v>187</v>
      </c>
      <c r="H1945" s="593">
        <v>187</v>
      </c>
      <c r="I1945" s="593">
        <v>0</v>
      </c>
      <c r="J1945" s="593">
        <v>305</v>
      </c>
      <c r="K1945" s="593">
        <v>81</v>
      </c>
      <c r="L1945" s="593">
        <v>81</v>
      </c>
      <c r="M1945" s="593">
        <v>0</v>
      </c>
      <c r="N1945" s="593">
        <v>410</v>
      </c>
      <c r="O1945" s="593">
        <v>0</v>
      </c>
      <c r="P1945" s="593">
        <v>1282</v>
      </c>
      <c r="Q1945" s="593">
        <v>209</v>
      </c>
      <c r="R1945" s="593">
        <v>2435</v>
      </c>
      <c r="S1945" s="593">
        <v>477</v>
      </c>
      <c r="T1945" s="593">
        <v>2018</v>
      </c>
      <c r="U1945" s="593">
        <v>2015</v>
      </c>
      <c r="V1945" s="589"/>
      <c r="W1945" s="589"/>
      <c r="X1945" s="589"/>
      <c r="Y1945" s="589"/>
      <c r="Z1945" s="589"/>
      <c r="AA1945" s="589"/>
      <c r="AB1945" s="589"/>
      <c r="AC1945" s="589"/>
      <c r="AD1945" s="589"/>
      <c r="AE1945" s="589"/>
      <c r="AF1945" s="589"/>
      <c r="AG1945" s="589"/>
      <c r="AH1945" s="589"/>
      <c r="AI1945" s="589"/>
      <c r="AJ1945" s="589"/>
      <c r="AK1945" s="589"/>
      <c r="AL1945" s="589"/>
      <c r="AM1945" s="589"/>
      <c r="AN1945" s="589"/>
      <c r="AO1945" s="589"/>
      <c r="AP1945" s="589"/>
      <c r="AQ1945" s="589"/>
      <c r="AR1945" s="589"/>
      <c r="AS1945" s="589"/>
    </row>
    <row r="1946" spans="1:45" ht="15">
      <c r="A1946" s="587" t="s">
        <v>145</v>
      </c>
      <c r="B1946" s="587" t="s">
        <v>313</v>
      </c>
      <c r="C1946" s="587" t="s">
        <v>785</v>
      </c>
      <c r="D1946" s="588">
        <v>2018</v>
      </c>
      <c r="E1946" s="587" t="s">
        <v>775</v>
      </c>
      <c r="F1946" s="588">
        <v>8</v>
      </c>
      <c r="G1946" s="588">
        <v>0</v>
      </c>
      <c r="H1946" s="588">
        <v>0</v>
      </c>
      <c r="I1946" s="588">
        <v>0</v>
      </c>
      <c r="J1946" s="588">
        <v>4</v>
      </c>
      <c r="K1946" s="588">
        <v>0</v>
      </c>
      <c r="L1946" s="588">
        <v>0</v>
      </c>
      <c r="M1946" s="588">
        <v>0</v>
      </c>
      <c r="N1946" s="588">
        <v>4</v>
      </c>
      <c r="O1946" s="588">
        <v>0</v>
      </c>
      <c r="P1946" s="588">
        <v>15</v>
      </c>
      <c r="Q1946" s="588">
        <v>1</v>
      </c>
      <c r="R1946" s="588">
        <v>31</v>
      </c>
      <c r="S1946" s="588">
        <v>1</v>
      </c>
      <c r="T1946" s="588">
        <v>2018</v>
      </c>
      <c r="U1946" s="588">
        <v>2014</v>
      </c>
      <c r="V1946" s="589"/>
      <c r="W1946" s="589"/>
      <c r="X1946" s="589"/>
      <c r="Y1946" s="589"/>
      <c r="Z1946" s="589"/>
      <c r="AA1946" s="589"/>
      <c r="AB1946" s="589"/>
      <c r="AC1946" s="589"/>
      <c r="AD1946" s="589"/>
      <c r="AE1946" s="589"/>
      <c r="AF1946" s="589"/>
      <c r="AG1946" s="589"/>
      <c r="AH1946" s="589"/>
      <c r="AI1946" s="589"/>
      <c r="AJ1946" s="589"/>
      <c r="AK1946" s="589"/>
      <c r="AL1946" s="589"/>
      <c r="AM1946" s="589"/>
      <c r="AN1946" s="589"/>
      <c r="AO1946" s="589"/>
      <c r="AP1946" s="589"/>
      <c r="AQ1946" s="589"/>
      <c r="AR1946" s="589"/>
      <c r="AS1946" s="589"/>
    </row>
    <row r="1947" spans="1:45" ht="15">
      <c r="A1947" s="590" t="s">
        <v>192</v>
      </c>
      <c r="B1947" s="590" t="s">
        <v>689</v>
      </c>
      <c r="C1947" s="590" t="s">
        <v>782</v>
      </c>
      <c r="D1947" s="593">
        <v>2018</v>
      </c>
      <c r="E1947" s="590" t="s">
        <v>775</v>
      </c>
      <c r="F1947" s="593">
        <v>45</v>
      </c>
      <c r="G1947" s="593">
        <v>0</v>
      </c>
      <c r="H1947" s="593">
        <v>0</v>
      </c>
      <c r="I1947" s="593">
        <v>0</v>
      </c>
      <c r="J1947" s="593">
        <v>36</v>
      </c>
      <c r="K1947" s="593">
        <v>0</v>
      </c>
      <c r="L1947" s="593">
        <v>0</v>
      </c>
      <c r="M1947" s="593">
        <v>0</v>
      </c>
      <c r="N1947" s="593">
        <v>48</v>
      </c>
      <c r="O1947" s="593">
        <v>3</v>
      </c>
      <c r="P1947" s="593">
        <v>170</v>
      </c>
      <c r="Q1947" s="593">
        <v>6</v>
      </c>
      <c r="R1947" s="593">
        <v>299</v>
      </c>
      <c r="S1947" s="593">
        <v>9</v>
      </c>
      <c r="T1947" s="593">
        <v>2018</v>
      </c>
      <c r="U1947" s="593">
        <v>2015</v>
      </c>
      <c r="V1947" s="589"/>
      <c r="W1947" s="589"/>
      <c r="X1947" s="589"/>
      <c r="Y1947" s="589"/>
      <c r="Z1947" s="589"/>
      <c r="AA1947" s="589"/>
      <c r="AB1947" s="589"/>
      <c r="AC1947" s="589"/>
      <c r="AD1947" s="589"/>
      <c r="AE1947" s="589"/>
      <c r="AF1947" s="589"/>
      <c r="AG1947" s="589"/>
      <c r="AH1947" s="589"/>
      <c r="AI1947" s="589"/>
      <c r="AJ1947" s="589"/>
      <c r="AK1947" s="589"/>
      <c r="AL1947" s="589"/>
      <c r="AM1947" s="589"/>
      <c r="AN1947" s="589"/>
      <c r="AO1947" s="589"/>
      <c r="AP1947" s="589"/>
      <c r="AQ1947" s="589"/>
      <c r="AR1947" s="589"/>
      <c r="AS1947" s="589"/>
    </row>
    <row r="1948" spans="1:45" ht="15">
      <c r="A1948" s="587" t="s">
        <v>182</v>
      </c>
      <c r="B1948" s="587" t="s">
        <v>612</v>
      </c>
      <c r="C1948" s="587" t="s">
        <v>811</v>
      </c>
      <c r="D1948" s="588">
        <v>2018</v>
      </c>
      <c r="E1948" s="587" t="s">
        <v>775</v>
      </c>
      <c r="F1948" s="588">
        <v>308</v>
      </c>
      <c r="G1948" s="588">
        <v>0</v>
      </c>
      <c r="H1948" s="588">
        <v>0</v>
      </c>
      <c r="I1948" s="588">
        <v>0</v>
      </c>
      <c r="J1948" s="588">
        <v>215</v>
      </c>
      <c r="K1948" s="588">
        <v>0</v>
      </c>
      <c r="L1948" s="588">
        <v>0</v>
      </c>
      <c r="M1948" s="588">
        <v>0</v>
      </c>
      <c r="N1948" s="588">
        <v>231</v>
      </c>
      <c r="O1948" s="588">
        <v>0</v>
      </c>
      <c r="P1948" s="588">
        <v>726</v>
      </c>
      <c r="Q1948" s="588">
        <v>138</v>
      </c>
      <c r="R1948" s="588">
        <v>1480</v>
      </c>
      <c r="S1948" s="588">
        <v>138</v>
      </c>
      <c r="T1948" s="588">
        <v>2018</v>
      </c>
      <c r="U1948" s="588">
        <v>2016</v>
      </c>
      <c r="V1948" s="589"/>
      <c r="W1948" s="589"/>
      <c r="X1948" s="589"/>
      <c r="Y1948" s="589"/>
      <c r="Z1948" s="589"/>
      <c r="AA1948" s="589"/>
      <c r="AB1948" s="589"/>
      <c r="AC1948" s="589"/>
      <c r="AD1948" s="589"/>
      <c r="AE1948" s="589"/>
      <c r="AF1948" s="589"/>
      <c r="AG1948" s="589"/>
      <c r="AH1948" s="589"/>
      <c r="AI1948" s="589"/>
      <c r="AJ1948" s="589"/>
      <c r="AK1948" s="589"/>
      <c r="AL1948" s="589"/>
      <c r="AM1948" s="589"/>
      <c r="AN1948" s="589"/>
      <c r="AO1948" s="589"/>
      <c r="AP1948" s="589"/>
      <c r="AQ1948" s="589"/>
      <c r="AR1948" s="589"/>
      <c r="AS1948" s="589"/>
    </row>
    <row r="1949" spans="1:45" ht="15">
      <c r="A1949" s="590" t="s">
        <v>195</v>
      </c>
      <c r="B1949" s="590" t="s">
        <v>709</v>
      </c>
      <c r="C1949" s="590" t="s">
        <v>811</v>
      </c>
      <c r="D1949" s="593">
        <v>2018</v>
      </c>
      <c r="E1949" s="590" t="s">
        <v>775</v>
      </c>
      <c r="F1949" s="593">
        <v>321</v>
      </c>
      <c r="G1949" s="593">
        <v>0</v>
      </c>
      <c r="H1949" s="593">
        <v>0</v>
      </c>
      <c r="I1949" s="593">
        <v>0</v>
      </c>
      <c r="J1949" s="593">
        <v>206</v>
      </c>
      <c r="K1949" s="593">
        <v>0</v>
      </c>
      <c r="L1949" s="593">
        <v>0</v>
      </c>
      <c r="M1949" s="593">
        <v>0</v>
      </c>
      <c r="N1949" s="593">
        <v>217</v>
      </c>
      <c r="O1949" s="593">
        <v>0</v>
      </c>
      <c r="P1949" s="593">
        <v>536</v>
      </c>
      <c r="Q1949" s="593">
        <v>40</v>
      </c>
      <c r="R1949" s="593">
        <v>1280</v>
      </c>
      <c r="S1949" s="593">
        <v>40</v>
      </c>
      <c r="T1949" s="593">
        <v>2018</v>
      </c>
      <c r="U1949" s="593">
        <v>2016</v>
      </c>
      <c r="V1949" s="589"/>
      <c r="W1949" s="589"/>
      <c r="X1949" s="589"/>
      <c r="Y1949" s="589"/>
      <c r="Z1949" s="589"/>
      <c r="AA1949" s="589"/>
      <c r="AB1949" s="589"/>
      <c r="AC1949" s="589"/>
      <c r="AD1949" s="589"/>
      <c r="AE1949" s="589"/>
      <c r="AF1949" s="589"/>
      <c r="AG1949" s="589"/>
      <c r="AH1949" s="589"/>
      <c r="AI1949" s="589"/>
      <c r="AJ1949" s="589"/>
      <c r="AK1949" s="589"/>
      <c r="AL1949" s="589"/>
      <c r="AM1949" s="589"/>
      <c r="AN1949" s="589"/>
      <c r="AO1949" s="589"/>
      <c r="AP1949" s="589"/>
      <c r="AQ1949" s="589"/>
      <c r="AR1949" s="589"/>
      <c r="AS1949" s="589"/>
    </row>
    <row r="1950" spans="1:45" ht="15">
      <c r="A1950" s="587" t="s">
        <v>173</v>
      </c>
      <c r="B1950" s="587" t="s">
        <v>173</v>
      </c>
      <c r="C1950" s="587" t="s">
        <v>813</v>
      </c>
      <c r="D1950" s="588">
        <v>2018</v>
      </c>
      <c r="E1950" s="587" t="s">
        <v>775</v>
      </c>
      <c r="F1950" s="588">
        <v>2002</v>
      </c>
      <c r="G1950" s="588">
        <v>4</v>
      </c>
      <c r="H1950" s="588">
        <v>0</v>
      </c>
      <c r="I1950" s="588">
        <v>4</v>
      </c>
      <c r="J1950" s="588">
        <v>1336</v>
      </c>
      <c r="K1950" s="588">
        <v>0</v>
      </c>
      <c r="L1950" s="588">
        <v>0</v>
      </c>
      <c r="M1950" s="588">
        <v>0</v>
      </c>
      <c r="N1950" s="588">
        <v>1503</v>
      </c>
      <c r="O1950" s="588">
        <v>0</v>
      </c>
      <c r="P1950" s="588">
        <v>3442</v>
      </c>
      <c r="Q1950" s="588">
        <v>601</v>
      </c>
      <c r="R1950" s="588">
        <v>8283</v>
      </c>
      <c r="S1950" s="588">
        <v>605</v>
      </c>
      <c r="T1950" s="588">
        <v>2018</v>
      </c>
      <c r="U1950" s="588">
        <v>2014</v>
      </c>
      <c r="V1950" s="589"/>
      <c r="W1950" s="589"/>
      <c r="X1950" s="589"/>
      <c r="Y1950" s="589"/>
      <c r="Z1950" s="589"/>
      <c r="AA1950" s="589"/>
      <c r="AB1950" s="589"/>
      <c r="AC1950" s="589"/>
      <c r="AD1950" s="589"/>
      <c r="AE1950" s="589"/>
      <c r="AF1950" s="589"/>
      <c r="AG1950" s="589"/>
      <c r="AH1950" s="589"/>
      <c r="AI1950" s="589"/>
      <c r="AJ1950" s="589"/>
      <c r="AK1950" s="589"/>
      <c r="AL1950" s="589"/>
      <c r="AM1950" s="589"/>
      <c r="AN1950" s="589"/>
      <c r="AO1950" s="589"/>
      <c r="AP1950" s="589"/>
      <c r="AQ1950" s="589"/>
      <c r="AR1950" s="589"/>
      <c r="AS1950" s="589"/>
    </row>
    <row r="1951" spans="1:45" ht="15">
      <c r="A1951" s="590" t="s">
        <v>173</v>
      </c>
      <c r="B1951" s="590" t="s">
        <v>552</v>
      </c>
      <c r="C1951" s="590" t="s">
        <v>813</v>
      </c>
      <c r="D1951" s="593">
        <v>2018</v>
      </c>
      <c r="E1951" s="590" t="s">
        <v>775</v>
      </c>
      <c r="F1951" s="593">
        <v>7173</v>
      </c>
      <c r="G1951" s="593">
        <v>57</v>
      </c>
      <c r="H1951" s="593">
        <v>57</v>
      </c>
      <c r="I1951" s="593">
        <v>0</v>
      </c>
      <c r="J1951" s="593">
        <v>4871</v>
      </c>
      <c r="K1951" s="593">
        <v>0</v>
      </c>
      <c r="L1951" s="593">
        <v>0</v>
      </c>
      <c r="M1951" s="593">
        <v>0</v>
      </c>
      <c r="N1951" s="593">
        <v>5534</v>
      </c>
      <c r="O1951" s="593">
        <v>0</v>
      </c>
      <c r="P1951" s="593">
        <v>12725</v>
      </c>
      <c r="Q1951" s="593">
        <v>2250</v>
      </c>
      <c r="R1951" s="593">
        <v>30303</v>
      </c>
      <c r="S1951" s="593">
        <v>2307</v>
      </c>
      <c r="T1951" s="593">
        <v>2018</v>
      </c>
      <c r="U1951" s="593">
        <v>2014</v>
      </c>
      <c r="V1951" s="589"/>
      <c r="W1951" s="589"/>
      <c r="X1951" s="589"/>
      <c r="Y1951" s="589"/>
      <c r="Z1951" s="589"/>
      <c r="AA1951" s="589"/>
      <c r="AB1951" s="589"/>
      <c r="AC1951" s="589"/>
      <c r="AD1951" s="589"/>
      <c r="AE1951" s="589"/>
      <c r="AF1951" s="589"/>
      <c r="AG1951" s="589"/>
      <c r="AH1951" s="589"/>
      <c r="AI1951" s="589"/>
      <c r="AJ1951" s="589"/>
      <c r="AK1951" s="589"/>
      <c r="AL1951" s="589"/>
      <c r="AM1951" s="589"/>
      <c r="AN1951" s="589"/>
      <c r="AO1951" s="589"/>
      <c r="AP1951" s="589"/>
      <c r="AQ1951" s="589"/>
      <c r="AR1951" s="589"/>
      <c r="AS1951" s="589"/>
    </row>
    <row r="1952" spans="1:45" ht="15">
      <c r="A1952" s="587" t="s">
        <v>170</v>
      </c>
      <c r="B1952" s="587" t="s">
        <v>524</v>
      </c>
      <c r="C1952" s="587" t="s">
        <v>801</v>
      </c>
      <c r="D1952" s="588">
        <v>2018</v>
      </c>
      <c r="E1952" s="587" t="s">
        <v>775</v>
      </c>
      <c r="F1952" s="588">
        <v>1040</v>
      </c>
      <c r="G1952" s="588">
        <v>0</v>
      </c>
      <c r="H1952" s="588">
        <v>0</v>
      </c>
      <c r="I1952" s="588">
        <v>0</v>
      </c>
      <c r="J1952" s="588">
        <v>729</v>
      </c>
      <c r="K1952" s="588">
        <v>0</v>
      </c>
      <c r="L1952" s="588">
        <v>0</v>
      </c>
      <c r="M1952" s="588">
        <v>0</v>
      </c>
      <c r="N1952" s="588">
        <v>709</v>
      </c>
      <c r="O1952" s="588">
        <v>45</v>
      </c>
      <c r="P1952" s="588">
        <v>1335</v>
      </c>
      <c r="Q1952" s="588">
        <v>540</v>
      </c>
      <c r="R1952" s="588">
        <v>3813</v>
      </c>
      <c r="S1952" s="588">
        <v>585</v>
      </c>
      <c r="T1952" s="588">
        <v>2018</v>
      </c>
      <c r="U1952" s="588">
        <v>2014</v>
      </c>
      <c r="V1952" s="589"/>
      <c r="W1952" s="589"/>
      <c r="X1952" s="589"/>
      <c r="Y1952" s="589"/>
      <c r="Z1952" s="589"/>
      <c r="AA1952" s="589"/>
      <c r="AB1952" s="589"/>
      <c r="AC1952" s="589"/>
      <c r="AD1952" s="589"/>
      <c r="AE1952" s="589"/>
      <c r="AF1952" s="589"/>
      <c r="AG1952" s="589"/>
      <c r="AH1952" s="589"/>
      <c r="AI1952" s="589"/>
      <c r="AJ1952" s="589"/>
      <c r="AK1952" s="589"/>
      <c r="AL1952" s="589"/>
      <c r="AM1952" s="589"/>
      <c r="AN1952" s="589"/>
      <c r="AO1952" s="589"/>
      <c r="AP1952" s="589"/>
      <c r="AQ1952" s="589"/>
      <c r="AR1952" s="589"/>
      <c r="AS1952" s="589"/>
    </row>
    <row r="1953" spans="1:45" ht="15">
      <c r="A1953" s="590" t="s">
        <v>193</v>
      </c>
      <c r="B1953" s="590" t="s">
        <v>698</v>
      </c>
      <c r="C1953" s="590" t="s">
        <v>782</v>
      </c>
      <c r="D1953" s="593">
        <v>2018</v>
      </c>
      <c r="E1953" s="590" t="s">
        <v>775</v>
      </c>
      <c r="F1953" s="593">
        <v>181</v>
      </c>
      <c r="G1953" s="593">
        <v>109</v>
      </c>
      <c r="H1953" s="593">
        <v>109</v>
      </c>
      <c r="I1953" s="593">
        <v>0</v>
      </c>
      <c r="J1953" s="593">
        <v>107</v>
      </c>
      <c r="K1953" s="593">
        <v>109</v>
      </c>
      <c r="L1953" s="593">
        <v>109</v>
      </c>
      <c r="M1953" s="593">
        <v>0</v>
      </c>
      <c r="N1953" s="593">
        <v>127</v>
      </c>
      <c r="O1953" s="593">
        <v>5</v>
      </c>
      <c r="P1953" s="593">
        <v>484</v>
      </c>
      <c r="Q1953" s="593">
        <v>371</v>
      </c>
      <c r="R1953" s="593">
        <v>899</v>
      </c>
      <c r="S1953" s="593">
        <v>594</v>
      </c>
      <c r="T1953" s="593">
        <v>2018</v>
      </c>
      <c r="U1953" s="593">
        <v>2015</v>
      </c>
      <c r="V1953" s="589"/>
      <c r="W1953" s="589"/>
      <c r="X1953" s="589"/>
      <c r="Y1953" s="589"/>
      <c r="Z1953" s="589"/>
      <c r="AA1953" s="589"/>
      <c r="AB1953" s="589"/>
      <c r="AC1953" s="589"/>
      <c r="AD1953" s="589"/>
      <c r="AE1953" s="589"/>
      <c r="AF1953" s="589"/>
      <c r="AG1953" s="589"/>
      <c r="AH1953" s="589"/>
      <c r="AI1953" s="589"/>
      <c r="AJ1953" s="589"/>
      <c r="AK1953" s="589"/>
      <c r="AL1953" s="589"/>
      <c r="AM1953" s="589"/>
      <c r="AN1953" s="589"/>
      <c r="AO1953" s="589"/>
      <c r="AP1953" s="589"/>
      <c r="AQ1953" s="589"/>
      <c r="AR1953" s="589"/>
      <c r="AS1953" s="589"/>
    </row>
    <row r="1954" spans="1:45" ht="15">
      <c r="A1954" s="587" t="s">
        <v>153</v>
      </c>
      <c r="B1954" s="587" t="s">
        <v>412</v>
      </c>
      <c r="C1954" s="587" t="s">
        <v>813</v>
      </c>
      <c r="D1954" s="588">
        <v>2018</v>
      </c>
      <c r="E1954" s="587" t="s">
        <v>775</v>
      </c>
      <c r="F1954" s="588">
        <v>1</v>
      </c>
      <c r="G1954" s="588">
        <v>0</v>
      </c>
      <c r="H1954" s="588">
        <v>0</v>
      </c>
      <c r="I1954" s="588">
        <v>0</v>
      </c>
      <c r="J1954" s="588">
        <v>1</v>
      </c>
      <c r="K1954" s="588">
        <v>0</v>
      </c>
      <c r="L1954" s="588">
        <v>0</v>
      </c>
      <c r="M1954" s="588">
        <v>0</v>
      </c>
      <c r="N1954" s="588">
        <v>1</v>
      </c>
      <c r="O1954" s="588">
        <v>0</v>
      </c>
      <c r="P1954" s="588">
        <v>2</v>
      </c>
      <c r="Q1954" s="588">
        <v>276</v>
      </c>
      <c r="R1954" s="588">
        <v>5</v>
      </c>
      <c r="S1954" s="588">
        <v>276</v>
      </c>
      <c r="T1954" s="588">
        <v>2018</v>
      </c>
      <c r="U1954" s="588">
        <v>2014</v>
      </c>
      <c r="V1954" s="589"/>
      <c r="W1954" s="589"/>
      <c r="X1954" s="589"/>
      <c r="Y1954" s="589"/>
      <c r="Z1954" s="589"/>
      <c r="AA1954" s="589"/>
      <c r="AB1954" s="589"/>
      <c r="AC1954" s="589"/>
      <c r="AD1954" s="589"/>
      <c r="AE1954" s="589"/>
      <c r="AF1954" s="589"/>
      <c r="AG1954" s="589"/>
      <c r="AH1954" s="589"/>
      <c r="AI1954" s="589"/>
      <c r="AJ1954" s="589"/>
      <c r="AK1954" s="589"/>
      <c r="AL1954" s="589"/>
      <c r="AM1954" s="589"/>
      <c r="AN1954" s="589"/>
      <c r="AO1954" s="589"/>
      <c r="AP1954" s="589"/>
      <c r="AQ1954" s="589"/>
      <c r="AR1954" s="589"/>
      <c r="AS1954" s="589"/>
    </row>
    <row r="1955" spans="1:45" ht="15">
      <c r="A1955" s="590" t="s">
        <v>153</v>
      </c>
      <c r="B1955" s="590" t="s">
        <v>413</v>
      </c>
      <c r="C1955" s="590" t="s">
        <v>813</v>
      </c>
      <c r="D1955" s="593">
        <v>2018</v>
      </c>
      <c r="E1955" s="590" t="s">
        <v>775</v>
      </c>
      <c r="F1955" s="593">
        <v>153</v>
      </c>
      <c r="G1955" s="593">
        <v>0</v>
      </c>
      <c r="H1955" s="593">
        <v>0</v>
      </c>
      <c r="I1955" s="593">
        <v>0</v>
      </c>
      <c r="J1955" s="593">
        <v>88</v>
      </c>
      <c r="K1955" s="593">
        <v>9</v>
      </c>
      <c r="L1955" s="593">
        <v>9</v>
      </c>
      <c r="M1955" s="593">
        <v>0</v>
      </c>
      <c r="N1955" s="593">
        <v>99</v>
      </c>
      <c r="O1955" s="593">
        <v>51</v>
      </c>
      <c r="P1955" s="593">
        <v>262</v>
      </c>
      <c r="Q1955" s="593">
        <v>82</v>
      </c>
      <c r="R1955" s="593">
        <v>602</v>
      </c>
      <c r="S1955" s="593">
        <v>142</v>
      </c>
      <c r="T1955" s="593">
        <v>2018</v>
      </c>
      <c r="U1955" s="593">
        <v>2014</v>
      </c>
      <c r="V1955" s="589"/>
      <c r="W1955" s="589"/>
      <c r="X1955" s="589"/>
      <c r="Y1955" s="589"/>
      <c r="Z1955" s="589"/>
      <c r="AA1955" s="589"/>
      <c r="AB1955" s="589"/>
      <c r="AC1955" s="589"/>
      <c r="AD1955" s="589"/>
      <c r="AE1955" s="589"/>
      <c r="AF1955" s="589"/>
      <c r="AG1955" s="589"/>
      <c r="AH1955" s="589"/>
      <c r="AI1955" s="589"/>
      <c r="AJ1955" s="589"/>
      <c r="AK1955" s="589"/>
      <c r="AL1955" s="589"/>
      <c r="AM1955" s="589"/>
      <c r="AN1955" s="589"/>
      <c r="AO1955" s="589"/>
      <c r="AP1955" s="589"/>
      <c r="AQ1955" s="589"/>
      <c r="AR1955" s="589"/>
      <c r="AS1955" s="589"/>
    </row>
    <row r="1956" spans="1:45" ht="15">
      <c r="A1956" s="587" t="s">
        <v>170</v>
      </c>
      <c r="B1956" s="587" t="s">
        <v>525</v>
      </c>
      <c r="C1956" s="587" t="s">
        <v>801</v>
      </c>
      <c r="D1956" s="588">
        <v>2018</v>
      </c>
      <c r="E1956" s="587" t="s">
        <v>775</v>
      </c>
      <c r="F1956" s="588">
        <v>2268</v>
      </c>
      <c r="G1956" s="588">
        <v>0</v>
      </c>
      <c r="H1956" s="588">
        <v>0</v>
      </c>
      <c r="I1956" s="588">
        <v>0</v>
      </c>
      <c r="J1956" s="588">
        <v>1590</v>
      </c>
      <c r="K1956" s="588">
        <v>3</v>
      </c>
      <c r="L1956" s="588">
        <v>0</v>
      </c>
      <c r="M1956" s="588">
        <v>3</v>
      </c>
      <c r="N1956" s="588">
        <v>1577</v>
      </c>
      <c r="O1956" s="588">
        <v>333</v>
      </c>
      <c r="P1956" s="588">
        <v>3043</v>
      </c>
      <c r="Q1956" s="588">
        <v>472</v>
      </c>
      <c r="R1956" s="588">
        <v>8478</v>
      </c>
      <c r="S1956" s="588">
        <v>808</v>
      </c>
      <c r="T1956" s="588">
        <v>2018</v>
      </c>
      <c r="U1956" s="588">
        <v>2014</v>
      </c>
      <c r="V1956" s="589"/>
      <c r="W1956" s="589"/>
      <c r="X1956" s="589"/>
      <c r="Y1956" s="589"/>
      <c r="Z1956" s="589"/>
      <c r="AA1956" s="589"/>
      <c r="AB1956" s="589"/>
      <c r="AC1956" s="589"/>
      <c r="AD1956" s="589"/>
      <c r="AE1956" s="589"/>
      <c r="AF1956" s="589"/>
      <c r="AG1956" s="589"/>
      <c r="AH1956" s="589"/>
      <c r="AI1956" s="589"/>
      <c r="AJ1956" s="589"/>
      <c r="AK1956" s="589"/>
      <c r="AL1956" s="589"/>
      <c r="AM1956" s="589"/>
      <c r="AN1956" s="589"/>
      <c r="AO1956" s="589"/>
      <c r="AP1956" s="589"/>
      <c r="AQ1956" s="589"/>
      <c r="AR1956" s="589"/>
      <c r="AS1956" s="589"/>
    </row>
    <row r="1957" spans="1:45" ht="15">
      <c r="A1957" s="590" t="s">
        <v>157</v>
      </c>
      <c r="B1957" s="590" t="s">
        <v>443</v>
      </c>
      <c r="C1957" s="590" t="s">
        <v>782</v>
      </c>
      <c r="D1957" s="593">
        <v>2018</v>
      </c>
      <c r="E1957" s="590" t="s">
        <v>775</v>
      </c>
      <c r="F1957" s="593">
        <v>6</v>
      </c>
      <c r="G1957" s="593">
        <v>0</v>
      </c>
      <c r="H1957" s="593">
        <v>0</v>
      </c>
      <c r="I1957" s="593">
        <v>0</v>
      </c>
      <c r="J1957" s="593">
        <v>4</v>
      </c>
      <c r="K1957" s="593">
        <v>0</v>
      </c>
      <c r="L1957" s="593">
        <v>0</v>
      </c>
      <c r="M1957" s="593">
        <v>0</v>
      </c>
      <c r="N1957" s="593">
        <v>4</v>
      </c>
      <c r="O1957" s="593">
        <v>1</v>
      </c>
      <c r="P1957" s="593">
        <v>4</v>
      </c>
      <c r="Q1957" s="593">
        <v>0</v>
      </c>
      <c r="R1957" s="593">
        <v>18</v>
      </c>
      <c r="S1957" s="593">
        <v>1</v>
      </c>
      <c r="T1957" s="593">
        <v>2018</v>
      </c>
      <c r="U1957" s="593">
        <v>2015</v>
      </c>
      <c r="V1957" s="589"/>
      <c r="W1957" s="589"/>
      <c r="X1957" s="589"/>
      <c r="Y1957" s="589"/>
      <c r="Z1957" s="589"/>
      <c r="AA1957" s="589"/>
      <c r="AB1957" s="589"/>
      <c r="AC1957" s="589"/>
      <c r="AD1957" s="589"/>
      <c r="AE1957" s="589"/>
      <c r="AF1957" s="589"/>
      <c r="AG1957" s="589"/>
      <c r="AH1957" s="589"/>
      <c r="AI1957" s="589"/>
      <c r="AJ1957" s="589"/>
      <c r="AK1957" s="589"/>
      <c r="AL1957" s="589"/>
      <c r="AM1957" s="589"/>
      <c r="AN1957" s="589"/>
      <c r="AO1957" s="589"/>
      <c r="AP1957" s="589"/>
      <c r="AQ1957" s="589"/>
      <c r="AR1957" s="589"/>
      <c r="AS1957" s="589"/>
    </row>
    <row r="1958" spans="1:45" ht="15">
      <c r="A1958" s="587" t="s">
        <v>174</v>
      </c>
      <c r="B1958" s="587" t="s">
        <v>174</v>
      </c>
      <c r="C1958" s="587" t="s">
        <v>801</v>
      </c>
      <c r="D1958" s="588">
        <v>2018</v>
      </c>
      <c r="E1958" s="587" t="s">
        <v>775</v>
      </c>
      <c r="F1958" s="588">
        <v>4944</v>
      </c>
      <c r="G1958" s="588">
        <v>11</v>
      </c>
      <c r="H1958" s="588">
        <v>1</v>
      </c>
      <c r="I1958" s="588">
        <v>10</v>
      </c>
      <c r="J1958" s="588">
        <v>3467</v>
      </c>
      <c r="K1958" s="588">
        <v>69</v>
      </c>
      <c r="L1958" s="588">
        <v>59</v>
      </c>
      <c r="M1958" s="588">
        <v>10</v>
      </c>
      <c r="N1958" s="588">
        <v>4482</v>
      </c>
      <c r="O1958" s="588">
        <v>401</v>
      </c>
      <c r="P1958" s="588">
        <v>11208</v>
      </c>
      <c r="Q1958" s="588">
        <v>1894</v>
      </c>
      <c r="R1958" s="588">
        <v>24101</v>
      </c>
      <c r="S1958" s="588">
        <v>2375</v>
      </c>
      <c r="T1958" s="588">
        <v>2018</v>
      </c>
      <c r="U1958" s="588">
        <v>2014</v>
      </c>
      <c r="V1958" s="589"/>
      <c r="W1958" s="589"/>
      <c r="X1958" s="589"/>
      <c r="Y1958" s="589"/>
      <c r="Z1958" s="589"/>
      <c r="AA1958" s="589"/>
      <c r="AB1958" s="589"/>
      <c r="AC1958" s="589"/>
      <c r="AD1958" s="589"/>
      <c r="AE1958" s="589"/>
      <c r="AF1958" s="589"/>
      <c r="AG1958" s="589"/>
      <c r="AH1958" s="589"/>
      <c r="AI1958" s="589"/>
      <c r="AJ1958" s="589"/>
      <c r="AK1958" s="589"/>
      <c r="AL1958" s="589"/>
      <c r="AM1958" s="589"/>
      <c r="AN1958" s="589"/>
      <c r="AO1958" s="589"/>
      <c r="AP1958" s="589"/>
      <c r="AQ1958" s="589"/>
      <c r="AR1958" s="589"/>
      <c r="AS1958" s="589"/>
    </row>
    <row r="1959" spans="1:45" ht="15">
      <c r="A1959" s="590" t="s">
        <v>174</v>
      </c>
      <c r="B1959" s="590" t="s">
        <v>562</v>
      </c>
      <c r="C1959" s="590" t="s">
        <v>801</v>
      </c>
      <c r="D1959" s="593">
        <v>2018</v>
      </c>
      <c r="E1959" s="590" t="s">
        <v>775</v>
      </c>
      <c r="F1959" s="593">
        <v>3149</v>
      </c>
      <c r="G1959" s="593">
        <v>0</v>
      </c>
      <c r="H1959" s="593">
        <v>0</v>
      </c>
      <c r="I1959" s="593">
        <v>0</v>
      </c>
      <c r="J1959" s="593">
        <v>2208</v>
      </c>
      <c r="K1959" s="593">
        <v>12</v>
      </c>
      <c r="L1959" s="593">
        <v>12</v>
      </c>
      <c r="M1959" s="593">
        <v>0</v>
      </c>
      <c r="N1959" s="593">
        <v>2574</v>
      </c>
      <c r="O1959" s="593">
        <v>269</v>
      </c>
      <c r="P1959" s="593">
        <v>5913</v>
      </c>
      <c r="Q1959" s="593">
        <v>375</v>
      </c>
      <c r="R1959" s="593">
        <v>13844</v>
      </c>
      <c r="S1959" s="593">
        <v>656</v>
      </c>
      <c r="T1959" s="593">
        <v>2018</v>
      </c>
      <c r="U1959" s="593">
        <v>2014</v>
      </c>
      <c r="V1959" s="589"/>
      <c r="W1959" s="589"/>
      <c r="X1959" s="589"/>
      <c r="Y1959" s="589"/>
      <c r="Z1959" s="589"/>
      <c r="AA1959" s="589"/>
      <c r="AB1959" s="589"/>
      <c r="AC1959" s="589"/>
      <c r="AD1959" s="589"/>
      <c r="AE1959" s="589"/>
      <c r="AF1959" s="589"/>
      <c r="AG1959" s="589"/>
      <c r="AH1959" s="589"/>
      <c r="AI1959" s="589"/>
      <c r="AJ1959" s="589"/>
      <c r="AK1959" s="589"/>
      <c r="AL1959" s="589"/>
      <c r="AM1959" s="589"/>
      <c r="AN1959" s="589"/>
      <c r="AO1959" s="589"/>
      <c r="AP1959" s="589"/>
      <c r="AQ1959" s="589"/>
      <c r="AR1959" s="589"/>
      <c r="AS1959" s="589"/>
    </row>
    <row r="1960" spans="1:45" ht="15">
      <c r="A1960" s="587" t="s">
        <v>166</v>
      </c>
      <c r="B1960" s="587" t="s">
        <v>479</v>
      </c>
      <c r="C1960" s="587" t="s">
        <v>782</v>
      </c>
      <c r="D1960" s="588">
        <v>2018</v>
      </c>
      <c r="E1960" s="587" t="s">
        <v>775</v>
      </c>
      <c r="F1960" s="588">
        <v>8</v>
      </c>
      <c r="G1960" s="588">
        <v>0</v>
      </c>
      <c r="H1960" s="588">
        <v>0</v>
      </c>
      <c r="I1960" s="588">
        <v>0</v>
      </c>
      <c r="J1960" s="588">
        <v>5</v>
      </c>
      <c r="K1960" s="588">
        <v>0</v>
      </c>
      <c r="L1960" s="588">
        <v>0</v>
      </c>
      <c r="M1960" s="588">
        <v>0</v>
      </c>
      <c r="N1960" s="588">
        <v>5</v>
      </c>
      <c r="O1960" s="588">
        <v>0</v>
      </c>
      <c r="P1960" s="588">
        <v>13</v>
      </c>
      <c r="Q1960" s="588">
        <v>10</v>
      </c>
      <c r="R1960" s="588">
        <v>31</v>
      </c>
      <c r="S1960" s="588">
        <v>10</v>
      </c>
      <c r="T1960" s="588">
        <v>2018</v>
      </c>
      <c r="U1960" s="588">
        <v>2015</v>
      </c>
      <c r="V1960" s="589"/>
      <c r="W1960" s="589"/>
      <c r="X1960" s="589"/>
      <c r="Y1960" s="589"/>
      <c r="Z1960" s="589"/>
      <c r="AA1960" s="589"/>
      <c r="AB1960" s="589"/>
      <c r="AC1960" s="589"/>
      <c r="AD1960" s="589"/>
      <c r="AE1960" s="589"/>
      <c r="AF1960" s="589"/>
      <c r="AG1960" s="589"/>
      <c r="AH1960" s="589"/>
      <c r="AI1960" s="589"/>
      <c r="AJ1960" s="589"/>
      <c r="AK1960" s="589"/>
      <c r="AL1960" s="589"/>
      <c r="AM1960" s="589"/>
      <c r="AN1960" s="589"/>
      <c r="AO1960" s="589"/>
      <c r="AP1960" s="589"/>
      <c r="AQ1960" s="589"/>
      <c r="AR1960" s="589"/>
      <c r="AS1960" s="589"/>
    </row>
    <row r="1961" spans="1:45" ht="15">
      <c r="A1961" s="590" t="s">
        <v>164</v>
      </c>
      <c r="B1961" s="590" t="s">
        <v>472</v>
      </c>
      <c r="C1961" s="590" t="s">
        <v>811</v>
      </c>
      <c r="D1961" s="593">
        <v>2018</v>
      </c>
      <c r="E1961" s="590" t="s">
        <v>775</v>
      </c>
      <c r="F1961" s="593">
        <v>537</v>
      </c>
      <c r="G1961" s="593">
        <v>42</v>
      </c>
      <c r="H1961" s="593">
        <v>42</v>
      </c>
      <c r="I1961" s="593">
        <v>0</v>
      </c>
      <c r="J1961" s="593">
        <v>351</v>
      </c>
      <c r="K1961" s="593">
        <v>53</v>
      </c>
      <c r="L1961" s="593">
        <v>53</v>
      </c>
      <c r="M1961" s="593">
        <v>0</v>
      </c>
      <c r="N1961" s="593">
        <v>407</v>
      </c>
      <c r="O1961" s="593">
        <v>0</v>
      </c>
      <c r="P1961" s="593">
        <v>934</v>
      </c>
      <c r="Q1961" s="593">
        <v>71</v>
      </c>
      <c r="R1961" s="593">
        <v>2229</v>
      </c>
      <c r="S1961" s="593">
        <v>166</v>
      </c>
      <c r="T1961" s="593">
        <v>2018</v>
      </c>
      <c r="U1961" s="593">
        <v>2016</v>
      </c>
      <c r="V1961" s="589"/>
      <c r="W1961" s="589"/>
      <c r="X1961" s="589"/>
      <c r="Y1961" s="589"/>
      <c r="Z1961" s="589"/>
      <c r="AA1961" s="589"/>
      <c r="AB1961" s="589"/>
      <c r="AC1961" s="589"/>
      <c r="AD1961" s="589"/>
      <c r="AE1961" s="589"/>
      <c r="AF1961" s="589"/>
      <c r="AG1961" s="589"/>
      <c r="AH1961" s="589"/>
      <c r="AI1961" s="589"/>
      <c r="AJ1961" s="589"/>
      <c r="AK1961" s="589"/>
      <c r="AL1961" s="589"/>
      <c r="AM1961" s="589"/>
      <c r="AN1961" s="589"/>
      <c r="AO1961" s="589"/>
      <c r="AP1961" s="589"/>
      <c r="AQ1961" s="589"/>
      <c r="AR1961" s="589"/>
      <c r="AS1961" s="589"/>
    </row>
    <row r="1962" spans="1:45" ht="15">
      <c r="A1962" s="587" t="s">
        <v>157</v>
      </c>
      <c r="B1962" s="587" t="s">
        <v>444</v>
      </c>
      <c r="C1962" s="587" t="s">
        <v>782</v>
      </c>
      <c r="D1962" s="588">
        <v>2018</v>
      </c>
      <c r="E1962" s="587" t="s">
        <v>775</v>
      </c>
      <c r="F1962" s="588">
        <v>33</v>
      </c>
      <c r="G1962" s="588">
        <v>2</v>
      </c>
      <c r="H1962" s="588">
        <v>2</v>
      </c>
      <c r="I1962" s="588">
        <v>0</v>
      </c>
      <c r="J1962" s="588">
        <v>17</v>
      </c>
      <c r="K1962" s="588">
        <v>3</v>
      </c>
      <c r="L1962" s="588">
        <v>2</v>
      </c>
      <c r="M1962" s="588">
        <v>1</v>
      </c>
      <c r="N1962" s="588">
        <v>19</v>
      </c>
      <c r="O1962" s="588">
        <v>7</v>
      </c>
      <c r="P1962" s="588">
        <v>37</v>
      </c>
      <c r="Q1962" s="588">
        <v>25</v>
      </c>
      <c r="R1962" s="588">
        <v>106</v>
      </c>
      <c r="S1962" s="588">
        <v>37</v>
      </c>
      <c r="T1962" s="588">
        <v>2018</v>
      </c>
      <c r="U1962" s="588">
        <v>2015</v>
      </c>
      <c r="V1962" s="589"/>
      <c r="W1962" s="589"/>
      <c r="X1962" s="589"/>
      <c r="Y1962" s="589"/>
      <c r="Z1962" s="589"/>
      <c r="AA1962" s="589"/>
      <c r="AB1962" s="589"/>
      <c r="AC1962" s="589"/>
      <c r="AD1962" s="589"/>
      <c r="AE1962" s="589"/>
      <c r="AF1962" s="589"/>
      <c r="AG1962" s="589"/>
      <c r="AH1962" s="589"/>
      <c r="AI1962" s="589"/>
      <c r="AJ1962" s="589"/>
      <c r="AK1962" s="589"/>
      <c r="AL1962" s="589"/>
      <c r="AM1962" s="589"/>
      <c r="AN1962" s="589"/>
      <c r="AO1962" s="589"/>
      <c r="AP1962" s="589"/>
      <c r="AQ1962" s="589"/>
      <c r="AR1962" s="589"/>
      <c r="AS1962" s="589"/>
    </row>
    <row r="1963" spans="1:45" ht="15">
      <c r="A1963" s="590" t="s">
        <v>176</v>
      </c>
      <c r="B1963" s="590" t="s">
        <v>564</v>
      </c>
      <c r="C1963" s="590" t="s">
        <v>811</v>
      </c>
      <c r="D1963" s="593">
        <v>2018</v>
      </c>
      <c r="E1963" s="590" t="s">
        <v>775</v>
      </c>
      <c r="F1963" s="593">
        <v>198</v>
      </c>
      <c r="G1963" s="593">
        <v>0</v>
      </c>
      <c r="H1963" s="593">
        <v>0</v>
      </c>
      <c r="I1963" s="593">
        <v>0</v>
      </c>
      <c r="J1963" s="593">
        <v>120</v>
      </c>
      <c r="K1963" s="593">
        <v>0</v>
      </c>
      <c r="L1963" s="593">
        <v>0</v>
      </c>
      <c r="M1963" s="593">
        <v>0</v>
      </c>
      <c r="N1963" s="593">
        <v>164</v>
      </c>
      <c r="O1963" s="593">
        <v>1</v>
      </c>
      <c r="P1963" s="593">
        <v>355</v>
      </c>
      <c r="Q1963" s="593">
        <v>177</v>
      </c>
      <c r="R1963" s="593">
        <v>837</v>
      </c>
      <c r="S1963" s="593">
        <v>178</v>
      </c>
      <c r="T1963" s="593">
        <v>2018</v>
      </c>
      <c r="U1963" s="593">
        <v>2016</v>
      </c>
      <c r="V1963" s="589"/>
      <c r="W1963" s="589"/>
      <c r="X1963" s="589"/>
      <c r="Y1963" s="589"/>
      <c r="Z1963" s="589"/>
      <c r="AA1963" s="589"/>
      <c r="AB1963" s="589"/>
      <c r="AC1963" s="589"/>
      <c r="AD1963" s="589"/>
      <c r="AE1963" s="589"/>
      <c r="AF1963" s="589"/>
      <c r="AG1963" s="589"/>
      <c r="AH1963" s="589"/>
      <c r="AI1963" s="589"/>
      <c r="AJ1963" s="589"/>
      <c r="AK1963" s="589"/>
      <c r="AL1963" s="589"/>
      <c r="AM1963" s="589"/>
      <c r="AN1963" s="589"/>
      <c r="AO1963" s="589"/>
      <c r="AP1963" s="589"/>
      <c r="AQ1963" s="589"/>
      <c r="AR1963" s="589"/>
      <c r="AS1963" s="589"/>
    </row>
    <row r="1964" spans="1:45" ht="15">
      <c r="A1964" s="587" t="s">
        <v>178</v>
      </c>
      <c r="B1964" s="587" t="s">
        <v>584</v>
      </c>
      <c r="C1964" s="587" t="s">
        <v>813</v>
      </c>
      <c r="D1964" s="588">
        <v>2018</v>
      </c>
      <c r="E1964" s="587" t="s">
        <v>775</v>
      </c>
      <c r="F1964" s="588">
        <v>9</v>
      </c>
      <c r="G1964" s="588">
        <v>1</v>
      </c>
      <c r="H1964" s="588">
        <v>0</v>
      </c>
      <c r="I1964" s="588">
        <v>1</v>
      </c>
      <c r="J1964" s="588">
        <v>6</v>
      </c>
      <c r="K1964" s="588">
        <v>6</v>
      </c>
      <c r="L1964" s="588">
        <v>0</v>
      </c>
      <c r="M1964" s="588">
        <v>6</v>
      </c>
      <c r="N1964" s="588">
        <v>7</v>
      </c>
      <c r="O1964" s="588">
        <v>53</v>
      </c>
      <c r="P1964" s="588">
        <v>17</v>
      </c>
      <c r="Q1964" s="588">
        <v>247</v>
      </c>
      <c r="R1964" s="588">
        <v>39</v>
      </c>
      <c r="S1964" s="588">
        <v>307</v>
      </c>
      <c r="T1964" s="588">
        <v>2018</v>
      </c>
      <c r="U1964" s="588">
        <v>2014</v>
      </c>
      <c r="V1964" s="589"/>
      <c r="W1964" s="589"/>
      <c r="X1964" s="589"/>
      <c r="Y1964" s="589"/>
      <c r="Z1964" s="589"/>
      <c r="AA1964" s="589"/>
      <c r="AB1964" s="589"/>
      <c r="AC1964" s="589"/>
      <c r="AD1964" s="589"/>
      <c r="AE1964" s="589"/>
      <c r="AF1964" s="589"/>
      <c r="AG1964" s="589"/>
      <c r="AH1964" s="589"/>
      <c r="AI1964" s="589"/>
      <c r="AJ1964" s="589"/>
      <c r="AK1964" s="589"/>
      <c r="AL1964" s="589"/>
      <c r="AM1964" s="589"/>
      <c r="AN1964" s="589"/>
      <c r="AO1964" s="589"/>
      <c r="AP1964" s="589"/>
      <c r="AQ1964" s="589"/>
      <c r="AR1964" s="589"/>
      <c r="AS1964" s="589"/>
    </row>
    <row r="1965" spans="1:45" ht="15">
      <c r="A1965" s="590" t="s">
        <v>184</v>
      </c>
      <c r="B1965" s="591" t="s">
        <v>638</v>
      </c>
      <c r="C1965" s="591" t="s">
        <v>782</v>
      </c>
      <c r="D1965" s="592">
        <v>2018</v>
      </c>
      <c r="E1965" s="591" t="s">
        <v>775</v>
      </c>
      <c r="F1965" s="592">
        <v>358</v>
      </c>
      <c r="G1965" s="592">
        <v>0</v>
      </c>
      <c r="H1965" s="592">
        <v>0</v>
      </c>
      <c r="I1965" s="592">
        <v>0</v>
      </c>
      <c r="J1965" s="592">
        <v>161</v>
      </c>
      <c r="K1965" s="592">
        <v>6</v>
      </c>
      <c r="L1965" s="592">
        <v>0</v>
      </c>
      <c r="M1965" s="592">
        <v>6</v>
      </c>
      <c r="N1965" s="593">
        <v>205</v>
      </c>
      <c r="O1965" s="593">
        <v>0</v>
      </c>
      <c r="P1965" s="593">
        <v>431</v>
      </c>
      <c r="Q1965" s="593">
        <v>0</v>
      </c>
      <c r="R1965" s="593">
        <v>1155</v>
      </c>
      <c r="S1965" s="593">
        <v>6</v>
      </c>
      <c r="T1965" s="593">
        <v>2018</v>
      </c>
      <c r="U1965" s="593">
        <v>2015</v>
      </c>
      <c r="V1965" s="589"/>
      <c r="W1965" s="589"/>
      <c r="X1965" s="589"/>
      <c r="Y1965" s="589"/>
      <c r="Z1965" s="589"/>
      <c r="AA1965" s="589"/>
      <c r="AB1965" s="589"/>
      <c r="AC1965" s="589"/>
      <c r="AD1965" s="589"/>
      <c r="AE1965" s="589"/>
      <c r="AF1965" s="589"/>
      <c r="AG1965" s="589"/>
      <c r="AH1965" s="589"/>
      <c r="AI1965" s="589"/>
      <c r="AJ1965" s="589"/>
      <c r="AK1965" s="589"/>
      <c r="AL1965" s="589"/>
      <c r="AM1965" s="589"/>
      <c r="AN1965" s="589"/>
      <c r="AO1965" s="589"/>
      <c r="AP1965" s="589"/>
      <c r="AQ1965" s="589"/>
      <c r="AR1965" s="589"/>
      <c r="AS1965" s="589"/>
    </row>
    <row r="1966" spans="1:45" ht="15">
      <c r="A1966" s="587" t="s">
        <v>201</v>
      </c>
      <c r="B1966" s="587" t="s">
        <v>736</v>
      </c>
      <c r="C1966" s="587" t="s">
        <v>813</v>
      </c>
      <c r="D1966" s="588">
        <v>2018</v>
      </c>
      <c r="E1966" s="587" t="s">
        <v>775</v>
      </c>
      <c r="F1966" s="588">
        <v>861</v>
      </c>
      <c r="G1966" s="588">
        <v>24</v>
      </c>
      <c r="H1966" s="588">
        <v>24</v>
      </c>
      <c r="I1966" s="588">
        <v>0</v>
      </c>
      <c r="J1966" s="588">
        <v>591</v>
      </c>
      <c r="K1966" s="588">
        <v>12</v>
      </c>
      <c r="L1966" s="588">
        <v>12</v>
      </c>
      <c r="M1966" s="588">
        <v>0</v>
      </c>
      <c r="N1966" s="588">
        <v>673</v>
      </c>
      <c r="O1966" s="588">
        <v>15</v>
      </c>
      <c r="P1966" s="588">
        <v>1529</v>
      </c>
      <c r="Q1966" s="588">
        <v>291</v>
      </c>
      <c r="R1966" s="588">
        <v>3654</v>
      </c>
      <c r="S1966" s="588">
        <v>342</v>
      </c>
      <c r="T1966" s="588">
        <v>2018</v>
      </c>
      <c r="U1966" s="588">
        <v>2014</v>
      </c>
      <c r="V1966" s="589"/>
      <c r="W1966" s="589"/>
      <c r="X1966" s="589"/>
      <c r="Y1966" s="589"/>
      <c r="Z1966" s="589"/>
      <c r="AA1966" s="589"/>
      <c r="AB1966" s="589"/>
      <c r="AC1966" s="589"/>
      <c r="AD1966" s="589"/>
      <c r="AE1966" s="589"/>
      <c r="AF1966" s="589"/>
      <c r="AG1966" s="589"/>
      <c r="AH1966" s="589"/>
      <c r="AI1966" s="589"/>
      <c r="AJ1966" s="589"/>
      <c r="AK1966" s="589"/>
      <c r="AL1966" s="589"/>
      <c r="AM1966" s="589"/>
      <c r="AN1966" s="589"/>
      <c r="AO1966" s="589"/>
      <c r="AP1966" s="589"/>
      <c r="AQ1966" s="589"/>
      <c r="AR1966" s="589"/>
      <c r="AS1966" s="589"/>
    </row>
    <row r="1967" spans="1:45" ht="15">
      <c r="A1967" s="590" t="s">
        <v>184</v>
      </c>
      <c r="B1967" s="591" t="s">
        <v>639</v>
      </c>
      <c r="C1967" s="591" t="s">
        <v>782</v>
      </c>
      <c r="D1967" s="592">
        <v>2018</v>
      </c>
      <c r="E1967" s="591" t="s">
        <v>775</v>
      </c>
      <c r="F1967" s="592">
        <v>195</v>
      </c>
      <c r="G1967" s="592">
        <v>0</v>
      </c>
      <c r="H1967" s="592">
        <v>0</v>
      </c>
      <c r="I1967" s="592">
        <v>0</v>
      </c>
      <c r="J1967" s="592">
        <v>107</v>
      </c>
      <c r="K1967" s="592">
        <v>0</v>
      </c>
      <c r="L1967" s="592">
        <v>0</v>
      </c>
      <c r="M1967" s="592">
        <v>0</v>
      </c>
      <c r="N1967" s="593">
        <v>111</v>
      </c>
      <c r="O1967" s="593">
        <v>0</v>
      </c>
      <c r="P1967" s="593">
        <v>183</v>
      </c>
      <c r="Q1967" s="593">
        <v>32</v>
      </c>
      <c r="R1967" s="593">
        <v>596</v>
      </c>
      <c r="S1967" s="593">
        <v>32</v>
      </c>
      <c r="T1967" s="593">
        <v>2018</v>
      </c>
      <c r="U1967" s="593">
        <v>2015</v>
      </c>
      <c r="V1967" s="589"/>
      <c r="W1967" s="589"/>
      <c r="X1967" s="589"/>
      <c r="Y1967" s="589"/>
      <c r="Z1967" s="589"/>
      <c r="AA1967" s="589"/>
      <c r="AB1967" s="589"/>
      <c r="AC1967" s="589"/>
      <c r="AD1967" s="589"/>
      <c r="AE1967" s="589"/>
      <c r="AF1967" s="589"/>
      <c r="AG1967" s="589"/>
      <c r="AH1967" s="589"/>
      <c r="AI1967" s="589"/>
      <c r="AJ1967" s="589"/>
      <c r="AK1967" s="589"/>
      <c r="AL1967" s="589"/>
      <c r="AM1967" s="589"/>
      <c r="AN1967" s="589"/>
      <c r="AO1967" s="589"/>
      <c r="AP1967" s="589"/>
      <c r="AQ1967" s="589"/>
      <c r="AR1967" s="589"/>
      <c r="AS1967" s="589"/>
    </row>
    <row r="1968" spans="1:45" ht="15">
      <c r="A1968" s="587" t="s">
        <v>169</v>
      </c>
      <c r="B1968" s="587" t="s">
        <v>510</v>
      </c>
      <c r="C1968" s="587" t="s">
        <v>813</v>
      </c>
      <c r="D1968" s="588">
        <v>2018</v>
      </c>
      <c r="E1968" s="587" t="s">
        <v>775</v>
      </c>
      <c r="F1968" s="588">
        <v>134</v>
      </c>
      <c r="G1968" s="588">
        <v>0</v>
      </c>
      <c r="H1968" s="588">
        <v>0</v>
      </c>
      <c r="I1968" s="588">
        <v>0</v>
      </c>
      <c r="J1968" s="588">
        <v>95</v>
      </c>
      <c r="K1968" s="588">
        <v>0</v>
      </c>
      <c r="L1968" s="588">
        <v>0</v>
      </c>
      <c r="M1968" s="588">
        <v>0</v>
      </c>
      <c r="N1968" s="588">
        <v>108</v>
      </c>
      <c r="O1968" s="588">
        <v>12</v>
      </c>
      <c r="P1968" s="588">
        <v>244</v>
      </c>
      <c r="Q1968" s="588">
        <v>101</v>
      </c>
      <c r="R1968" s="588">
        <v>581</v>
      </c>
      <c r="S1968" s="588">
        <v>113</v>
      </c>
      <c r="T1968" s="588">
        <v>2018</v>
      </c>
      <c r="U1968" s="588">
        <v>2014</v>
      </c>
      <c r="V1968" s="589"/>
      <c r="W1968" s="589"/>
      <c r="X1968" s="589"/>
      <c r="Y1968" s="589"/>
      <c r="Z1968" s="589"/>
      <c r="AA1968" s="589"/>
      <c r="AB1968" s="589"/>
      <c r="AC1968" s="589"/>
      <c r="AD1968" s="589"/>
      <c r="AE1968" s="589"/>
      <c r="AF1968" s="589"/>
      <c r="AG1968" s="589"/>
      <c r="AH1968" s="589"/>
      <c r="AI1968" s="589"/>
      <c r="AJ1968" s="589"/>
      <c r="AK1968" s="589"/>
      <c r="AL1968" s="589"/>
      <c r="AM1968" s="589"/>
      <c r="AN1968" s="589"/>
      <c r="AO1968" s="589"/>
      <c r="AP1968" s="589"/>
      <c r="AQ1968" s="589"/>
      <c r="AR1968" s="589"/>
      <c r="AS1968" s="589"/>
    </row>
    <row r="1969" spans="1:45" ht="15">
      <c r="A1969" s="590" t="s">
        <v>179</v>
      </c>
      <c r="B1969" s="591" t="s">
        <v>179</v>
      </c>
      <c r="C1969" s="591" t="s">
        <v>856</v>
      </c>
      <c r="D1969" s="592">
        <v>2018</v>
      </c>
      <c r="E1969" s="591" t="s">
        <v>775</v>
      </c>
      <c r="F1969" s="592">
        <v>21977</v>
      </c>
      <c r="G1969" s="592">
        <v>249</v>
      </c>
      <c r="H1969" s="592">
        <v>249</v>
      </c>
      <c r="I1969" s="592">
        <v>0</v>
      </c>
      <c r="J1969" s="592">
        <v>16703</v>
      </c>
      <c r="K1969" s="592">
        <v>203</v>
      </c>
      <c r="L1969" s="592">
        <v>203</v>
      </c>
      <c r="M1969" s="592">
        <v>0</v>
      </c>
      <c r="N1969" s="593">
        <v>15462</v>
      </c>
      <c r="O1969" s="593">
        <v>6</v>
      </c>
      <c r="P1969" s="593">
        <v>33954</v>
      </c>
      <c r="Q1969" s="593">
        <v>3437</v>
      </c>
      <c r="R1969" s="593">
        <v>88096</v>
      </c>
      <c r="S1969" s="593">
        <v>3895</v>
      </c>
      <c r="T1969" s="593">
        <v>2018</v>
      </c>
      <c r="U1969" s="593">
        <v>2013</v>
      </c>
      <c r="V1969" s="589"/>
      <c r="W1969" s="589"/>
      <c r="X1969" s="589"/>
      <c r="Y1969" s="589"/>
      <c r="Z1969" s="589"/>
      <c r="AA1969" s="589"/>
      <c r="AB1969" s="589"/>
      <c r="AC1969" s="589"/>
      <c r="AD1969" s="589"/>
      <c r="AE1969" s="589"/>
      <c r="AF1969" s="589"/>
      <c r="AG1969" s="589"/>
      <c r="AH1969" s="589"/>
      <c r="AI1969" s="589"/>
      <c r="AJ1969" s="589"/>
      <c r="AK1969" s="589"/>
      <c r="AL1969" s="589"/>
      <c r="AM1969" s="589"/>
      <c r="AN1969" s="589"/>
      <c r="AO1969" s="589"/>
      <c r="AP1969" s="589"/>
      <c r="AQ1969" s="589"/>
      <c r="AR1969" s="589"/>
      <c r="AS1969" s="589"/>
    </row>
    <row r="1970" spans="1:45" ht="15">
      <c r="A1970" s="587" t="s">
        <v>179</v>
      </c>
      <c r="B1970" s="587" t="s">
        <v>603</v>
      </c>
      <c r="C1970" s="587" t="s">
        <v>856</v>
      </c>
      <c r="D1970" s="588">
        <v>2018</v>
      </c>
      <c r="E1970" s="587" t="s">
        <v>775</v>
      </c>
      <c r="F1970" s="588">
        <v>2085</v>
      </c>
      <c r="G1970" s="588">
        <v>10</v>
      </c>
      <c r="H1970" s="588">
        <v>0</v>
      </c>
      <c r="I1970" s="588">
        <v>10</v>
      </c>
      <c r="J1970" s="588">
        <v>1585</v>
      </c>
      <c r="K1970" s="588">
        <v>142</v>
      </c>
      <c r="L1970" s="588">
        <v>0</v>
      </c>
      <c r="M1970" s="588">
        <v>142</v>
      </c>
      <c r="N1970" s="588">
        <v>5864</v>
      </c>
      <c r="O1970" s="588">
        <v>177</v>
      </c>
      <c r="P1970" s="588">
        <v>12878</v>
      </c>
      <c r="Q1970" s="588">
        <v>399</v>
      </c>
      <c r="R1970" s="588">
        <v>22412</v>
      </c>
      <c r="S1970" s="588">
        <v>728</v>
      </c>
      <c r="T1970" s="588">
        <v>2018</v>
      </c>
      <c r="U1970" s="588">
        <v>2013</v>
      </c>
      <c r="V1970" s="589"/>
      <c r="W1970" s="589"/>
      <c r="X1970" s="589"/>
      <c r="Y1970" s="589"/>
      <c r="Z1970" s="589"/>
      <c r="AA1970" s="589"/>
      <c r="AB1970" s="589"/>
      <c r="AC1970" s="589"/>
      <c r="AD1970" s="589"/>
      <c r="AE1970" s="589"/>
      <c r="AF1970" s="589"/>
      <c r="AG1970" s="589"/>
      <c r="AH1970" s="589"/>
      <c r="AI1970" s="589"/>
      <c r="AJ1970" s="589"/>
      <c r="AK1970" s="589"/>
      <c r="AL1970" s="589"/>
      <c r="AM1970" s="589"/>
      <c r="AN1970" s="589"/>
      <c r="AO1970" s="589"/>
      <c r="AP1970" s="589"/>
      <c r="AQ1970" s="589"/>
      <c r="AR1970" s="589"/>
      <c r="AS1970" s="589"/>
    </row>
    <row r="1971" spans="1:45" ht="15">
      <c r="A1971" s="590" t="s">
        <v>153</v>
      </c>
      <c r="B1971" s="591" t="s">
        <v>414</v>
      </c>
      <c r="C1971" s="591" t="s">
        <v>813</v>
      </c>
      <c r="D1971" s="592">
        <v>2018</v>
      </c>
      <c r="E1971" s="591" t="s">
        <v>775</v>
      </c>
      <c r="F1971" s="592">
        <v>121</v>
      </c>
      <c r="G1971" s="592">
        <v>0</v>
      </c>
      <c r="H1971" s="592">
        <v>0</v>
      </c>
      <c r="I1971" s="592">
        <v>0</v>
      </c>
      <c r="J1971" s="592">
        <v>72</v>
      </c>
      <c r="K1971" s="592">
        <v>0</v>
      </c>
      <c r="L1971" s="592">
        <v>0</v>
      </c>
      <c r="M1971" s="592">
        <v>0</v>
      </c>
      <c r="N1971" s="593">
        <v>77</v>
      </c>
      <c r="O1971" s="593">
        <v>1</v>
      </c>
      <c r="P1971" s="593">
        <v>193</v>
      </c>
      <c r="Q1971" s="593">
        <v>1</v>
      </c>
      <c r="R1971" s="593">
        <v>463</v>
      </c>
      <c r="S1971" s="593">
        <v>2</v>
      </c>
      <c r="T1971" s="593">
        <v>2018</v>
      </c>
      <c r="U1971" s="593">
        <v>2014</v>
      </c>
      <c r="V1971" s="589"/>
      <c r="W1971" s="589"/>
      <c r="X1971" s="589"/>
      <c r="Y1971" s="589"/>
      <c r="Z1971" s="589"/>
      <c r="AA1971" s="589"/>
      <c r="AB1971" s="589"/>
      <c r="AC1971" s="589"/>
      <c r="AD1971" s="589"/>
      <c r="AE1971" s="589"/>
      <c r="AF1971" s="589"/>
      <c r="AG1971" s="589"/>
      <c r="AH1971" s="589"/>
      <c r="AI1971" s="589"/>
      <c r="AJ1971" s="589"/>
      <c r="AK1971" s="589"/>
      <c r="AL1971" s="589"/>
      <c r="AM1971" s="589"/>
      <c r="AN1971" s="589"/>
      <c r="AO1971" s="589"/>
      <c r="AP1971" s="589"/>
      <c r="AQ1971" s="589"/>
      <c r="AR1971" s="589"/>
      <c r="AS1971" s="589"/>
    </row>
    <row r="1972" spans="1:45" ht="15">
      <c r="A1972" s="587" t="s">
        <v>153</v>
      </c>
      <c r="B1972" s="587" t="s">
        <v>415</v>
      </c>
      <c r="C1972" s="587" t="s">
        <v>813</v>
      </c>
      <c r="D1972" s="588">
        <v>2018</v>
      </c>
      <c r="E1972" s="587" t="s">
        <v>775</v>
      </c>
      <c r="F1972" s="588">
        <v>55</v>
      </c>
      <c r="G1972" s="588">
        <v>0</v>
      </c>
      <c r="H1972" s="588">
        <v>0</v>
      </c>
      <c r="I1972" s="588">
        <v>0</v>
      </c>
      <c r="J1972" s="588">
        <v>32</v>
      </c>
      <c r="K1972" s="588">
        <v>67</v>
      </c>
      <c r="L1972" s="588">
        <v>0</v>
      </c>
      <c r="M1972" s="588">
        <v>67</v>
      </c>
      <c r="N1972" s="588">
        <v>35</v>
      </c>
      <c r="O1972" s="588">
        <v>27</v>
      </c>
      <c r="P1972" s="588">
        <v>95</v>
      </c>
      <c r="Q1972" s="588">
        <v>2</v>
      </c>
      <c r="R1972" s="588">
        <v>217</v>
      </c>
      <c r="S1972" s="588">
        <v>96</v>
      </c>
      <c r="T1972" s="588">
        <v>2018</v>
      </c>
      <c r="U1972" s="588">
        <v>2014</v>
      </c>
      <c r="V1972" s="589"/>
      <c r="W1972" s="589"/>
      <c r="X1972" s="589"/>
      <c r="Y1972" s="589"/>
      <c r="Z1972" s="589"/>
      <c r="AA1972" s="589"/>
      <c r="AB1972" s="589"/>
      <c r="AC1972" s="589"/>
      <c r="AD1972" s="589"/>
      <c r="AE1972" s="589"/>
      <c r="AF1972" s="589"/>
      <c r="AG1972" s="589"/>
      <c r="AH1972" s="589"/>
      <c r="AI1972" s="589"/>
      <c r="AJ1972" s="589"/>
      <c r="AK1972" s="589"/>
      <c r="AL1972" s="589"/>
      <c r="AM1972" s="589"/>
      <c r="AN1972" s="589"/>
      <c r="AO1972" s="589"/>
      <c r="AP1972" s="589"/>
      <c r="AQ1972" s="589"/>
      <c r="AR1972" s="589"/>
      <c r="AS1972" s="589"/>
    </row>
    <row r="1973" spans="1:45" ht="15">
      <c r="A1973" s="590" t="s">
        <v>181</v>
      </c>
      <c r="B1973" s="591" t="s">
        <v>181</v>
      </c>
      <c r="C1973" s="591" t="s">
        <v>782</v>
      </c>
      <c r="D1973" s="592">
        <v>2018</v>
      </c>
      <c r="E1973" s="591" t="s">
        <v>775</v>
      </c>
      <c r="F1973" s="592">
        <v>6234</v>
      </c>
      <c r="G1973" s="592">
        <v>0</v>
      </c>
      <c r="H1973" s="592">
        <v>0</v>
      </c>
      <c r="I1973" s="592">
        <v>0</v>
      </c>
      <c r="J1973" s="592">
        <v>4639</v>
      </c>
      <c r="K1973" s="592">
        <v>922</v>
      </c>
      <c r="L1973" s="592">
        <v>922</v>
      </c>
      <c r="M1973" s="592">
        <v>0</v>
      </c>
      <c r="N1973" s="593">
        <v>5460</v>
      </c>
      <c r="O1973" s="593">
        <v>492</v>
      </c>
      <c r="P1973" s="593">
        <v>12536</v>
      </c>
      <c r="Q1973" s="593">
        <v>4683</v>
      </c>
      <c r="R1973" s="593">
        <v>28869</v>
      </c>
      <c r="S1973" s="593">
        <v>6097</v>
      </c>
      <c r="T1973" s="593">
        <v>2018</v>
      </c>
      <c r="U1973" s="593">
        <v>2015</v>
      </c>
      <c r="V1973" s="589"/>
      <c r="W1973" s="589"/>
      <c r="X1973" s="589"/>
      <c r="Y1973" s="589"/>
      <c r="Z1973" s="589"/>
      <c r="AA1973" s="589"/>
      <c r="AB1973" s="589"/>
      <c r="AC1973" s="589"/>
      <c r="AD1973" s="589"/>
      <c r="AE1973" s="589"/>
      <c r="AF1973" s="589"/>
      <c r="AG1973" s="589"/>
      <c r="AH1973" s="589"/>
      <c r="AI1973" s="589"/>
      <c r="AJ1973" s="589"/>
      <c r="AK1973" s="589"/>
      <c r="AL1973" s="589"/>
      <c r="AM1973" s="589"/>
      <c r="AN1973" s="589"/>
      <c r="AO1973" s="589"/>
      <c r="AP1973" s="589"/>
      <c r="AQ1973" s="589"/>
      <c r="AR1973" s="589"/>
      <c r="AS1973" s="589"/>
    </row>
    <row r="1974" spans="1:45" ht="15">
      <c r="A1974" s="587" t="s">
        <v>153</v>
      </c>
      <c r="B1974" s="587" t="s">
        <v>416</v>
      </c>
      <c r="C1974" s="587" t="s">
        <v>813</v>
      </c>
      <c r="D1974" s="588">
        <v>2018</v>
      </c>
      <c r="E1974" s="587" t="s">
        <v>775</v>
      </c>
      <c r="F1974" s="588">
        <v>236</v>
      </c>
      <c r="G1974" s="588">
        <v>0</v>
      </c>
      <c r="H1974" s="588">
        <v>0</v>
      </c>
      <c r="I1974" s="588">
        <v>0</v>
      </c>
      <c r="J1974" s="588">
        <v>142</v>
      </c>
      <c r="K1974" s="588">
        <v>0</v>
      </c>
      <c r="L1974" s="588">
        <v>0</v>
      </c>
      <c r="M1974" s="588">
        <v>0</v>
      </c>
      <c r="N1974" s="588">
        <v>154</v>
      </c>
      <c r="O1974" s="588">
        <v>10</v>
      </c>
      <c r="P1974" s="588">
        <v>398</v>
      </c>
      <c r="Q1974" s="588">
        <v>12</v>
      </c>
      <c r="R1974" s="588">
        <v>930</v>
      </c>
      <c r="S1974" s="588">
        <v>22</v>
      </c>
      <c r="T1974" s="588">
        <v>2018</v>
      </c>
      <c r="U1974" s="588">
        <v>2014</v>
      </c>
      <c r="V1974" s="589"/>
      <c r="W1974" s="589"/>
      <c r="X1974" s="589"/>
      <c r="Y1974" s="589"/>
      <c r="Z1974" s="589"/>
      <c r="AA1974" s="589"/>
      <c r="AB1974" s="589"/>
      <c r="AC1974" s="589"/>
      <c r="AD1974" s="589"/>
      <c r="AE1974" s="589"/>
      <c r="AF1974" s="589"/>
      <c r="AG1974" s="589"/>
      <c r="AH1974" s="589"/>
      <c r="AI1974" s="589"/>
      <c r="AJ1974" s="589"/>
      <c r="AK1974" s="589"/>
      <c r="AL1974" s="589"/>
      <c r="AM1974" s="589"/>
      <c r="AN1974" s="589"/>
      <c r="AO1974" s="589"/>
      <c r="AP1974" s="589"/>
      <c r="AQ1974" s="589"/>
      <c r="AR1974" s="589"/>
      <c r="AS1974" s="589"/>
    </row>
    <row r="1975" spans="1:45" ht="15">
      <c r="A1975" s="590" t="s">
        <v>173</v>
      </c>
      <c r="B1975" s="591" t="s">
        <v>553</v>
      </c>
      <c r="C1975" s="591" t="s">
        <v>813</v>
      </c>
      <c r="D1975" s="592">
        <v>2018</v>
      </c>
      <c r="E1975" s="591" t="s">
        <v>775</v>
      </c>
      <c r="F1975" s="592">
        <v>562</v>
      </c>
      <c r="G1975" s="592">
        <v>0</v>
      </c>
      <c r="H1975" s="592">
        <v>0</v>
      </c>
      <c r="I1975" s="592">
        <v>0</v>
      </c>
      <c r="J1975" s="592">
        <v>394</v>
      </c>
      <c r="K1975" s="592">
        <v>0</v>
      </c>
      <c r="L1975" s="592">
        <v>0</v>
      </c>
      <c r="M1975" s="592">
        <v>0</v>
      </c>
      <c r="N1975" s="593">
        <v>441</v>
      </c>
      <c r="O1975" s="593">
        <v>270</v>
      </c>
      <c r="P1975" s="593">
        <v>1036</v>
      </c>
      <c r="Q1975" s="593">
        <v>0</v>
      </c>
      <c r="R1975" s="593">
        <v>2433</v>
      </c>
      <c r="S1975" s="593">
        <v>270</v>
      </c>
      <c r="T1975" s="593">
        <v>2018</v>
      </c>
      <c r="U1975" s="593">
        <v>2014</v>
      </c>
      <c r="V1975" s="589"/>
      <c r="W1975" s="589"/>
      <c r="X1975" s="589"/>
      <c r="Y1975" s="589"/>
      <c r="Z1975" s="589"/>
      <c r="AA1975" s="589"/>
      <c r="AB1975" s="589"/>
      <c r="AC1975" s="589"/>
      <c r="AD1975" s="589"/>
      <c r="AE1975" s="589"/>
      <c r="AF1975" s="589"/>
      <c r="AG1975" s="589"/>
      <c r="AH1975" s="589"/>
      <c r="AI1975" s="589"/>
      <c r="AJ1975" s="589"/>
      <c r="AK1975" s="589"/>
      <c r="AL1975" s="589"/>
      <c r="AM1975" s="589"/>
      <c r="AN1975" s="589"/>
      <c r="AO1975" s="589"/>
      <c r="AP1975" s="589"/>
      <c r="AQ1975" s="589"/>
      <c r="AR1975" s="589"/>
      <c r="AS1975" s="589"/>
    </row>
    <row r="1976" spans="1:45" ht="15">
      <c r="A1976" s="587" t="s">
        <v>141</v>
      </c>
      <c r="B1976" s="587" t="s">
        <v>182</v>
      </c>
      <c r="C1976" s="587" t="s">
        <v>811</v>
      </c>
      <c r="D1976" s="588">
        <v>2018</v>
      </c>
      <c r="E1976" s="587" t="s">
        <v>775</v>
      </c>
      <c r="F1976" s="588">
        <v>103</v>
      </c>
      <c r="G1976" s="588">
        <v>0</v>
      </c>
      <c r="H1976" s="588">
        <v>0</v>
      </c>
      <c r="I1976" s="588">
        <v>0</v>
      </c>
      <c r="J1976" s="588">
        <v>36</v>
      </c>
      <c r="K1976" s="588">
        <v>0</v>
      </c>
      <c r="L1976" s="588">
        <v>0</v>
      </c>
      <c r="M1976" s="588">
        <v>0</v>
      </c>
      <c r="N1976" s="588">
        <v>35</v>
      </c>
      <c r="O1976" s="588">
        <v>0</v>
      </c>
      <c r="P1976" s="588">
        <v>204</v>
      </c>
      <c r="Q1976" s="588">
        <v>0</v>
      </c>
      <c r="R1976" s="588">
        <v>378</v>
      </c>
      <c r="S1976" s="588">
        <v>0</v>
      </c>
      <c r="T1976" s="588">
        <v>2018</v>
      </c>
      <c r="U1976" s="588">
        <v>2016</v>
      </c>
      <c r="V1976" s="589"/>
      <c r="W1976" s="589"/>
      <c r="X1976" s="589"/>
      <c r="Y1976" s="589"/>
      <c r="Z1976" s="589"/>
      <c r="AA1976" s="589"/>
      <c r="AB1976" s="589"/>
      <c r="AC1976" s="589"/>
      <c r="AD1976" s="589"/>
      <c r="AE1976" s="589"/>
      <c r="AF1976" s="589"/>
      <c r="AG1976" s="589"/>
      <c r="AH1976" s="589"/>
      <c r="AI1976" s="589"/>
      <c r="AJ1976" s="589"/>
      <c r="AK1976" s="589"/>
      <c r="AL1976" s="589"/>
      <c r="AM1976" s="589"/>
      <c r="AN1976" s="589"/>
      <c r="AO1976" s="589"/>
      <c r="AP1976" s="589"/>
      <c r="AQ1976" s="589"/>
      <c r="AR1976" s="589"/>
      <c r="AS1976" s="589"/>
    </row>
    <row r="1977" spans="1:45" ht="15">
      <c r="A1977" s="590" t="s">
        <v>182</v>
      </c>
      <c r="B1977" s="591" t="s">
        <v>613</v>
      </c>
      <c r="C1977" s="591" t="s">
        <v>811</v>
      </c>
      <c r="D1977" s="592">
        <v>2018</v>
      </c>
      <c r="E1977" s="591" t="s">
        <v>775</v>
      </c>
      <c r="F1977" s="592">
        <v>2496</v>
      </c>
      <c r="G1977" s="592">
        <v>29</v>
      </c>
      <c r="H1977" s="592">
        <v>0</v>
      </c>
      <c r="I1977" s="592">
        <v>29</v>
      </c>
      <c r="J1977" s="592">
        <v>1727</v>
      </c>
      <c r="K1977" s="592">
        <v>56</v>
      </c>
      <c r="L1977" s="592">
        <v>5</v>
      </c>
      <c r="M1977" s="592">
        <v>51</v>
      </c>
      <c r="N1977" s="593">
        <v>1724</v>
      </c>
      <c r="O1977" s="593">
        <v>213</v>
      </c>
      <c r="P1977" s="593">
        <v>4220</v>
      </c>
      <c r="Q1977" s="593">
        <v>595</v>
      </c>
      <c r="R1977" s="593">
        <v>10167</v>
      </c>
      <c r="S1977" s="593">
        <v>893</v>
      </c>
      <c r="T1977" s="593">
        <v>2018</v>
      </c>
      <c r="U1977" s="593">
        <v>2016</v>
      </c>
      <c r="V1977" s="589"/>
      <c r="W1977" s="589"/>
      <c r="X1977" s="589"/>
      <c r="Y1977" s="589"/>
      <c r="Z1977" s="589"/>
      <c r="AA1977" s="589"/>
      <c r="AB1977" s="589"/>
      <c r="AC1977" s="589"/>
      <c r="AD1977" s="589"/>
      <c r="AE1977" s="589"/>
      <c r="AF1977" s="589"/>
      <c r="AG1977" s="589"/>
      <c r="AH1977" s="589"/>
      <c r="AI1977" s="589"/>
      <c r="AJ1977" s="589"/>
      <c r="AK1977" s="589"/>
      <c r="AL1977" s="589"/>
      <c r="AM1977" s="589"/>
      <c r="AN1977" s="589"/>
      <c r="AO1977" s="589"/>
      <c r="AP1977" s="589"/>
      <c r="AQ1977" s="589"/>
      <c r="AR1977" s="589"/>
      <c r="AS1977" s="589"/>
    </row>
    <row r="1978" spans="1:45" ht="15">
      <c r="A1978" s="587" t="s">
        <v>187</v>
      </c>
      <c r="B1978" s="587" t="s">
        <v>662</v>
      </c>
      <c r="C1978" s="587" t="s">
        <v>782</v>
      </c>
      <c r="D1978" s="588">
        <v>2018</v>
      </c>
      <c r="E1978" s="587" t="s">
        <v>775</v>
      </c>
      <c r="F1978" s="588">
        <v>9233</v>
      </c>
      <c r="G1978" s="588">
        <v>146</v>
      </c>
      <c r="H1978" s="588">
        <v>146</v>
      </c>
      <c r="I1978" s="588">
        <v>0</v>
      </c>
      <c r="J1978" s="588">
        <v>5428</v>
      </c>
      <c r="K1978" s="588">
        <v>0</v>
      </c>
      <c r="L1978" s="588">
        <v>0</v>
      </c>
      <c r="M1978" s="588">
        <v>0</v>
      </c>
      <c r="N1978" s="588">
        <v>6188</v>
      </c>
      <c r="O1978" s="588">
        <v>1300</v>
      </c>
      <c r="P1978" s="588">
        <v>14231</v>
      </c>
      <c r="Q1978" s="588">
        <v>1527</v>
      </c>
      <c r="R1978" s="588">
        <v>35080</v>
      </c>
      <c r="S1978" s="588">
        <v>2973</v>
      </c>
      <c r="T1978" s="588">
        <v>2018</v>
      </c>
      <c r="U1978" s="588">
        <v>2015</v>
      </c>
      <c r="V1978" s="589"/>
      <c r="W1978" s="589"/>
      <c r="X1978" s="589"/>
      <c r="Y1978" s="589"/>
      <c r="Z1978" s="589"/>
      <c r="AA1978" s="589"/>
      <c r="AB1978" s="589"/>
      <c r="AC1978" s="589"/>
      <c r="AD1978" s="589"/>
      <c r="AE1978" s="589"/>
      <c r="AF1978" s="589"/>
      <c r="AG1978" s="589"/>
      <c r="AH1978" s="589"/>
      <c r="AI1978" s="589"/>
      <c r="AJ1978" s="589"/>
      <c r="AK1978" s="589"/>
      <c r="AL1978" s="589"/>
      <c r="AM1978" s="589"/>
      <c r="AN1978" s="589"/>
      <c r="AO1978" s="589"/>
      <c r="AP1978" s="589"/>
      <c r="AQ1978" s="589"/>
      <c r="AR1978" s="589"/>
      <c r="AS1978" s="589"/>
    </row>
    <row r="1979" spans="1:45" ht="15">
      <c r="A1979" s="590" t="s">
        <v>176</v>
      </c>
      <c r="B1979" s="591" t="s">
        <v>565</v>
      </c>
      <c r="C1979" s="591" t="s">
        <v>811</v>
      </c>
      <c r="D1979" s="592">
        <v>2018</v>
      </c>
      <c r="E1979" s="591" t="s">
        <v>775</v>
      </c>
      <c r="F1979" s="592">
        <v>10</v>
      </c>
      <c r="G1979" s="592">
        <v>0</v>
      </c>
      <c r="H1979" s="592">
        <v>0</v>
      </c>
      <c r="I1979" s="592">
        <v>0</v>
      </c>
      <c r="J1979" s="592">
        <v>6</v>
      </c>
      <c r="K1979" s="592">
        <v>0</v>
      </c>
      <c r="L1979" s="592">
        <v>0</v>
      </c>
      <c r="M1979" s="592">
        <v>0</v>
      </c>
      <c r="N1979" s="593">
        <v>8</v>
      </c>
      <c r="O1979" s="593">
        <v>0</v>
      </c>
      <c r="P1979" s="593">
        <v>17</v>
      </c>
      <c r="Q1979" s="593">
        <v>0</v>
      </c>
      <c r="R1979" s="593">
        <v>41</v>
      </c>
      <c r="S1979" s="593">
        <v>0</v>
      </c>
      <c r="T1979" s="593">
        <v>2018</v>
      </c>
      <c r="U1979" s="593">
        <v>2016</v>
      </c>
      <c r="V1979" s="589"/>
      <c r="W1979" s="589"/>
      <c r="X1979" s="589"/>
      <c r="Y1979" s="589"/>
      <c r="Z1979" s="589"/>
      <c r="AA1979" s="589"/>
      <c r="AB1979" s="589"/>
      <c r="AC1979" s="589"/>
      <c r="AD1979" s="589"/>
      <c r="AE1979" s="589"/>
      <c r="AF1979" s="589"/>
      <c r="AG1979" s="589"/>
      <c r="AH1979" s="589"/>
      <c r="AI1979" s="589"/>
      <c r="AJ1979" s="589"/>
      <c r="AK1979" s="589"/>
      <c r="AL1979" s="589"/>
      <c r="AM1979" s="589"/>
      <c r="AN1979" s="589"/>
      <c r="AO1979" s="589"/>
      <c r="AP1979" s="589"/>
      <c r="AQ1979" s="589"/>
      <c r="AR1979" s="589"/>
      <c r="AS1979" s="589"/>
    </row>
    <row r="1980" spans="1:45" ht="15">
      <c r="A1980" s="587" t="s">
        <v>169</v>
      </c>
      <c r="B1980" s="587" t="s">
        <v>511</v>
      </c>
      <c r="C1980" s="587" t="s">
        <v>813</v>
      </c>
      <c r="D1980" s="588">
        <v>2018</v>
      </c>
      <c r="E1980" s="587" t="s">
        <v>775</v>
      </c>
      <c r="F1980" s="588">
        <v>147</v>
      </c>
      <c r="G1980" s="588">
        <v>0</v>
      </c>
      <c r="H1980" s="588">
        <v>0</v>
      </c>
      <c r="I1980" s="588">
        <v>0</v>
      </c>
      <c r="J1980" s="588">
        <v>104</v>
      </c>
      <c r="K1980" s="588">
        <v>0</v>
      </c>
      <c r="L1980" s="588">
        <v>0</v>
      </c>
      <c r="M1980" s="588">
        <v>0</v>
      </c>
      <c r="N1980" s="588">
        <v>120</v>
      </c>
      <c r="O1980" s="588">
        <v>24</v>
      </c>
      <c r="P1980" s="588">
        <v>267</v>
      </c>
      <c r="Q1980" s="588">
        <v>64</v>
      </c>
      <c r="R1980" s="588">
        <v>638</v>
      </c>
      <c r="S1980" s="588">
        <v>88</v>
      </c>
      <c r="T1980" s="588">
        <v>2018</v>
      </c>
      <c r="U1980" s="588">
        <v>2014</v>
      </c>
      <c r="V1980" s="589"/>
      <c r="W1980" s="589"/>
      <c r="X1980" s="589"/>
      <c r="Y1980" s="589"/>
      <c r="Z1980" s="589"/>
      <c r="AA1980" s="589"/>
      <c r="AB1980" s="589"/>
      <c r="AC1980" s="589"/>
      <c r="AD1980" s="589"/>
      <c r="AE1980" s="589"/>
      <c r="AF1980" s="589"/>
      <c r="AG1980" s="589"/>
      <c r="AH1980" s="589"/>
      <c r="AI1980" s="589"/>
      <c r="AJ1980" s="589"/>
      <c r="AK1980" s="589"/>
      <c r="AL1980" s="589"/>
      <c r="AM1980" s="589"/>
      <c r="AN1980" s="589"/>
      <c r="AO1980" s="589"/>
      <c r="AP1980" s="589"/>
      <c r="AQ1980" s="589"/>
      <c r="AR1980" s="589"/>
      <c r="AS1980" s="589"/>
    </row>
    <row r="1981" spans="1:45" ht="15">
      <c r="A1981" s="590" t="s">
        <v>125</v>
      </c>
      <c r="B1981" s="591" t="s">
        <v>245</v>
      </c>
      <c r="C1981" s="591" t="s">
        <v>782</v>
      </c>
      <c r="D1981" s="592">
        <v>2018</v>
      </c>
      <c r="E1981" s="591" t="s">
        <v>775</v>
      </c>
      <c r="F1981" s="592">
        <v>504</v>
      </c>
      <c r="G1981" s="592">
        <v>0</v>
      </c>
      <c r="H1981" s="592">
        <v>0</v>
      </c>
      <c r="I1981" s="592">
        <v>0</v>
      </c>
      <c r="J1981" s="592">
        <v>270</v>
      </c>
      <c r="K1981" s="592">
        <v>0</v>
      </c>
      <c r="L1981" s="592">
        <v>0</v>
      </c>
      <c r="M1981" s="592">
        <v>0</v>
      </c>
      <c r="N1981" s="593">
        <v>352</v>
      </c>
      <c r="O1981" s="593">
        <v>0</v>
      </c>
      <c r="P1981" s="593">
        <v>1161</v>
      </c>
      <c r="Q1981" s="593">
        <v>7</v>
      </c>
      <c r="R1981" s="593">
        <v>2287</v>
      </c>
      <c r="S1981" s="593">
        <v>7</v>
      </c>
      <c r="T1981" s="593">
        <v>2018</v>
      </c>
      <c r="U1981" s="593">
        <v>2015</v>
      </c>
      <c r="V1981" s="589"/>
      <c r="W1981" s="589"/>
      <c r="X1981" s="589"/>
      <c r="Y1981" s="589"/>
      <c r="Z1981" s="589"/>
      <c r="AA1981" s="589"/>
      <c r="AB1981" s="589"/>
      <c r="AC1981" s="589"/>
      <c r="AD1981" s="589"/>
      <c r="AE1981" s="589"/>
      <c r="AF1981" s="589"/>
      <c r="AG1981" s="589"/>
      <c r="AH1981" s="589"/>
      <c r="AI1981" s="589"/>
      <c r="AJ1981" s="589"/>
      <c r="AK1981" s="589"/>
      <c r="AL1981" s="589"/>
      <c r="AM1981" s="589"/>
      <c r="AN1981" s="589"/>
      <c r="AO1981" s="589"/>
      <c r="AP1981" s="589"/>
      <c r="AQ1981" s="589"/>
      <c r="AR1981" s="589"/>
      <c r="AS1981" s="589"/>
    </row>
    <row r="1982" spans="1:45" ht="15">
      <c r="A1982" s="587" t="s">
        <v>183</v>
      </c>
      <c r="B1982" s="587" t="s">
        <v>183</v>
      </c>
      <c r="C1982" s="587" t="s">
        <v>785</v>
      </c>
      <c r="D1982" s="588">
        <v>2018</v>
      </c>
      <c r="E1982" s="587" t="s">
        <v>775</v>
      </c>
      <c r="F1982" s="588">
        <v>285</v>
      </c>
      <c r="G1982" s="588">
        <v>70</v>
      </c>
      <c r="H1982" s="588">
        <v>70</v>
      </c>
      <c r="I1982" s="588">
        <v>0</v>
      </c>
      <c r="J1982" s="588">
        <v>179</v>
      </c>
      <c r="K1982" s="588">
        <v>4</v>
      </c>
      <c r="L1982" s="588">
        <v>4</v>
      </c>
      <c r="M1982" s="588">
        <v>0</v>
      </c>
      <c r="N1982" s="588">
        <v>201</v>
      </c>
      <c r="O1982" s="588">
        <v>0</v>
      </c>
      <c r="P1982" s="588">
        <v>478</v>
      </c>
      <c r="Q1982" s="588">
        <v>220</v>
      </c>
      <c r="R1982" s="588">
        <v>1143</v>
      </c>
      <c r="S1982" s="588">
        <v>294</v>
      </c>
      <c r="T1982" s="588">
        <v>2018</v>
      </c>
      <c r="U1982" s="588">
        <v>2014</v>
      </c>
      <c r="V1982" s="589"/>
      <c r="W1982" s="589"/>
      <c r="X1982" s="589"/>
      <c r="Y1982" s="589"/>
      <c r="Z1982" s="589"/>
      <c r="AA1982" s="589"/>
      <c r="AB1982" s="589"/>
      <c r="AC1982" s="589"/>
      <c r="AD1982" s="589"/>
      <c r="AE1982" s="589"/>
      <c r="AF1982" s="589"/>
      <c r="AG1982" s="589"/>
      <c r="AH1982" s="589"/>
      <c r="AI1982" s="589"/>
      <c r="AJ1982" s="589"/>
      <c r="AK1982" s="589"/>
      <c r="AL1982" s="589"/>
      <c r="AM1982" s="589"/>
      <c r="AN1982" s="589"/>
      <c r="AO1982" s="589"/>
      <c r="AP1982" s="589"/>
      <c r="AQ1982" s="589"/>
      <c r="AR1982" s="589"/>
      <c r="AS1982" s="589"/>
    </row>
    <row r="1983" spans="1:45" ht="15">
      <c r="A1983" s="590" t="s">
        <v>183</v>
      </c>
      <c r="B1983" s="591" t="s">
        <v>622</v>
      </c>
      <c r="C1983" s="591" t="s">
        <v>785</v>
      </c>
      <c r="D1983" s="592">
        <v>2018</v>
      </c>
      <c r="E1983" s="591" t="s">
        <v>775</v>
      </c>
      <c r="F1983" s="592">
        <v>336</v>
      </c>
      <c r="G1983" s="592">
        <v>12</v>
      </c>
      <c r="H1983" s="592">
        <v>12</v>
      </c>
      <c r="I1983" s="592">
        <v>0</v>
      </c>
      <c r="J1983" s="592">
        <v>211</v>
      </c>
      <c r="K1983" s="592">
        <v>17</v>
      </c>
      <c r="L1983" s="592">
        <v>17</v>
      </c>
      <c r="M1983" s="592">
        <v>0</v>
      </c>
      <c r="N1983" s="593">
        <v>237</v>
      </c>
      <c r="O1983" s="593">
        <v>14</v>
      </c>
      <c r="P1983" s="593">
        <v>563</v>
      </c>
      <c r="Q1983" s="593">
        <v>343</v>
      </c>
      <c r="R1983" s="593">
        <v>1347</v>
      </c>
      <c r="S1983" s="593">
        <v>386</v>
      </c>
      <c r="T1983" s="593">
        <v>2018</v>
      </c>
      <c r="U1983" s="593">
        <v>2014</v>
      </c>
      <c r="V1983" s="589"/>
      <c r="W1983" s="589"/>
      <c r="X1983" s="589"/>
      <c r="Y1983" s="589"/>
      <c r="Z1983" s="589"/>
      <c r="AA1983" s="589"/>
      <c r="AB1983" s="589"/>
      <c r="AC1983" s="589"/>
      <c r="AD1983" s="589"/>
      <c r="AE1983" s="589"/>
      <c r="AF1983" s="589"/>
      <c r="AG1983" s="589"/>
      <c r="AH1983" s="589"/>
      <c r="AI1983" s="589"/>
      <c r="AJ1983" s="589"/>
      <c r="AK1983" s="589"/>
      <c r="AL1983" s="589"/>
      <c r="AM1983" s="589"/>
      <c r="AN1983" s="589"/>
      <c r="AO1983" s="589"/>
      <c r="AP1983" s="589"/>
      <c r="AQ1983" s="589"/>
      <c r="AR1983" s="589"/>
      <c r="AS1983" s="589"/>
    </row>
    <row r="1984" spans="1:45" ht="15">
      <c r="A1984" s="587" t="s">
        <v>179</v>
      </c>
      <c r="B1984" s="587" t="s">
        <v>604</v>
      </c>
      <c r="C1984" s="587" t="s">
        <v>856</v>
      </c>
      <c r="D1984" s="588">
        <v>2018</v>
      </c>
      <c r="E1984" s="587" t="s">
        <v>775</v>
      </c>
      <c r="F1984" s="588">
        <v>1043</v>
      </c>
      <c r="G1984" s="588">
        <v>2</v>
      </c>
      <c r="H1984" s="588">
        <v>2</v>
      </c>
      <c r="I1984" s="588">
        <v>0</v>
      </c>
      <c r="J1984" s="588">
        <v>793</v>
      </c>
      <c r="K1984" s="588">
        <v>0</v>
      </c>
      <c r="L1984" s="588">
        <v>0</v>
      </c>
      <c r="M1984" s="588">
        <v>0</v>
      </c>
      <c r="N1984" s="588">
        <v>734</v>
      </c>
      <c r="O1984" s="588">
        <v>0</v>
      </c>
      <c r="P1984" s="588">
        <v>1613</v>
      </c>
      <c r="Q1984" s="588">
        <v>253</v>
      </c>
      <c r="R1984" s="588">
        <v>4183</v>
      </c>
      <c r="S1984" s="588">
        <v>255</v>
      </c>
      <c r="T1984" s="588">
        <v>2018</v>
      </c>
      <c r="U1984" s="588">
        <v>2013</v>
      </c>
      <c r="V1984" s="589"/>
      <c r="W1984" s="589"/>
      <c r="X1984" s="589"/>
      <c r="Y1984" s="589"/>
      <c r="Z1984" s="589"/>
      <c r="AA1984" s="589"/>
      <c r="AB1984" s="589"/>
      <c r="AC1984" s="589"/>
      <c r="AD1984" s="589"/>
      <c r="AE1984" s="589"/>
      <c r="AF1984" s="589"/>
      <c r="AG1984" s="589"/>
      <c r="AH1984" s="589"/>
      <c r="AI1984" s="589"/>
      <c r="AJ1984" s="589"/>
      <c r="AK1984" s="589"/>
      <c r="AL1984" s="589"/>
      <c r="AM1984" s="589"/>
      <c r="AN1984" s="589"/>
      <c r="AO1984" s="589"/>
      <c r="AP1984" s="589"/>
      <c r="AQ1984" s="589"/>
      <c r="AR1984" s="589"/>
      <c r="AS1984" s="589"/>
    </row>
    <row r="1985" spans="1:45" ht="15">
      <c r="A1985" s="590" t="s">
        <v>153</v>
      </c>
      <c r="B1985" s="591" t="s">
        <v>417</v>
      </c>
      <c r="C1985" s="591" t="s">
        <v>813</v>
      </c>
      <c r="D1985" s="592">
        <v>2018</v>
      </c>
      <c r="E1985" s="591" t="s">
        <v>775</v>
      </c>
      <c r="F1985" s="592">
        <v>1</v>
      </c>
      <c r="G1985" s="592">
        <v>2</v>
      </c>
      <c r="H1985" s="592">
        <v>2</v>
      </c>
      <c r="I1985" s="592">
        <v>0</v>
      </c>
      <c r="J1985" s="592">
        <v>1</v>
      </c>
      <c r="K1985" s="592">
        <v>1</v>
      </c>
      <c r="L1985" s="592">
        <v>1</v>
      </c>
      <c r="M1985" s="592">
        <v>0</v>
      </c>
      <c r="N1985" s="593">
        <v>0</v>
      </c>
      <c r="O1985" s="593">
        <v>1</v>
      </c>
      <c r="P1985" s="593">
        <v>0</v>
      </c>
      <c r="Q1985" s="593">
        <v>6</v>
      </c>
      <c r="R1985" s="593">
        <v>2</v>
      </c>
      <c r="S1985" s="593">
        <v>10</v>
      </c>
      <c r="T1985" s="593">
        <v>2018</v>
      </c>
      <c r="U1985" s="593">
        <v>2014</v>
      </c>
      <c r="V1985" s="589"/>
      <c r="W1985" s="589"/>
      <c r="X1985" s="589"/>
      <c r="Y1985" s="589"/>
      <c r="Z1985" s="589"/>
      <c r="AA1985" s="589"/>
      <c r="AB1985" s="589"/>
      <c r="AC1985" s="589"/>
      <c r="AD1985" s="589"/>
      <c r="AE1985" s="589"/>
      <c r="AF1985" s="589"/>
      <c r="AG1985" s="589"/>
      <c r="AH1985" s="589"/>
      <c r="AI1985" s="589"/>
      <c r="AJ1985" s="589"/>
      <c r="AK1985" s="589"/>
      <c r="AL1985" s="589"/>
      <c r="AM1985" s="589"/>
      <c r="AN1985" s="589"/>
      <c r="AO1985" s="589"/>
      <c r="AP1985" s="589"/>
      <c r="AQ1985" s="589"/>
      <c r="AR1985" s="589"/>
      <c r="AS1985" s="589"/>
    </row>
    <row r="1986" spans="1:45" ht="15">
      <c r="A1986" s="587" t="s">
        <v>184</v>
      </c>
      <c r="B1986" s="587" t="s">
        <v>184</v>
      </c>
      <c r="C1986" s="587" t="s">
        <v>782</v>
      </c>
      <c r="D1986" s="588">
        <v>2018</v>
      </c>
      <c r="E1986" s="587" t="s">
        <v>775</v>
      </c>
      <c r="F1986" s="588">
        <v>859</v>
      </c>
      <c r="G1986" s="588">
        <v>7</v>
      </c>
      <c r="H1986" s="588">
        <v>7</v>
      </c>
      <c r="I1986" s="588">
        <v>0</v>
      </c>
      <c r="J1986" s="588">
        <v>469</v>
      </c>
      <c r="K1986" s="588">
        <v>0</v>
      </c>
      <c r="L1986" s="588">
        <v>0</v>
      </c>
      <c r="M1986" s="588">
        <v>0</v>
      </c>
      <c r="N1986" s="588">
        <v>530</v>
      </c>
      <c r="O1986" s="588">
        <v>0</v>
      </c>
      <c r="P1986" s="588">
        <v>1242</v>
      </c>
      <c r="Q1986" s="588">
        <v>83</v>
      </c>
      <c r="R1986" s="588">
        <v>3100</v>
      </c>
      <c r="S1986" s="588">
        <v>90</v>
      </c>
      <c r="T1986" s="588">
        <v>2018</v>
      </c>
      <c r="U1986" s="588">
        <v>2015</v>
      </c>
      <c r="V1986" s="589"/>
      <c r="W1986" s="589"/>
      <c r="X1986" s="589"/>
      <c r="Y1986" s="589"/>
      <c r="Z1986" s="589"/>
      <c r="AA1986" s="589"/>
      <c r="AB1986" s="589"/>
      <c r="AC1986" s="589"/>
      <c r="AD1986" s="589"/>
      <c r="AE1986" s="589"/>
      <c r="AF1986" s="589"/>
      <c r="AG1986" s="589"/>
      <c r="AH1986" s="589"/>
      <c r="AI1986" s="589"/>
      <c r="AJ1986" s="589"/>
      <c r="AK1986" s="589"/>
      <c r="AL1986" s="589"/>
      <c r="AM1986" s="589"/>
      <c r="AN1986" s="589"/>
      <c r="AO1986" s="589"/>
      <c r="AP1986" s="589"/>
      <c r="AQ1986" s="589"/>
      <c r="AR1986" s="589"/>
      <c r="AS1986" s="589"/>
    </row>
    <row r="1987" spans="1:45" ht="15">
      <c r="A1987" s="590" t="s">
        <v>184</v>
      </c>
      <c r="B1987" s="591" t="s">
        <v>640</v>
      </c>
      <c r="C1987" s="591" t="s">
        <v>782</v>
      </c>
      <c r="D1987" s="592">
        <v>2018</v>
      </c>
      <c r="E1987" s="591" t="s">
        <v>775</v>
      </c>
      <c r="F1987" s="592">
        <v>153</v>
      </c>
      <c r="G1987" s="592">
        <v>0</v>
      </c>
      <c r="H1987" s="592">
        <v>0</v>
      </c>
      <c r="I1987" s="592">
        <v>0</v>
      </c>
      <c r="J1987" s="592">
        <v>103</v>
      </c>
      <c r="K1987" s="592">
        <v>21</v>
      </c>
      <c r="L1987" s="592">
        <v>0</v>
      </c>
      <c r="M1987" s="592">
        <v>21</v>
      </c>
      <c r="N1987" s="593">
        <v>102</v>
      </c>
      <c r="O1987" s="593">
        <v>0</v>
      </c>
      <c r="P1987" s="593">
        <v>555</v>
      </c>
      <c r="Q1987" s="593">
        <v>62</v>
      </c>
      <c r="R1987" s="593">
        <v>913</v>
      </c>
      <c r="S1987" s="593">
        <v>83</v>
      </c>
      <c r="T1987" s="593">
        <v>2018</v>
      </c>
      <c r="U1987" s="593">
        <v>2015</v>
      </c>
      <c r="V1987" s="589"/>
      <c r="W1987" s="589"/>
      <c r="X1987" s="589"/>
      <c r="Y1987" s="589"/>
      <c r="Z1987" s="589"/>
      <c r="AA1987" s="589"/>
      <c r="AB1987" s="589"/>
      <c r="AC1987" s="589"/>
      <c r="AD1987" s="589"/>
      <c r="AE1987" s="589"/>
      <c r="AF1987" s="589"/>
      <c r="AG1987" s="589"/>
      <c r="AH1987" s="589"/>
      <c r="AI1987" s="589"/>
      <c r="AJ1987" s="589"/>
      <c r="AK1987" s="589"/>
      <c r="AL1987" s="589"/>
      <c r="AM1987" s="589"/>
      <c r="AN1987" s="589"/>
      <c r="AO1987" s="589"/>
      <c r="AP1987" s="589"/>
      <c r="AQ1987" s="589"/>
      <c r="AR1987" s="589"/>
      <c r="AS1987" s="589"/>
    </row>
    <row r="1988" spans="1:45" ht="15">
      <c r="A1988" s="587" t="s">
        <v>136</v>
      </c>
      <c r="B1988" s="587" t="s">
        <v>282</v>
      </c>
      <c r="C1988" s="587" t="s">
        <v>782</v>
      </c>
      <c r="D1988" s="588">
        <v>2018</v>
      </c>
      <c r="E1988" s="587" t="s">
        <v>775</v>
      </c>
      <c r="F1988" s="588">
        <v>56</v>
      </c>
      <c r="G1988" s="588">
        <v>0</v>
      </c>
      <c r="H1988" s="588">
        <v>0</v>
      </c>
      <c r="I1988" s="588">
        <v>0</v>
      </c>
      <c r="J1988" s="588">
        <v>53</v>
      </c>
      <c r="K1988" s="588">
        <v>2</v>
      </c>
      <c r="L1988" s="588">
        <v>1</v>
      </c>
      <c r="M1988" s="588">
        <v>1</v>
      </c>
      <c r="N1988" s="588">
        <v>75</v>
      </c>
      <c r="O1988" s="588">
        <v>0</v>
      </c>
      <c r="P1988" s="588">
        <v>265</v>
      </c>
      <c r="Q1988" s="588">
        <v>2</v>
      </c>
      <c r="R1988" s="588">
        <v>449</v>
      </c>
      <c r="S1988" s="588">
        <v>4</v>
      </c>
      <c r="T1988" s="588">
        <v>2018</v>
      </c>
      <c r="U1988" s="588">
        <v>2015</v>
      </c>
      <c r="V1988" s="589"/>
      <c r="W1988" s="589"/>
      <c r="X1988" s="589"/>
      <c r="Y1988" s="589"/>
      <c r="Z1988" s="589"/>
      <c r="AA1988" s="589"/>
      <c r="AB1988" s="589"/>
      <c r="AC1988" s="589"/>
      <c r="AD1988" s="589"/>
      <c r="AE1988" s="589"/>
      <c r="AF1988" s="589"/>
      <c r="AG1988" s="589"/>
      <c r="AH1988" s="589"/>
      <c r="AI1988" s="589"/>
      <c r="AJ1988" s="589"/>
      <c r="AK1988" s="589"/>
      <c r="AL1988" s="589"/>
      <c r="AM1988" s="589"/>
      <c r="AN1988" s="589"/>
      <c r="AO1988" s="589"/>
      <c r="AP1988" s="589"/>
      <c r="AQ1988" s="589"/>
      <c r="AR1988" s="589"/>
      <c r="AS1988" s="589"/>
    </row>
    <row r="1989" spans="1:45" ht="15">
      <c r="A1989" s="590" t="s">
        <v>157</v>
      </c>
      <c r="B1989" s="591" t="s">
        <v>445</v>
      </c>
      <c r="C1989" s="591" t="s">
        <v>782</v>
      </c>
      <c r="D1989" s="592">
        <v>2018</v>
      </c>
      <c r="E1989" s="591" t="s">
        <v>775</v>
      </c>
      <c r="F1989" s="592">
        <v>240</v>
      </c>
      <c r="G1989" s="592">
        <v>1</v>
      </c>
      <c r="H1989" s="592">
        <v>1</v>
      </c>
      <c r="I1989" s="592">
        <v>0</v>
      </c>
      <c r="J1989" s="592">
        <v>148</v>
      </c>
      <c r="K1989" s="592">
        <v>23</v>
      </c>
      <c r="L1989" s="592">
        <v>1</v>
      </c>
      <c r="M1989" s="592">
        <v>22</v>
      </c>
      <c r="N1989" s="593">
        <v>181</v>
      </c>
      <c r="O1989" s="593">
        <v>1</v>
      </c>
      <c r="P1989" s="593">
        <v>438</v>
      </c>
      <c r="Q1989" s="593">
        <v>14</v>
      </c>
      <c r="R1989" s="593">
        <v>1007</v>
      </c>
      <c r="S1989" s="593">
        <v>39</v>
      </c>
      <c r="T1989" s="593">
        <v>2018</v>
      </c>
      <c r="U1989" s="593">
        <v>2015</v>
      </c>
      <c r="V1989" s="589"/>
      <c r="W1989" s="589"/>
      <c r="X1989" s="589"/>
      <c r="Y1989" s="589"/>
      <c r="Z1989" s="589"/>
      <c r="AA1989" s="589"/>
      <c r="AB1989" s="589"/>
      <c r="AC1989" s="589"/>
      <c r="AD1989" s="589"/>
      <c r="AE1989" s="589"/>
      <c r="AF1989" s="589"/>
      <c r="AG1989" s="589"/>
      <c r="AH1989" s="589"/>
      <c r="AI1989" s="589"/>
      <c r="AJ1989" s="589"/>
      <c r="AK1989" s="589"/>
      <c r="AL1989" s="589"/>
      <c r="AM1989" s="589"/>
      <c r="AN1989" s="589"/>
      <c r="AO1989" s="589"/>
      <c r="AP1989" s="589"/>
      <c r="AQ1989" s="589"/>
      <c r="AR1989" s="589"/>
      <c r="AS1989" s="589"/>
    </row>
    <row r="1990" spans="1:45" ht="15">
      <c r="A1990" s="587" t="s">
        <v>136</v>
      </c>
      <c r="B1990" s="587" t="s">
        <v>283</v>
      </c>
      <c r="C1990" s="587" t="s">
        <v>782</v>
      </c>
      <c r="D1990" s="588">
        <v>2018</v>
      </c>
      <c r="E1990" s="587" t="s">
        <v>775</v>
      </c>
      <c r="F1990" s="588">
        <v>516</v>
      </c>
      <c r="G1990" s="588">
        <v>0</v>
      </c>
      <c r="H1990" s="588">
        <v>0</v>
      </c>
      <c r="I1990" s="588">
        <v>0</v>
      </c>
      <c r="J1990" s="588">
        <v>279</v>
      </c>
      <c r="K1990" s="588">
        <v>0</v>
      </c>
      <c r="L1990" s="588">
        <v>0</v>
      </c>
      <c r="M1990" s="588">
        <v>0</v>
      </c>
      <c r="N1990" s="588">
        <v>282</v>
      </c>
      <c r="O1990" s="588">
        <v>0</v>
      </c>
      <c r="P1990" s="588">
        <v>340</v>
      </c>
      <c r="Q1990" s="588">
        <v>275</v>
      </c>
      <c r="R1990" s="588">
        <v>1417</v>
      </c>
      <c r="S1990" s="588">
        <v>275</v>
      </c>
      <c r="T1990" s="588">
        <v>2018</v>
      </c>
      <c r="U1990" s="588">
        <v>2015</v>
      </c>
      <c r="V1990" s="589"/>
      <c r="W1990" s="589"/>
      <c r="X1990" s="589"/>
      <c r="Y1990" s="589"/>
      <c r="Z1990" s="589"/>
      <c r="AA1990" s="589"/>
      <c r="AB1990" s="589"/>
      <c r="AC1990" s="589"/>
      <c r="AD1990" s="589"/>
      <c r="AE1990" s="589"/>
      <c r="AF1990" s="589"/>
      <c r="AG1990" s="589"/>
      <c r="AH1990" s="589"/>
      <c r="AI1990" s="589"/>
      <c r="AJ1990" s="589"/>
      <c r="AK1990" s="589"/>
      <c r="AL1990" s="589"/>
      <c r="AM1990" s="589"/>
      <c r="AN1990" s="589"/>
      <c r="AO1990" s="589"/>
      <c r="AP1990" s="589"/>
      <c r="AQ1990" s="589"/>
      <c r="AR1990" s="589"/>
      <c r="AS1990" s="589"/>
    </row>
    <row r="1991" spans="1:45" ht="15">
      <c r="A1991" s="590" t="s">
        <v>164</v>
      </c>
      <c r="B1991" s="591" t="s">
        <v>473</v>
      </c>
      <c r="C1991" s="591" t="s">
        <v>811</v>
      </c>
      <c r="D1991" s="592">
        <v>2018</v>
      </c>
      <c r="E1991" s="591" t="s">
        <v>775</v>
      </c>
      <c r="F1991" s="592">
        <v>13</v>
      </c>
      <c r="G1991" s="592">
        <v>0</v>
      </c>
      <c r="H1991" s="592">
        <v>0</v>
      </c>
      <c r="I1991" s="592">
        <v>0</v>
      </c>
      <c r="J1991" s="592">
        <v>9</v>
      </c>
      <c r="K1991" s="592">
        <v>0</v>
      </c>
      <c r="L1991" s="592">
        <v>0</v>
      </c>
      <c r="M1991" s="592">
        <v>0</v>
      </c>
      <c r="N1991" s="593">
        <v>10</v>
      </c>
      <c r="O1991" s="593">
        <v>0</v>
      </c>
      <c r="P1991" s="593">
        <v>23</v>
      </c>
      <c r="Q1991" s="593">
        <v>0</v>
      </c>
      <c r="R1991" s="593">
        <v>55</v>
      </c>
      <c r="S1991" s="593">
        <v>0</v>
      </c>
      <c r="T1991" s="593">
        <v>2018</v>
      </c>
      <c r="U1991" s="593">
        <v>2016</v>
      </c>
      <c r="V1991" s="589"/>
      <c r="W1991" s="589"/>
      <c r="X1991" s="589"/>
      <c r="Y1991" s="589"/>
      <c r="Z1991" s="589"/>
      <c r="AA1991" s="589"/>
      <c r="AB1991" s="589"/>
      <c r="AC1991" s="589"/>
      <c r="AD1991" s="589"/>
      <c r="AE1991" s="589"/>
      <c r="AF1991" s="589"/>
      <c r="AG1991" s="589"/>
      <c r="AH1991" s="589"/>
      <c r="AI1991" s="589"/>
      <c r="AJ1991" s="589"/>
      <c r="AK1991" s="589"/>
      <c r="AL1991" s="589"/>
      <c r="AM1991" s="589"/>
      <c r="AN1991" s="589"/>
      <c r="AO1991" s="589"/>
      <c r="AP1991" s="589"/>
      <c r="AQ1991" s="589"/>
      <c r="AR1991" s="589"/>
      <c r="AS1991" s="589"/>
    </row>
    <row r="1992" spans="1:45" ht="15">
      <c r="A1992" s="587" t="s">
        <v>141</v>
      </c>
      <c r="B1992" s="587" t="s">
        <v>302</v>
      </c>
      <c r="C1992" s="587" t="s">
        <v>811</v>
      </c>
      <c r="D1992" s="588">
        <v>2018</v>
      </c>
      <c r="E1992" s="587" t="s">
        <v>775</v>
      </c>
      <c r="F1992" s="588">
        <v>312</v>
      </c>
      <c r="G1992" s="588">
        <v>0</v>
      </c>
      <c r="H1992" s="588">
        <v>0</v>
      </c>
      <c r="I1992" s="588">
        <v>0</v>
      </c>
      <c r="J1992" s="588">
        <v>175</v>
      </c>
      <c r="K1992" s="588">
        <v>0</v>
      </c>
      <c r="L1992" s="588">
        <v>0</v>
      </c>
      <c r="M1992" s="588">
        <v>0</v>
      </c>
      <c r="N1992" s="588">
        <v>163</v>
      </c>
      <c r="O1992" s="588">
        <v>38</v>
      </c>
      <c r="P1992" s="588">
        <v>568</v>
      </c>
      <c r="Q1992" s="588">
        <v>16</v>
      </c>
      <c r="R1992" s="588">
        <v>1218</v>
      </c>
      <c r="S1992" s="588">
        <v>54</v>
      </c>
      <c r="T1992" s="588">
        <v>2018</v>
      </c>
      <c r="U1992" s="588">
        <v>2016</v>
      </c>
      <c r="V1992" s="589"/>
      <c r="W1992" s="589"/>
      <c r="X1992" s="589"/>
      <c r="Y1992" s="589"/>
      <c r="Z1992" s="589"/>
      <c r="AA1992" s="589"/>
      <c r="AB1992" s="589"/>
      <c r="AC1992" s="589"/>
      <c r="AD1992" s="589"/>
      <c r="AE1992" s="589"/>
      <c r="AF1992" s="589"/>
      <c r="AG1992" s="589"/>
      <c r="AH1992" s="589"/>
      <c r="AI1992" s="589"/>
      <c r="AJ1992" s="589"/>
      <c r="AK1992" s="589"/>
      <c r="AL1992" s="589"/>
      <c r="AM1992" s="589"/>
      <c r="AN1992" s="589"/>
      <c r="AO1992" s="589"/>
      <c r="AP1992" s="589"/>
      <c r="AQ1992" s="589"/>
      <c r="AR1992" s="589"/>
      <c r="AS1992" s="589"/>
    </row>
    <row r="1993" spans="1:45" ht="15">
      <c r="A1993" s="590" t="s">
        <v>169</v>
      </c>
      <c r="B1993" s="591" t="s">
        <v>512</v>
      </c>
      <c r="C1993" s="591" t="s">
        <v>813</v>
      </c>
      <c r="D1993" s="592">
        <v>2018</v>
      </c>
      <c r="E1993" s="591" t="s">
        <v>775</v>
      </c>
      <c r="F1993" s="592">
        <v>45</v>
      </c>
      <c r="G1993" s="592">
        <v>172</v>
      </c>
      <c r="H1993" s="592">
        <v>172</v>
      </c>
      <c r="I1993" s="592">
        <v>0</v>
      </c>
      <c r="J1993" s="592">
        <v>32</v>
      </c>
      <c r="K1993" s="592">
        <v>388</v>
      </c>
      <c r="L1993" s="592">
        <v>388</v>
      </c>
      <c r="M1993" s="592">
        <v>0</v>
      </c>
      <c r="N1993" s="593">
        <v>37</v>
      </c>
      <c r="O1993" s="593">
        <v>17</v>
      </c>
      <c r="P1993" s="593">
        <v>90</v>
      </c>
      <c r="Q1993" s="593">
        <v>796</v>
      </c>
      <c r="R1993" s="593">
        <v>204</v>
      </c>
      <c r="S1993" s="593">
        <v>1373</v>
      </c>
      <c r="T1993" s="593">
        <v>2018</v>
      </c>
      <c r="U1993" s="593">
        <v>2014</v>
      </c>
      <c r="V1993" s="589"/>
      <c r="W1993" s="589"/>
      <c r="X1993" s="589"/>
      <c r="Y1993" s="589"/>
      <c r="Z1993" s="589"/>
      <c r="AA1993" s="589"/>
      <c r="AB1993" s="589"/>
      <c r="AC1993" s="589"/>
      <c r="AD1993" s="589"/>
      <c r="AE1993" s="589"/>
      <c r="AF1993" s="589"/>
      <c r="AG1993" s="589"/>
      <c r="AH1993" s="589"/>
      <c r="AI1993" s="589"/>
      <c r="AJ1993" s="589"/>
      <c r="AK1993" s="589"/>
      <c r="AL1993" s="589"/>
      <c r="AM1993" s="589"/>
      <c r="AN1993" s="589"/>
      <c r="AO1993" s="589"/>
      <c r="AP1993" s="589"/>
      <c r="AQ1993" s="589"/>
      <c r="AR1993" s="589"/>
      <c r="AS1993" s="589"/>
    </row>
    <row r="1994" spans="1:45" ht="15">
      <c r="A1994" s="587" t="s">
        <v>185</v>
      </c>
      <c r="B1994" s="587" t="s">
        <v>185</v>
      </c>
      <c r="C1994" s="587" t="s">
        <v>872</v>
      </c>
      <c r="D1994" s="588">
        <v>2018</v>
      </c>
      <c r="E1994" s="587" t="s">
        <v>775</v>
      </c>
      <c r="F1994" s="588">
        <v>962</v>
      </c>
      <c r="G1994" s="588">
        <v>57</v>
      </c>
      <c r="H1994" s="588">
        <v>57</v>
      </c>
      <c r="I1994" s="588">
        <v>0</v>
      </c>
      <c r="J1994" s="588">
        <v>701</v>
      </c>
      <c r="K1994" s="588">
        <v>48</v>
      </c>
      <c r="L1994" s="588">
        <v>48</v>
      </c>
      <c r="M1994" s="588">
        <v>0</v>
      </c>
      <c r="N1994" s="588">
        <v>820</v>
      </c>
      <c r="O1994" s="588">
        <v>0</v>
      </c>
      <c r="P1994" s="588">
        <v>1617</v>
      </c>
      <c r="Q1994" s="588">
        <v>245</v>
      </c>
      <c r="R1994" s="588">
        <v>4100</v>
      </c>
      <c r="S1994" s="588">
        <v>350</v>
      </c>
      <c r="T1994" s="588">
        <v>2018</v>
      </c>
      <c r="U1994" s="588">
        <v>2015</v>
      </c>
      <c r="V1994" s="589"/>
      <c r="W1994" s="589"/>
      <c r="X1994" s="589"/>
      <c r="Y1994" s="589"/>
      <c r="Z1994" s="589"/>
      <c r="AA1994" s="589"/>
      <c r="AB1994" s="589"/>
      <c r="AC1994" s="589"/>
      <c r="AD1994" s="589"/>
      <c r="AE1994" s="589"/>
      <c r="AF1994" s="589"/>
      <c r="AG1994" s="589"/>
      <c r="AH1994" s="589"/>
      <c r="AI1994" s="589"/>
      <c r="AJ1994" s="589"/>
      <c r="AK1994" s="589"/>
      <c r="AL1994" s="589"/>
      <c r="AM1994" s="589"/>
      <c r="AN1994" s="589"/>
      <c r="AO1994" s="589"/>
      <c r="AP1994" s="589"/>
      <c r="AQ1994" s="589"/>
      <c r="AR1994" s="589"/>
      <c r="AS1994" s="589"/>
    </row>
    <row r="1995" spans="1:45" ht="15">
      <c r="A1995" s="590" t="s">
        <v>185</v>
      </c>
      <c r="B1995" s="591" t="s">
        <v>648</v>
      </c>
      <c r="C1995" s="591" t="s">
        <v>872</v>
      </c>
      <c r="D1995" s="592">
        <v>2018</v>
      </c>
      <c r="E1995" s="591" t="s">
        <v>775</v>
      </c>
      <c r="F1995" s="592">
        <v>159</v>
      </c>
      <c r="G1995" s="592">
        <v>1</v>
      </c>
      <c r="H1995" s="592">
        <v>0</v>
      </c>
      <c r="I1995" s="592">
        <v>1</v>
      </c>
      <c r="J1995" s="592">
        <v>106</v>
      </c>
      <c r="K1995" s="592">
        <v>14</v>
      </c>
      <c r="L1995" s="592">
        <v>0</v>
      </c>
      <c r="M1995" s="592">
        <v>14</v>
      </c>
      <c r="N1995" s="593">
        <v>112</v>
      </c>
      <c r="O1995" s="593">
        <v>82</v>
      </c>
      <c r="P1995" s="593">
        <v>284</v>
      </c>
      <c r="Q1995" s="593">
        <v>231</v>
      </c>
      <c r="R1995" s="593">
        <v>661</v>
      </c>
      <c r="S1995" s="593">
        <v>328</v>
      </c>
      <c r="T1995" s="593">
        <v>2018</v>
      </c>
      <c r="U1995" s="593">
        <v>2015</v>
      </c>
      <c r="V1995" s="589"/>
      <c r="W1995" s="589"/>
      <c r="X1995" s="589"/>
      <c r="Y1995" s="589"/>
      <c r="Z1995" s="589"/>
      <c r="AA1995" s="589"/>
      <c r="AB1995" s="589"/>
      <c r="AC1995" s="589"/>
      <c r="AD1995" s="589"/>
      <c r="AE1995" s="589"/>
      <c r="AF1995" s="589"/>
      <c r="AG1995" s="589"/>
      <c r="AH1995" s="589"/>
      <c r="AI1995" s="589"/>
      <c r="AJ1995" s="589"/>
      <c r="AK1995" s="589"/>
      <c r="AL1995" s="589"/>
      <c r="AM1995" s="589"/>
      <c r="AN1995" s="589"/>
      <c r="AO1995" s="589"/>
      <c r="AP1995" s="589"/>
      <c r="AQ1995" s="589"/>
      <c r="AR1995" s="589"/>
      <c r="AS1995" s="589"/>
    </row>
    <row r="1996" spans="1:45" ht="15">
      <c r="A1996" s="587" t="s">
        <v>187</v>
      </c>
      <c r="B1996" s="587" t="s">
        <v>187</v>
      </c>
      <c r="C1996" s="587" t="s">
        <v>782</v>
      </c>
      <c r="D1996" s="588">
        <v>2018</v>
      </c>
      <c r="E1996" s="587" t="s">
        <v>775</v>
      </c>
      <c r="F1996" s="588">
        <v>1050</v>
      </c>
      <c r="G1996" s="588">
        <v>0</v>
      </c>
      <c r="H1996" s="588">
        <v>0</v>
      </c>
      <c r="I1996" s="588">
        <v>0</v>
      </c>
      <c r="J1996" s="588">
        <v>695</v>
      </c>
      <c r="K1996" s="588">
        <v>0</v>
      </c>
      <c r="L1996" s="588">
        <v>0</v>
      </c>
      <c r="M1996" s="588">
        <v>0</v>
      </c>
      <c r="N1996" s="588">
        <v>755</v>
      </c>
      <c r="O1996" s="588">
        <v>5</v>
      </c>
      <c r="P1996" s="588">
        <v>1593</v>
      </c>
      <c r="Q1996" s="588">
        <v>1162</v>
      </c>
      <c r="R1996" s="588">
        <v>4093</v>
      </c>
      <c r="S1996" s="588">
        <v>1167</v>
      </c>
      <c r="T1996" s="588">
        <v>2018</v>
      </c>
      <c r="U1996" s="588">
        <v>2015</v>
      </c>
      <c r="V1996" s="589"/>
      <c r="W1996" s="589"/>
      <c r="X1996" s="589"/>
      <c r="Y1996" s="589"/>
      <c r="Z1996" s="589"/>
      <c r="AA1996" s="589"/>
      <c r="AB1996" s="589"/>
      <c r="AC1996" s="589"/>
      <c r="AD1996" s="589"/>
      <c r="AE1996" s="589"/>
      <c r="AF1996" s="589"/>
      <c r="AG1996" s="589"/>
      <c r="AH1996" s="589"/>
      <c r="AI1996" s="589"/>
      <c r="AJ1996" s="589"/>
      <c r="AK1996" s="589"/>
      <c r="AL1996" s="589"/>
      <c r="AM1996" s="589"/>
      <c r="AN1996" s="589"/>
      <c r="AO1996" s="589"/>
      <c r="AP1996" s="589"/>
      <c r="AQ1996" s="589"/>
      <c r="AR1996" s="589"/>
      <c r="AS1996" s="589"/>
    </row>
    <row r="1997" spans="1:45" ht="15">
      <c r="A1997" s="590" t="s">
        <v>187</v>
      </c>
      <c r="B1997" s="591" t="s">
        <v>663</v>
      </c>
      <c r="C1997" s="591" t="s">
        <v>782</v>
      </c>
      <c r="D1997" s="592">
        <v>2018</v>
      </c>
      <c r="E1997" s="591" t="s">
        <v>775</v>
      </c>
      <c r="F1997" s="592">
        <v>22</v>
      </c>
      <c r="G1997" s="592">
        <v>22</v>
      </c>
      <c r="H1997" s="592">
        <v>0</v>
      </c>
      <c r="I1997" s="592">
        <v>22</v>
      </c>
      <c r="J1997" s="592">
        <v>13</v>
      </c>
      <c r="K1997" s="592">
        <v>0</v>
      </c>
      <c r="L1997" s="592">
        <v>0</v>
      </c>
      <c r="M1997" s="592">
        <v>0</v>
      </c>
      <c r="N1997" s="593">
        <v>214</v>
      </c>
      <c r="O1997" s="593">
        <v>65</v>
      </c>
      <c r="P1997" s="593">
        <v>28</v>
      </c>
      <c r="Q1997" s="593">
        <v>0</v>
      </c>
      <c r="R1997" s="593">
        <v>277</v>
      </c>
      <c r="S1997" s="593">
        <v>87</v>
      </c>
      <c r="T1997" s="593">
        <v>2018</v>
      </c>
      <c r="U1997" s="593">
        <v>2015</v>
      </c>
      <c r="V1997" s="589"/>
      <c r="W1997" s="589"/>
      <c r="X1997" s="589"/>
      <c r="Y1997" s="589"/>
      <c r="Z1997" s="589"/>
      <c r="AA1997" s="589"/>
      <c r="AB1997" s="589"/>
      <c r="AC1997" s="589"/>
      <c r="AD1997" s="589"/>
      <c r="AE1997" s="589"/>
      <c r="AF1997" s="589"/>
      <c r="AG1997" s="589"/>
      <c r="AH1997" s="589"/>
      <c r="AI1997" s="589"/>
      <c r="AJ1997" s="589"/>
      <c r="AK1997" s="589"/>
      <c r="AL1997" s="589"/>
      <c r="AM1997" s="589"/>
      <c r="AN1997" s="589"/>
      <c r="AO1997" s="589"/>
      <c r="AP1997" s="589"/>
      <c r="AQ1997" s="589"/>
      <c r="AR1997" s="589"/>
      <c r="AS1997" s="589"/>
    </row>
    <row r="1998" spans="1:45" ht="15">
      <c r="A1998" s="587" t="s">
        <v>153</v>
      </c>
      <c r="B1998" s="587" t="s">
        <v>418</v>
      </c>
      <c r="C1998" s="587" t="s">
        <v>813</v>
      </c>
      <c r="D1998" s="588">
        <v>2018</v>
      </c>
      <c r="E1998" s="587" t="s">
        <v>775</v>
      </c>
      <c r="F1998" s="588">
        <v>2645</v>
      </c>
      <c r="G1998" s="588">
        <v>0</v>
      </c>
      <c r="H1998" s="588">
        <v>0</v>
      </c>
      <c r="I1998" s="588">
        <v>0</v>
      </c>
      <c r="J1998" s="588">
        <v>1678</v>
      </c>
      <c r="K1998" s="588">
        <v>0</v>
      </c>
      <c r="L1998" s="588">
        <v>0</v>
      </c>
      <c r="M1998" s="588">
        <v>0</v>
      </c>
      <c r="N1998" s="588">
        <v>1532</v>
      </c>
      <c r="O1998" s="588">
        <v>3</v>
      </c>
      <c r="P1998" s="588">
        <v>5126</v>
      </c>
      <c r="Q1998" s="588">
        <v>415</v>
      </c>
      <c r="R1998" s="588">
        <v>10981</v>
      </c>
      <c r="S1998" s="588">
        <v>418</v>
      </c>
      <c r="T1998" s="588">
        <v>2018</v>
      </c>
      <c r="U1998" s="588">
        <v>2014</v>
      </c>
      <c r="V1998" s="589"/>
      <c r="W1998" s="589"/>
      <c r="X1998" s="589"/>
      <c r="Y1998" s="589"/>
      <c r="Z1998" s="589"/>
      <c r="AA1998" s="589"/>
      <c r="AB1998" s="589"/>
      <c r="AC1998" s="589"/>
      <c r="AD1998" s="589"/>
      <c r="AE1998" s="589"/>
      <c r="AF1998" s="589"/>
      <c r="AG1998" s="589"/>
      <c r="AH1998" s="589"/>
      <c r="AI1998" s="589"/>
      <c r="AJ1998" s="589"/>
      <c r="AK1998" s="589"/>
      <c r="AL1998" s="589"/>
      <c r="AM1998" s="589"/>
      <c r="AN1998" s="589"/>
      <c r="AO1998" s="589"/>
      <c r="AP1998" s="589"/>
      <c r="AQ1998" s="589"/>
      <c r="AR1998" s="589"/>
      <c r="AS1998" s="589"/>
    </row>
    <row r="1999" spans="1:45" ht="15">
      <c r="A1999" s="590" t="s">
        <v>188</v>
      </c>
      <c r="B1999" s="591" t="s">
        <v>188</v>
      </c>
      <c r="C1999" s="591" t="s">
        <v>811</v>
      </c>
      <c r="D1999" s="592">
        <v>2018</v>
      </c>
      <c r="E1999" s="591" t="s">
        <v>775</v>
      </c>
      <c r="F1999" s="592">
        <v>180</v>
      </c>
      <c r="G1999" s="592">
        <v>6</v>
      </c>
      <c r="H1999" s="592">
        <v>6</v>
      </c>
      <c r="I1999" s="592">
        <v>0</v>
      </c>
      <c r="J1999" s="592">
        <v>118</v>
      </c>
      <c r="K1999" s="592">
        <v>53</v>
      </c>
      <c r="L1999" s="592">
        <v>47</v>
      </c>
      <c r="M1999" s="592">
        <v>6</v>
      </c>
      <c r="N1999" s="593">
        <v>136</v>
      </c>
      <c r="O1999" s="593">
        <v>1</v>
      </c>
      <c r="P1999" s="593">
        <v>313</v>
      </c>
      <c r="Q1999" s="593">
        <v>90</v>
      </c>
      <c r="R1999" s="593">
        <v>747</v>
      </c>
      <c r="S1999" s="593">
        <v>150</v>
      </c>
      <c r="T1999" s="593">
        <v>2018</v>
      </c>
      <c r="U1999" s="593">
        <v>2016</v>
      </c>
      <c r="V1999" s="589"/>
      <c r="W1999" s="589"/>
      <c r="X1999" s="589"/>
      <c r="Y1999" s="589"/>
      <c r="Z1999" s="589"/>
      <c r="AA1999" s="589"/>
      <c r="AB1999" s="589"/>
      <c r="AC1999" s="589"/>
      <c r="AD1999" s="589"/>
      <c r="AE1999" s="589"/>
      <c r="AF1999" s="589"/>
      <c r="AG1999" s="589"/>
      <c r="AH1999" s="589"/>
      <c r="AI1999" s="589"/>
      <c r="AJ1999" s="589"/>
      <c r="AK1999" s="589"/>
      <c r="AL1999" s="589"/>
      <c r="AM1999" s="589"/>
      <c r="AN1999" s="589"/>
      <c r="AO1999" s="589"/>
      <c r="AP1999" s="589"/>
      <c r="AQ1999" s="589"/>
      <c r="AR1999" s="589"/>
      <c r="AS1999" s="589"/>
    </row>
    <row r="2000" spans="1:45" ht="15">
      <c r="A2000" s="587" t="s">
        <v>188</v>
      </c>
      <c r="B2000" s="587" t="s">
        <v>667</v>
      </c>
      <c r="C2000" s="587" t="s">
        <v>811</v>
      </c>
      <c r="D2000" s="588">
        <v>2018</v>
      </c>
      <c r="E2000" s="587" t="s">
        <v>775</v>
      </c>
      <c r="F2000" s="588">
        <v>317</v>
      </c>
      <c r="G2000" s="588">
        <v>0</v>
      </c>
      <c r="H2000" s="588">
        <v>0</v>
      </c>
      <c r="I2000" s="588">
        <v>0</v>
      </c>
      <c r="J2000" s="588">
        <v>207</v>
      </c>
      <c r="K2000" s="588">
        <v>15</v>
      </c>
      <c r="L2000" s="588">
        <v>0</v>
      </c>
      <c r="M2000" s="588">
        <v>15</v>
      </c>
      <c r="N2000" s="588">
        <v>239</v>
      </c>
      <c r="O2000" s="588">
        <v>26</v>
      </c>
      <c r="P2000" s="588">
        <v>551</v>
      </c>
      <c r="Q2000" s="588">
        <v>44</v>
      </c>
      <c r="R2000" s="588">
        <v>1314</v>
      </c>
      <c r="S2000" s="588">
        <v>85</v>
      </c>
      <c r="T2000" s="588">
        <v>2018</v>
      </c>
      <c r="U2000" s="588">
        <v>2016</v>
      </c>
      <c r="V2000" s="589"/>
      <c r="W2000" s="589"/>
      <c r="X2000" s="589"/>
      <c r="Y2000" s="589"/>
      <c r="Z2000" s="589"/>
      <c r="AA2000" s="589"/>
      <c r="AB2000" s="589"/>
      <c r="AC2000" s="589"/>
      <c r="AD2000" s="589"/>
      <c r="AE2000" s="589"/>
      <c r="AF2000" s="589"/>
      <c r="AG2000" s="589"/>
      <c r="AH2000" s="589"/>
      <c r="AI2000" s="589"/>
      <c r="AJ2000" s="589"/>
      <c r="AK2000" s="589"/>
      <c r="AL2000" s="589"/>
      <c r="AM2000" s="589"/>
      <c r="AN2000" s="589"/>
      <c r="AO2000" s="589"/>
      <c r="AP2000" s="589"/>
      <c r="AQ2000" s="589"/>
      <c r="AR2000" s="589"/>
      <c r="AS2000" s="589"/>
    </row>
    <row r="2001" spans="1:45" ht="15">
      <c r="A2001" s="590" t="s">
        <v>153</v>
      </c>
      <c r="B2001" s="591" t="s">
        <v>419</v>
      </c>
      <c r="C2001" s="591" t="s">
        <v>813</v>
      </c>
      <c r="D2001" s="592">
        <v>2018</v>
      </c>
      <c r="E2001" s="591" t="s">
        <v>775</v>
      </c>
      <c r="F2001" s="592">
        <v>82</v>
      </c>
      <c r="G2001" s="592">
        <v>0</v>
      </c>
      <c r="H2001" s="592">
        <v>0</v>
      </c>
      <c r="I2001" s="592">
        <v>0</v>
      </c>
      <c r="J2001" s="592">
        <v>50</v>
      </c>
      <c r="K2001" s="592">
        <v>2</v>
      </c>
      <c r="L2001" s="592">
        <v>0</v>
      </c>
      <c r="M2001" s="592">
        <v>2</v>
      </c>
      <c r="N2001" s="593">
        <v>53</v>
      </c>
      <c r="O2001" s="593">
        <v>0</v>
      </c>
      <c r="P2001" s="593">
        <v>139</v>
      </c>
      <c r="Q2001" s="593">
        <v>0</v>
      </c>
      <c r="R2001" s="593">
        <v>324</v>
      </c>
      <c r="S2001" s="593">
        <v>2</v>
      </c>
      <c r="T2001" s="593">
        <v>2018</v>
      </c>
      <c r="U2001" s="593">
        <v>2014</v>
      </c>
      <c r="V2001" s="589"/>
      <c r="W2001" s="589"/>
      <c r="X2001" s="589"/>
      <c r="Y2001" s="589"/>
      <c r="Z2001" s="589"/>
      <c r="AA2001" s="589"/>
      <c r="AB2001" s="589"/>
      <c r="AC2001" s="589"/>
      <c r="AD2001" s="589"/>
      <c r="AE2001" s="589"/>
      <c r="AF2001" s="589"/>
      <c r="AG2001" s="589"/>
      <c r="AH2001" s="589"/>
      <c r="AI2001" s="589"/>
      <c r="AJ2001" s="589"/>
      <c r="AK2001" s="589"/>
      <c r="AL2001" s="589"/>
      <c r="AM2001" s="589"/>
      <c r="AN2001" s="589"/>
      <c r="AO2001" s="589"/>
      <c r="AP2001" s="589"/>
      <c r="AQ2001" s="589"/>
      <c r="AR2001" s="589"/>
      <c r="AS2001" s="589"/>
    </row>
    <row r="2002" spans="1:45" ht="15">
      <c r="A2002" s="587" t="s">
        <v>185</v>
      </c>
      <c r="B2002" s="587" t="s">
        <v>649</v>
      </c>
      <c r="C2002" s="587" t="s">
        <v>872</v>
      </c>
      <c r="D2002" s="588">
        <v>2018</v>
      </c>
      <c r="E2002" s="587" t="s">
        <v>775</v>
      </c>
      <c r="F2002" s="588">
        <v>985</v>
      </c>
      <c r="G2002" s="588">
        <v>0</v>
      </c>
      <c r="H2002" s="588">
        <v>0</v>
      </c>
      <c r="I2002" s="588">
        <v>0</v>
      </c>
      <c r="J2002" s="588">
        <v>656</v>
      </c>
      <c r="K2002" s="588">
        <v>108</v>
      </c>
      <c r="L2002" s="588">
        <v>78</v>
      </c>
      <c r="M2002" s="588">
        <v>30</v>
      </c>
      <c r="N2002" s="588">
        <v>730</v>
      </c>
      <c r="O2002" s="588">
        <v>0</v>
      </c>
      <c r="P2002" s="588">
        <v>1731</v>
      </c>
      <c r="Q2002" s="588">
        <v>52</v>
      </c>
      <c r="R2002" s="588">
        <v>4102</v>
      </c>
      <c r="S2002" s="588">
        <v>160</v>
      </c>
      <c r="T2002" s="588">
        <v>2018</v>
      </c>
      <c r="U2002" s="588">
        <v>2015</v>
      </c>
      <c r="V2002" s="589"/>
      <c r="W2002" s="589"/>
      <c r="X2002" s="589"/>
      <c r="Y2002" s="589"/>
      <c r="Z2002" s="589"/>
      <c r="AA2002" s="589"/>
      <c r="AB2002" s="589"/>
      <c r="AC2002" s="589"/>
      <c r="AD2002" s="589"/>
      <c r="AE2002" s="589"/>
      <c r="AF2002" s="589"/>
      <c r="AG2002" s="589"/>
      <c r="AH2002" s="589"/>
      <c r="AI2002" s="589"/>
      <c r="AJ2002" s="589"/>
      <c r="AK2002" s="589"/>
      <c r="AL2002" s="589"/>
      <c r="AM2002" s="589"/>
      <c r="AN2002" s="589"/>
      <c r="AO2002" s="589"/>
      <c r="AP2002" s="589"/>
      <c r="AQ2002" s="589"/>
      <c r="AR2002" s="589"/>
      <c r="AS2002" s="589"/>
    </row>
    <row r="2003" spans="1:45" ht="15">
      <c r="A2003" s="590" t="s">
        <v>153</v>
      </c>
      <c r="B2003" s="591" t="s">
        <v>420</v>
      </c>
      <c r="C2003" s="591" t="s">
        <v>813</v>
      </c>
      <c r="D2003" s="592">
        <v>2018</v>
      </c>
      <c r="E2003" s="591" t="s">
        <v>775</v>
      </c>
      <c r="F2003" s="592">
        <v>428</v>
      </c>
      <c r="G2003" s="592">
        <v>53</v>
      </c>
      <c r="H2003" s="592">
        <v>53</v>
      </c>
      <c r="I2003" s="592">
        <v>0</v>
      </c>
      <c r="J2003" s="592">
        <v>263</v>
      </c>
      <c r="K2003" s="592">
        <v>9</v>
      </c>
      <c r="L2003" s="592">
        <v>9</v>
      </c>
      <c r="M2003" s="592">
        <v>0</v>
      </c>
      <c r="N2003" s="593">
        <v>283</v>
      </c>
      <c r="O2003" s="593">
        <v>25</v>
      </c>
      <c r="P2003" s="593">
        <v>700</v>
      </c>
      <c r="Q2003" s="593">
        <v>312</v>
      </c>
      <c r="R2003" s="593">
        <v>1674</v>
      </c>
      <c r="S2003" s="593">
        <v>399</v>
      </c>
      <c r="T2003" s="593">
        <v>2018</v>
      </c>
      <c r="U2003" s="593">
        <v>2014</v>
      </c>
      <c r="V2003" s="589"/>
      <c r="W2003" s="589"/>
      <c r="X2003" s="589"/>
      <c r="Y2003" s="589"/>
      <c r="Z2003" s="589"/>
      <c r="AA2003" s="589"/>
      <c r="AB2003" s="589"/>
      <c r="AC2003" s="589"/>
      <c r="AD2003" s="589"/>
      <c r="AE2003" s="589"/>
      <c r="AF2003" s="589"/>
      <c r="AG2003" s="589"/>
      <c r="AH2003" s="589"/>
      <c r="AI2003" s="589"/>
      <c r="AJ2003" s="589"/>
      <c r="AK2003" s="589"/>
      <c r="AL2003" s="589"/>
      <c r="AM2003" s="589"/>
      <c r="AN2003" s="589"/>
      <c r="AO2003" s="589"/>
      <c r="AP2003" s="589"/>
      <c r="AQ2003" s="589"/>
      <c r="AR2003" s="589"/>
      <c r="AS2003" s="589"/>
    </row>
    <row r="2004" spans="1:45" ht="15">
      <c r="A2004" s="587" t="s">
        <v>201</v>
      </c>
      <c r="B2004" s="587" t="s">
        <v>737</v>
      </c>
      <c r="C2004" s="587" t="s">
        <v>813</v>
      </c>
      <c r="D2004" s="588">
        <v>2018</v>
      </c>
      <c r="E2004" s="587" t="s">
        <v>775</v>
      </c>
      <c r="F2004" s="588">
        <v>288</v>
      </c>
      <c r="G2004" s="588">
        <v>0</v>
      </c>
      <c r="H2004" s="588">
        <v>0</v>
      </c>
      <c r="I2004" s="588">
        <v>0</v>
      </c>
      <c r="J2004" s="588">
        <v>201</v>
      </c>
      <c r="K2004" s="588">
        <v>0</v>
      </c>
      <c r="L2004" s="588">
        <v>0</v>
      </c>
      <c r="M2004" s="588">
        <v>0</v>
      </c>
      <c r="N2004" s="588">
        <v>241</v>
      </c>
      <c r="O2004" s="588">
        <v>0</v>
      </c>
      <c r="P2004" s="588">
        <v>555</v>
      </c>
      <c r="Q2004" s="588">
        <v>0</v>
      </c>
      <c r="R2004" s="588">
        <v>1285</v>
      </c>
      <c r="S2004" s="588">
        <v>0</v>
      </c>
      <c r="T2004" s="588">
        <v>2018</v>
      </c>
      <c r="U2004" s="588">
        <v>2014</v>
      </c>
      <c r="V2004" s="589"/>
      <c r="W2004" s="589"/>
      <c r="X2004" s="589"/>
      <c r="Y2004" s="589"/>
      <c r="Z2004" s="589"/>
      <c r="AA2004" s="589"/>
      <c r="AB2004" s="589"/>
      <c r="AC2004" s="589"/>
      <c r="AD2004" s="589"/>
      <c r="AE2004" s="589"/>
      <c r="AF2004" s="589"/>
      <c r="AG2004" s="589"/>
      <c r="AH2004" s="589"/>
      <c r="AI2004" s="589"/>
      <c r="AJ2004" s="589"/>
      <c r="AK2004" s="589"/>
      <c r="AL2004" s="589"/>
      <c r="AM2004" s="589"/>
      <c r="AN2004" s="589"/>
      <c r="AO2004" s="589"/>
      <c r="AP2004" s="589"/>
      <c r="AQ2004" s="589"/>
      <c r="AR2004" s="589"/>
      <c r="AS2004" s="589"/>
    </row>
    <row r="2005" spans="1:45" ht="15">
      <c r="A2005" s="590" t="s">
        <v>193</v>
      </c>
      <c r="B2005" s="591" t="s">
        <v>699</v>
      </c>
      <c r="C2005" s="591" t="s">
        <v>782</v>
      </c>
      <c r="D2005" s="592">
        <v>2018</v>
      </c>
      <c r="E2005" s="591" t="s">
        <v>775</v>
      </c>
      <c r="F2005" s="592">
        <v>1041</v>
      </c>
      <c r="G2005" s="592">
        <v>42</v>
      </c>
      <c r="H2005" s="592">
        <v>42</v>
      </c>
      <c r="I2005" s="592">
        <v>0</v>
      </c>
      <c r="J2005" s="592">
        <v>671</v>
      </c>
      <c r="K2005" s="592">
        <v>13</v>
      </c>
      <c r="L2005" s="592">
        <v>7</v>
      </c>
      <c r="M2005" s="592">
        <v>6</v>
      </c>
      <c r="N2005" s="593">
        <v>759</v>
      </c>
      <c r="O2005" s="593">
        <v>78</v>
      </c>
      <c r="P2005" s="593">
        <v>2612</v>
      </c>
      <c r="Q2005" s="593">
        <v>325</v>
      </c>
      <c r="R2005" s="593">
        <v>5083</v>
      </c>
      <c r="S2005" s="593">
        <v>458</v>
      </c>
      <c r="T2005" s="593">
        <v>2018</v>
      </c>
      <c r="U2005" s="593">
        <v>2015</v>
      </c>
      <c r="V2005" s="589"/>
      <c r="W2005" s="589"/>
      <c r="X2005" s="589"/>
      <c r="Y2005" s="589"/>
      <c r="Z2005" s="589"/>
      <c r="AA2005" s="589"/>
      <c r="AB2005" s="589"/>
      <c r="AC2005" s="589"/>
      <c r="AD2005" s="589"/>
      <c r="AE2005" s="589"/>
      <c r="AF2005" s="589"/>
      <c r="AG2005" s="589"/>
      <c r="AH2005" s="589"/>
      <c r="AI2005" s="589"/>
      <c r="AJ2005" s="589"/>
      <c r="AK2005" s="589"/>
      <c r="AL2005" s="589"/>
      <c r="AM2005" s="589"/>
      <c r="AN2005" s="589"/>
      <c r="AO2005" s="589"/>
      <c r="AP2005" s="589"/>
      <c r="AQ2005" s="589"/>
      <c r="AR2005" s="589"/>
      <c r="AS2005" s="589"/>
    </row>
    <row r="2006" spans="1:45" ht="15">
      <c r="A2006" s="587" t="s">
        <v>179</v>
      </c>
      <c r="B2006" s="587" t="s">
        <v>605</v>
      </c>
      <c r="C2006" s="587" t="s">
        <v>856</v>
      </c>
      <c r="D2006" s="588">
        <v>2018</v>
      </c>
      <c r="E2006" s="587" t="s">
        <v>775</v>
      </c>
      <c r="F2006" s="588">
        <v>914</v>
      </c>
      <c r="G2006" s="588">
        <v>0</v>
      </c>
      <c r="H2006" s="588">
        <v>0</v>
      </c>
      <c r="I2006" s="588">
        <v>0</v>
      </c>
      <c r="J2006" s="588">
        <v>694</v>
      </c>
      <c r="K2006" s="588">
        <v>0</v>
      </c>
      <c r="L2006" s="588">
        <v>0</v>
      </c>
      <c r="M2006" s="588">
        <v>0</v>
      </c>
      <c r="N2006" s="588">
        <v>642</v>
      </c>
      <c r="O2006" s="588">
        <v>0</v>
      </c>
      <c r="P2006" s="588">
        <v>1410</v>
      </c>
      <c r="Q2006" s="588">
        <v>157</v>
      </c>
      <c r="R2006" s="588">
        <v>3660</v>
      </c>
      <c r="S2006" s="588">
        <v>157</v>
      </c>
      <c r="T2006" s="588">
        <v>2018</v>
      </c>
      <c r="U2006" s="588">
        <v>2013</v>
      </c>
      <c r="V2006" s="589"/>
      <c r="W2006" s="589"/>
      <c r="X2006" s="589"/>
      <c r="Y2006" s="589"/>
      <c r="Z2006" s="589"/>
      <c r="AA2006" s="589"/>
      <c r="AB2006" s="589"/>
      <c r="AC2006" s="589"/>
      <c r="AD2006" s="589"/>
      <c r="AE2006" s="589"/>
      <c r="AF2006" s="589"/>
      <c r="AG2006" s="589"/>
      <c r="AH2006" s="589"/>
      <c r="AI2006" s="589"/>
      <c r="AJ2006" s="589"/>
      <c r="AK2006" s="589"/>
      <c r="AL2006" s="589"/>
      <c r="AM2006" s="589"/>
      <c r="AN2006" s="589"/>
      <c r="AO2006" s="589"/>
      <c r="AP2006" s="589"/>
      <c r="AQ2006" s="589"/>
      <c r="AR2006" s="589"/>
      <c r="AS2006" s="589"/>
    </row>
    <row r="2007" spans="1:45" ht="15">
      <c r="A2007" s="590" t="s">
        <v>187</v>
      </c>
      <c r="B2007" s="591" t="s">
        <v>664</v>
      </c>
      <c r="C2007" s="591" t="s">
        <v>782</v>
      </c>
      <c r="D2007" s="592">
        <v>2018</v>
      </c>
      <c r="E2007" s="591" t="s">
        <v>775</v>
      </c>
      <c r="F2007" s="592">
        <v>147</v>
      </c>
      <c r="G2007" s="592">
        <v>0</v>
      </c>
      <c r="H2007" s="592">
        <v>0</v>
      </c>
      <c r="I2007" s="592">
        <v>0</v>
      </c>
      <c r="J2007" s="592">
        <v>95</v>
      </c>
      <c r="K2007" s="592">
        <v>0</v>
      </c>
      <c r="L2007" s="592">
        <v>0</v>
      </c>
      <c r="M2007" s="592">
        <v>0</v>
      </c>
      <c r="N2007" s="593">
        <v>104</v>
      </c>
      <c r="O2007" s="593">
        <v>0</v>
      </c>
      <c r="P2007" s="593">
        <v>93</v>
      </c>
      <c r="Q2007" s="593">
        <v>0</v>
      </c>
      <c r="R2007" s="593">
        <v>439</v>
      </c>
      <c r="S2007" s="593">
        <v>0</v>
      </c>
      <c r="T2007" s="593">
        <v>2018</v>
      </c>
      <c r="U2007" s="593">
        <v>2015</v>
      </c>
      <c r="V2007" s="589"/>
      <c r="W2007" s="589"/>
      <c r="X2007" s="589"/>
      <c r="Y2007" s="589"/>
      <c r="Z2007" s="589"/>
      <c r="AA2007" s="589"/>
      <c r="AB2007" s="589"/>
      <c r="AC2007" s="589"/>
      <c r="AD2007" s="589"/>
      <c r="AE2007" s="589"/>
      <c r="AF2007" s="589"/>
      <c r="AG2007" s="589"/>
      <c r="AH2007" s="589"/>
      <c r="AI2007" s="589"/>
      <c r="AJ2007" s="589"/>
      <c r="AK2007" s="589"/>
      <c r="AL2007" s="589"/>
      <c r="AM2007" s="589"/>
      <c r="AN2007" s="589"/>
      <c r="AO2007" s="589"/>
      <c r="AP2007" s="589"/>
      <c r="AQ2007" s="589"/>
      <c r="AR2007" s="589"/>
      <c r="AS2007" s="589"/>
    </row>
    <row r="2008" spans="1:45" ht="15">
      <c r="A2008" s="587" t="s">
        <v>157</v>
      </c>
      <c r="B2008" s="587" t="s">
        <v>446</v>
      </c>
      <c r="C2008" s="587" t="s">
        <v>782</v>
      </c>
      <c r="D2008" s="588">
        <v>2018</v>
      </c>
      <c r="E2008" s="587" t="s">
        <v>775</v>
      </c>
      <c r="F2008" s="588">
        <v>26</v>
      </c>
      <c r="G2008" s="588">
        <v>0</v>
      </c>
      <c r="H2008" s="588">
        <v>0</v>
      </c>
      <c r="I2008" s="588">
        <v>0</v>
      </c>
      <c r="J2008" s="588">
        <v>14</v>
      </c>
      <c r="K2008" s="588">
        <v>0</v>
      </c>
      <c r="L2008" s="588">
        <v>0</v>
      </c>
      <c r="M2008" s="588">
        <v>0</v>
      </c>
      <c r="N2008" s="588">
        <v>16</v>
      </c>
      <c r="O2008" s="588">
        <v>1</v>
      </c>
      <c r="P2008" s="588">
        <v>23</v>
      </c>
      <c r="Q2008" s="588">
        <v>2</v>
      </c>
      <c r="R2008" s="588">
        <v>79</v>
      </c>
      <c r="S2008" s="588">
        <v>3</v>
      </c>
      <c r="T2008" s="588">
        <v>2018</v>
      </c>
      <c r="U2008" s="588">
        <v>2015</v>
      </c>
      <c r="V2008" s="589"/>
      <c r="W2008" s="589"/>
      <c r="X2008" s="589"/>
      <c r="Y2008" s="589"/>
      <c r="Z2008" s="589"/>
      <c r="AA2008" s="589"/>
      <c r="AB2008" s="589"/>
      <c r="AC2008" s="589"/>
      <c r="AD2008" s="589"/>
      <c r="AE2008" s="589"/>
      <c r="AF2008" s="589"/>
      <c r="AG2008" s="589"/>
      <c r="AH2008" s="589"/>
      <c r="AI2008" s="589"/>
      <c r="AJ2008" s="589"/>
      <c r="AK2008" s="589"/>
      <c r="AL2008" s="589"/>
      <c r="AM2008" s="589"/>
      <c r="AN2008" s="589"/>
      <c r="AO2008" s="589"/>
      <c r="AP2008" s="589"/>
      <c r="AQ2008" s="589"/>
      <c r="AR2008" s="589"/>
      <c r="AS2008" s="589"/>
    </row>
    <row r="2009" spans="1:45" ht="15">
      <c r="A2009" s="590" t="s">
        <v>188</v>
      </c>
      <c r="B2009" s="591" t="s">
        <v>668</v>
      </c>
      <c r="C2009" s="591" t="s">
        <v>811</v>
      </c>
      <c r="D2009" s="592">
        <v>2018</v>
      </c>
      <c r="E2009" s="591" t="s">
        <v>775</v>
      </c>
      <c r="F2009" s="592">
        <v>34</v>
      </c>
      <c r="G2009" s="592">
        <v>0</v>
      </c>
      <c r="H2009" s="592">
        <v>0</v>
      </c>
      <c r="I2009" s="592">
        <v>0</v>
      </c>
      <c r="J2009" s="592">
        <v>22</v>
      </c>
      <c r="K2009" s="592">
        <v>0</v>
      </c>
      <c r="L2009" s="592">
        <v>0</v>
      </c>
      <c r="M2009" s="592">
        <v>0</v>
      </c>
      <c r="N2009" s="593">
        <v>26</v>
      </c>
      <c r="O2009" s="593">
        <v>3</v>
      </c>
      <c r="P2009" s="593">
        <v>58</v>
      </c>
      <c r="Q2009" s="593">
        <v>63</v>
      </c>
      <c r="R2009" s="593">
        <v>140</v>
      </c>
      <c r="S2009" s="593">
        <v>66</v>
      </c>
      <c r="T2009" s="593">
        <v>2018</v>
      </c>
      <c r="U2009" s="593">
        <v>2016</v>
      </c>
      <c r="V2009" s="589"/>
      <c r="W2009" s="589"/>
      <c r="X2009" s="589"/>
      <c r="Y2009" s="589"/>
      <c r="Z2009" s="589"/>
      <c r="AA2009" s="589"/>
      <c r="AB2009" s="589"/>
      <c r="AC2009" s="589"/>
      <c r="AD2009" s="589"/>
      <c r="AE2009" s="589"/>
      <c r="AF2009" s="589"/>
      <c r="AG2009" s="589"/>
      <c r="AH2009" s="589"/>
      <c r="AI2009" s="589"/>
      <c r="AJ2009" s="589"/>
      <c r="AK2009" s="589"/>
      <c r="AL2009" s="589"/>
      <c r="AM2009" s="589"/>
      <c r="AN2009" s="589"/>
      <c r="AO2009" s="589"/>
      <c r="AP2009" s="589"/>
      <c r="AQ2009" s="589"/>
      <c r="AR2009" s="589"/>
      <c r="AS2009" s="589"/>
    </row>
    <row r="2010" spans="1:45" ht="15">
      <c r="A2010" s="587" t="s">
        <v>169</v>
      </c>
      <c r="B2010" s="587" t="s">
        <v>513</v>
      </c>
      <c r="C2010" s="587" t="s">
        <v>813</v>
      </c>
      <c r="D2010" s="588">
        <v>2018</v>
      </c>
      <c r="E2010" s="587" t="s">
        <v>775</v>
      </c>
      <c r="F2010" s="588">
        <v>1</v>
      </c>
      <c r="G2010" s="588">
        <v>0</v>
      </c>
      <c r="H2010" s="588">
        <v>0</v>
      </c>
      <c r="I2010" s="588">
        <v>0</v>
      </c>
      <c r="J2010" s="588">
        <v>1</v>
      </c>
      <c r="K2010" s="588">
        <v>0</v>
      </c>
      <c r="L2010" s="588">
        <v>0</v>
      </c>
      <c r="M2010" s="588">
        <v>0</v>
      </c>
      <c r="N2010" s="588">
        <v>0</v>
      </c>
      <c r="O2010" s="588">
        <v>0</v>
      </c>
      <c r="P2010" s="588">
        <v>0</v>
      </c>
      <c r="Q2010" s="588">
        <v>0</v>
      </c>
      <c r="R2010" s="588">
        <v>2</v>
      </c>
      <c r="S2010" s="588">
        <v>0</v>
      </c>
      <c r="T2010" s="588">
        <v>2018</v>
      </c>
      <c r="U2010" s="588">
        <v>2014</v>
      </c>
      <c r="V2010" s="589"/>
      <c r="W2010" s="589"/>
      <c r="X2010" s="589"/>
      <c r="Y2010" s="589"/>
      <c r="Z2010" s="589"/>
      <c r="AA2010" s="589"/>
      <c r="AB2010" s="589"/>
      <c r="AC2010" s="589"/>
      <c r="AD2010" s="589"/>
      <c r="AE2010" s="589"/>
      <c r="AF2010" s="589"/>
      <c r="AG2010" s="589"/>
      <c r="AH2010" s="589"/>
      <c r="AI2010" s="589"/>
      <c r="AJ2010" s="589"/>
      <c r="AK2010" s="589"/>
      <c r="AL2010" s="589"/>
      <c r="AM2010" s="589"/>
      <c r="AN2010" s="589"/>
      <c r="AO2010" s="589"/>
      <c r="AP2010" s="589"/>
      <c r="AQ2010" s="589"/>
      <c r="AR2010" s="589"/>
      <c r="AS2010" s="589"/>
    </row>
    <row r="2011" spans="1:45" ht="15">
      <c r="A2011" s="590" t="s">
        <v>164</v>
      </c>
      <c r="B2011" s="591" t="s">
        <v>474</v>
      </c>
      <c r="C2011" s="591" t="s">
        <v>811</v>
      </c>
      <c r="D2011" s="592">
        <v>2018</v>
      </c>
      <c r="E2011" s="591" t="s">
        <v>775</v>
      </c>
      <c r="F2011" s="592">
        <v>95</v>
      </c>
      <c r="G2011" s="592">
        <v>0</v>
      </c>
      <c r="H2011" s="592">
        <v>0</v>
      </c>
      <c r="I2011" s="592">
        <v>0</v>
      </c>
      <c r="J2011" s="592">
        <v>62</v>
      </c>
      <c r="K2011" s="592">
        <v>0</v>
      </c>
      <c r="L2011" s="592">
        <v>0</v>
      </c>
      <c r="M2011" s="592">
        <v>0</v>
      </c>
      <c r="N2011" s="593">
        <v>72</v>
      </c>
      <c r="O2011" s="593">
        <v>0</v>
      </c>
      <c r="P2011" s="593">
        <v>164</v>
      </c>
      <c r="Q2011" s="593">
        <v>3</v>
      </c>
      <c r="R2011" s="593">
        <v>393</v>
      </c>
      <c r="S2011" s="593">
        <v>3</v>
      </c>
      <c r="T2011" s="593">
        <v>2018</v>
      </c>
      <c r="U2011" s="593">
        <v>2016</v>
      </c>
      <c r="V2011" s="589"/>
      <c r="W2011" s="589"/>
      <c r="X2011" s="589"/>
      <c r="Y2011" s="589"/>
      <c r="Z2011" s="589"/>
      <c r="AA2011" s="589"/>
      <c r="AB2011" s="589"/>
      <c r="AC2011" s="589"/>
      <c r="AD2011" s="589"/>
      <c r="AE2011" s="589"/>
      <c r="AF2011" s="589"/>
      <c r="AG2011" s="589"/>
      <c r="AH2011" s="589"/>
      <c r="AI2011" s="589"/>
      <c r="AJ2011" s="589"/>
      <c r="AK2011" s="589"/>
      <c r="AL2011" s="589"/>
      <c r="AM2011" s="589"/>
      <c r="AN2011" s="589"/>
      <c r="AO2011" s="589"/>
      <c r="AP2011" s="589"/>
      <c r="AQ2011" s="589"/>
      <c r="AR2011" s="589"/>
      <c r="AS2011" s="589"/>
    </row>
    <row r="2012" spans="1:45" ht="15">
      <c r="A2012" s="587" t="s">
        <v>193</v>
      </c>
      <c r="B2012" s="587" t="s">
        <v>700</v>
      </c>
      <c r="C2012" s="587" t="s">
        <v>782</v>
      </c>
      <c r="D2012" s="588">
        <v>2018</v>
      </c>
      <c r="E2012" s="587" t="s">
        <v>775</v>
      </c>
      <c r="F2012" s="588">
        <v>22</v>
      </c>
      <c r="G2012" s="588">
        <v>3</v>
      </c>
      <c r="H2012" s="588">
        <v>0</v>
      </c>
      <c r="I2012" s="588">
        <v>3</v>
      </c>
      <c r="J2012" s="588">
        <v>17</v>
      </c>
      <c r="K2012" s="588">
        <v>4</v>
      </c>
      <c r="L2012" s="588">
        <v>0</v>
      </c>
      <c r="M2012" s="588">
        <v>4</v>
      </c>
      <c r="N2012" s="588">
        <v>19</v>
      </c>
      <c r="O2012" s="588">
        <v>4</v>
      </c>
      <c r="P2012" s="588">
        <v>62</v>
      </c>
      <c r="Q2012" s="588">
        <v>1</v>
      </c>
      <c r="R2012" s="588">
        <v>120</v>
      </c>
      <c r="S2012" s="588">
        <v>12</v>
      </c>
      <c r="T2012" s="588">
        <v>2018</v>
      </c>
      <c r="U2012" s="588">
        <v>2015</v>
      </c>
      <c r="V2012" s="589"/>
      <c r="W2012" s="589"/>
      <c r="X2012" s="589"/>
      <c r="Y2012" s="589"/>
      <c r="Z2012" s="589"/>
      <c r="AA2012" s="589"/>
      <c r="AB2012" s="589"/>
      <c r="AC2012" s="589"/>
      <c r="AD2012" s="589"/>
      <c r="AE2012" s="589"/>
      <c r="AF2012" s="589"/>
      <c r="AG2012" s="589"/>
      <c r="AH2012" s="589"/>
      <c r="AI2012" s="589"/>
      <c r="AJ2012" s="589"/>
      <c r="AK2012" s="589"/>
      <c r="AL2012" s="589"/>
      <c r="AM2012" s="589"/>
      <c r="AN2012" s="589"/>
      <c r="AO2012" s="589"/>
      <c r="AP2012" s="589"/>
      <c r="AQ2012" s="589"/>
      <c r="AR2012" s="589"/>
      <c r="AS2012" s="589"/>
    </row>
    <row r="2013" spans="1:45" ht="15">
      <c r="A2013" s="590" t="s">
        <v>141</v>
      </c>
      <c r="B2013" s="591" t="s">
        <v>303</v>
      </c>
      <c r="C2013" s="591" t="s">
        <v>811</v>
      </c>
      <c r="D2013" s="592">
        <v>2018</v>
      </c>
      <c r="E2013" s="591" t="s">
        <v>775</v>
      </c>
      <c r="F2013" s="592">
        <v>140</v>
      </c>
      <c r="G2013" s="592">
        <v>0</v>
      </c>
      <c r="H2013" s="592">
        <v>0</v>
      </c>
      <c r="I2013" s="592">
        <v>0</v>
      </c>
      <c r="J2013" s="592">
        <v>115</v>
      </c>
      <c r="K2013" s="592">
        <v>0</v>
      </c>
      <c r="L2013" s="592">
        <v>0</v>
      </c>
      <c r="M2013" s="592">
        <v>0</v>
      </c>
      <c r="N2013" s="593">
        <v>69</v>
      </c>
      <c r="O2013" s="593">
        <v>8</v>
      </c>
      <c r="P2013" s="593">
        <v>281</v>
      </c>
      <c r="Q2013" s="593">
        <v>3</v>
      </c>
      <c r="R2013" s="593">
        <v>605</v>
      </c>
      <c r="S2013" s="593">
        <v>11</v>
      </c>
      <c r="T2013" s="593">
        <v>2018</v>
      </c>
      <c r="U2013" s="593">
        <v>2016</v>
      </c>
      <c r="V2013" s="589"/>
      <c r="W2013" s="589"/>
      <c r="X2013" s="589"/>
      <c r="Y2013" s="589"/>
      <c r="Z2013" s="589"/>
      <c r="AA2013" s="589"/>
      <c r="AB2013" s="589"/>
      <c r="AC2013" s="589"/>
      <c r="AD2013" s="589"/>
      <c r="AE2013" s="589"/>
      <c r="AF2013" s="589"/>
      <c r="AG2013" s="589"/>
      <c r="AH2013" s="589"/>
      <c r="AI2013" s="589"/>
      <c r="AJ2013" s="589"/>
      <c r="AK2013" s="589"/>
      <c r="AL2013" s="589"/>
      <c r="AM2013" s="589"/>
      <c r="AN2013" s="589"/>
      <c r="AO2013" s="589"/>
      <c r="AP2013" s="589"/>
      <c r="AQ2013" s="589"/>
      <c r="AR2013" s="589"/>
      <c r="AS2013" s="589"/>
    </row>
    <row r="2014" spans="1:45" ht="15">
      <c r="A2014" s="587" t="s">
        <v>189</v>
      </c>
      <c r="B2014" s="587" t="s">
        <v>672</v>
      </c>
      <c r="C2014" s="587" t="s">
        <v>785</v>
      </c>
      <c r="D2014" s="588">
        <v>2018</v>
      </c>
      <c r="E2014" s="587" t="s">
        <v>775</v>
      </c>
      <c r="F2014" s="588">
        <v>189</v>
      </c>
      <c r="G2014" s="588">
        <v>12</v>
      </c>
      <c r="H2014" s="588">
        <v>0</v>
      </c>
      <c r="I2014" s="588">
        <v>12</v>
      </c>
      <c r="J2014" s="588">
        <v>117</v>
      </c>
      <c r="K2014" s="588">
        <v>23</v>
      </c>
      <c r="L2014" s="588">
        <v>0</v>
      </c>
      <c r="M2014" s="588">
        <v>23</v>
      </c>
      <c r="N2014" s="588">
        <v>128</v>
      </c>
      <c r="O2014" s="588">
        <v>6</v>
      </c>
      <c r="P2014" s="588">
        <v>321</v>
      </c>
      <c r="Q2014" s="588">
        <v>144</v>
      </c>
      <c r="R2014" s="588">
        <v>755</v>
      </c>
      <c r="S2014" s="588">
        <v>185</v>
      </c>
      <c r="T2014" s="588">
        <v>2018</v>
      </c>
      <c r="U2014" s="588">
        <v>2014</v>
      </c>
      <c r="V2014" s="589"/>
      <c r="W2014" s="589"/>
      <c r="X2014" s="589"/>
      <c r="Y2014" s="589"/>
      <c r="Z2014" s="589"/>
      <c r="AA2014" s="589"/>
      <c r="AB2014" s="589"/>
      <c r="AC2014" s="589"/>
      <c r="AD2014" s="589"/>
      <c r="AE2014" s="589"/>
      <c r="AF2014" s="589"/>
      <c r="AG2014" s="589"/>
      <c r="AH2014" s="589"/>
      <c r="AI2014" s="589"/>
      <c r="AJ2014" s="589"/>
      <c r="AK2014" s="589"/>
      <c r="AL2014" s="589"/>
      <c r="AM2014" s="589"/>
      <c r="AN2014" s="589"/>
      <c r="AO2014" s="589"/>
      <c r="AP2014" s="589"/>
      <c r="AQ2014" s="589"/>
      <c r="AR2014" s="589"/>
      <c r="AS2014" s="589"/>
    </row>
    <row r="2015" spans="1:45" ht="15">
      <c r="A2015" s="590" t="s">
        <v>189</v>
      </c>
      <c r="B2015" s="591" t="s">
        <v>673</v>
      </c>
      <c r="C2015" s="591" t="s">
        <v>785</v>
      </c>
      <c r="D2015" s="592">
        <v>2018</v>
      </c>
      <c r="E2015" s="591" t="s">
        <v>775</v>
      </c>
      <c r="F2015" s="592">
        <v>32</v>
      </c>
      <c r="G2015" s="592">
        <v>0</v>
      </c>
      <c r="H2015" s="592">
        <v>0</v>
      </c>
      <c r="I2015" s="592">
        <v>0</v>
      </c>
      <c r="J2015" s="592">
        <v>21</v>
      </c>
      <c r="K2015" s="592">
        <v>15</v>
      </c>
      <c r="L2015" s="592">
        <v>0</v>
      </c>
      <c r="M2015" s="592">
        <v>15</v>
      </c>
      <c r="N2015" s="593">
        <v>23</v>
      </c>
      <c r="O2015" s="593">
        <v>26</v>
      </c>
      <c r="P2015" s="593">
        <v>58</v>
      </c>
      <c r="Q2015" s="593">
        <v>0</v>
      </c>
      <c r="R2015" s="593">
        <v>134</v>
      </c>
      <c r="S2015" s="593">
        <v>41</v>
      </c>
      <c r="T2015" s="593">
        <v>2018</v>
      </c>
      <c r="U2015" s="593">
        <v>2014</v>
      </c>
      <c r="V2015" s="589"/>
      <c r="W2015" s="589"/>
      <c r="X2015" s="589"/>
      <c r="Y2015" s="589"/>
      <c r="Z2015" s="589"/>
      <c r="AA2015" s="589"/>
      <c r="AB2015" s="589"/>
      <c r="AC2015" s="589"/>
      <c r="AD2015" s="589"/>
      <c r="AE2015" s="589"/>
      <c r="AF2015" s="589"/>
      <c r="AG2015" s="589"/>
      <c r="AH2015" s="589"/>
      <c r="AI2015" s="589"/>
      <c r="AJ2015" s="589"/>
      <c r="AK2015" s="589"/>
      <c r="AL2015" s="589"/>
      <c r="AM2015" s="589"/>
      <c r="AN2015" s="589"/>
      <c r="AO2015" s="589"/>
      <c r="AP2015" s="589"/>
      <c r="AQ2015" s="589"/>
      <c r="AR2015" s="589"/>
      <c r="AS2015" s="589"/>
    </row>
    <row r="2016" spans="1:45" ht="15">
      <c r="A2016" s="587" t="s">
        <v>190</v>
      </c>
      <c r="B2016" s="587" t="s">
        <v>675</v>
      </c>
      <c r="C2016" s="587" t="s">
        <v>785</v>
      </c>
      <c r="D2016" s="588">
        <v>2018</v>
      </c>
      <c r="E2016" s="587" t="s">
        <v>775</v>
      </c>
      <c r="F2016" s="588">
        <v>1</v>
      </c>
      <c r="G2016" s="588">
        <v>0</v>
      </c>
      <c r="H2016" s="588">
        <v>0</v>
      </c>
      <c r="I2016" s="588">
        <v>0</v>
      </c>
      <c r="J2016" s="588">
        <v>1</v>
      </c>
      <c r="K2016" s="588">
        <v>1</v>
      </c>
      <c r="L2016" s="588">
        <v>0</v>
      </c>
      <c r="M2016" s="588">
        <v>1</v>
      </c>
      <c r="N2016" s="588">
        <v>0</v>
      </c>
      <c r="O2016" s="588">
        <v>2</v>
      </c>
      <c r="P2016" s="588">
        <v>0</v>
      </c>
      <c r="Q2016" s="588">
        <v>3</v>
      </c>
      <c r="R2016" s="588">
        <v>2</v>
      </c>
      <c r="S2016" s="588">
        <v>6</v>
      </c>
      <c r="T2016" s="588">
        <v>2018</v>
      </c>
      <c r="U2016" s="588">
        <v>2014</v>
      </c>
      <c r="V2016" s="589"/>
      <c r="W2016" s="589"/>
      <c r="X2016" s="589"/>
      <c r="Y2016" s="589"/>
      <c r="Z2016" s="589"/>
      <c r="AA2016" s="589"/>
      <c r="AB2016" s="589"/>
      <c r="AC2016" s="589"/>
      <c r="AD2016" s="589"/>
      <c r="AE2016" s="589"/>
      <c r="AF2016" s="589"/>
      <c r="AG2016" s="589"/>
      <c r="AH2016" s="589"/>
      <c r="AI2016" s="589"/>
      <c r="AJ2016" s="589"/>
      <c r="AK2016" s="589"/>
      <c r="AL2016" s="589"/>
      <c r="AM2016" s="589"/>
      <c r="AN2016" s="589"/>
      <c r="AO2016" s="589"/>
      <c r="AP2016" s="589"/>
      <c r="AQ2016" s="589"/>
      <c r="AR2016" s="589"/>
      <c r="AS2016" s="589"/>
    </row>
    <row r="2017" spans="1:45" ht="15">
      <c r="A2017" s="590" t="s">
        <v>153</v>
      </c>
      <c r="B2017" s="591" t="s">
        <v>421</v>
      </c>
      <c r="C2017" s="591" t="s">
        <v>813</v>
      </c>
      <c r="D2017" s="592">
        <v>2018</v>
      </c>
      <c r="E2017" s="591" t="s">
        <v>775</v>
      </c>
      <c r="F2017" s="592">
        <v>14</v>
      </c>
      <c r="G2017" s="592">
        <v>0</v>
      </c>
      <c r="H2017" s="592">
        <v>0</v>
      </c>
      <c r="I2017" s="592">
        <v>0</v>
      </c>
      <c r="J2017" s="592">
        <v>9</v>
      </c>
      <c r="K2017" s="592">
        <v>1</v>
      </c>
      <c r="L2017" s="592">
        <v>0</v>
      </c>
      <c r="M2017" s="592">
        <v>1</v>
      </c>
      <c r="N2017" s="593">
        <v>9</v>
      </c>
      <c r="O2017" s="593">
        <v>0</v>
      </c>
      <c r="P2017" s="593">
        <v>23</v>
      </c>
      <c r="Q2017" s="593">
        <v>0</v>
      </c>
      <c r="R2017" s="593">
        <v>55</v>
      </c>
      <c r="S2017" s="593">
        <v>1</v>
      </c>
      <c r="T2017" s="593">
        <v>2018</v>
      </c>
      <c r="U2017" s="593">
        <v>2014</v>
      </c>
      <c r="V2017" s="589"/>
      <c r="W2017" s="589"/>
      <c r="X2017" s="589"/>
      <c r="Y2017" s="589"/>
      <c r="Z2017" s="589"/>
      <c r="AA2017" s="589"/>
      <c r="AB2017" s="589"/>
      <c r="AC2017" s="589"/>
      <c r="AD2017" s="589"/>
      <c r="AE2017" s="589"/>
      <c r="AF2017" s="589"/>
      <c r="AG2017" s="589"/>
      <c r="AH2017" s="589"/>
      <c r="AI2017" s="589"/>
      <c r="AJ2017" s="589"/>
      <c r="AK2017" s="589"/>
      <c r="AL2017" s="589"/>
      <c r="AM2017" s="589"/>
      <c r="AN2017" s="589"/>
      <c r="AO2017" s="589"/>
      <c r="AP2017" s="589"/>
      <c r="AQ2017" s="589"/>
      <c r="AR2017" s="589"/>
      <c r="AS2017" s="589"/>
    </row>
    <row r="2018" spans="1:45" ht="15">
      <c r="A2018" s="587" t="s">
        <v>153</v>
      </c>
      <c r="B2018" s="587" t="s">
        <v>422</v>
      </c>
      <c r="C2018" s="587" t="s">
        <v>813</v>
      </c>
      <c r="D2018" s="588">
        <v>2018</v>
      </c>
      <c r="E2018" s="587" t="s">
        <v>775</v>
      </c>
      <c r="F2018" s="588">
        <v>44</v>
      </c>
      <c r="G2018" s="588">
        <v>0</v>
      </c>
      <c r="H2018" s="588">
        <v>0</v>
      </c>
      <c r="I2018" s="588">
        <v>0</v>
      </c>
      <c r="J2018" s="588">
        <v>27</v>
      </c>
      <c r="K2018" s="588">
        <v>0</v>
      </c>
      <c r="L2018" s="588">
        <v>0</v>
      </c>
      <c r="M2018" s="588">
        <v>0</v>
      </c>
      <c r="N2018" s="588">
        <v>28</v>
      </c>
      <c r="O2018" s="588">
        <v>1</v>
      </c>
      <c r="P2018" s="588">
        <v>70</v>
      </c>
      <c r="Q2018" s="588">
        <v>1</v>
      </c>
      <c r="R2018" s="588">
        <v>169</v>
      </c>
      <c r="S2018" s="588">
        <v>2</v>
      </c>
      <c r="T2018" s="588">
        <v>2018</v>
      </c>
      <c r="U2018" s="588">
        <v>2014</v>
      </c>
      <c r="V2018" s="589"/>
      <c r="W2018" s="589"/>
      <c r="X2018" s="589"/>
      <c r="Y2018" s="589"/>
      <c r="Z2018" s="589"/>
      <c r="AA2018" s="589"/>
      <c r="AB2018" s="589"/>
      <c r="AC2018" s="589"/>
      <c r="AD2018" s="589"/>
      <c r="AE2018" s="589"/>
      <c r="AF2018" s="589"/>
      <c r="AG2018" s="589"/>
      <c r="AH2018" s="589"/>
      <c r="AI2018" s="589"/>
      <c r="AJ2018" s="589"/>
      <c r="AK2018" s="589"/>
      <c r="AL2018" s="589"/>
      <c r="AM2018" s="589"/>
      <c r="AN2018" s="589"/>
      <c r="AO2018" s="589"/>
      <c r="AP2018" s="589"/>
      <c r="AQ2018" s="589"/>
      <c r="AR2018" s="589"/>
      <c r="AS2018" s="589"/>
    </row>
    <row r="2019" spans="1:45" ht="15">
      <c r="A2019" s="590" t="s">
        <v>201</v>
      </c>
      <c r="B2019" s="591" t="s">
        <v>738</v>
      </c>
      <c r="C2019" s="591" t="s">
        <v>813</v>
      </c>
      <c r="D2019" s="592">
        <v>2018</v>
      </c>
      <c r="E2019" s="591" t="s">
        <v>775</v>
      </c>
      <c r="F2019" s="592">
        <v>310</v>
      </c>
      <c r="G2019" s="592">
        <v>5</v>
      </c>
      <c r="H2019" s="592">
        <v>5</v>
      </c>
      <c r="I2019" s="592">
        <v>0</v>
      </c>
      <c r="J2019" s="592">
        <v>208</v>
      </c>
      <c r="K2019" s="592">
        <v>2</v>
      </c>
      <c r="L2019" s="592">
        <v>2</v>
      </c>
      <c r="M2019" s="592">
        <v>0</v>
      </c>
      <c r="N2019" s="593">
        <v>229</v>
      </c>
      <c r="O2019" s="593">
        <v>27</v>
      </c>
      <c r="P2019" s="593">
        <v>509</v>
      </c>
      <c r="Q2019" s="593">
        <v>174</v>
      </c>
      <c r="R2019" s="593">
        <v>1256</v>
      </c>
      <c r="S2019" s="593">
        <v>208</v>
      </c>
      <c r="T2019" s="593">
        <v>2018</v>
      </c>
      <c r="U2019" s="593">
        <v>2014</v>
      </c>
      <c r="V2019" s="589"/>
      <c r="W2019" s="589"/>
      <c r="X2019" s="589"/>
      <c r="Y2019" s="589"/>
      <c r="Z2019" s="589"/>
      <c r="AA2019" s="589"/>
      <c r="AB2019" s="589"/>
      <c r="AC2019" s="589"/>
      <c r="AD2019" s="589"/>
      <c r="AE2019" s="589"/>
      <c r="AF2019" s="589"/>
      <c r="AG2019" s="589"/>
      <c r="AH2019" s="589"/>
      <c r="AI2019" s="589"/>
      <c r="AJ2019" s="589"/>
      <c r="AK2019" s="589"/>
      <c r="AL2019" s="589"/>
      <c r="AM2019" s="589"/>
      <c r="AN2019" s="589"/>
      <c r="AO2019" s="589"/>
      <c r="AP2019" s="589"/>
      <c r="AQ2019" s="589"/>
      <c r="AR2019" s="589"/>
      <c r="AS2019" s="589"/>
    </row>
    <row r="2020" spans="1:45" ht="15">
      <c r="A2020" s="587" t="s">
        <v>191</v>
      </c>
      <c r="B2020" s="587" t="s">
        <v>682</v>
      </c>
      <c r="C2020" s="587" t="s">
        <v>785</v>
      </c>
      <c r="D2020" s="588">
        <v>2018</v>
      </c>
      <c r="E2020" s="587" t="s">
        <v>775</v>
      </c>
      <c r="F2020" s="588">
        <v>65</v>
      </c>
      <c r="G2020" s="588">
        <v>0</v>
      </c>
      <c r="H2020" s="588">
        <v>0</v>
      </c>
      <c r="I2020" s="588">
        <v>0</v>
      </c>
      <c r="J2020" s="588">
        <v>40</v>
      </c>
      <c r="K2020" s="588">
        <v>0</v>
      </c>
      <c r="L2020" s="588">
        <v>0</v>
      </c>
      <c r="M2020" s="588">
        <v>0</v>
      </c>
      <c r="N2020" s="588">
        <v>43</v>
      </c>
      <c r="O2020" s="588">
        <v>0</v>
      </c>
      <c r="P2020" s="588">
        <v>110</v>
      </c>
      <c r="Q2020" s="588">
        <v>65</v>
      </c>
      <c r="R2020" s="588">
        <v>258</v>
      </c>
      <c r="S2020" s="588">
        <v>65</v>
      </c>
      <c r="T2020" s="588">
        <v>2018</v>
      </c>
      <c r="U2020" s="588">
        <v>2014</v>
      </c>
      <c r="V2020" s="589"/>
      <c r="W2020" s="589"/>
      <c r="X2020" s="589"/>
      <c r="Y2020" s="589"/>
      <c r="Z2020" s="589"/>
      <c r="AA2020" s="589"/>
      <c r="AB2020" s="589"/>
      <c r="AC2020" s="589"/>
      <c r="AD2020" s="589"/>
      <c r="AE2020" s="589"/>
      <c r="AF2020" s="589"/>
      <c r="AG2020" s="589"/>
      <c r="AH2020" s="589"/>
      <c r="AI2020" s="589"/>
      <c r="AJ2020" s="589"/>
      <c r="AK2020" s="589"/>
      <c r="AL2020" s="589"/>
      <c r="AM2020" s="589"/>
      <c r="AN2020" s="589"/>
      <c r="AO2020" s="589"/>
      <c r="AP2020" s="589"/>
      <c r="AQ2020" s="589"/>
      <c r="AR2020" s="589"/>
      <c r="AS2020" s="589"/>
    </row>
    <row r="2021" spans="1:45" ht="15">
      <c r="A2021" s="590" t="s">
        <v>179</v>
      </c>
      <c r="B2021" s="591" t="s">
        <v>606</v>
      </c>
      <c r="C2021" s="591" t="s">
        <v>856</v>
      </c>
      <c r="D2021" s="592">
        <v>2018</v>
      </c>
      <c r="E2021" s="591" t="s">
        <v>775</v>
      </c>
      <c r="F2021" s="592">
        <v>85</v>
      </c>
      <c r="G2021" s="592">
        <v>0</v>
      </c>
      <c r="H2021" s="592">
        <v>0</v>
      </c>
      <c r="I2021" s="592">
        <v>0</v>
      </c>
      <c r="J2021" s="592">
        <v>65</v>
      </c>
      <c r="K2021" s="592">
        <v>1</v>
      </c>
      <c r="L2021" s="592">
        <v>1</v>
      </c>
      <c r="M2021" s="592">
        <v>0</v>
      </c>
      <c r="N2021" s="593">
        <v>59</v>
      </c>
      <c r="O2021" s="593">
        <v>5</v>
      </c>
      <c r="P2021" s="593">
        <v>131</v>
      </c>
      <c r="Q2021" s="593">
        <v>11</v>
      </c>
      <c r="R2021" s="593">
        <v>340</v>
      </c>
      <c r="S2021" s="593">
        <v>17</v>
      </c>
      <c r="T2021" s="593">
        <v>2018</v>
      </c>
      <c r="U2021" s="593">
        <v>2013</v>
      </c>
      <c r="V2021" s="589"/>
      <c r="W2021" s="589"/>
      <c r="X2021" s="589"/>
      <c r="Y2021" s="589"/>
      <c r="Z2021" s="589"/>
      <c r="AA2021" s="589"/>
      <c r="AB2021" s="589"/>
      <c r="AC2021" s="589"/>
      <c r="AD2021" s="589"/>
      <c r="AE2021" s="589"/>
      <c r="AF2021" s="589"/>
      <c r="AG2021" s="589"/>
      <c r="AH2021" s="589"/>
      <c r="AI2021" s="589"/>
      <c r="AJ2021" s="589"/>
      <c r="AK2021" s="589"/>
      <c r="AL2021" s="589"/>
      <c r="AM2021" s="589"/>
      <c r="AN2021" s="589"/>
      <c r="AO2021" s="589"/>
      <c r="AP2021" s="589"/>
      <c r="AQ2021" s="589"/>
      <c r="AR2021" s="589"/>
      <c r="AS2021" s="589"/>
    </row>
    <row r="2022" spans="1:45" ht="15">
      <c r="A2022" s="587" t="s">
        <v>192</v>
      </c>
      <c r="B2022" s="587" t="s">
        <v>690</v>
      </c>
      <c r="C2022" s="587" t="s">
        <v>782</v>
      </c>
      <c r="D2022" s="588">
        <v>2018</v>
      </c>
      <c r="E2022" s="587" t="s">
        <v>775</v>
      </c>
      <c r="F2022" s="588">
        <v>26</v>
      </c>
      <c r="G2022" s="588">
        <v>1</v>
      </c>
      <c r="H2022" s="588">
        <v>0</v>
      </c>
      <c r="I2022" s="588">
        <v>1</v>
      </c>
      <c r="J2022" s="588">
        <v>15</v>
      </c>
      <c r="K2022" s="588">
        <v>17</v>
      </c>
      <c r="L2022" s="588">
        <v>0</v>
      </c>
      <c r="M2022" s="588">
        <v>17</v>
      </c>
      <c r="N2022" s="588">
        <v>19</v>
      </c>
      <c r="O2022" s="588">
        <v>3</v>
      </c>
      <c r="P2022" s="588">
        <v>43</v>
      </c>
      <c r="Q2022" s="588">
        <v>13</v>
      </c>
      <c r="R2022" s="588">
        <v>103</v>
      </c>
      <c r="S2022" s="588">
        <v>34</v>
      </c>
      <c r="T2022" s="588">
        <v>2018</v>
      </c>
      <c r="U2022" s="588">
        <v>2015</v>
      </c>
      <c r="V2022" s="589"/>
      <c r="W2022" s="589"/>
      <c r="X2022" s="589"/>
      <c r="Y2022" s="589"/>
      <c r="Z2022" s="589"/>
      <c r="AA2022" s="589"/>
      <c r="AB2022" s="589"/>
      <c r="AC2022" s="589"/>
      <c r="AD2022" s="589"/>
      <c r="AE2022" s="589"/>
      <c r="AF2022" s="589"/>
      <c r="AG2022" s="589"/>
      <c r="AH2022" s="589"/>
      <c r="AI2022" s="589"/>
      <c r="AJ2022" s="589"/>
      <c r="AK2022" s="589"/>
      <c r="AL2022" s="589"/>
      <c r="AM2022" s="589"/>
      <c r="AN2022" s="589"/>
      <c r="AO2022" s="589"/>
      <c r="AP2022" s="589"/>
      <c r="AQ2022" s="589"/>
      <c r="AR2022" s="589"/>
      <c r="AS2022" s="589"/>
    </row>
    <row r="2023" spans="1:45" ht="15">
      <c r="A2023" s="590" t="s">
        <v>164</v>
      </c>
      <c r="B2023" s="591" t="s">
        <v>475</v>
      </c>
      <c r="C2023" s="591" t="s">
        <v>811</v>
      </c>
      <c r="D2023" s="592">
        <v>2018</v>
      </c>
      <c r="E2023" s="591" t="s">
        <v>775</v>
      </c>
      <c r="F2023" s="592">
        <v>46</v>
      </c>
      <c r="G2023" s="592">
        <v>0</v>
      </c>
      <c r="H2023" s="592">
        <v>0</v>
      </c>
      <c r="I2023" s="592">
        <v>0</v>
      </c>
      <c r="J2023" s="592">
        <v>30</v>
      </c>
      <c r="K2023" s="592">
        <v>0</v>
      </c>
      <c r="L2023" s="592">
        <v>0</v>
      </c>
      <c r="M2023" s="592">
        <v>0</v>
      </c>
      <c r="N2023" s="593">
        <v>35</v>
      </c>
      <c r="O2023" s="593">
        <v>0</v>
      </c>
      <c r="P2023" s="593">
        <v>80</v>
      </c>
      <c r="Q2023" s="593">
        <v>131</v>
      </c>
      <c r="R2023" s="593">
        <v>191</v>
      </c>
      <c r="S2023" s="593">
        <v>131</v>
      </c>
      <c r="T2023" s="593">
        <v>2018</v>
      </c>
      <c r="U2023" s="593">
        <v>2016</v>
      </c>
      <c r="V2023" s="589"/>
      <c r="W2023" s="589"/>
      <c r="X2023" s="589"/>
      <c r="Y2023" s="589"/>
      <c r="Z2023" s="589"/>
      <c r="AA2023" s="589"/>
      <c r="AB2023" s="589"/>
      <c r="AC2023" s="589"/>
      <c r="AD2023" s="589"/>
      <c r="AE2023" s="589"/>
      <c r="AF2023" s="589"/>
      <c r="AG2023" s="589"/>
      <c r="AH2023" s="589"/>
      <c r="AI2023" s="589"/>
      <c r="AJ2023" s="589"/>
      <c r="AK2023" s="589"/>
      <c r="AL2023" s="589"/>
      <c r="AM2023" s="589"/>
      <c r="AN2023" s="589"/>
      <c r="AO2023" s="589"/>
      <c r="AP2023" s="589"/>
      <c r="AQ2023" s="589"/>
      <c r="AR2023" s="589"/>
      <c r="AS2023" s="589"/>
    </row>
    <row r="2024" spans="1:45" ht="15">
      <c r="A2024" s="587" t="s">
        <v>185</v>
      </c>
      <c r="B2024" s="587" t="s">
        <v>650</v>
      </c>
      <c r="C2024" s="587" t="s">
        <v>872</v>
      </c>
      <c r="D2024" s="588">
        <v>2018</v>
      </c>
      <c r="E2024" s="587" t="s">
        <v>775</v>
      </c>
      <c r="F2024" s="588">
        <v>42</v>
      </c>
      <c r="G2024" s="588">
        <v>0</v>
      </c>
      <c r="H2024" s="588">
        <v>0</v>
      </c>
      <c r="I2024" s="588">
        <v>0</v>
      </c>
      <c r="J2024" s="588">
        <v>28</v>
      </c>
      <c r="K2024" s="588">
        <v>0</v>
      </c>
      <c r="L2024" s="588">
        <v>0</v>
      </c>
      <c r="M2024" s="588">
        <v>0</v>
      </c>
      <c r="N2024" s="588">
        <v>30</v>
      </c>
      <c r="O2024" s="588">
        <v>0</v>
      </c>
      <c r="P2024" s="588">
        <v>75</v>
      </c>
      <c r="Q2024" s="588">
        <v>0</v>
      </c>
      <c r="R2024" s="588">
        <v>175</v>
      </c>
      <c r="S2024" s="588">
        <v>0</v>
      </c>
      <c r="T2024" s="588">
        <v>2018</v>
      </c>
      <c r="U2024" s="588">
        <v>2015</v>
      </c>
      <c r="V2024" s="589"/>
      <c r="W2024" s="589"/>
      <c r="X2024" s="589"/>
      <c r="Y2024" s="589"/>
      <c r="Z2024" s="589"/>
      <c r="AA2024" s="589"/>
      <c r="AB2024" s="589"/>
      <c r="AC2024" s="589"/>
      <c r="AD2024" s="589"/>
      <c r="AE2024" s="589"/>
      <c r="AF2024" s="589"/>
      <c r="AG2024" s="589"/>
      <c r="AH2024" s="589"/>
      <c r="AI2024" s="589"/>
      <c r="AJ2024" s="589"/>
      <c r="AK2024" s="589"/>
      <c r="AL2024" s="589"/>
      <c r="AM2024" s="589"/>
      <c r="AN2024" s="589"/>
      <c r="AO2024" s="589"/>
      <c r="AP2024" s="589"/>
      <c r="AQ2024" s="589"/>
      <c r="AR2024" s="589"/>
      <c r="AS2024" s="589"/>
    </row>
    <row r="2025" spans="1:45" ht="15">
      <c r="A2025" s="590" t="s">
        <v>193</v>
      </c>
      <c r="B2025" s="591" t="s">
        <v>193</v>
      </c>
      <c r="C2025" s="591" t="s">
        <v>782</v>
      </c>
      <c r="D2025" s="592">
        <v>2018</v>
      </c>
      <c r="E2025" s="591" t="s">
        <v>775</v>
      </c>
      <c r="F2025" s="592">
        <v>24</v>
      </c>
      <c r="G2025" s="592">
        <v>0</v>
      </c>
      <c r="H2025" s="592">
        <v>0</v>
      </c>
      <c r="I2025" s="592">
        <v>0</v>
      </c>
      <c r="J2025" s="592">
        <v>23</v>
      </c>
      <c r="K2025" s="592">
        <v>7</v>
      </c>
      <c r="L2025" s="592">
        <v>0</v>
      </c>
      <c r="M2025" s="592">
        <v>7</v>
      </c>
      <c r="N2025" s="593">
        <v>27</v>
      </c>
      <c r="O2025" s="593">
        <v>10</v>
      </c>
      <c r="P2025" s="593">
        <v>63</v>
      </c>
      <c r="Q2025" s="593">
        <v>7</v>
      </c>
      <c r="R2025" s="593">
        <v>137</v>
      </c>
      <c r="S2025" s="593">
        <v>24</v>
      </c>
      <c r="T2025" s="593">
        <v>2018</v>
      </c>
      <c r="U2025" s="593">
        <v>2015</v>
      </c>
      <c r="V2025" s="589"/>
      <c r="W2025" s="589"/>
      <c r="X2025" s="589"/>
      <c r="Y2025" s="589"/>
      <c r="Z2025" s="589"/>
      <c r="AA2025" s="589"/>
      <c r="AB2025" s="589"/>
      <c r="AC2025" s="589"/>
      <c r="AD2025" s="589"/>
      <c r="AE2025" s="589"/>
      <c r="AF2025" s="589"/>
      <c r="AG2025" s="589"/>
      <c r="AH2025" s="589"/>
      <c r="AI2025" s="589"/>
      <c r="AJ2025" s="589"/>
      <c r="AK2025" s="589"/>
      <c r="AL2025" s="589"/>
      <c r="AM2025" s="589"/>
      <c r="AN2025" s="589"/>
      <c r="AO2025" s="589"/>
      <c r="AP2025" s="589"/>
      <c r="AQ2025" s="589"/>
      <c r="AR2025" s="589"/>
      <c r="AS2025" s="589"/>
    </row>
    <row r="2026" spans="1:45" ht="15">
      <c r="A2026" s="587" t="s">
        <v>193</v>
      </c>
      <c r="B2026" s="587" t="s">
        <v>701</v>
      </c>
      <c r="C2026" s="587" t="s">
        <v>782</v>
      </c>
      <c r="D2026" s="588">
        <v>2018</v>
      </c>
      <c r="E2026" s="587" t="s">
        <v>775</v>
      </c>
      <c r="F2026" s="588">
        <v>126</v>
      </c>
      <c r="G2026" s="588">
        <v>12</v>
      </c>
      <c r="H2026" s="588">
        <v>12</v>
      </c>
      <c r="I2026" s="588">
        <v>0</v>
      </c>
      <c r="J2026" s="588">
        <v>37</v>
      </c>
      <c r="K2026" s="588">
        <v>92</v>
      </c>
      <c r="L2026" s="588">
        <v>91</v>
      </c>
      <c r="M2026" s="588">
        <v>1</v>
      </c>
      <c r="N2026" s="588">
        <v>160</v>
      </c>
      <c r="O2026" s="588">
        <v>71</v>
      </c>
      <c r="P2026" s="588">
        <v>192</v>
      </c>
      <c r="Q2026" s="588">
        <v>128</v>
      </c>
      <c r="R2026" s="588">
        <v>515</v>
      </c>
      <c r="S2026" s="588">
        <v>303</v>
      </c>
      <c r="T2026" s="588">
        <v>2018</v>
      </c>
      <c r="U2026" s="588">
        <v>2015</v>
      </c>
      <c r="V2026" s="589"/>
      <c r="W2026" s="589"/>
      <c r="X2026" s="589"/>
      <c r="Y2026" s="589"/>
      <c r="Z2026" s="589"/>
      <c r="AA2026" s="589"/>
      <c r="AB2026" s="589"/>
      <c r="AC2026" s="589"/>
      <c r="AD2026" s="589"/>
      <c r="AE2026" s="589"/>
      <c r="AF2026" s="589"/>
      <c r="AG2026" s="589"/>
      <c r="AH2026" s="589"/>
      <c r="AI2026" s="589"/>
      <c r="AJ2026" s="589"/>
      <c r="AK2026" s="589"/>
      <c r="AL2026" s="589"/>
      <c r="AM2026" s="589"/>
      <c r="AN2026" s="589"/>
      <c r="AO2026" s="589"/>
      <c r="AP2026" s="589"/>
      <c r="AQ2026" s="589"/>
      <c r="AR2026" s="589"/>
      <c r="AS2026" s="589"/>
    </row>
    <row r="2027" spans="1:45" ht="15">
      <c r="A2027" s="590" t="s">
        <v>200</v>
      </c>
      <c r="B2027" s="591" t="s">
        <v>728</v>
      </c>
      <c r="C2027" s="591" t="s">
        <v>785</v>
      </c>
      <c r="D2027" s="592">
        <v>2018</v>
      </c>
      <c r="E2027" s="591" t="s">
        <v>775</v>
      </c>
      <c r="F2027" s="592">
        <v>23</v>
      </c>
      <c r="G2027" s="592">
        <v>0</v>
      </c>
      <c r="H2027" s="592">
        <v>0</v>
      </c>
      <c r="I2027" s="592">
        <v>0</v>
      </c>
      <c r="J2027" s="592">
        <v>16</v>
      </c>
      <c r="K2027" s="592">
        <v>0</v>
      </c>
      <c r="L2027" s="592">
        <v>0</v>
      </c>
      <c r="M2027" s="592">
        <v>0</v>
      </c>
      <c r="N2027" s="593">
        <v>19</v>
      </c>
      <c r="O2027" s="593">
        <v>1</v>
      </c>
      <c r="P2027" s="593">
        <v>42</v>
      </c>
      <c r="Q2027" s="593">
        <v>1</v>
      </c>
      <c r="R2027" s="593">
        <v>100</v>
      </c>
      <c r="S2027" s="593">
        <v>2</v>
      </c>
      <c r="T2027" s="593">
        <v>2018</v>
      </c>
      <c r="U2027" s="593">
        <v>2014</v>
      </c>
      <c r="V2027" s="589"/>
      <c r="W2027" s="589"/>
      <c r="X2027" s="589"/>
      <c r="Y2027" s="589"/>
      <c r="Z2027" s="589"/>
      <c r="AA2027" s="589"/>
      <c r="AB2027" s="589"/>
      <c r="AC2027" s="589"/>
      <c r="AD2027" s="589"/>
      <c r="AE2027" s="589"/>
      <c r="AF2027" s="589"/>
      <c r="AG2027" s="589"/>
      <c r="AH2027" s="589"/>
      <c r="AI2027" s="589"/>
      <c r="AJ2027" s="589"/>
      <c r="AK2027" s="589"/>
      <c r="AL2027" s="589"/>
      <c r="AM2027" s="589"/>
      <c r="AN2027" s="589"/>
      <c r="AO2027" s="589"/>
      <c r="AP2027" s="589"/>
      <c r="AQ2027" s="589"/>
      <c r="AR2027" s="589"/>
      <c r="AS2027" s="589"/>
    </row>
    <row r="2028" spans="1:45" ht="15">
      <c r="A2028" s="587" t="s">
        <v>153</v>
      </c>
      <c r="B2028" s="587" t="s">
        <v>423</v>
      </c>
      <c r="C2028" s="587" t="s">
        <v>813</v>
      </c>
      <c r="D2028" s="588">
        <v>2018</v>
      </c>
      <c r="E2028" s="587" t="s">
        <v>775</v>
      </c>
      <c r="F2028" s="588">
        <v>43</v>
      </c>
      <c r="G2028" s="588">
        <v>0</v>
      </c>
      <c r="H2028" s="588">
        <v>0</v>
      </c>
      <c r="I2028" s="588">
        <v>0</v>
      </c>
      <c r="J2028" s="588">
        <v>25</v>
      </c>
      <c r="K2028" s="588">
        <v>6</v>
      </c>
      <c r="L2028" s="588">
        <v>6</v>
      </c>
      <c r="M2028" s="588">
        <v>0</v>
      </c>
      <c r="N2028" s="588">
        <v>28</v>
      </c>
      <c r="O2028" s="588">
        <v>0</v>
      </c>
      <c r="P2028" s="588">
        <v>76</v>
      </c>
      <c r="Q2028" s="588">
        <v>2</v>
      </c>
      <c r="R2028" s="588">
        <v>172</v>
      </c>
      <c r="S2028" s="588">
        <v>8</v>
      </c>
      <c r="T2028" s="588">
        <v>2018</v>
      </c>
      <c r="U2028" s="588">
        <v>2014</v>
      </c>
      <c r="V2028" s="589"/>
      <c r="W2028" s="589"/>
      <c r="X2028" s="589"/>
      <c r="Y2028" s="589"/>
      <c r="Z2028" s="589"/>
      <c r="AA2028" s="589"/>
      <c r="AB2028" s="589"/>
      <c r="AC2028" s="589"/>
      <c r="AD2028" s="589"/>
      <c r="AE2028" s="589"/>
      <c r="AF2028" s="589"/>
      <c r="AG2028" s="589"/>
      <c r="AH2028" s="589"/>
      <c r="AI2028" s="589"/>
      <c r="AJ2028" s="589"/>
      <c r="AK2028" s="589"/>
      <c r="AL2028" s="589"/>
      <c r="AM2028" s="589"/>
      <c r="AN2028" s="589"/>
      <c r="AO2028" s="589"/>
      <c r="AP2028" s="589"/>
      <c r="AQ2028" s="589"/>
      <c r="AR2028" s="589"/>
      <c r="AS2028" s="589"/>
    </row>
    <row r="2029" spans="1:45" ht="15">
      <c r="A2029" s="590" t="s">
        <v>153</v>
      </c>
      <c r="B2029" s="591" t="s">
        <v>424</v>
      </c>
      <c r="C2029" s="591" t="s">
        <v>813</v>
      </c>
      <c r="D2029" s="592">
        <v>2018</v>
      </c>
      <c r="E2029" s="591" t="s">
        <v>775</v>
      </c>
      <c r="F2029" s="592">
        <v>314</v>
      </c>
      <c r="G2029" s="592">
        <v>0</v>
      </c>
      <c r="H2029" s="592">
        <v>0</v>
      </c>
      <c r="I2029" s="592">
        <v>0</v>
      </c>
      <c r="J2029" s="592">
        <v>185</v>
      </c>
      <c r="K2029" s="592">
        <v>0</v>
      </c>
      <c r="L2029" s="592">
        <v>0</v>
      </c>
      <c r="M2029" s="592">
        <v>0</v>
      </c>
      <c r="N2029" s="593">
        <v>205</v>
      </c>
      <c r="O2029" s="593">
        <v>26</v>
      </c>
      <c r="P2029" s="593">
        <v>558</v>
      </c>
      <c r="Q2029" s="593">
        <v>2</v>
      </c>
      <c r="R2029" s="593">
        <v>1262</v>
      </c>
      <c r="S2029" s="593">
        <v>28</v>
      </c>
      <c r="T2029" s="593">
        <v>2018</v>
      </c>
      <c r="U2029" s="593">
        <v>2014</v>
      </c>
      <c r="V2029" s="589"/>
      <c r="W2029" s="589"/>
      <c r="X2029" s="589"/>
      <c r="Y2029" s="589"/>
      <c r="Z2029" s="589"/>
      <c r="AA2029" s="589"/>
      <c r="AB2029" s="589"/>
      <c r="AC2029" s="589"/>
      <c r="AD2029" s="589"/>
      <c r="AE2029" s="589"/>
      <c r="AF2029" s="589"/>
      <c r="AG2029" s="589"/>
      <c r="AH2029" s="589"/>
      <c r="AI2029" s="589"/>
      <c r="AJ2029" s="589"/>
      <c r="AK2029" s="589"/>
      <c r="AL2029" s="589"/>
      <c r="AM2029" s="589"/>
      <c r="AN2029" s="589"/>
      <c r="AO2029" s="589"/>
      <c r="AP2029" s="589"/>
      <c r="AQ2029" s="589"/>
      <c r="AR2029" s="589"/>
      <c r="AS2029" s="589"/>
    </row>
    <row r="2030" spans="1:45" ht="15">
      <c r="A2030" s="587" t="s">
        <v>139</v>
      </c>
      <c r="B2030" s="587" t="s">
        <v>289</v>
      </c>
      <c r="C2030" s="587" t="s">
        <v>787</v>
      </c>
      <c r="D2030" s="588">
        <v>2018</v>
      </c>
      <c r="E2030" s="587" t="s">
        <v>775</v>
      </c>
      <c r="F2030" s="588">
        <v>54</v>
      </c>
      <c r="G2030" s="588">
        <v>0</v>
      </c>
      <c r="H2030" s="588">
        <v>0</v>
      </c>
      <c r="I2030" s="588">
        <v>0</v>
      </c>
      <c r="J2030" s="588">
        <v>38</v>
      </c>
      <c r="K2030" s="588">
        <v>0</v>
      </c>
      <c r="L2030" s="588">
        <v>0</v>
      </c>
      <c r="M2030" s="588">
        <v>0</v>
      </c>
      <c r="N2030" s="588">
        <v>63</v>
      </c>
      <c r="O2030" s="588">
        <v>0</v>
      </c>
      <c r="P2030" s="588">
        <v>181</v>
      </c>
      <c r="Q2030" s="588">
        <v>55</v>
      </c>
      <c r="R2030" s="588">
        <v>336</v>
      </c>
      <c r="S2030" s="588">
        <v>55</v>
      </c>
      <c r="T2030" s="588">
        <v>2018</v>
      </c>
      <c r="U2030" s="588">
        <v>2014</v>
      </c>
      <c r="V2030" s="589"/>
      <c r="W2030" s="589"/>
      <c r="X2030" s="589"/>
      <c r="Y2030" s="589"/>
      <c r="Z2030" s="589"/>
      <c r="AA2030" s="589"/>
      <c r="AB2030" s="589"/>
      <c r="AC2030" s="589"/>
      <c r="AD2030" s="589"/>
      <c r="AE2030" s="589"/>
      <c r="AF2030" s="589"/>
      <c r="AG2030" s="589"/>
      <c r="AH2030" s="589"/>
      <c r="AI2030" s="589"/>
      <c r="AJ2030" s="589"/>
      <c r="AK2030" s="589"/>
      <c r="AL2030" s="589"/>
      <c r="AM2030" s="589"/>
      <c r="AN2030" s="589"/>
      <c r="AO2030" s="589"/>
      <c r="AP2030" s="589"/>
      <c r="AQ2030" s="589"/>
      <c r="AR2030" s="589"/>
      <c r="AS2030" s="589"/>
    </row>
    <row r="2031" spans="1:45" ht="15">
      <c r="A2031" s="590" t="s">
        <v>153</v>
      </c>
      <c r="B2031" s="591" t="s">
        <v>425</v>
      </c>
      <c r="C2031" s="591" t="s">
        <v>813</v>
      </c>
      <c r="D2031" s="592">
        <v>2018</v>
      </c>
      <c r="E2031" s="591" t="s">
        <v>775</v>
      </c>
      <c r="F2031" s="592">
        <v>17</v>
      </c>
      <c r="G2031" s="592">
        <v>1</v>
      </c>
      <c r="H2031" s="592">
        <v>0</v>
      </c>
      <c r="I2031" s="592">
        <v>1</v>
      </c>
      <c r="J2031" s="592">
        <v>10</v>
      </c>
      <c r="K2031" s="592">
        <v>3</v>
      </c>
      <c r="L2031" s="592">
        <v>0</v>
      </c>
      <c r="M2031" s="592">
        <v>3</v>
      </c>
      <c r="N2031" s="593">
        <v>11</v>
      </c>
      <c r="O2031" s="593">
        <v>0</v>
      </c>
      <c r="P2031" s="593">
        <v>25</v>
      </c>
      <c r="Q2031" s="593">
        <v>3</v>
      </c>
      <c r="R2031" s="593">
        <v>63</v>
      </c>
      <c r="S2031" s="593">
        <v>7</v>
      </c>
      <c r="T2031" s="593">
        <v>2018</v>
      </c>
      <c r="U2031" s="593">
        <v>2014</v>
      </c>
      <c r="V2031" s="589"/>
      <c r="W2031" s="589"/>
      <c r="X2031" s="589"/>
      <c r="Y2031" s="589"/>
      <c r="Z2031" s="589"/>
      <c r="AA2031" s="589"/>
      <c r="AB2031" s="589"/>
      <c r="AC2031" s="589"/>
      <c r="AD2031" s="589"/>
      <c r="AE2031" s="589"/>
      <c r="AF2031" s="589"/>
      <c r="AG2031" s="589"/>
      <c r="AH2031" s="589"/>
      <c r="AI2031" s="589"/>
      <c r="AJ2031" s="589"/>
      <c r="AK2031" s="589"/>
      <c r="AL2031" s="589"/>
      <c r="AM2031" s="589"/>
      <c r="AN2031" s="589"/>
      <c r="AO2031" s="589"/>
      <c r="AP2031" s="589"/>
      <c r="AQ2031" s="589"/>
      <c r="AR2031" s="589"/>
      <c r="AS2031" s="589"/>
    </row>
    <row r="2032" spans="1:45" ht="15">
      <c r="A2032" s="587" t="s">
        <v>184</v>
      </c>
      <c r="B2032" s="587" t="s">
        <v>641</v>
      </c>
      <c r="C2032" s="587" t="s">
        <v>782</v>
      </c>
      <c r="D2032" s="588">
        <v>2018</v>
      </c>
      <c r="E2032" s="587" t="s">
        <v>775</v>
      </c>
      <c r="F2032" s="588">
        <v>565</v>
      </c>
      <c r="G2032" s="588">
        <v>0</v>
      </c>
      <c r="H2032" s="588">
        <v>0</v>
      </c>
      <c r="I2032" s="588">
        <v>0</v>
      </c>
      <c r="J2032" s="588">
        <v>281</v>
      </c>
      <c r="K2032" s="588">
        <v>0</v>
      </c>
      <c r="L2032" s="588">
        <v>0</v>
      </c>
      <c r="M2032" s="588">
        <v>0</v>
      </c>
      <c r="N2032" s="588">
        <v>313</v>
      </c>
      <c r="O2032" s="588">
        <v>5</v>
      </c>
      <c r="P2032" s="588">
        <v>705</v>
      </c>
      <c r="Q2032" s="588">
        <v>162</v>
      </c>
      <c r="R2032" s="588">
        <v>1864</v>
      </c>
      <c r="S2032" s="588">
        <v>167</v>
      </c>
      <c r="T2032" s="588">
        <v>2018</v>
      </c>
      <c r="U2032" s="588">
        <v>2015</v>
      </c>
      <c r="V2032" s="589"/>
      <c r="W2032" s="589"/>
      <c r="X2032" s="589"/>
      <c r="Y2032" s="589"/>
      <c r="Z2032" s="589"/>
      <c r="AA2032" s="589"/>
      <c r="AB2032" s="589"/>
      <c r="AC2032" s="589"/>
      <c r="AD2032" s="589"/>
      <c r="AE2032" s="589"/>
      <c r="AF2032" s="589"/>
      <c r="AG2032" s="589"/>
      <c r="AH2032" s="589"/>
      <c r="AI2032" s="589"/>
      <c r="AJ2032" s="589"/>
      <c r="AK2032" s="589"/>
      <c r="AL2032" s="589"/>
      <c r="AM2032" s="589"/>
      <c r="AN2032" s="589"/>
      <c r="AO2032" s="589"/>
      <c r="AP2032" s="589"/>
      <c r="AQ2032" s="589"/>
      <c r="AR2032" s="589"/>
      <c r="AS2032" s="589"/>
    </row>
    <row r="2033" spans="1:45" ht="15">
      <c r="A2033" s="590" t="s">
        <v>195</v>
      </c>
      <c r="B2033" s="590" t="s">
        <v>710</v>
      </c>
      <c r="C2033" s="590" t="s">
        <v>811</v>
      </c>
      <c r="D2033" s="593">
        <v>2018</v>
      </c>
      <c r="E2033" s="590" t="s">
        <v>775</v>
      </c>
      <c r="F2033" s="593">
        <v>538</v>
      </c>
      <c r="G2033" s="593">
        <v>0</v>
      </c>
      <c r="H2033" s="593">
        <v>0</v>
      </c>
      <c r="I2033" s="593">
        <v>0</v>
      </c>
      <c r="J2033" s="593">
        <v>345</v>
      </c>
      <c r="K2033" s="593">
        <v>6</v>
      </c>
      <c r="L2033" s="593">
        <v>0</v>
      </c>
      <c r="M2033" s="593">
        <v>6</v>
      </c>
      <c r="N2033" s="593">
        <v>391</v>
      </c>
      <c r="O2033" s="593">
        <v>0</v>
      </c>
      <c r="P2033" s="593">
        <v>967</v>
      </c>
      <c r="Q2033" s="593">
        <v>108</v>
      </c>
      <c r="R2033" s="593">
        <v>2241</v>
      </c>
      <c r="S2033" s="593">
        <v>114</v>
      </c>
      <c r="T2033" s="593">
        <v>2018</v>
      </c>
      <c r="U2033" s="593">
        <v>2016</v>
      </c>
      <c r="V2033" s="589"/>
      <c r="W2033" s="589"/>
      <c r="X2033" s="589"/>
      <c r="Y2033" s="589"/>
      <c r="Z2033" s="589"/>
      <c r="AA2033" s="589"/>
      <c r="AB2033" s="589"/>
      <c r="AC2033" s="589"/>
      <c r="AD2033" s="589"/>
      <c r="AE2033" s="589"/>
      <c r="AF2033" s="589"/>
      <c r="AG2033" s="589"/>
      <c r="AH2033" s="589"/>
      <c r="AI2033" s="589"/>
      <c r="AJ2033" s="589"/>
      <c r="AK2033" s="589"/>
      <c r="AL2033" s="589"/>
      <c r="AM2033" s="589"/>
      <c r="AN2033" s="589"/>
      <c r="AO2033" s="589"/>
      <c r="AP2033" s="589"/>
      <c r="AQ2033" s="589"/>
      <c r="AR2033" s="589"/>
      <c r="AS2033" s="589"/>
    </row>
    <row r="2034" spans="1:45" ht="15">
      <c r="A2034" s="587" t="s">
        <v>169</v>
      </c>
      <c r="B2034" s="587" t="s">
        <v>514</v>
      </c>
      <c r="C2034" s="587" t="s">
        <v>813</v>
      </c>
      <c r="D2034" s="588">
        <v>2018</v>
      </c>
      <c r="E2034" s="587" t="s">
        <v>775</v>
      </c>
      <c r="F2034" s="588">
        <v>68</v>
      </c>
      <c r="G2034" s="588">
        <v>0</v>
      </c>
      <c r="H2034" s="588">
        <v>0</v>
      </c>
      <c r="I2034" s="588">
        <v>0</v>
      </c>
      <c r="J2034" s="588">
        <v>49</v>
      </c>
      <c r="K2034" s="588">
        <v>0</v>
      </c>
      <c r="L2034" s="588">
        <v>0</v>
      </c>
      <c r="M2034" s="588">
        <v>0</v>
      </c>
      <c r="N2034" s="588">
        <v>56</v>
      </c>
      <c r="O2034" s="588">
        <v>12</v>
      </c>
      <c r="P2034" s="588">
        <v>140</v>
      </c>
      <c r="Q2034" s="588">
        <v>45</v>
      </c>
      <c r="R2034" s="588">
        <v>313</v>
      </c>
      <c r="S2034" s="588">
        <v>57</v>
      </c>
      <c r="T2034" s="588">
        <v>2018</v>
      </c>
      <c r="U2034" s="588">
        <v>2014</v>
      </c>
      <c r="V2034" s="589"/>
      <c r="W2034" s="589"/>
      <c r="X2034" s="589"/>
      <c r="Y2034" s="589"/>
      <c r="Z2034" s="589"/>
      <c r="AA2034" s="589"/>
      <c r="AB2034" s="589"/>
      <c r="AC2034" s="589"/>
      <c r="AD2034" s="589"/>
      <c r="AE2034" s="589"/>
      <c r="AF2034" s="589"/>
      <c r="AG2034" s="589"/>
      <c r="AH2034" s="589"/>
      <c r="AI2034" s="589"/>
      <c r="AJ2034" s="589"/>
      <c r="AK2034" s="589"/>
      <c r="AL2034" s="589"/>
      <c r="AM2034" s="589"/>
      <c r="AN2034" s="589"/>
      <c r="AO2034" s="589"/>
      <c r="AP2034" s="589"/>
      <c r="AQ2034" s="589"/>
      <c r="AR2034" s="589"/>
      <c r="AS2034" s="589"/>
    </row>
    <row r="2035" spans="1:45" ht="15">
      <c r="A2035" s="590" t="s">
        <v>182</v>
      </c>
      <c r="B2035" s="590" t="s">
        <v>614</v>
      </c>
      <c r="C2035" s="590" t="s">
        <v>811</v>
      </c>
      <c r="D2035" s="593">
        <v>2018</v>
      </c>
      <c r="E2035" s="590" t="s">
        <v>775</v>
      </c>
      <c r="F2035" s="593">
        <v>3157</v>
      </c>
      <c r="G2035" s="593">
        <v>0</v>
      </c>
      <c r="H2035" s="593">
        <v>0</v>
      </c>
      <c r="I2035" s="593">
        <v>0</v>
      </c>
      <c r="J2035" s="593">
        <v>2004</v>
      </c>
      <c r="K2035" s="593">
        <v>4</v>
      </c>
      <c r="L2035" s="593">
        <v>0</v>
      </c>
      <c r="M2035" s="593">
        <v>4</v>
      </c>
      <c r="N2035" s="593">
        <v>2103</v>
      </c>
      <c r="O2035" s="593">
        <v>80</v>
      </c>
      <c r="P2035" s="593">
        <v>4560</v>
      </c>
      <c r="Q2035" s="593">
        <v>243</v>
      </c>
      <c r="R2035" s="593">
        <v>11824</v>
      </c>
      <c r="S2035" s="593">
        <v>327</v>
      </c>
      <c r="T2035" s="593">
        <v>2018</v>
      </c>
      <c r="U2035" s="593">
        <v>2016</v>
      </c>
      <c r="V2035" s="589"/>
      <c r="W2035" s="589"/>
      <c r="X2035" s="589"/>
      <c r="Y2035" s="589"/>
      <c r="Z2035" s="589"/>
      <c r="AA2035" s="589"/>
      <c r="AB2035" s="589"/>
      <c r="AC2035" s="589"/>
      <c r="AD2035" s="589"/>
      <c r="AE2035" s="589"/>
      <c r="AF2035" s="589"/>
      <c r="AG2035" s="589"/>
      <c r="AH2035" s="589"/>
      <c r="AI2035" s="589"/>
      <c r="AJ2035" s="589"/>
      <c r="AK2035" s="589"/>
      <c r="AL2035" s="589"/>
      <c r="AM2035" s="589"/>
      <c r="AN2035" s="589"/>
      <c r="AO2035" s="589"/>
      <c r="AP2035" s="589"/>
      <c r="AQ2035" s="589"/>
      <c r="AR2035" s="589"/>
      <c r="AS2035" s="589"/>
    </row>
    <row r="2036" spans="1:45" ht="15">
      <c r="A2036" s="587" t="s">
        <v>192</v>
      </c>
      <c r="B2036" s="587" t="s">
        <v>691</v>
      </c>
      <c r="C2036" s="587" t="s">
        <v>782</v>
      </c>
      <c r="D2036" s="588">
        <v>2018</v>
      </c>
      <c r="E2036" s="587" t="s">
        <v>775</v>
      </c>
      <c r="F2036" s="588">
        <v>147</v>
      </c>
      <c r="G2036" s="588">
        <v>0</v>
      </c>
      <c r="H2036" s="588">
        <v>0</v>
      </c>
      <c r="I2036" s="588">
        <v>0</v>
      </c>
      <c r="J2036" s="588">
        <v>57</v>
      </c>
      <c r="K2036" s="588">
        <v>0</v>
      </c>
      <c r="L2036" s="588">
        <v>0</v>
      </c>
      <c r="M2036" s="588">
        <v>0</v>
      </c>
      <c r="N2036" s="588">
        <v>60</v>
      </c>
      <c r="O2036" s="588">
        <v>0</v>
      </c>
      <c r="P2036" s="588">
        <v>241</v>
      </c>
      <c r="Q2036" s="588">
        <v>5</v>
      </c>
      <c r="R2036" s="588">
        <v>505</v>
      </c>
      <c r="S2036" s="588">
        <v>5</v>
      </c>
      <c r="T2036" s="588">
        <v>2018</v>
      </c>
      <c r="U2036" s="588">
        <v>2015</v>
      </c>
      <c r="V2036" s="589"/>
      <c r="W2036" s="589"/>
      <c r="X2036" s="589"/>
      <c r="Y2036" s="589"/>
      <c r="Z2036" s="589"/>
      <c r="AA2036" s="589"/>
      <c r="AB2036" s="589"/>
      <c r="AC2036" s="589"/>
      <c r="AD2036" s="589"/>
      <c r="AE2036" s="589"/>
      <c r="AF2036" s="589"/>
      <c r="AG2036" s="589"/>
      <c r="AH2036" s="589"/>
      <c r="AI2036" s="589"/>
      <c r="AJ2036" s="589"/>
      <c r="AK2036" s="589"/>
      <c r="AL2036" s="589"/>
      <c r="AM2036" s="589"/>
      <c r="AN2036" s="589"/>
      <c r="AO2036" s="589"/>
      <c r="AP2036" s="589"/>
      <c r="AQ2036" s="589"/>
      <c r="AR2036" s="589"/>
      <c r="AS2036" s="589"/>
    </row>
    <row r="2037" spans="1:45" ht="15">
      <c r="A2037" s="590" t="s">
        <v>187</v>
      </c>
      <c r="B2037" s="590" t="s">
        <v>665</v>
      </c>
      <c r="C2037" s="590" t="s">
        <v>782</v>
      </c>
      <c r="D2037" s="593">
        <v>2018</v>
      </c>
      <c r="E2037" s="590" t="s">
        <v>775</v>
      </c>
      <c r="F2037" s="593">
        <v>1640</v>
      </c>
      <c r="G2037" s="593">
        <v>0</v>
      </c>
      <c r="H2037" s="593">
        <v>0</v>
      </c>
      <c r="I2037" s="593">
        <v>0</v>
      </c>
      <c r="J2037" s="593">
        <v>906</v>
      </c>
      <c r="K2037" s="593">
        <v>0</v>
      </c>
      <c r="L2037" s="593">
        <v>0</v>
      </c>
      <c r="M2037" s="593">
        <v>0</v>
      </c>
      <c r="N2037" s="593">
        <v>932</v>
      </c>
      <c r="O2037" s="593">
        <v>62</v>
      </c>
      <c r="P2037" s="593">
        <v>1974</v>
      </c>
      <c r="Q2037" s="593">
        <v>207</v>
      </c>
      <c r="R2037" s="593">
        <v>5452</v>
      </c>
      <c r="S2037" s="593">
        <v>269</v>
      </c>
      <c r="T2037" s="593">
        <v>2018</v>
      </c>
      <c r="U2037" s="593">
        <v>2015</v>
      </c>
      <c r="V2037" s="589"/>
      <c r="W2037" s="589"/>
      <c r="X2037" s="589"/>
      <c r="Y2037" s="589"/>
      <c r="Z2037" s="589"/>
      <c r="AA2037" s="589"/>
      <c r="AB2037" s="589"/>
      <c r="AC2037" s="589"/>
      <c r="AD2037" s="589"/>
      <c r="AE2037" s="589"/>
      <c r="AF2037" s="589"/>
      <c r="AG2037" s="589"/>
      <c r="AH2037" s="589"/>
      <c r="AI2037" s="589"/>
      <c r="AJ2037" s="589"/>
      <c r="AK2037" s="589"/>
      <c r="AL2037" s="589"/>
      <c r="AM2037" s="589"/>
      <c r="AN2037" s="589"/>
      <c r="AO2037" s="589"/>
      <c r="AP2037" s="589"/>
      <c r="AQ2037" s="589"/>
      <c r="AR2037" s="589"/>
      <c r="AS2037" s="589"/>
    </row>
    <row r="2038" spans="1:45" ht="15">
      <c r="A2038" s="587" t="s">
        <v>196</v>
      </c>
      <c r="B2038" s="587" t="s">
        <v>714</v>
      </c>
      <c r="C2038" s="587" t="s">
        <v>801</v>
      </c>
      <c r="D2038" s="588">
        <v>2018</v>
      </c>
      <c r="E2038" s="587" t="s">
        <v>775</v>
      </c>
      <c r="F2038" s="588">
        <v>85</v>
      </c>
      <c r="G2038" s="588">
        <v>2</v>
      </c>
      <c r="H2038" s="588">
        <v>0</v>
      </c>
      <c r="I2038" s="588">
        <v>2</v>
      </c>
      <c r="J2038" s="588">
        <v>60</v>
      </c>
      <c r="K2038" s="588">
        <v>1</v>
      </c>
      <c r="L2038" s="588">
        <v>0</v>
      </c>
      <c r="M2038" s="588">
        <v>1</v>
      </c>
      <c r="N2038" s="588">
        <v>62</v>
      </c>
      <c r="O2038" s="588">
        <v>2</v>
      </c>
      <c r="P2038" s="588">
        <v>128</v>
      </c>
      <c r="Q2038" s="588">
        <v>5</v>
      </c>
      <c r="R2038" s="588">
        <v>335</v>
      </c>
      <c r="S2038" s="588">
        <v>10</v>
      </c>
      <c r="T2038" s="588">
        <v>2018</v>
      </c>
      <c r="U2038" s="588">
        <v>2014</v>
      </c>
      <c r="V2038" s="589"/>
      <c r="W2038" s="589"/>
      <c r="X2038" s="589"/>
      <c r="Y2038" s="589"/>
      <c r="Z2038" s="589"/>
      <c r="AA2038" s="589"/>
      <c r="AB2038" s="589"/>
      <c r="AC2038" s="589"/>
      <c r="AD2038" s="589"/>
      <c r="AE2038" s="589"/>
      <c r="AF2038" s="589"/>
      <c r="AG2038" s="589"/>
      <c r="AH2038" s="589"/>
      <c r="AI2038" s="589"/>
      <c r="AJ2038" s="589"/>
      <c r="AK2038" s="589"/>
      <c r="AL2038" s="589"/>
      <c r="AM2038" s="589"/>
      <c r="AN2038" s="589"/>
      <c r="AO2038" s="589"/>
      <c r="AP2038" s="589"/>
      <c r="AQ2038" s="589"/>
      <c r="AR2038" s="589"/>
      <c r="AS2038" s="589"/>
    </row>
    <row r="2039" spans="1:45" ht="15">
      <c r="A2039" s="590" t="s">
        <v>130</v>
      </c>
      <c r="B2039" s="590" t="s">
        <v>254</v>
      </c>
      <c r="C2039" s="590" t="s">
        <v>785</v>
      </c>
      <c r="D2039" s="593">
        <v>2018</v>
      </c>
      <c r="E2039" s="590" t="s">
        <v>775</v>
      </c>
      <c r="F2039" s="593">
        <v>2</v>
      </c>
      <c r="G2039" s="593">
        <v>0</v>
      </c>
      <c r="H2039" s="593">
        <v>0</v>
      </c>
      <c r="I2039" s="593">
        <v>0</v>
      </c>
      <c r="J2039" s="593">
        <v>2</v>
      </c>
      <c r="K2039" s="593">
        <v>0</v>
      </c>
      <c r="L2039" s="593">
        <v>0</v>
      </c>
      <c r="M2039" s="593">
        <v>0</v>
      </c>
      <c r="N2039" s="593">
        <v>2</v>
      </c>
      <c r="O2039" s="593">
        <v>0</v>
      </c>
      <c r="P2039" s="593">
        <v>4</v>
      </c>
      <c r="Q2039" s="593">
        <v>1</v>
      </c>
      <c r="R2039" s="593">
        <v>10</v>
      </c>
      <c r="S2039" s="593">
        <v>1</v>
      </c>
      <c r="T2039" s="593">
        <v>2018</v>
      </c>
      <c r="U2039" s="593">
        <v>2014</v>
      </c>
      <c r="V2039" s="589"/>
      <c r="W2039" s="589"/>
      <c r="X2039" s="589"/>
      <c r="Y2039" s="589"/>
      <c r="Z2039" s="589"/>
      <c r="AA2039" s="589"/>
      <c r="AB2039" s="589"/>
      <c r="AC2039" s="589"/>
      <c r="AD2039" s="589"/>
      <c r="AE2039" s="589"/>
      <c r="AF2039" s="589"/>
      <c r="AG2039" s="589"/>
      <c r="AH2039" s="589"/>
      <c r="AI2039" s="589"/>
      <c r="AJ2039" s="589"/>
      <c r="AK2039" s="589"/>
      <c r="AL2039" s="589"/>
      <c r="AM2039" s="589"/>
      <c r="AN2039" s="589"/>
      <c r="AO2039" s="589"/>
      <c r="AP2039" s="589"/>
      <c r="AQ2039" s="589"/>
      <c r="AR2039" s="589"/>
      <c r="AS2039" s="589"/>
    </row>
    <row r="2040" spans="1:45" ht="15">
      <c r="A2040" s="587" t="s">
        <v>148</v>
      </c>
      <c r="B2040" s="587" t="s">
        <v>333</v>
      </c>
      <c r="C2040" s="587" t="s">
        <v>811</v>
      </c>
      <c r="D2040" s="588">
        <v>2018</v>
      </c>
      <c r="E2040" s="587" t="s">
        <v>775</v>
      </c>
      <c r="F2040" s="588">
        <v>52</v>
      </c>
      <c r="G2040" s="588">
        <v>0</v>
      </c>
      <c r="H2040" s="588">
        <v>0</v>
      </c>
      <c r="I2040" s="588">
        <v>0</v>
      </c>
      <c r="J2040" s="588">
        <v>26</v>
      </c>
      <c r="K2040" s="588">
        <v>0</v>
      </c>
      <c r="L2040" s="588">
        <v>0</v>
      </c>
      <c r="M2040" s="588">
        <v>0</v>
      </c>
      <c r="N2040" s="588">
        <v>30</v>
      </c>
      <c r="O2040" s="588">
        <v>2</v>
      </c>
      <c r="P2040" s="588">
        <v>146</v>
      </c>
      <c r="Q2040" s="588">
        <v>6</v>
      </c>
      <c r="R2040" s="588">
        <v>254</v>
      </c>
      <c r="S2040" s="588">
        <v>8</v>
      </c>
      <c r="T2040" s="588">
        <v>2018</v>
      </c>
      <c r="U2040" s="588">
        <v>2016</v>
      </c>
      <c r="V2040" s="589"/>
      <c r="W2040" s="589"/>
      <c r="X2040" s="589"/>
      <c r="Y2040" s="589"/>
      <c r="Z2040" s="589"/>
      <c r="AA2040" s="589"/>
      <c r="AB2040" s="589"/>
      <c r="AC2040" s="589"/>
      <c r="AD2040" s="589"/>
      <c r="AE2040" s="589"/>
      <c r="AF2040" s="589"/>
      <c r="AG2040" s="589"/>
      <c r="AH2040" s="589"/>
      <c r="AI2040" s="589"/>
      <c r="AJ2040" s="589"/>
      <c r="AK2040" s="589"/>
      <c r="AL2040" s="589"/>
      <c r="AM2040" s="589"/>
      <c r="AN2040" s="589"/>
      <c r="AO2040" s="589"/>
      <c r="AP2040" s="589"/>
      <c r="AQ2040" s="589"/>
      <c r="AR2040" s="589"/>
      <c r="AS2040" s="589"/>
    </row>
    <row r="2041" spans="1:45" ht="15">
      <c r="A2041" s="590" t="s">
        <v>148</v>
      </c>
      <c r="B2041" s="590" t="s">
        <v>334</v>
      </c>
      <c r="C2041" s="590" t="s">
        <v>811</v>
      </c>
      <c r="D2041" s="593">
        <v>2018</v>
      </c>
      <c r="E2041" s="590" t="s">
        <v>775</v>
      </c>
      <c r="F2041" s="593">
        <v>127</v>
      </c>
      <c r="G2041" s="593">
        <v>0</v>
      </c>
      <c r="H2041" s="593">
        <v>0</v>
      </c>
      <c r="I2041" s="593">
        <v>0</v>
      </c>
      <c r="J2041" s="593">
        <v>64</v>
      </c>
      <c r="K2041" s="593">
        <v>0</v>
      </c>
      <c r="L2041" s="593">
        <v>0</v>
      </c>
      <c r="M2041" s="593">
        <v>0</v>
      </c>
      <c r="N2041" s="593">
        <v>88</v>
      </c>
      <c r="O2041" s="593">
        <v>0</v>
      </c>
      <c r="P2041" s="593">
        <v>216</v>
      </c>
      <c r="Q2041" s="593">
        <v>21</v>
      </c>
      <c r="R2041" s="593">
        <v>495</v>
      </c>
      <c r="S2041" s="593">
        <v>21</v>
      </c>
      <c r="T2041" s="593">
        <v>2018</v>
      </c>
      <c r="U2041" s="593">
        <v>2016</v>
      </c>
      <c r="V2041" s="589"/>
      <c r="W2041" s="589"/>
      <c r="X2041" s="589"/>
      <c r="Y2041" s="589"/>
      <c r="Z2041" s="589"/>
      <c r="AA2041" s="589"/>
      <c r="AB2041" s="589"/>
      <c r="AC2041" s="589"/>
      <c r="AD2041" s="589"/>
      <c r="AE2041" s="589"/>
      <c r="AF2041" s="589"/>
      <c r="AG2041" s="589"/>
      <c r="AH2041" s="589"/>
      <c r="AI2041" s="589"/>
      <c r="AJ2041" s="589"/>
      <c r="AK2041" s="589"/>
      <c r="AL2041" s="589"/>
      <c r="AM2041" s="589"/>
      <c r="AN2041" s="589"/>
      <c r="AO2041" s="589"/>
      <c r="AP2041" s="589"/>
      <c r="AQ2041" s="589"/>
      <c r="AR2041" s="589"/>
      <c r="AS2041" s="589"/>
    </row>
    <row r="2042" spans="1:45" ht="15">
      <c r="A2042" s="587" t="s">
        <v>197</v>
      </c>
      <c r="B2042" s="587" t="s">
        <v>197</v>
      </c>
      <c r="C2042" s="587" t="s">
        <v>785</v>
      </c>
      <c r="D2042" s="588">
        <v>2018</v>
      </c>
      <c r="E2042" s="587" t="s">
        <v>775</v>
      </c>
      <c r="F2042" s="588">
        <v>2</v>
      </c>
      <c r="G2042" s="588">
        <v>0</v>
      </c>
      <c r="H2042" s="588">
        <v>0</v>
      </c>
      <c r="I2042" s="588">
        <v>0</v>
      </c>
      <c r="J2042" s="588">
        <v>2</v>
      </c>
      <c r="K2042" s="588">
        <v>0</v>
      </c>
      <c r="L2042" s="588">
        <v>0</v>
      </c>
      <c r="M2042" s="588">
        <v>0</v>
      </c>
      <c r="N2042" s="588">
        <v>2</v>
      </c>
      <c r="O2042" s="588">
        <v>0</v>
      </c>
      <c r="P2042" s="588">
        <v>4</v>
      </c>
      <c r="Q2042" s="588">
        <v>0</v>
      </c>
      <c r="R2042" s="588">
        <v>10</v>
      </c>
      <c r="S2042" s="588">
        <v>0</v>
      </c>
      <c r="T2042" s="588">
        <v>2018</v>
      </c>
      <c r="U2042" s="588">
        <v>2014</v>
      </c>
      <c r="V2042" s="589"/>
      <c r="W2042" s="589"/>
      <c r="X2042" s="589"/>
      <c r="Y2042" s="589"/>
      <c r="Z2042" s="589"/>
      <c r="AA2042" s="589"/>
      <c r="AB2042" s="589"/>
      <c r="AC2042" s="589"/>
      <c r="AD2042" s="589"/>
      <c r="AE2042" s="589"/>
      <c r="AF2042" s="589"/>
      <c r="AG2042" s="589"/>
      <c r="AH2042" s="589"/>
      <c r="AI2042" s="589"/>
      <c r="AJ2042" s="589"/>
      <c r="AK2042" s="589"/>
      <c r="AL2042" s="589"/>
      <c r="AM2042" s="589"/>
      <c r="AN2042" s="589"/>
      <c r="AO2042" s="589"/>
      <c r="AP2042" s="589"/>
      <c r="AQ2042" s="589"/>
      <c r="AR2042" s="589"/>
      <c r="AS2042" s="589"/>
    </row>
    <row r="2043" spans="1:45" ht="15">
      <c r="A2043" s="590" t="s">
        <v>197</v>
      </c>
      <c r="B2043" s="590" t="s">
        <v>718</v>
      </c>
      <c r="C2043" s="590" t="s">
        <v>785</v>
      </c>
      <c r="D2043" s="593">
        <v>2018</v>
      </c>
      <c r="E2043" s="590" t="s">
        <v>775</v>
      </c>
      <c r="F2043" s="593">
        <v>112</v>
      </c>
      <c r="G2043" s="593">
        <v>0</v>
      </c>
      <c r="H2043" s="593">
        <v>0</v>
      </c>
      <c r="I2043" s="593">
        <v>0</v>
      </c>
      <c r="J2043" s="593">
        <v>76</v>
      </c>
      <c r="K2043" s="593">
        <v>0</v>
      </c>
      <c r="L2043" s="593">
        <v>0</v>
      </c>
      <c r="M2043" s="593">
        <v>0</v>
      </c>
      <c r="N2043" s="593">
        <v>89</v>
      </c>
      <c r="O2043" s="593">
        <v>0</v>
      </c>
      <c r="P2043" s="593">
        <v>209</v>
      </c>
      <c r="Q2043" s="593">
        <v>0</v>
      </c>
      <c r="R2043" s="593">
        <v>486</v>
      </c>
      <c r="S2043" s="593">
        <v>0</v>
      </c>
      <c r="T2043" s="593">
        <v>2018</v>
      </c>
      <c r="U2043" s="593">
        <v>2014</v>
      </c>
      <c r="V2043" s="589"/>
      <c r="W2043" s="589"/>
      <c r="X2043" s="589"/>
      <c r="Y2043" s="589"/>
      <c r="Z2043" s="589"/>
      <c r="AA2043" s="589"/>
      <c r="AB2043" s="589"/>
      <c r="AC2043" s="589"/>
      <c r="AD2043" s="589"/>
      <c r="AE2043" s="589"/>
      <c r="AF2043" s="589"/>
      <c r="AG2043" s="589"/>
      <c r="AH2043" s="589"/>
      <c r="AI2043" s="589"/>
      <c r="AJ2043" s="589"/>
      <c r="AK2043" s="589"/>
      <c r="AL2043" s="589"/>
      <c r="AM2043" s="589"/>
      <c r="AN2043" s="589"/>
      <c r="AO2043" s="589"/>
      <c r="AP2043" s="589"/>
      <c r="AQ2043" s="589"/>
      <c r="AR2043" s="589"/>
      <c r="AS2043" s="589"/>
    </row>
    <row r="2044" spans="1:45" ht="15">
      <c r="A2044" s="587" t="s">
        <v>173</v>
      </c>
      <c r="B2044" s="587" t="s">
        <v>554</v>
      </c>
      <c r="C2044" s="587" t="s">
        <v>813</v>
      </c>
      <c r="D2044" s="588">
        <v>2018</v>
      </c>
      <c r="E2044" s="587" t="s">
        <v>775</v>
      </c>
      <c r="F2044" s="588">
        <v>375</v>
      </c>
      <c r="G2044" s="588">
        <v>0</v>
      </c>
      <c r="H2044" s="588">
        <v>0</v>
      </c>
      <c r="I2044" s="588">
        <v>0</v>
      </c>
      <c r="J2044" s="588">
        <v>251</v>
      </c>
      <c r="K2044" s="588">
        <v>0</v>
      </c>
      <c r="L2044" s="588">
        <v>0</v>
      </c>
      <c r="M2044" s="588">
        <v>0</v>
      </c>
      <c r="N2044" s="588">
        <v>271</v>
      </c>
      <c r="O2044" s="588">
        <v>0</v>
      </c>
      <c r="P2044" s="588">
        <v>596</v>
      </c>
      <c r="Q2044" s="588">
        <v>90</v>
      </c>
      <c r="R2044" s="588">
        <v>1493</v>
      </c>
      <c r="S2044" s="588">
        <v>90</v>
      </c>
      <c r="T2044" s="588">
        <v>2018</v>
      </c>
      <c r="U2044" s="588">
        <v>2014</v>
      </c>
      <c r="V2044" s="589"/>
      <c r="W2044" s="589"/>
      <c r="X2044" s="589"/>
      <c r="Y2044" s="589"/>
      <c r="Z2044" s="589"/>
      <c r="AA2044" s="589"/>
      <c r="AB2044" s="589"/>
      <c r="AC2044" s="589"/>
      <c r="AD2044" s="589"/>
      <c r="AE2044" s="589"/>
      <c r="AF2044" s="589"/>
      <c r="AG2044" s="589"/>
      <c r="AH2044" s="589"/>
      <c r="AI2044" s="589"/>
      <c r="AJ2044" s="589"/>
      <c r="AK2044" s="589"/>
      <c r="AL2044" s="589"/>
      <c r="AM2044" s="589"/>
      <c r="AN2044" s="589"/>
      <c r="AO2044" s="589"/>
      <c r="AP2044" s="589"/>
      <c r="AQ2044" s="589"/>
      <c r="AR2044" s="589"/>
      <c r="AS2044" s="589"/>
    </row>
    <row r="2045" spans="1:45" ht="15">
      <c r="A2045" s="590" t="s">
        <v>153</v>
      </c>
      <c r="B2045" s="590" t="s">
        <v>426</v>
      </c>
      <c r="C2045" s="590" t="s">
        <v>813</v>
      </c>
      <c r="D2045" s="593">
        <v>2018</v>
      </c>
      <c r="E2045" s="590" t="s">
        <v>775</v>
      </c>
      <c r="F2045" s="593">
        <v>159</v>
      </c>
      <c r="G2045" s="593">
        <v>7</v>
      </c>
      <c r="H2045" s="593">
        <v>0</v>
      </c>
      <c r="I2045" s="593">
        <v>7</v>
      </c>
      <c r="J2045" s="593">
        <v>93</v>
      </c>
      <c r="K2045" s="593">
        <v>0</v>
      </c>
      <c r="L2045" s="593">
        <v>0</v>
      </c>
      <c r="M2045" s="593">
        <v>0</v>
      </c>
      <c r="N2045" s="593">
        <v>99</v>
      </c>
      <c r="O2045" s="593">
        <v>0</v>
      </c>
      <c r="P2045" s="593">
        <v>252</v>
      </c>
      <c r="Q2045" s="593">
        <v>4</v>
      </c>
      <c r="R2045" s="593">
        <v>603</v>
      </c>
      <c r="S2045" s="593">
        <v>11</v>
      </c>
      <c r="T2045" s="593">
        <v>2018</v>
      </c>
      <c r="U2045" s="593">
        <v>2014</v>
      </c>
      <c r="V2045" s="589"/>
      <c r="W2045" s="589"/>
      <c r="X2045" s="589"/>
      <c r="Y2045" s="589"/>
      <c r="Z2045" s="589"/>
      <c r="AA2045" s="589"/>
      <c r="AB2045" s="589"/>
      <c r="AC2045" s="589"/>
      <c r="AD2045" s="589"/>
      <c r="AE2045" s="589"/>
      <c r="AF2045" s="589"/>
      <c r="AG2045" s="589"/>
      <c r="AH2045" s="589"/>
      <c r="AI2045" s="589"/>
      <c r="AJ2045" s="589"/>
      <c r="AK2045" s="589"/>
      <c r="AL2045" s="589"/>
      <c r="AM2045" s="589"/>
      <c r="AN2045" s="589"/>
      <c r="AO2045" s="589"/>
      <c r="AP2045" s="589"/>
      <c r="AQ2045" s="589"/>
      <c r="AR2045" s="589"/>
      <c r="AS2045" s="589"/>
    </row>
    <row r="2046" spans="1:45" ht="15">
      <c r="A2046" s="587" t="s">
        <v>201</v>
      </c>
      <c r="B2046" s="587" t="s">
        <v>739</v>
      </c>
      <c r="C2046" s="587" t="s">
        <v>813</v>
      </c>
      <c r="D2046" s="588">
        <v>2018</v>
      </c>
      <c r="E2046" s="587" t="s">
        <v>775</v>
      </c>
      <c r="F2046" s="588">
        <v>47</v>
      </c>
      <c r="G2046" s="588">
        <v>3</v>
      </c>
      <c r="H2046" s="588">
        <v>3</v>
      </c>
      <c r="I2046" s="588">
        <v>0</v>
      </c>
      <c r="J2046" s="588">
        <v>32</v>
      </c>
      <c r="K2046" s="588">
        <v>0</v>
      </c>
      <c r="L2046" s="588">
        <v>0</v>
      </c>
      <c r="M2046" s="588">
        <v>0</v>
      </c>
      <c r="N2046" s="588">
        <v>36</v>
      </c>
      <c r="O2046" s="588">
        <v>47</v>
      </c>
      <c r="P2046" s="588">
        <v>77</v>
      </c>
      <c r="Q2046" s="588">
        <v>32</v>
      </c>
      <c r="R2046" s="588">
        <v>192</v>
      </c>
      <c r="S2046" s="588">
        <v>82</v>
      </c>
      <c r="T2046" s="588">
        <v>2018</v>
      </c>
      <c r="U2046" s="588">
        <v>2014</v>
      </c>
      <c r="V2046" s="589"/>
      <c r="W2046" s="589"/>
      <c r="X2046" s="589"/>
      <c r="Y2046" s="589"/>
      <c r="Z2046" s="589"/>
      <c r="AA2046" s="589"/>
      <c r="AB2046" s="589"/>
      <c r="AC2046" s="589"/>
      <c r="AD2046" s="589"/>
      <c r="AE2046" s="589"/>
      <c r="AF2046" s="589"/>
      <c r="AG2046" s="589"/>
      <c r="AH2046" s="589"/>
      <c r="AI2046" s="589"/>
      <c r="AJ2046" s="589"/>
      <c r="AK2046" s="589"/>
      <c r="AL2046" s="589"/>
      <c r="AM2046" s="589"/>
      <c r="AN2046" s="589"/>
      <c r="AO2046" s="589"/>
      <c r="AP2046" s="589"/>
      <c r="AQ2046" s="589"/>
      <c r="AR2046" s="589"/>
      <c r="AS2046" s="589"/>
    </row>
    <row r="2047" spans="1:45" ht="15">
      <c r="A2047" s="590" t="s">
        <v>157</v>
      </c>
      <c r="B2047" s="590" t="s">
        <v>447</v>
      </c>
      <c r="C2047" s="590" t="s">
        <v>782</v>
      </c>
      <c r="D2047" s="593">
        <v>2018</v>
      </c>
      <c r="E2047" s="590" t="s">
        <v>775</v>
      </c>
      <c r="F2047" s="593">
        <v>24</v>
      </c>
      <c r="G2047" s="593">
        <v>0</v>
      </c>
      <c r="H2047" s="593">
        <v>0</v>
      </c>
      <c r="I2047" s="593">
        <v>0</v>
      </c>
      <c r="J2047" s="593">
        <v>16</v>
      </c>
      <c r="K2047" s="593">
        <v>1</v>
      </c>
      <c r="L2047" s="593">
        <v>0</v>
      </c>
      <c r="M2047" s="593">
        <v>1</v>
      </c>
      <c r="N2047" s="593">
        <v>19</v>
      </c>
      <c r="O2047" s="593">
        <v>0</v>
      </c>
      <c r="P2047" s="593">
        <v>19</v>
      </c>
      <c r="Q2047" s="593">
        <v>4</v>
      </c>
      <c r="R2047" s="593">
        <v>78</v>
      </c>
      <c r="S2047" s="593">
        <v>5</v>
      </c>
      <c r="T2047" s="593">
        <v>2018</v>
      </c>
      <c r="U2047" s="593">
        <v>2015</v>
      </c>
      <c r="V2047" s="589"/>
      <c r="W2047" s="589"/>
      <c r="X2047" s="589"/>
      <c r="Y2047" s="589"/>
      <c r="Z2047" s="589"/>
      <c r="AA2047" s="589"/>
      <c r="AB2047" s="589"/>
      <c r="AC2047" s="589"/>
      <c r="AD2047" s="589"/>
      <c r="AE2047" s="589"/>
      <c r="AF2047" s="589"/>
      <c r="AG2047" s="589"/>
      <c r="AH2047" s="589"/>
      <c r="AI2047" s="589"/>
      <c r="AJ2047" s="589"/>
      <c r="AK2047" s="589"/>
      <c r="AL2047" s="589"/>
      <c r="AM2047" s="589"/>
      <c r="AN2047" s="589"/>
      <c r="AO2047" s="589"/>
      <c r="AP2047" s="589"/>
      <c r="AQ2047" s="589"/>
      <c r="AR2047" s="589"/>
      <c r="AS2047" s="589"/>
    </row>
    <row r="2048" spans="1:45" ht="15">
      <c r="A2048" s="587" t="s">
        <v>153</v>
      </c>
      <c r="B2048" s="587" t="s">
        <v>427</v>
      </c>
      <c r="C2048" s="587" t="s">
        <v>813</v>
      </c>
      <c r="D2048" s="588">
        <v>2018</v>
      </c>
      <c r="E2048" s="587" t="s">
        <v>775</v>
      </c>
      <c r="F2048" s="588">
        <v>380</v>
      </c>
      <c r="G2048" s="588">
        <v>0</v>
      </c>
      <c r="H2048" s="588">
        <v>0</v>
      </c>
      <c r="I2048" s="588">
        <v>0</v>
      </c>
      <c r="J2048" s="588">
        <v>227</v>
      </c>
      <c r="K2048" s="588">
        <v>0</v>
      </c>
      <c r="L2048" s="588">
        <v>0</v>
      </c>
      <c r="M2048" s="588">
        <v>0</v>
      </c>
      <c r="N2048" s="588">
        <v>243</v>
      </c>
      <c r="O2048" s="588">
        <v>0</v>
      </c>
      <c r="P2048" s="588">
        <v>600</v>
      </c>
      <c r="Q2048" s="588">
        <v>23</v>
      </c>
      <c r="R2048" s="588">
        <v>1450</v>
      </c>
      <c r="S2048" s="588">
        <v>23</v>
      </c>
      <c r="T2048" s="588">
        <v>2018</v>
      </c>
      <c r="U2048" s="588">
        <v>2014</v>
      </c>
      <c r="V2048" s="589"/>
      <c r="W2048" s="589"/>
      <c r="X2048" s="589"/>
      <c r="Y2048" s="589"/>
      <c r="Z2048" s="589"/>
      <c r="AA2048" s="589"/>
      <c r="AB2048" s="589"/>
      <c r="AC2048" s="589"/>
      <c r="AD2048" s="589"/>
      <c r="AE2048" s="589"/>
      <c r="AF2048" s="589"/>
      <c r="AG2048" s="589"/>
      <c r="AH2048" s="589"/>
      <c r="AI2048" s="589"/>
      <c r="AJ2048" s="589"/>
      <c r="AK2048" s="589"/>
      <c r="AL2048" s="589"/>
      <c r="AM2048" s="589"/>
      <c r="AN2048" s="589"/>
      <c r="AO2048" s="589"/>
      <c r="AP2048" s="589"/>
      <c r="AQ2048" s="589"/>
      <c r="AR2048" s="589"/>
      <c r="AS2048" s="589"/>
    </row>
    <row r="2049" spans="1:45" ht="15">
      <c r="A2049" s="590" t="s">
        <v>182</v>
      </c>
      <c r="B2049" s="590" t="s">
        <v>615</v>
      </c>
      <c r="C2049" s="590" t="s">
        <v>811</v>
      </c>
      <c r="D2049" s="593">
        <v>2018</v>
      </c>
      <c r="E2049" s="590" t="s">
        <v>775</v>
      </c>
      <c r="F2049" s="593">
        <v>980</v>
      </c>
      <c r="G2049" s="593">
        <v>0</v>
      </c>
      <c r="H2049" s="593">
        <v>0</v>
      </c>
      <c r="I2049" s="593">
        <v>0</v>
      </c>
      <c r="J2049" s="593">
        <v>705</v>
      </c>
      <c r="K2049" s="593">
        <v>0</v>
      </c>
      <c r="L2049" s="593">
        <v>0</v>
      </c>
      <c r="M2049" s="593">
        <v>0</v>
      </c>
      <c r="N2049" s="593">
        <v>828</v>
      </c>
      <c r="O2049" s="593">
        <v>7</v>
      </c>
      <c r="P2049" s="593">
        <v>2463</v>
      </c>
      <c r="Q2049" s="593">
        <v>1146</v>
      </c>
      <c r="R2049" s="593">
        <v>4976</v>
      </c>
      <c r="S2049" s="593">
        <v>1153</v>
      </c>
      <c r="T2049" s="593">
        <v>2018</v>
      </c>
      <c r="U2049" s="593">
        <v>2016</v>
      </c>
      <c r="V2049" s="589"/>
      <c r="W2049" s="589"/>
      <c r="X2049" s="589"/>
      <c r="Y2049" s="589"/>
      <c r="Z2049" s="589"/>
      <c r="AA2049" s="589"/>
      <c r="AB2049" s="589"/>
      <c r="AC2049" s="589"/>
      <c r="AD2049" s="589"/>
      <c r="AE2049" s="589"/>
      <c r="AF2049" s="589"/>
      <c r="AG2049" s="589"/>
      <c r="AH2049" s="589"/>
      <c r="AI2049" s="589"/>
      <c r="AJ2049" s="589"/>
      <c r="AK2049" s="589"/>
      <c r="AL2049" s="589"/>
      <c r="AM2049" s="589"/>
      <c r="AN2049" s="589"/>
      <c r="AO2049" s="589"/>
      <c r="AP2049" s="589"/>
      <c r="AQ2049" s="589"/>
      <c r="AR2049" s="589"/>
      <c r="AS2049" s="589"/>
    </row>
    <row r="2050" spans="1:45" ht="15">
      <c r="A2050" s="587" t="s">
        <v>145</v>
      </c>
      <c r="B2050" s="587" t="s">
        <v>314</v>
      </c>
      <c r="C2050" s="587" t="s">
        <v>785</v>
      </c>
      <c r="D2050" s="588">
        <v>2018</v>
      </c>
      <c r="E2050" s="587" t="s">
        <v>775</v>
      </c>
      <c r="F2050" s="588">
        <v>1</v>
      </c>
      <c r="G2050" s="588">
        <v>0</v>
      </c>
      <c r="H2050" s="588">
        <v>0</v>
      </c>
      <c r="I2050" s="588">
        <v>0</v>
      </c>
      <c r="J2050" s="588">
        <v>1</v>
      </c>
      <c r="K2050" s="588">
        <v>0</v>
      </c>
      <c r="L2050" s="588">
        <v>0</v>
      </c>
      <c r="M2050" s="588">
        <v>0</v>
      </c>
      <c r="N2050" s="588">
        <v>1</v>
      </c>
      <c r="O2050" s="588">
        <v>0</v>
      </c>
      <c r="P2050" s="588">
        <v>2</v>
      </c>
      <c r="Q2050" s="588">
        <v>1</v>
      </c>
      <c r="R2050" s="588">
        <v>5</v>
      </c>
      <c r="S2050" s="588">
        <v>1</v>
      </c>
      <c r="T2050" s="588">
        <v>2018</v>
      </c>
      <c r="U2050" s="588">
        <v>2014</v>
      </c>
      <c r="V2050" s="589"/>
      <c r="W2050" s="589"/>
      <c r="X2050" s="589"/>
      <c r="Y2050" s="589"/>
      <c r="Z2050" s="589"/>
      <c r="AA2050" s="589"/>
      <c r="AB2050" s="589"/>
      <c r="AC2050" s="589"/>
      <c r="AD2050" s="589"/>
      <c r="AE2050" s="589"/>
      <c r="AF2050" s="589"/>
      <c r="AG2050" s="589"/>
      <c r="AH2050" s="589"/>
      <c r="AI2050" s="589"/>
      <c r="AJ2050" s="589"/>
      <c r="AK2050" s="589"/>
      <c r="AL2050" s="589"/>
      <c r="AM2050" s="589"/>
      <c r="AN2050" s="589"/>
      <c r="AO2050" s="589"/>
      <c r="AP2050" s="589"/>
      <c r="AQ2050" s="589"/>
      <c r="AR2050" s="589"/>
      <c r="AS2050" s="589"/>
    </row>
    <row r="2051" spans="1:45" ht="15">
      <c r="A2051" s="590" t="s">
        <v>198</v>
      </c>
      <c r="B2051" s="590" t="s">
        <v>719</v>
      </c>
      <c r="C2051" s="590" t="s">
        <v>785</v>
      </c>
      <c r="D2051" s="593">
        <v>2018</v>
      </c>
      <c r="E2051" s="590" t="s">
        <v>775</v>
      </c>
      <c r="F2051" s="593">
        <v>2</v>
      </c>
      <c r="G2051" s="593">
        <v>0</v>
      </c>
      <c r="H2051" s="593">
        <v>0</v>
      </c>
      <c r="I2051" s="593">
        <v>0</v>
      </c>
      <c r="J2051" s="593">
        <v>2</v>
      </c>
      <c r="K2051" s="593">
        <v>0</v>
      </c>
      <c r="L2051" s="593">
        <v>0</v>
      </c>
      <c r="M2051" s="593">
        <v>0</v>
      </c>
      <c r="N2051" s="593">
        <v>2</v>
      </c>
      <c r="O2051" s="593">
        <v>0</v>
      </c>
      <c r="P2051" s="593">
        <v>4</v>
      </c>
      <c r="Q2051" s="593">
        <v>25</v>
      </c>
      <c r="R2051" s="593">
        <v>10</v>
      </c>
      <c r="S2051" s="593">
        <v>25</v>
      </c>
      <c r="T2051" s="593">
        <v>2018</v>
      </c>
      <c r="U2051" s="593">
        <v>2014</v>
      </c>
      <c r="V2051" s="589"/>
      <c r="W2051" s="589"/>
      <c r="X2051" s="589"/>
      <c r="Y2051" s="589"/>
      <c r="Z2051" s="589"/>
      <c r="AA2051" s="589"/>
      <c r="AB2051" s="589"/>
      <c r="AC2051" s="589"/>
      <c r="AD2051" s="589"/>
      <c r="AE2051" s="589"/>
      <c r="AF2051" s="589"/>
      <c r="AG2051" s="589"/>
      <c r="AH2051" s="589"/>
      <c r="AI2051" s="589"/>
      <c r="AJ2051" s="589"/>
      <c r="AK2051" s="589"/>
      <c r="AL2051" s="589"/>
      <c r="AM2051" s="589"/>
      <c r="AN2051" s="589"/>
      <c r="AO2051" s="589"/>
      <c r="AP2051" s="589"/>
      <c r="AQ2051" s="589"/>
      <c r="AR2051" s="589"/>
      <c r="AS2051" s="589"/>
    </row>
    <row r="2052" spans="1:45" ht="15">
      <c r="A2052" s="587" t="s">
        <v>168</v>
      </c>
      <c r="B2052" s="587" t="s">
        <v>484</v>
      </c>
      <c r="C2052" s="587" t="s">
        <v>785</v>
      </c>
      <c r="D2052" s="588">
        <v>2018</v>
      </c>
      <c r="E2052" s="587" t="s">
        <v>775</v>
      </c>
      <c r="F2052" s="588">
        <v>108</v>
      </c>
      <c r="G2052" s="588">
        <v>0</v>
      </c>
      <c r="H2052" s="588">
        <v>0</v>
      </c>
      <c r="I2052" s="588">
        <v>0</v>
      </c>
      <c r="J2052" s="588">
        <v>75</v>
      </c>
      <c r="K2052" s="588">
        <v>33</v>
      </c>
      <c r="L2052" s="588">
        <v>6</v>
      </c>
      <c r="M2052" s="588">
        <v>27</v>
      </c>
      <c r="N2052" s="588">
        <v>78</v>
      </c>
      <c r="O2052" s="588">
        <v>96</v>
      </c>
      <c r="P2052" s="588">
        <v>199</v>
      </c>
      <c r="Q2052" s="588">
        <v>122</v>
      </c>
      <c r="R2052" s="588">
        <v>460</v>
      </c>
      <c r="S2052" s="588">
        <v>251</v>
      </c>
      <c r="T2052" s="588">
        <v>2018</v>
      </c>
      <c r="U2052" s="588">
        <v>2014</v>
      </c>
      <c r="V2052" s="589"/>
      <c r="W2052" s="589"/>
      <c r="X2052" s="589"/>
      <c r="Y2052" s="589"/>
      <c r="Z2052" s="589"/>
      <c r="AA2052" s="589"/>
      <c r="AB2052" s="589"/>
      <c r="AC2052" s="589"/>
      <c r="AD2052" s="589"/>
      <c r="AE2052" s="589"/>
      <c r="AF2052" s="589"/>
      <c r="AG2052" s="589"/>
      <c r="AH2052" s="589"/>
      <c r="AI2052" s="589"/>
      <c r="AJ2052" s="589"/>
      <c r="AK2052" s="589"/>
      <c r="AL2052" s="589"/>
      <c r="AM2052" s="589"/>
      <c r="AN2052" s="589"/>
      <c r="AO2052" s="589"/>
      <c r="AP2052" s="589"/>
      <c r="AQ2052" s="589"/>
      <c r="AR2052" s="589"/>
      <c r="AS2052" s="589"/>
    </row>
    <row r="2053" spans="1:45" ht="15">
      <c r="A2053" s="590" t="s">
        <v>199</v>
      </c>
      <c r="B2053" s="590" t="s">
        <v>199</v>
      </c>
      <c r="C2053" s="590" t="s">
        <v>811</v>
      </c>
      <c r="D2053" s="593">
        <v>2018</v>
      </c>
      <c r="E2053" s="590" t="s">
        <v>775</v>
      </c>
      <c r="F2053" s="593">
        <v>920</v>
      </c>
      <c r="G2053" s="593">
        <v>43</v>
      </c>
      <c r="H2053" s="593">
        <v>43</v>
      </c>
      <c r="I2053" s="593">
        <v>0</v>
      </c>
      <c r="J2053" s="593">
        <v>609</v>
      </c>
      <c r="K2053" s="593">
        <v>21</v>
      </c>
      <c r="L2053" s="593">
        <v>21</v>
      </c>
      <c r="M2053" s="593">
        <v>0</v>
      </c>
      <c r="N2053" s="593">
        <v>613</v>
      </c>
      <c r="O2053" s="593">
        <v>0</v>
      </c>
      <c r="P2053" s="593">
        <v>1452</v>
      </c>
      <c r="Q2053" s="593">
        <v>533</v>
      </c>
      <c r="R2053" s="593">
        <v>3594</v>
      </c>
      <c r="S2053" s="593">
        <v>597</v>
      </c>
      <c r="T2053" s="593">
        <v>2018</v>
      </c>
      <c r="U2053" s="593">
        <v>2016</v>
      </c>
      <c r="V2053" s="589"/>
      <c r="W2053" s="589"/>
      <c r="X2053" s="589"/>
      <c r="Y2053" s="589"/>
      <c r="Z2053" s="589"/>
      <c r="AA2053" s="589"/>
      <c r="AB2053" s="589"/>
      <c r="AC2053" s="589"/>
      <c r="AD2053" s="589"/>
      <c r="AE2053" s="589"/>
      <c r="AF2053" s="589"/>
      <c r="AG2053" s="589"/>
      <c r="AH2053" s="589"/>
      <c r="AI2053" s="589"/>
      <c r="AJ2053" s="589"/>
      <c r="AK2053" s="589"/>
      <c r="AL2053" s="589"/>
      <c r="AM2053" s="589"/>
      <c r="AN2053" s="589"/>
      <c r="AO2053" s="589"/>
      <c r="AP2053" s="589"/>
      <c r="AQ2053" s="589"/>
      <c r="AR2053" s="589"/>
      <c r="AS2053" s="589"/>
    </row>
    <row r="2054" spans="1:45" ht="15">
      <c r="A2054" s="587" t="s">
        <v>199</v>
      </c>
      <c r="B2054" s="587" t="s">
        <v>725</v>
      </c>
      <c r="C2054" s="587" t="s">
        <v>811</v>
      </c>
      <c r="D2054" s="588">
        <v>2018</v>
      </c>
      <c r="E2054" s="587" t="s">
        <v>775</v>
      </c>
      <c r="F2054" s="588">
        <v>1477</v>
      </c>
      <c r="G2054" s="588">
        <v>60</v>
      </c>
      <c r="H2054" s="588">
        <v>0</v>
      </c>
      <c r="I2054" s="588">
        <v>60</v>
      </c>
      <c r="J2054" s="588">
        <v>1065</v>
      </c>
      <c r="K2054" s="588">
        <v>41</v>
      </c>
      <c r="L2054" s="588">
        <v>0</v>
      </c>
      <c r="M2054" s="588">
        <v>41</v>
      </c>
      <c r="N2054" s="588">
        <v>1169</v>
      </c>
      <c r="O2054" s="588">
        <v>21</v>
      </c>
      <c r="P2054" s="588">
        <v>3370</v>
      </c>
      <c r="Q2054" s="588">
        <v>23</v>
      </c>
      <c r="R2054" s="588">
        <v>7081</v>
      </c>
      <c r="S2054" s="588">
        <v>145</v>
      </c>
      <c r="T2054" s="588">
        <v>2018</v>
      </c>
      <c r="U2054" s="588">
        <v>2016</v>
      </c>
      <c r="V2054" s="589"/>
      <c r="W2054" s="589"/>
      <c r="X2054" s="589"/>
      <c r="Y2054" s="589"/>
      <c r="Z2054" s="589"/>
      <c r="AA2054" s="589"/>
      <c r="AB2054" s="589"/>
      <c r="AC2054" s="589"/>
      <c r="AD2054" s="589"/>
      <c r="AE2054" s="589"/>
      <c r="AF2054" s="589"/>
      <c r="AG2054" s="589"/>
      <c r="AH2054" s="589"/>
      <c r="AI2054" s="589"/>
      <c r="AJ2054" s="589"/>
      <c r="AK2054" s="589"/>
      <c r="AL2054" s="589"/>
      <c r="AM2054" s="589"/>
      <c r="AN2054" s="589"/>
      <c r="AO2054" s="589"/>
      <c r="AP2054" s="589"/>
      <c r="AQ2054" s="589"/>
      <c r="AR2054" s="589"/>
      <c r="AS2054" s="589"/>
    </row>
    <row r="2055" spans="1:45" ht="15">
      <c r="A2055" s="590" t="s">
        <v>191</v>
      </c>
      <c r="B2055" s="590" t="s">
        <v>683</v>
      </c>
      <c r="C2055" s="590" t="s">
        <v>785</v>
      </c>
      <c r="D2055" s="593">
        <v>2018</v>
      </c>
      <c r="E2055" s="590" t="s">
        <v>775</v>
      </c>
      <c r="F2055" s="593">
        <v>3</v>
      </c>
      <c r="G2055" s="593">
        <v>0</v>
      </c>
      <c r="H2055" s="593">
        <v>0</v>
      </c>
      <c r="I2055" s="593">
        <v>0</v>
      </c>
      <c r="J2055" s="593">
        <v>2</v>
      </c>
      <c r="K2055" s="593">
        <v>0</v>
      </c>
      <c r="L2055" s="593">
        <v>0</v>
      </c>
      <c r="M2055" s="593">
        <v>0</v>
      </c>
      <c r="N2055" s="593">
        <v>2</v>
      </c>
      <c r="O2055" s="593">
        <v>0</v>
      </c>
      <c r="P2055" s="593">
        <v>6</v>
      </c>
      <c r="Q2055" s="593">
        <v>0</v>
      </c>
      <c r="R2055" s="593">
        <v>13</v>
      </c>
      <c r="S2055" s="593">
        <v>0</v>
      </c>
      <c r="T2055" s="593">
        <v>2018</v>
      </c>
      <c r="U2055" s="593">
        <v>2014</v>
      </c>
      <c r="V2055" s="589"/>
      <c r="W2055" s="589"/>
      <c r="X2055" s="589"/>
      <c r="Y2055" s="589"/>
      <c r="Z2055" s="589"/>
      <c r="AA2055" s="589"/>
      <c r="AB2055" s="589"/>
      <c r="AC2055" s="589"/>
      <c r="AD2055" s="589"/>
      <c r="AE2055" s="589"/>
      <c r="AF2055" s="589"/>
      <c r="AG2055" s="589"/>
      <c r="AH2055" s="589"/>
      <c r="AI2055" s="589"/>
      <c r="AJ2055" s="589"/>
      <c r="AK2055" s="589"/>
      <c r="AL2055" s="589"/>
      <c r="AM2055" s="589"/>
      <c r="AN2055" s="589"/>
      <c r="AO2055" s="589"/>
      <c r="AP2055" s="589"/>
      <c r="AQ2055" s="589"/>
      <c r="AR2055" s="589"/>
      <c r="AS2055" s="589"/>
    </row>
    <row r="2056" spans="1:45" ht="15">
      <c r="A2056" s="587" t="s">
        <v>200</v>
      </c>
      <c r="B2056" s="587" t="s">
        <v>729</v>
      </c>
      <c r="C2056" s="587" t="s">
        <v>785</v>
      </c>
      <c r="D2056" s="588">
        <v>2018</v>
      </c>
      <c r="E2056" s="587" t="s">
        <v>775</v>
      </c>
      <c r="F2056" s="588">
        <v>102</v>
      </c>
      <c r="G2056" s="588">
        <v>0</v>
      </c>
      <c r="H2056" s="588">
        <v>0</v>
      </c>
      <c r="I2056" s="588">
        <v>0</v>
      </c>
      <c r="J2056" s="588">
        <v>74</v>
      </c>
      <c r="K2056" s="588">
        <v>0</v>
      </c>
      <c r="L2056" s="588">
        <v>0</v>
      </c>
      <c r="M2056" s="588">
        <v>0</v>
      </c>
      <c r="N2056" s="588">
        <v>81</v>
      </c>
      <c r="O2056" s="588">
        <v>0</v>
      </c>
      <c r="P2056" s="588">
        <v>193</v>
      </c>
      <c r="Q2056" s="588">
        <v>9</v>
      </c>
      <c r="R2056" s="588">
        <v>450</v>
      </c>
      <c r="S2056" s="588">
        <v>9</v>
      </c>
      <c r="T2056" s="588">
        <v>2018</v>
      </c>
      <c r="U2056" s="588">
        <v>2014</v>
      </c>
      <c r="V2056" s="589"/>
      <c r="W2056" s="589"/>
      <c r="X2056" s="589"/>
      <c r="Y2056" s="589"/>
      <c r="Z2056" s="589"/>
      <c r="AA2056" s="589"/>
      <c r="AB2056" s="589"/>
      <c r="AC2056" s="589"/>
      <c r="AD2056" s="589"/>
      <c r="AE2056" s="589"/>
      <c r="AF2056" s="589"/>
      <c r="AG2056" s="589"/>
      <c r="AH2056" s="589"/>
      <c r="AI2056" s="589"/>
      <c r="AJ2056" s="589"/>
      <c r="AK2056" s="589"/>
      <c r="AL2056" s="589"/>
      <c r="AM2056" s="589"/>
      <c r="AN2056" s="589"/>
      <c r="AO2056" s="589"/>
      <c r="AP2056" s="589"/>
      <c r="AQ2056" s="589"/>
      <c r="AR2056" s="589"/>
      <c r="AS2056" s="589"/>
    </row>
    <row r="2057" spans="1:45" ht="15">
      <c r="A2057" s="590" t="s">
        <v>195</v>
      </c>
      <c r="B2057" s="590" t="s">
        <v>711</v>
      </c>
      <c r="C2057" s="590" t="s">
        <v>811</v>
      </c>
      <c r="D2057" s="593">
        <v>2018</v>
      </c>
      <c r="E2057" s="590" t="s">
        <v>775</v>
      </c>
      <c r="F2057" s="593">
        <v>877</v>
      </c>
      <c r="G2057" s="593">
        <v>0</v>
      </c>
      <c r="H2057" s="593">
        <v>0</v>
      </c>
      <c r="I2057" s="593">
        <v>0</v>
      </c>
      <c r="J2057" s="593">
        <v>562</v>
      </c>
      <c r="K2057" s="593">
        <v>2</v>
      </c>
      <c r="L2057" s="593">
        <v>0</v>
      </c>
      <c r="M2057" s="593">
        <v>2</v>
      </c>
      <c r="N2057" s="593">
        <v>627</v>
      </c>
      <c r="O2057" s="593">
        <v>8</v>
      </c>
      <c r="P2057" s="593">
        <v>1552</v>
      </c>
      <c r="Q2057" s="593">
        <v>34</v>
      </c>
      <c r="R2057" s="593">
        <v>3618</v>
      </c>
      <c r="S2057" s="593">
        <v>44</v>
      </c>
      <c r="T2057" s="593">
        <v>2018</v>
      </c>
      <c r="U2057" s="593">
        <v>2016</v>
      </c>
      <c r="V2057" s="589"/>
      <c r="W2057" s="589"/>
      <c r="X2057" s="589"/>
      <c r="Y2057" s="589"/>
      <c r="Z2057" s="589"/>
      <c r="AA2057" s="589"/>
      <c r="AB2057" s="589"/>
      <c r="AC2057" s="589"/>
      <c r="AD2057" s="589"/>
      <c r="AE2057" s="589"/>
      <c r="AF2057" s="589"/>
      <c r="AG2057" s="589"/>
      <c r="AH2057" s="589"/>
      <c r="AI2057" s="589"/>
      <c r="AJ2057" s="589"/>
      <c r="AK2057" s="589"/>
      <c r="AL2057" s="589"/>
      <c r="AM2057" s="589"/>
      <c r="AN2057" s="589"/>
      <c r="AO2057" s="589"/>
      <c r="AP2057" s="589"/>
      <c r="AQ2057" s="589"/>
      <c r="AR2057" s="589"/>
      <c r="AS2057" s="589"/>
    </row>
    <row r="2058" spans="1:45" ht="15">
      <c r="A2058" s="587" t="s">
        <v>169</v>
      </c>
      <c r="B2058" s="587" t="s">
        <v>515</v>
      </c>
      <c r="C2058" s="587" t="s">
        <v>813</v>
      </c>
      <c r="D2058" s="588">
        <v>2018</v>
      </c>
      <c r="E2058" s="587" t="s">
        <v>775</v>
      </c>
      <c r="F2058" s="588">
        <v>283</v>
      </c>
      <c r="G2058" s="588">
        <v>4</v>
      </c>
      <c r="H2058" s="588">
        <v>0</v>
      </c>
      <c r="I2058" s="588">
        <v>4</v>
      </c>
      <c r="J2058" s="588">
        <v>195</v>
      </c>
      <c r="K2058" s="588">
        <v>1</v>
      </c>
      <c r="L2058" s="588">
        <v>1</v>
      </c>
      <c r="M2058" s="588">
        <v>0</v>
      </c>
      <c r="N2058" s="588">
        <v>224</v>
      </c>
      <c r="O2058" s="588">
        <v>1</v>
      </c>
      <c r="P2058" s="588">
        <v>525</v>
      </c>
      <c r="Q2058" s="588">
        <v>21</v>
      </c>
      <c r="R2058" s="588">
        <v>1227</v>
      </c>
      <c r="S2058" s="588">
        <v>27</v>
      </c>
      <c r="T2058" s="588">
        <v>2018</v>
      </c>
      <c r="U2058" s="588">
        <v>2014</v>
      </c>
      <c r="V2058" s="589"/>
      <c r="W2058" s="589"/>
      <c r="X2058" s="589"/>
      <c r="Y2058" s="589"/>
      <c r="Z2058" s="589"/>
      <c r="AA2058" s="589"/>
      <c r="AB2058" s="589"/>
      <c r="AC2058" s="589"/>
      <c r="AD2058" s="589"/>
      <c r="AE2058" s="589"/>
      <c r="AF2058" s="589"/>
      <c r="AG2058" s="589"/>
      <c r="AH2058" s="589"/>
      <c r="AI2058" s="589"/>
      <c r="AJ2058" s="589"/>
      <c r="AK2058" s="589"/>
      <c r="AL2058" s="589"/>
      <c r="AM2058" s="589"/>
      <c r="AN2058" s="589"/>
      <c r="AO2058" s="589"/>
      <c r="AP2058" s="589"/>
      <c r="AQ2058" s="589"/>
      <c r="AR2058" s="589"/>
      <c r="AS2058" s="589"/>
    </row>
    <row r="2059" spans="1:45" ht="15">
      <c r="A2059" s="590" t="s">
        <v>178</v>
      </c>
      <c r="B2059" s="590" t="s">
        <v>585</v>
      </c>
      <c r="C2059" s="590" t="s">
        <v>813</v>
      </c>
      <c r="D2059" s="593">
        <v>2018</v>
      </c>
      <c r="E2059" s="590" t="s">
        <v>775</v>
      </c>
      <c r="F2059" s="593">
        <v>103</v>
      </c>
      <c r="G2059" s="593">
        <v>0</v>
      </c>
      <c r="H2059" s="593">
        <v>0</v>
      </c>
      <c r="I2059" s="593">
        <v>0</v>
      </c>
      <c r="J2059" s="593">
        <v>72</v>
      </c>
      <c r="K2059" s="593">
        <v>10</v>
      </c>
      <c r="L2059" s="593">
        <v>0</v>
      </c>
      <c r="M2059" s="593">
        <v>10</v>
      </c>
      <c r="N2059" s="593">
        <v>84</v>
      </c>
      <c r="O2059" s="593">
        <v>28</v>
      </c>
      <c r="P2059" s="593">
        <v>195</v>
      </c>
      <c r="Q2059" s="593">
        <v>0</v>
      </c>
      <c r="R2059" s="593">
        <v>454</v>
      </c>
      <c r="S2059" s="593">
        <v>38</v>
      </c>
      <c r="T2059" s="593">
        <v>2018</v>
      </c>
      <c r="U2059" s="593">
        <v>2014</v>
      </c>
      <c r="V2059" s="589"/>
      <c r="W2059" s="589"/>
      <c r="X2059" s="589"/>
      <c r="Y2059" s="589"/>
      <c r="Z2059" s="589"/>
      <c r="AA2059" s="589"/>
      <c r="AB2059" s="589"/>
      <c r="AC2059" s="589"/>
      <c r="AD2059" s="589"/>
      <c r="AE2059" s="589"/>
      <c r="AF2059" s="589"/>
      <c r="AG2059" s="589"/>
      <c r="AH2059" s="589"/>
      <c r="AI2059" s="589"/>
      <c r="AJ2059" s="589"/>
      <c r="AK2059" s="589"/>
      <c r="AL2059" s="589"/>
      <c r="AM2059" s="589"/>
      <c r="AN2059" s="589"/>
      <c r="AO2059" s="589"/>
      <c r="AP2059" s="589"/>
      <c r="AQ2059" s="589"/>
      <c r="AR2059" s="589"/>
      <c r="AS2059" s="589"/>
    </row>
    <row r="2060" spans="1:45" ht="15">
      <c r="A2060" s="587" t="s">
        <v>159</v>
      </c>
      <c r="B2060" s="587" t="s">
        <v>452</v>
      </c>
      <c r="C2060" s="587" t="s">
        <v>785</v>
      </c>
      <c r="D2060" s="588">
        <v>2018</v>
      </c>
      <c r="E2060" s="587" t="s">
        <v>775</v>
      </c>
      <c r="F2060" s="588">
        <v>11</v>
      </c>
      <c r="G2060" s="588">
        <v>37</v>
      </c>
      <c r="H2060" s="588">
        <v>37</v>
      </c>
      <c r="I2060" s="588">
        <v>0</v>
      </c>
      <c r="J2060" s="588">
        <v>7</v>
      </c>
      <c r="K2060" s="588">
        <v>0</v>
      </c>
      <c r="L2060" s="588">
        <v>0</v>
      </c>
      <c r="M2060" s="588">
        <v>0</v>
      </c>
      <c r="N2060" s="588">
        <v>7</v>
      </c>
      <c r="O2060" s="588">
        <v>35</v>
      </c>
      <c r="P2060" s="588">
        <v>20</v>
      </c>
      <c r="Q2060" s="588">
        <v>16</v>
      </c>
      <c r="R2060" s="588">
        <v>45</v>
      </c>
      <c r="S2060" s="588">
        <v>88</v>
      </c>
      <c r="T2060" s="588">
        <v>2018</v>
      </c>
      <c r="U2060" s="588">
        <v>2014</v>
      </c>
      <c r="V2060" s="589"/>
      <c r="W2060" s="589"/>
      <c r="X2060" s="589"/>
      <c r="Y2060" s="589"/>
      <c r="Z2060" s="589"/>
      <c r="AA2060" s="589"/>
      <c r="AB2060" s="589"/>
      <c r="AC2060" s="589"/>
      <c r="AD2060" s="589"/>
      <c r="AE2060" s="589"/>
      <c r="AF2060" s="589"/>
      <c r="AG2060" s="589"/>
      <c r="AH2060" s="589"/>
      <c r="AI2060" s="589"/>
      <c r="AJ2060" s="589"/>
      <c r="AK2060" s="589"/>
      <c r="AL2060" s="589"/>
      <c r="AM2060" s="589"/>
      <c r="AN2060" s="589"/>
      <c r="AO2060" s="589"/>
      <c r="AP2060" s="589"/>
      <c r="AQ2060" s="589"/>
      <c r="AR2060" s="589"/>
      <c r="AS2060" s="589"/>
    </row>
    <row r="2061" spans="1:45" ht="15">
      <c r="A2061" s="590" t="s">
        <v>125</v>
      </c>
      <c r="B2061" s="591" t="s">
        <v>246</v>
      </c>
      <c r="C2061" s="591" t="s">
        <v>782</v>
      </c>
      <c r="D2061" s="592">
        <v>2018</v>
      </c>
      <c r="E2061" s="591" t="s">
        <v>775</v>
      </c>
      <c r="F2061" s="592">
        <v>317</v>
      </c>
      <c r="G2061" s="592">
        <v>0</v>
      </c>
      <c r="H2061" s="592">
        <v>0</v>
      </c>
      <c r="I2061" s="592">
        <v>0</v>
      </c>
      <c r="J2061" s="592">
        <v>180</v>
      </c>
      <c r="K2061" s="592">
        <v>0</v>
      </c>
      <c r="L2061" s="592">
        <v>0</v>
      </c>
      <c r="M2061" s="592">
        <v>0</v>
      </c>
      <c r="N2061" s="593">
        <v>192</v>
      </c>
      <c r="O2061" s="593">
        <v>8</v>
      </c>
      <c r="P2061" s="593">
        <v>417</v>
      </c>
      <c r="Q2061" s="593">
        <v>77</v>
      </c>
      <c r="R2061" s="593">
        <v>1106</v>
      </c>
      <c r="S2061" s="593">
        <v>85</v>
      </c>
      <c r="T2061" s="593">
        <v>2018</v>
      </c>
      <c r="U2061" s="593">
        <v>2015</v>
      </c>
      <c r="V2061" s="589"/>
      <c r="W2061" s="589"/>
      <c r="X2061" s="589"/>
      <c r="Y2061" s="589"/>
      <c r="Z2061" s="589"/>
      <c r="AA2061" s="589"/>
      <c r="AB2061" s="589"/>
      <c r="AC2061" s="589"/>
      <c r="AD2061" s="589"/>
      <c r="AE2061" s="589"/>
      <c r="AF2061" s="589"/>
      <c r="AG2061" s="589"/>
      <c r="AH2061" s="589"/>
      <c r="AI2061" s="589"/>
      <c r="AJ2061" s="589"/>
      <c r="AK2061" s="589"/>
      <c r="AL2061" s="589"/>
      <c r="AM2061" s="589"/>
      <c r="AN2061" s="589"/>
      <c r="AO2061" s="589"/>
      <c r="AP2061" s="589"/>
      <c r="AQ2061" s="589"/>
      <c r="AR2061" s="589"/>
      <c r="AS2061" s="589"/>
    </row>
    <row r="2062" spans="1:45" ht="15">
      <c r="A2062" s="587" t="s">
        <v>178</v>
      </c>
      <c r="B2062" s="587" t="s">
        <v>586</v>
      </c>
      <c r="C2062" s="587" t="s">
        <v>813</v>
      </c>
      <c r="D2062" s="588">
        <v>2018</v>
      </c>
      <c r="E2062" s="587" t="s">
        <v>775</v>
      </c>
      <c r="F2062" s="588">
        <v>382</v>
      </c>
      <c r="G2062" s="588">
        <v>0</v>
      </c>
      <c r="H2062" s="588">
        <v>0</v>
      </c>
      <c r="I2062" s="588">
        <v>0</v>
      </c>
      <c r="J2062" s="588">
        <v>260</v>
      </c>
      <c r="K2062" s="588">
        <v>0</v>
      </c>
      <c r="L2062" s="588">
        <v>0</v>
      </c>
      <c r="M2062" s="588">
        <v>0</v>
      </c>
      <c r="N2062" s="588">
        <v>294</v>
      </c>
      <c r="O2062" s="588">
        <v>0</v>
      </c>
      <c r="P2062" s="588">
        <v>653</v>
      </c>
      <c r="Q2062" s="588">
        <v>0</v>
      </c>
      <c r="R2062" s="588">
        <v>1589</v>
      </c>
      <c r="S2062" s="588">
        <v>0</v>
      </c>
      <c r="T2062" s="588">
        <v>2018</v>
      </c>
      <c r="U2062" s="588">
        <v>2014</v>
      </c>
      <c r="V2062" s="589"/>
      <c r="W2062" s="589"/>
      <c r="X2062" s="589"/>
      <c r="Y2062" s="589"/>
      <c r="Z2062" s="589"/>
      <c r="AA2062" s="589"/>
      <c r="AB2062" s="589"/>
      <c r="AC2062" s="589"/>
      <c r="AD2062" s="589"/>
      <c r="AE2062" s="589"/>
      <c r="AF2062" s="589"/>
      <c r="AG2062" s="589"/>
      <c r="AH2062" s="589"/>
      <c r="AI2062" s="589"/>
      <c r="AJ2062" s="589"/>
      <c r="AK2062" s="589"/>
      <c r="AL2062" s="589"/>
      <c r="AM2062" s="589"/>
      <c r="AN2062" s="589"/>
      <c r="AO2062" s="589"/>
      <c r="AP2062" s="589"/>
      <c r="AQ2062" s="589"/>
      <c r="AR2062" s="589"/>
      <c r="AS2062" s="589"/>
    </row>
    <row r="2063" spans="1:45" ht="15">
      <c r="A2063" s="590" t="s">
        <v>192</v>
      </c>
      <c r="B2063" s="591" t="s">
        <v>692</v>
      </c>
      <c r="C2063" s="591" t="s">
        <v>782</v>
      </c>
      <c r="D2063" s="592">
        <v>2018</v>
      </c>
      <c r="E2063" s="591" t="s">
        <v>775</v>
      </c>
      <c r="F2063" s="592">
        <v>287</v>
      </c>
      <c r="G2063" s="592">
        <v>14</v>
      </c>
      <c r="H2063" s="592">
        <v>14</v>
      </c>
      <c r="I2063" s="592">
        <v>0</v>
      </c>
      <c r="J2063" s="592">
        <v>134</v>
      </c>
      <c r="K2063" s="592">
        <v>24</v>
      </c>
      <c r="L2063" s="592">
        <v>24</v>
      </c>
      <c r="M2063" s="592">
        <v>0</v>
      </c>
      <c r="N2063" s="593">
        <v>173</v>
      </c>
      <c r="O2063" s="593">
        <v>1</v>
      </c>
      <c r="P2063" s="593">
        <v>490</v>
      </c>
      <c r="Q2063" s="593">
        <v>205</v>
      </c>
      <c r="R2063" s="593">
        <v>1084</v>
      </c>
      <c r="S2063" s="593">
        <v>244</v>
      </c>
      <c r="T2063" s="593">
        <v>2018</v>
      </c>
      <c r="U2063" s="593">
        <v>2015</v>
      </c>
      <c r="V2063" s="589"/>
      <c r="W2063" s="589"/>
      <c r="X2063" s="589"/>
      <c r="Y2063" s="589"/>
      <c r="Z2063" s="589"/>
      <c r="AA2063" s="589"/>
      <c r="AB2063" s="589"/>
      <c r="AC2063" s="589"/>
      <c r="AD2063" s="589"/>
      <c r="AE2063" s="589"/>
      <c r="AF2063" s="589"/>
      <c r="AG2063" s="589"/>
      <c r="AH2063" s="589"/>
      <c r="AI2063" s="589"/>
      <c r="AJ2063" s="589"/>
      <c r="AK2063" s="589"/>
      <c r="AL2063" s="589"/>
      <c r="AM2063" s="589"/>
      <c r="AN2063" s="589"/>
      <c r="AO2063" s="589"/>
      <c r="AP2063" s="589"/>
      <c r="AQ2063" s="589"/>
      <c r="AR2063" s="589"/>
      <c r="AS2063" s="589"/>
    </row>
    <row r="2064" spans="1:45" ht="15">
      <c r="A2064" s="587" t="s">
        <v>192</v>
      </c>
      <c r="B2064" s="587" t="s">
        <v>693</v>
      </c>
      <c r="C2064" s="587" t="s">
        <v>782</v>
      </c>
      <c r="D2064" s="588">
        <v>2018</v>
      </c>
      <c r="E2064" s="587" t="s">
        <v>775</v>
      </c>
      <c r="F2064" s="588">
        <v>283</v>
      </c>
      <c r="G2064" s="588">
        <v>0</v>
      </c>
      <c r="H2064" s="588">
        <v>0</v>
      </c>
      <c r="I2064" s="588">
        <v>0</v>
      </c>
      <c r="J2064" s="588">
        <v>178</v>
      </c>
      <c r="K2064" s="588">
        <v>0</v>
      </c>
      <c r="L2064" s="588">
        <v>0</v>
      </c>
      <c r="M2064" s="588">
        <v>0</v>
      </c>
      <c r="N2064" s="588">
        <v>211</v>
      </c>
      <c r="O2064" s="588">
        <v>0</v>
      </c>
      <c r="P2064" s="588">
        <v>690</v>
      </c>
      <c r="Q2064" s="588">
        <v>55</v>
      </c>
      <c r="R2064" s="588">
        <v>1362</v>
      </c>
      <c r="S2064" s="588">
        <v>55</v>
      </c>
      <c r="T2064" s="588">
        <v>2018</v>
      </c>
      <c r="U2064" s="588">
        <v>2015</v>
      </c>
      <c r="V2064" s="589"/>
      <c r="W2064" s="589"/>
      <c r="X2064" s="589"/>
      <c r="Y2064" s="589"/>
      <c r="Z2064" s="589"/>
      <c r="AA2064" s="589"/>
      <c r="AB2064" s="589"/>
      <c r="AC2064" s="589"/>
      <c r="AD2064" s="589"/>
      <c r="AE2064" s="589"/>
      <c r="AF2064" s="589"/>
      <c r="AG2064" s="589"/>
      <c r="AH2064" s="589"/>
      <c r="AI2064" s="589"/>
      <c r="AJ2064" s="589"/>
      <c r="AK2064" s="589"/>
      <c r="AL2064" s="589"/>
      <c r="AM2064" s="589"/>
      <c r="AN2064" s="589"/>
      <c r="AO2064" s="589"/>
      <c r="AP2064" s="589"/>
      <c r="AQ2064" s="589"/>
      <c r="AR2064" s="589"/>
      <c r="AS2064" s="589"/>
    </row>
    <row r="2065" spans="1:45" ht="15">
      <c r="A2065" s="590" t="s">
        <v>201</v>
      </c>
      <c r="B2065" s="591" t="s">
        <v>740</v>
      </c>
      <c r="C2065" s="591" t="s">
        <v>813</v>
      </c>
      <c r="D2065" s="592">
        <v>2018</v>
      </c>
      <c r="E2065" s="591" t="s">
        <v>775</v>
      </c>
      <c r="F2065" s="592">
        <v>246</v>
      </c>
      <c r="G2065" s="592">
        <v>11</v>
      </c>
      <c r="H2065" s="592">
        <v>0</v>
      </c>
      <c r="I2065" s="592">
        <v>11</v>
      </c>
      <c r="J2065" s="592">
        <v>168</v>
      </c>
      <c r="K2065" s="592">
        <v>43</v>
      </c>
      <c r="L2065" s="592">
        <v>0</v>
      </c>
      <c r="M2065" s="592">
        <v>43</v>
      </c>
      <c r="N2065" s="593">
        <v>189</v>
      </c>
      <c r="O2065" s="593">
        <v>20</v>
      </c>
      <c r="P2065" s="593">
        <v>412</v>
      </c>
      <c r="Q2065" s="593">
        <v>38</v>
      </c>
      <c r="R2065" s="593">
        <v>1015</v>
      </c>
      <c r="S2065" s="593">
        <v>112</v>
      </c>
      <c r="T2065" s="593">
        <v>2018</v>
      </c>
      <c r="U2065" s="593">
        <v>2014</v>
      </c>
      <c r="V2065" s="589"/>
      <c r="W2065" s="589"/>
      <c r="X2065" s="589"/>
      <c r="Y2065" s="589"/>
      <c r="Z2065" s="589"/>
      <c r="AA2065" s="589"/>
      <c r="AB2065" s="589"/>
      <c r="AC2065" s="589"/>
      <c r="AD2065" s="589"/>
      <c r="AE2065" s="589"/>
      <c r="AF2065" s="589"/>
      <c r="AG2065" s="589"/>
      <c r="AH2065" s="589"/>
      <c r="AI2065" s="589"/>
      <c r="AJ2065" s="589"/>
      <c r="AK2065" s="589"/>
      <c r="AL2065" s="589"/>
      <c r="AM2065" s="589"/>
      <c r="AN2065" s="589"/>
      <c r="AO2065" s="589"/>
      <c r="AP2065" s="589"/>
      <c r="AQ2065" s="589"/>
      <c r="AR2065" s="589"/>
      <c r="AS2065" s="589"/>
    </row>
    <row r="2066" spans="1:45" ht="15">
      <c r="A2066" s="587" t="s">
        <v>178</v>
      </c>
      <c r="B2066" s="587" t="s">
        <v>587</v>
      </c>
      <c r="C2066" s="587" t="s">
        <v>813</v>
      </c>
      <c r="D2066" s="588">
        <v>2018</v>
      </c>
      <c r="E2066" s="587" t="s">
        <v>775</v>
      </c>
      <c r="F2066" s="588">
        <v>1698</v>
      </c>
      <c r="G2066" s="588">
        <v>0</v>
      </c>
      <c r="H2066" s="588">
        <v>0</v>
      </c>
      <c r="I2066" s="588">
        <v>0</v>
      </c>
      <c r="J2066" s="588">
        <v>1207</v>
      </c>
      <c r="K2066" s="588">
        <v>0</v>
      </c>
      <c r="L2066" s="588">
        <v>0</v>
      </c>
      <c r="M2066" s="588">
        <v>0</v>
      </c>
      <c r="N2066" s="588">
        <v>1342</v>
      </c>
      <c r="O2066" s="588">
        <v>0</v>
      </c>
      <c r="P2066" s="588">
        <v>3124</v>
      </c>
      <c r="Q2066" s="588">
        <v>0</v>
      </c>
      <c r="R2066" s="588">
        <v>7371</v>
      </c>
      <c r="S2066" s="588">
        <v>0</v>
      </c>
      <c r="T2066" s="588">
        <v>2018</v>
      </c>
      <c r="U2066" s="588">
        <v>2014</v>
      </c>
      <c r="V2066" s="589"/>
      <c r="W2066" s="589"/>
      <c r="X2066" s="589"/>
      <c r="Y2066" s="589"/>
      <c r="Z2066" s="589"/>
      <c r="AA2066" s="589"/>
      <c r="AB2066" s="589"/>
      <c r="AC2066" s="589"/>
      <c r="AD2066" s="589"/>
      <c r="AE2066" s="589"/>
      <c r="AF2066" s="589"/>
      <c r="AG2066" s="589"/>
      <c r="AH2066" s="589"/>
      <c r="AI2066" s="589"/>
      <c r="AJ2066" s="589"/>
      <c r="AK2066" s="589"/>
      <c r="AL2066" s="589"/>
      <c r="AM2066" s="589"/>
      <c r="AN2066" s="589"/>
      <c r="AO2066" s="589"/>
      <c r="AP2066" s="589"/>
      <c r="AQ2066" s="589"/>
      <c r="AR2066" s="589"/>
      <c r="AS2066" s="589"/>
    </row>
    <row r="2067" spans="1:45" ht="15">
      <c r="A2067" s="590" t="s">
        <v>169</v>
      </c>
      <c r="B2067" s="591" t="s">
        <v>516</v>
      </c>
      <c r="C2067" s="591" t="s">
        <v>813</v>
      </c>
      <c r="D2067" s="592">
        <v>2018</v>
      </c>
      <c r="E2067" s="591" t="s">
        <v>775</v>
      </c>
      <c r="F2067" s="592">
        <v>3</v>
      </c>
      <c r="G2067" s="592">
        <v>0</v>
      </c>
      <c r="H2067" s="592">
        <v>0</v>
      </c>
      <c r="I2067" s="592">
        <v>0</v>
      </c>
      <c r="J2067" s="592">
        <v>2</v>
      </c>
      <c r="K2067" s="592">
        <v>0</v>
      </c>
      <c r="L2067" s="592">
        <v>0</v>
      </c>
      <c r="M2067" s="592">
        <v>0</v>
      </c>
      <c r="N2067" s="593">
        <v>3</v>
      </c>
      <c r="O2067" s="593">
        <v>3</v>
      </c>
      <c r="P2067" s="593">
        <v>6</v>
      </c>
      <c r="Q2067" s="593">
        <v>3</v>
      </c>
      <c r="R2067" s="593">
        <v>14</v>
      </c>
      <c r="S2067" s="593">
        <v>6</v>
      </c>
      <c r="T2067" s="593">
        <v>2018</v>
      </c>
      <c r="U2067" s="593">
        <v>2014</v>
      </c>
      <c r="V2067" s="589"/>
      <c r="W2067" s="589"/>
      <c r="X2067" s="589"/>
      <c r="Y2067" s="589"/>
      <c r="Z2067" s="589"/>
      <c r="AA2067" s="589"/>
      <c r="AB2067" s="589"/>
      <c r="AC2067" s="589"/>
      <c r="AD2067" s="589"/>
      <c r="AE2067" s="589"/>
      <c r="AF2067" s="589"/>
      <c r="AG2067" s="589"/>
      <c r="AH2067" s="589"/>
      <c r="AI2067" s="589"/>
      <c r="AJ2067" s="589"/>
      <c r="AK2067" s="589"/>
      <c r="AL2067" s="589"/>
      <c r="AM2067" s="589"/>
      <c r="AN2067" s="589"/>
      <c r="AO2067" s="589"/>
      <c r="AP2067" s="589"/>
      <c r="AQ2067" s="589"/>
      <c r="AR2067" s="589"/>
      <c r="AS2067" s="589"/>
    </row>
    <row r="2068" spans="1:45" ht="15">
      <c r="A2068" s="587" t="s">
        <v>199</v>
      </c>
      <c r="B2068" s="587" t="s">
        <v>726</v>
      </c>
      <c r="C2068" s="587" t="s">
        <v>811</v>
      </c>
      <c r="D2068" s="588">
        <v>2018</v>
      </c>
      <c r="E2068" s="587" t="s">
        <v>775</v>
      </c>
      <c r="F2068" s="588">
        <v>2616</v>
      </c>
      <c r="G2068" s="588">
        <v>0</v>
      </c>
      <c r="H2068" s="588">
        <v>0</v>
      </c>
      <c r="I2068" s="588">
        <v>0</v>
      </c>
      <c r="J2068" s="588">
        <v>1931</v>
      </c>
      <c r="K2068" s="588">
        <v>86</v>
      </c>
      <c r="L2068" s="588">
        <v>0</v>
      </c>
      <c r="M2068" s="588">
        <v>86</v>
      </c>
      <c r="N2068" s="588">
        <v>1802</v>
      </c>
      <c r="O2068" s="588">
        <v>102</v>
      </c>
      <c r="P2068" s="588">
        <v>3672</v>
      </c>
      <c r="Q2068" s="588">
        <v>391</v>
      </c>
      <c r="R2068" s="588">
        <v>10021</v>
      </c>
      <c r="S2068" s="588">
        <v>579</v>
      </c>
      <c r="T2068" s="588">
        <v>2018</v>
      </c>
      <c r="U2068" s="588">
        <v>2016</v>
      </c>
      <c r="V2068" s="589"/>
      <c r="W2068" s="589"/>
      <c r="X2068" s="589"/>
      <c r="Y2068" s="589"/>
      <c r="Z2068" s="589"/>
      <c r="AA2068" s="589"/>
      <c r="AB2068" s="589"/>
      <c r="AC2068" s="589"/>
      <c r="AD2068" s="589"/>
      <c r="AE2068" s="589"/>
      <c r="AF2068" s="589"/>
      <c r="AG2068" s="589"/>
      <c r="AH2068" s="589"/>
      <c r="AI2068" s="589"/>
      <c r="AJ2068" s="589"/>
      <c r="AK2068" s="589"/>
      <c r="AL2068" s="589"/>
      <c r="AM2068" s="589"/>
      <c r="AN2068" s="589"/>
      <c r="AO2068" s="589"/>
      <c r="AP2068" s="589"/>
      <c r="AQ2068" s="589"/>
      <c r="AR2068" s="589"/>
      <c r="AS2068" s="589"/>
    </row>
    <row r="2069" spans="1:45" ht="15">
      <c r="A2069" s="590" t="s">
        <v>179</v>
      </c>
      <c r="B2069" s="591" t="s">
        <v>607</v>
      </c>
      <c r="C2069" s="591" t="s">
        <v>856</v>
      </c>
      <c r="D2069" s="592">
        <v>2018</v>
      </c>
      <c r="E2069" s="591" t="s">
        <v>775</v>
      </c>
      <c r="F2069" s="592">
        <v>343</v>
      </c>
      <c r="G2069" s="592">
        <v>0</v>
      </c>
      <c r="H2069" s="592">
        <v>0</v>
      </c>
      <c r="I2069" s="592">
        <v>0</v>
      </c>
      <c r="J2069" s="592">
        <v>260</v>
      </c>
      <c r="K2069" s="592">
        <v>0</v>
      </c>
      <c r="L2069" s="592">
        <v>0</v>
      </c>
      <c r="M2069" s="592">
        <v>0</v>
      </c>
      <c r="N2069" s="593">
        <v>241</v>
      </c>
      <c r="O2069" s="593">
        <v>0</v>
      </c>
      <c r="P2069" s="593">
        <v>530</v>
      </c>
      <c r="Q2069" s="593">
        <v>475</v>
      </c>
      <c r="R2069" s="593">
        <v>1374</v>
      </c>
      <c r="S2069" s="593">
        <v>475</v>
      </c>
      <c r="T2069" s="593">
        <v>2018</v>
      </c>
      <c r="U2069" s="593">
        <v>2013</v>
      </c>
      <c r="V2069" s="589"/>
      <c r="W2069" s="589"/>
      <c r="X2069" s="589"/>
      <c r="Y2069" s="589"/>
      <c r="Z2069" s="589"/>
      <c r="AA2069" s="589"/>
      <c r="AB2069" s="589"/>
      <c r="AC2069" s="589"/>
      <c r="AD2069" s="589"/>
      <c r="AE2069" s="589"/>
      <c r="AF2069" s="589"/>
      <c r="AG2069" s="589"/>
      <c r="AH2069" s="589"/>
      <c r="AI2069" s="589"/>
      <c r="AJ2069" s="589"/>
      <c r="AK2069" s="589"/>
      <c r="AL2069" s="589"/>
      <c r="AM2069" s="589"/>
      <c r="AN2069" s="589"/>
      <c r="AO2069" s="589"/>
      <c r="AP2069" s="589"/>
      <c r="AQ2069" s="589"/>
      <c r="AR2069" s="589"/>
      <c r="AS2069" s="589"/>
    </row>
    <row r="2070" spans="1:45" ht="15">
      <c r="A2070" s="587" t="s">
        <v>153</v>
      </c>
      <c r="B2070" s="587" t="s">
        <v>429</v>
      </c>
      <c r="C2070" s="587" t="s">
        <v>813</v>
      </c>
      <c r="D2070" s="588">
        <v>2018</v>
      </c>
      <c r="E2070" s="587" t="s">
        <v>775</v>
      </c>
      <c r="F2070" s="588">
        <v>246</v>
      </c>
      <c r="G2070" s="588">
        <v>0</v>
      </c>
      <c r="H2070" s="588">
        <v>0</v>
      </c>
      <c r="I2070" s="588">
        <v>0</v>
      </c>
      <c r="J2070" s="588">
        <v>144</v>
      </c>
      <c r="K2070" s="588">
        <v>0</v>
      </c>
      <c r="L2070" s="588">
        <v>0</v>
      </c>
      <c r="M2070" s="588">
        <v>0</v>
      </c>
      <c r="N2070" s="588">
        <v>155</v>
      </c>
      <c r="O2070" s="588">
        <v>0</v>
      </c>
      <c r="P2070" s="588">
        <v>363</v>
      </c>
      <c r="Q2070" s="588">
        <v>15</v>
      </c>
      <c r="R2070" s="588">
        <v>908</v>
      </c>
      <c r="S2070" s="588">
        <v>15</v>
      </c>
      <c r="T2070" s="588">
        <v>2018</v>
      </c>
      <c r="U2070" s="588">
        <v>2014</v>
      </c>
      <c r="V2070" s="589"/>
      <c r="W2070" s="589"/>
      <c r="X2070" s="589"/>
      <c r="Y2070" s="589"/>
      <c r="Z2070" s="589"/>
      <c r="AA2070" s="589"/>
      <c r="AB2070" s="589"/>
      <c r="AC2070" s="589"/>
      <c r="AD2070" s="589"/>
      <c r="AE2070" s="589"/>
      <c r="AF2070" s="589"/>
      <c r="AG2070" s="589"/>
      <c r="AH2070" s="589"/>
      <c r="AI2070" s="589"/>
      <c r="AJ2070" s="589"/>
      <c r="AK2070" s="589"/>
      <c r="AL2070" s="589"/>
      <c r="AM2070" s="589"/>
      <c r="AN2070" s="589"/>
      <c r="AO2070" s="589"/>
      <c r="AP2070" s="589"/>
      <c r="AQ2070" s="589"/>
      <c r="AR2070" s="589"/>
      <c r="AS2070" s="589"/>
    </row>
    <row r="2071" spans="1:45" ht="15">
      <c r="A2071" s="590" t="s">
        <v>136</v>
      </c>
      <c r="B2071" s="591" t="s">
        <v>284</v>
      </c>
      <c r="C2071" s="591" t="s">
        <v>782</v>
      </c>
      <c r="D2071" s="592">
        <v>2018</v>
      </c>
      <c r="E2071" s="591" t="s">
        <v>775</v>
      </c>
      <c r="F2071" s="592">
        <v>604</v>
      </c>
      <c r="G2071" s="592">
        <v>43</v>
      </c>
      <c r="H2071" s="592">
        <v>43</v>
      </c>
      <c r="I2071" s="592">
        <v>0</v>
      </c>
      <c r="J2071" s="592">
        <v>355</v>
      </c>
      <c r="K2071" s="592">
        <v>7</v>
      </c>
      <c r="L2071" s="592">
        <v>2</v>
      </c>
      <c r="M2071" s="592">
        <v>5</v>
      </c>
      <c r="N2071" s="593">
        <v>381</v>
      </c>
      <c r="O2071" s="593">
        <v>16</v>
      </c>
      <c r="P2071" s="593">
        <v>895</v>
      </c>
      <c r="Q2071" s="593">
        <v>94</v>
      </c>
      <c r="R2071" s="593">
        <v>2235</v>
      </c>
      <c r="S2071" s="593">
        <v>160</v>
      </c>
      <c r="T2071" s="593">
        <v>2018</v>
      </c>
      <c r="U2071" s="593">
        <v>2015</v>
      </c>
      <c r="V2071" s="589"/>
      <c r="W2071" s="589"/>
      <c r="X2071" s="589"/>
      <c r="Y2071" s="589"/>
      <c r="Z2071" s="589"/>
      <c r="AA2071" s="589"/>
      <c r="AB2071" s="589"/>
      <c r="AC2071" s="589"/>
      <c r="AD2071" s="589"/>
      <c r="AE2071" s="589"/>
      <c r="AF2071" s="589"/>
      <c r="AG2071" s="589"/>
      <c r="AH2071" s="589"/>
      <c r="AI2071" s="589"/>
      <c r="AJ2071" s="589"/>
      <c r="AK2071" s="589"/>
      <c r="AL2071" s="589"/>
      <c r="AM2071" s="589"/>
      <c r="AN2071" s="589"/>
      <c r="AO2071" s="589"/>
      <c r="AP2071" s="589"/>
      <c r="AQ2071" s="589"/>
      <c r="AR2071" s="589"/>
      <c r="AS2071" s="589"/>
    </row>
    <row r="2072" spans="1:45" ht="15">
      <c r="A2072" s="587" t="s">
        <v>148</v>
      </c>
      <c r="B2072" s="587" t="s">
        <v>335</v>
      </c>
      <c r="C2072" s="587" t="s">
        <v>811</v>
      </c>
      <c r="D2072" s="588">
        <v>2018</v>
      </c>
      <c r="E2072" s="587" t="s">
        <v>775</v>
      </c>
      <c r="F2072" s="588">
        <v>350</v>
      </c>
      <c r="G2072" s="588">
        <v>0</v>
      </c>
      <c r="H2072" s="588">
        <v>0</v>
      </c>
      <c r="I2072" s="588">
        <v>0</v>
      </c>
      <c r="J2072" s="588">
        <v>275</v>
      </c>
      <c r="K2072" s="588">
        <v>1</v>
      </c>
      <c r="L2072" s="588">
        <v>0</v>
      </c>
      <c r="M2072" s="588">
        <v>1</v>
      </c>
      <c r="N2072" s="588">
        <v>280</v>
      </c>
      <c r="O2072" s="588">
        <v>0</v>
      </c>
      <c r="P2072" s="588">
        <v>521</v>
      </c>
      <c r="Q2072" s="588">
        <v>95</v>
      </c>
      <c r="R2072" s="588">
        <v>1426</v>
      </c>
      <c r="S2072" s="588">
        <v>96</v>
      </c>
      <c r="T2072" s="588">
        <v>2018</v>
      </c>
      <c r="U2072" s="588">
        <v>2016</v>
      </c>
      <c r="V2072" s="589"/>
      <c r="W2072" s="589"/>
      <c r="X2072" s="589"/>
      <c r="Y2072" s="589"/>
      <c r="Z2072" s="589"/>
      <c r="AA2072" s="589"/>
      <c r="AB2072" s="589"/>
      <c r="AC2072" s="589"/>
      <c r="AD2072" s="589"/>
      <c r="AE2072" s="589"/>
      <c r="AF2072" s="589"/>
      <c r="AG2072" s="589"/>
      <c r="AH2072" s="589"/>
      <c r="AI2072" s="589"/>
      <c r="AJ2072" s="589"/>
      <c r="AK2072" s="589"/>
      <c r="AL2072" s="589"/>
      <c r="AM2072" s="589"/>
      <c r="AN2072" s="589"/>
      <c r="AO2072" s="589"/>
      <c r="AP2072" s="589"/>
      <c r="AQ2072" s="589"/>
      <c r="AR2072" s="589"/>
      <c r="AS2072" s="589"/>
    </row>
    <row r="2073" spans="1:45" ht="15">
      <c r="A2073" s="590" t="s">
        <v>195</v>
      </c>
      <c r="B2073" s="591" t="s">
        <v>712</v>
      </c>
      <c r="C2073" s="591" t="s">
        <v>811</v>
      </c>
      <c r="D2073" s="592">
        <v>2018</v>
      </c>
      <c r="E2073" s="591" t="s">
        <v>775</v>
      </c>
      <c r="F2073" s="592">
        <v>131</v>
      </c>
      <c r="G2073" s="592">
        <v>0</v>
      </c>
      <c r="H2073" s="592">
        <v>0</v>
      </c>
      <c r="I2073" s="592">
        <v>0</v>
      </c>
      <c r="J2073" s="592">
        <v>84</v>
      </c>
      <c r="K2073" s="592">
        <v>0</v>
      </c>
      <c r="L2073" s="592">
        <v>0</v>
      </c>
      <c r="M2073" s="592">
        <v>0</v>
      </c>
      <c r="N2073" s="593">
        <v>89</v>
      </c>
      <c r="O2073" s="593">
        <v>0</v>
      </c>
      <c r="P2073" s="593">
        <v>221</v>
      </c>
      <c r="Q2073" s="593">
        <v>8</v>
      </c>
      <c r="R2073" s="593">
        <v>525</v>
      </c>
      <c r="S2073" s="593">
        <v>8</v>
      </c>
      <c r="T2073" s="593">
        <v>2018</v>
      </c>
      <c r="U2073" s="593">
        <v>2016</v>
      </c>
      <c r="V2073" s="589"/>
      <c r="W2073" s="589"/>
      <c r="X2073" s="589"/>
      <c r="Y2073" s="589"/>
      <c r="Z2073" s="589"/>
      <c r="AA2073" s="589"/>
      <c r="AB2073" s="589"/>
      <c r="AC2073" s="589"/>
      <c r="AD2073" s="589"/>
      <c r="AE2073" s="589"/>
      <c r="AF2073" s="589"/>
      <c r="AG2073" s="589"/>
      <c r="AH2073" s="589"/>
      <c r="AI2073" s="589"/>
      <c r="AJ2073" s="589"/>
      <c r="AK2073" s="589"/>
      <c r="AL2073" s="589"/>
      <c r="AM2073" s="589"/>
      <c r="AN2073" s="589"/>
      <c r="AO2073" s="589"/>
      <c r="AP2073" s="589"/>
      <c r="AQ2073" s="589"/>
      <c r="AR2073" s="589"/>
      <c r="AS2073" s="589"/>
    </row>
    <row r="2074" spans="1:45" ht="15">
      <c r="A2074" s="587" t="s">
        <v>188</v>
      </c>
      <c r="B2074" s="587" t="s">
        <v>669</v>
      </c>
      <c r="C2074" s="587" t="s">
        <v>811</v>
      </c>
      <c r="D2074" s="588">
        <v>2018</v>
      </c>
      <c r="E2074" s="587" t="s">
        <v>775</v>
      </c>
      <c r="F2074" s="588">
        <v>169</v>
      </c>
      <c r="G2074" s="588">
        <v>0</v>
      </c>
      <c r="H2074" s="588">
        <v>0</v>
      </c>
      <c r="I2074" s="588">
        <v>0</v>
      </c>
      <c r="J2074" s="588">
        <v>110</v>
      </c>
      <c r="K2074" s="588">
        <v>0</v>
      </c>
      <c r="L2074" s="588">
        <v>0</v>
      </c>
      <c r="M2074" s="588">
        <v>0</v>
      </c>
      <c r="N2074" s="588">
        <v>128</v>
      </c>
      <c r="O2074" s="588">
        <v>0</v>
      </c>
      <c r="P2074" s="588">
        <v>293</v>
      </c>
      <c r="Q2074" s="588">
        <v>4</v>
      </c>
      <c r="R2074" s="588">
        <v>700</v>
      </c>
      <c r="S2074" s="588">
        <v>4</v>
      </c>
      <c r="T2074" s="588">
        <v>2018</v>
      </c>
      <c r="U2074" s="588">
        <v>2016</v>
      </c>
      <c r="V2074" s="589"/>
      <c r="W2074" s="589"/>
      <c r="X2074" s="589"/>
      <c r="Y2074" s="589"/>
      <c r="Z2074" s="589"/>
      <c r="AA2074" s="589"/>
      <c r="AB2074" s="589"/>
      <c r="AC2074" s="589"/>
      <c r="AD2074" s="589"/>
      <c r="AE2074" s="589"/>
      <c r="AF2074" s="589"/>
      <c r="AG2074" s="589"/>
      <c r="AH2074" s="589"/>
      <c r="AI2074" s="589"/>
      <c r="AJ2074" s="589"/>
      <c r="AK2074" s="589"/>
      <c r="AL2074" s="589"/>
      <c r="AM2074" s="589"/>
      <c r="AN2074" s="589"/>
      <c r="AO2074" s="589"/>
      <c r="AP2074" s="589"/>
      <c r="AQ2074" s="589"/>
      <c r="AR2074" s="589"/>
      <c r="AS2074" s="589"/>
    </row>
    <row r="2075" spans="1:45" ht="15">
      <c r="A2075" s="590" t="s">
        <v>191</v>
      </c>
      <c r="B2075" s="591" t="s">
        <v>684</v>
      </c>
      <c r="C2075" s="591" t="s">
        <v>785</v>
      </c>
      <c r="D2075" s="592">
        <v>2018</v>
      </c>
      <c r="E2075" s="591" t="s">
        <v>775</v>
      </c>
      <c r="F2075" s="592">
        <v>10</v>
      </c>
      <c r="G2075" s="592">
        <v>0</v>
      </c>
      <c r="H2075" s="592">
        <v>0</v>
      </c>
      <c r="I2075" s="592">
        <v>0</v>
      </c>
      <c r="J2075" s="592">
        <v>6</v>
      </c>
      <c r="K2075" s="592">
        <v>0</v>
      </c>
      <c r="L2075" s="592">
        <v>0</v>
      </c>
      <c r="M2075" s="592">
        <v>0</v>
      </c>
      <c r="N2075" s="593">
        <v>6</v>
      </c>
      <c r="O2075" s="593">
        <v>0</v>
      </c>
      <c r="P2075" s="593">
        <v>16</v>
      </c>
      <c r="Q2075" s="593">
        <v>2</v>
      </c>
      <c r="R2075" s="593">
        <v>38</v>
      </c>
      <c r="S2075" s="593">
        <v>2</v>
      </c>
      <c r="T2075" s="593">
        <v>2018</v>
      </c>
      <c r="U2075" s="593">
        <v>2014</v>
      </c>
      <c r="V2075" s="589"/>
      <c r="W2075" s="589"/>
      <c r="X2075" s="589"/>
      <c r="Y2075" s="589"/>
      <c r="Z2075" s="589"/>
      <c r="AA2075" s="589"/>
      <c r="AB2075" s="589"/>
      <c r="AC2075" s="589"/>
      <c r="AD2075" s="589"/>
      <c r="AE2075" s="589"/>
      <c r="AF2075" s="589"/>
      <c r="AG2075" s="589"/>
      <c r="AH2075" s="589"/>
      <c r="AI2075" s="589"/>
      <c r="AJ2075" s="589"/>
      <c r="AK2075" s="589"/>
      <c r="AL2075" s="589"/>
      <c r="AM2075" s="589"/>
      <c r="AN2075" s="589"/>
      <c r="AO2075" s="589"/>
      <c r="AP2075" s="589"/>
      <c r="AQ2075" s="589"/>
      <c r="AR2075" s="589"/>
      <c r="AS2075" s="589"/>
    </row>
    <row r="2076" spans="1:45" ht="15">
      <c r="A2076" s="587" t="s">
        <v>153</v>
      </c>
      <c r="B2076" s="587" t="s">
        <v>430</v>
      </c>
      <c r="C2076" s="587" t="s">
        <v>813</v>
      </c>
      <c r="D2076" s="588">
        <v>2018</v>
      </c>
      <c r="E2076" s="587" t="s">
        <v>775</v>
      </c>
      <c r="F2076" s="588">
        <v>217</v>
      </c>
      <c r="G2076" s="588">
        <v>0</v>
      </c>
      <c r="H2076" s="588">
        <v>0</v>
      </c>
      <c r="I2076" s="588">
        <v>0</v>
      </c>
      <c r="J2076" s="588">
        <v>129</v>
      </c>
      <c r="K2076" s="588">
        <v>0</v>
      </c>
      <c r="L2076" s="588">
        <v>0</v>
      </c>
      <c r="M2076" s="588">
        <v>0</v>
      </c>
      <c r="N2076" s="588">
        <v>138</v>
      </c>
      <c r="O2076" s="588">
        <v>0</v>
      </c>
      <c r="P2076" s="588">
        <v>347</v>
      </c>
      <c r="Q2076" s="588">
        <v>0</v>
      </c>
      <c r="R2076" s="588">
        <v>831</v>
      </c>
      <c r="S2076" s="588">
        <v>0</v>
      </c>
      <c r="T2076" s="588">
        <v>2018</v>
      </c>
      <c r="U2076" s="588">
        <v>2014</v>
      </c>
      <c r="V2076" s="589"/>
      <c r="W2076" s="589"/>
      <c r="X2076" s="589"/>
      <c r="Y2076" s="589"/>
      <c r="Z2076" s="589"/>
      <c r="AA2076" s="589"/>
      <c r="AB2076" s="589"/>
      <c r="AC2076" s="589"/>
      <c r="AD2076" s="589"/>
      <c r="AE2076" s="589"/>
      <c r="AF2076" s="589"/>
      <c r="AG2076" s="589"/>
      <c r="AH2076" s="589"/>
      <c r="AI2076" s="589"/>
      <c r="AJ2076" s="589"/>
      <c r="AK2076" s="589"/>
      <c r="AL2076" s="589"/>
      <c r="AM2076" s="589"/>
      <c r="AN2076" s="589"/>
      <c r="AO2076" s="589"/>
      <c r="AP2076" s="589"/>
      <c r="AQ2076" s="589"/>
      <c r="AR2076" s="589"/>
      <c r="AS2076" s="589"/>
    </row>
    <row r="2077" spans="1:45" ht="15">
      <c r="A2077" s="590" t="s">
        <v>153</v>
      </c>
      <c r="B2077" s="591" t="s">
        <v>431</v>
      </c>
      <c r="C2077" s="591" t="s">
        <v>813</v>
      </c>
      <c r="D2077" s="592">
        <v>2018</v>
      </c>
      <c r="E2077" s="591" t="s">
        <v>775</v>
      </c>
      <c r="F2077" s="592">
        <v>19</v>
      </c>
      <c r="G2077" s="592">
        <v>14</v>
      </c>
      <c r="H2077" s="592">
        <v>14</v>
      </c>
      <c r="I2077" s="592">
        <v>0</v>
      </c>
      <c r="J2077" s="592">
        <v>12</v>
      </c>
      <c r="K2077" s="592">
        <v>1</v>
      </c>
      <c r="L2077" s="592">
        <v>1</v>
      </c>
      <c r="M2077" s="592">
        <v>0</v>
      </c>
      <c r="N2077" s="593">
        <v>13</v>
      </c>
      <c r="O2077" s="593">
        <v>14</v>
      </c>
      <c r="P2077" s="593">
        <v>33</v>
      </c>
      <c r="Q2077" s="593">
        <v>202</v>
      </c>
      <c r="R2077" s="593">
        <v>77</v>
      </c>
      <c r="S2077" s="593">
        <v>231</v>
      </c>
      <c r="T2077" s="593">
        <v>2018</v>
      </c>
      <c r="U2077" s="593">
        <v>2014</v>
      </c>
      <c r="V2077" s="589"/>
      <c r="W2077" s="589"/>
      <c r="X2077" s="589"/>
      <c r="Y2077" s="589"/>
      <c r="Z2077" s="589"/>
      <c r="AA2077" s="589"/>
      <c r="AB2077" s="589"/>
      <c r="AC2077" s="589"/>
      <c r="AD2077" s="589"/>
      <c r="AE2077" s="589"/>
      <c r="AF2077" s="589"/>
      <c r="AG2077" s="589"/>
      <c r="AH2077" s="589"/>
      <c r="AI2077" s="589"/>
      <c r="AJ2077" s="589"/>
      <c r="AK2077" s="589"/>
      <c r="AL2077" s="589"/>
      <c r="AM2077" s="589"/>
      <c r="AN2077" s="589"/>
      <c r="AO2077" s="589"/>
      <c r="AP2077" s="589"/>
      <c r="AQ2077" s="589"/>
      <c r="AR2077" s="589"/>
      <c r="AS2077" s="589"/>
    </row>
    <row r="2078" spans="1:45" ht="15">
      <c r="A2078" s="587" t="s">
        <v>202</v>
      </c>
      <c r="B2078" s="587" t="s">
        <v>742</v>
      </c>
      <c r="C2078" s="587" t="s">
        <v>801</v>
      </c>
      <c r="D2078" s="588">
        <v>2018</v>
      </c>
      <c r="E2078" s="587" t="s">
        <v>775</v>
      </c>
      <c r="F2078" s="588">
        <v>1316</v>
      </c>
      <c r="G2078" s="588">
        <v>0</v>
      </c>
      <c r="H2078" s="588">
        <v>0</v>
      </c>
      <c r="I2078" s="588">
        <v>0</v>
      </c>
      <c r="J2078" s="588">
        <v>923</v>
      </c>
      <c r="K2078" s="588">
        <v>4</v>
      </c>
      <c r="L2078" s="588">
        <v>0</v>
      </c>
      <c r="M2078" s="588">
        <v>4</v>
      </c>
      <c r="N2078" s="588">
        <v>1111</v>
      </c>
      <c r="O2078" s="588">
        <v>106</v>
      </c>
      <c r="P2078" s="588">
        <v>2627</v>
      </c>
      <c r="Q2078" s="588">
        <v>44</v>
      </c>
      <c r="R2078" s="588">
        <v>5977</v>
      </c>
      <c r="S2078" s="588">
        <v>154</v>
      </c>
      <c r="T2078" s="588">
        <v>2018</v>
      </c>
      <c r="U2078" s="588">
        <v>2014</v>
      </c>
      <c r="V2078" s="589"/>
      <c r="W2078" s="589"/>
      <c r="X2078" s="589"/>
      <c r="Y2078" s="589"/>
      <c r="Z2078" s="589"/>
      <c r="AA2078" s="589"/>
      <c r="AB2078" s="589"/>
      <c r="AC2078" s="589"/>
      <c r="AD2078" s="589"/>
      <c r="AE2078" s="589"/>
      <c r="AF2078" s="589"/>
      <c r="AG2078" s="589"/>
      <c r="AH2078" s="589"/>
      <c r="AI2078" s="589"/>
      <c r="AJ2078" s="589"/>
      <c r="AK2078" s="589"/>
      <c r="AL2078" s="589"/>
      <c r="AM2078" s="589"/>
      <c r="AN2078" s="589"/>
      <c r="AO2078" s="589"/>
      <c r="AP2078" s="589"/>
      <c r="AQ2078" s="589"/>
      <c r="AR2078" s="589"/>
      <c r="AS2078" s="589"/>
    </row>
    <row r="2079" spans="1:45" ht="15">
      <c r="A2079" s="590" t="s">
        <v>153</v>
      </c>
      <c r="B2079" s="591" t="s">
        <v>432</v>
      </c>
      <c r="C2079" s="591" t="s">
        <v>813</v>
      </c>
      <c r="D2079" s="592">
        <v>2018</v>
      </c>
      <c r="E2079" s="591" t="s">
        <v>775</v>
      </c>
      <c r="F2079" s="592">
        <v>12</v>
      </c>
      <c r="G2079" s="592">
        <v>0</v>
      </c>
      <c r="H2079" s="592">
        <v>0</v>
      </c>
      <c r="I2079" s="592">
        <v>0</v>
      </c>
      <c r="J2079" s="592">
        <v>7</v>
      </c>
      <c r="K2079" s="592">
        <v>0</v>
      </c>
      <c r="L2079" s="592">
        <v>0</v>
      </c>
      <c r="M2079" s="592">
        <v>0</v>
      </c>
      <c r="N2079" s="593">
        <v>8</v>
      </c>
      <c r="O2079" s="593">
        <v>0</v>
      </c>
      <c r="P2079" s="593">
        <v>18</v>
      </c>
      <c r="Q2079" s="593">
        <v>2</v>
      </c>
      <c r="R2079" s="593">
        <v>45</v>
      </c>
      <c r="S2079" s="593">
        <v>2</v>
      </c>
      <c r="T2079" s="593">
        <v>2018</v>
      </c>
      <c r="U2079" s="593">
        <v>2014</v>
      </c>
      <c r="V2079" s="589"/>
      <c r="W2079" s="589"/>
      <c r="X2079" s="589"/>
      <c r="Y2079" s="589"/>
      <c r="Z2079" s="589"/>
      <c r="AA2079" s="589"/>
      <c r="AB2079" s="589"/>
      <c r="AC2079" s="589"/>
      <c r="AD2079" s="589"/>
      <c r="AE2079" s="589"/>
      <c r="AF2079" s="589"/>
      <c r="AG2079" s="589"/>
      <c r="AH2079" s="589"/>
      <c r="AI2079" s="589"/>
      <c r="AJ2079" s="589"/>
      <c r="AK2079" s="589"/>
      <c r="AL2079" s="589"/>
      <c r="AM2079" s="589"/>
      <c r="AN2079" s="589"/>
      <c r="AO2079" s="589"/>
      <c r="AP2079" s="589"/>
      <c r="AQ2079" s="589"/>
      <c r="AR2079" s="589"/>
      <c r="AS2079" s="589"/>
    </row>
    <row r="2080" spans="1:45" ht="15">
      <c r="A2080" s="587" t="s">
        <v>169</v>
      </c>
      <c r="B2080" s="587" t="s">
        <v>517</v>
      </c>
      <c r="C2080" s="587" t="s">
        <v>813</v>
      </c>
      <c r="D2080" s="588">
        <v>2018</v>
      </c>
      <c r="E2080" s="587" t="s">
        <v>775</v>
      </c>
      <c r="F2080" s="588">
        <v>1</v>
      </c>
      <c r="G2080" s="588">
        <v>2</v>
      </c>
      <c r="H2080" s="588">
        <v>2</v>
      </c>
      <c r="I2080" s="588">
        <v>0</v>
      </c>
      <c r="J2080" s="588">
        <v>1</v>
      </c>
      <c r="K2080" s="588">
        <v>3</v>
      </c>
      <c r="L2080" s="588">
        <v>3</v>
      </c>
      <c r="M2080" s="588">
        <v>0</v>
      </c>
      <c r="N2080" s="588">
        <v>0</v>
      </c>
      <c r="O2080" s="588">
        <v>0</v>
      </c>
      <c r="P2080" s="588">
        <v>0</v>
      </c>
      <c r="Q2080" s="588">
        <v>103</v>
      </c>
      <c r="R2080" s="588">
        <v>2</v>
      </c>
      <c r="S2080" s="588">
        <v>108</v>
      </c>
      <c r="T2080" s="588">
        <v>2018</v>
      </c>
      <c r="U2080" s="588">
        <v>2014</v>
      </c>
      <c r="V2080" s="589"/>
      <c r="W2080" s="589"/>
      <c r="X2080" s="589"/>
      <c r="Y2080" s="589"/>
      <c r="Z2080" s="589"/>
      <c r="AA2080" s="589"/>
      <c r="AB2080" s="589"/>
      <c r="AC2080" s="589"/>
      <c r="AD2080" s="589"/>
      <c r="AE2080" s="589"/>
      <c r="AF2080" s="589"/>
      <c r="AG2080" s="589"/>
      <c r="AH2080" s="589"/>
      <c r="AI2080" s="589"/>
      <c r="AJ2080" s="589"/>
      <c r="AK2080" s="589"/>
      <c r="AL2080" s="589"/>
      <c r="AM2080" s="589"/>
      <c r="AN2080" s="589"/>
      <c r="AO2080" s="589"/>
      <c r="AP2080" s="589"/>
      <c r="AQ2080" s="589"/>
      <c r="AR2080" s="589"/>
      <c r="AS2080" s="589"/>
    </row>
    <row r="2081" spans="1:45" ht="15">
      <c r="A2081" s="590" t="s">
        <v>146</v>
      </c>
      <c r="B2081" s="591" t="s">
        <v>321</v>
      </c>
      <c r="C2081" s="591" t="s">
        <v>813</v>
      </c>
      <c r="D2081" s="592">
        <v>2018</v>
      </c>
      <c r="E2081" s="591" t="s">
        <v>775</v>
      </c>
      <c r="F2081" s="592">
        <v>57</v>
      </c>
      <c r="G2081" s="592">
        <v>0</v>
      </c>
      <c r="H2081" s="592">
        <v>0</v>
      </c>
      <c r="I2081" s="592">
        <v>0</v>
      </c>
      <c r="J2081" s="592">
        <v>35</v>
      </c>
      <c r="K2081" s="592">
        <v>0</v>
      </c>
      <c r="L2081" s="592">
        <v>0</v>
      </c>
      <c r="M2081" s="592">
        <v>0</v>
      </c>
      <c r="N2081" s="593">
        <v>36</v>
      </c>
      <c r="O2081" s="593">
        <v>0</v>
      </c>
      <c r="P2081" s="593">
        <v>105</v>
      </c>
      <c r="Q2081" s="593">
        <v>0</v>
      </c>
      <c r="R2081" s="593">
        <v>233</v>
      </c>
      <c r="S2081" s="593">
        <v>0</v>
      </c>
      <c r="T2081" s="593">
        <v>2018</v>
      </c>
      <c r="U2081" s="593">
        <v>2014</v>
      </c>
      <c r="V2081" s="589"/>
      <c r="W2081" s="589"/>
      <c r="X2081" s="589"/>
      <c r="Y2081" s="589"/>
      <c r="Z2081" s="589"/>
      <c r="AA2081" s="589"/>
      <c r="AB2081" s="589"/>
      <c r="AC2081" s="589"/>
      <c r="AD2081" s="589"/>
      <c r="AE2081" s="589"/>
      <c r="AF2081" s="589"/>
      <c r="AG2081" s="589"/>
      <c r="AH2081" s="589"/>
      <c r="AI2081" s="589"/>
      <c r="AJ2081" s="589"/>
      <c r="AK2081" s="589"/>
      <c r="AL2081" s="589"/>
      <c r="AM2081" s="589"/>
      <c r="AN2081" s="589"/>
      <c r="AO2081" s="589"/>
      <c r="AP2081" s="589"/>
      <c r="AQ2081" s="589"/>
      <c r="AR2081" s="589"/>
      <c r="AS2081" s="589"/>
    </row>
    <row r="2082" spans="1:45" ht="15">
      <c r="A2082" s="587" t="s">
        <v>204</v>
      </c>
      <c r="B2082" s="587" t="s">
        <v>747</v>
      </c>
      <c r="C2082" s="587" t="s">
        <v>801</v>
      </c>
      <c r="D2082" s="588">
        <v>2018</v>
      </c>
      <c r="E2082" s="587" t="s">
        <v>775</v>
      </c>
      <c r="F2082" s="588">
        <v>109</v>
      </c>
      <c r="G2082" s="588">
        <v>0</v>
      </c>
      <c r="H2082" s="588">
        <v>0</v>
      </c>
      <c r="I2082" s="588">
        <v>0</v>
      </c>
      <c r="J2082" s="588">
        <v>76</v>
      </c>
      <c r="K2082" s="588">
        <v>0</v>
      </c>
      <c r="L2082" s="588">
        <v>0</v>
      </c>
      <c r="M2082" s="588">
        <v>0</v>
      </c>
      <c r="N2082" s="588">
        <v>90</v>
      </c>
      <c r="O2082" s="588">
        <v>0</v>
      </c>
      <c r="P2082" s="588">
        <v>208</v>
      </c>
      <c r="Q2082" s="588">
        <v>0</v>
      </c>
      <c r="R2082" s="588">
        <v>483</v>
      </c>
      <c r="S2082" s="588">
        <v>0</v>
      </c>
      <c r="T2082" s="588">
        <v>2018</v>
      </c>
      <c r="U2082" s="588">
        <v>2014</v>
      </c>
      <c r="V2082" s="589"/>
      <c r="W2082" s="589"/>
      <c r="X2082" s="589"/>
      <c r="Y2082" s="589"/>
      <c r="Z2082" s="589"/>
      <c r="AA2082" s="589"/>
      <c r="AB2082" s="589"/>
      <c r="AC2082" s="589"/>
      <c r="AD2082" s="589"/>
      <c r="AE2082" s="589"/>
      <c r="AF2082" s="589"/>
      <c r="AG2082" s="589"/>
      <c r="AH2082" s="589"/>
      <c r="AI2082" s="589"/>
      <c r="AJ2082" s="589"/>
      <c r="AK2082" s="589"/>
      <c r="AL2082" s="589"/>
      <c r="AM2082" s="589"/>
      <c r="AN2082" s="589"/>
      <c r="AO2082" s="589"/>
      <c r="AP2082" s="589"/>
      <c r="AQ2082" s="589"/>
      <c r="AR2082" s="589"/>
      <c r="AS2082" s="589"/>
    </row>
    <row r="2083" spans="1:45" ht="15">
      <c r="A2083" s="590" t="s">
        <v>153</v>
      </c>
      <c r="B2083" s="591" t="s">
        <v>433</v>
      </c>
      <c r="C2083" s="591" t="s">
        <v>813</v>
      </c>
      <c r="D2083" s="592">
        <v>2018</v>
      </c>
      <c r="E2083" s="591" t="s">
        <v>775</v>
      </c>
      <c r="F2083" s="592">
        <v>228</v>
      </c>
      <c r="G2083" s="592">
        <v>0</v>
      </c>
      <c r="H2083" s="592">
        <v>0</v>
      </c>
      <c r="I2083" s="592">
        <v>0</v>
      </c>
      <c r="J2083" s="592">
        <v>135</v>
      </c>
      <c r="K2083" s="592">
        <v>8</v>
      </c>
      <c r="L2083" s="592">
        <v>0</v>
      </c>
      <c r="M2083" s="592">
        <v>8</v>
      </c>
      <c r="N2083" s="593">
        <v>146</v>
      </c>
      <c r="O2083" s="593">
        <v>0</v>
      </c>
      <c r="P2083" s="593">
        <v>369</v>
      </c>
      <c r="Q2083" s="593">
        <v>9</v>
      </c>
      <c r="R2083" s="593">
        <v>878</v>
      </c>
      <c r="S2083" s="593">
        <v>17</v>
      </c>
      <c r="T2083" s="593">
        <v>2018</v>
      </c>
      <c r="U2083" s="593">
        <v>2014</v>
      </c>
      <c r="V2083" s="589"/>
      <c r="W2083" s="589"/>
      <c r="X2083" s="589"/>
      <c r="Y2083" s="589"/>
      <c r="Z2083" s="589"/>
      <c r="AA2083" s="589"/>
      <c r="AB2083" s="589"/>
      <c r="AC2083" s="589"/>
      <c r="AD2083" s="589"/>
      <c r="AE2083" s="589"/>
      <c r="AF2083" s="589"/>
      <c r="AG2083" s="589"/>
      <c r="AH2083" s="589"/>
      <c r="AI2083" s="589"/>
      <c r="AJ2083" s="589"/>
      <c r="AK2083" s="589"/>
      <c r="AL2083" s="589"/>
      <c r="AM2083" s="589"/>
      <c r="AN2083" s="589"/>
      <c r="AO2083" s="589"/>
      <c r="AP2083" s="589"/>
      <c r="AQ2083" s="589"/>
      <c r="AR2083" s="589"/>
      <c r="AS2083" s="589"/>
    </row>
    <row r="2084" spans="1:45" ht="15">
      <c r="A2084" s="587" t="s">
        <v>173</v>
      </c>
      <c r="B2084" s="587" t="s">
        <v>555</v>
      </c>
      <c r="C2084" s="587" t="s">
        <v>813</v>
      </c>
      <c r="D2084" s="588">
        <v>2018</v>
      </c>
      <c r="E2084" s="587" t="s">
        <v>775</v>
      </c>
      <c r="F2084" s="588">
        <v>621</v>
      </c>
      <c r="G2084" s="588">
        <v>0</v>
      </c>
      <c r="H2084" s="588">
        <v>0</v>
      </c>
      <c r="I2084" s="588">
        <v>0</v>
      </c>
      <c r="J2084" s="588">
        <v>415</v>
      </c>
      <c r="K2084" s="588">
        <v>14</v>
      </c>
      <c r="L2084" s="588">
        <v>0</v>
      </c>
      <c r="M2084" s="588">
        <v>14</v>
      </c>
      <c r="N2084" s="588">
        <v>461</v>
      </c>
      <c r="O2084" s="588">
        <v>3</v>
      </c>
      <c r="P2084" s="588">
        <v>1038</v>
      </c>
      <c r="Q2084" s="588">
        <v>39</v>
      </c>
      <c r="R2084" s="588">
        <v>2535</v>
      </c>
      <c r="S2084" s="588">
        <v>56</v>
      </c>
      <c r="T2084" s="588">
        <v>2018</v>
      </c>
      <c r="U2084" s="588">
        <v>2014</v>
      </c>
      <c r="V2084" s="589"/>
      <c r="W2084" s="589"/>
      <c r="X2084" s="589"/>
      <c r="Y2084" s="589"/>
      <c r="Z2084" s="589"/>
      <c r="AA2084" s="589"/>
      <c r="AB2084" s="589"/>
      <c r="AC2084" s="589"/>
      <c r="AD2084" s="589"/>
      <c r="AE2084" s="589"/>
      <c r="AF2084" s="589"/>
      <c r="AG2084" s="589"/>
      <c r="AH2084" s="589"/>
      <c r="AI2084" s="589"/>
      <c r="AJ2084" s="589"/>
      <c r="AK2084" s="589"/>
      <c r="AL2084" s="589"/>
      <c r="AM2084" s="589"/>
      <c r="AN2084" s="589"/>
      <c r="AO2084" s="589"/>
      <c r="AP2084" s="589"/>
      <c r="AQ2084" s="589"/>
      <c r="AR2084" s="589"/>
      <c r="AS2084" s="589"/>
    </row>
    <row r="2085" spans="1:45" ht="15">
      <c r="A2085" s="590" t="s">
        <v>135</v>
      </c>
      <c r="B2085" s="591" t="s">
        <v>264</v>
      </c>
      <c r="C2085" s="591" t="s">
        <v>785</v>
      </c>
      <c r="D2085" s="592">
        <v>2018</v>
      </c>
      <c r="E2085" s="591" t="s">
        <v>775</v>
      </c>
      <c r="F2085" s="592">
        <v>69</v>
      </c>
      <c r="G2085" s="592">
        <v>0</v>
      </c>
      <c r="H2085" s="592">
        <v>0</v>
      </c>
      <c r="I2085" s="592">
        <v>0</v>
      </c>
      <c r="J2085" s="592">
        <v>50</v>
      </c>
      <c r="K2085" s="592">
        <v>0</v>
      </c>
      <c r="L2085" s="592">
        <v>0</v>
      </c>
      <c r="M2085" s="592">
        <v>0</v>
      </c>
      <c r="N2085" s="593">
        <v>58</v>
      </c>
      <c r="O2085" s="593">
        <v>0</v>
      </c>
      <c r="P2085" s="593">
        <v>130</v>
      </c>
      <c r="Q2085" s="593">
        <v>24</v>
      </c>
      <c r="R2085" s="593">
        <v>307</v>
      </c>
      <c r="S2085" s="593">
        <v>24</v>
      </c>
      <c r="T2085" s="593">
        <v>2018</v>
      </c>
      <c r="U2085" s="593">
        <v>2014</v>
      </c>
      <c r="V2085" s="589"/>
      <c r="W2085" s="589"/>
      <c r="X2085" s="589"/>
      <c r="Y2085" s="589"/>
      <c r="Z2085" s="589"/>
      <c r="AA2085" s="589"/>
      <c r="AB2085" s="589"/>
      <c r="AC2085" s="589"/>
      <c r="AD2085" s="589"/>
      <c r="AE2085" s="589"/>
      <c r="AF2085" s="589"/>
      <c r="AG2085" s="589"/>
      <c r="AH2085" s="589"/>
      <c r="AI2085" s="589"/>
      <c r="AJ2085" s="589"/>
      <c r="AK2085" s="589"/>
      <c r="AL2085" s="589"/>
      <c r="AM2085" s="589"/>
      <c r="AN2085" s="589"/>
      <c r="AO2085" s="589"/>
      <c r="AP2085" s="589"/>
      <c r="AQ2085" s="589"/>
      <c r="AR2085" s="589"/>
      <c r="AS2085" s="589"/>
    </row>
    <row r="2086" spans="1:45" ht="15">
      <c r="A2086" s="587" t="s">
        <v>159</v>
      </c>
      <c r="B2086" s="587" t="s">
        <v>453</v>
      </c>
      <c r="C2086" s="587" t="s">
        <v>785</v>
      </c>
      <c r="D2086" s="588">
        <v>2018</v>
      </c>
      <c r="E2086" s="587" t="s">
        <v>775</v>
      </c>
      <c r="F2086" s="588">
        <v>3</v>
      </c>
      <c r="G2086" s="588">
        <v>0</v>
      </c>
      <c r="H2086" s="588">
        <v>0</v>
      </c>
      <c r="I2086" s="588">
        <v>0</v>
      </c>
      <c r="J2086" s="588">
        <v>2</v>
      </c>
      <c r="K2086" s="588">
        <v>2</v>
      </c>
      <c r="L2086" s="588">
        <v>0</v>
      </c>
      <c r="M2086" s="588">
        <v>2</v>
      </c>
      <c r="N2086" s="588">
        <v>2</v>
      </c>
      <c r="O2086" s="588">
        <v>0</v>
      </c>
      <c r="P2086" s="588">
        <v>6</v>
      </c>
      <c r="Q2086" s="588">
        <v>1</v>
      </c>
      <c r="R2086" s="588">
        <v>13</v>
      </c>
      <c r="S2086" s="588">
        <v>3</v>
      </c>
      <c r="T2086" s="588">
        <v>2018</v>
      </c>
      <c r="U2086" s="588">
        <v>2014</v>
      </c>
      <c r="V2086" s="589"/>
      <c r="W2086" s="589"/>
      <c r="X2086" s="589"/>
      <c r="Y2086" s="589"/>
      <c r="Z2086" s="589"/>
      <c r="AA2086" s="589"/>
      <c r="AB2086" s="589"/>
      <c r="AC2086" s="589"/>
      <c r="AD2086" s="589"/>
      <c r="AE2086" s="589"/>
      <c r="AF2086" s="589"/>
      <c r="AG2086" s="589"/>
      <c r="AH2086" s="589"/>
      <c r="AI2086" s="589"/>
      <c r="AJ2086" s="589"/>
      <c r="AK2086" s="589"/>
      <c r="AL2086" s="589"/>
      <c r="AM2086" s="589"/>
      <c r="AN2086" s="589"/>
      <c r="AO2086" s="589"/>
      <c r="AP2086" s="589"/>
      <c r="AQ2086" s="589"/>
      <c r="AR2086" s="589"/>
      <c r="AS2086" s="589"/>
    </row>
    <row r="2087" spans="1:45" ht="15">
      <c r="A2087" s="590" t="s">
        <v>144</v>
      </c>
      <c r="B2087" s="591" t="s">
        <v>306</v>
      </c>
      <c r="C2087" s="591" t="s">
        <v>785</v>
      </c>
      <c r="D2087" s="592">
        <v>2018</v>
      </c>
      <c r="E2087" s="591" t="s">
        <v>775</v>
      </c>
      <c r="F2087" s="592">
        <v>15</v>
      </c>
      <c r="G2087" s="592">
        <v>0</v>
      </c>
      <c r="H2087" s="592">
        <v>0</v>
      </c>
      <c r="I2087" s="592">
        <v>0</v>
      </c>
      <c r="J2087" s="592">
        <v>11</v>
      </c>
      <c r="K2087" s="592">
        <v>0</v>
      </c>
      <c r="L2087" s="592">
        <v>0</v>
      </c>
      <c r="M2087" s="592">
        <v>0</v>
      </c>
      <c r="N2087" s="593">
        <v>11</v>
      </c>
      <c r="O2087" s="593">
        <v>0</v>
      </c>
      <c r="P2087" s="593">
        <v>26</v>
      </c>
      <c r="Q2087" s="593">
        <v>0</v>
      </c>
      <c r="R2087" s="593">
        <v>63</v>
      </c>
      <c r="S2087" s="593">
        <v>0</v>
      </c>
      <c r="T2087" s="593">
        <v>2018</v>
      </c>
      <c r="U2087" s="593">
        <v>2014</v>
      </c>
      <c r="V2087" s="589"/>
      <c r="W2087" s="589"/>
      <c r="X2087" s="589"/>
      <c r="Y2087" s="589"/>
      <c r="Z2087" s="589"/>
      <c r="AA2087" s="589"/>
      <c r="AB2087" s="589"/>
      <c r="AC2087" s="589"/>
      <c r="AD2087" s="589"/>
      <c r="AE2087" s="589"/>
      <c r="AF2087" s="589"/>
      <c r="AG2087" s="589"/>
      <c r="AH2087" s="589"/>
      <c r="AI2087" s="589"/>
      <c r="AJ2087" s="589"/>
      <c r="AK2087" s="589"/>
      <c r="AL2087" s="589"/>
      <c r="AM2087" s="589"/>
      <c r="AN2087" s="589"/>
      <c r="AO2087" s="589"/>
      <c r="AP2087" s="589"/>
      <c r="AQ2087" s="589"/>
      <c r="AR2087" s="589"/>
      <c r="AS2087" s="589"/>
    </row>
    <row r="2088" spans="1:45" ht="15">
      <c r="A2088" s="587" t="s">
        <v>193</v>
      </c>
      <c r="B2088" s="587" t="s">
        <v>702</v>
      </c>
      <c r="C2088" s="587" t="s">
        <v>782</v>
      </c>
      <c r="D2088" s="588">
        <v>2018</v>
      </c>
      <c r="E2088" s="587" t="s">
        <v>775</v>
      </c>
      <c r="F2088" s="588">
        <v>120</v>
      </c>
      <c r="G2088" s="588">
        <v>0</v>
      </c>
      <c r="H2088" s="588">
        <v>0</v>
      </c>
      <c r="I2088" s="588">
        <v>0</v>
      </c>
      <c r="J2088" s="588">
        <v>65</v>
      </c>
      <c r="K2088" s="588">
        <v>0</v>
      </c>
      <c r="L2088" s="588">
        <v>0</v>
      </c>
      <c r="M2088" s="588">
        <v>0</v>
      </c>
      <c r="N2088" s="588">
        <v>67</v>
      </c>
      <c r="O2088" s="588">
        <v>0</v>
      </c>
      <c r="P2088" s="588">
        <v>188</v>
      </c>
      <c r="Q2088" s="588">
        <v>18</v>
      </c>
      <c r="R2088" s="588">
        <v>440</v>
      </c>
      <c r="S2088" s="588">
        <v>18</v>
      </c>
      <c r="T2088" s="588">
        <v>2018</v>
      </c>
      <c r="U2088" s="588">
        <v>2015</v>
      </c>
      <c r="V2088" s="589"/>
      <c r="W2088" s="589"/>
      <c r="X2088" s="589"/>
      <c r="Y2088" s="589"/>
      <c r="Z2088" s="589"/>
      <c r="AA2088" s="589"/>
      <c r="AB2088" s="589"/>
      <c r="AC2088" s="589"/>
      <c r="AD2088" s="589"/>
      <c r="AE2088" s="589"/>
      <c r="AF2088" s="589"/>
      <c r="AG2088" s="589"/>
      <c r="AH2088" s="589"/>
      <c r="AI2088" s="589"/>
      <c r="AJ2088" s="589"/>
      <c r="AK2088" s="589"/>
      <c r="AL2088" s="589"/>
      <c r="AM2088" s="589"/>
      <c r="AN2088" s="589"/>
      <c r="AO2088" s="589"/>
      <c r="AP2088" s="589"/>
      <c r="AQ2088" s="589"/>
      <c r="AR2088" s="589"/>
      <c r="AS2088" s="589"/>
    </row>
    <row r="2089" spans="1:45" ht="15">
      <c r="A2089" s="590" t="s">
        <v>202</v>
      </c>
      <c r="B2089" s="591" t="s">
        <v>743</v>
      </c>
      <c r="C2089" s="591" t="s">
        <v>801</v>
      </c>
      <c r="D2089" s="592">
        <v>2018</v>
      </c>
      <c r="E2089" s="591" t="s">
        <v>775</v>
      </c>
      <c r="F2089" s="592">
        <v>76</v>
      </c>
      <c r="G2089" s="592">
        <v>0</v>
      </c>
      <c r="H2089" s="592">
        <v>0</v>
      </c>
      <c r="I2089" s="592">
        <v>0</v>
      </c>
      <c r="J2089" s="592">
        <v>54</v>
      </c>
      <c r="K2089" s="592">
        <v>0</v>
      </c>
      <c r="L2089" s="592">
        <v>0</v>
      </c>
      <c r="M2089" s="592">
        <v>0</v>
      </c>
      <c r="N2089" s="593">
        <v>59</v>
      </c>
      <c r="O2089" s="593">
        <v>0</v>
      </c>
      <c r="P2089" s="593">
        <v>130</v>
      </c>
      <c r="Q2089" s="593">
        <v>36</v>
      </c>
      <c r="R2089" s="593">
        <v>319</v>
      </c>
      <c r="S2089" s="593">
        <v>36</v>
      </c>
      <c r="T2089" s="593">
        <v>2018</v>
      </c>
      <c r="U2089" s="593">
        <v>2014</v>
      </c>
      <c r="V2089" s="589"/>
      <c r="W2089" s="589"/>
      <c r="X2089" s="589"/>
      <c r="Y2089" s="589"/>
      <c r="Z2089" s="589"/>
      <c r="AA2089" s="589"/>
      <c r="AB2089" s="589"/>
      <c r="AC2089" s="589"/>
      <c r="AD2089" s="589"/>
      <c r="AE2089" s="589"/>
      <c r="AF2089" s="589"/>
      <c r="AG2089" s="589"/>
      <c r="AH2089" s="589"/>
      <c r="AI2089" s="589"/>
      <c r="AJ2089" s="589"/>
      <c r="AK2089" s="589"/>
      <c r="AL2089" s="589"/>
      <c r="AM2089" s="589"/>
      <c r="AN2089" s="589"/>
      <c r="AO2089" s="589"/>
      <c r="AP2089" s="589"/>
      <c r="AQ2089" s="589"/>
      <c r="AR2089" s="589"/>
      <c r="AS2089" s="589"/>
    </row>
    <row r="2090" spans="1:45" ht="15">
      <c r="A2090" s="587" t="s">
        <v>199</v>
      </c>
      <c r="B2090" s="587" t="s">
        <v>727</v>
      </c>
      <c r="C2090" s="587" t="s">
        <v>811</v>
      </c>
      <c r="D2090" s="588">
        <v>2018</v>
      </c>
      <c r="E2090" s="587" t="s">
        <v>775</v>
      </c>
      <c r="F2090" s="588">
        <v>71</v>
      </c>
      <c r="G2090" s="588">
        <v>0</v>
      </c>
      <c r="H2090" s="588">
        <v>0</v>
      </c>
      <c r="I2090" s="588">
        <v>0</v>
      </c>
      <c r="J2090" s="588">
        <v>41</v>
      </c>
      <c r="K2090" s="588">
        <v>25</v>
      </c>
      <c r="L2090" s="588">
        <v>0</v>
      </c>
      <c r="M2090" s="588">
        <v>25</v>
      </c>
      <c r="N2090" s="588">
        <v>69</v>
      </c>
      <c r="O2090" s="588">
        <v>0</v>
      </c>
      <c r="P2090" s="588">
        <v>191</v>
      </c>
      <c r="Q2090" s="588">
        <v>0</v>
      </c>
      <c r="R2090" s="588">
        <v>372</v>
      </c>
      <c r="S2090" s="588">
        <v>25</v>
      </c>
      <c r="T2090" s="588">
        <v>2018</v>
      </c>
      <c r="U2090" s="588">
        <v>2016</v>
      </c>
      <c r="V2090" s="589"/>
      <c r="W2090" s="589"/>
      <c r="X2090" s="589"/>
      <c r="Y2090" s="589"/>
      <c r="Z2090" s="589"/>
      <c r="AA2090" s="589"/>
      <c r="AB2090" s="589"/>
      <c r="AC2090" s="589"/>
      <c r="AD2090" s="589"/>
      <c r="AE2090" s="589"/>
      <c r="AF2090" s="589"/>
      <c r="AG2090" s="589"/>
      <c r="AH2090" s="589"/>
      <c r="AI2090" s="589"/>
      <c r="AJ2090" s="589"/>
      <c r="AK2090" s="589"/>
      <c r="AL2090" s="589"/>
      <c r="AM2090" s="589"/>
      <c r="AN2090" s="589"/>
      <c r="AO2090" s="589"/>
      <c r="AP2090" s="589"/>
      <c r="AQ2090" s="589"/>
      <c r="AR2090" s="589"/>
      <c r="AS2090" s="589"/>
    </row>
    <row r="2091" spans="1:45" ht="15">
      <c r="A2091" s="590" t="s">
        <v>202</v>
      </c>
      <c r="B2091" s="591" t="s">
        <v>744</v>
      </c>
      <c r="C2091" s="591" t="s">
        <v>801</v>
      </c>
      <c r="D2091" s="592">
        <v>2018</v>
      </c>
      <c r="E2091" s="591" t="s">
        <v>775</v>
      </c>
      <c r="F2091" s="592">
        <v>390</v>
      </c>
      <c r="G2091" s="592">
        <v>0</v>
      </c>
      <c r="H2091" s="592">
        <v>0</v>
      </c>
      <c r="I2091" s="592">
        <v>0</v>
      </c>
      <c r="J2091" s="592">
        <v>274</v>
      </c>
      <c r="K2091" s="592">
        <v>39</v>
      </c>
      <c r="L2091" s="592">
        <v>39</v>
      </c>
      <c r="M2091" s="592">
        <v>0</v>
      </c>
      <c r="N2091" s="593">
        <v>349</v>
      </c>
      <c r="O2091" s="593">
        <v>38</v>
      </c>
      <c r="P2091" s="593">
        <v>864</v>
      </c>
      <c r="Q2091" s="593">
        <v>174</v>
      </c>
      <c r="R2091" s="593">
        <v>1877</v>
      </c>
      <c r="S2091" s="593">
        <v>251</v>
      </c>
      <c r="T2091" s="593">
        <v>2018</v>
      </c>
      <c r="U2091" s="593">
        <v>2014</v>
      </c>
      <c r="V2091" s="589"/>
      <c r="W2091" s="589"/>
      <c r="X2091" s="589"/>
      <c r="Y2091" s="589"/>
      <c r="Z2091" s="589"/>
      <c r="AA2091" s="589"/>
      <c r="AB2091" s="589"/>
      <c r="AC2091" s="589"/>
      <c r="AD2091" s="589"/>
      <c r="AE2091" s="589"/>
      <c r="AF2091" s="589"/>
      <c r="AG2091" s="589"/>
      <c r="AH2091" s="589"/>
      <c r="AI2091" s="589"/>
      <c r="AJ2091" s="589"/>
      <c r="AK2091" s="589"/>
      <c r="AL2091" s="589"/>
      <c r="AM2091" s="589"/>
      <c r="AN2091" s="589"/>
      <c r="AO2091" s="589"/>
      <c r="AP2091" s="589"/>
      <c r="AQ2091" s="589"/>
      <c r="AR2091" s="589"/>
      <c r="AS2091" s="589"/>
    </row>
    <row r="2092" spans="1:45" ht="15">
      <c r="A2092" s="587" t="s">
        <v>184</v>
      </c>
      <c r="B2092" s="587" t="s">
        <v>642</v>
      </c>
      <c r="C2092" s="587" t="s">
        <v>782</v>
      </c>
      <c r="D2092" s="588">
        <v>2018</v>
      </c>
      <c r="E2092" s="587" t="s">
        <v>775</v>
      </c>
      <c r="F2092" s="588">
        <v>23</v>
      </c>
      <c r="G2092" s="588">
        <v>11</v>
      </c>
      <c r="H2092" s="588">
        <v>0</v>
      </c>
      <c r="I2092" s="588">
        <v>11</v>
      </c>
      <c r="J2092" s="588">
        <v>13</v>
      </c>
      <c r="K2092" s="588">
        <v>2</v>
      </c>
      <c r="L2092" s="588">
        <v>0</v>
      </c>
      <c r="M2092" s="588">
        <v>2</v>
      </c>
      <c r="N2092" s="588">
        <v>15</v>
      </c>
      <c r="O2092" s="588">
        <v>1</v>
      </c>
      <c r="P2092" s="588">
        <v>11</v>
      </c>
      <c r="Q2092" s="588">
        <v>7</v>
      </c>
      <c r="R2092" s="588">
        <v>62</v>
      </c>
      <c r="S2092" s="588">
        <v>21</v>
      </c>
      <c r="T2092" s="588">
        <v>2018</v>
      </c>
      <c r="U2092" s="588">
        <v>2015</v>
      </c>
      <c r="V2092" s="589"/>
      <c r="W2092" s="589"/>
      <c r="X2092" s="589"/>
      <c r="Y2092" s="589"/>
      <c r="Z2092" s="589"/>
      <c r="AA2092" s="589"/>
      <c r="AB2092" s="589"/>
      <c r="AC2092" s="589"/>
      <c r="AD2092" s="589"/>
      <c r="AE2092" s="589"/>
      <c r="AF2092" s="589"/>
      <c r="AG2092" s="589"/>
      <c r="AH2092" s="589"/>
      <c r="AI2092" s="589"/>
      <c r="AJ2092" s="589"/>
      <c r="AK2092" s="589"/>
      <c r="AL2092" s="589"/>
      <c r="AM2092" s="589"/>
      <c r="AN2092" s="589"/>
      <c r="AO2092" s="589"/>
      <c r="AP2092" s="589"/>
      <c r="AQ2092" s="589"/>
      <c r="AR2092" s="589"/>
      <c r="AS2092" s="589"/>
    </row>
    <row r="2093" spans="1:45" ht="15">
      <c r="A2093" s="590" t="s">
        <v>202</v>
      </c>
      <c r="B2093" s="591" t="s">
        <v>745</v>
      </c>
      <c r="C2093" s="591" t="s">
        <v>801</v>
      </c>
      <c r="D2093" s="592">
        <v>2018</v>
      </c>
      <c r="E2093" s="591" t="s">
        <v>775</v>
      </c>
      <c r="F2093" s="592">
        <v>427</v>
      </c>
      <c r="G2093" s="592">
        <v>2</v>
      </c>
      <c r="H2093" s="592">
        <v>0</v>
      </c>
      <c r="I2093" s="592">
        <v>2</v>
      </c>
      <c r="J2093" s="592">
        <v>299</v>
      </c>
      <c r="K2093" s="592">
        <v>1</v>
      </c>
      <c r="L2093" s="592">
        <v>0</v>
      </c>
      <c r="M2093" s="592">
        <v>1</v>
      </c>
      <c r="N2093" s="593">
        <v>351</v>
      </c>
      <c r="O2093" s="593">
        <v>8</v>
      </c>
      <c r="P2093" s="593">
        <v>813</v>
      </c>
      <c r="Q2093" s="593">
        <v>4</v>
      </c>
      <c r="R2093" s="593">
        <v>1890</v>
      </c>
      <c r="S2093" s="593">
        <v>15</v>
      </c>
      <c r="T2093" s="593">
        <v>2018</v>
      </c>
      <c r="U2093" s="593">
        <v>2014</v>
      </c>
      <c r="V2093" s="589"/>
      <c r="W2093" s="589"/>
      <c r="X2093" s="589"/>
      <c r="Y2093" s="589"/>
      <c r="Z2093" s="589"/>
      <c r="AA2093" s="589"/>
      <c r="AB2093" s="589"/>
      <c r="AC2093" s="589"/>
      <c r="AD2093" s="589"/>
      <c r="AE2093" s="589"/>
      <c r="AF2093" s="589"/>
      <c r="AG2093" s="589"/>
      <c r="AH2093" s="589"/>
      <c r="AI2093" s="589"/>
      <c r="AJ2093" s="589"/>
      <c r="AK2093" s="589"/>
      <c r="AL2093" s="589"/>
      <c r="AM2093" s="589"/>
      <c r="AN2093" s="589"/>
      <c r="AO2093" s="589"/>
      <c r="AP2093" s="589"/>
      <c r="AQ2093" s="589"/>
      <c r="AR2093" s="589"/>
      <c r="AS2093" s="589"/>
    </row>
    <row r="2094" spans="1:45" ht="15">
      <c r="A2094" s="587" t="s">
        <v>169</v>
      </c>
      <c r="B2094" s="587" t="s">
        <v>518</v>
      </c>
      <c r="C2094" s="587" t="s">
        <v>813</v>
      </c>
      <c r="D2094" s="588">
        <v>2018</v>
      </c>
      <c r="E2094" s="587" t="s">
        <v>775</v>
      </c>
      <c r="F2094" s="588">
        <v>160</v>
      </c>
      <c r="G2094" s="588">
        <v>2</v>
      </c>
      <c r="H2094" s="588">
        <v>0</v>
      </c>
      <c r="I2094" s="588">
        <v>2</v>
      </c>
      <c r="J2094" s="588">
        <v>113</v>
      </c>
      <c r="K2094" s="588">
        <v>1</v>
      </c>
      <c r="L2094" s="588">
        <v>0</v>
      </c>
      <c r="M2094" s="588">
        <v>1</v>
      </c>
      <c r="N2094" s="588">
        <v>126</v>
      </c>
      <c r="O2094" s="588">
        <v>0</v>
      </c>
      <c r="P2094" s="588">
        <v>270</v>
      </c>
      <c r="Q2094" s="588">
        <v>117</v>
      </c>
      <c r="R2094" s="588">
        <v>669</v>
      </c>
      <c r="S2094" s="588">
        <v>120</v>
      </c>
      <c r="T2094" s="588">
        <v>2018</v>
      </c>
      <c r="U2094" s="588">
        <v>2014</v>
      </c>
      <c r="V2094" s="589"/>
      <c r="W2094" s="589"/>
      <c r="X2094" s="589"/>
      <c r="Y2094" s="589"/>
      <c r="Z2094" s="589"/>
      <c r="AA2094" s="589"/>
      <c r="AB2094" s="589"/>
      <c r="AC2094" s="589"/>
      <c r="AD2094" s="589"/>
      <c r="AE2094" s="589"/>
      <c r="AF2094" s="589"/>
      <c r="AG2094" s="589"/>
      <c r="AH2094" s="589"/>
      <c r="AI2094" s="589"/>
      <c r="AJ2094" s="589"/>
      <c r="AK2094" s="589"/>
      <c r="AL2094" s="589"/>
      <c r="AM2094" s="589"/>
      <c r="AN2094" s="589"/>
      <c r="AO2094" s="589"/>
      <c r="AP2094" s="589"/>
      <c r="AQ2094" s="589"/>
      <c r="AR2094" s="589"/>
      <c r="AS2094" s="589"/>
    </row>
    <row r="2095" spans="1:45" ht="15">
      <c r="A2095" s="590" t="s">
        <v>166</v>
      </c>
      <c r="B2095" s="591" t="s">
        <v>480</v>
      </c>
      <c r="C2095" s="591" t="s">
        <v>782</v>
      </c>
      <c r="D2095" s="592">
        <v>2018</v>
      </c>
      <c r="E2095" s="591" t="s">
        <v>775</v>
      </c>
      <c r="F2095" s="592">
        <v>4</v>
      </c>
      <c r="G2095" s="592">
        <v>0</v>
      </c>
      <c r="H2095" s="592">
        <v>0</v>
      </c>
      <c r="I2095" s="592">
        <v>0</v>
      </c>
      <c r="J2095" s="592">
        <v>2</v>
      </c>
      <c r="K2095" s="592">
        <v>0</v>
      </c>
      <c r="L2095" s="592">
        <v>0</v>
      </c>
      <c r="M2095" s="592">
        <v>0</v>
      </c>
      <c r="N2095" s="593">
        <v>3</v>
      </c>
      <c r="O2095" s="593">
        <v>3</v>
      </c>
      <c r="P2095" s="593">
        <v>8</v>
      </c>
      <c r="Q2095" s="593">
        <v>0</v>
      </c>
      <c r="R2095" s="593">
        <v>17</v>
      </c>
      <c r="S2095" s="593">
        <v>3</v>
      </c>
      <c r="T2095" s="593">
        <v>2018</v>
      </c>
      <c r="U2095" s="593">
        <v>2015</v>
      </c>
      <c r="V2095" s="589"/>
      <c r="W2095" s="589"/>
      <c r="X2095" s="589"/>
      <c r="Y2095" s="589"/>
      <c r="Z2095" s="589"/>
      <c r="AA2095" s="589"/>
      <c r="AB2095" s="589"/>
      <c r="AC2095" s="589"/>
      <c r="AD2095" s="589"/>
      <c r="AE2095" s="589"/>
      <c r="AF2095" s="589"/>
      <c r="AG2095" s="589"/>
      <c r="AH2095" s="589"/>
      <c r="AI2095" s="589"/>
      <c r="AJ2095" s="589"/>
      <c r="AK2095" s="589"/>
      <c r="AL2095" s="589"/>
      <c r="AM2095" s="589"/>
      <c r="AN2095" s="589"/>
      <c r="AO2095" s="589"/>
      <c r="AP2095" s="589"/>
      <c r="AQ2095" s="589"/>
      <c r="AR2095" s="589"/>
      <c r="AS2095" s="589"/>
    </row>
    <row r="2096" spans="1:45" ht="15">
      <c r="A2096" s="587" t="s">
        <v>191</v>
      </c>
      <c r="B2096" s="587" t="s">
        <v>685</v>
      </c>
      <c r="C2096" s="587" t="s">
        <v>785</v>
      </c>
      <c r="D2096" s="588">
        <v>2018</v>
      </c>
      <c r="E2096" s="587" t="s">
        <v>775</v>
      </c>
      <c r="F2096" s="588">
        <v>25</v>
      </c>
      <c r="G2096" s="588">
        <v>0</v>
      </c>
      <c r="H2096" s="588">
        <v>0</v>
      </c>
      <c r="I2096" s="588">
        <v>0</v>
      </c>
      <c r="J2096" s="588">
        <v>17</v>
      </c>
      <c r="K2096" s="588">
        <v>0</v>
      </c>
      <c r="L2096" s="588">
        <v>0</v>
      </c>
      <c r="M2096" s="588">
        <v>0</v>
      </c>
      <c r="N2096" s="588">
        <v>18</v>
      </c>
      <c r="O2096" s="588">
        <v>1</v>
      </c>
      <c r="P2096" s="588">
        <v>43</v>
      </c>
      <c r="Q2096" s="588">
        <v>0</v>
      </c>
      <c r="R2096" s="588">
        <v>103</v>
      </c>
      <c r="S2096" s="588">
        <v>1</v>
      </c>
      <c r="T2096" s="588">
        <v>2018</v>
      </c>
      <c r="U2096" s="588">
        <v>2014</v>
      </c>
      <c r="V2096" s="589"/>
      <c r="W2096" s="589"/>
      <c r="X2096" s="589"/>
      <c r="Y2096" s="589"/>
      <c r="Z2096" s="589"/>
      <c r="AA2096" s="589"/>
      <c r="AB2096" s="589"/>
      <c r="AC2096" s="589"/>
      <c r="AD2096" s="589"/>
      <c r="AE2096" s="589"/>
      <c r="AF2096" s="589"/>
      <c r="AG2096" s="589"/>
      <c r="AH2096" s="589"/>
      <c r="AI2096" s="589"/>
      <c r="AJ2096" s="589"/>
      <c r="AK2096" s="589"/>
      <c r="AL2096" s="589"/>
      <c r="AM2096" s="589"/>
      <c r="AN2096" s="589"/>
      <c r="AO2096" s="589"/>
      <c r="AP2096" s="589"/>
      <c r="AQ2096" s="589"/>
      <c r="AR2096" s="589"/>
      <c r="AS2096" s="589"/>
    </row>
    <row r="2097" spans="1:45" ht="15">
      <c r="A2097" s="590" t="s">
        <v>196</v>
      </c>
      <c r="B2097" s="591" t="s">
        <v>715</v>
      </c>
      <c r="C2097" s="591" t="s">
        <v>801</v>
      </c>
      <c r="D2097" s="592">
        <v>2018</v>
      </c>
      <c r="E2097" s="591" t="s">
        <v>775</v>
      </c>
      <c r="F2097" s="592">
        <v>624</v>
      </c>
      <c r="G2097" s="592">
        <v>0</v>
      </c>
      <c r="H2097" s="592">
        <v>0</v>
      </c>
      <c r="I2097" s="592">
        <v>0</v>
      </c>
      <c r="J2097" s="592">
        <v>437</v>
      </c>
      <c r="K2097" s="592">
        <v>0</v>
      </c>
      <c r="L2097" s="592">
        <v>0</v>
      </c>
      <c r="M2097" s="592">
        <v>0</v>
      </c>
      <c r="N2097" s="593">
        <v>498</v>
      </c>
      <c r="O2097" s="593">
        <v>0</v>
      </c>
      <c r="P2097" s="593">
        <v>1120</v>
      </c>
      <c r="Q2097" s="593">
        <v>32</v>
      </c>
      <c r="R2097" s="593">
        <v>2679</v>
      </c>
      <c r="S2097" s="593">
        <v>32</v>
      </c>
      <c r="T2097" s="593">
        <v>2018</v>
      </c>
      <c r="U2097" s="593">
        <v>2014</v>
      </c>
      <c r="V2097" s="589"/>
      <c r="W2097" s="589"/>
      <c r="X2097" s="589"/>
      <c r="Y2097" s="589"/>
      <c r="Z2097" s="589"/>
      <c r="AA2097" s="589"/>
      <c r="AB2097" s="589"/>
      <c r="AC2097" s="589"/>
      <c r="AD2097" s="589"/>
      <c r="AE2097" s="589"/>
      <c r="AF2097" s="589"/>
      <c r="AG2097" s="589"/>
      <c r="AH2097" s="589"/>
      <c r="AI2097" s="589"/>
      <c r="AJ2097" s="589"/>
      <c r="AK2097" s="589"/>
      <c r="AL2097" s="589"/>
      <c r="AM2097" s="589"/>
      <c r="AN2097" s="589"/>
      <c r="AO2097" s="589"/>
      <c r="AP2097" s="589"/>
      <c r="AQ2097" s="589"/>
      <c r="AR2097" s="589"/>
      <c r="AS2097" s="589"/>
    </row>
    <row r="2098" spans="1:45" ht="15">
      <c r="A2098" s="587" t="s">
        <v>204</v>
      </c>
      <c r="B2098" s="587" t="s">
        <v>748</v>
      </c>
      <c r="C2098" s="587" t="s">
        <v>801</v>
      </c>
      <c r="D2098" s="588">
        <v>2018</v>
      </c>
      <c r="E2098" s="587" t="s">
        <v>775</v>
      </c>
      <c r="F2098" s="588">
        <v>1036</v>
      </c>
      <c r="G2098" s="588">
        <v>3</v>
      </c>
      <c r="H2098" s="588">
        <v>3</v>
      </c>
      <c r="I2098" s="588">
        <v>0</v>
      </c>
      <c r="J2098" s="588">
        <v>727</v>
      </c>
      <c r="K2098" s="588">
        <v>0</v>
      </c>
      <c r="L2098" s="588">
        <v>0</v>
      </c>
      <c r="M2098" s="588">
        <v>0</v>
      </c>
      <c r="N2098" s="588">
        <v>870</v>
      </c>
      <c r="O2098" s="588">
        <v>0</v>
      </c>
      <c r="P2098" s="588">
        <v>2043</v>
      </c>
      <c r="Q2098" s="588">
        <v>419</v>
      </c>
      <c r="R2098" s="588">
        <v>4676</v>
      </c>
      <c r="S2098" s="588">
        <v>422</v>
      </c>
      <c r="T2098" s="588">
        <v>2018</v>
      </c>
      <c r="U2098" s="588">
        <v>2014</v>
      </c>
      <c r="V2098" s="589"/>
      <c r="W2098" s="589"/>
      <c r="X2098" s="589"/>
      <c r="Y2098" s="589"/>
      <c r="Z2098" s="589"/>
      <c r="AA2098" s="589"/>
      <c r="AB2098" s="589"/>
      <c r="AC2098" s="589"/>
      <c r="AD2098" s="589"/>
      <c r="AE2098" s="589"/>
      <c r="AF2098" s="589"/>
      <c r="AG2098" s="589"/>
      <c r="AH2098" s="589"/>
      <c r="AI2098" s="589"/>
      <c r="AJ2098" s="589"/>
      <c r="AK2098" s="589"/>
      <c r="AL2098" s="589"/>
      <c r="AM2098" s="589"/>
      <c r="AN2098" s="589"/>
      <c r="AO2098" s="589"/>
      <c r="AP2098" s="589"/>
      <c r="AQ2098" s="589"/>
      <c r="AR2098" s="589"/>
      <c r="AS2098" s="589"/>
    </row>
    <row r="2099" spans="1:45" ht="15">
      <c r="A2099" s="590" t="s">
        <v>178</v>
      </c>
      <c r="B2099" s="591" t="s">
        <v>588</v>
      </c>
      <c r="C2099" s="591" t="s">
        <v>813</v>
      </c>
      <c r="D2099" s="592">
        <v>2018</v>
      </c>
      <c r="E2099" s="591" t="s">
        <v>775</v>
      </c>
      <c r="F2099" s="592">
        <v>376</v>
      </c>
      <c r="G2099" s="592">
        <v>19</v>
      </c>
      <c r="H2099" s="592">
        <v>19</v>
      </c>
      <c r="I2099" s="592">
        <v>0</v>
      </c>
      <c r="J2099" s="592">
        <v>261</v>
      </c>
      <c r="K2099" s="592">
        <v>77</v>
      </c>
      <c r="L2099" s="592">
        <v>77</v>
      </c>
      <c r="M2099" s="592">
        <v>0</v>
      </c>
      <c r="N2099" s="593">
        <v>299</v>
      </c>
      <c r="O2099" s="593">
        <v>0</v>
      </c>
      <c r="P2099" s="593">
        <v>669</v>
      </c>
      <c r="Q2099" s="593">
        <v>13</v>
      </c>
      <c r="R2099" s="593">
        <v>1605</v>
      </c>
      <c r="S2099" s="593">
        <v>109</v>
      </c>
      <c r="T2099" s="593">
        <v>2018</v>
      </c>
      <c r="U2099" s="593">
        <v>2014</v>
      </c>
      <c r="V2099" s="589"/>
      <c r="W2099" s="589"/>
      <c r="X2099" s="589"/>
      <c r="Y2099" s="589"/>
      <c r="Z2099" s="589"/>
      <c r="AA2099" s="589"/>
      <c r="AB2099" s="589"/>
      <c r="AC2099" s="589"/>
      <c r="AD2099" s="589"/>
      <c r="AE2099" s="589"/>
      <c r="AF2099" s="589"/>
      <c r="AG2099" s="589"/>
      <c r="AH2099" s="589"/>
      <c r="AI2099" s="589"/>
      <c r="AJ2099" s="589"/>
      <c r="AK2099" s="589"/>
      <c r="AL2099" s="589"/>
      <c r="AM2099" s="589"/>
      <c r="AN2099" s="589"/>
      <c r="AO2099" s="589"/>
      <c r="AP2099" s="589"/>
      <c r="AQ2099" s="589"/>
      <c r="AR2099" s="589"/>
      <c r="AS2099" s="589"/>
    </row>
    <row r="2100" spans="1:45" ht="15">
      <c r="A2100" s="587" t="s">
        <v>178</v>
      </c>
      <c r="B2100" s="587" t="s">
        <v>589</v>
      </c>
      <c r="C2100" s="587" t="s">
        <v>813</v>
      </c>
      <c r="D2100" s="588">
        <v>2018</v>
      </c>
      <c r="E2100" s="587" t="s">
        <v>775</v>
      </c>
      <c r="F2100" s="588">
        <v>209</v>
      </c>
      <c r="G2100" s="588">
        <v>0</v>
      </c>
      <c r="H2100" s="588">
        <v>0</v>
      </c>
      <c r="I2100" s="588">
        <v>0</v>
      </c>
      <c r="J2100" s="588">
        <v>149</v>
      </c>
      <c r="K2100" s="588">
        <v>0</v>
      </c>
      <c r="L2100" s="588">
        <v>0</v>
      </c>
      <c r="M2100" s="588">
        <v>0</v>
      </c>
      <c r="N2100" s="588">
        <v>172</v>
      </c>
      <c r="O2100" s="588">
        <v>0</v>
      </c>
      <c r="P2100" s="588">
        <v>400</v>
      </c>
      <c r="Q2100" s="588">
        <v>38</v>
      </c>
      <c r="R2100" s="588">
        <v>930</v>
      </c>
      <c r="S2100" s="588">
        <v>38</v>
      </c>
      <c r="T2100" s="588">
        <v>2018</v>
      </c>
      <c r="U2100" s="588">
        <v>2014</v>
      </c>
      <c r="V2100" s="589"/>
      <c r="W2100" s="589"/>
      <c r="X2100" s="589"/>
      <c r="Y2100" s="589"/>
      <c r="Z2100" s="589"/>
      <c r="AA2100" s="589"/>
      <c r="AB2100" s="589"/>
      <c r="AC2100" s="589"/>
      <c r="AD2100" s="589"/>
      <c r="AE2100" s="589"/>
      <c r="AF2100" s="589"/>
      <c r="AG2100" s="589"/>
      <c r="AH2100" s="589"/>
      <c r="AI2100" s="589"/>
      <c r="AJ2100" s="589"/>
      <c r="AK2100" s="589"/>
      <c r="AL2100" s="589"/>
      <c r="AM2100" s="589"/>
      <c r="AN2100" s="589"/>
      <c r="AO2100" s="589"/>
      <c r="AP2100" s="589"/>
      <c r="AQ2100" s="589"/>
      <c r="AR2100" s="589"/>
      <c r="AS2100" s="589"/>
    </row>
    <row r="2101" spans="1:45" ht="15">
      <c r="A2101" s="590" t="s">
        <v>178</v>
      </c>
      <c r="B2101" s="591" t="s">
        <v>566</v>
      </c>
      <c r="C2101" s="591" t="s">
        <v>813</v>
      </c>
      <c r="D2101" s="592">
        <v>2019</v>
      </c>
      <c r="E2101" s="591" t="s">
        <v>775</v>
      </c>
      <c r="F2101" s="592">
        <v>633</v>
      </c>
      <c r="G2101" s="592">
        <v>0</v>
      </c>
      <c r="H2101" s="592">
        <v>0</v>
      </c>
      <c r="I2101" s="592">
        <v>0</v>
      </c>
      <c r="J2101" s="592">
        <v>459</v>
      </c>
      <c r="K2101" s="592">
        <v>0</v>
      </c>
      <c r="L2101" s="592">
        <v>0</v>
      </c>
      <c r="M2101" s="592">
        <v>0</v>
      </c>
      <c r="N2101" s="593">
        <v>513</v>
      </c>
      <c r="O2101" s="593">
        <v>0</v>
      </c>
      <c r="P2101" s="593">
        <v>1236</v>
      </c>
      <c r="Q2101" s="593">
        <v>63</v>
      </c>
      <c r="R2101" s="593">
        <v>2841</v>
      </c>
      <c r="S2101" s="593">
        <v>63</v>
      </c>
      <c r="T2101" s="593">
        <v>2019</v>
      </c>
      <c r="U2101" s="593">
        <v>2014</v>
      </c>
      <c r="V2101" s="589"/>
      <c r="W2101" s="589"/>
      <c r="X2101" s="589"/>
      <c r="Y2101" s="589"/>
      <c r="Z2101" s="589"/>
      <c r="AA2101" s="589"/>
      <c r="AB2101" s="589"/>
      <c r="AC2101" s="589"/>
      <c r="AD2101" s="589"/>
      <c r="AE2101" s="589"/>
      <c r="AF2101" s="589"/>
      <c r="AG2101" s="589"/>
      <c r="AH2101" s="589"/>
      <c r="AI2101" s="589"/>
      <c r="AJ2101" s="589"/>
      <c r="AK2101" s="589"/>
      <c r="AL2101" s="589"/>
      <c r="AM2101" s="589"/>
      <c r="AN2101" s="589"/>
      <c r="AO2101" s="589"/>
      <c r="AP2101" s="589"/>
      <c r="AQ2101" s="589"/>
      <c r="AR2101" s="589"/>
      <c r="AS2101" s="589"/>
    </row>
    <row r="2102" spans="1:45" ht="15">
      <c r="A2102" s="587" t="s">
        <v>153</v>
      </c>
      <c r="B2102" s="587" t="s">
        <v>346</v>
      </c>
      <c r="C2102" s="587" t="s">
        <v>813</v>
      </c>
      <c r="D2102" s="588">
        <v>2019</v>
      </c>
      <c r="E2102" s="587" t="s">
        <v>775</v>
      </c>
      <c r="F2102" s="588">
        <v>31</v>
      </c>
      <c r="G2102" s="588">
        <v>0</v>
      </c>
      <c r="H2102" s="588">
        <v>0</v>
      </c>
      <c r="I2102" s="588">
        <v>0</v>
      </c>
      <c r="J2102" s="588">
        <v>19</v>
      </c>
      <c r="K2102" s="588">
        <v>0</v>
      </c>
      <c r="L2102" s="588">
        <v>0</v>
      </c>
      <c r="M2102" s="588">
        <v>0</v>
      </c>
      <c r="N2102" s="588">
        <v>20</v>
      </c>
      <c r="O2102" s="588">
        <v>0</v>
      </c>
      <c r="P2102" s="588">
        <v>45</v>
      </c>
      <c r="Q2102" s="588">
        <v>8</v>
      </c>
      <c r="R2102" s="588">
        <v>115</v>
      </c>
      <c r="S2102" s="588">
        <v>8</v>
      </c>
      <c r="T2102" s="588">
        <v>2019</v>
      </c>
      <c r="U2102" s="588">
        <v>2014</v>
      </c>
      <c r="V2102" s="589"/>
      <c r="W2102" s="589"/>
      <c r="X2102" s="589"/>
      <c r="Y2102" s="589"/>
      <c r="Z2102" s="589"/>
      <c r="AA2102" s="589"/>
      <c r="AB2102" s="589"/>
      <c r="AC2102" s="589"/>
      <c r="AD2102" s="589"/>
      <c r="AE2102" s="589"/>
      <c r="AF2102" s="589"/>
      <c r="AG2102" s="589"/>
      <c r="AH2102" s="589"/>
      <c r="AI2102" s="589"/>
      <c r="AJ2102" s="589"/>
      <c r="AK2102" s="589"/>
      <c r="AL2102" s="589"/>
      <c r="AM2102" s="589"/>
      <c r="AN2102" s="589"/>
      <c r="AO2102" s="589"/>
      <c r="AP2102" s="589"/>
      <c r="AQ2102" s="589"/>
      <c r="AR2102" s="589"/>
      <c r="AS2102" s="589"/>
    </row>
    <row r="2103" spans="1:45" ht="15">
      <c r="A2103" s="590" t="s">
        <v>125</v>
      </c>
      <c r="B2103" s="591" t="s">
        <v>125</v>
      </c>
      <c r="C2103" s="591" t="s">
        <v>782</v>
      </c>
      <c r="D2103" s="592">
        <v>2019</v>
      </c>
      <c r="E2103" s="591" t="s">
        <v>775</v>
      </c>
      <c r="F2103" s="592">
        <v>444</v>
      </c>
      <c r="G2103" s="592">
        <v>31</v>
      </c>
      <c r="H2103" s="592">
        <v>31</v>
      </c>
      <c r="I2103" s="592">
        <v>0</v>
      </c>
      <c r="J2103" s="592">
        <v>248</v>
      </c>
      <c r="K2103" s="592">
        <v>28</v>
      </c>
      <c r="L2103" s="592">
        <v>28</v>
      </c>
      <c r="M2103" s="592">
        <v>0</v>
      </c>
      <c r="N2103" s="593">
        <v>283</v>
      </c>
      <c r="O2103" s="593">
        <v>24</v>
      </c>
      <c r="P2103" s="593">
        <v>748</v>
      </c>
      <c r="Q2103" s="593">
        <v>598</v>
      </c>
      <c r="R2103" s="593">
        <v>1723</v>
      </c>
      <c r="S2103" s="593">
        <v>681</v>
      </c>
      <c r="T2103" s="593">
        <v>2019</v>
      </c>
      <c r="U2103" s="593">
        <v>2015</v>
      </c>
      <c r="V2103" s="589"/>
      <c r="W2103" s="589"/>
      <c r="X2103" s="589"/>
      <c r="Y2103" s="589"/>
      <c r="Z2103" s="589"/>
      <c r="AA2103" s="589"/>
      <c r="AB2103" s="589"/>
      <c r="AC2103" s="589"/>
      <c r="AD2103" s="589"/>
      <c r="AE2103" s="589"/>
      <c r="AF2103" s="589"/>
      <c r="AG2103" s="589"/>
      <c r="AH2103" s="589"/>
      <c r="AI2103" s="589"/>
      <c r="AJ2103" s="589"/>
      <c r="AK2103" s="589"/>
      <c r="AL2103" s="589"/>
      <c r="AM2103" s="589"/>
      <c r="AN2103" s="589"/>
      <c r="AO2103" s="589"/>
      <c r="AP2103" s="589"/>
      <c r="AQ2103" s="589"/>
      <c r="AR2103" s="589"/>
      <c r="AS2103" s="589"/>
    </row>
    <row r="2104" spans="1:45" ht="15">
      <c r="A2104" s="587" t="s">
        <v>125</v>
      </c>
      <c r="B2104" s="587" t="s">
        <v>233</v>
      </c>
      <c r="C2104" s="587" t="s">
        <v>782</v>
      </c>
      <c r="D2104" s="588">
        <v>2019</v>
      </c>
      <c r="E2104" s="587" t="s">
        <v>775</v>
      </c>
      <c r="F2104" s="588">
        <v>430</v>
      </c>
      <c r="G2104" s="588">
        <v>0</v>
      </c>
      <c r="H2104" s="588">
        <v>0</v>
      </c>
      <c r="I2104" s="588">
        <v>0</v>
      </c>
      <c r="J2104" s="588">
        <v>227</v>
      </c>
      <c r="K2104" s="588">
        <v>26</v>
      </c>
      <c r="L2104" s="588">
        <v>0</v>
      </c>
      <c r="M2104" s="588">
        <v>26</v>
      </c>
      <c r="N2104" s="588">
        <v>295</v>
      </c>
      <c r="O2104" s="588">
        <v>0</v>
      </c>
      <c r="P2104" s="588">
        <v>817</v>
      </c>
      <c r="Q2104" s="588">
        <v>63</v>
      </c>
      <c r="R2104" s="588">
        <v>1769</v>
      </c>
      <c r="S2104" s="588">
        <v>89</v>
      </c>
      <c r="T2104" s="588">
        <v>2019</v>
      </c>
      <c r="U2104" s="588">
        <v>2015</v>
      </c>
      <c r="V2104" s="589"/>
      <c r="W2104" s="589"/>
      <c r="X2104" s="589"/>
      <c r="Y2104" s="589"/>
      <c r="Z2104" s="589"/>
      <c r="AA2104" s="589"/>
      <c r="AB2104" s="589"/>
      <c r="AC2104" s="589"/>
      <c r="AD2104" s="589"/>
      <c r="AE2104" s="589"/>
      <c r="AF2104" s="589"/>
      <c r="AG2104" s="589"/>
      <c r="AH2104" s="589"/>
      <c r="AI2104" s="589"/>
      <c r="AJ2104" s="589"/>
      <c r="AK2104" s="589"/>
      <c r="AL2104" s="589"/>
      <c r="AM2104" s="589"/>
      <c r="AN2104" s="589"/>
      <c r="AO2104" s="589"/>
      <c r="AP2104" s="589"/>
      <c r="AQ2104" s="589"/>
      <c r="AR2104" s="589"/>
      <c r="AS2104" s="589"/>
    </row>
    <row r="2105" spans="1:45" ht="15">
      <c r="A2105" s="590" t="s">
        <v>125</v>
      </c>
      <c r="B2105" s="591" t="s">
        <v>234</v>
      </c>
      <c r="C2105" s="591" t="s">
        <v>782</v>
      </c>
      <c r="D2105" s="592">
        <v>2019</v>
      </c>
      <c r="E2105" s="591" t="s">
        <v>775</v>
      </c>
      <c r="F2105" s="592">
        <v>80</v>
      </c>
      <c r="G2105" s="592">
        <v>0</v>
      </c>
      <c r="H2105" s="592">
        <v>0</v>
      </c>
      <c r="I2105" s="592">
        <v>0</v>
      </c>
      <c r="J2105" s="592">
        <v>53</v>
      </c>
      <c r="K2105" s="592">
        <v>0</v>
      </c>
      <c r="L2105" s="592">
        <v>0</v>
      </c>
      <c r="M2105" s="592">
        <v>0</v>
      </c>
      <c r="N2105" s="593">
        <v>57</v>
      </c>
      <c r="O2105" s="593">
        <v>12</v>
      </c>
      <c r="P2105" s="593">
        <v>145</v>
      </c>
      <c r="Q2105" s="593">
        <v>7</v>
      </c>
      <c r="R2105" s="593">
        <v>335</v>
      </c>
      <c r="S2105" s="593">
        <v>19</v>
      </c>
      <c r="T2105" s="593">
        <v>2019</v>
      </c>
      <c r="U2105" s="593">
        <v>2015</v>
      </c>
      <c r="V2105" s="589"/>
      <c r="W2105" s="589"/>
      <c r="X2105" s="589"/>
      <c r="Y2105" s="589"/>
      <c r="Z2105" s="589"/>
      <c r="AA2105" s="589"/>
      <c r="AB2105" s="589"/>
      <c r="AC2105" s="589"/>
      <c r="AD2105" s="589"/>
      <c r="AE2105" s="589"/>
      <c r="AF2105" s="589"/>
      <c r="AG2105" s="589"/>
      <c r="AH2105" s="589"/>
      <c r="AI2105" s="589"/>
      <c r="AJ2105" s="589"/>
      <c r="AK2105" s="589"/>
      <c r="AL2105" s="589"/>
      <c r="AM2105" s="589"/>
      <c r="AN2105" s="589"/>
      <c r="AO2105" s="589"/>
      <c r="AP2105" s="589"/>
      <c r="AQ2105" s="589"/>
      <c r="AR2105" s="589"/>
      <c r="AS2105" s="589"/>
    </row>
    <row r="2106" spans="1:45" ht="15">
      <c r="A2106" s="587" t="s">
        <v>153</v>
      </c>
      <c r="B2106" s="587" t="s">
        <v>347</v>
      </c>
      <c r="C2106" s="587" t="s">
        <v>813</v>
      </c>
      <c r="D2106" s="588">
        <v>2019</v>
      </c>
      <c r="E2106" s="587" t="s">
        <v>775</v>
      </c>
      <c r="F2106" s="588">
        <v>380</v>
      </c>
      <c r="G2106" s="588">
        <v>0</v>
      </c>
      <c r="H2106" s="588">
        <v>0</v>
      </c>
      <c r="I2106" s="588">
        <v>0</v>
      </c>
      <c r="J2106" s="588">
        <v>224</v>
      </c>
      <c r="K2106" s="588">
        <v>0</v>
      </c>
      <c r="L2106" s="588">
        <v>0</v>
      </c>
      <c r="M2106" s="588">
        <v>0</v>
      </c>
      <c r="N2106" s="588">
        <v>246</v>
      </c>
      <c r="O2106" s="588">
        <v>0</v>
      </c>
      <c r="P2106" s="588">
        <v>642</v>
      </c>
      <c r="Q2106" s="588">
        <v>127</v>
      </c>
      <c r="R2106" s="588">
        <v>1492</v>
      </c>
      <c r="S2106" s="588">
        <v>127</v>
      </c>
      <c r="T2106" s="588">
        <v>2019</v>
      </c>
      <c r="U2106" s="588">
        <v>2014</v>
      </c>
      <c r="V2106" s="589"/>
      <c r="W2106" s="589"/>
      <c r="X2106" s="589"/>
      <c r="Y2106" s="589"/>
      <c r="Z2106" s="589"/>
      <c r="AA2106" s="589"/>
      <c r="AB2106" s="589"/>
      <c r="AC2106" s="589"/>
      <c r="AD2106" s="589"/>
      <c r="AE2106" s="589"/>
      <c r="AF2106" s="589"/>
      <c r="AG2106" s="589"/>
      <c r="AH2106" s="589"/>
      <c r="AI2106" s="589"/>
      <c r="AJ2106" s="589"/>
      <c r="AK2106" s="589"/>
      <c r="AL2106" s="589"/>
      <c r="AM2106" s="589"/>
      <c r="AN2106" s="589"/>
      <c r="AO2106" s="589"/>
      <c r="AP2106" s="589"/>
      <c r="AQ2106" s="589"/>
      <c r="AR2106" s="589"/>
      <c r="AS2106" s="589"/>
    </row>
    <row r="2107" spans="1:45" ht="15">
      <c r="A2107" s="590" t="s">
        <v>169</v>
      </c>
      <c r="B2107" s="591" t="s">
        <v>485</v>
      </c>
      <c r="C2107" s="591" t="s">
        <v>813</v>
      </c>
      <c r="D2107" s="592">
        <v>2019</v>
      </c>
      <c r="E2107" s="591" t="s">
        <v>775</v>
      </c>
      <c r="F2107" s="592">
        <v>9</v>
      </c>
      <c r="G2107" s="592">
        <v>0</v>
      </c>
      <c r="H2107" s="592">
        <v>0</v>
      </c>
      <c r="I2107" s="592">
        <v>0</v>
      </c>
      <c r="J2107" s="592">
        <v>7</v>
      </c>
      <c r="K2107" s="592">
        <v>0</v>
      </c>
      <c r="L2107" s="592">
        <v>0</v>
      </c>
      <c r="M2107" s="592">
        <v>0</v>
      </c>
      <c r="N2107" s="593">
        <v>7</v>
      </c>
      <c r="O2107" s="593">
        <v>0</v>
      </c>
      <c r="P2107" s="593">
        <v>16</v>
      </c>
      <c r="Q2107" s="593">
        <v>0</v>
      </c>
      <c r="R2107" s="593">
        <v>39</v>
      </c>
      <c r="S2107" s="593">
        <v>0</v>
      </c>
      <c r="T2107" s="593">
        <v>2019</v>
      </c>
      <c r="U2107" s="593">
        <v>2014</v>
      </c>
      <c r="V2107" s="589"/>
      <c r="W2107" s="589"/>
      <c r="X2107" s="589"/>
      <c r="Y2107" s="589"/>
      <c r="Z2107" s="589"/>
      <c r="AA2107" s="589"/>
      <c r="AB2107" s="589"/>
      <c r="AC2107" s="589"/>
      <c r="AD2107" s="589"/>
      <c r="AE2107" s="589"/>
      <c r="AF2107" s="589"/>
      <c r="AG2107" s="589"/>
      <c r="AH2107" s="589"/>
      <c r="AI2107" s="589"/>
      <c r="AJ2107" s="589"/>
      <c r="AK2107" s="589"/>
      <c r="AL2107" s="589"/>
      <c r="AM2107" s="589"/>
      <c r="AN2107" s="589"/>
      <c r="AO2107" s="589"/>
      <c r="AP2107" s="589"/>
      <c r="AQ2107" s="589"/>
      <c r="AR2107" s="589"/>
      <c r="AS2107" s="589"/>
    </row>
    <row r="2108" spans="1:45" ht="15">
      <c r="A2108" s="587" t="s">
        <v>127</v>
      </c>
      <c r="B2108" s="587" t="s">
        <v>247</v>
      </c>
      <c r="C2108" s="587" t="s">
        <v>785</v>
      </c>
      <c r="D2108" s="588">
        <v>2019</v>
      </c>
      <c r="E2108" s="587" t="s">
        <v>775</v>
      </c>
      <c r="F2108" s="588">
        <v>7</v>
      </c>
      <c r="G2108" s="588">
        <v>0</v>
      </c>
      <c r="H2108" s="588">
        <v>0</v>
      </c>
      <c r="I2108" s="588">
        <v>0</v>
      </c>
      <c r="J2108" s="588">
        <v>6</v>
      </c>
      <c r="K2108" s="588">
        <v>2</v>
      </c>
      <c r="L2108" s="588">
        <v>0</v>
      </c>
      <c r="M2108" s="588">
        <v>2</v>
      </c>
      <c r="N2108" s="588">
        <v>6</v>
      </c>
      <c r="O2108" s="588">
        <v>0</v>
      </c>
      <c r="P2108" s="588">
        <v>11</v>
      </c>
      <c r="Q2108" s="588">
        <v>0</v>
      </c>
      <c r="R2108" s="588">
        <v>30</v>
      </c>
      <c r="S2108" s="588">
        <v>2</v>
      </c>
      <c r="T2108" s="588">
        <v>2019</v>
      </c>
      <c r="U2108" s="588">
        <v>2014</v>
      </c>
      <c r="V2108" s="589"/>
      <c r="W2108" s="589"/>
      <c r="X2108" s="589"/>
      <c r="Y2108" s="589"/>
      <c r="Z2108" s="589"/>
      <c r="AA2108" s="589"/>
      <c r="AB2108" s="589"/>
      <c r="AC2108" s="589"/>
      <c r="AD2108" s="589"/>
      <c r="AE2108" s="589"/>
      <c r="AF2108" s="589"/>
      <c r="AG2108" s="589"/>
      <c r="AH2108" s="589"/>
      <c r="AI2108" s="589"/>
      <c r="AJ2108" s="589"/>
      <c r="AK2108" s="589"/>
      <c r="AL2108" s="589"/>
      <c r="AM2108" s="589"/>
      <c r="AN2108" s="589"/>
      <c r="AO2108" s="589"/>
      <c r="AP2108" s="589"/>
      <c r="AQ2108" s="589"/>
      <c r="AR2108" s="589"/>
      <c r="AS2108" s="589"/>
    </row>
    <row r="2109" spans="1:45" ht="15">
      <c r="A2109" s="590" t="s">
        <v>127</v>
      </c>
      <c r="B2109" s="591" t="s">
        <v>247</v>
      </c>
      <c r="C2109" s="591" t="s">
        <v>969</v>
      </c>
      <c r="D2109" s="592">
        <v>2019</v>
      </c>
      <c r="E2109" s="591" t="s">
        <v>775</v>
      </c>
      <c r="F2109" s="592">
        <v>0</v>
      </c>
      <c r="G2109" s="592">
        <v>0</v>
      </c>
      <c r="H2109" s="592">
        <v>0</v>
      </c>
      <c r="I2109" s="592">
        <v>0</v>
      </c>
      <c r="J2109" s="592">
        <v>0</v>
      </c>
      <c r="K2109" s="592">
        <v>2</v>
      </c>
      <c r="L2109" s="592">
        <v>0</v>
      </c>
      <c r="M2109" s="592">
        <v>2</v>
      </c>
      <c r="N2109" s="593">
        <v>0</v>
      </c>
      <c r="O2109" s="593">
        <v>0</v>
      </c>
      <c r="P2109" s="593">
        <v>0</v>
      </c>
      <c r="Q2109" s="593">
        <v>0</v>
      </c>
      <c r="R2109" s="593">
        <v>0</v>
      </c>
      <c r="S2109" s="593">
        <v>2</v>
      </c>
      <c r="T2109" s="593">
        <v>2019</v>
      </c>
      <c r="U2109" s="593">
        <v>2014</v>
      </c>
      <c r="V2109" s="589"/>
      <c r="W2109" s="589"/>
      <c r="X2109" s="589"/>
      <c r="Y2109" s="589"/>
      <c r="Z2109" s="589"/>
      <c r="AA2109" s="589"/>
      <c r="AB2109" s="589"/>
      <c r="AC2109" s="589"/>
      <c r="AD2109" s="589"/>
      <c r="AE2109" s="589"/>
      <c r="AF2109" s="589"/>
      <c r="AG2109" s="589"/>
      <c r="AH2109" s="589"/>
      <c r="AI2109" s="589"/>
      <c r="AJ2109" s="589"/>
      <c r="AK2109" s="589"/>
      <c r="AL2109" s="589"/>
      <c r="AM2109" s="589"/>
      <c r="AN2109" s="589"/>
      <c r="AO2109" s="589"/>
      <c r="AP2109" s="589"/>
      <c r="AQ2109" s="589"/>
      <c r="AR2109" s="589"/>
      <c r="AS2109" s="589"/>
    </row>
    <row r="2110" spans="1:45" ht="15">
      <c r="A2110" s="587" t="s">
        <v>162</v>
      </c>
      <c r="B2110" s="587" t="s">
        <v>460</v>
      </c>
      <c r="C2110" s="587" t="s">
        <v>785</v>
      </c>
      <c r="D2110" s="588">
        <v>2019</v>
      </c>
      <c r="E2110" s="587" t="s">
        <v>775</v>
      </c>
      <c r="F2110" s="588">
        <v>1</v>
      </c>
      <c r="G2110" s="588">
        <v>0</v>
      </c>
      <c r="H2110" s="588">
        <v>0</v>
      </c>
      <c r="I2110" s="588">
        <v>0</v>
      </c>
      <c r="J2110" s="588">
        <v>1</v>
      </c>
      <c r="K2110" s="588">
        <v>1</v>
      </c>
      <c r="L2110" s="588">
        <v>0</v>
      </c>
      <c r="M2110" s="588">
        <v>1</v>
      </c>
      <c r="N2110" s="588">
        <v>1</v>
      </c>
      <c r="O2110" s="588">
        <v>0</v>
      </c>
      <c r="P2110" s="588">
        <v>2</v>
      </c>
      <c r="Q2110" s="588">
        <v>0</v>
      </c>
      <c r="R2110" s="588">
        <v>5</v>
      </c>
      <c r="S2110" s="588">
        <v>1</v>
      </c>
      <c r="T2110" s="588">
        <v>2019</v>
      </c>
      <c r="U2110" s="588">
        <v>2014</v>
      </c>
      <c r="V2110" s="589"/>
      <c r="W2110" s="589"/>
      <c r="X2110" s="589"/>
      <c r="Y2110" s="589"/>
      <c r="Z2110" s="589"/>
      <c r="AA2110" s="589"/>
      <c r="AB2110" s="589"/>
      <c r="AC2110" s="589"/>
      <c r="AD2110" s="589"/>
      <c r="AE2110" s="589"/>
      <c r="AF2110" s="589"/>
      <c r="AG2110" s="589"/>
      <c r="AH2110" s="589"/>
      <c r="AI2110" s="589"/>
      <c r="AJ2110" s="589"/>
      <c r="AK2110" s="589"/>
      <c r="AL2110" s="589"/>
      <c r="AM2110" s="589"/>
      <c r="AN2110" s="589"/>
      <c r="AO2110" s="589"/>
      <c r="AP2110" s="589"/>
      <c r="AQ2110" s="589"/>
      <c r="AR2110" s="589"/>
      <c r="AS2110" s="589"/>
    </row>
    <row r="2111" spans="1:45" ht="15">
      <c r="A2111" s="590" t="s">
        <v>162</v>
      </c>
      <c r="B2111" s="591" t="s">
        <v>460</v>
      </c>
      <c r="C2111" s="591" t="s">
        <v>969</v>
      </c>
      <c r="D2111" s="592">
        <v>2019</v>
      </c>
      <c r="E2111" s="591" t="s">
        <v>775</v>
      </c>
      <c r="F2111" s="592">
        <v>0</v>
      </c>
      <c r="G2111" s="592">
        <v>0</v>
      </c>
      <c r="H2111" s="592">
        <v>0</v>
      </c>
      <c r="I2111" s="592">
        <v>0</v>
      </c>
      <c r="J2111" s="592">
        <v>0</v>
      </c>
      <c r="K2111" s="592">
        <v>1</v>
      </c>
      <c r="L2111" s="592">
        <v>0</v>
      </c>
      <c r="M2111" s="592">
        <v>1</v>
      </c>
      <c r="N2111" s="593">
        <v>0</v>
      </c>
      <c r="O2111" s="593">
        <v>0</v>
      </c>
      <c r="P2111" s="593">
        <v>0</v>
      </c>
      <c r="Q2111" s="593">
        <v>0</v>
      </c>
      <c r="R2111" s="593">
        <v>0</v>
      </c>
      <c r="S2111" s="593">
        <v>1</v>
      </c>
      <c r="T2111" s="593">
        <v>2019</v>
      </c>
      <c r="U2111" s="593">
        <v>2014</v>
      </c>
      <c r="V2111" s="589"/>
      <c r="W2111" s="589"/>
      <c r="X2111" s="589"/>
      <c r="Y2111" s="589"/>
      <c r="Z2111" s="589"/>
      <c r="AA2111" s="589"/>
      <c r="AB2111" s="589"/>
      <c r="AC2111" s="589"/>
      <c r="AD2111" s="589"/>
      <c r="AE2111" s="589"/>
      <c r="AF2111" s="589"/>
      <c r="AG2111" s="589"/>
      <c r="AH2111" s="589"/>
      <c r="AI2111" s="589"/>
      <c r="AJ2111" s="589"/>
      <c r="AK2111" s="589"/>
      <c r="AL2111" s="589"/>
      <c r="AM2111" s="589"/>
      <c r="AN2111" s="589"/>
      <c r="AO2111" s="589"/>
      <c r="AP2111" s="589"/>
      <c r="AQ2111" s="589"/>
      <c r="AR2111" s="589"/>
      <c r="AS2111" s="589"/>
    </row>
    <row r="2112" spans="1:45" ht="15">
      <c r="A2112" s="587" t="s">
        <v>130</v>
      </c>
      <c r="B2112" s="587" t="s">
        <v>250</v>
      </c>
      <c r="C2112" s="587" t="s">
        <v>785</v>
      </c>
      <c r="D2112" s="588">
        <v>2019</v>
      </c>
      <c r="E2112" s="587" t="s">
        <v>775</v>
      </c>
      <c r="F2112" s="588">
        <v>10</v>
      </c>
      <c r="G2112" s="588">
        <v>0</v>
      </c>
      <c r="H2112" s="588">
        <v>0</v>
      </c>
      <c r="I2112" s="588">
        <v>0</v>
      </c>
      <c r="J2112" s="588">
        <v>7</v>
      </c>
      <c r="K2112" s="588">
        <v>1</v>
      </c>
      <c r="L2112" s="588">
        <v>0</v>
      </c>
      <c r="M2112" s="588">
        <v>1</v>
      </c>
      <c r="N2112" s="588">
        <v>9</v>
      </c>
      <c r="O2112" s="588">
        <v>13</v>
      </c>
      <c r="P2112" s="588">
        <v>23</v>
      </c>
      <c r="Q2112" s="588">
        <v>14</v>
      </c>
      <c r="R2112" s="588">
        <v>49</v>
      </c>
      <c r="S2112" s="588">
        <v>28</v>
      </c>
      <c r="T2112" s="588">
        <v>2019</v>
      </c>
      <c r="U2112" s="588">
        <v>2014</v>
      </c>
      <c r="V2112" s="589"/>
      <c r="W2112" s="589"/>
      <c r="X2112" s="589"/>
      <c r="Y2112" s="589"/>
      <c r="Z2112" s="589"/>
      <c r="AA2112" s="589"/>
      <c r="AB2112" s="589"/>
      <c r="AC2112" s="589"/>
      <c r="AD2112" s="589"/>
      <c r="AE2112" s="589"/>
      <c r="AF2112" s="589"/>
      <c r="AG2112" s="589"/>
      <c r="AH2112" s="589"/>
      <c r="AI2112" s="589"/>
      <c r="AJ2112" s="589"/>
      <c r="AK2112" s="589"/>
      <c r="AL2112" s="589"/>
      <c r="AM2112" s="589"/>
      <c r="AN2112" s="589"/>
      <c r="AO2112" s="589"/>
      <c r="AP2112" s="589"/>
      <c r="AQ2112" s="589"/>
      <c r="AR2112" s="589"/>
      <c r="AS2112" s="589"/>
    </row>
    <row r="2113" spans="1:45" ht="15">
      <c r="A2113" s="590" t="s">
        <v>166</v>
      </c>
      <c r="B2113" s="591" t="s">
        <v>476</v>
      </c>
      <c r="C2113" s="591" t="s">
        <v>782</v>
      </c>
      <c r="D2113" s="592">
        <v>2019</v>
      </c>
      <c r="E2113" s="591" t="s">
        <v>775</v>
      </c>
      <c r="F2113" s="592">
        <v>116</v>
      </c>
      <c r="G2113" s="592">
        <v>1</v>
      </c>
      <c r="H2113" s="592">
        <v>0</v>
      </c>
      <c r="I2113" s="592">
        <v>1</v>
      </c>
      <c r="J2113" s="592">
        <v>54</v>
      </c>
      <c r="K2113" s="592">
        <v>0</v>
      </c>
      <c r="L2113" s="592">
        <v>0</v>
      </c>
      <c r="M2113" s="592">
        <v>0</v>
      </c>
      <c r="N2113" s="593">
        <v>58</v>
      </c>
      <c r="O2113" s="593">
        <v>0</v>
      </c>
      <c r="P2113" s="593">
        <v>164</v>
      </c>
      <c r="Q2113" s="593">
        <v>0</v>
      </c>
      <c r="R2113" s="593">
        <v>392</v>
      </c>
      <c r="S2113" s="593">
        <v>1</v>
      </c>
      <c r="T2113" s="593">
        <v>2019</v>
      </c>
      <c r="U2113" s="593">
        <v>2015</v>
      </c>
      <c r="V2113" s="589"/>
      <c r="W2113" s="589"/>
      <c r="X2113" s="589"/>
      <c r="Y2113" s="589"/>
      <c r="Z2113" s="589"/>
      <c r="AA2113" s="589"/>
      <c r="AB2113" s="589"/>
      <c r="AC2113" s="589"/>
      <c r="AD2113" s="589"/>
      <c r="AE2113" s="589"/>
      <c r="AF2113" s="589"/>
      <c r="AG2113" s="589"/>
      <c r="AH2113" s="589"/>
      <c r="AI2113" s="589"/>
      <c r="AJ2113" s="589"/>
      <c r="AK2113" s="589"/>
      <c r="AL2113" s="589"/>
      <c r="AM2113" s="589"/>
      <c r="AN2113" s="589"/>
      <c r="AO2113" s="589"/>
      <c r="AP2113" s="589"/>
      <c r="AQ2113" s="589"/>
      <c r="AR2113" s="589"/>
      <c r="AS2113" s="589"/>
    </row>
    <row r="2114" spans="1:45" ht="15">
      <c r="A2114" s="587" t="s">
        <v>169</v>
      </c>
      <c r="B2114" s="587" t="s">
        <v>486</v>
      </c>
      <c r="C2114" s="587" t="s">
        <v>813</v>
      </c>
      <c r="D2114" s="588">
        <v>2019</v>
      </c>
      <c r="E2114" s="587" t="s">
        <v>775</v>
      </c>
      <c r="F2114" s="588">
        <v>1256</v>
      </c>
      <c r="G2114" s="588">
        <v>43</v>
      </c>
      <c r="H2114" s="588">
        <v>43</v>
      </c>
      <c r="I2114" s="588">
        <v>0</v>
      </c>
      <c r="J2114" s="588">
        <v>907</v>
      </c>
      <c r="K2114" s="588">
        <v>10</v>
      </c>
      <c r="L2114" s="588">
        <v>10</v>
      </c>
      <c r="M2114" s="588">
        <v>0</v>
      </c>
      <c r="N2114" s="588">
        <v>1038</v>
      </c>
      <c r="O2114" s="588">
        <v>0</v>
      </c>
      <c r="P2114" s="588">
        <v>2501</v>
      </c>
      <c r="Q2114" s="588">
        <v>948</v>
      </c>
      <c r="R2114" s="588">
        <v>5702</v>
      </c>
      <c r="S2114" s="588">
        <v>1001</v>
      </c>
      <c r="T2114" s="588">
        <v>2019</v>
      </c>
      <c r="U2114" s="588">
        <v>2014</v>
      </c>
      <c r="V2114" s="589"/>
      <c r="W2114" s="589"/>
      <c r="X2114" s="589"/>
      <c r="Y2114" s="589"/>
      <c r="Z2114" s="589"/>
      <c r="AA2114" s="589"/>
      <c r="AB2114" s="589"/>
      <c r="AC2114" s="589"/>
      <c r="AD2114" s="589"/>
      <c r="AE2114" s="589"/>
      <c r="AF2114" s="589"/>
      <c r="AG2114" s="589"/>
      <c r="AH2114" s="589"/>
      <c r="AI2114" s="589"/>
      <c r="AJ2114" s="589"/>
      <c r="AK2114" s="589"/>
      <c r="AL2114" s="589"/>
      <c r="AM2114" s="589"/>
      <c r="AN2114" s="589"/>
      <c r="AO2114" s="589"/>
      <c r="AP2114" s="589"/>
      <c r="AQ2114" s="589"/>
      <c r="AR2114" s="589"/>
      <c r="AS2114" s="589"/>
    </row>
    <row r="2115" spans="1:45" ht="15">
      <c r="A2115" s="590" t="s">
        <v>189</v>
      </c>
      <c r="B2115" s="591" t="s">
        <v>670</v>
      </c>
      <c r="C2115" s="591" t="s">
        <v>785</v>
      </c>
      <c r="D2115" s="592">
        <v>2019</v>
      </c>
      <c r="E2115" s="591" t="s">
        <v>775</v>
      </c>
      <c r="F2115" s="592">
        <v>32</v>
      </c>
      <c r="G2115" s="592">
        <v>0</v>
      </c>
      <c r="H2115" s="592">
        <v>0</v>
      </c>
      <c r="I2115" s="592">
        <v>0</v>
      </c>
      <c r="J2115" s="592">
        <v>21</v>
      </c>
      <c r="K2115" s="592">
        <v>0</v>
      </c>
      <c r="L2115" s="592">
        <v>0</v>
      </c>
      <c r="M2115" s="592">
        <v>0</v>
      </c>
      <c r="N2115" s="593">
        <v>24</v>
      </c>
      <c r="O2115" s="593">
        <v>0</v>
      </c>
      <c r="P2115" s="593">
        <v>59</v>
      </c>
      <c r="Q2115" s="593">
        <v>26</v>
      </c>
      <c r="R2115" s="593">
        <v>136</v>
      </c>
      <c r="S2115" s="593">
        <v>26</v>
      </c>
      <c r="T2115" s="593">
        <v>2019</v>
      </c>
      <c r="U2115" s="593">
        <v>2014</v>
      </c>
      <c r="V2115" s="589"/>
      <c r="W2115" s="589"/>
      <c r="X2115" s="589"/>
      <c r="Y2115" s="589"/>
      <c r="Z2115" s="589"/>
      <c r="AA2115" s="589"/>
      <c r="AB2115" s="589"/>
      <c r="AC2115" s="589"/>
      <c r="AD2115" s="589"/>
      <c r="AE2115" s="589"/>
      <c r="AF2115" s="589"/>
      <c r="AG2115" s="589"/>
      <c r="AH2115" s="589"/>
      <c r="AI2115" s="589"/>
      <c r="AJ2115" s="589"/>
      <c r="AK2115" s="589"/>
      <c r="AL2115" s="589"/>
      <c r="AM2115" s="589"/>
      <c r="AN2115" s="589"/>
      <c r="AO2115" s="589"/>
      <c r="AP2115" s="589"/>
      <c r="AQ2115" s="589"/>
      <c r="AR2115" s="589"/>
      <c r="AS2115" s="589"/>
    </row>
    <row r="2116" spans="1:45" ht="15">
      <c r="A2116" s="587" t="s">
        <v>134</v>
      </c>
      <c r="B2116" s="587" t="s">
        <v>261</v>
      </c>
      <c r="C2116" s="587" t="s">
        <v>970</v>
      </c>
      <c r="D2116" s="588">
        <v>2019</v>
      </c>
      <c r="E2116" s="587" t="s">
        <v>775</v>
      </c>
      <c r="F2116" s="588">
        <v>0</v>
      </c>
      <c r="G2116" s="588">
        <v>0</v>
      </c>
      <c r="H2116" s="588">
        <v>0</v>
      </c>
      <c r="I2116" s="588">
        <v>0</v>
      </c>
      <c r="J2116" s="588">
        <v>0</v>
      </c>
      <c r="K2116" s="588">
        <v>1</v>
      </c>
      <c r="L2116" s="588">
        <v>0</v>
      </c>
      <c r="M2116" s="588">
        <v>1</v>
      </c>
      <c r="N2116" s="588">
        <v>0</v>
      </c>
      <c r="O2116" s="588">
        <v>4</v>
      </c>
      <c r="P2116" s="588">
        <v>0</v>
      </c>
      <c r="Q2116" s="588">
        <v>2</v>
      </c>
      <c r="R2116" s="588">
        <v>0</v>
      </c>
      <c r="S2116" s="588">
        <v>7</v>
      </c>
      <c r="T2116" s="588">
        <v>2019</v>
      </c>
      <c r="U2116" s="588">
        <v>2014</v>
      </c>
      <c r="V2116" s="589"/>
      <c r="W2116" s="589"/>
      <c r="X2116" s="589"/>
      <c r="Y2116" s="589"/>
      <c r="Z2116" s="589"/>
      <c r="AA2116" s="589"/>
      <c r="AB2116" s="589"/>
      <c r="AC2116" s="589"/>
      <c r="AD2116" s="589"/>
      <c r="AE2116" s="589"/>
      <c r="AF2116" s="589"/>
      <c r="AG2116" s="589"/>
      <c r="AH2116" s="589"/>
      <c r="AI2116" s="589"/>
      <c r="AJ2116" s="589"/>
      <c r="AK2116" s="589"/>
      <c r="AL2116" s="589"/>
      <c r="AM2116" s="589"/>
      <c r="AN2116" s="589"/>
      <c r="AO2116" s="589"/>
      <c r="AP2116" s="589"/>
      <c r="AQ2116" s="589"/>
      <c r="AR2116" s="589"/>
      <c r="AS2116" s="589"/>
    </row>
    <row r="2117" spans="1:45" ht="15">
      <c r="A2117" s="590" t="s">
        <v>134</v>
      </c>
      <c r="B2117" s="591" t="s">
        <v>261</v>
      </c>
      <c r="C2117" s="591" t="s">
        <v>785</v>
      </c>
      <c r="D2117" s="592">
        <v>2019</v>
      </c>
      <c r="E2117" s="591" t="s">
        <v>775</v>
      </c>
      <c r="F2117" s="592">
        <v>39</v>
      </c>
      <c r="G2117" s="592">
        <v>0</v>
      </c>
      <c r="H2117" s="592">
        <v>0</v>
      </c>
      <c r="I2117" s="592">
        <v>0</v>
      </c>
      <c r="J2117" s="592">
        <v>25</v>
      </c>
      <c r="K2117" s="592">
        <v>1</v>
      </c>
      <c r="L2117" s="592">
        <v>0</v>
      </c>
      <c r="M2117" s="592">
        <v>1</v>
      </c>
      <c r="N2117" s="593">
        <v>28</v>
      </c>
      <c r="O2117" s="593">
        <v>4</v>
      </c>
      <c r="P2117" s="593">
        <v>69</v>
      </c>
      <c r="Q2117" s="593">
        <v>2</v>
      </c>
      <c r="R2117" s="593">
        <v>161</v>
      </c>
      <c r="S2117" s="593">
        <v>7</v>
      </c>
      <c r="T2117" s="593">
        <v>2019</v>
      </c>
      <c r="U2117" s="593">
        <v>2014</v>
      </c>
      <c r="V2117" s="589"/>
      <c r="W2117" s="589"/>
      <c r="X2117" s="589"/>
      <c r="Y2117" s="589"/>
      <c r="Z2117" s="589"/>
      <c r="AA2117" s="589"/>
      <c r="AB2117" s="589"/>
      <c r="AC2117" s="589"/>
      <c r="AD2117" s="589"/>
      <c r="AE2117" s="589"/>
      <c r="AF2117" s="589"/>
      <c r="AG2117" s="589"/>
      <c r="AH2117" s="589"/>
      <c r="AI2117" s="589"/>
      <c r="AJ2117" s="589"/>
      <c r="AK2117" s="589"/>
      <c r="AL2117" s="589"/>
      <c r="AM2117" s="589"/>
      <c r="AN2117" s="589"/>
      <c r="AO2117" s="589"/>
      <c r="AP2117" s="589"/>
      <c r="AQ2117" s="589"/>
      <c r="AR2117" s="589"/>
      <c r="AS2117" s="589"/>
    </row>
    <row r="2118" spans="1:45" ht="15">
      <c r="A2118" s="587" t="s">
        <v>136</v>
      </c>
      <c r="B2118" s="587" t="s">
        <v>265</v>
      </c>
      <c r="C2118" s="587" t="s">
        <v>782</v>
      </c>
      <c r="D2118" s="588">
        <v>2019</v>
      </c>
      <c r="E2118" s="587" t="s">
        <v>775</v>
      </c>
      <c r="F2118" s="588">
        <v>349</v>
      </c>
      <c r="G2118" s="588">
        <v>2</v>
      </c>
      <c r="H2118" s="588">
        <v>0</v>
      </c>
      <c r="I2118" s="588">
        <v>2</v>
      </c>
      <c r="J2118" s="588">
        <v>205</v>
      </c>
      <c r="K2118" s="588">
        <v>0</v>
      </c>
      <c r="L2118" s="588">
        <v>0</v>
      </c>
      <c r="M2118" s="588">
        <v>0</v>
      </c>
      <c r="N2118" s="588">
        <v>214</v>
      </c>
      <c r="O2118" s="588">
        <v>12</v>
      </c>
      <c r="P2118" s="588">
        <v>680</v>
      </c>
      <c r="Q2118" s="588">
        <v>279</v>
      </c>
      <c r="R2118" s="588">
        <v>1448</v>
      </c>
      <c r="S2118" s="588">
        <v>293</v>
      </c>
      <c r="T2118" s="588">
        <v>2019</v>
      </c>
      <c r="U2118" s="588">
        <v>2015</v>
      </c>
      <c r="V2118" s="589"/>
      <c r="W2118" s="589"/>
      <c r="X2118" s="589"/>
      <c r="Y2118" s="589"/>
      <c r="Z2118" s="589"/>
      <c r="AA2118" s="589"/>
      <c r="AB2118" s="589"/>
      <c r="AC2118" s="589"/>
      <c r="AD2118" s="589"/>
      <c r="AE2118" s="589"/>
      <c r="AF2118" s="589"/>
      <c r="AG2118" s="589"/>
      <c r="AH2118" s="589"/>
      <c r="AI2118" s="589"/>
      <c r="AJ2118" s="589"/>
      <c r="AK2118" s="589"/>
      <c r="AL2118" s="589"/>
      <c r="AM2118" s="589"/>
      <c r="AN2118" s="589"/>
      <c r="AO2118" s="589"/>
      <c r="AP2118" s="589"/>
      <c r="AQ2118" s="589"/>
      <c r="AR2118" s="589"/>
      <c r="AS2118" s="589"/>
    </row>
    <row r="2119" spans="1:45" ht="15">
      <c r="A2119" s="590" t="s">
        <v>178</v>
      </c>
      <c r="B2119" s="591" t="s">
        <v>567</v>
      </c>
      <c r="C2119" s="591" t="s">
        <v>813</v>
      </c>
      <c r="D2119" s="592">
        <v>2019</v>
      </c>
      <c r="E2119" s="591" t="s">
        <v>775</v>
      </c>
      <c r="F2119" s="592">
        <v>764</v>
      </c>
      <c r="G2119" s="592">
        <v>0</v>
      </c>
      <c r="H2119" s="592">
        <v>0</v>
      </c>
      <c r="I2119" s="592">
        <v>0</v>
      </c>
      <c r="J2119" s="592">
        <v>541</v>
      </c>
      <c r="K2119" s="592">
        <v>0</v>
      </c>
      <c r="L2119" s="592">
        <v>0</v>
      </c>
      <c r="M2119" s="592">
        <v>0</v>
      </c>
      <c r="N2119" s="593">
        <v>622</v>
      </c>
      <c r="O2119" s="593">
        <v>0</v>
      </c>
      <c r="P2119" s="593">
        <v>1407</v>
      </c>
      <c r="Q2119" s="593">
        <v>0</v>
      </c>
      <c r="R2119" s="593">
        <v>3334</v>
      </c>
      <c r="S2119" s="593">
        <v>0</v>
      </c>
      <c r="T2119" s="593">
        <v>2019</v>
      </c>
      <c r="U2119" s="593">
        <v>2014</v>
      </c>
      <c r="V2119" s="589"/>
      <c r="W2119" s="589"/>
      <c r="X2119" s="589"/>
      <c r="Y2119" s="589"/>
      <c r="Z2119" s="589"/>
      <c r="AA2119" s="589"/>
      <c r="AB2119" s="589"/>
      <c r="AC2119" s="589"/>
      <c r="AD2119" s="589"/>
      <c r="AE2119" s="589"/>
      <c r="AF2119" s="589"/>
      <c r="AG2119" s="589"/>
      <c r="AH2119" s="589"/>
      <c r="AI2119" s="589"/>
      <c r="AJ2119" s="589"/>
      <c r="AK2119" s="589"/>
      <c r="AL2119" s="589"/>
      <c r="AM2119" s="589"/>
      <c r="AN2119" s="589"/>
      <c r="AO2119" s="589"/>
      <c r="AP2119" s="589"/>
      <c r="AQ2119" s="589"/>
      <c r="AR2119" s="589"/>
      <c r="AS2119" s="589"/>
    </row>
    <row r="2120" spans="1:45" ht="15">
      <c r="A2120" s="587" t="s">
        <v>153</v>
      </c>
      <c r="B2120" s="587" t="s">
        <v>348</v>
      </c>
      <c r="C2120" s="587" t="s">
        <v>813</v>
      </c>
      <c r="D2120" s="588">
        <v>2019</v>
      </c>
      <c r="E2120" s="587" t="s">
        <v>775</v>
      </c>
      <c r="F2120" s="588">
        <v>276</v>
      </c>
      <c r="G2120" s="588">
        <v>0</v>
      </c>
      <c r="H2120" s="588">
        <v>0</v>
      </c>
      <c r="I2120" s="588">
        <v>0</v>
      </c>
      <c r="J2120" s="588">
        <v>167</v>
      </c>
      <c r="K2120" s="588">
        <v>0</v>
      </c>
      <c r="L2120" s="588">
        <v>0</v>
      </c>
      <c r="M2120" s="588">
        <v>0</v>
      </c>
      <c r="N2120" s="588">
        <v>177</v>
      </c>
      <c r="O2120" s="588">
        <v>0</v>
      </c>
      <c r="P2120" s="588">
        <v>434</v>
      </c>
      <c r="Q2120" s="588">
        <v>98</v>
      </c>
      <c r="R2120" s="588">
        <v>1054</v>
      </c>
      <c r="S2120" s="588">
        <v>98</v>
      </c>
      <c r="T2120" s="588">
        <v>2019</v>
      </c>
      <c r="U2120" s="588">
        <v>2014</v>
      </c>
      <c r="V2120" s="589"/>
      <c r="W2120" s="589"/>
      <c r="X2120" s="589"/>
      <c r="Y2120" s="589"/>
      <c r="Z2120" s="589"/>
      <c r="AA2120" s="589"/>
      <c r="AB2120" s="589"/>
      <c r="AC2120" s="589"/>
      <c r="AD2120" s="589"/>
      <c r="AE2120" s="589"/>
      <c r="AF2120" s="589"/>
      <c r="AG2120" s="589"/>
      <c r="AH2120" s="589"/>
      <c r="AI2120" s="589"/>
      <c r="AJ2120" s="589"/>
      <c r="AK2120" s="589"/>
      <c r="AL2120" s="589"/>
      <c r="AM2120" s="589"/>
      <c r="AN2120" s="589"/>
      <c r="AO2120" s="589"/>
      <c r="AP2120" s="589"/>
      <c r="AQ2120" s="589"/>
      <c r="AR2120" s="589"/>
      <c r="AS2120" s="589"/>
    </row>
    <row r="2121" spans="1:45" ht="15">
      <c r="A2121" s="590" t="s">
        <v>145</v>
      </c>
      <c r="B2121" s="591" t="s">
        <v>307</v>
      </c>
      <c r="C2121" s="591" t="s">
        <v>785</v>
      </c>
      <c r="D2121" s="592">
        <v>2019</v>
      </c>
      <c r="E2121" s="591" t="s">
        <v>775</v>
      </c>
      <c r="F2121" s="592">
        <v>85</v>
      </c>
      <c r="G2121" s="592">
        <v>0</v>
      </c>
      <c r="H2121" s="592">
        <v>0</v>
      </c>
      <c r="I2121" s="592">
        <v>0</v>
      </c>
      <c r="J2121" s="592">
        <v>56</v>
      </c>
      <c r="K2121" s="592">
        <v>10</v>
      </c>
      <c r="L2121" s="592">
        <v>0</v>
      </c>
      <c r="M2121" s="592">
        <v>10</v>
      </c>
      <c r="N2121" s="593">
        <v>62</v>
      </c>
      <c r="O2121" s="593">
        <v>6</v>
      </c>
      <c r="P2121" s="593">
        <v>160</v>
      </c>
      <c r="Q2121" s="593">
        <v>9</v>
      </c>
      <c r="R2121" s="593">
        <v>363</v>
      </c>
      <c r="S2121" s="593">
        <v>25</v>
      </c>
      <c r="T2121" s="593">
        <v>2019</v>
      </c>
      <c r="U2121" s="593">
        <v>2014</v>
      </c>
      <c r="V2121" s="589"/>
      <c r="W2121" s="589"/>
      <c r="X2121" s="589"/>
      <c r="Y2121" s="589"/>
      <c r="Z2121" s="589"/>
      <c r="AA2121" s="589"/>
      <c r="AB2121" s="589"/>
      <c r="AC2121" s="589"/>
      <c r="AD2121" s="589"/>
      <c r="AE2121" s="589"/>
      <c r="AF2121" s="589"/>
      <c r="AG2121" s="589"/>
      <c r="AH2121" s="589"/>
      <c r="AI2121" s="589"/>
      <c r="AJ2121" s="589"/>
      <c r="AK2121" s="589"/>
      <c r="AL2121" s="589"/>
      <c r="AM2121" s="589"/>
      <c r="AN2121" s="589"/>
      <c r="AO2121" s="589"/>
      <c r="AP2121" s="589"/>
      <c r="AQ2121" s="589"/>
      <c r="AR2121" s="589"/>
      <c r="AS2121" s="589"/>
    </row>
    <row r="2122" spans="1:45" ht="15">
      <c r="A2122" s="587" t="s">
        <v>145</v>
      </c>
      <c r="B2122" s="587" t="s">
        <v>307</v>
      </c>
      <c r="C2122" s="587" t="s">
        <v>971</v>
      </c>
      <c r="D2122" s="588">
        <v>2019</v>
      </c>
      <c r="E2122" s="587" t="s">
        <v>775</v>
      </c>
      <c r="F2122" s="588">
        <v>0</v>
      </c>
      <c r="G2122" s="588">
        <v>0</v>
      </c>
      <c r="H2122" s="588">
        <v>0</v>
      </c>
      <c r="I2122" s="588">
        <v>0</v>
      </c>
      <c r="J2122" s="588">
        <v>0</v>
      </c>
      <c r="K2122" s="588">
        <v>10</v>
      </c>
      <c r="L2122" s="588">
        <v>0</v>
      </c>
      <c r="M2122" s="588">
        <v>10</v>
      </c>
      <c r="N2122" s="588">
        <v>0</v>
      </c>
      <c r="O2122" s="588">
        <v>6</v>
      </c>
      <c r="P2122" s="588">
        <v>0</v>
      </c>
      <c r="Q2122" s="588">
        <v>9</v>
      </c>
      <c r="R2122" s="588">
        <v>0</v>
      </c>
      <c r="S2122" s="588">
        <v>25</v>
      </c>
      <c r="T2122" s="588">
        <v>2019</v>
      </c>
      <c r="U2122" s="588">
        <v>2014</v>
      </c>
      <c r="V2122" s="589"/>
      <c r="W2122" s="589"/>
      <c r="X2122" s="589"/>
      <c r="Y2122" s="589"/>
      <c r="Z2122" s="589"/>
      <c r="AA2122" s="589"/>
      <c r="AB2122" s="589"/>
      <c r="AC2122" s="589"/>
      <c r="AD2122" s="589"/>
      <c r="AE2122" s="589"/>
      <c r="AF2122" s="589"/>
      <c r="AG2122" s="589"/>
      <c r="AH2122" s="589"/>
      <c r="AI2122" s="589"/>
      <c r="AJ2122" s="589"/>
      <c r="AK2122" s="589"/>
      <c r="AL2122" s="589"/>
      <c r="AM2122" s="589"/>
      <c r="AN2122" s="589"/>
      <c r="AO2122" s="589"/>
      <c r="AP2122" s="589"/>
      <c r="AQ2122" s="589"/>
      <c r="AR2122" s="589"/>
      <c r="AS2122" s="589"/>
    </row>
    <row r="2123" spans="1:45" ht="15">
      <c r="A2123" s="590" t="s">
        <v>183</v>
      </c>
      <c r="B2123" s="591" t="s">
        <v>616</v>
      </c>
      <c r="C2123" s="591" t="s">
        <v>785</v>
      </c>
      <c r="D2123" s="592">
        <v>2019</v>
      </c>
      <c r="E2123" s="591" t="s">
        <v>775</v>
      </c>
      <c r="F2123" s="592">
        <v>60</v>
      </c>
      <c r="G2123" s="592">
        <v>0</v>
      </c>
      <c r="H2123" s="592">
        <v>0</v>
      </c>
      <c r="I2123" s="592">
        <v>0</v>
      </c>
      <c r="J2123" s="592">
        <v>38</v>
      </c>
      <c r="K2123" s="592">
        <v>20</v>
      </c>
      <c r="L2123" s="592">
        <v>20</v>
      </c>
      <c r="M2123" s="592">
        <v>0</v>
      </c>
      <c r="N2123" s="593">
        <v>43</v>
      </c>
      <c r="O2123" s="593">
        <v>0</v>
      </c>
      <c r="P2123" s="593">
        <v>101</v>
      </c>
      <c r="Q2123" s="593">
        <v>49</v>
      </c>
      <c r="R2123" s="593">
        <v>242</v>
      </c>
      <c r="S2123" s="593">
        <v>69</v>
      </c>
      <c r="T2123" s="593">
        <v>2019</v>
      </c>
      <c r="U2123" s="593">
        <v>2014</v>
      </c>
      <c r="V2123" s="589"/>
      <c r="W2123" s="589"/>
      <c r="X2123" s="589"/>
      <c r="Y2123" s="589"/>
      <c r="Z2123" s="589"/>
      <c r="AA2123" s="589"/>
      <c r="AB2123" s="589"/>
      <c r="AC2123" s="589"/>
      <c r="AD2123" s="589"/>
      <c r="AE2123" s="589"/>
      <c r="AF2123" s="589"/>
      <c r="AG2123" s="589"/>
      <c r="AH2123" s="589"/>
      <c r="AI2123" s="589"/>
      <c r="AJ2123" s="589"/>
      <c r="AK2123" s="589"/>
      <c r="AL2123" s="589"/>
      <c r="AM2123" s="589"/>
      <c r="AN2123" s="589"/>
      <c r="AO2123" s="589"/>
      <c r="AP2123" s="589"/>
      <c r="AQ2123" s="589"/>
      <c r="AR2123" s="589"/>
      <c r="AS2123" s="589"/>
    </row>
    <row r="2124" spans="1:45" ht="15">
      <c r="A2124" s="587" t="s">
        <v>153</v>
      </c>
      <c r="B2124" s="587" t="s">
        <v>349</v>
      </c>
      <c r="C2124" s="587" t="s">
        <v>813</v>
      </c>
      <c r="D2124" s="588">
        <v>2019</v>
      </c>
      <c r="E2124" s="587" t="s">
        <v>775</v>
      </c>
      <c r="F2124" s="588">
        <v>31</v>
      </c>
      <c r="G2124" s="588">
        <v>0</v>
      </c>
      <c r="H2124" s="588">
        <v>0</v>
      </c>
      <c r="I2124" s="588">
        <v>0</v>
      </c>
      <c r="J2124" s="588">
        <v>18</v>
      </c>
      <c r="K2124" s="588">
        <v>0</v>
      </c>
      <c r="L2124" s="588">
        <v>0</v>
      </c>
      <c r="M2124" s="588">
        <v>0</v>
      </c>
      <c r="N2124" s="588">
        <v>20</v>
      </c>
      <c r="O2124" s="588">
        <v>0</v>
      </c>
      <c r="P2124" s="588">
        <v>51</v>
      </c>
      <c r="Q2124" s="588">
        <v>9</v>
      </c>
      <c r="R2124" s="588">
        <v>120</v>
      </c>
      <c r="S2124" s="588">
        <v>9</v>
      </c>
      <c r="T2124" s="588">
        <v>2019</v>
      </c>
      <c r="U2124" s="588">
        <v>2014</v>
      </c>
      <c r="V2124" s="589"/>
      <c r="W2124" s="589"/>
      <c r="X2124" s="589"/>
      <c r="Y2124" s="589"/>
      <c r="Z2124" s="589"/>
      <c r="AA2124" s="589"/>
      <c r="AB2124" s="589"/>
      <c r="AC2124" s="589"/>
      <c r="AD2124" s="589"/>
      <c r="AE2124" s="589"/>
      <c r="AF2124" s="589"/>
      <c r="AG2124" s="589"/>
      <c r="AH2124" s="589"/>
      <c r="AI2124" s="589"/>
      <c r="AJ2124" s="589"/>
      <c r="AK2124" s="589"/>
      <c r="AL2124" s="589"/>
      <c r="AM2124" s="589"/>
      <c r="AN2124" s="589"/>
      <c r="AO2124" s="589"/>
      <c r="AP2124" s="589"/>
      <c r="AQ2124" s="589"/>
      <c r="AR2124" s="589"/>
      <c r="AS2124" s="589"/>
    </row>
    <row r="2125" spans="1:45" ht="15">
      <c r="A2125" s="590" t="s">
        <v>148</v>
      </c>
      <c r="B2125" s="591" t="s">
        <v>324</v>
      </c>
      <c r="C2125" s="591" t="s">
        <v>811</v>
      </c>
      <c r="D2125" s="592">
        <v>2019</v>
      </c>
      <c r="E2125" s="591" t="s">
        <v>775</v>
      </c>
      <c r="F2125" s="592">
        <v>398</v>
      </c>
      <c r="G2125" s="592">
        <v>0</v>
      </c>
      <c r="H2125" s="592">
        <v>0</v>
      </c>
      <c r="I2125" s="592">
        <v>0</v>
      </c>
      <c r="J2125" s="592">
        <v>239</v>
      </c>
      <c r="K2125" s="592">
        <v>0</v>
      </c>
      <c r="L2125" s="592">
        <v>0</v>
      </c>
      <c r="M2125" s="592">
        <v>0</v>
      </c>
      <c r="N2125" s="593">
        <v>183</v>
      </c>
      <c r="O2125" s="593">
        <v>111</v>
      </c>
      <c r="P2125" s="593">
        <v>349</v>
      </c>
      <c r="Q2125" s="593">
        <v>0</v>
      </c>
      <c r="R2125" s="593">
        <v>1169</v>
      </c>
      <c r="S2125" s="593">
        <v>111</v>
      </c>
      <c r="T2125" s="593">
        <v>2019</v>
      </c>
      <c r="U2125" s="593">
        <v>2016</v>
      </c>
      <c r="V2125" s="589"/>
      <c r="W2125" s="589"/>
      <c r="X2125" s="589"/>
      <c r="Y2125" s="589"/>
      <c r="Z2125" s="589"/>
      <c r="AA2125" s="589"/>
      <c r="AB2125" s="589"/>
      <c r="AC2125" s="589"/>
      <c r="AD2125" s="589"/>
      <c r="AE2125" s="589"/>
      <c r="AF2125" s="589"/>
      <c r="AG2125" s="589"/>
      <c r="AH2125" s="589"/>
      <c r="AI2125" s="589"/>
      <c r="AJ2125" s="589"/>
      <c r="AK2125" s="589"/>
      <c r="AL2125" s="589"/>
      <c r="AM2125" s="589"/>
      <c r="AN2125" s="589"/>
      <c r="AO2125" s="589"/>
      <c r="AP2125" s="589"/>
      <c r="AQ2125" s="589"/>
      <c r="AR2125" s="589"/>
      <c r="AS2125" s="589"/>
    </row>
    <row r="2126" spans="1:45" ht="15">
      <c r="A2126" s="587" t="s">
        <v>183</v>
      </c>
      <c r="B2126" s="587" t="s">
        <v>617</v>
      </c>
      <c r="C2126" s="587" t="s">
        <v>785</v>
      </c>
      <c r="D2126" s="588">
        <v>2019</v>
      </c>
      <c r="E2126" s="587" t="s">
        <v>775</v>
      </c>
      <c r="F2126" s="588">
        <v>98</v>
      </c>
      <c r="G2126" s="588">
        <v>0</v>
      </c>
      <c r="H2126" s="588">
        <v>0</v>
      </c>
      <c r="I2126" s="588">
        <v>0</v>
      </c>
      <c r="J2126" s="588">
        <v>62</v>
      </c>
      <c r="K2126" s="588">
        <v>2</v>
      </c>
      <c r="L2126" s="588">
        <v>0</v>
      </c>
      <c r="M2126" s="588">
        <v>2</v>
      </c>
      <c r="N2126" s="588">
        <v>69</v>
      </c>
      <c r="O2126" s="588">
        <v>3</v>
      </c>
      <c r="P2126" s="588">
        <v>164</v>
      </c>
      <c r="Q2126" s="588">
        <v>64</v>
      </c>
      <c r="R2126" s="588">
        <v>393</v>
      </c>
      <c r="S2126" s="588">
        <v>69</v>
      </c>
      <c r="T2126" s="588">
        <v>2019</v>
      </c>
      <c r="U2126" s="588">
        <v>2014</v>
      </c>
      <c r="V2126" s="589"/>
      <c r="W2126" s="589"/>
      <c r="X2126" s="589"/>
      <c r="Y2126" s="589"/>
      <c r="Z2126" s="589"/>
      <c r="AA2126" s="589"/>
      <c r="AB2126" s="589"/>
      <c r="AC2126" s="589"/>
      <c r="AD2126" s="589"/>
      <c r="AE2126" s="589"/>
      <c r="AF2126" s="589"/>
      <c r="AG2126" s="589"/>
      <c r="AH2126" s="589"/>
      <c r="AI2126" s="589"/>
      <c r="AJ2126" s="589"/>
      <c r="AK2126" s="589"/>
      <c r="AL2126" s="589"/>
      <c r="AM2126" s="589"/>
      <c r="AN2126" s="589"/>
      <c r="AO2126" s="589"/>
      <c r="AP2126" s="589"/>
      <c r="AQ2126" s="589"/>
      <c r="AR2126" s="589"/>
      <c r="AS2126" s="589"/>
    </row>
    <row r="2127" spans="1:45" ht="15">
      <c r="A2127" s="590" t="s">
        <v>184</v>
      </c>
      <c r="B2127" s="591" t="s">
        <v>623</v>
      </c>
      <c r="C2127" s="591" t="s">
        <v>782</v>
      </c>
      <c r="D2127" s="592">
        <v>2019</v>
      </c>
      <c r="E2127" s="591" t="s">
        <v>775</v>
      </c>
      <c r="F2127" s="592">
        <v>35</v>
      </c>
      <c r="G2127" s="592">
        <v>8</v>
      </c>
      <c r="H2127" s="592">
        <v>0</v>
      </c>
      <c r="I2127" s="592">
        <v>8</v>
      </c>
      <c r="J2127" s="592">
        <v>26</v>
      </c>
      <c r="K2127" s="592">
        <v>2</v>
      </c>
      <c r="L2127" s="592">
        <v>0</v>
      </c>
      <c r="M2127" s="592">
        <v>2</v>
      </c>
      <c r="N2127" s="593">
        <v>29</v>
      </c>
      <c r="O2127" s="593">
        <v>0</v>
      </c>
      <c r="P2127" s="593">
        <v>3</v>
      </c>
      <c r="Q2127" s="593">
        <v>19</v>
      </c>
      <c r="R2127" s="593">
        <v>93</v>
      </c>
      <c r="S2127" s="593">
        <v>29</v>
      </c>
      <c r="T2127" s="593">
        <v>2019</v>
      </c>
      <c r="U2127" s="593">
        <v>2015</v>
      </c>
      <c r="V2127" s="589"/>
      <c r="W2127" s="589"/>
      <c r="X2127" s="589"/>
      <c r="Y2127" s="589"/>
      <c r="Z2127" s="589"/>
      <c r="AA2127" s="589"/>
      <c r="AB2127" s="589"/>
      <c r="AC2127" s="589"/>
      <c r="AD2127" s="589"/>
      <c r="AE2127" s="589"/>
      <c r="AF2127" s="589"/>
      <c r="AG2127" s="589"/>
      <c r="AH2127" s="589"/>
      <c r="AI2127" s="589"/>
      <c r="AJ2127" s="589"/>
      <c r="AK2127" s="589"/>
      <c r="AL2127" s="589"/>
      <c r="AM2127" s="589"/>
      <c r="AN2127" s="589"/>
      <c r="AO2127" s="589"/>
      <c r="AP2127" s="589"/>
      <c r="AQ2127" s="589"/>
      <c r="AR2127" s="589"/>
      <c r="AS2127" s="589"/>
    </row>
    <row r="2128" spans="1:45" ht="15">
      <c r="A2128" s="587" t="s">
        <v>170</v>
      </c>
      <c r="B2128" s="587" t="s">
        <v>519</v>
      </c>
      <c r="C2128" s="587" t="s">
        <v>801</v>
      </c>
      <c r="D2128" s="588">
        <v>2019</v>
      </c>
      <c r="E2128" s="587" t="s">
        <v>775</v>
      </c>
      <c r="F2128" s="588">
        <v>74</v>
      </c>
      <c r="G2128" s="588">
        <v>0</v>
      </c>
      <c r="H2128" s="588">
        <v>0</v>
      </c>
      <c r="I2128" s="588">
        <v>0</v>
      </c>
      <c r="J2128" s="588">
        <v>52</v>
      </c>
      <c r="K2128" s="588">
        <v>0</v>
      </c>
      <c r="L2128" s="588">
        <v>0</v>
      </c>
      <c r="M2128" s="588">
        <v>0</v>
      </c>
      <c r="N2128" s="588">
        <v>57</v>
      </c>
      <c r="O2128" s="588">
        <v>3</v>
      </c>
      <c r="P2128" s="588">
        <v>125</v>
      </c>
      <c r="Q2128" s="588">
        <v>9</v>
      </c>
      <c r="R2128" s="588">
        <v>308</v>
      </c>
      <c r="S2128" s="588">
        <v>12</v>
      </c>
      <c r="T2128" s="588">
        <v>2019</v>
      </c>
      <c r="U2128" s="588">
        <v>2014</v>
      </c>
      <c r="V2128" s="589"/>
      <c r="W2128" s="589"/>
      <c r="X2128" s="589"/>
      <c r="Y2128" s="589"/>
      <c r="Z2128" s="589"/>
      <c r="AA2128" s="589"/>
      <c r="AB2128" s="589"/>
      <c r="AC2128" s="589"/>
      <c r="AD2128" s="589"/>
      <c r="AE2128" s="589"/>
      <c r="AF2128" s="589"/>
      <c r="AG2128" s="589"/>
      <c r="AH2128" s="589"/>
      <c r="AI2128" s="589"/>
      <c r="AJ2128" s="589"/>
      <c r="AK2128" s="589"/>
      <c r="AL2128" s="589"/>
      <c r="AM2128" s="589"/>
      <c r="AN2128" s="589"/>
      <c r="AO2128" s="589"/>
      <c r="AP2128" s="589"/>
      <c r="AQ2128" s="589"/>
      <c r="AR2128" s="589"/>
      <c r="AS2128" s="589"/>
    </row>
    <row r="2129" spans="1:45" ht="15">
      <c r="A2129" s="590" t="s">
        <v>153</v>
      </c>
      <c r="B2129" s="591" t="s">
        <v>350</v>
      </c>
      <c r="C2129" s="591" t="s">
        <v>813</v>
      </c>
      <c r="D2129" s="592">
        <v>2019</v>
      </c>
      <c r="E2129" s="591" t="s">
        <v>775</v>
      </c>
      <c r="F2129" s="592">
        <v>20</v>
      </c>
      <c r="G2129" s="592">
        <v>0</v>
      </c>
      <c r="H2129" s="592">
        <v>0</v>
      </c>
      <c r="I2129" s="592">
        <v>0</v>
      </c>
      <c r="J2129" s="592">
        <v>12</v>
      </c>
      <c r="K2129" s="592">
        <v>0</v>
      </c>
      <c r="L2129" s="592">
        <v>0</v>
      </c>
      <c r="M2129" s="592">
        <v>0</v>
      </c>
      <c r="N2129" s="593">
        <v>14</v>
      </c>
      <c r="O2129" s="593">
        <v>0</v>
      </c>
      <c r="P2129" s="593">
        <v>34</v>
      </c>
      <c r="Q2129" s="593">
        <v>0</v>
      </c>
      <c r="R2129" s="593">
        <v>80</v>
      </c>
      <c r="S2129" s="593">
        <v>0</v>
      </c>
      <c r="T2129" s="593">
        <v>2019</v>
      </c>
      <c r="U2129" s="593">
        <v>2014</v>
      </c>
      <c r="V2129" s="589"/>
      <c r="W2129" s="589"/>
      <c r="X2129" s="589"/>
      <c r="Y2129" s="589"/>
      <c r="Z2129" s="589"/>
      <c r="AA2129" s="589"/>
      <c r="AB2129" s="589"/>
      <c r="AC2129" s="589"/>
      <c r="AD2129" s="589"/>
      <c r="AE2129" s="589"/>
      <c r="AF2129" s="589"/>
      <c r="AG2129" s="589"/>
      <c r="AH2129" s="589"/>
      <c r="AI2129" s="589"/>
      <c r="AJ2129" s="589"/>
      <c r="AK2129" s="589"/>
      <c r="AL2129" s="589"/>
      <c r="AM2129" s="589"/>
      <c r="AN2129" s="589"/>
      <c r="AO2129" s="589"/>
      <c r="AP2129" s="589"/>
      <c r="AQ2129" s="589"/>
      <c r="AR2129" s="589"/>
      <c r="AS2129" s="589"/>
    </row>
    <row r="2130" spans="1:45" ht="15">
      <c r="A2130" s="587" t="s">
        <v>149</v>
      </c>
      <c r="B2130" s="587" t="s">
        <v>336</v>
      </c>
      <c r="C2130" s="587" t="s">
        <v>820</v>
      </c>
      <c r="D2130" s="588">
        <v>2019</v>
      </c>
      <c r="E2130" s="587" t="s">
        <v>775</v>
      </c>
      <c r="F2130" s="588">
        <v>145</v>
      </c>
      <c r="G2130" s="588">
        <v>0</v>
      </c>
      <c r="H2130" s="588">
        <v>0</v>
      </c>
      <c r="I2130" s="588">
        <v>0</v>
      </c>
      <c r="J2130" s="588">
        <v>108</v>
      </c>
      <c r="K2130" s="588">
        <v>1</v>
      </c>
      <c r="L2130" s="588">
        <v>1</v>
      </c>
      <c r="M2130" s="588">
        <v>0</v>
      </c>
      <c r="N2130" s="588">
        <v>115</v>
      </c>
      <c r="O2130" s="588">
        <v>16</v>
      </c>
      <c r="P2130" s="588">
        <v>271</v>
      </c>
      <c r="Q2130" s="588">
        <v>0</v>
      </c>
      <c r="R2130" s="588">
        <v>639</v>
      </c>
      <c r="S2130" s="588">
        <v>17</v>
      </c>
      <c r="T2130" s="588">
        <v>2019</v>
      </c>
      <c r="U2130" s="588">
        <v>2016</v>
      </c>
      <c r="V2130" s="589"/>
      <c r="W2130" s="589"/>
      <c r="X2130" s="589"/>
      <c r="Y2130" s="589"/>
      <c r="Z2130" s="589"/>
      <c r="AA2130" s="589"/>
      <c r="AB2130" s="589"/>
      <c r="AC2130" s="589"/>
      <c r="AD2130" s="589"/>
      <c r="AE2130" s="589"/>
      <c r="AF2130" s="589"/>
      <c r="AG2130" s="589"/>
      <c r="AH2130" s="589"/>
      <c r="AI2130" s="589"/>
      <c r="AJ2130" s="589"/>
      <c r="AK2130" s="589"/>
      <c r="AL2130" s="589"/>
      <c r="AM2130" s="589"/>
      <c r="AN2130" s="589"/>
      <c r="AO2130" s="589"/>
      <c r="AP2130" s="589"/>
      <c r="AQ2130" s="589"/>
      <c r="AR2130" s="589"/>
      <c r="AS2130" s="589"/>
    </row>
    <row r="2131" spans="1:45" ht="15">
      <c r="A2131" s="590" t="s">
        <v>153</v>
      </c>
      <c r="B2131" s="591" t="s">
        <v>351</v>
      </c>
      <c r="C2131" s="591" t="s">
        <v>813</v>
      </c>
      <c r="D2131" s="592">
        <v>2019</v>
      </c>
      <c r="E2131" s="591" t="s">
        <v>775</v>
      </c>
      <c r="F2131" s="592">
        <v>198</v>
      </c>
      <c r="G2131" s="592">
        <v>0</v>
      </c>
      <c r="H2131" s="592">
        <v>0</v>
      </c>
      <c r="I2131" s="592">
        <v>0</v>
      </c>
      <c r="J2131" s="592">
        <v>118</v>
      </c>
      <c r="K2131" s="592">
        <v>0</v>
      </c>
      <c r="L2131" s="592">
        <v>0</v>
      </c>
      <c r="M2131" s="592">
        <v>0</v>
      </c>
      <c r="N2131" s="593">
        <v>127</v>
      </c>
      <c r="O2131" s="593">
        <v>0</v>
      </c>
      <c r="P2131" s="593">
        <v>336</v>
      </c>
      <c r="Q2131" s="593">
        <v>179</v>
      </c>
      <c r="R2131" s="593">
        <v>779</v>
      </c>
      <c r="S2131" s="593">
        <v>179</v>
      </c>
      <c r="T2131" s="593">
        <v>2019</v>
      </c>
      <c r="U2131" s="593">
        <v>2014</v>
      </c>
      <c r="V2131" s="589"/>
      <c r="W2131" s="589"/>
      <c r="X2131" s="589"/>
      <c r="Y2131" s="589"/>
      <c r="Z2131" s="589"/>
      <c r="AA2131" s="589"/>
      <c r="AB2131" s="589"/>
      <c r="AC2131" s="589"/>
      <c r="AD2131" s="589"/>
      <c r="AE2131" s="589"/>
      <c r="AF2131" s="589"/>
      <c r="AG2131" s="589"/>
      <c r="AH2131" s="589"/>
      <c r="AI2131" s="589"/>
      <c r="AJ2131" s="589"/>
      <c r="AK2131" s="589"/>
      <c r="AL2131" s="589"/>
      <c r="AM2131" s="589"/>
      <c r="AN2131" s="589"/>
      <c r="AO2131" s="589"/>
      <c r="AP2131" s="589"/>
      <c r="AQ2131" s="589"/>
      <c r="AR2131" s="589"/>
      <c r="AS2131" s="589"/>
    </row>
    <row r="2132" spans="1:45" ht="15">
      <c r="A2132" s="587" t="s">
        <v>148</v>
      </c>
      <c r="B2132" s="587" t="s">
        <v>325</v>
      </c>
      <c r="C2132" s="587" t="s">
        <v>811</v>
      </c>
      <c r="D2132" s="588">
        <v>2019</v>
      </c>
      <c r="E2132" s="587" t="s">
        <v>775</v>
      </c>
      <c r="F2132" s="588">
        <v>9706</v>
      </c>
      <c r="G2132" s="588">
        <v>3</v>
      </c>
      <c r="H2132" s="588">
        <v>3</v>
      </c>
      <c r="I2132" s="588">
        <v>0</v>
      </c>
      <c r="J2132" s="588">
        <v>5800</v>
      </c>
      <c r="K2132" s="588">
        <v>13</v>
      </c>
      <c r="L2132" s="588">
        <v>13</v>
      </c>
      <c r="M2132" s="588">
        <v>0</v>
      </c>
      <c r="N2132" s="588">
        <v>6453</v>
      </c>
      <c r="O2132" s="588">
        <v>3</v>
      </c>
      <c r="P2132" s="588">
        <v>14331</v>
      </c>
      <c r="Q2132" s="588">
        <v>1673</v>
      </c>
      <c r="R2132" s="588">
        <v>36290</v>
      </c>
      <c r="S2132" s="588">
        <v>1692</v>
      </c>
      <c r="T2132" s="588">
        <v>2019</v>
      </c>
      <c r="U2132" s="588">
        <v>2016</v>
      </c>
      <c r="V2132" s="589"/>
      <c r="W2132" s="589"/>
      <c r="X2132" s="589"/>
      <c r="Y2132" s="589"/>
      <c r="Z2132" s="589"/>
      <c r="AA2132" s="589"/>
      <c r="AB2132" s="589"/>
      <c r="AC2132" s="589"/>
      <c r="AD2132" s="589"/>
      <c r="AE2132" s="589"/>
      <c r="AF2132" s="589"/>
      <c r="AG2132" s="589"/>
      <c r="AH2132" s="589"/>
      <c r="AI2132" s="589"/>
      <c r="AJ2132" s="589"/>
      <c r="AK2132" s="589"/>
      <c r="AL2132" s="589"/>
      <c r="AM2132" s="589"/>
      <c r="AN2132" s="589"/>
      <c r="AO2132" s="589"/>
      <c r="AP2132" s="589"/>
      <c r="AQ2132" s="589"/>
      <c r="AR2132" s="589"/>
      <c r="AS2132" s="589"/>
    </row>
    <row r="2133" spans="1:45" ht="15">
      <c r="A2133" s="590" t="s">
        <v>153</v>
      </c>
      <c r="B2133" s="591" t="s">
        <v>352</v>
      </c>
      <c r="C2133" s="591" t="s">
        <v>813</v>
      </c>
      <c r="D2133" s="592">
        <v>2019</v>
      </c>
      <c r="E2133" s="591" t="s">
        <v>775</v>
      </c>
      <c r="F2133" s="592">
        <v>142</v>
      </c>
      <c r="G2133" s="592">
        <v>0</v>
      </c>
      <c r="H2133" s="592">
        <v>0</v>
      </c>
      <c r="I2133" s="592">
        <v>0</v>
      </c>
      <c r="J2133" s="592">
        <v>83</v>
      </c>
      <c r="K2133" s="592">
        <v>0</v>
      </c>
      <c r="L2133" s="592">
        <v>0</v>
      </c>
      <c r="M2133" s="592">
        <v>0</v>
      </c>
      <c r="N2133" s="593">
        <v>90</v>
      </c>
      <c r="O2133" s="593">
        <v>0</v>
      </c>
      <c r="P2133" s="593">
        <v>242</v>
      </c>
      <c r="Q2133" s="593">
        <v>20</v>
      </c>
      <c r="R2133" s="593">
        <v>557</v>
      </c>
      <c r="S2133" s="593">
        <v>20</v>
      </c>
      <c r="T2133" s="593">
        <v>2019</v>
      </c>
      <c r="U2133" s="593">
        <v>2014</v>
      </c>
      <c r="V2133" s="589"/>
      <c r="W2133" s="589"/>
      <c r="X2133" s="589"/>
      <c r="Y2133" s="589"/>
      <c r="Z2133" s="589"/>
      <c r="AA2133" s="589"/>
      <c r="AB2133" s="589"/>
      <c r="AC2133" s="589"/>
      <c r="AD2133" s="589"/>
      <c r="AE2133" s="589"/>
      <c r="AF2133" s="589"/>
      <c r="AG2133" s="589"/>
      <c r="AH2133" s="589"/>
      <c r="AI2133" s="589"/>
      <c r="AJ2133" s="589"/>
      <c r="AK2133" s="589"/>
      <c r="AL2133" s="589"/>
      <c r="AM2133" s="589"/>
      <c r="AN2133" s="589"/>
      <c r="AO2133" s="589"/>
      <c r="AP2133" s="589"/>
      <c r="AQ2133" s="589"/>
      <c r="AR2133" s="589"/>
      <c r="AS2133" s="589"/>
    </row>
    <row r="2134" spans="1:45" ht="15">
      <c r="A2134" s="587" t="s">
        <v>173</v>
      </c>
      <c r="B2134" s="587" t="s">
        <v>528</v>
      </c>
      <c r="C2134" s="587" t="s">
        <v>813</v>
      </c>
      <c r="D2134" s="588">
        <v>2019</v>
      </c>
      <c r="E2134" s="587" t="s">
        <v>775</v>
      </c>
      <c r="F2134" s="588">
        <v>872</v>
      </c>
      <c r="G2134" s="588">
        <v>0</v>
      </c>
      <c r="H2134" s="588">
        <v>0</v>
      </c>
      <c r="I2134" s="588">
        <v>0</v>
      </c>
      <c r="J2134" s="588">
        <v>593</v>
      </c>
      <c r="K2134" s="588">
        <v>0</v>
      </c>
      <c r="L2134" s="588">
        <v>0</v>
      </c>
      <c r="M2134" s="588">
        <v>0</v>
      </c>
      <c r="N2134" s="588">
        <v>685</v>
      </c>
      <c r="O2134" s="588">
        <v>0</v>
      </c>
      <c r="P2134" s="588">
        <v>1642</v>
      </c>
      <c r="Q2134" s="588">
        <v>9</v>
      </c>
      <c r="R2134" s="588">
        <v>3792</v>
      </c>
      <c r="S2134" s="588">
        <v>9</v>
      </c>
      <c r="T2134" s="588">
        <v>2019</v>
      </c>
      <c r="U2134" s="588">
        <v>2014</v>
      </c>
      <c r="V2134" s="589"/>
      <c r="W2134" s="589"/>
      <c r="X2134" s="589"/>
      <c r="Y2134" s="589"/>
      <c r="Z2134" s="589"/>
      <c r="AA2134" s="589"/>
      <c r="AB2134" s="589"/>
      <c r="AC2134" s="589"/>
      <c r="AD2134" s="589"/>
      <c r="AE2134" s="589"/>
      <c r="AF2134" s="589"/>
      <c r="AG2134" s="589"/>
      <c r="AH2134" s="589"/>
      <c r="AI2134" s="589"/>
      <c r="AJ2134" s="589"/>
      <c r="AK2134" s="589"/>
      <c r="AL2134" s="589"/>
      <c r="AM2134" s="589"/>
      <c r="AN2134" s="589"/>
      <c r="AO2134" s="589"/>
      <c r="AP2134" s="589"/>
      <c r="AQ2134" s="589"/>
      <c r="AR2134" s="589"/>
      <c r="AS2134" s="589"/>
    </row>
    <row r="2135" spans="1:45" ht="15">
      <c r="A2135" s="590" t="s">
        <v>178</v>
      </c>
      <c r="B2135" s="591" t="s">
        <v>568</v>
      </c>
      <c r="C2135" s="591" t="s">
        <v>813</v>
      </c>
      <c r="D2135" s="592">
        <v>2019</v>
      </c>
      <c r="E2135" s="591" t="s">
        <v>775</v>
      </c>
      <c r="F2135" s="592">
        <v>188</v>
      </c>
      <c r="G2135" s="592">
        <v>0</v>
      </c>
      <c r="H2135" s="592">
        <v>0</v>
      </c>
      <c r="I2135" s="592">
        <v>0</v>
      </c>
      <c r="J2135" s="592">
        <v>138</v>
      </c>
      <c r="K2135" s="592">
        <v>0</v>
      </c>
      <c r="L2135" s="592">
        <v>0</v>
      </c>
      <c r="M2135" s="592">
        <v>0</v>
      </c>
      <c r="N2135" s="593">
        <v>154</v>
      </c>
      <c r="O2135" s="593">
        <v>0</v>
      </c>
      <c r="P2135" s="593">
        <v>363</v>
      </c>
      <c r="Q2135" s="593">
        <v>0</v>
      </c>
      <c r="R2135" s="593">
        <v>843</v>
      </c>
      <c r="S2135" s="593">
        <v>0</v>
      </c>
      <c r="T2135" s="593">
        <v>2019</v>
      </c>
      <c r="U2135" s="593">
        <v>2014</v>
      </c>
      <c r="V2135" s="589"/>
      <c r="W2135" s="589"/>
      <c r="X2135" s="589"/>
      <c r="Y2135" s="589"/>
      <c r="Z2135" s="589"/>
      <c r="AA2135" s="589"/>
      <c r="AB2135" s="589"/>
      <c r="AC2135" s="589"/>
      <c r="AD2135" s="589"/>
      <c r="AE2135" s="589"/>
      <c r="AF2135" s="589"/>
      <c r="AG2135" s="589"/>
      <c r="AH2135" s="589"/>
      <c r="AI2135" s="589"/>
      <c r="AJ2135" s="589"/>
      <c r="AK2135" s="589"/>
      <c r="AL2135" s="589"/>
      <c r="AM2135" s="589"/>
      <c r="AN2135" s="589"/>
      <c r="AO2135" s="589"/>
      <c r="AP2135" s="589"/>
      <c r="AQ2135" s="589"/>
      <c r="AR2135" s="589"/>
      <c r="AS2135" s="589"/>
    </row>
    <row r="2136" spans="1:45" ht="15">
      <c r="A2136" s="587" t="s">
        <v>153</v>
      </c>
      <c r="B2136" s="587" t="s">
        <v>353</v>
      </c>
      <c r="C2136" s="587" t="s">
        <v>813</v>
      </c>
      <c r="D2136" s="588">
        <v>2019</v>
      </c>
      <c r="E2136" s="587" t="s">
        <v>775</v>
      </c>
      <c r="F2136" s="588">
        <v>11</v>
      </c>
      <c r="G2136" s="588">
        <v>0</v>
      </c>
      <c r="H2136" s="588">
        <v>0</v>
      </c>
      <c r="I2136" s="588">
        <v>0</v>
      </c>
      <c r="J2136" s="588">
        <v>7</v>
      </c>
      <c r="K2136" s="588">
        <v>0</v>
      </c>
      <c r="L2136" s="588">
        <v>0</v>
      </c>
      <c r="M2136" s="588">
        <v>0</v>
      </c>
      <c r="N2136" s="588">
        <v>8</v>
      </c>
      <c r="O2136" s="588">
        <v>0</v>
      </c>
      <c r="P2136" s="588">
        <v>21</v>
      </c>
      <c r="Q2136" s="588">
        <v>12</v>
      </c>
      <c r="R2136" s="588">
        <v>47</v>
      </c>
      <c r="S2136" s="588">
        <v>12</v>
      </c>
      <c r="T2136" s="588">
        <v>2019</v>
      </c>
      <c r="U2136" s="588">
        <v>2014</v>
      </c>
      <c r="V2136" s="589"/>
      <c r="W2136" s="589"/>
      <c r="X2136" s="589"/>
      <c r="Y2136" s="589"/>
      <c r="Z2136" s="589"/>
      <c r="AA2136" s="589"/>
      <c r="AB2136" s="589"/>
      <c r="AC2136" s="589"/>
      <c r="AD2136" s="589"/>
      <c r="AE2136" s="589"/>
      <c r="AF2136" s="589"/>
      <c r="AG2136" s="589"/>
      <c r="AH2136" s="589"/>
      <c r="AI2136" s="589"/>
      <c r="AJ2136" s="589"/>
      <c r="AK2136" s="589"/>
      <c r="AL2136" s="589"/>
      <c r="AM2136" s="589"/>
      <c r="AN2136" s="589"/>
      <c r="AO2136" s="589"/>
      <c r="AP2136" s="589"/>
      <c r="AQ2136" s="589"/>
      <c r="AR2136" s="589"/>
      <c r="AS2136" s="589"/>
    </row>
    <row r="2137" spans="1:45" ht="15">
      <c r="A2137" s="590" t="s">
        <v>153</v>
      </c>
      <c r="B2137" s="591" t="s">
        <v>355</v>
      </c>
      <c r="C2137" s="591" t="s">
        <v>813</v>
      </c>
      <c r="D2137" s="592">
        <v>2019</v>
      </c>
      <c r="E2137" s="591" t="s">
        <v>775</v>
      </c>
      <c r="F2137" s="592">
        <v>1</v>
      </c>
      <c r="G2137" s="592">
        <v>0</v>
      </c>
      <c r="H2137" s="592">
        <v>0</v>
      </c>
      <c r="I2137" s="592">
        <v>0</v>
      </c>
      <c r="J2137" s="592">
        <v>1</v>
      </c>
      <c r="K2137" s="592">
        <v>0</v>
      </c>
      <c r="L2137" s="592">
        <v>0</v>
      </c>
      <c r="M2137" s="592">
        <v>0</v>
      </c>
      <c r="N2137" s="593">
        <v>0</v>
      </c>
      <c r="O2137" s="593">
        <v>0</v>
      </c>
      <c r="P2137" s="593">
        <v>0</v>
      </c>
      <c r="Q2137" s="593">
        <v>28</v>
      </c>
      <c r="R2137" s="593">
        <v>2</v>
      </c>
      <c r="S2137" s="593">
        <v>28</v>
      </c>
      <c r="T2137" s="593">
        <v>2019</v>
      </c>
      <c r="U2137" s="593">
        <v>2014</v>
      </c>
      <c r="V2137" s="589"/>
      <c r="W2137" s="589"/>
      <c r="X2137" s="589"/>
      <c r="Y2137" s="589"/>
      <c r="Z2137" s="589"/>
      <c r="AA2137" s="589"/>
      <c r="AB2137" s="589"/>
      <c r="AC2137" s="589"/>
      <c r="AD2137" s="589"/>
      <c r="AE2137" s="589"/>
      <c r="AF2137" s="589"/>
      <c r="AG2137" s="589"/>
      <c r="AH2137" s="589"/>
      <c r="AI2137" s="589"/>
      <c r="AJ2137" s="589"/>
      <c r="AK2137" s="589"/>
      <c r="AL2137" s="589"/>
      <c r="AM2137" s="589"/>
      <c r="AN2137" s="589"/>
      <c r="AO2137" s="589"/>
      <c r="AP2137" s="589"/>
      <c r="AQ2137" s="589"/>
      <c r="AR2137" s="589"/>
      <c r="AS2137" s="589"/>
    </row>
    <row r="2138" spans="1:45" ht="15">
      <c r="A2138" s="587" t="s">
        <v>184</v>
      </c>
      <c r="B2138" s="587" t="s">
        <v>624</v>
      </c>
      <c r="C2138" s="587" t="s">
        <v>782</v>
      </c>
      <c r="D2138" s="588">
        <v>2019</v>
      </c>
      <c r="E2138" s="587" t="s">
        <v>775</v>
      </c>
      <c r="F2138" s="588">
        <v>116</v>
      </c>
      <c r="G2138" s="588">
        <v>0</v>
      </c>
      <c r="H2138" s="588">
        <v>0</v>
      </c>
      <c r="I2138" s="588">
        <v>0</v>
      </c>
      <c r="J2138" s="588">
        <v>63</v>
      </c>
      <c r="K2138" s="588">
        <v>0</v>
      </c>
      <c r="L2138" s="588">
        <v>0</v>
      </c>
      <c r="M2138" s="588">
        <v>0</v>
      </c>
      <c r="N2138" s="588">
        <v>67</v>
      </c>
      <c r="O2138" s="588">
        <v>12</v>
      </c>
      <c r="P2138" s="588">
        <v>222</v>
      </c>
      <c r="Q2138" s="588">
        <v>0</v>
      </c>
      <c r="R2138" s="588">
        <v>468</v>
      </c>
      <c r="S2138" s="588">
        <v>12</v>
      </c>
      <c r="T2138" s="588">
        <v>2019</v>
      </c>
      <c r="U2138" s="588">
        <v>2015</v>
      </c>
      <c r="V2138" s="589"/>
      <c r="W2138" s="589"/>
      <c r="X2138" s="589"/>
      <c r="Y2138" s="589"/>
      <c r="Z2138" s="589"/>
      <c r="AA2138" s="589"/>
      <c r="AB2138" s="589"/>
      <c r="AC2138" s="589"/>
      <c r="AD2138" s="589"/>
      <c r="AE2138" s="589"/>
      <c r="AF2138" s="589"/>
      <c r="AG2138" s="589"/>
      <c r="AH2138" s="589"/>
      <c r="AI2138" s="589"/>
      <c r="AJ2138" s="589"/>
      <c r="AK2138" s="589"/>
      <c r="AL2138" s="589"/>
      <c r="AM2138" s="589"/>
      <c r="AN2138" s="589"/>
      <c r="AO2138" s="589"/>
      <c r="AP2138" s="589"/>
      <c r="AQ2138" s="589"/>
      <c r="AR2138" s="589"/>
      <c r="AS2138" s="589"/>
    </row>
    <row r="2139" spans="1:45" ht="15">
      <c r="A2139" s="590" t="s">
        <v>157</v>
      </c>
      <c r="B2139" s="591" t="s">
        <v>436</v>
      </c>
      <c r="C2139" s="591" t="s">
        <v>782</v>
      </c>
      <c r="D2139" s="592">
        <v>2019</v>
      </c>
      <c r="E2139" s="591" t="s">
        <v>775</v>
      </c>
      <c r="F2139" s="592">
        <v>4</v>
      </c>
      <c r="G2139" s="592">
        <v>0</v>
      </c>
      <c r="H2139" s="592">
        <v>0</v>
      </c>
      <c r="I2139" s="592">
        <v>0</v>
      </c>
      <c r="J2139" s="592">
        <v>3</v>
      </c>
      <c r="K2139" s="592">
        <v>0</v>
      </c>
      <c r="L2139" s="592">
        <v>0</v>
      </c>
      <c r="M2139" s="592">
        <v>0</v>
      </c>
      <c r="N2139" s="593">
        <v>4</v>
      </c>
      <c r="O2139" s="593">
        <v>1</v>
      </c>
      <c r="P2139" s="593">
        <v>5</v>
      </c>
      <c r="Q2139" s="593">
        <v>1</v>
      </c>
      <c r="R2139" s="593">
        <v>16</v>
      </c>
      <c r="S2139" s="593">
        <v>2</v>
      </c>
      <c r="T2139" s="593">
        <v>2019</v>
      </c>
      <c r="U2139" s="593">
        <v>2015</v>
      </c>
      <c r="V2139" s="589"/>
      <c r="W2139" s="589"/>
      <c r="X2139" s="589"/>
      <c r="Y2139" s="589"/>
      <c r="Z2139" s="589"/>
      <c r="AA2139" s="589"/>
      <c r="AB2139" s="589"/>
      <c r="AC2139" s="589"/>
      <c r="AD2139" s="589"/>
      <c r="AE2139" s="589"/>
      <c r="AF2139" s="589"/>
      <c r="AG2139" s="589"/>
      <c r="AH2139" s="589"/>
      <c r="AI2139" s="589"/>
      <c r="AJ2139" s="589"/>
      <c r="AK2139" s="589"/>
      <c r="AL2139" s="589"/>
      <c r="AM2139" s="589"/>
      <c r="AN2139" s="589"/>
      <c r="AO2139" s="589"/>
      <c r="AP2139" s="589"/>
      <c r="AQ2139" s="589"/>
      <c r="AR2139" s="589"/>
      <c r="AS2139" s="589"/>
    </row>
    <row r="2140" spans="1:45" ht="15">
      <c r="A2140" s="587" t="s">
        <v>192</v>
      </c>
      <c r="B2140" s="587" t="s">
        <v>686</v>
      </c>
      <c r="C2140" s="587" t="s">
        <v>782</v>
      </c>
      <c r="D2140" s="588">
        <v>2019</v>
      </c>
      <c r="E2140" s="587" t="s">
        <v>775</v>
      </c>
      <c r="F2140" s="588">
        <v>94</v>
      </c>
      <c r="G2140" s="588">
        <v>0</v>
      </c>
      <c r="H2140" s="588">
        <v>0</v>
      </c>
      <c r="I2140" s="588">
        <v>0</v>
      </c>
      <c r="J2140" s="588">
        <v>54</v>
      </c>
      <c r="K2140" s="588">
        <v>0</v>
      </c>
      <c r="L2140" s="588">
        <v>0</v>
      </c>
      <c r="M2140" s="588">
        <v>0</v>
      </c>
      <c r="N2140" s="588">
        <v>56</v>
      </c>
      <c r="O2140" s="588">
        <v>0</v>
      </c>
      <c r="P2140" s="588">
        <v>123</v>
      </c>
      <c r="Q2140" s="588">
        <v>0</v>
      </c>
      <c r="R2140" s="588">
        <v>327</v>
      </c>
      <c r="S2140" s="588">
        <v>0</v>
      </c>
      <c r="T2140" s="588">
        <v>2019</v>
      </c>
      <c r="U2140" s="588">
        <v>2015</v>
      </c>
      <c r="V2140" s="589"/>
      <c r="W2140" s="589"/>
      <c r="X2140" s="589"/>
      <c r="Y2140" s="589"/>
      <c r="Z2140" s="589"/>
      <c r="AA2140" s="589"/>
      <c r="AB2140" s="589"/>
      <c r="AC2140" s="589"/>
      <c r="AD2140" s="589"/>
      <c r="AE2140" s="589"/>
      <c r="AF2140" s="589"/>
      <c r="AG2140" s="589"/>
      <c r="AH2140" s="589"/>
      <c r="AI2140" s="589"/>
      <c r="AJ2140" s="589"/>
      <c r="AK2140" s="589"/>
      <c r="AL2140" s="589"/>
      <c r="AM2140" s="589"/>
      <c r="AN2140" s="589"/>
      <c r="AO2140" s="589"/>
      <c r="AP2140" s="589"/>
      <c r="AQ2140" s="589"/>
      <c r="AR2140" s="589"/>
      <c r="AS2140" s="589"/>
    </row>
    <row r="2141" spans="1:45" ht="15">
      <c r="A2141" s="590" t="s">
        <v>125</v>
      </c>
      <c r="B2141" s="591" t="s">
        <v>235</v>
      </c>
      <c r="C2141" s="591" t="s">
        <v>782</v>
      </c>
      <c r="D2141" s="592">
        <v>2019</v>
      </c>
      <c r="E2141" s="591" t="s">
        <v>775</v>
      </c>
      <c r="F2141" s="592">
        <v>532</v>
      </c>
      <c r="G2141" s="592">
        <v>11</v>
      </c>
      <c r="H2141" s="592">
        <v>11</v>
      </c>
      <c r="I2141" s="592">
        <v>0</v>
      </c>
      <c r="J2141" s="592">
        <v>442</v>
      </c>
      <c r="K2141" s="592">
        <v>0</v>
      </c>
      <c r="L2141" s="592">
        <v>0</v>
      </c>
      <c r="M2141" s="592">
        <v>0</v>
      </c>
      <c r="N2141" s="593">
        <v>584</v>
      </c>
      <c r="O2141" s="593">
        <v>0</v>
      </c>
      <c r="P2141" s="593">
        <v>1401</v>
      </c>
      <c r="Q2141" s="593">
        <v>233</v>
      </c>
      <c r="R2141" s="593">
        <v>2959</v>
      </c>
      <c r="S2141" s="593">
        <v>244</v>
      </c>
      <c r="T2141" s="593">
        <v>2019</v>
      </c>
      <c r="U2141" s="593">
        <v>2015</v>
      </c>
      <c r="V2141" s="589"/>
      <c r="W2141" s="589"/>
      <c r="X2141" s="589"/>
      <c r="Y2141" s="589"/>
      <c r="Z2141" s="589"/>
      <c r="AA2141" s="589"/>
      <c r="AB2141" s="589"/>
      <c r="AC2141" s="589"/>
      <c r="AD2141" s="589"/>
      <c r="AE2141" s="589"/>
      <c r="AF2141" s="589"/>
      <c r="AG2141" s="589"/>
      <c r="AH2141" s="589"/>
      <c r="AI2141" s="589"/>
      <c r="AJ2141" s="589"/>
      <c r="AK2141" s="589"/>
      <c r="AL2141" s="589"/>
      <c r="AM2141" s="589"/>
      <c r="AN2141" s="589"/>
      <c r="AO2141" s="589"/>
      <c r="AP2141" s="589"/>
      <c r="AQ2141" s="589"/>
      <c r="AR2141" s="589"/>
      <c r="AS2141" s="589"/>
    </row>
    <row r="2142" spans="1:45" ht="15">
      <c r="A2142" s="587" t="s">
        <v>153</v>
      </c>
      <c r="B2142" s="587" t="s">
        <v>356</v>
      </c>
      <c r="C2142" s="587" t="s">
        <v>813</v>
      </c>
      <c r="D2142" s="588">
        <v>2019</v>
      </c>
      <c r="E2142" s="587" t="s">
        <v>775</v>
      </c>
      <c r="F2142" s="588">
        <v>1</v>
      </c>
      <c r="G2142" s="588">
        <v>5</v>
      </c>
      <c r="H2142" s="588">
        <v>1</v>
      </c>
      <c r="I2142" s="588">
        <v>4</v>
      </c>
      <c r="J2142" s="588">
        <v>1</v>
      </c>
      <c r="K2142" s="588">
        <v>0</v>
      </c>
      <c r="L2142" s="588">
        <v>0</v>
      </c>
      <c r="M2142" s="588">
        <v>0</v>
      </c>
      <c r="N2142" s="588">
        <v>1</v>
      </c>
      <c r="O2142" s="588">
        <v>0</v>
      </c>
      <c r="P2142" s="588">
        <v>0</v>
      </c>
      <c r="Q2142" s="588">
        <v>83</v>
      </c>
      <c r="R2142" s="588">
        <v>3</v>
      </c>
      <c r="S2142" s="588">
        <v>88</v>
      </c>
      <c r="T2142" s="588">
        <v>2019</v>
      </c>
      <c r="U2142" s="588">
        <v>2014</v>
      </c>
      <c r="V2142" s="589"/>
      <c r="W2142" s="589"/>
      <c r="X2142" s="589"/>
      <c r="Y2142" s="589"/>
      <c r="Z2142" s="589"/>
      <c r="AA2142" s="589"/>
      <c r="AB2142" s="589"/>
      <c r="AC2142" s="589"/>
      <c r="AD2142" s="589"/>
      <c r="AE2142" s="589"/>
      <c r="AF2142" s="589"/>
      <c r="AG2142" s="589"/>
      <c r="AH2142" s="589"/>
      <c r="AI2142" s="589"/>
      <c r="AJ2142" s="589"/>
      <c r="AK2142" s="589"/>
      <c r="AL2142" s="589"/>
      <c r="AM2142" s="589"/>
      <c r="AN2142" s="589"/>
      <c r="AO2142" s="589"/>
      <c r="AP2142" s="589"/>
      <c r="AQ2142" s="589"/>
      <c r="AR2142" s="589"/>
      <c r="AS2142" s="589"/>
    </row>
    <row r="2143" spans="1:45" ht="15">
      <c r="A2143" s="590" t="s">
        <v>178</v>
      </c>
      <c r="B2143" s="591" t="s">
        <v>569</v>
      </c>
      <c r="C2143" s="591" t="s">
        <v>813</v>
      </c>
      <c r="D2143" s="592">
        <v>2019</v>
      </c>
      <c r="E2143" s="591" t="s">
        <v>775</v>
      </c>
      <c r="F2143" s="592">
        <v>1</v>
      </c>
      <c r="G2143" s="592">
        <v>0</v>
      </c>
      <c r="H2143" s="592">
        <v>0</v>
      </c>
      <c r="I2143" s="592">
        <v>0</v>
      </c>
      <c r="J2143" s="592">
        <v>1</v>
      </c>
      <c r="K2143" s="592">
        <v>2</v>
      </c>
      <c r="L2143" s="592">
        <v>0</v>
      </c>
      <c r="M2143" s="592">
        <v>2</v>
      </c>
      <c r="N2143" s="593">
        <v>0</v>
      </c>
      <c r="O2143" s="593">
        <v>1</v>
      </c>
      <c r="P2143" s="593">
        <v>0</v>
      </c>
      <c r="Q2143" s="593">
        <v>27</v>
      </c>
      <c r="R2143" s="593">
        <v>2</v>
      </c>
      <c r="S2143" s="593">
        <v>30</v>
      </c>
      <c r="T2143" s="593">
        <v>2019</v>
      </c>
      <c r="U2143" s="593">
        <v>2014</v>
      </c>
      <c r="V2143" s="589"/>
      <c r="W2143" s="589"/>
      <c r="X2143" s="589"/>
      <c r="Y2143" s="589"/>
      <c r="Z2143" s="589"/>
      <c r="AA2143" s="589"/>
      <c r="AB2143" s="589"/>
      <c r="AC2143" s="589"/>
      <c r="AD2143" s="589"/>
      <c r="AE2143" s="589"/>
      <c r="AF2143" s="589"/>
      <c r="AG2143" s="589"/>
      <c r="AH2143" s="589"/>
      <c r="AI2143" s="589"/>
      <c r="AJ2143" s="589"/>
      <c r="AK2143" s="589"/>
      <c r="AL2143" s="589"/>
      <c r="AM2143" s="589"/>
      <c r="AN2143" s="589"/>
      <c r="AO2143" s="589"/>
      <c r="AP2143" s="589"/>
      <c r="AQ2143" s="589"/>
      <c r="AR2143" s="589"/>
      <c r="AS2143" s="589"/>
    </row>
    <row r="2144" spans="1:45" ht="15">
      <c r="A2144" s="587" t="s">
        <v>131</v>
      </c>
      <c r="B2144" s="587" t="s">
        <v>255</v>
      </c>
      <c r="C2144" s="587" t="s">
        <v>787</v>
      </c>
      <c r="D2144" s="588">
        <v>2019</v>
      </c>
      <c r="E2144" s="587" t="s">
        <v>775</v>
      </c>
      <c r="F2144" s="588">
        <v>48</v>
      </c>
      <c r="G2144" s="588">
        <v>0</v>
      </c>
      <c r="H2144" s="588">
        <v>0</v>
      </c>
      <c r="I2144" s="588">
        <v>0</v>
      </c>
      <c r="J2144" s="588">
        <v>30</v>
      </c>
      <c r="K2144" s="588">
        <v>0</v>
      </c>
      <c r="L2144" s="588">
        <v>0</v>
      </c>
      <c r="M2144" s="588">
        <v>0</v>
      </c>
      <c r="N2144" s="588">
        <v>24</v>
      </c>
      <c r="O2144" s="588">
        <v>0</v>
      </c>
      <c r="P2144" s="588">
        <v>82</v>
      </c>
      <c r="Q2144" s="588">
        <v>0</v>
      </c>
      <c r="R2144" s="588">
        <v>184</v>
      </c>
      <c r="S2144" s="588">
        <v>0</v>
      </c>
      <c r="T2144" s="588">
        <v>2019</v>
      </c>
      <c r="U2144" s="588">
        <v>2014</v>
      </c>
      <c r="V2144" s="589"/>
      <c r="W2144" s="589"/>
      <c r="X2144" s="589"/>
      <c r="Y2144" s="589"/>
      <c r="Z2144" s="589"/>
      <c r="AA2144" s="589"/>
      <c r="AB2144" s="589"/>
      <c r="AC2144" s="589"/>
      <c r="AD2144" s="589"/>
      <c r="AE2144" s="589"/>
      <c r="AF2144" s="589"/>
      <c r="AG2144" s="589"/>
      <c r="AH2144" s="589"/>
      <c r="AI2144" s="589"/>
      <c r="AJ2144" s="589"/>
      <c r="AK2144" s="589"/>
      <c r="AL2144" s="589"/>
      <c r="AM2144" s="589"/>
      <c r="AN2144" s="589"/>
      <c r="AO2144" s="589"/>
      <c r="AP2144" s="589"/>
      <c r="AQ2144" s="589"/>
      <c r="AR2144" s="589"/>
      <c r="AS2144" s="589"/>
    </row>
    <row r="2145" spans="1:45" ht="15">
      <c r="A2145" s="590" t="s">
        <v>147</v>
      </c>
      <c r="B2145" s="591" t="s">
        <v>322</v>
      </c>
      <c r="C2145" s="591" t="s">
        <v>785</v>
      </c>
      <c r="D2145" s="592">
        <v>2019</v>
      </c>
      <c r="E2145" s="591" t="s">
        <v>775</v>
      </c>
      <c r="F2145" s="592">
        <v>15</v>
      </c>
      <c r="G2145" s="592">
        <v>0</v>
      </c>
      <c r="H2145" s="592">
        <v>0</v>
      </c>
      <c r="I2145" s="592">
        <v>0</v>
      </c>
      <c r="J2145" s="592">
        <v>10</v>
      </c>
      <c r="K2145" s="592">
        <v>5</v>
      </c>
      <c r="L2145" s="592">
        <v>0</v>
      </c>
      <c r="M2145" s="592">
        <v>5</v>
      </c>
      <c r="N2145" s="593">
        <v>12</v>
      </c>
      <c r="O2145" s="593">
        <v>0</v>
      </c>
      <c r="P2145" s="593">
        <v>28</v>
      </c>
      <c r="Q2145" s="593">
        <v>3</v>
      </c>
      <c r="R2145" s="593">
        <v>65</v>
      </c>
      <c r="S2145" s="593">
        <v>8</v>
      </c>
      <c r="T2145" s="593">
        <v>2019</v>
      </c>
      <c r="U2145" s="593">
        <v>2014</v>
      </c>
      <c r="V2145" s="589"/>
      <c r="W2145" s="589"/>
      <c r="X2145" s="589"/>
      <c r="Y2145" s="589"/>
      <c r="Z2145" s="589"/>
      <c r="AA2145" s="589"/>
      <c r="AB2145" s="589"/>
      <c r="AC2145" s="589"/>
      <c r="AD2145" s="589"/>
      <c r="AE2145" s="589"/>
      <c r="AF2145" s="589"/>
      <c r="AG2145" s="589"/>
      <c r="AH2145" s="589"/>
      <c r="AI2145" s="589"/>
      <c r="AJ2145" s="589"/>
      <c r="AK2145" s="589"/>
      <c r="AL2145" s="589"/>
      <c r="AM2145" s="589"/>
      <c r="AN2145" s="589"/>
      <c r="AO2145" s="589"/>
      <c r="AP2145" s="589"/>
      <c r="AQ2145" s="589"/>
      <c r="AR2145" s="589"/>
      <c r="AS2145" s="589"/>
    </row>
    <row r="2146" spans="1:45" ht="15">
      <c r="A2146" s="587" t="s">
        <v>173</v>
      </c>
      <c r="B2146" s="587" t="s">
        <v>530</v>
      </c>
      <c r="C2146" s="587" t="s">
        <v>813</v>
      </c>
      <c r="D2146" s="588">
        <v>2019</v>
      </c>
      <c r="E2146" s="587" t="s">
        <v>775</v>
      </c>
      <c r="F2146" s="588">
        <v>91</v>
      </c>
      <c r="G2146" s="588">
        <v>0</v>
      </c>
      <c r="H2146" s="588">
        <v>0</v>
      </c>
      <c r="I2146" s="588">
        <v>0</v>
      </c>
      <c r="J2146" s="588">
        <v>64</v>
      </c>
      <c r="K2146" s="588">
        <v>0</v>
      </c>
      <c r="L2146" s="588">
        <v>0</v>
      </c>
      <c r="M2146" s="588">
        <v>0</v>
      </c>
      <c r="N2146" s="588">
        <v>75</v>
      </c>
      <c r="O2146" s="588">
        <v>6</v>
      </c>
      <c r="P2146" s="588">
        <v>172</v>
      </c>
      <c r="Q2146" s="588">
        <v>0</v>
      </c>
      <c r="R2146" s="588">
        <v>402</v>
      </c>
      <c r="S2146" s="588">
        <v>6</v>
      </c>
      <c r="T2146" s="588">
        <v>2019</v>
      </c>
      <c r="U2146" s="588">
        <v>2014</v>
      </c>
      <c r="V2146" s="589"/>
      <c r="W2146" s="589"/>
      <c r="X2146" s="589"/>
      <c r="Y2146" s="589"/>
      <c r="Z2146" s="589"/>
      <c r="AA2146" s="589"/>
      <c r="AB2146" s="589"/>
      <c r="AC2146" s="589"/>
      <c r="AD2146" s="589"/>
      <c r="AE2146" s="589"/>
      <c r="AF2146" s="589"/>
      <c r="AG2146" s="589"/>
      <c r="AH2146" s="589"/>
      <c r="AI2146" s="589"/>
      <c r="AJ2146" s="589"/>
      <c r="AK2146" s="589"/>
      <c r="AL2146" s="589"/>
      <c r="AM2146" s="589"/>
      <c r="AN2146" s="589"/>
      <c r="AO2146" s="589"/>
      <c r="AP2146" s="589"/>
      <c r="AQ2146" s="589"/>
      <c r="AR2146" s="589"/>
      <c r="AS2146" s="589"/>
    </row>
    <row r="2147" spans="1:45" ht="15">
      <c r="A2147" s="590" t="s">
        <v>146</v>
      </c>
      <c r="B2147" s="591" t="s">
        <v>315</v>
      </c>
      <c r="C2147" s="591" t="s">
        <v>813</v>
      </c>
      <c r="D2147" s="592">
        <v>2019</v>
      </c>
      <c r="E2147" s="591" t="s">
        <v>775</v>
      </c>
      <c r="F2147" s="592">
        <v>760</v>
      </c>
      <c r="G2147" s="592">
        <v>30</v>
      </c>
      <c r="H2147" s="592">
        <v>30</v>
      </c>
      <c r="I2147" s="592">
        <v>0</v>
      </c>
      <c r="J2147" s="592">
        <v>470</v>
      </c>
      <c r="K2147" s="592">
        <v>30</v>
      </c>
      <c r="L2147" s="592">
        <v>30</v>
      </c>
      <c r="M2147" s="592">
        <v>0</v>
      </c>
      <c r="N2147" s="593">
        <v>466</v>
      </c>
      <c r="O2147" s="593">
        <v>49</v>
      </c>
      <c r="P2147" s="593">
        <v>1338</v>
      </c>
      <c r="Q2147" s="593">
        <v>2</v>
      </c>
      <c r="R2147" s="593">
        <v>3034</v>
      </c>
      <c r="S2147" s="593">
        <v>111</v>
      </c>
      <c r="T2147" s="593">
        <v>2019</v>
      </c>
      <c r="U2147" s="593">
        <v>2014</v>
      </c>
      <c r="V2147" s="589"/>
      <c r="W2147" s="589"/>
      <c r="X2147" s="589"/>
      <c r="Y2147" s="589"/>
      <c r="Z2147" s="589"/>
      <c r="AA2147" s="589"/>
      <c r="AB2147" s="589"/>
      <c r="AC2147" s="589"/>
      <c r="AD2147" s="589"/>
      <c r="AE2147" s="589"/>
      <c r="AF2147" s="589"/>
      <c r="AG2147" s="589"/>
      <c r="AH2147" s="589"/>
      <c r="AI2147" s="589"/>
      <c r="AJ2147" s="589"/>
      <c r="AK2147" s="589"/>
      <c r="AL2147" s="589"/>
      <c r="AM2147" s="589"/>
      <c r="AN2147" s="589"/>
      <c r="AO2147" s="589"/>
      <c r="AP2147" s="589"/>
      <c r="AQ2147" s="589"/>
      <c r="AR2147" s="589"/>
      <c r="AS2147" s="589"/>
    </row>
    <row r="2148" spans="1:45" ht="15">
      <c r="A2148" s="587" t="s">
        <v>169</v>
      </c>
      <c r="B2148" s="587" t="s">
        <v>487</v>
      </c>
      <c r="C2148" s="587" t="s">
        <v>813</v>
      </c>
      <c r="D2148" s="588">
        <v>2019</v>
      </c>
      <c r="E2148" s="587" t="s">
        <v>775</v>
      </c>
      <c r="F2148" s="588">
        <v>426</v>
      </c>
      <c r="G2148" s="588">
        <v>0</v>
      </c>
      <c r="H2148" s="588">
        <v>0</v>
      </c>
      <c r="I2148" s="588">
        <v>0</v>
      </c>
      <c r="J2148" s="588">
        <v>305</v>
      </c>
      <c r="K2148" s="588">
        <v>0</v>
      </c>
      <c r="L2148" s="588">
        <v>0</v>
      </c>
      <c r="M2148" s="588">
        <v>0</v>
      </c>
      <c r="N2148" s="588">
        <v>335</v>
      </c>
      <c r="O2148" s="588">
        <v>20</v>
      </c>
      <c r="P2148" s="588">
        <v>785</v>
      </c>
      <c r="Q2148" s="588">
        <v>695</v>
      </c>
      <c r="R2148" s="588">
        <v>1851</v>
      </c>
      <c r="S2148" s="588">
        <v>715</v>
      </c>
      <c r="T2148" s="588">
        <v>2019</v>
      </c>
      <c r="U2148" s="588">
        <v>2014</v>
      </c>
      <c r="V2148" s="589"/>
      <c r="W2148" s="589"/>
      <c r="X2148" s="589"/>
      <c r="Y2148" s="589"/>
      <c r="Z2148" s="589"/>
      <c r="AA2148" s="589"/>
      <c r="AB2148" s="589"/>
      <c r="AC2148" s="589"/>
      <c r="AD2148" s="589"/>
      <c r="AE2148" s="589"/>
      <c r="AF2148" s="589"/>
      <c r="AG2148" s="589"/>
      <c r="AH2148" s="589"/>
      <c r="AI2148" s="589"/>
      <c r="AJ2148" s="589"/>
      <c r="AK2148" s="589"/>
      <c r="AL2148" s="589"/>
      <c r="AM2148" s="589"/>
      <c r="AN2148" s="589"/>
      <c r="AO2148" s="589"/>
      <c r="AP2148" s="589"/>
      <c r="AQ2148" s="589"/>
      <c r="AR2148" s="589"/>
      <c r="AS2148" s="589"/>
    </row>
    <row r="2149" spans="1:45" ht="15">
      <c r="A2149" s="590" t="s">
        <v>136</v>
      </c>
      <c r="B2149" s="591" t="s">
        <v>266</v>
      </c>
      <c r="C2149" s="591" t="s">
        <v>782</v>
      </c>
      <c r="D2149" s="592">
        <v>2019</v>
      </c>
      <c r="E2149" s="591" t="s">
        <v>775</v>
      </c>
      <c r="F2149" s="592">
        <v>234</v>
      </c>
      <c r="G2149" s="592">
        <v>0</v>
      </c>
      <c r="H2149" s="592">
        <v>0</v>
      </c>
      <c r="I2149" s="592">
        <v>0</v>
      </c>
      <c r="J2149" s="592">
        <v>124</v>
      </c>
      <c r="K2149" s="592">
        <v>3</v>
      </c>
      <c r="L2149" s="592">
        <v>0</v>
      </c>
      <c r="M2149" s="592">
        <v>3</v>
      </c>
      <c r="N2149" s="593">
        <v>123</v>
      </c>
      <c r="O2149" s="593">
        <v>0</v>
      </c>
      <c r="P2149" s="593">
        <v>279</v>
      </c>
      <c r="Q2149" s="593">
        <v>321</v>
      </c>
      <c r="R2149" s="593">
        <v>760</v>
      </c>
      <c r="S2149" s="593">
        <v>324</v>
      </c>
      <c r="T2149" s="593">
        <v>2019</v>
      </c>
      <c r="U2149" s="593">
        <v>2015</v>
      </c>
      <c r="V2149" s="589"/>
      <c r="W2149" s="589"/>
      <c r="X2149" s="589"/>
      <c r="Y2149" s="589"/>
      <c r="Z2149" s="589"/>
      <c r="AA2149" s="589"/>
      <c r="AB2149" s="589"/>
      <c r="AC2149" s="589"/>
      <c r="AD2149" s="589"/>
      <c r="AE2149" s="589"/>
      <c r="AF2149" s="589"/>
      <c r="AG2149" s="589"/>
      <c r="AH2149" s="589"/>
      <c r="AI2149" s="589"/>
      <c r="AJ2149" s="589"/>
      <c r="AK2149" s="589"/>
      <c r="AL2149" s="589"/>
      <c r="AM2149" s="589"/>
      <c r="AN2149" s="589"/>
      <c r="AO2149" s="589"/>
      <c r="AP2149" s="589"/>
      <c r="AQ2149" s="589"/>
      <c r="AR2149" s="589"/>
      <c r="AS2149" s="589"/>
    </row>
    <row r="2150" spans="1:45" ht="15">
      <c r="A2150" s="587" t="s">
        <v>184</v>
      </c>
      <c r="B2150" s="587" t="s">
        <v>625</v>
      </c>
      <c r="C2150" s="587" t="s">
        <v>782</v>
      </c>
      <c r="D2150" s="588">
        <v>2019</v>
      </c>
      <c r="E2150" s="587" t="s">
        <v>775</v>
      </c>
      <c r="F2150" s="588">
        <v>25</v>
      </c>
      <c r="G2150" s="588">
        <v>0</v>
      </c>
      <c r="H2150" s="588">
        <v>0</v>
      </c>
      <c r="I2150" s="588">
        <v>0</v>
      </c>
      <c r="J2150" s="588">
        <v>13</v>
      </c>
      <c r="K2150" s="588">
        <v>0</v>
      </c>
      <c r="L2150" s="588">
        <v>0</v>
      </c>
      <c r="M2150" s="588">
        <v>0</v>
      </c>
      <c r="N2150" s="588">
        <v>15</v>
      </c>
      <c r="O2150" s="588">
        <v>6</v>
      </c>
      <c r="P2150" s="588">
        <v>30</v>
      </c>
      <c r="Q2150" s="588">
        <v>6</v>
      </c>
      <c r="R2150" s="588">
        <v>83</v>
      </c>
      <c r="S2150" s="588">
        <v>12</v>
      </c>
      <c r="T2150" s="588">
        <v>2019</v>
      </c>
      <c r="U2150" s="588">
        <v>2015</v>
      </c>
      <c r="V2150" s="589"/>
      <c r="W2150" s="589"/>
      <c r="X2150" s="589"/>
      <c r="Y2150" s="589"/>
      <c r="Z2150" s="589"/>
      <c r="AA2150" s="589"/>
      <c r="AB2150" s="589"/>
      <c r="AC2150" s="589"/>
      <c r="AD2150" s="589"/>
      <c r="AE2150" s="589"/>
      <c r="AF2150" s="589"/>
      <c r="AG2150" s="589"/>
      <c r="AH2150" s="589"/>
      <c r="AI2150" s="589"/>
      <c r="AJ2150" s="589"/>
      <c r="AK2150" s="589"/>
      <c r="AL2150" s="589"/>
      <c r="AM2150" s="589"/>
      <c r="AN2150" s="589"/>
      <c r="AO2150" s="589"/>
      <c r="AP2150" s="589"/>
      <c r="AQ2150" s="589"/>
      <c r="AR2150" s="589"/>
      <c r="AS2150" s="589"/>
    </row>
    <row r="2151" spans="1:45" ht="15">
      <c r="A2151" s="590" t="s">
        <v>185</v>
      </c>
      <c r="B2151" s="591" t="s">
        <v>643</v>
      </c>
      <c r="C2151" s="591" t="s">
        <v>872</v>
      </c>
      <c r="D2151" s="592">
        <v>2019</v>
      </c>
      <c r="E2151" s="591" t="s">
        <v>775</v>
      </c>
      <c r="F2151" s="592">
        <v>66</v>
      </c>
      <c r="G2151" s="592">
        <v>0</v>
      </c>
      <c r="H2151" s="592">
        <v>0</v>
      </c>
      <c r="I2151" s="592">
        <v>0</v>
      </c>
      <c r="J2151" s="592">
        <v>44</v>
      </c>
      <c r="K2151" s="592">
        <v>0</v>
      </c>
      <c r="L2151" s="592">
        <v>0</v>
      </c>
      <c r="M2151" s="592">
        <v>0</v>
      </c>
      <c r="N2151" s="593">
        <v>41</v>
      </c>
      <c r="O2151" s="593">
        <v>1</v>
      </c>
      <c r="P2151" s="593">
        <v>124</v>
      </c>
      <c r="Q2151" s="593">
        <v>17</v>
      </c>
      <c r="R2151" s="593">
        <v>275</v>
      </c>
      <c r="S2151" s="593">
        <v>18</v>
      </c>
      <c r="T2151" s="593">
        <v>2019</v>
      </c>
      <c r="U2151" s="593">
        <v>2015</v>
      </c>
      <c r="V2151" s="589"/>
      <c r="W2151" s="589"/>
      <c r="X2151" s="589"/>
      <c r="Y2151" s="589"/>
      <c r="Z2151" s="589"/>
      <c r="AA2151" s="589"/>
      <c r="AB2151" s="589"/>
      <c r="AC2151" s="589"/>
      <c r="AD2151" s="589"/>
      <c r="AE2151" s="589"/>
      <c r="AF2151" s="589"/>
      <c r="AG2151" s="589"/>
      <c r="AH2151" s="589"/>
      <c r="AI2151" s="589"/>
      <c r="AJ2151" s="589"/>
      <c r="AK2151" s="589"/>
      <c r="AL2151" s="589"/>
      <c r="AM2151" s="589"/>
      <c r="AN2151" s="589"/>
      <c r="AO2151" s="589"/>
      <c r="AP2151" s="589"/>
      <c r="AQ2151" s="589"/>
      <c r="AR2151" s="589"/>
      <c r="AS2151" s="589"/>
    </row>
    <row r="2152" spans="1:45" ht="15">
      <c r="A2152" s="587" t="s">
        <v>169</v>
      </c>
      <c r="B2152" s="587" t="s">
        <v>488</v>
      </c>
      <c r="C2152" s="587" t="s">
        <v>813</v>
      </c>
      <c r="D2152" s="588">
        <v>2019</v>
      </c>
      <c r="E2152" s="587" t="s">
        <v>775</v>
      </c>
      <c r="F2152" s="588">
        <v>76</v>
      </c>
      <c r="G2152" s="588">
        <v>0</v>
      </c>
      <c r="H2152" s="588">
        <v>0</v>
      </c>
      <c r="I2152" s="588">
        <v>0</v>
      </c>
      <c r="J2152" s="588">
        <v>53</v>
      </c>
      <c r="K2152" s="588">
        <v>0</v>
      </c>
      <c r="L2152" s="588">
        <v>0</v>
      </c>
      <c r="M2152" s="588">
        <v>0</v>
      </c>
      <c r="N2152" s="588">
        <v>62</v>
      </c>
      <c r="O2152" s="588">
        <v>0</v>
      </c>
      <c r="P2152" s="588">
        <v>148</v>
      </c>
      <c r="Q2152" s="588">
        <v>1</v>
      </c>
      <c r="R2152" s="588">
        <v>339</v>
      </c>
      <c r="S2152" s="588">
        <v>1</v>
      </c>
      <c r="T2152" s="588">
        <v>2019</v>
      </c>
      <c r="U2152" s="588">
        <v>2014</v>
      </c>
      <c r="V2152" s="589"/>
      <c r="W2152" s="589"/>
      <c r="X2152" s="589"/>
      <c r="Y2152" s="589"/>
      <c r="Z2152" s="589"/>
      <c r="AA2152" s="589"/>
      <c r="AB2152" s="589"/>
      <c r="AC2152" s="589"/>
      <c r="AD2152" s="589"/>
      <c r="AE2152" s="589"/>
      <c r="AF2152" s="589"/>
      <c r="AG2152" s="589"/>
      <c r="AH2152" s="589"/>
      <c r="AI2152" s="589"/>
      <c r="AJ2152" s="589"/>
      <c r="AK2152" s="589"/>
      <c r="AL2152" s="589"/>
      <c r="AM2152" s="589"/>
      <c r="AN2152" s="589"/>
      <c r="AO2152" s="589"/>
      <c r="AP2152" s="589"/>
      <c r="AQ2152" s="589"/>
      <c r="AR2152" s="589"/>
      <c r="AS2152" s="589"/>
    </row>
    <row r="2153" spans="1:45" ht="15">
      <c r="A2153" s="590" t="s">
        <v>153</v>
      </c>
      <c r="B2153" s="591" t="s">
        <v>358</v>
      </c>
      <c r="C2153" s="591" t="s">
        <v>813</v>
      </c>
      <c r="D2153" s="592">
        <v>2019</v>
      </c>
      <c r="E2153" s="591" t="s">
        <v>775</v>
      </c>
      <c r="F2153" s="592">
        <v>694</v>
      </c>
      <c r="G2153" s="592">
        <v>0</v>
      </c>
      <c r="H2153" s="592">
        <v>0</v>
      </c>
      <c r="I2153" s="592">
        <v>0</v>
      </c>
      <c r="J2153" s="592">
        <v>413</v>
      </c>
      <c r="K2153" s="592">
        <v>51</v>
      </c>
      <c r="L2153" s="592">
        <v>0</v>
      </c>
      <c r="M2153" s="592">
        <v>51</v>
      </c>
      <c r="N2153" s="593">
        <v>443</v>
      </c>
      <c r="O2153" s="593">
        <v>11</v>
      </c>
      <c r="P2153" s="593">
        <v>1134</v>
      </c>
      <c r="Q2153" s="593">
        <v>53</v>
      </c>
      <c r="R2153" s="593">
        <v>2684</v>
      </c>
      <c r="S2153" s="593">
        <v>115</v>
      </c>
      <c r="T2153" s="593">
        <v>2019</v>
      </c>
      <c r="U2153" s="593">
        <v>2014</v>
      </c>
      <c r="V2153" s="589"/>
      <c r="W2153" s="589"/>
      <c r="X2153" s="589"/>
      <c r="Y2153" s="589"/>
      <c r="Z2153" s="589"/>
      <c r="AA2153" s="589"/>
      <c r="AB2153" s="589"/>
      <c r="AC2153" s="589"/>
      <c r="AD2153" s="589"/>
      <c r="AE2153" s="589"/>
      <c r="AF2153" s="589"/>
      <c r="AG2153" s="589"/>
      <c r="AH2153" s="589"/>
      <c r="AI2153" s="589"/>
      <c r="AJ2153" s="589"/>
      <c r="AK2153" s="589"/>
      <c r="AL2153" s="589"/>
      <c r="AM2153" s="589"/>
      <c r="AN2153" s="589"/>
      <c r="AO2153" s="589"/>
      <c r="AP2153" s="589"/>
      <c r="AQ2153" s="589"/>
      <c r="AR2153" s="589"/>
      <c r="AS2153" s="589"/>
    </row>
    <row r="2154" spans="1:45" ht="15">
      <c r="A2154" s="587" t="s">
        <v>184</v>
      </c>
      <c r="B2154" s="587" t="s">
        <v>626</v>
      </c>
      <c r="C2154" s="587" t="s">
        <v>782</v>
      </c>
      <c r="D2154" s="588">
        <v>2019</v>
      </c>
      <c r="E2154" s="587" t="s">
        <v>775</v>
      </c>
      <c r="F2154" s="588">
        <v>276</v>
      </c>
      <c r="G2154" s="588">
        <v>0</v>
      </c>
      <c r="H2154" s="588">
        <v>0</v>
      </c>
      <c r="I2154" s="588">
        <v>0</v>
      </c>
      <c r="J2154" s="588">
        <v>144</v>
      </c>
      <c r="K2154" s="588">
        <v>0</v>
      </c>
      <c r="L2154" s="588">
        <v>0</v>
      </c>
      <c r="M2154" s="588">
        <v>0</v>
      </c>
      <c r="N2154" s="588">
        <v>155</v>
      </c>
      <c r="O2154" s="588">
        <v>0</v>
      </c>
      <c r="P2154" s="588">
        <v>288</v>
      </c>
      <c r="Q2154" s="588">
        <v>10</v>
      </c>
      <c r="R2154" s="588">
        <v>863</v>
      </c>
      <c r="S2154" s="588">
        <v>10</v>
      </c>
      <c r="T2154" s="588">
        <v>2019</v>
      </c>
      <c r="U2154" s="588">
        <v>2015</v>
      </c>
      <c r="V2154" s="589"/>
      <c r="W2154" s="589"/>
      <c r="X2154" s="589"/>
      <c r="Y2154" s="589"/>
      <c r="Z2154" s="589"/>
      <c r="AA2154" s="589"/>
      <c r="AB2154" s="589"/>
      <c r="AC2154" s="589"/>
      <c r="AD2154" s="589"/>
      <c r="AE2154" s="589"/>
      <c r="AF2154" s="589"/>
      <c r="AG2154" s="589"/>
      <c r="AH2154" s="589"/>
      <c r="AI2154" s="589"/>
      <c r="AJ2154" s="589"/>
      <c r="AK2154" s="589"/>
      <c r="AL2154" s="589"/>
      <c r="AM2154" s="589"/>
      <c r="AN2154" s="589"/>
      <c r="AO2154" s="589"/>
      <c r="AP2154" s="589"/>
      <c r="AQ2154" s="589"/>
      <c r="AR2154" s="589"/>
      <c r="AS2154" s="589"/>
    </row>
    <row r="2155" spans="1:45" ht="15">
      <c r="A2155" s="590" t="s">
        <v>131</v>
      </c>
      <c r="B2155" s="591" t="s">
        <v>256</v>
      </c>
      <c r="C2155" s="591" t="s">
        <v>787</v>
      </c>
      <c r="D2155" s="592">
        <v>2019</v>
      </c>
      <c r="E2155" s="591" t="s">
        <v>775</v>
      </c>
      <c r="F2155" s="592">
        <v>682</v>
      </c>
      <c r="G2155" s="592">
        <v>0</v>
      </c>
      <c r="H2155" s="592">
        <v>0</v>
      </c>
      <c r="I2155" s="592">
        <v>0</v>
      </c>
      <c r="J2155" s="592">
        <v>545</v>
      </c>
      <c r="K2155" s="592">
        <v>0</v>
      </c>
      <c r="L2155" s="592">
        <v>0</v>
      </c>
      <c r="M2155" s="592">
        <v>0</v>
      </c>
      <c r="N2155" s="593">
        <v>480</v>
      </c>
      <c r="O2155" s="593">
        <v>56</v>
      </c>
      <c r="P2155" s="593">
        <v>1267</v>
      </c>
      <c r="Q2155" s="593">
        <v>95</v>
      </c>
      <c r="R2155" s="593">
        <v>2974</v>
      </c>
      <c r="S2155" s="593">
        <v>151</v>
      </c>
      <c r="T2155" s="593">
        <v>2019</v>
      </c>
      <c r="U2155" s="593">
        <v>2014</v>
      </c>
      <c r="V2155" s="589"/>
      <c r="W2155" s="589"/>
      <c r="X2155" s="589"/>
      <c r="Y2155" s="589"/>
      <c r="Z2155" s="589"/>
      <c r="AA2155" s="589"/>
      <c r="AB2155" s="589"/>
      <c r="AC2155" s="589"/>
      <c r="AD2155" s="589"/>
      <c r="AE2155" s="589"/>
      <c r="AF2155" s="589"/>
      <c r="AG2155" s="589"/>
      <c r="AH2155" s="589"/>
      <c r="AI2155" s="589"/>
      <c r="AJ2155" s="589"/>
      <c r="AK2155" s="589"/>
      <c r="AL2155" s="589"/>
      <c r="AM2155" s="589"/>
      <c r="AN2155" s="589"/>
      <c r="AO2155" s="589"/>
      <c r="AP2155" s="589"/>
      <c r="AQ2155" s="589"/>
      <c r="AR2155" s="589"/>
      <c r="AS2155" s="589"/>
    </row>
    <row r="2156" spans="1:45" ht="15">
      <c r="A2156" s="587" t="s">
        <v>153</v>
      </c>
      <c r="B2156" s="587" t="s">
        <v>359</v>
      </c>
      <c r="C2156" s="587" t="s">
        <v>813</v>
      </c>
      <c r="D2156" s="588">
        <v>2019</v>
      </c>
      <c r="E2156" s="587" t="s">
        <v>775</v>
      </c>
      <c r="F2156" s="588">
        <v>88</v>
      </c>
      <c r="G2156" s="588">
        <v>0</v>
      </c>
      <c r="H2156" s="588">
        <v>0</v>
      </c>
      <c r="I2156" s="588">
        <v>0</v>
      </c>
      <c r="J2156" s="588">
        <v>54</v>
      </c>
      <c r="K2156" s="588">
        <v>0</v>
      </c>
      <c r="L2156" s="588">
        <v>0</v>
      </c>
      <c r="M2156" s="588">
        <v>0</v>
      </c>
      <c r="N2156" s="588">
        <v>57</v>
      </c>
      <c r="O2156" s="588">
        <v>0</v>
      </c>
      <c r="P2156" s="588">
        <v>131</v>
      </c>
      <c r="Q2156" s="588">
        <v>10</v>
      </c>
      <c r="R2156" s="588">
        <v>330</v>
      </c>
      <c r="S2156" s="588">
        <v>10</v>
      </c>
      <c r="T2156" s="588">
        <v>2019</v>
      </c>
      <c r="U2156" s="588">
        <v>2014</v>
      </c>
      <c r="V2156" s="589"/>
      <c r="W2156" s="589"/>
      <c r="X2156" s="589"/>
      <c r="Y2156" s="589"/>
      <c r="Z2156" s="589"/>
      <c r="AA2156" s="589"/>
      <c r="AB2156" s="589"/>
      <c r="AC2156" s="589"/>
      <c r="AD2156" s="589"/>
      <c r="AE2156" s="589"/>
      <c r="AF2156" s="589"/>
      <c r="AG2156" s="589"/>
      <c r="AH2156" s="589"/>
      <c r="AI2156" s="589"/>
      <c r="AJ2156" s="589"/>
      <c r="AK2156" s="589"/>
      <c r="AL2156" s="589"/>
      <c r="AM2156" s="589"/>
      <c r="AN2156" s="589"/>
      <c r="AO2156" s="589"/>
      <c r="AP2156" s="589"/>
      <c r="AQ2156" s="589"/>
      <c r="AR2156" s="589"/>
      <c r="AS2156" s="589"/>
    </row>
    <row r="2157" spans="1:45" ht="15">
      <c r="A2157" s="590" t="s">
        <v>134</v>
      </c>
      <c r="B2157" s="591" t="s">
        <v>262</v>
      </c>
      <c r="C2157" s="591" t="s">
        <v>970</v>
      </c>
      <c r="D2157" s="592">
        <v>2019</v>
      </c>
      <c r="E2157" s="591" t="s">
        <v>775</v>
      </c>
      <c r="F2157" s="592">
        <v>0</v>
      </c>
      <c r="G2157" s="592">
        <v>0</v>
      </c>
      <c r="H2157" s="592">
        <v>0</v>
      </c>
      <c r="I2157" s="592">
        <v>0</v>
      </c>
      <c r="J2157" s="592">
        <v>0</v>
      </c>
      <c r="K2157" s="592">
        <v>0</v>
      </c>
      <c r="L2157" s="592">
        <v>0</v>
      </c>
      <c r="M2157" s="592">
        <v>0</v>
      </c>
      <c r="N2157" s="593">
        <v>0</v>
      </c>
      <c r="O2157" s="593">
        <v>0</v>
      </c>
      <c r="P2157" s="593">
        <v>0</v>
      </c>
      <c r="Q2157" s="593">
        <v>63</v>
      </c>
      <c r="R2157" s="593">
        <v>0</v>
      </c>
      <c r="S2157" s="593">
        <v>63</v>
      </c>
      <c r="T2157" s="593">
        <v>2019</v>
      </c>
      <c r="U2157" s="593">
        <v>2014</v>
      </c>
      <c r="V2157" s="589"/>
      <c r="W2157" s="589"/>
      <c r="X2157" s="589"/>
      <c r="Y2157" s="589"/>
      <c r="Z2157" s="589"/>
      <c r="AA2157" s="589"/>
      <c r="AB2157" s="589"/>
      <c r="AC2157" s="589"/>
      <c r="AD2157" s="589"/>
      <c r="AE2157" s="589"/>
      <c r="AF2157" s="589"/>
      <c r="AG2157" s="589"/>
      <c r="AH2157" s="589"/>
      <c r="AI2157" s="589"/>
      <c r="AJ2157" s="589"/>
      <c r="AK2157" s="589"/>
      <c r="AL2157" s="589"/>
      <c r="AM2157" s="589"/>
      <c r="AN2157" s="589"/>
      <c r="AO2157" s="589"/>
      <c r="AP2157" s="589"/>
      <c r="AQ2157" s="589"/>
      <c r="AR2157" s="589"/>
      <c r="AS2157" s="589"/>
    </row>
    <row r="2158" spans="1:45" ht="15">
      <c r="A2158" s="587" t="s">
        <v>134</v>
      </c>
      <c r="B2158" s="587" t="s">
        <v>262</v>
      </c>
      <c r="C2158" s="587" t="s">
        <v>785</v>
      </c>
      <c r="D2158" s="588">
        <v>2019</v>
      </c>
      <c r="E2158" s="587" t="s">
        <v>775</v>
      </c>
      <c r="F2158" s="588">
        <v>241</v>
      </c>
      <c r="G2158" s="588">
        <v>0</v>
      </c>
      <c r="H2158" s="588">
        <v>0</v>
      </c>
      <c r="I2158" s="588">
        <v>0</v>
      </c>
      <c r="J2158" s="588">
        <v>175</v>
      </c>
      <c r="K2158" s="588">
        <v>0</v>
      </c>
      <c r="L2158" s="588">
        <v>0</v>
      </c>
      <c r="M2158" s="588">
        <v>0</v>
      </c>
      <c r="N2158" s="588">
        <v>192</v>
      </c>
      <c r="O2158" s="588">
        <v>0</v>
      </c>
      <c r="P2158" s="588">
        <v>471</v>
      </c>
      <c r="Q2158" s="588">
        <v>63</v>
      </c>
      <c r="R2158" s="588">
        <v>1079</v>
      </c>
      <c r="S2158" s="588">
        <v>63</v>
      </c>
      <c r="T2158" s="588">
        <v>2019</v>
      </c>
      <c r="U2158" s="588">
        <v>2014</v>
      </c>
      <c r="V2158" s="589"/>
      <c r="W2158" s="589"/>
      <c r="X2158" s="589"/>
      <c r="Y2158" s="589"/>
      <c r="Z2158" s="589"/>
      <c r="AA2158" s="589"/>
      <c r="AB2158" s="589"/>
      <c r="AC2158" s="589"/>
      <c r="AD2158" s="589"/>
      <c r="AE2158" s="589"/>
      <c r="AF2158" s="589"/>
      <c r="AG2158" s="589"/>
      <c r="AH2158" s="589"/>
      <c r="AI2158" s="589"/>
      <c r="AJ2158" s="589"/>
      <c r="AK2158" s="589"/>
      <c r="AL2158" s="589"/>
      <c r="AM2158" s="589"/>
      <c r="AN2158" s="589"/>
      <c r="AO2158" s="589"/>
      <c r="AP2158" s="589"/>
      <c r="AQ2158" s="589"/>
      <c r="AR2158" s="589"/>
      <c r="AS2158" s="589"/>
    </row>
    <row r="2159" spans="1:45" ht="15">
      <c r="A2159" s="590" t="s">
        <v>146</v>
      </c>
      <c r="B2159" s="591" t="s">
        <v>316</v>
      </c>
      <c r="C2159" s="591" t="s">
        <v>813</v>
      </c>
      <c r="D2159" s="592">
        <v>2019</v>
      </c>
      <c r="E2159" s="591" t="s">
        <v>775</v>
      </c>
      <c r="F2159" s="592">
        <v>817</v>
      </c>
      <c r="G2159" s="592">
        <v>35</v>
      </c>
      <c r="H2159" s="592">
        <v>35</v>
      </c>
      <c r="I2159" s="592">
        <v>0</v>
      </c>
      <c r="J2159" s="592">
        <v>489</v>
      </c>
      <c r="K2159" s="592">
        <v>156</v>
      </c>
      <c r="L2159" s="592">
        <v>53</v>
      </c>
      <c r="M2159" s="592">
        <v>103</v>
      </c>
      <c r="N2159" s="593">
        <v>490</v>
      </c>
      <c r="O2159" s="593">
        <v>26</v>
      </c>
      <c r="P2159" s="593">
        <v>1428</v>
      </c>
      <c r="Q2159" s="593">
        <v>0</v>
      </c>
      <c r="R2159" s="593">
        <v>3224</v>
      </c>
      <c r="S2159" s="593">
        <v>217</v>
      </c>
      <c r="T2159" s="593">
        <v>2019</v>
      </c>
      <c r="U2159" s="593">
        <v>2014</v>
      </c>
      <c r="V2159" s="589"/>
      <c r="W2159" s="589"/>
      <c r="X2159" s="589"/>
      <c r="Y2159" s="589"/>
      <c r="Z2159" s="589"/>
      <c r="AA2159" s="589"/>
      <c r="AB2159" s="589"/>
      <c r="AC2159" s="589"/>
      <c r="AD2159" s="589"/>
      <c r="AE2159" s="589"/>
      <c r="AF2159" s="589"/>
      <c r="AG2159" s="589"/>
      <c r="AH2159" s="589"/>
      <c r="AI2159" s="589"/>
      <c r="AJ2159" s="589"/>
      <c r="AK2159" s="589"/>
      <c r="AL2159" s="589"/>
      <c r="AM2159" s="589"/>
      <c r="AN2159" s="589"/>
      <c r="AO2159" s="589"/>
      <c r="AP2159" s="589"/>
      <c r="AQ2159" s="589"/>
      <c r="AR2159" s="589"/>
      <c r="AS2159" s="589"/>
    </row>
    <row r="2160" spans="1:45" ht="15">
      <c r="A2160" s="587" t="s">
        <v>173</v>
      </c>
      <c r="B2160" s="587" t="s">
        <v>531</v>
      </c>
      <c r="C2160" s="587" t="s">
        <v>813</v>
      </c>
      <c r="D2160" s="588">
        <v>2019</v>
      </c>
      <c r="E2160" s="587" t="s">
        <v>775</v>
      </c>
      <c r="F2160" s="588">
        <v>543</v>
      </c>
      <c r="G2160" s="588">
        <v>0</v>
      </c>
      <c r="H2160" s="588">
        <v>0</v>
      </c>
      <c r="I2160" s="588">
        <v>0</v>
      </c>
      <c r="J2160" s="588">
        <v>383</v>
      </c>
      <c r="K2160" s="588">
        <v>0</v>
      </c>
      <c r="L2160" s="588">
        <v>0</v>
      </c>
      <c r="M2160" s="588">
        <v>0</v>
      </c>
      <c r="N2160" s="588">
        <v>433</v>
      </c>
      <c r="O2160" s="588">
        <v>0</v>
      </c>
      <c r="P2160" s="588">
        <v>982</v>
      </c>
      <c r="Q2160" s="588">
        <v>286</v>
      </c>
      <c r="R2160" s="588">
        <v>2341</v>
      </c>
      <c r="S2160" s="588">
        <v>286</v>
      </c>
      <c r="T2160" s="588">
        <v>2019</v>
      </c>
      <c r="U2160" s="588">
        <v>2014</v>
      </c>
      <c r="V2160" s="589"/>
      <c r="W2160" s="589"/>
      <c r="X2160" s="589"/>
      <c r="Y2160" s="589"/>
      <c r="Z2160" s="589"/>
      <c r="AA2160" s="589"/>
      <c r="AB2160" s="589"/>
      <c r="AC2160" s="589"/>
      <c r="AD2160" s="589"/>
      <c r="AE2160" s="589"/>
      <c r="AF2160" s="589"/>
      <c r="AG2160" s="589"/>
      <c r="AH2160" s="589"/>
      <c r="AI2160" s="589"/>
      <c r="AJ2160" s="589"/>
      <c r="AK2160" s="589"/>
      <c r="AL2160" s="589"/>
      <c r="AM2160" s="589"/>
      <c r="AN2160" s="589"/>
      <c r="AO2160" s="589"/>
      <c r="AP2160" s="589"/>
      <c r="AQ2160" s="589"/>
      <c r="AR2160" s="589"/>
      <c r="AS2160" s="589"/>
    </row>
    <row r="2161" spans="1:45" ht="15">
      <c r="A2161" s="590" t="s">
        <v>166</v>
      </c>
      <c r="B2161" s="591" t="s">
        <v>477</v>
      </c>
      <c r="C2161" s="591" t="s">
        <v>782</v>
      </c>
      <c r="D2161" s="592">
        <v>2019</v>
      </c>
      <c r="E2161" s="591" t="s">
        <v>775</v>
      </c>
      <c r="F2161" s="592">
        <v>6</v>
      </c>
      <c r="G2161" s="592">
        <v>0</v>
      </c>
      <c r="H2161" s="592">
        <v>0</v>
      </c>
      <c r="I2161" s="592">
        <v>0</v>
      </c>
      <c r="J2161" s="592">
        <v>2</v>
      </c>
      <c r="K2161" s="592">
        <v>1</v>
      </c>
      <c r="L2161" s="592">
        <v>0</v>
      </c>
      <c r="M2161" s="592">
        <v>1</v>
      </c>
      <c r="N2161" s="593">
        <v>4</v>
      </c>
      <c r="O2161" s="593">
        <v>1</v>
      </c>
      <c r="P2161" s="593">
        <v>15</v>
      </c>
      <c r="Q2161" s="593">
        <v>3</v>
      </c>
      <c r="R2161" s="593">
        <v>27</v>
      </c>
      <c r="S2161" s="593">
        <v>5</v>
      </c>
      <c r="T2161" s="593">
        <v>2019</v>
      </c>
      <c r="U2161" s="593">
        <v>2015</v>
      </c>
      <c r="V2161" s="589"/>
      <c r="W2161" s="589"/>
      <c r="X2161" s="589"/>
      <c r="Y2161" s="589"/>
      <c r="Z2161" s="589"/>
      <c r="AA2161" s="589"/>
      <c r="AB2161" s="589"/>
      <c r="AC2161" s="589"/>
      <c r="AD2161" s="589"/>
      <c r="AE2161" s="589"/>
      <c r="AF2161" s="589"/>
      <c r="AG2161" s="589"/>
      <c r="AH2161" s="589"/>
      <c r="AI2161" s="589"/>
      <c r="AJ2161" s="589"/>
      <c r="AK2161" s="589"/>
      <c r="AL2161" s="589"/>
      <c r="AM2161" s="589"/>
      <c r="AN2161" s="589"/>
      <c r="AO2161" s="589"/>
      <c r="AP2161" s="589"/>
      <c r="AQ2161" s="589"/>
      <c r="AR2161" s="589"/>
      <c r="AS2161" s="589"/>
    </row>
    <row r="2162" spans="1:45" ht="15">
      <c r="A2162" s="587" t="s">
        <v>201</v>
      </c>
      <c r="B2162" s="587" t="s">
        <v>730</v>
      </c>
      <c r="C2162" s="587" t="s">
        <v>813</v>
      </c>
      <c r="D2162" s="588">
        <v>2019</v>
      </c>
      <c r="E2162" s="587" t="s">
        <v>775</v>
      </c>
      <c r="F2162" s="588">
        <v>539</v>
      </c>
      <c r="G2162" s="588">
        <v>0</v>
      </c>
      <c r="H2162" s="588">
        <v>0</v>
      </c>
      <c r="I2162" s="588">
        <v>0</v>
      </c>
      <c r="J2162" s="588">
        <v>366</v>
      </c>
      <c r="K2162" s="588">
        <v>2</v>
      </c>
      <c r="L2162" s="588">
        <v>2</v>
      </c>
      <c r="M2162" s="588">
        <v>0</v>
      </c>
      <c r="N2162" s="588">
        <v>411</v>
      </c>
      <c r="O2162" s="588">
        <v>14</v>
      </c>
      <c r="P2162" s="588">
        <v>908</v>
      </c>
      <c r="Q2162" s="588">
        <v>72</v>
      </c>
      <c r="R2162" s="588">
        <v>2224</v>
      </c>
      <c r="S2162" s="588">
        <v>88</v>
      </c>
      <c r="T2162" s="588">
        <v>2019</v>
      </c>
      <c r="U2162" s="588">
        <v>2014</v>
      </c>
      <c r="V2162" s="589"/>
      <c r="W2162" s="589"/>
      <c r="X2162" s="589"/>
      <c r="Y2162" s="589"/>
      <c r="Z2162" s="589"/>
      <c r="AA2162" s="589"/>
      <c r="AB2162" s="589"/>
      <c r="AC2162" s="589"/>
      <c r="AD2162" s="589"/>
      <c r="AE2162" s="589"/>
      <c r="AF2162" s="589"/>
      <c r="AG2162" s="589"/>
      <c r="AH2162" s="589"/>
      <c r="AI2162" s="589"/>
      <c r="AJ2162" s="589"/>
      <c r="AK2162" s="589"/>
      <c r="AL2162" s="589"/>
      <c r="AM2162" s="589"/>
      <c r="AN2162" s="589"/>
      <c r="AO2162" s="589"/>
      <c r="AP2162" s="589"/>
      <c r="AQ2162" s="589"/>
      <c r="AR2162" s="589"/>
      <c r="AS2162" s="589"/>
    </row>
    <row r="2163" spans="1:45" ht="15">
      <c r="A2163" s="590" t="s">
        <v>187</v>
      </c>
      <c r="B2163" s="591" t="s">
        <v>651</v>
      </c>
      <c r="C2163" s="591" t="s">
        <v>782</v>
      </c>
      <c r="D2163" s="592">
        <v>2019</v>
      </c>
      <c r="E2163" s="591" t="s">
        <v>775</v>
      </c>
      <c r="F2163" s="592">
        <v>253</v>
      </c>
      <c r="G2163" s="592">
        <v>0</v>
      </c>
      <c r="H2163" s="592">
        <v>0</v>
      </c>
      <c r="I2163" s="592">
        <v>0</v>
      </c>
      <c r="J2163" s="592">
        <v>138</v>
      </c>
      <c r="K2163" s="592">
        <v>0</v>
      </c>
      <c r="L2163" s="592">
        <v>0</v>
      </c>
      <c r="M2163" s="592">
        <v>0</v>
      </c>
      <c r="N2163" s="593">
        <v>151</v>
      </c>
      <c r="O2163" s="593">
        <v>0</v>
      </c>
      <c r="P2163" s="593">
        <v>391</v>
      </c>
      <c r="Q2163" s="593">
        <v>36</v>
      </c>
      <c r="R2163" s="593">
        <v>933</v>
      </c>
      <c r="S2163" s="593">
        <v>36</v>
      </c>
      <c r="T2163" s="593">
        <v>2019</v>
      </c>
      <c r="U2163" s="593">
        <v>2015</v>
      </c>
      <c r="V2163" s="589"/>
      <c r="W2163" s="589"/>
      <c r="X2163" s="589"/>
      <c r="Y2163" s="589"/>
      <c r="Z2163" s="589"/>
      <c r="AA2163" s="589"/>
      <c r="AB2163" s="589"/>
      <c r="AC2163" s="589"/>
      <c r="AD2163" s="589"/>
      <c r="AE2163" s="589"/>
      <c r="AF2163" s="589"/>
      <c r="AG2163" s="589"/>
      <c r="AH2163" s="589"/>
      <c r="AI2163" s="589"/>
      <c r="AJ2163" s="589"/>
      <c r="AK2163" s="589"/>
      <c r="AL2163" s="589"/>
      <c r="AM2163" s="589"/>
      <c r="AN2163" s="589"/>
      <c r="AO2163" s="589"/>
      <c r="AP2163" s="589"/>
      <c r="AQ2163" s="589"/>
      <c r="AR2163" s="589"/>
      <c r="AS2163" s="589"/>
    </row>
    <row r="2164" spans="1:45" ht="15">
      <c r="A2164" s="587" t="s">
        <v>173</v>
      </c>
      <c r="B2164" s="587" t="s">
        <v>532</v>
      </c>
      <c r="C2164" s="587" t="s">
        <v>813</v>
      </c>
      <c r="D2164" s="588">
        <v>2019</v>
      </c>
      <c r="E2164" s="587" t="s">
        <v>775</v>
      </c>
      <c r="F2164" s="588">
        <v>21</v>
      </c>
      <c r="G2164" s="588">
        <v>0</v>
      </c>
      <c r="H2164" s="588">
        <v>0</v>
      </c>
      <c r="I2164" s="588">
        <v>0</v>
      </c>
      <c r="J2164" s="588">
        <v>14</v>
      </c>
      <c r="K2164" s="588">
        <v>0</v>
      </c>
      <c r="L2164" s="588">
        <v>0</v>
      </c>
      <c r="M2164" s="588">
        <v>0</v>
      </c>
      <c r="N2164" s="588">
        <v>16</v>
      </c>
      <c r="O2164" s="588">
        <v>0</v>
      </c>
      <c r="P2164" s="588">
        <v>32</v>
      </c>
      <c r="Q2164" s="588">
        <v>0</v>
      </c>
      <c r="R2164" s="588">
        <v>83</v>
      </c>
      <c r="S2164" s="588">
        <v>0</v>
      </c>
      <c r="T2164" s="588">
        <v>2019</v>
      </c>
      <c r="U2164" s="588">
        <v>2014</v>
      </c>
      <c r="V2164" s="589"/>
      <c r="W2164" s="589"/>
      <c r="X2164" s="589"/>
      <c r="Y2164" s="589"/>
      <c r="Z2164" s="589"/>
      <c r="AA2164" s="589"/>
      <c r="AB2164" s="589"/>
      <c r="AC2164" s="589"/>
      <c r="AD2164" s="589"/>
      <c r="AE2164" s="589"/>
      <c r="AF2164" s="589"/>
      <c r="AG2164" s="589"/>
      <c r="AH2164" s="589"/>
      <c r="AI2164" s="589"/>
      <c r="AJ2164" s="589"/>
      <c r="AK2164" s="589"/>
      <c r="AL2164" s="589"/>
      <c r="AM2164" s="589"/>
      <c r="AN2164" s="589"/>
      <c r="AO2164" s="589"/>
      <c r="AP2164" s="589"/>
      <c r="AQ2164" s="589"/>
      <c r="AR2164" s="589"/>
      <c r="AS2164" s="589"/>
    </row>
    <row r="2165" spans="1:45" ht="15">
      <c r="A2165" s="590" t="s">
        <v>188</v>
      </c>
      <c r="B2165" s="591" t="s">
        <v>666</v>
      </c>
      <c r="C2165" s="591" t="s">
        <v>811</v>
      </c>
      <c r="D2165" s="592">
        <v>2019</v>
      </c>
      <c r="E2165" s="591" t="s">
        <v>775</v>
      </c>
      <c r="F2165" s="592">
        <v>34</v>
      </c>
      <c r="G2165" s="592">
        <v>0</v>
      </c>
      <c r="H2165" s="592">
        <v>0</v>
      </c>
      <c r="I2165" s="592">
        <v>0</v>
      </c>
      <c r="J2165" s="592">
        <v>23</v>
      </c>
      <c r="K2165" s="592">
        <v>0</v>
      </c>
      <c r="L2165" s="592">
        <v>0</v>
      </c>
      <c r="M2165" s="592">
        <v>0</v>
      </c>
      <c r="N2165" s="593">
        <v>26</v>
      </c>
      <c r="O2165" s="593">
        <v>0</v>
      </c>
      <c r="P2165" s="593">
        <v>60</v>
      </c>
      <c r="Q2165" s="593">
        <v>7</v>
      </c>
      <c r="R2165" s="593">
        <v>143</v>
      </c>
      <c r="S2165" s="593">
        <v>7</v>
      </c>
      <c r="T2165" s="593">
        <v>2019</v>
      </c>
      <c r="U2165" s="593">
        <v>2016</v>
      </c>
      <c r="V2165" s="589"/>
      <c r="W2165" s="589"/>
      <c r="X2165" s="589"/>
      <c r="Y2165" s="589"/>
      <c r="Z2165" s="589"/>
      <c r="AA2165" s="589"/>
      <c r="AB2165" s="589"/>
      <c r="AC2165" s="589"/>
      <c r="AD2165" s="589"/>
      <c r="AE2165" s="589"/>
      <c r="AF2165" s="589"/>
      <c r="AG2165" s="589"/>
      <c r="AH2165" s="589"/>
      <c r="AI2165" s="589"/>
      <c r="AJ2165" s="589"/>
      <c r="AK2165" s="589"/>
      <c r="AL2165" s="589"/>
      <c r="AM2165" s="589"/>
      <c r="AN2165" s="589"/>
      <c r="AO2165" s="589"/>
      <c r="AP2165" s="589"/>
      <c r="AQ2165" s="589"/>
      <c r="AR2165" s="589"/>
      <c r="AS2165" s="589"/>
    </row>
    <row r="2166" spans="1:45" ht="15">
      <c r="A2166" s="587" t="s">
        <v>179</v>
      </c>
      <c r="B2166" s="587" t="s">
        <v>590</v>
      </c>
      <c r="C2166" s="587" t="s">
        <v>856</v>
      </c>
      <c r="D2166" s="588">
        <v>2019</v>
      </c>
      <c r="E2166" s="587" t="s">
        <v>775</v>
      </c>
      <c r="F2166" s="588">
        <v>912</v>
      </c>
      <c r="G2166" s="588">
        <v>2</v>
      </c>
      <c r="H2166" s="588">
        <v>0</v>
      </c>
      <c r="I2166" s="588">
        <v>2</v>
      </c>
      <c r="J2166" s="588">
        <v>693</v>
      </c>
      <c r="K2166" s="588">
        <v>49</v>
      </c>
      <c r="L2166" s="588">
        <v>47</v>
      </c>
      <c r="M2166" s="588">
        <v>2</v>
      </c>
      <c r="N2166" s="588">
        <v>1062</v>
      </c>
      <c r="O2166" s="588">
        <v>59</v>
      </c>
      <c r="P2166" s="588">
        <v>2332</v>
      </c>
      <c r="Q2166" s="588">
        <v>212</v>
      </c>
      <c r="R2166" s="588">
        <v>4999</v>
      </c>
      <c r="S2166" s="588">
        <v>322</v>
      </c>
      <c r="T2166" s="588">
        <v>2019</v>
      </c>
      <c r="U2166" s="588">
        <v>2013</v>
      </c>
      <c r="V2166" s="589"/>
      <c r="W2166" s="589"/>
      <c r="X2166" s="589"/>
      <c r="Y2166" s="589"/>
      <c r="Z2166" s="589"/>
      <c r="AA2166" s="589"/>
      <c r="AB2166" s="589"/>
      <c r="AC2166" s="589"/>
      <c r="AD2166" s="589"/>
      <c r="AE2166" s="589"/>
      <c r="AF2166" s="589"/>
      <c r="AG2166" s="589"/>
      <c r="AH2166" s="589"/>
      <c r="AI2166" s="589"/>
      <c r="AJ2166" s="589"/>
      <c r="AK2166" s="589"/>
      <c r="AL2166" s="589"/>
      <c r="AM2166" s="589"/>
      <c r="AN2166" s="589"/>
      <c r="AO2166" s="589"/>
      <c r="AP2166" s="589"/>
      <c r="AQ2166" s="589"/>
      <c r="AR2166" s="589"/>
      <c r="AS2166" s="589"/>
    </row>
    <row r="2167" spans="1:45" ht="15">
      <c r="A2167" s="590" t="s">
        <v>185</v>
      </c>
      <c r="B2167" s="591" t="s">
        <v>644</v>
      </c>
      <c r="C2167" s="591" t="s">
        <v>872</v>
      </c>
      <c r="D2167" s="592">
        <v>2019</v>
      </c>
      <c r="E2167" s="591" t="s">
        <v>775</v>
      </c>
      <c r="F2167" s="592">
        <v>39</v>
      </c>
      <c r="G2167" s="592">
        <v>0</v>
      </c>
      <c r="H2167" s="592">
        <v>0</v>
      </c>
      <c r="I2167" s="592">
        <v>0</v>
      </c>
      <c r="J2167" s="592">
        <v>26</v>
      </c>
      <c r="K2167" s="592">
        <v>0</v>
      </c>
      <c r="L2167" s="592">
        <v>0</v>
      </c>
      <c r="M2167" s="592">
        <v>0</v>
      </c>
      <c r="N2167" s="593">
        <v>34</v>
      </c>
      <c r="O2167" s="593">
        <v>0</v>
      </c>
      <c r="P2167" s="593">
        <v>64</v>
      </c>
      <c r="Q2167" s="593">
        <v>25</v>
      </c>
      <c r="R2167" s="593">
        <v>163</v>
      </c>
      <c r="S2167" s="593">
        <v>25</v>
      </c>
      <c r="T2167" s="593">
        <v>2019</v>
      </c>
      <c r="U2167" s="593">
        <v>2015</v>
      </c>
      <c r="V2167" s="589"/>
      <c r="W2167" s="589"/>
      <c r="X2167" s="589"/>
      <c r="Y2167" s="589"/>
      <c r="Z2167" s="589"/>
      <c r="AA2167" s="589"/>
      <c r="AB2167" s="589"/>
      <c r="AC2167" s="589"/>
      <c r="AD2167" s="589"/>
      <c r="AE2167" s="589"/>
      <c r="AF2167" s="589"/>
      <c r="AG2167" s="589"/>
      <c r="AH2167" s="589"/>
      <c r="AI2167" s="589"/>
      <c r="AJ2167" s="589"/>
      <c r="AK2167" s="589"/>
      <c r="AL2167" s="589"/>
      <c r="AM2167" s="589"/>
      <c r="AN2167" s="589"/>
      <c r="AO2167" s="589"/>
      <c r="AP2167" s="589"/>
      <c r="AQ2167" s="589"/>
      <c r="AR2167" s="589"/>
      <c r="AS2167" s="589"/>
    </row>
    <row r="2168" spans="1:45" ht="15">
      <c r="A2168" s="587" t="s">
        <v>173</v>
      </c>
      <c r="B2168" s="587" t="s">
        <v>533</v>
      </c>
      <c r="C2168" s="587" t="s">
        <v>813</v>
      </c>
      <c r="D2168" s="588">
        <v>2019</v>
      </c>
      <c r="E2168" s="587" t="s">
        <v>775</v>
      </c>
      <c r="F2168" s="588">
        <v>141</v>
      </c>
      <c r="G2168" s="588">
        <v>0</v>
      </c>
      <c r="H2168" s="588">
        <v>0</v>
      </c>
      <c r="I2168" s="588">
        <v>0</v>
      </c>
      <c r="J2168" s="588">
        <v>95</v>
      </c>
      <c r="K2168" s="588">
        <v>0</v>
      </c>
      <c r="L2168" s="588">
        <v>0</v>
      </c>
      <c r="M2168" s="588">
        <v>0</v>
      </c>
      <c r="N2168" s="588">
        <v>110</v>
      </c>
      <c r="O2168" s="588">
        <v>0</v>
      </c>
      <c r="P2168" s="588">
        <v>254</v>
      </c>
      <c r="Q2168" s="588">
        <v>144</v>
      </c>
      <c r="R2168" s="588">
        <v>600</v>
      </c>
      <c r="S2168" s="588">
        <v>144</v>
      </c>
      <c r="T2168" s="588">
        <v>2019</v>
      </c>
      <c r="U2168" s="588">
        <v>2014</v>
      </c>
      <c r="V2168" s="589"/>
      <c r="W2168" s="589"/>
      <c r="X2168" s="589"/>
      <c r="Y2168" s="589"/>
      <c r="Z2168" s="589"/>
      <c r="AA2168" s="589"/>
      <c r="AB2168" s="589"/>
      <c r="AC2168" s="589"/>
      <c r="AD2168" s="589"/>
      <c r="AE2168" s="589"/>
      <c r="AF2168" s="589"/>
      <c r="AG2168" s="589"/>
      <c r="AH2168" s="589"/>
      <c r="AI2168" s="589"/>
      <c r="AJ2168" s="589"/>
      <c r="AK2168" s="589"/>
      <c r="AL2168" s="589"/>
      <c r="AM2168" s="589"/>
      <c r="AN2168" s="589"/>
      <c r="AO2168" s="589"/>
      <c r="AP2168" s="589"/>
      <c r="AQ2168" s="589"/>
      <c r="AR2168" s="589"/>
      <c r="AS2168" s="589"/>
    </row>
    <row r="2169" spans="1:45" ht="15">
      <c r="A2169" s="590" t="s">
        <v>195</v>
      </c>
      <c r="B2169" s="591" t="s">
        <v>703</v>
      </c>
      <c r="C2169" s="591" t="s">
        <v>811</v>
      </c>
      <c r="D2169" s="592">
        <v>2019</v>
      </c>
      <c r="E2169" s="591" t="s">
        <v>775</v>
      </c>
      <c r="F2169" s="592">
        <v>622</v>
      </c>
      <c r="G2169" s="592">
        <v>0</v>
      </c>
      <c r="H2169" s="592">
        <v>0</v>
      </c>
      <c r="I2169" s="592">
        <v>0</v>
      </c>
      <c r="J2169" s="592">
        <v>399</v>
      </c>
      <c r="K2169" s="592">
        <v>0</v>
      </c>
      <c r="L2169" s="592">
        <v>0</v>
      </c>
      <c r="M2169" s="592">
        <v>0</v>
      </c>
      <c r="N2169" s="593">
        <v>446</v>
      </c>
      <c r="O2169" s="593">
        <v>6</v>
      </c>
      <c r="P2169" s="593">
        <v>1104</v>
      </c>
      <c r="Q2169" s="593">
        <v>58</v>
      </c>
      <c r="R2169" s="593">
        <v>2571</v>
      </c>
      <c r="S2169" s="593">
        <v>64</v>
      </c>
      <c r="T2169" s="593">
        <v>2019</v>
      </c>
      <c r="U2169" s="593">
        <v>2016</v>
      </c>
      <c r="V2169" s="589"/>
      <c r="W2169" s="589"/>
      <c r="X2169" s="589"/>
      <c r="Y2169" s="589"/>
      <c r="Z2169" s="589"/>
      <c r="AA2169" s="589"/>
      <c r="AB2169" s="589"/>
      <c r="AC2169" s="589"/>
      <c r="AD2169" s="589"/>
      <c r="AE2169" s="589"/>
      <c r="AF2169" s="589"/>
      <c r="AG2169" s="589"/>
      <c r="AH2169" s="589"/>
      <c r="AI2169" s="589"/>
      <c r="AJ2169" s="589"/>
      <c r="AK2169" s="589"/>
      <c r="AL2169" s="589"/>
      <c r="AM2169" s="589"/>
      <c r="AN2169" s="589"/>
      <c r="AO2169" s="589"/>
      <c r="AP2169" s="589"/>
      <c r="AQ2169" s="589"/>
      <c r="AR2169" s="589"/>
      <c r="AS2169" s="589"/>
    </row>
    <row r="2170" spans="1:45" ht="15">
      <c r="A2170" s="587" t="s">
        <v>153</v>
      </c>
      <c r="B2170" s="587" t="s">
        <v>361</v>
      </c>
      <c r="C2170" s="587" t="s">
        <v>813</v>
      </c>
      <c r="D2170" s="588">
        <v>2019</v>
      </c>
      <c r="E2170" s="587" t="s">
        <v>775</v>
      </c>
      <c r="F2170" s="588">
        <v>23</v>
      </c>
      <c r="G2170" s="588">
        <v>2</v>
      </c>
      <c r="H2170" s="588">
        <v>0</v>
      </c>
      <c r="I2170" s="588">
        <v>2</v>
      </c>
      <c r="J2170" s="588">
        <v>14</v>
      </c>
      <c r="K2170" s="588">
        <v>0</v>
      </c>
      <c r="L2170" s="588">
        <v>0</v>
      </c>
      <c r="M2170" s="588">
        <v>0</v>
      </c>
      <c r="N2170" s="588">
        <v>14</v>
      </c>
      <c r="O2170" s="588">
        <v>1</v>
      </c>
      <c r="P2170" s="588">
        <v>35</v>
      </c>
      <c r="Q2170" s="588">
        <v>0</v>
      </c>
      <c r="R2170" s="588">
        <v>86</v>
      </c>
      <c r="S2170" s="588">
        <v>3</v>
      </c>
      <c r="T2170" s="588">
        <v>2019</v>
      </c>
      <c r="U2170" s="588">
        <v>2014</v>
      </c>
      <c r="V2170" s="589"/>
      <c r="W2170" s="589"/>
      <c r="X2170" s="589"/>
      <c r="Y2170" s="589"/>
      <c r="Z2170" s="589"/>
      <c r="AA2170" s="589"/>
      <c r="AB2170" s="589"/>
      <c r="AC2170" s="589"/>
      <c r="AD2170" s="589"/>
      <c r="AE2170" s="589"/>
      <c r="AF2170" s="589"/>
      <c r="AG2170" s="589"/>
      <c r="AH2170" s="589"/>
      <c r="AI2170" s="589"/>
      <c r="AJ2170" s="589"/>
      <c r="AK2170" s="589"/>
      <c r="AL2170" s="589"/>
      <c r="AM2170" s="589"/>
      <c r="AN2170" s="589"/>
      <c r="AO2170" s="589"/>
      <c r="AP2170" s="589"/>
      <c r="AQ2170" s="589"/>
      <c r="AR2170" s="589"/>
      <c r="AS2170" s="589"/>
    </row>
    <row r="2171" spans="1:45" ht="15">
      <c r="A2171" s="590" t="s">
        <v>131</v>
      </c>
      <c r="B2171" s="591" t="s">
        <v>257</v>
      </c>
      <c r="C2171" s="591" t="s">
        <v>787</v>
      </c>
      <c r="D2171" s="592">
        <v>2019</v>
      </c>
      <c r="E2171" s="591" t="s">
        <v>775</v>
      </c>
      <c r="F2171" s="592">
        <v>974</v>
      </c>
      <c r="G2171" s="592">
        <v>0</v>
      </c>
      <c r="H2171" s="592">
        <v>0</v>
      </c>
      <c r="I2171" s="592">
        <v>0</v>
      </c>
      <c r="J2171" s="592">
        <v>643</v>
      </c>
      <c r="K2171" s="592">
        <v>0</v>
      </c>
      <c r="L2171" s="592">
        <v>0</v>
      </c>
      <c r="M2171" s="592">
        <v>0</v>
      </c>
      <c r="N2171" s="593">
        <v>708</v>
      </c>
      <c r="O2171" s="593">
        <v>0</v>
      </c>
      <c r="P2171" s="593">
        <v>1638</v>
      </c>
      <c r="Q2171" s="593">
        <v>714</v>
      </c>
      <c r="R2171" s="593">
        <v>3963</v>
      </c>
      <c r="S2171" s="593">
        <v>714</v>
      </c>
      <c r="T2171" s="593">
        <v>2019</v>
      </c>
      <c r="U2171" s="593">
        <v>2014</v>
      </c>
      <c r="V2171" s="589"/>
      <c r="W2171" s="589"/>
      <c r="X2171" s="589"/>
      <c r="Y2171" s="589"/>
      <c r="Z2171" s="589"/>
      <c r="AA2171" s="589"/>
      <c r="AB2171" s="589"/>
      <c r="AC2171" s="589"/>
      <c r="AD2171" s="589"/>
      <c r="AE2171" s="589"/>
      <c r="AF2171" s="589"/>
      <c r="AG2171" s="589"/>
      <c r="AH2171" s="589"/>
      <c r="AI2171" s="589"/>
      <c r="AJ2171" s="589"/>
      <c r="AK2171" s="589"/>
      <c r="AL2171" s="589"/>
      <c r="AM2171" s="589"/>
      <c r="AN2171" s="589"/>
      <c r="AO2171" s="589"/>
      <c r="AP2171" s="589"/>
      <c r="AQ2171" s="589"/>
      <c r="AR2171" s="589"/>
      <c r="AS2171" s="589"/>
    </row>
    <row r="2172" spans="1:45" ht="15">
      <c r="A2172" s="587" t="s">
        <v>178</v>
      </c>
      <c r="B2172" s="587" t="s">
        <v>570</v>
      </c>
      <c r="C2172" s="587" t="s">
        <v>813</v>
      </c>
      <c r="D2172" s="588">
        <v>2019</v>
      </c>
      <c r="E2172" s="587" t="s">
        <v>775</v>
      </c>
      <c r="F2172" s="588">
        <v>707</v>
      </c>
      <c r="G2172" s="588">
        <v>0</v>
      </c>
      <c r="H2172" s="588">
        <v>0</v>
      </c>
      <c r="I2172" s="588">
        <v>0</v>
      </c>
      <c r="J2172" s="588">
        <v>478</v>
      </c>
      <c r="K2172" s="588">
        <v>0</v>
      </c>
      <c r="L2172" s="588">
        <v>0</v>
      </c>
      <c r="M2172" s="588">
        <v>0</v>
      </c>
      <c r="N2172" s="588">
        <v>533</v>
      </c>
      <c r="O2172" s="588">
        <v>0</v>
      </c>
      <c r="P2172" s="588">
        <v>1176</v>
      </c>
      <c r="Q2172" s="588">
        <v>550</v>
      </c>
      <c r="R2172" s="588">
        <v>2894</v>
      </c>
      <c r="S2172" s="588">
        <v>550</v>
      </c>
      <c r="T2172" s="588">
        <v>2019</v>
      </c>
      <c r="U2172" s="588">
        <v>2014</v>
      </c>
      <c r="V2172" s="589"/>
      <c r="W2172" s="589"/>
      <c r="X2172" s="589"/>
      <c r="Y2172" s="589"/>
      <c r="Z2172" s="589"/>
      <c r="AA2172" s="589"/>
      <c r="AB2172" s="589"/>
      <c r="AC2172" s="589"/>
      <c r="AD2172" s="589"/>
      <c r="AE2172" s="589"/>
      <c r="AF2172" s="589"/>
      <c r="AG2172" s="589"/>
      <c r="AH2172" s="589"/>
      <c r="AI2172" s="589"/>
      <c r="AJ2172" s="589"/>
      <c r="AK2172" s="589"/>
      <c r="AL2172" s="589"/>
      <c r="AM2172" s="589"/>
      <c r="AN2172" s="589"/>
      <c r="AO2172" s="589"/>
      <c r="AP2172" s="589"/>
      <c r="AQ2172" s="589"/>
      <c r="AR2172" s="589"/>
      <c r="AS2172" s="589"/>
    </row>
    <row r="2173" spans="1:45" ht="15">
      <c r="A2173" s="590" t="s">
        <v>178</v>
      </c>
      <c r="B2173" s="591" t="s">
        <v>571</v>
      </c>
      <c r="C2173" s="591" t="s">
        <v>813</v>
      </c>
      <c r="D2173" s="592">
        <v>2019</v>
      </c>
      <c r="E2173" s="591" t="s">
        <v>775</v>
      </c>
      <c r="F2173" s="592">
        <v>217</v>
      </c>
      <c r="G2173" s="592">
        <v>0</v>
      </c>
      <c r="H2173" s="592">
        <v>0</v>
      </c>
      <c r="I2173" s="592">
        <v>0</v>
      </c>
      <c r="J2173" s="592">
        <v>148</v>
      </c>
      <c r="K2173" s="592">
        <v>0</v>
      </c>
      <c r="L2173" s="592">
        <v>0</v>
      </c>
      <c r="M2173" s="592">
        <v>0</v>
      </c>
      <c r="N2173" s="593">
        <v>164</v>
      </c>
      <c r="O2173" s="593">
        <v>0</v>
      </c>
      <c r="P2173" s="593">
        <v>333</v>
      </c>
      <c r="Q2173" s="593">
        <v>60</v>
      </c>
      <c r="R2173" s="593">
        <v>862</v>
      </c>
      <c r="S2173" s="593">
        <v>60</v>
      </c>
      <c r="T2173" s="593">
        <v>2019</v>
      </c>
      <c r="U2173" s="593">
        <v>2014</v>
      </c>
      <c r="V2173" s="589"/>
      <c r="W2173" s="589"/>
      <c r="X2173" s="589"/>
      <c r="Y2173" s="589"/>
      <c r="Z2173" s="589"/>
      <c r="AA2173" s="589"/>
      <c r="AB2173" s="589"/>
      <c r="AC2173" s="589"/>
      <c r="AD2173" s="589"/>
      <c r="AE2173" s="589"/>
      <c r="AF2173" s="589"/>
      <c r="AG2173" s="589"/>
      <c r="AH2173" s="589"/>
      <c r="AI2173" s="589"/>
      <c r="AJ2173" s="589"/>
      <c r="AK2173" s="589"/>
      <c r="AL2173" s="589"/>
      <c r="AM2173" s="589"/>
      <c r="AN2173" s="589"/>
      <c r="AO2173" s="589"/>
      <c r="AP2173" s="589"/>
      <c r="AQ2173" s="589"/>
      <c r="AR2173" s="589"/>
      <c r="AS2173" s="589"/>
    </row>
    <row r="2174" spans="1:45" ht="15">
      <c r="A2174" s="587" t="s">
        <v>156</v>
      </c>
      <c r="B2174" s="587" t="s">
        <v>434</v>
      </c>
      <c r="C2174" s="587" t="s">
        <v>820</v>
      </c>
      <c r="D2174" s="588">
        <v>2019</v>
      </c>
      <c r="E2174" s="587" t="s">
        <v>775</v>
      </c>
      <c r="F2174" s="588">
        <v>0</v>
      </c>
      <c r="G2174" s="588">
        <v>0</v>
      </c>
      <c r="H2174" s="588">
        <v>0</v>
      </c>
      <c r="I2174" s="588">
        <v>0</v>
      </c>
      <c r="J2174" s="588">
        <v>0</v>
      </c>
      <c r="K2174" s="588">
        <v>0</v>
      </c>
      <c r="L2174" s="588">
        <v>0</v>
      </c>
      <c r="M2174" s="588">
        <v>0</v>
      </c>
      <c r="N2174" s="588">
        <v>0</v>
      </c>
      <c r="O2174" s="588">
        <v>4</v>
      </c>
      <c r="P2174" s="588">
        <v>0</v>
      </c>
      <c r="Q2174" s="588">
        <v>5</v>
      </c>
      <c r="R2174" s="588">
        <v>0</v>
      </c>
      <c r="S2174" s="588">
        <v>9</v>
      </c>
      <c r="T2174" s="588">
        <v>2019</v>
      </c>
      <c r="U2174" s="588">
        <v>2016</v>
      </c>
      <c r="V2174" s="589"/>
      <c r="W2174" s="589"/>
      <c r="X2174" s="589"/>
      <c r="Y2174" s="589"/>
      <c r="Z2174" s="589"/>
      <c r="AA2174" s="589"/>
      <c r="AB2174" s="589"/>
      <c r="AC2174" s="589"/>
      <c r="AD2174" s="589"/>
      <c r="AE2174" s="589"/>
      <c r="AF2174" s="589"/>
      <c r="AG2174" s="589"/>
      <c r="AH2174" s="589"/>
      <c r="AI2174" s="589"/>
      <c r="AJ2174" s="589"/>
      <c r="AK2174" s="589"/>
      <c r="AL2174" s="589"/>
      <c r="AM2174" s="589"/>
      <c r="AN2174" s="589"/>
      <c r="AO2174" s="589"/>
      <c r="AP2174" s="589"/>
      <c r="AQ2174" s="589"/>
      <c r="AR2174" s="589"/>
      <c r="AS2174" s="589"/>
    </row>
    <row r="2175" spans="1:45" ht="15">
      <c r="A2175" s="590" t="s">
        <v>179</v>
      </c>
      <c r="B2175" s="591" t="s">
        <v>591</v>
      </c>
      <c r="C2175" s="591" t="s">
        <v>856</v>
      </c>
      <c r="D2175" s="592">
        <v>2019</v>
      </c>
      <c r="E2175" s="591" t="s">
        <v>775</v>
      </c>
      <c r="F2175" s="592">
        <v>3209</v>
      </c>
      <c r="G2175" s="592">
        <v>0</v>
      </c>
      <c r="H2175" s="592">
        <v>0</v>
      </c>
      <c r="I2175" s="592">
        <v>0</v>
      </c>
      <c r="J2175" s="592">
        <v>2439</v>
      </c>
      <c r="K2175" s="592">
        <v>0</v>
      </c>
      <c r="L2175" s="592">
        <v>0</v>
      </c>
      <c r="M2175" s="592">
        <v>0</v>
      </c>
      <c r="N2175" s="593">
        <v>2257</v>
      </c>
      <c r="O2175" s="593">
        <v>0</v>
      </c>
      <c r="P2175" s="593">
        <v>4956</v>
      </c>
      <c r="Q2175" s="593">
        <v>840</v>
      </c>
      <c r="R2175" s="593">
        <v>12861</v>
      </c>
      <c r="S2175" s="593">
        <v>840</v>
      </c>
      <c r="T2175" s="593">
        <v>2019</v>
      </c>
      <c r="U2175" s="593">
        <v>2013</v>
      </c>
      <c r="V2175" s="589"/>
      <c r="W2175" s="589"/>
      <c r="X2175" s="589"/>
      <c r="Y2175" s="589"/>
      <c r="Z2175" s="589"/>
      <c r="AA2175" s="589"/>
      <c r="AB2175" s="589"/>
      <c r="AC2175" s="589"/>
      <c r="AD2175" s="589"/>
      <c r="AE2175" s="589"/>
      <c r="AF2175" s="589"/>
      <c r="AG2175" s="589"/>
      <c r="AH2175" s="589"/>
      <c r="AI2175" s="589"/>
      <c r="AJ2175" s="589"/>
      <c r="AK2175" s="589"/>
      <c r="AL2175" s="589"/>
      <c r="AM2175" s="589"/>
      <c r="AN2175" s="589"/>
      <c r="AO2175" s="589"/>
      <c r="AP2175" s="589"/>
      <c r="AQ2175" s="589"/>
      <c r="AR2175" s="589"/>
      <c r="AS2175" s="589"/>
    </row>
    <row r="2176" spans="1:45" ht="15">
      <c r="A2176" s="587" t="s">
        <v>174</v>
      </c>
      <c r="B2176" s="587" t="s">
        <v>556</v>
      </c>
      <c r="C2176" s="587" t="s">
        <v>801</v>
      </c>
      <c r="D2176" s="588">
        <v>2019</v>
      </c>
      <c r="E2176" s="587" t="s">
        <v>775</v>
      </c>
      <c r="F2176" s="588">
        <v>146</v>
      </c>
      <c r="G2176" s="588">
        <v>6</v>
      </c>
      <c r="H2176" s="588">
        <v>0</v>
      </c>
      <c r="I2176" s="588">
        <v>6</v>
      </c>
      <c r="J2176" s="588">
        <v>102</v>
      </c>
      <c r="K2176" s="588">
        <v>0</v>
      </c>
      <c r="L2176" s="588">
        <v>0</v>
      </c>
      <c r="M2176" s="588">
        <v>0</v>
      </c>
      <c r="N2176" s="588">
        <v>130</v>
      </c>
      <c r="O2176" s="588">
        <v>1</v>
      </c>
      <c r="P2176" s="588">
        <v>318</v>
      </c>
      <c r="Q2176" s="588">
        <v>12</v>
      </c>
      <c r="R2176" s="588">
        <v>696</v>
      </c>
      <c r="S2176" s="588">
        <v>19</v>
      </c>
      <c r="T2176" s="588">
        <v>2019</v>
      </c>
      <c r="U2176" s="588">
        <v>2014</v>
      </c>
      <c r="V2176" s="589"/>
      <c r="W2176" s="589"/>
      <c r="X2176" s="589"/>
      <c r="Y2176" s="589"/>
      <c r="Z2176" s="589"/>
      <c r="AA2176" s="589"/>
      <c r="AB2176" s="589"/>
      <c r="AC2176" s="589"/>
      <c r="AD2176" s="589"/>
      <c r="AE2176" s="589"/>
      <c r="AF2176" s="589"/>
      <c r="AG2176" s="589"/>
      <c r="AH2176" s="589"/>
      <c r="AI2176" s="589"/>
      <c r="AJ2176" s="589"/>
      <c r="AK2176" s="589"/>
      <c r="AL2176" s="589"/>
      <c r="AM2176" s="589"/>
      <c r="AN2176" s="589"/>
      <c r="AO2176" s="589"/>
      <c r="AP2176" s="589"/>
      <c r="AQ2176" s="589"/>
      <c r="AR2176" s="589"/>
      <c r="AS2176" s="589"/>
    </row>
    <row r="2177" spans="1:45" ht="15">
      <c r="A2177" s="590" t="s">
        <v>153</v>
      </c>
      <c r="B2177" s="591" t="s">
        <v>362</v>
      </c>
      <c r="C2177" s="591" t="s">
        <v>813</v>
      </c>
      <c r="D2177" s="592">
        <v>2019</v>
      </c>
      <c r="E2177" s="591" t="s">
        <v>775</v>
      </c>
      <c r="F2177" s="592">
        <v>98</v>
      </c>
      <c r="G2177" s="592">
        <v>3</v>
      </c>
      <c r="H2177" s="592">
        <v>0</v>
      </c>
      <c r="I2177" s="592">
        <v>3</v>
      </c>
      <c r="J2177" s="592">
        <v>59</v>
      </c>
      <c r="K2177" s="592">
        <v>2</v>
      </c>
      <c r="L2177" s="592">
        <v>0</v>
      </c>
      <c r="M2177" s="592">
        <v>2</v>
      </c>
      <c r="N2177" s="593">
        <v>64</v>
      </c>
      <c r="O2177" s="593">
        <v>18</v>
      </c>
      <c r="P2177" s="593">
        <v>152</v>
      </c>
      <c r="Q2177" s="593">
        <v>43</v>
      </c>
      <c r="R2177" s="593">
        <v>373</v>
      </c>
      <c r="S2177" s="593">
        <v>66</v>
      </c>
      <c r="T2177" s="593">
        <v>2019</v>
      </c>
      <c r="U2177" s="593">
        <v>2014</v>
      </c>
      <c r="V2177" s="589"/>
      <c r="W2177" s="589"/>
      <c r="X2177" s="589"/>
      <c r="Y2177" s="589"/>
      <c r="Z2177" s="589"/>
      <c r="AA2177" s="589"/>
      <c r="AB2177" s="589"/>
      <c r="AC2177" s="589"/>
      <c r="AD2177" s="589"/>
      <c r="AE2177" s="589"/>
      <c r="AF2177" s="589"/>
      <c r="AG2177" s="589"/>
      <c r="AH2177" s="589"/>
      <c r="AI2177" s="589"/>
      <c r="AJ2177" s="589"/>
      <c r="AK2177" s="589"/>
      <c r="AL2177" s="589"/>
      <c r="AM2177" s="589"/>
      <c r="AN2177" s="589"/>
      <c r="AO2177" s="589"/>
      <c r="AP2177" s="589"/>
      <c r="AQ2177" s="589"/>
      <c r="AR2177" s="589"/>
      <c r="AS2177" s="589"/>
    </row>
    <row r="2178" spans="1:45" ht="15">
      <c r="A2178" s="587" t="s">
        <v>136</v>
      </c>
      <c r="B2178" s="587" t="s">
        <v>267</v>
      </c>
      <c r="C2178" s="587" t="s">
        <v>782</v>
      </c>
      <c r="D2178" s="588">
        <v>2019</v>
      </c>
      <c r="E2178" s="587" t="s">
        <v>775</v>
      </c>
      <c r="F2178" s="588">
        <v>51</v>
      </c>
      <c r="G2178" s="588">
        <v>0</v>
      </c>
      <c r="H2178" s="588">
        <v>0</v>
      </c>
      <c r="I2178" s="588">
        <v>0</v>
      </c>
      <c r="J2178" s="588">
        <v>25</v>
      </c>
      <c r="K2178" s="588">
        <v>0</v>
      </c>
      <c r="L2178" s="588">
        <v>0</v>
      </c>
      <c r="M2178" s="588">
        <v>0</v>
      </c>
      <c r="N2178" s="588">
        <v>31</v>
      </c>
      <c r="O2178" s="588">
        <v>0</v>
      </c>
      <c r="P2178" s="588">
        <v>34</v>
      </c>
      <c r="Q2178" s="588">
        <v>0</v>
      </c>
      <c r="R2178" s="588">
        <v>141</v>
      </c>
      <c r="S2178" s="588">
        <v>0</v>
      </c>
      <c r="T2178" s="588">
        <v>2019</v>
      </c>
      <c r="U2178" s="588">
        <v>2015</v>
      </c>
      <c r="V2178" s="589"/>
      <c r="W2178" s="589"/>
      <c r="X2178" s="589"/>
      <c r="Y2178" s="589"/>
      <c r="Z2178" s="589"/>
      <c r="AA2178" s="589"/>
      <c r="AB2178" s="589"/>
      <c r="AC2178" s="589"/>
      <c r="AD2178" s="589"/>
      <c r="AE2178" s="589"/>
      <c r="AF2178" s="589"/>
      <c r="AG2178" s="589"/>
      <c r="AH2178" s="589"/>
      <c r="AI2178" s="589"/>
      <c r="AJ2178" s="589"/>
      <c r="AK2178" s="589"/>
      <c r="AL2178" s="589"/>
      <c r="AM2178" s="589"/>
      <c r="AN2178" s="589"/>
      <c r="AO2178" s="589"/>
      <c r="AP2178" s="589"/>
      <c r="AQ2178" s="589"/>
      <c r="AR2178" s="589"/>
      <c r="AS2178" s="589"/>
    </row>
    <row r="2179" spans="1:45" ht="15">
      <c r="A2179" s="590" t="s">
        <v>151</v>
      </c>
      <c r="B2179" s="591" t="s">
        <v>341</v>
      </c>
      <c r="C2179" s="591" t="s">
        <v>972</v>
      </c>
      <c r="D2179" s="592">
        <v>2019</v>
      </c>
      <c r="E2179" s="591" t="s">
        <v>775</v>
      </c>
      <c r="F2179" s="592">
        <v>0</v>
      </c>
      <c r="G2179" s="592">
        <v>5</v>
      </c>
      <c r="H2179" s="592">
        <v>0</v>
      </c>
      <c r="I2179" s="592">
        <v>5</v>
      </c>
      <c r="J2179" s="592">
        <v>0</v>
      </c>
      <c r="K2179" s="592">
        <v>0</v>
      </c>
      <c r="L2179" s="592">
        <v>0</v>
      </c>
      <c r="M2179" s="592">
        <v>0</v>
      </c>
      <c r="N2179" s="593">
        <v>0</v>
      </c>
      <c r="O2179" s="593">
        <v>5</v>
      </c>
      <c r="P2179" s="593">
        <v>0</v>
      </c>
      <c r="Q2179" s="593">
        <v>5</v>
      </c>
      <c r="R2179" s="593">
        <v>0</v>
      </c>
      <c r="S2179" s="593">
        <v>15</v>
      </c>
      <c r="T2179" s="593">
        <v>2019</v>
      </c>
      <c r="U2179" s="593">
        <v>2014</v>
      </c>
      <c r="V2179" s="589"/>
      <c r="W2179" s="589"/>
      <c r="X2179" s="589"/>
      <c r="Y2179" s="589"/>
      <c r="Z2179" s="589"/>
      <c r="AA2179" s="589"/>
      <c r="AB2179" s="589"/>
      <c r="AC2179" s="589"/>
      <c r="AD2179" s="589"/>
      <c r="AE2179" s="589"/>
      <c r="AF2179" s="589"/>
      <c r="AG2179" s="589"/>
      <c r="AH2179" s="589"/>
      <c r="AI2179" s="589"/>
      <c r="AJ2179" s="589"/>
      <c r="AK2179" s="589"/>
      <c r="AL2179" s="589"/>
      <c r="AM2179" s="589"/>
      <c r="AN2179" s="589"/>
      <c r="AO2179" s="589"/>
      <c r="AP2179" s="589"/>
      <c r="AQ2179" s="589"/>
      <c r="AR2179" s="589"/>
      <c r="AS2179" s="589"/>
    </row>
    <row r="2180" spans="1:45" ht="15">
      <c r="A2180" s="587" t="s">
        <v>151</v>
      </c>
      <c r="B2180" s="587" t="s">
        <v>341</v>
      </c>
      <c r="C2180" s="587" t="s">
        <v>785</v>
      </c>
      <c r="D2180" s="588">
        <v>2019</v>
      </c>
      <c r="E2180" s="587" t="s">
        <v>775</v>
      </c>
      <c r="F2180" s="588">
        <v>108</v>
      </c>
      <c r="G2180" s="588">
        <v>5</v>
      </c>
      <c r="H2180" s="588">
        <v>0</v>
      </c>
      <c r="I2180" s="588">
        <v>5</v>
      </c>
      <c r="J2180" s="588">
        <v>67</v>
      </c>
      <c r="K2180" s="588">
        <v>0</v>
      </c>
      <c r="L2180" s="588">
        <v>0</v>
      </c>
      <c r="M2180" s="588">
        <v>0</v>
      </c>
      <c r="N2180" s="588">
        <v>87</v>
      </c>
      <c r="O2180" s="588">
        <v>5</v>
      </c>
      <c r="P2180" s="588">
        <v>205</v>
      </c>
      <c r="Q2180" s="588">
        <v>5</v>
      </c>
      <c r="R2180" s="588">
        <v>467</v>
      </c>
      <c r="S2180" s="588">
        <v>15</v>
      </c>
      <c r="T2180" s="588">
        <v>2019</v>
      </c>
      <c r="U2180" s="588">
        <v>2014</v>
      </c>
      <c r="V2180" s="589"/>
      <c r="W2180" s="589"/>
      <c r="X2180" s="589"/>
      <c r="Y2180" s="589"/>
      <c r="Z2180" s="589"/>
      <c r="AA2180" s="589"/>
      <c r="AB2180" s="589"/>
      <c r="AC2180" s="589"/>
      <c r="AD2180" s="589"/>
      <c r="AE2180" s="589"/>
      <c r="AF2180" s="589"/>
      <c r="AG2180" s="589"/>
      <c r="AH2180" s="589"/>
      <c r="AI2180" s="589"/>
      <c r="AJ2180" s="589"/>
      <c r="AK2180" s="589"/>
      <c r="AL2180" s="589"/>
      <c r="AM2180" s="589"/>
      <c r="AN2180" s="589"/>
      <c r="AO2180" s="589"/>
      <c r="AP2180" s="589"/>
      <c r="AQ2180" s="589"/>
      <c r="AR2180" s="589"/>
      <c r="AS2180" s="589"/>
    </row>
    <row r="2181" spans="1:45" ht="15">
      <c r="A2181" s="590" t="s">
        <v>193</v>
      </c>
      <c r="B2181" s="591" t="s">
        <v>694</v>
      </c>
      <c r="C2181" s="591" t="s">
        <v>782</v>
      </c>
      <c r="D2181" s="592">
        <v>2019</v>
      </c>
      <c r="E2181" s="591" t="s">
        <v>775</v>
      </c>
      <c r="F2181" s="592">
        <v>39</v>
      </c>
      <c r="G2181" s="592">
        <v>0</v>
      </c>
      <c r="H2181" s="592">
        <v>0</v>
      </c>
      <c r="I2181" s="592">
        <v>0</v>
      </c>
      <c r="J2181" s="592">
        <v>29</v>
      </c>
      <c r="K2181" s="592">
        <v>0</v>
      </c>
      <c r="L2181" s="592">
        <v>0</v>
      </c>
      <c r="M2181" s="592">
        <v>0</v>
      </c>
      <c r="N2181" s="593">
        <v>31</v>
      </c>
      <c r="O2181" s="593">
        <v>0</v>
      </c>
      <c r="P2181" s="593">
        <v>112</v>
      </c>
      <c r="Q2181" s="593">
        <v>28</v>
      </c>
      <c r="R2181" s="593">
        <v>211</v>
      </c>
      <c r="S2181" s="593">
        <v>28</v>
      </c>
      <c r="T2181" s="593">
        <v>2019</v>
      </c>
      <c r="U2181" s="593">
        <v>2015</v>
      </c>
      <c r="V2181" s="589"/>
      <c r="W2181" s="589"/>
      <c r="X2181" s="589"/>
      <c r="Y2181" s="589"/>
      <c r="Z2181" s="589"/>
      <c r="AA2181" s="589"/>
      <c r="AB2181" s="589"/>
      <c r="AC2181" s="589"/>
      <c r="AD2181" s="589"/>
      <c r="AE2181" s="589"/>
      <c r="AF2181" s="589"/>
      <c r="AG2181" s="589"/>
      <c r="AH2181" s="589"/>
      <c r="AI2181" s="589"/>
      <c r="AJ2181" s="589"/>
      <c r="AK2181" s="589"/>
      <c r="AL2181" s="589"/>
      <c r="AM2181" s="589"/>
      <c r="AN2181" s="589"/>
      <c r="AO2181" s="589"/>
      <c r="AP2181" s="589"/>
      <c r="AQ2181" s="589"/>
      <c r="AR2181" s="589"/>
      <c r="AS2181" s="589"/>
    </row>
    <row r="2182" spans="1:45" ht="15">
      <c r="A2182" s="587" t="s">
        <v>141</v>
      </c>
      <c r="B2182" s="587" t="s">
        <v>290</v>
      </c>
      <c r="C2182" s="587" t="s">
        <v>811</v>
      </c>
      <c r="D2182" s="588">
        <v>2019</v>
      </c>
      <c r="E2182" s="587" t="s">
        <v>775</v>
      </c>
      <c r="F2182" s="588">
        <v>2321</v>
      </c>
      <c r="G2182" s="588">
        <v>0</v>
      </c>
      <c r="H2182" s="588">
        <v>0</v>
      </c>
      <c r="I2182" s="588">
        <v>0</v>
      </c>
      <c r="J2182" s="588">
        <v>1145</v>
      </c>
      <c r="K2182" s="588">
        <v>60</v>
      </c>
      <c r="L2182" s="588">
        <v>60</v>
      </c>
      <c r="M2182" s="588">
        <v>0</v>
      </c>
      <c r="N2182" s="588">
        <v>1018</v>
      </c>
      <c r="O2182" s="588">
        <v>507</v>
      </c>
      <c r="P2182" s="588">
        <v>1844</v>
      </c>
      <c r="Q2182" s="588">
        <v>526</v>
      </c>
      <c r="R2182" s="588">
        <v>6328</v>
      </c>
      <c r="S2182" s="588">
        <v>1093</v>
      </c>
      <c r="T2182" s="588">
        <v>2019</v>
      </c>
      <c r="U2182" s="588">
        <v>2016</v>
      </c>
      <c r="V2182" s="589"/>
      <c r="W2182" s="589"/>
      <c r="X2182" s="589"/>
      <c r="Y2182" s="589"/>
      <c r="Z2182" s="589"/>
      <c r="AA2182" s="589"/>
      <c r="AB2182" s="589"/>
      <c r="AC2182" s="589"/>
      <c r="AD2182" s="589"/>
      <c r="AE2182" s="589"/>
      <c r="AF2182" s="589"/>
      <c r="AG2182" s="589"/>
      <c r="AH2182" s="589"/>
      <c r="AI2182" s="589"/>
      <c r="AJ2182" s="589"/>
      <c r="AK2182" s="589"/>
      <c r="AL2182" s="589"/>
      <c r="AM2182" s="589"/>
      <c r="AN2182" s="589"/>
      <c r="AO2182" s="589"/>
      <c r="AP2182" s="589"/>
      <c r="AQ2182" s="589"/>
      <c r="AR2182" s="589"/>
      <c r="AS2182" s="589"/>
    </row>
    <row r="2183" spans="1:45" ht="15">
      <c r="A2183" s="590" t="s">
        <v>141</v>
      </c>
      <c r="B2183" s="591" t="s">
        <v>291</v>
      </c>
      <c r="C2183" s="591" t="s">
        <v>811</v>
      </c>
      <c r="D2183" s="592">
        <v>2019</v>
      </c>
      <c r="E2183" s="591" t="s">
        <v>775</v>
      </c>
      <c r="F2183" s="592">
        <v>150</v>
      </c>
      <c r="G2183" s="592">
        <v>0</v>
      </c>
      <c r="H2183" s="592">
        <v>0</v>
      </c>
      <c r="I2183" s="592">
        <v>0</v>
      </c>
      <c r="J2183" s="592">
        <v>115</v>
      </c>
      <c r="K2183" s="592">
        <v>0</v>
      </c>
      <c r="L2183" s="592">
        <v>0</v>
      </c>
      <c r="M2183" s="592">
        <v>0</v>
      </c>
      <c r="N2183" s="593">
        <v>123</v>
      </c>
      <c r="O2183" s="593">
        <v>0</v>
      </c>
      <c r="P2183" s="593">
        <v>201</v>
      </c>
      <c r="Q2183" s="593">
        <v>68</v>
      </c>
      <c r="R2183" s="593">
        <v>589</v>
      </c>
      <c r="S2183" s="593">
        <v>68</v>
      </c>
      <c r="T2183" s="593">
        <v>2019</v>
      </c>
      <c r="U2183" s="593">
        <v>2016</v>
      </c>
      <c r="V2183" s="589"/>
      <c r="W2183" s="589"/>
      <c r="X2183" s="589"/>
      <c r="Y2183" s="589"/>
      <c r="Z2183" s="589"/>
      <c r="AA2183" s="589"/>
      <c r="AB2183" s="589"/>
      <c r="AC2183" s="589"/>
      <c r="AD2183" s="589"/>
      <c r="AE2183" s="589"/>
      <c r="AF2183" s="589"/>
      <c r="AG2183" s="589"/>
      <c r="AH2183" s="589"/>
      <c r="AI2183" s="589"/>
      <c r="AJ2183" s="589"/>
      <c r="AK2183" s="589"/>
      <c r="AL2183" s="589"/>
      <c r="AM2183" s="589"/>
      <c r="AN2183" s="589"/>
      <c r="AO2183" s="589"/>
      <c r="AP2183" s="589"/>
      <c r="AQ2183" s="589"/>
      <c r="AR2183" s="589"/>
      <c r="AS2183" s="589"/>
    </row>
    <row r="2184" spans="1:45" ht="15">
      <c r="A2184" s="587" t="s">
        <v>170</v>
      </c>
      <c r="B2184" s="587" t="s">
        <v>520</v>
      </c>
      <c r="C2184" s="587" t="s">
        <v>801</v>
      </c>
      <c r="D2184" s="588">
        <v>2019</v>
      </c>
      <c r="E2184" s="587" t="s">
        <v>775</v>
      </c>
      <c r="F2184" s="588">
        <v>10</v>
      </c>
      <c r="G2184" s="588">
        <v>0</v>
      </c>
      <c r="H2184" s="588">
        <v>0</v>
      </c>
      <c r="I2184" s="588">
        <v>0</v>
      </c>
      <c r="J2184" s="588">
        <v>7</v>
      </c>
      <c r="K2184" s="588">
        <v>0</v>
      </c>
      <c r="L2184" s="588">
        <v>0</v>
      </c>
      <c r="M2184" s="588">
        <v>0</v>
      </c>
      <c r="N2184" s="588">
        <v>10</v>
      </c>
      <c r="O2184" s="588">
        <v>0</v>
      </c>
      <c r="P2184" s="588">
        <v>24</v>
      </c>
      <c r="Q2184" s="588">
        <v>20</v>
      </c>
      <c r="R2184" s="588">
        <v>51</v>
      </c>
      <c r="S2184" s="588">
        <v>20</v>
      </c>
      <c r="T2184" s="588">
        <v>2019</v>
      </c>
      <c r="U2184" s="588">
        <v>2014</v>
      </c>
      <c r="V2184" s="589"/>
      <c r="W2184" s="589"/>
      <c r="X2184" s="589"/>
      <c r="Y2184" s="589"/>
      <c r="Z2184" s="589"/>
      <c r="AA2184" s="589"/>
      <c r="AB2184" s="589"/>
      <c r="AC2184" s="589"/>
      <c r="AD2184" s="589"/>
      <c r="AE2184" s="589"/>
      <c r="AF2184" s="589"/>
      <c r="AG2184" s="589"/>
      <c r="AH2184" s="589"/>
      <c r="AI2184" s="589"/>
      <c r="AJ2184" s="589"/>
      <c r="AK2184" s="589"/>
      <c r="AL2184" s="589"/>
      <c r="AM2184" s="589"/>
      <c r="AN2184" s="589"/>
      <c r="AO2184" s="589"/>
      <c r="AP2184" s="589"/>
      <c r="AQ2184" s="589"/>
      <c r="AR2184" s="589"/>
      <c r="AS2184" s="589"/>
    </row>
    <row r="2185" spans="1:45" ht="15">
      <c r="A2185" s="590" t="s">
        <v>184</v>
      </c>
      <c r="B2185" s="591" t="s">
        <v>627</v>
      </c>
      <c r="C2185" s="591" t="s">
        <v>782</v>
      </c>
      <c r="D2185" s="592">
        <v>2019</v>
      </c>
      <c r="E2185" s="591" t="s">
        <v>775</v>
      </c>
      <c r="F2185" s="592">
        <v>20</v>
      </c>
      <c r="G2185" s="592">
        <v>0</v>
      </c>
      <c r="H2185" s="592">
        <v>0</v>
      </c>
      <c r="I2185" s="592">
        <v>0</v>
      </c>
      <c r="J2185" s="592">
        <v>8</v>
      </c>
      <c r="K2185" s="592">
        <v>0</v>
      </c>
      <c r="L2185" s="592">
        <v>0</v>
      </c>
      <c r="M2185" s="592">
        <v>0</v>
      </c>
      <c r="N2185" s="593">
        <v>9</v>
      </c>
      <c r="O2185" s="593">
        <v>0</v>
      </c>
      <c r="P2185" s="593">
        <v>22</v>
      </c>
      <c r="Q2185" s="593">
        <v>0</v>
      </c>
      <c r="R2185" s="593">
        <v>59</v>
      </c>
      <c r="S2185" s="593">
        <v>0</v>
      </c>
      <c r="T2185" s="593">
        <v>2019</v>
      </c>
      <c r="U2185" s="593">
        <v>2015</v>
      </c>
      <c r="V2185" s="589"/>
      <c r="W2185" s="589"/>
      <c r="X2185" s="589"/>
      <c r="Y2185" s="589"/>
      <c r="Z2185" s="589"/>
      <c r="AA2185" s="589"/>
      <c r="AB2185" s="589"/>
      <c r="AC2185" s="589"/>
      <c r="AD2185" s="589"/>
      <c r="AE2185" s="589"/>
      <c r="AF2185" s="589"/>
      <c r="AG2185" s="589"/>
      <c r="AH2185" s="589"/>
      <c r="AI2185" s="589"/>
      <c r="AJ2185" s="589"/>
      <c r="AK2185" s="589"/>
      <c r="AL2185" s="589"/>
      <c r="AM2185" s="589"/>
      <c r="AN2185" s="589"/>
      <c r="AO2185" s="589"/>
      <c r="AP2185" s="589"/>
      <c r="AQ2185" s="589"/>
      <c r="AR2185" s="589"/>
      <c r="AS2185" s="589"/>
    </row>
    <row r="2186" spans="1:45" ht="15">
      <c r="A2186" s="587" t="s">
        <v>178</v>
      </c>
      <c r="B2186" s="587" t="s">
        <v>572</v>
      </c>
      <c r="C2186" s="587" t="s">
        <v>813</v>
      </c>
      <c r="D2186" s="588">
        <v>2019</v>
      </c>
      <c r="E2186" s="587" t="s">
        <v>775</v>
      </c>
      <c r="F2186" s="588">
        <v>443</v>
      </c>
      <c r="G2186" s="588">
        <v>0</v>
      </c>
      <c r="H2186" s="588">
        <v>0</v>
      </c>
      <c r="I2186" s="588">
        <v>0</v>
      </c>
      <c r="J2186" s="588">
        <v>302</v>
      </c>
      <c r="K2186" s="588">
        <v>0</v>
      </c>
      <c r="L2186" s="588">
        <v>0</v>
      </c>
      <c r="M2186" s="588">
        <v>0</v>
      </c>
      <c r="N2186" s="588">
        <v>347</v>
      </c>
      <c r="O2186" s="588">
        <v>0</v>
      </c>
      <c r="P2186" s="588">
        <v>831</v>
      </c>
      <c r="Q2186" s="588">
        <v>61</v>
      </c>
      <c r="R2186" s="588">
        <v>1923</v>
      </c>
      <c r="S2186" s="588">
        <v>61</v>
      </c>
      <c r="T2186" s="588">
        <v>2019</v>
      </c>
      <c r="U2186" s="588">
        <v>2014</v>
      </c>
      <c r="V2186" s="589"/>
      <c r="W2186" s="589"/>
      <c r="X2186" s="589"/>
      <c r="Y2186" s="589"/>
      <c r="Z2186" s="589"/>
      <c r="AA2186" s="589"/>
      <c r="AB2186" s="589"/>
      <c r="AC2186" s="589"/>
      <c r="AD2186" s="589"/>
      <c r="AE2186" s="589"/>
      <c r="AF2186" s="589"/>
      <c r="AG2186" s="589"/>
      <c r="AH2186" s="589"/>
      <c r="AI2186" s="589"/>
      <c r="AJ2186" s="589"/>
      <c r="AK2186" s="589"/>
      <c r="AL2186" s="589"/>
      <c r="AM2186" s="589"/>
      <c r="AN2186" s="589"/>
      <c r="AO2186" s="589"/>
      <c r="AP2186" s="589"/>
      <c r="AQ2186" s="589"/>
      <c r="AR2186" s="589"/>
      <c r="AS2186" s="589"/>
    </row>
    <row r="2187" spans="1:45" ht="15">
      <c r="A2187" s="590" t="s">
        <v>135</v>
      </c>
      <c r="B2187" s="591" t="s">
        <v>263</v>
      </c>
      <c r="C2187" s="591" t="s">
        <v>785</v>
      </c>
      <c r="D2187" s="592">
        <v>2019</v>
      </c>
      <c r="E2187" s="591" t="s">
        <v>775</v>
      </c>
      <c r="F2187" s="592">
        <v>107</v>
      </c>
      <c r="G2187" s="592">
        <v>2</v>
      </c>
      <c r="H2187" s="592">
        <v>0</v>
      </c>
      <c r="I2187" s="592">
        <v>2</v>
      </c>
      <c r="J2187" s="592">
        <v>91</v>
      </c>
      <c r="K2187" s="592">
        <v>1</v>
      </c>
      <c r="L2187" s="592">
        <v>0</v>
      </c>
      <c r="M2187" s="592">
        <v>1</v>
      </c>
      <c r="N2187" s="593">
        <v>91</v>
      </c>
      <c r="O2187" s="593">
        <v>1</v>
      </c>
      <c r="P2187" s="593">
        <v>210</v>
      </c>
      <c r="Q2187" s="593">
        <v>0</v>
      </c>
      <c r="R2187" s="593">
        <v>499</v>
      </c>
      <c r="S2187" s="593">
        <v>4</v>
      </c>
      <c r="T2187" s="593">
        <v>2019</v>
      </c>
      <c r="U2187" s="593">
        <v>2014</v>
      </c>
      <c r="V2187" s="589"/>
      <c r="W2187" s="589"/>
      <c r="X2187" s="589"/>
      <c r="Y2187" s="589"/>
      <c r="Z2187" s="589"/>
      <c r="AA2187" s="589"/>
      <c r="AB2187" s="589"/>
      <c r="AC2187" s="589"/>
      <c r="AD2187" s="589"/>
      <c r="AE2187" s="589"/>
      <c r="AF2187" s="589"/>
      <c r="AG2187" s="589"/>
      <c r="AH2187" s="589"/>
      <c r="AI2187" s="589"/>
      <c r="AJ2187" s="589"/>
      <c r="AK2187" s="589"/>
      <c r="AL2187" s="589"/>
      <c r="AM2187" s="589"/>
      <c r="AN2187" s="589"/>
      <c r="AO2187" s="589"/>
      <c r="AP2187" s="589"/>
      <c r="AQ2187" s="589"/>
      <c r="AR2187" s="589"/>
      <c r="AS2187" s="589"/>
    </row>
    <row r="2188" spans="1:45" ht="15">
      <c r="A2188" s="587" t="s">
        <v>153</v>
      </c>
      <c r="B2188" s="587" t="s">
        <v>364</v>
      </c>
      <c r="C2188" s="587" t="s">
        <v>813</v>
      </c>
      <c r="D2188" s="588">
        <v>2019</v>
      </c>
      <c r="E2188" s="587" t="s">
        <v>775</v>
      </c>
      <c r="F2188" s="588">
        <v>1</v>
      </c>
      <c r="G2188" s="588">
        <v>0</v>
      </c>
      <c r="H2188" s="588">
        <v>0</v>
      </c>
      <c r="I2188" s="588">
        <v>0</v>
      </c>
      <c r="J2188" s="588">
        <v>1</v>
      </c>
      <c r="K2188" s="588">
        <v>0</v>
      </c>
      <c r="L2188" s="588">
        <v>0</v>
      </c>
      <c r="M2188" s="588">
        <v>0</v>
      </c>
      <c r="N2188" s="588">
        <v>0</v>
      </c>
      <c r="O2188" s="588">
        <v>0</v>
      </c>
      <c r="P2188" s="588">
        <v>0</v>
      </c>
      <c r="Q2188" s="588">
        <v>73</v>
      </c>
      <c r="R2188" s="588">
        <v>2</v>
      </c>
      <c r="S2188" s="588">
        <v>73</v>
      </c>
      <c r="T2188" s="588">
        <v>2019</v>
      </c>
      <c r="U2188" s="588">
        <v>2014</v>
      </c>
      <c r="V2188" s="589"/>
      <c r="W2188" s="589"/>
      <c r="X2188" s="589"/>
      <c r="Y2188" s="589"/>
      <c r="Z2188" s="589"/>
      <c r="AA2188" s="589"/>
      <c r="AB2188" s="589"/>
      <c r="AC2188" s="589"/>
      <c r="AD2188" s="589"/>
      <c r="AE2188" s="589"/>
      <c r="AF2188" s="589"/>
      <c r="AG2188" s="589"/>
      <c r="AH2188" s="589"/>
      <c r="AI2188" s="589"/>
      <c r="AJ2188" s="589"/>
      <c r="AK2188" s="589"/>
      <c r="AL2188" s="589"/>
      <c r="AM2188" s="589"/>
      <c r="AN2188" s="589"/>
      <c r="AO2188" s="589"/>
      <c r="AP2188" s="589"/>
      <c r="AQ2188" s="589"/>
      <c r="AR2188" s="589"/>
      <c r="AS2188" s="589"/>
    </row>
    <row r="2189" spans="1:45" ht="15">
      <c r="A2189" s="590" t="s">
        <v>136</v>
      </c>
      <c r="B2189" s="591" t="s">
        <v>268</v>
      </c>
      <c r="C2189" s="591" t="s">
        <v>782</v>
      </c>
      <c r="D2189" s="592">
        <v>2019</v>
      </c>
      <c r="E2189" s="591" t="s">
        <v>775</v>
      </c>
      <c r="F2189" s="592">
        <v>798</v>
      </c>
      <c r="G2189" s="592">
        <v>0</v>
      </c>
      <c r="H2189" s="592">
        <v>0</v>
      </c>
      <c r="I2189" s="592">
        <v>0</v>
      </c>
      <c r="J2189" s="592">
        <v>444</v>
      </c>
      <c r="K2189" s="592">
        <v>0</v>
      </c>
      <c r="L2189" s="592">
        <v>0</v>
      </c>
      <c r="M2189" s="592">
        <v>0</v>
      </c>
      <c r="N2189" s="593">
        <v>559</v>
      </c>
      <c r="O2189" s="593">
        <v>1</v>
      </c>
      <c r="P2189" s="593">
        <v>1677</v>
      </c>
      <c r="Q2189" s="593">
        <v>34</v>
      </c>
      <c r="R2189" s="593">
        <v>3478</v>
      </c>
      <c r="S2189" s="593">
        <v>35</v>
      </c>
      <c r="T2189" s="593">
        <v>2019</v>
      </c>
      <c r="U2189" s="593">
        <v>2015</v>
      </c>
      <c r="V2189" s="589"/>
      <c r="W2189" s="589"/>
      <c r="X2189" s="589"/>
      <c r="Y2189" s="589"/>
      <c r="Z2189" s="589"/>
      <c r="AA2189" s="589"/>
      <c r="AB2189" s="589"/>
      <c r="AC2189" s="589"/>
      <c r="AD2189" s="589"/>
      <c r="AE2189" s="589"/>
      <c r="AF2189" s="589"/>
      <c r="AG2189" s="589"/>
      <c r="AH2189" s="589"/>
      <c r="AI2189" s="589"/>
      <c r="AJ2189" s="589"/>
      <c r="AK2189" s="589"/>
      <c r="AL2189" s="589"/>
      <c r="AM2189" s="589"/>
      <c r="AN2189" s="589"/>
      <c r="AO2189" s="589"/>
      <c r="AP2189" s="589"/>
      <c r="AQ2189" s="589"/>
      <c r="AR2189" s="589"/>
      <c r="AS2189" s="589"/>
    </row>
    <row r="2190" spans="1:45" ht="15">
      <c r="A2190" s="587" t="s">
        <v>136</v>
      </c>
      <c r="B2190" s="587" t="s">
        <v>269</v>
      </c>
      <c r="C2190" s="587" t="s">
        <v>782</v>
      </c>
      <c r="D2190" s="588">
        <v>2019</v>
      </c>
      <c r="E2190" s="587" t="s">
        <v>775</v>
      </c>
      <c r="F2190" s="588">
        <v>374</v>
      </c>
      <c r="G2190" s="588">
        <v>0</v>
      </c>
      <c r="H2190" s="588">
        <v>0</v>
      </c>
      <c r="I2190" s="588">
        <v>0</v>
      </c>
      <c r="J2190" s="588">
        <v>218</v>
      </c>
      <c r="K2190" s="588">
        <v>1</v>
      </c>
      <c r="L2190" s="588">
        <v>0</v>
      </c>
      <c r="M2190" s="588">
        <v>1</v>
      </c>
      <c r="N2190" s="588">
        <v>243</v>
      </c>
      <c r="O2190" s="588">
        <v>4</v>
      </c>
      <c r="P2190" s="588">
        <v>532</v>
      </c>
      <c r="Q2190" s="588">
        <v>214</v>
      </c>
      <c r="R2190" s="588">
        <v>1367</v>
      </c>
      <c r="S2190" s="588">
        <v>219</v>
      </c>
      <c r="T2190" s="588">
        <v>2019</v>
      </c>
      <c r="U2190" s="588">
        <v>2015</v>
      </c>
      <c r="V2190" s="589"/>
      <c r="W2190" s="589"/>
      <c r="X2190" s="589"/>
      <c r="Y2190" s="589"/>
      <c r="Z2190" s="589"/>
      <c r="AA2190" s="589"/>
      <c r="AB2190" s="589"/>
      <c r="AC2190" s="589"/>
      <c r="AD2190" s="589"/>
      <c r="AE2190" s="589"/>
      <c r="AF2190" s="589"/>
      <c r="AG2190" s="589"/>
      <c r="AH2190" s="589"/>
      <c r="AI2190" s="589"/>
      <c r="AJ2190" s="589"/>
      <c r="AK2190" s="589"/>
      <c r="AL2190" s="589"/>
      <c r="AM2190" s="589"/>
      <c r="AN2190" s="589"/>
      <c r="AO2190" s="589"/>
      <c r="AP2190" s="589"/>
      <c r="AQ2190" s="589"/>
      <c r="AR2190" s="589"/>
      <c r="AS2190" s="589"/>
    </row>
    <row r="2191" spans="1:45" ht="15">
      <c r="A2191" s="590" t="s">
        <v>149</v>
      </c>
      <c r="B2191" s="591" t="s">
        <v>337</v>
      </c>
      <c r="C2191" s="591" t="s">
        <v>820</v>
      </c>
      <c r="D2191" s="592">
        <v>2019</v>
      </c>
      <c r="E2191" s="591" t="s">
        <v>775</v>
      </c>
      <c r="F2191" s="592">
        <v>215</v>
      </c>
      <c r="G2191" s="592">
        <v>0</v>
      </c>
      <c r="H2191" s="592">
        <v>0</v>
      </c>
      <c r="I2191" s="592">
        <v>0</v>
      </c>
      <c r="J2191" s="592">
        <v>161</v>
      </c>
      <c r="K2191" s="592">
        <v>0</v>
      </c>
      <c r="L2191" s="592">
        <v>0</v>
      </c>
      <c r="M2191" s="592">
        <v>0</v>
      </c>
      <c r="N2191" s="593">
        <v>169</v>
      </c>
      <c r="O2191" s="593">
        <v>0</v>
      </c>
      <c r="P2191" s="593">
        <v>401</v>
      </c>
      <c r="Q2191" s="593">
        <v>0</v>
      </c>
      <c r="R2191" s="593">
        <v>946</v>
      </c>
      <c r="S2191" s="593">
        <v>0</v>
      </c>
      <c r="T2191" s="593">
        <v>2019</v>
      </c>
      <c r="U2191" s="593">
        <v>2016</v>
      </c>
      <c r="V2191" s="589"/>
      <c r="W2191" s="589"/>
      <c r="X2191" s="589"/>
      <c r="Y2191" s="589"/>
      <c r="Z2191" s="589"/>
      <c r="AA2191" s="589"/>
      <c r="AB2191" s="589"/>
      <c r="AC2191" s="589"/>
      <c r="AD2191" s="589"/>
      <c r="AE2191" s="589"/>
      <c r="AF2191" s="589"/>
      <c r="AG2191" s="589"/>
      <c r="AH2191" s="589"/>
      <c r="AI2191" s="589"/>
      <c r="AJ2191" s="589"/>
      <c r="AK2191" s="589"/>
      <c r="AL2191" s="589"/>
      <c r="AM2191" s="589"/>
      <c r="AN2191" s="589"/>
      <c r="AO2191" s="589"/>
      <c r="AP2191" s="589"/>
      <c r="AQ2191" s="589"/>
      <c r="AR2191" s="589"/>
      <c r="AS2191" s="589"/>
    </row>
    <row r="2192" spans="1:45" ht="15">
      <c r="A2192" s="587" t="s">
        <v>197</v>
      </c>
      <c r="B2192" s="587" t="s">
        <v>716</v>
      </c>
      <c r="C2192" s="587" t="s">
        <v>785</v>
      </c>
      <c r="D2192" s="588">
        <v>2019</v>
      </c>
      <c r="E2192" s="587" t="s">
        <v>775</v>
      </c>
      <c r="F2192" s="588">
        <v>38</v>
      </c>
      <c r="G2192" s="588">
        <v>0</v>
      </c>
      <c r="H2192" s="588">
        <v>0</v>
      </c>
      <c r="I2192" s="588">
        <v>0</v>
      </c>
      <c r="J2192" s="588">
        <v>30</v>
      </c>
      <c r="K2192" s="588">
        <v>0</v>
      </c>
      <c r="L2192" s="588">
        <v>0</v>
      </c>
      <c r="M2192" s="588">
        <v>0</v>
      </c>
      <c r="N2192" s="588">
        <v>33</v>
      </c>
      <c r="O2192" s="588">
        <v>0</v>
      </c>
      <c r="P2192" s="588">
        <v>75</v>
      </c>
      <c r="Q2192" s="588">
        <v>0</v>
      </c>
      <c r="R2192" s="588">
        <v>176</v>
      </c>
      <c r="S2192" s="588">
        <v>0</v>
      </c>
      <c r="T2192" s="588">
        <v>2019</v>
      </c>
      <c r="U2192" s="588">
        <v>2014</v>
      </c>
      <c r="V2192" s="589"/>
      <c r="W2192" s="589"/>
      <c r="X2192" s="589"/>
      <c r="Y2192" s="589"/>
      <c r="Z2192" s="589"/>
      <c r="AA2192" s="589"/>
      <c r="AB2192" s="589"/>
      <c r="AC2192" s="589"/>
      <c r="AD2192" s="589"/>
      <c r="AE2192" s="589"/>
      <c r="AF2192" s="589"/>
      <c r="AG2192" s="589"/>
      <c r="AH2192" s="589"/>
      <c r="AI2192" s="589"/>
      <c r="AJ2192" s="589"/>
      <c r="AK2192" s="589"/>
      <c r="AL2192" s="589"/>
      <c r="AM2192" s="589"/>
      <c r="AN2192" s="589"/>
      <c r="AO2192" s="589"/>
      <c r="AP2192" s="589"/>
      <c r="AQ2192" s="589"/>
      <c r="AR2192" s="589"/>
      <c r="AS2192" s="589"/>
    </row>
    <row r="2193" spans="1:45" ht="15">
      <c r="A2193" s="590" t="s">
        <v>197</v>
      </c>
      <c r="B2193" s="591" t="s">
        <v>716</v>
      </c>
      <c r="C2193" s="591" t="s">
        <v>969</v>
      </c>
      <c r="D2193" s="592">
        <v>2019</v>
      </c>
      <c r="E2193" s="591" t="s">
        <v>775</v>
      </c>
      <c r="F2193" s="592">
        <v>0</v>
      </c>
      <c r="G2193" s="592">
        <v>0</v>
      </c>
      <c r="H2193" s="592">
        <v>0</v>
      </c>
      <c r="I2193" s="592">
        <v>0</v>
      </c>
      <c r="J2193" s="592">
        <v>0</v>
      </c>
      <c r="K2193" s="592">
        <v>0</v>
      </c>
      <c r="L2193" s="592">
        <v>0</v>
      </c>
      <c r="M2193" s="592">
        <v>0</v>
      </c>
      <c r="N2193" s="593">
        <v>0</v>
      </c>
      <c r="O2193" s="593">
        <v>0</v>
      </c>
      <c r="P2193" s="593">
        <v>0</v>
      </c>
      <c r="Q2193" s="593">
        <v>0</v>
      </c>
      <c r="R2193" s="593">
        <v>0</v>
      </c>
      <c r="S2193" s="593">
        <v>0</v>
      </c>
      <c r="T2193" s="593">
        <v>2019</v>
      </c>
      <c r="U2193" s="593">
        <v>2014</v>
      </c>
      <c r="V2193" s="589"/>
      <c r="W2193" s="589"/>
      <c r="X2193" s="589"/>
      <c r="Y2193" s="589"/>
      <c r="Z2193" s="589"/>
      <c r="AA2193" s="589"/>
      <c r="AB2193" s="589"/>
      <c r="AC2193" s="589"/>
      <c r="AD2193" s="589"/>
      <c r="AE2193" s="589"/>
      <c r="AF2193" s="589"/>
      <c r="AG2193" s="589"/>
      <c r="AH2193" s="589"/>
      <c r="AI2193" s="589"/>
      <c r="AJ2193" s="589"/>
      <c r="AK2193" s="589"/>
      <c r="AL2193" s="589"/>
      <c r="AM2193" s="589"/>
      <c r="AN2193" s="589"/>
      <c r="AO2193" s="589"/>
      <c r="AP2193" s="589"/>
      <c r="AQ2193" s="589"/>
      <c r="AR2193" s="589"/>
      <c r="AS2193" s="589"/>
    </row>
    <row r="2194" spans="1:45" ht="15">
      <c r="A2194" s="587" t="s">
        <v>173</v>
      </c>
      <c r="B2194" s="587" t="s">
        <v>535</v>
      </c>
      <c r="C2194" s="587" t="s">
        <v>813</v>
      </c>
      <c r="D2194" s="588">
        <v>2019</v>
      </c>
      <c r="E2194" s="587" t="s">
        <v>775</v>
      </c>
      <c r="F2194" s="588">
        <v>192</v>
      </c>
      <c r="G2194" s="588">
        <v>0</v>
      </c>
      <c r="H2194" s="588">
        <v>0</v>
      </c>
      <c r="I2194" s="588">
        <v>0</v>
      </c>
      <c r="J2194" s="588">
        <v>128</v>
      </c>
      <c r="K2194" s="588">
        <v>0</v>
      </c>
      <c r="L2194" s="588">
        <v>0</v>
      </c>
      <c r="M2194" s="588">
        <v>0</v>
      </c>
      <c r="N2194" s="588">
        <v>142</v>
      </c>
      <c r="O2194" s="588">
        <v>0</v>
      </c>
      <c r="P2194" s="588">
        <v>308</v>
      </c>
      <c r="Q2194" s="588">
        <v>609</v>
      </c>
      <c r="R2194" s="588">
        <v>770</v>
      </c>
      <c r="S2194" s="588">
        <v>609</v>
      </c>
      <c r="T2194" s="588">
        <v>2019</v>
      </c>
      <c r="U2194" s="588">
        <v>2014</v>
      </c>
      <c r="V2194" s="589"/>
      <c r="W2194" s="589"/>
      <c r="X2194" s="589"/>
      <c r="Y2194" s="589"/>
      <c r="Z2194" s="589"/>
      <c r="AA2194" s="589"/>
      <c r="AB2194" s="589"/>
      <c r="AC2194" s="589"/>
      <c r="AD2194" s="589"/>
      <c r="AE2194" s="589"/>
      <c r="AF2194" s="589"/>
      <c r="AG2194" s="589"/>
      <c r="AH2194" s="589"/>
      <c r="AI2194" s="589"/>
      <c r="AJ2194" s="589"/>
      <c r="AK2194" s="589"/>
      <c r="AL2194" s="589"/>
      <c r="AM2194" s="589"/>
      <c r="AN2194" s="589"/>
      <c r="AO2194" s="589"/>
      <c r="AP2194" s="589"/>
      <c r="AQ2194" s="589"/>
      <c r="AR2194" s="589"/>
      <c r="AS2194" s="589"/>
    </row>
    <row r="2195" spans="1:45" ht="15">
      <c r="A2195" s="590" t="s">
        <v>179</v>
      </c>
      <c r="B2195" s="591" t="s">
        <v>592</v>
      </c>
      <c r="C2195" s="591" t="s">
        <v>856</v>
      </c>
      <c r="D2195" s="592">
        <v>2019</v>
      </c>
      <c r="E2195" s="591" t="s">
        <v>775</v>
      </c>
      <c r="F2195" s="592">
        <v>13</v>
      </c>
      <c r="G2195" s="592">
        <v>0</v>
      </c>
      <c r="H2195" s="592">
        <v>0</v>
      </c>
      <c r="I2195" s="592">
        <v>0</v>
      </c>
      <c r="J2195" s="592">
        <v>9</v>
      </c>
      <c r="K2195" s="592">
        <v>0</v>
      </c>
      <c r="L2195" s="592">
        <v>0</v>
      </c>
      <c r="M2195" s="592">
        <v>0</v>
      </c>
      <c r="N2195" s="593">
        <v>9</v>
      </c>
      <c r="O2195" s="593">
        <v>0</v>
      </c>
      <c r="P2195" s="593">
        <v>19</v>
      </c>
      <c r="Q2195" s="593">
        <v>28</v>
      </c>
      <c r="R2195" s="593">
        <v>50</v>
      </c>
      <c r="S2195" s="593">
        <v>28</v>
      </c>
      <c r="T2195" s="593">
        <v>2019</v>
      </c>
      <c r="U2195" s="593">
        <v>2013</v>
      </c>
      <c r="V2195" s="589"/>
      <c r="W2195" s="589"/>
      <c r="X2195" s="589"/>
      <c r="Y2195" s="589"/>
      <c r="Z2195" s="589"/>
      <c r="AA2195" s="589"/>
      <c r="AB2195" s="589"/>
      <c r="AC2195" s="589"/>
      <c r="AD2195" s="589"/>
      <c r="AE2195" s="589"/>
      <c r="AF2195" s="589"/>
      <c r="AG2195" s="589"/>
      <c r="AH2195" s="589"/>
      <c r="AI2195" s="589"/>
      <c r="AJ2195" s="589"/>
      <c r="AK2195" s="589"/>
      <c r="AL2195" s="589"/>
      <c r="AM2195" s="589"/>
      <c r="AN2195" s="589"/>
      <c r="AO2195" s="589"/>
      <c r="AP2195" s="589"/>
      <c r="AQ2195" s="589"/>
      <c r="AR2195" s="589"/>
      <c r="AS2195" s="589"/>
    </row>
    <row r="2196" spans="1:45" ht="15">
      <c r="A2196" s="587" t="s">
        <v>157</v>
      </c>
      <c r="B2196" s="587" t="s">
        <v>437</v>
      </c>
      <c r="C2196" s="587" t="s">
        <v>782</v>
      </c>
      <c r="D2196" s="588">
        <v>2019</v>
      </c>
      <c r="E2196" s="587" t="s">
        <v>775</v>
      </c>
      <c r="F2196" s="588">
        <v>22</v>
      </c>
      <c r="G2196" s="588">
        <v>3</v>
      </c>
      <c r="H2196" s="588">
        <v>0</v>
      </c>
      <c r="I2196" s="588">
        <v>3</v>
      </c>
      <c r="J2196" s="588">
        <v>13</v>
      </c>
      <c r="K2196" s="588">
        <v>0</v>
      </c>
      <c r="L2196" s="588">
        <v>0</v>
      </c>
      <c r="M2196" s="588">
        <v>0</v>
      </c>
      <c r="N2196" s="588">
        <v>13</v>
      </c>
      <c r="O2196" s="588">
        <v>1</v>
      </c>
      <c r="P2196" s="588">
        <v>24</v>
      </c>
      <c r="Q2196" s="588">
        <v>0</v>
      </c>
      <c r="R2196" s="588">
        <v>72</v>
      </c>
      <c r="S2196" s="588">
        <v>4</v>
      </c>
      <c r="T2196" s="588">
        <v>2019</v>
      </c>
      <c r="U2196" s="588">
        <v>2015</v>
      </c>
      <c r="V2196" s="589"/>
      <c r="W2196" s="589"/>
      <c r="X2196" s="589"/>
      <c r="Y2196" s="589"/>
      <c r="Z2196" s="589"/>
      <c r="AA2196" s="589"/>
      <c r="AB2196" s="589"/>
      <c r="AC2196" s="589"/>
      <c r="AD2196" s="589"/>
      <c r="AE2196" s="589"/>
      <c r="AF2196" s="589"/>
      <c r="AG2196" s="589"/>
      <c r="AH2196" s="589"/>
      <c r="AI2196" s="589"/>
      <c r="AJ2196" s="589"/>
      <c r="AK2196" s="589"/>
      <c r="AL2196" s="589"/>
      <c r="AM2196" s="589"/>
      <c r="AN2196" s="589"/>
      <c r="AO2196" s="589"/>
      <c r="AP2196" s="589"/>
      <c r="AQ2196" s="589"/>
      <c r="AR2196" s="589"/>
      <c r="AS2196" s="589"/>
    </row>
    <row r="2197" spans="1:45" ht="15">
      <c r="A2197" s="590" t="s">
        <v>169</v>
      </c>
      <c r="B2197" s="591" t="s">
        <v>489</v>
      </c>
      <c r="C2197" s="591" t="s">
        <v>813</v>
      </c>
      <c r="D2197" s="592">
        <v>2019</v>
      </c>
      <c r="E2197" s="591" t="s">
        <v>775</v>
      </c>
      <c r="F2197" s="592">
        <v>1</v>
      </c>
      <c r="G2197" s="592">
        <v>0</v>
      </c>
      <c r="H2197" s="592">
        <v>0</v>
      </c>
      <c r="I2197" s="592">
        <v>0</v>
      </c>
      <c r="J2197" s="592">
        <v>1</v>
      </c>
      <c r="K2197" s="592">
        <v>4</v>
      </c>
      <c r="L2197" s="592">
        <v>0</v>
      </c>
      <c r="M2197" s="592">
        <v>4</v>
      </c>
      <c r="N2197" s="593">
        <v>0</v>
      </c>
      <c r="O2197" s="593">
        <v>2</v>
      </c>
      <c r="P2197" s="593">
        <v>0</v>
      </c>
      <c r="Q2197" s="593">
        <v>192</v>
      </c>
      <c r="R2197" s="593">
        <v>2</v>
      </c>
      <c r="S2197" s="593">
        <v>198</v>
      </c>
      <c r="T2197" s="593">
        <v>2019</v>
      </c>
      <c r="U2197" s="593">
        <v>2014</v>
      </c>
      <c r="V2197" s="589"/>
      <c r="W2197" s="589"/>
      <c r="X2197" s="589"/>
      <c r="Y2197" s="589"/>
      <c r="Z2197" s="589"/>
      <c r="AA2197" s="589"/>
      <c r="AB2197" s="589"/>
      <c r="AC2197" s="589"/>
      <c r="AD2197" s="589"/>
      <c r="AE2197" s="589"/>
      <c r="AF2197" s="589"/>
      <c r="AG2197" s="589"/>
      <c r="AH2197" s="589"/>
      <c r="AI2197" s="589"/>
      <c r="AJ2197" s="589"/>
      <c r="AK2197" s="589"/>
      <c r="AL2197" s="589"/>
      <c r="AM2197" s="589"/>
      <c r="AN2197" s="589"/>
      <c r="AO2197" s="589"/>
      <c r="AP2197" s="589"/>
      <c r="AQ2197" s="589"/>
      <c r="AR2197" s="589"/>
      <c r="AS2197" s="589"/>
    </row>
    <row r="2198" spans="1:45" ht="15">
      <c r="A2198" s="587" t="s">
        <v>193</v>
      </c>
      <c r="B2198" s="587" t="s">
        <v>695</v>
      </c>
      <c r="C2198" s="587" t="s">
        <v>782</v>
      </c>
      <c r="D2198" s="588">
        <v>2019</v>
      </c>
      <c r="E2198" s="587" t="s">
        <v>775</v>
      </c>
      <c r="F2198" s="588">
        <v>35</v>
      </c>
      <c r="G2198" s="588">
        <v>1</v>
      </c>
      <c r="H2198" s="588">
        <v>0</v>
      </c>
      <c r="I2198" s="588">
        <v>1</v>
      </c>
      <c r="J2198" s="588">
        <v>18</v>
      </c>
      <c r="K2198" s="588">
        <v>3</v>
      </c>
      <c r="L2198" s="588">
        <v>0</v>
      </c>
      <c r="M2198" s="588">
        <v>3</v>
      </c>
      <c r="N2198" s="588">
        <v>18</v>
      </c>
      <c r="O2198" s="588">
        <v>0</v>
      </c>
      <c r="P2198" s="588">
        <v>66</v>
      </c>
      <c r="Q2198" s="588">
        <v>3</v>
      </c>
      <c r="R2198" s="588">
        <v>137</v>
      </c>
      <c r="S2198" s="588">
        <v>7</v>
      </c>
      <c r="T2198" s="588">
        <v>2019</v>
      </c>
      <c r="U2198" s="588">
        <v>2015</v>
      </c>
      <c r="V2198" s="589"/>
      <c r="W2198" s="589"/>
      <c r="X2198" s="589"/>
      <c r="Y2198" s="589"/>
      <c r="Z2198" s="589"/>
      <c r="AA2198" s="589"/>
      <c r="AB2198" s="589"/>
      <c r="AC2198" s="589"/>
      <c r="AD2198" s="589"/>
      <c r="AE2198" s="589"/>
      <c r="AF2198" s="589"/>
      <c r="AG2198" s="589"/>
      <c r="AH2198" s="589"/>
      <c r="AI2198" s="589"/>
      <c r="AJ2198" s="589"/>
      <c r="AK2198" s="589"/>
      <c r="AL2198" s="589"/>
      <c r="AM2198" s="589"/>
      <c r="AN2198" s="589"/>
      <c r="AO2198" s="589"/>
      <c r="AP2198" s="589"/>
      <c r="AQ2198" s="589"/>
      <c r="AR2198" s="589"/>
      <c r="AS2198" s="589"/>
    </row>
    <row r="2199" spans="1:45" ht="15">
      <c r="A2199" s="590" t="s">
        <v>138</v>
      </c>
      <c r="B2199" s="591" t="s">
        <v>285</v>
      </c>
      <c r="C2199" s="591" t="s">
        <v>785</v>
      </c>
      <c r="D2199" s="592">
        <v>2019</v>
      </c>
      <c r="E2199" s="591" t="s">
        <v>775</v>
      </c>
      <c r="F2199" s="592">
        <v>20</v>
      </c>
      <c r="G2199" s="592">
        <v>0</v>
      </c>
      <c r="H2199" s="592">
        <v>0</v>
      </c>
      <c r="I2199" s="592">
        <v>0</v>
      </c>
      <c r="J2199" s="592">
        <v>13</v>
      </c>
      <c r="K2199" s="592">
        <v>0</v>
      </c>
      <c r="L2199" s="592">
        <v>0</v>
      </c>
      <c r="M2199" s="592">
        <v>0</v>
      </c>
      <c r="N2199" s="593">
        <v>10</v>
      </c>
      <c r="O2199" s="593">
        <v>2</v>
      </c>
      <c r="P2199" s="593">
        <v>34</v>
      </c>
      <c r="Q2199" s="593">
        <v>1</v>
      </c>
      <c r="R2199" s="593">
        <v>77</v>
      </c>
      <c r="S2199" s="593">
        <v>3</v>
      </c>
      <c r="T2199" s="593">
        <v>2019</v>
      </c>
      <c r="U2199" s="593">
        <v>2014</v>
      </c>
      <c r="V2199" s="589"/>
      <c r="W2199" s="589"/>
      <c r="X2199" s="589"/>
      <c r="Y2199" s="589"/>
      <c r="Z2199" s="589"/>
      <c r="AA2199" s="589"/>
      <c r="AB2199" s="589"/>
      <c r="AC2199" s="589"/>
      <c r="AD2199" s="589"/>
      <c r="AE2199" s="589"/>
      <c r="AF2199" s="589"/>
      <c r="AG2199" s="589"/>
      <c r="AH2199" s="589"/>
      <c r="AI2199" s="589"/>
      <c r="AJ2199" s="589"/>
      <c r="AK2199" s="589"/>
      <c r="AL2199" s="589"/>
      <c r="AM2199" s="589"/>
      <c r="AN2199" s="589"/>
      <c r="AO2199" s="589"/>
      <c r="AP2199" s="589"/>
      <c r="AQ2199" s="589"/>
      <c r="AR2199" s="589"/>
      <c r="AS2199" s="589"/>
    </row>
    <row r="2200" spans="1:45" ht="15">
      <c r="A2200" s="587" t="s">
        <v>153</v>
      </c>
      <c r="B2200" s="587" t="s">
        <v>366</v>
      </c>
      <c r="C2200" s="587" t="s">
        <v>813</v>
      </c>
      <c r="D2200" s="588">
        <v>2019</v>
      </c>
      <c r="E2200" s="587" t="s">
        <v>775</v>
      </c>
      <c r="F2200" s="588">
        <v>80</v>
      </c>
      <c r="G2200" s="588">
        <v>2</v>
      </c>
      <c r="H2200" s="588">
        <v>2</v>
      </c>
      <c r="I2200" s="588">
        <v>0</v>
      </c>
      <c r="J2200" s="588">
        <v>46</v>
      </c>
      <c r="K2200" s="588">
        <v>0</v>
      </c>
      <c r="L2200" s="588">
        <v>0</v>
      </c>
      <c r="M2200" s="588">
        <v>0</v>
      </c>
      <c r="N2200" s="588">
        <v>51</v>
      </c>
      <c r="O2200" s="588">
        <v>0</v>
      </c>
      <c r="P2200" s="588">
        <v>141</v>
      </c>
      <c r="Q2200" s="588">
        <v>10</v>
      </c>
      <c r="R2200" s="588">
        <v>318</v>
      </c>
      <c r="S2200" s="588">
        <v>12</v>
      </c>
      <c r="T2200" s="588">
        <v>2019</v>
      </c>
      <c r="U2200" s="588">
        <v>2014</v>
      </c>
      <c r="V2200" s="589"/>
      <c r="W2200" s="589"/>
      <c r="X2200" s="589"/>
      <c r="Y2200" s="589"/>
      <c r="Z2200" s="589"/>
      <c r="AA2200" s="589"/>
      <c r="AB2200" s="589"/>
      <c r="AC2200" s="589"/>
      <c r="AD2200" s="589"/>
      <c r="AE2200" s="589"/>
      <c r="AF2200" s="589"/>
      <c r="AG2200" s="589"/>
      <c r="AH2200" s="589"/>
      <c r="AI2200" s="589"/>
      <c r="AJ2200" s="589"/>
      <c r="AK2200" s="589"/>
      <c r="AL2200" s="589"/>
      <c r="AM2200" s="589"/>
      <c r="AN2200" s="589"/>
      <c r="AO2200" s="589"/>
      <c r="AP2200" s="589"/>
      <c r="AQ2200" s="589"/>
      <c r="AR2200" s="589"/>
      <c r="AS2200" s="589"/>
    </row>
    <row r="2201" spans="1:45" ht="15">
      <c r="A2201" s="590" t="s">
        <v>153</v>
      </c>
      <c r="B2201" s="591" t="s">
        <v>367</v>
      </c>
      <c r="C2201" s="591" t="s">
        <v>813</v>
      </c>
      <c r="D2201" s="592">
        <v>2019</v>
      </c>
      <c r="E2201" s="591" t="s">
        <v>775</v>
      </c>
      <c r="F2201" s="592">
        <v>48</v>
      </c>
      <c r="G2201" s="592">
        <v>0</v>
      </c>
      <c r="H2201" s="592">
        <v>0</v>
      </c>
      <c r="I2201" s="592">
        <v>0</v>
      </c>
      <c r="J2201" s="592">
        <v>29</v>
      </c>
      <c r="K2201" s="592">
        <v>0</v>
      </c>
      <c r="L2201" s="592">
        <v>0</v>
      </c>
      <c r="M2201" s="592">
        <v>0</v>
      </c>
      <c r="N2201" s="593">
        <v>31</v>
      </c>
      <c r="O2201" s="593">
        <v>0</v>
      </c>
      <c r="P2201" s="593">
        <v>77</v>
      </c>
      <c r="Q2201" s="593">
        <v>63</v>
      </c>
      <c r="R2201" s="593">
        <v>185</v>
      </c>
      <c r="S2201" s="593">
        <v>63</v>
      </c>
      <c r="T2201" s="593">
        <v>2019</v>
      </c>
      <c r="U2201" s="593">
        <v>2014</v>
      </c>
      <c r="V2201" s="589"/>
      <c r="W2201" s="589"/>
      <c r="X2201" s="589"/>
      <c r="Y2201" s="589"/>
      <c r="Z2201" s="589"/>
      <c r="AA2201" s="589"/>
      <c r="AB2201" s="589"/>
      <c r="AC2201" s="589"/>
      <c r="AD2201" s="589"/>
      <c r="AE2201" s="589"/>
      <c r="AF2201" s="589"/>
      <c r="AG2201" s="589"/>
      <c r="AH2201" s="589"/>
      <c r="AI2201" s="589"/>
      <c r="AJ2201" s="589"/>
      <c r="AK2201" s="589"/>
      <c r="AL2201" s="589"/>
      <c r="AM2201" s="589"/>
      <c r="AN2201" s="589"/>
      <c r="AO2201" s="589"/>
      <c r="AP2201" s="589"/>
      <c r="AQ2201" s="589"/>
      <c r="AR2201" s="589"/>
      <c r="AS2201" s="589"/>
    </row>
    <row r="2202" spans="1:45" ht="15">
      <c r="A2202" s="587" t="s">
        <v>187</v>
      </c>
      <c r="B2202" s="587" t="s">
        <v>652</v>
      </c>
      <c r="C2202" s="587" t="s">
        <v>782</v>
      </c>
      <c r="D2202" s="588">
        <v>2019</v>
      </c>
      <c r="E2202" s="587" t="s">
        <v>775</v>
      </c>
      <c r="F2202" s="588">
        <v>356</v>
      </c>
      <c r="G2202" s="588">
        <v>0</v>
      </c>
      <c r="H2202" s="588">
        <v>0</v>
      </c>
      <c r="I2202" s="588">
        <v>0</v>
      </c>
      <c r="J2202" s="588">
        <v>207</v>
      </c>
      <c r="K2202" s="588">
        <v>0</v>
      </c>
      <c r="L2202" s="588">
        <v>0</v>
      </c>
      <c r="M2202" s="588">
        <v>0</v>
      </c>
      <c r="N2202" s="588">
        <v>231</v>
      </c>
      <c r="O2202" s="588">
        <v>15</v>
      </c>
      <c r="P2202" s="588">
        <v>270</v>
      </c>
      <c r="Q2202" s="588">
        <v>24</v>
      </c>
      <c r="R2202" s="588">
        <v>1064</v>
      </c>
      <c r="S2202" s="588">
        <v>39</v>
      </c>
      <c r="T2202" s="588">
        <v>2019</v>
      </c>
      <c r="U2202" s="588">
        <v>2015</v>
      </c>
      <c r="V2202" s="589"/>
      <c r="W2202" s="589"/>
      <c r="X2202" s="589"/>
      <c r="Y2202" s="589"/>
      <c r="Z2202" s="589"/>
      <c r="AA2202" s="589"/>
      <c r="AB2202" s="589"/>
      <c r="AC2202" s="589"/>
      <c r="AD2202" s="589"/>
      <c r="AE2202" s="589"/>
      <c r="AF2202" s="589"/>
      <c r="AG2202" s="589"/>
      <c r="AH2202" s="589"/>
      <c r="AI2202" s="589"/>
      <c r="AJ2202" s="589"/>
      <c r="AK2202" s="589"/>
      <c r="AL2202" s="589"/>
      <c r="AM2202" s="589"/>
      <c r="AN2202" s="589"/>
      <c r="AO2202" s="589"/>
      <c r="AP2202" s="589"/>
      <c r="AQ2202" s="589"/>
      <c r="AR2202" s="589"/>
      <c r="AS2202" s="589"/>
    </row>
    <row r="2203" spans="1:45" ht="15">
      <c r="A2203" s="590" t="s">
        <v>169</v>
      </c>
      <c r="B2203" s="591" t="s">
        <v>490</v>
      </c>
      <c r="C2203" s="591" t="s">
        <v>813</v>
      </c>
      <c r="D2203" s="592">
        <v>2019</v>
      </c>
      <c r="E2203" s="591" t="s">
        <v>775</v>
      </c>
      <c r="F2203" s="592">
        <v>71</v>
      </c>
      <c r="G2203" s="592">
        <v>0</v>
      </c>
      <c r="H2203" s="592">
        <v>0</v>
      </c>
      <c r="I2203" s="592">
        <v>0</v>
      </c>
      <c r="J2203" s="592">
        <v>50</v>
      </c>
      <c r="K2203" s="592">
        <v>0</v>
      </c>
      <c r="L2203" s="592">
        <v>0</v>
      </c>
      <c r="M2203" s="592">
        <v>0</v>
      </c>
      <c r="N2203" s="593">
        <v>56</v>
      </c>
      <c r="O2203" s="593">
        <v>0</v>
      </c>
      <c r="P2203" s="593">
        <v>131</v>
      </c>
      <c r="Q2203" s="593">
        <v>0</v>
      </c>
      <c r="R2203" s="593">
        <v>308</v>
      </c>
      <c r="S2203" s="593">
        <v>0</v>
      </c>
      <c r="T2203" s="593">
        <v>2019</v>
      </c>
      <c r="U2203" s="593">
        <v>2014</v>
      </c>
      <c r="V2203" s="589"/>
      <c r="W2203" s="589"/>
      <c r="X2203" s="589"/>
      <c r="Y2203" s="589"/>
      <c r="Z2203" s="589"/>
      <c r="AA2203" s="589"/>
      <c r="AB2203" s="589"/>
      <c r="AC2203" s="589"/>
      <c r="AD2203" s="589"/>
      <c r="AE2203" s="589"/>
      <c r="AF2203" s="589"/>
      <c r="AG2203" s="589"/>
      <c r="AH2203" s="589"/>
      <c r="AI2203" s="589"/>
      <c r="AJ2203" s="589"/>
      <c r="AK2203" s="589"/>
      <c r="AL2203" s="589"/>
      <c r="AM2203" s="589"/>
      <c r="AN2203" s="589"/>
      <c r="AO2203" s="589"/>
      <c r="AP2203" s="589"/>
      <c r="AQ2203" s="589"/>
      <c r="AR2203" s="589"/>
      <c r="AS2203" s="589"/>
    </row>
    <row r="2204" spans="1:45" ht="15">
      <c r="A2204" s="587" t="s">
        <v>184</v>
      </c>
      <c r="B2204" s="587" t="s">
        <v>628</v>
      </c>
      <c r="C2204" s="587" t="s">
        <v>782</v>
      </c>
      <c r="D2204" s="588">
        <v>2019</v>
      </c>
      <c r="E2204" s="587" t="s">
        <v>775</v>
      </c>
      <c r="F2204" s="588">
        <v>400</v>
      </c>
      <c r="G2204" s="588">
        <v>0</v>
      </c>
      <c r="H2204" s="588">
        <v>0</v>
      </c>
      <c r="I2204" s="588">
        <v>0</v>
      </c>
      <c r="J2204" s="588">
        <v>188</v>
      </c>
      <c r="K2204" s="588">
        <v>35</v>
      </c>
      <c r="L2204" s="588">
        <v>0</v>
      </c>
      <c r="M2204" s="588">
        <v>35</v>
      </c>
      <c r="N2204" s="588">
        <v>221</v>
      </c>
      <c r="O2204" s="588">
        <v>36</v>
      </c>
      <c r="P2204" s="588">
        <v>541</v>
      </c>
      <c r="Q2204" s="588">
        <v>81</v>
      </c>
      <c r="R2204" s="588">
        <v>1350</v>
      </c>
      <c r="S2204" s="588">
        <v>152</v>
      </c>
      <c r="T2204" s="588">
        <v>2019</v>
      </c>
      <c r="U2204" s="588">
        <v>2015</v>
      </c>
      <c r="V2204" s="589"/>
      <c r="W2204" s="589"/>
      <c r="X2204" s="589"/>
      <c r="Y2204" s="589"/>
      <c r="Z2204" s="589"/>
      <c r="AA2204" s="589"/>
      <c r="AB2204" s="589"/>
      <c r="AC2204" s="589"/>
      <c r="AD2204" s="589"/>
      <c r="AE2204" s="589"/>
      <c r="AF2204" s="589"/>
      <c r="AG2204" s="589"/>
      <c r="AH2204" s="589"/>
      <c r="AI2204" s="589"/>
      <c r="AJ2204" s="589"/>
      <c r="AK2204" s="589"/>
      <c r="AL2204" s="589"/>
      <c r="AM2204" s="589"/>
      <c r="AN2204" s="589"/>
      <c r="AO2204" s="589"/>
      <c r="AP2204" s="589"/>
      <c r="AQ2204" s="589"/>
      <c r="AR2204" s="589"/>
      <c r="AS2204" s="589"/>
    </row>
    <row r="2205" spans="1:45" ht="15">
      <c r="A2205" s="590" t="s">
        <v>169</v>
      </c>
      <c r="B2205" s="591" t="s">
        <v>491</v>
      </c>
      <c r="C2205" s="591" t="s">
        <v>813</v>
      </c>
      <c r="D2205" s="592">
        <v>2019</v>
      </c>
      <c r="E2205" s="591" t="s">
        <v>775</v>
      </c>
      <c r="F2205" s="592">
        <v>76</v>
      </c>
      <c r="G2205" s="592">
        <v>0</v>
      </c>
      <c r="H2205" s="592">
        <v>0</v>
      </c>
      <c r="I2205" s="592">
        <v>0</v>
      </c>
      <c r="J2205" s="592">
        <v>53</v>
      </c>
      <c r="K2205" s="592">
        <v>8</v>
      </c>
      <c r="L2205" s="592">
        <v>0</v>
      </c>
      <c r="M2205" s="592">
        <v>8</v>
      </c>
      <c r="N2205" s="593">
        <v>61</v>
      </c>
      <c r="O2205" s="593">
        <v>1</v>
      </c>
      <c r="P2205" s="593">
        <v>137</v>
      </c>
      <c r="Q2205" s="593">
        <v>96</v>
      </c>
      <c r="R2205" s="593">
        <v>327</v>
      </c>
      <c r="S2205" s="593">
        <v>105</v>
      </c>
      <c r="T2205" s="593">
        <v>2019</v>
      </c>
      <c r="U2205" s="593">
        <v>2014</v>
      </c>
      <c r="V2205" s="589"/>
      <c r="W2205" s="589"/>
      <c r="X2205" s="589"/>
      <c r="Y2205" s="589"/>
      <c r="Z2205" s="589"/>
      <c r="AA2205" s="589"/>
      <c r="AB2205" s="589"/>
      <c r="AC2205" s="589"/>
      <c r="AD2205" s="589"/>
      <c r="AE2205" s="589"/>
      <c r="AF2205" s="589"/>
      <c r="AG2205" s="589"/>
      <c r="AH2205" s="589"/>
      <c r="AI2205" s="589"/>
      <c r="AJ2205" s="589"/>
      <c r="AK2205" s="589"/>
      <c r="AL2205" s="589"/>
      <c r="AM2205" s="589"/>
      <c r="AN2205" s="589"/>
      <c r="AO2205" s="589"/>
      <c r="AP2205" s="589"/>
      <c r="AQ2205" s="589"/>
      <c r="AR2205" s="589"/>
      <c r="AS2205" s="589"/>
    </row>
    <row r="2206" spans="1:45" ht="15">
      <c r="A2206" s="587" t="s">
        <v>136</v>
      </c>
      <c r="B2206" s="587" t="s">
        <v>270</v>
      </c>
      <c r="C2206" s="587" t="s">
        <v>782</v>
      </c>
      <c r="D2206" s="588">
        <v>2019</v>
      </c>
      <c r="E2206" s="587" t="s">
        <v>775</v>
      </c>
      <c r="F2206" s="588">
        <v>196</v>
      </c>
      <c r="G2206" s="588">
        <v>10</v>
      </c>
      <c r="H2206" s="588">
        <v>10</v>
      </c>
      <c r="I2206" s="588">
        <v>0</v>
      </c>
      <c r="J2206" s="588">
        <v>111</v>
      </c>
      <c r="K2206" s="588">
        <v>13</v>
      </c>
      <c r="L2206" s="588">
        <v>2</v>
      </c>
      <c r="M2206" s="588">
        <v>11</v>
      </c>
      <c r="N2206" s="588">
        <v>124</v>
      </c>
      <c r="O2206" s="588">
        <v>8</v>
      </c>
      <c r="P2206" s="588">
        <v>126</v>
      </c>
      <c r="Q2206" s="588">
        <v>176</v>
      </c>
      <c r="R2206" s="588">
        <v>557</v>
      </c>
      <c r="S2206" s="588">
        <v>207</v>
      </c>
      <c r="T2206" s="588">
        <v>2019</v>
      </c>
      <c r="U2206" s="588">
        <v>2015</v>
      </c>
      <c r="V2206" s="589"/>
      <c r="W2206" s="589"/>
      <c r="X2206" s="589"/>
      <c r="Y2206" s="589"/>
      <c r="Z2206" s="589"/>
      <c r="AA2206" s="589"/>
      <c r="AB2206" s="589"/>
      <c r="AC2206" s="589"/>
      <c r="AD2206" s="589"/>
      <c r="AE2206" s="589"/>
      <c r="AF2206" s="589"/>
      <c r="AG2206" s="589"/>
      <c r="AH2206" s="589"/>
      <c r="AI2206" s="589"/>
      <c r="AJ2206" s="589"/>
      <c r="AK2206" s="589"/>
      <c r="AL2206" s="589"/>
      <c r="AM2206" s="589"/>
      <c r="AN2206" s="589"/>
      <c r="AO2206" s="589"/>
      <c r="AP2206" s="589"/>
      <c r="AQ2206" s="589"/>
      <c r="AR2206" s="589"/>
      <c r="AS2206" s="589"/>
    </row>
    <row r="2207" spans="1:45" ht="15">
      <c r="A2207" s="590" t="s">
        <v>202</v>
      </c>
      <c r="B2207" s="591" t="s">
        <v>741</v>
      </c>
      <c r="C2207" s="591" t="s">
        <v>801</v>
      </c>
      <c r="D2207" s="592">
        <v>2019</v>
      </c>
      <c r="E2207" s="591" t="s">
        <v>775</v>
      </c>
      <c r="F2207" s="592">
        <v>248</v>
      </c>
      <c r="G2207" s="592">
        <v>8</v>
      </c>
      <c r="H2207" s="592">
        <v>8</v>
      </c>
      <c r="I2207" s="592">
        <v>0</v>
      </c>
      <c r="J2207" s="592">
        <v>174</v>
      </c>
      <c r="K2207" s="592">
        <v>69</v>
      </c>
      <c r="L2207" s="592">
        <v>47</v>
      </c>
      <c r="M2207" s="592">
        <v>22</v>
      </c>
      <c r="N2207" s="593">
        <v>198</v>
      </c>
      <c r="O2207" s="593">
        <v>169</v>
      </c>
      <c r="P2207" s="593">
        <v>446</v>
      </c>
      <c r="Q2207" s="593">
        <v>36</v>
      </c>
      <c r="R2207" s="593">
        <v>1066</v>
      </c>
      <c r="S2207" s="593">
        <v>282</v>
      </c>
      <c r="T2207" s="593">
        <v>2019</v>
      </c>
      <c r="U2207" s="593">
        <v>2014</v>
      </c>
      <c r="V2207" s="589"/>
      <c r="W2207" s="589"/>
      <c r="X2207" s="589"/>
      <c r="Y2207" s="589"/>
      <c r="Z2207" s="589"/>
      <c r="AA2207" s="589"/>
      <c r="AB2207" s="589"/>
      <c r="AC2207" s="589"/>
      <c r="AD2207" s="589"/>
      <c r="AE2207" s="589"/>
      <c r="AF2207" s="589"/>
      <c r="AG2207" s="589"/>
      <c r="AH2207" s="589"/>
      <c r="AI2207" s="589"/>
      <c r="AJ2207" s="589"/>
      <c r="AK2207" s="589"/>
      <c r="AL2207" s="589"/>
      <c r="AM2207" s="589"/>
      <c r="AN2207" s="589"/>
      <c r="AO2207" s="589"/>
      <c r="AP2207" s="589"/>
      <c r="AQ2207" s="589"/>
      <c r="AR2207" s="589"/>
      <c r="AS2207" s="589"/>
    </row>
    <row r="2208" spans="1:45" ht="15">
      <c r="A2208" s="587" t="s">
        <v>179</v>
      </c>
      <c r="B2208" s="587" t="s">
        <v>593</v>
      </c>
      <c r="C2208" s="587" t="s">
        <v>856</v>
      </c>
      <c r="D2208" s="588">
        <v>2019</v>
      </c>
      <c r="E2208" s="587" t="s">
        <v>775</v>
      </c>
      <c r="F2208" s="588">
        <v>7</v>
      </c>
      <c r="G2208" s="588">
        <v>0</v>
      </c>
      <c r="H2208" s="588">
        <v>0</v>
      </c>
      <c r="I2208" s="588">
        <v>0</v>
      </c>
      <c r="J2208" s="588">
        <v>5</v>
      </c>
      <c r="K2208" s="588">
        <v>1</v>
      </c>
      <c r="L2208" s="588">
        <v>1</v>
      </c>
      <c r="M2208" s="588">
        <v>0</v>
      </c>
      <c r="N2208" s="588">
        <v>15</v>
      </c>
      <c r="O2208" s="588">
        <v>3</v>
      </c>
      <c r="P2208" s="588">
        <v>34</v>
      </c>
      <c r="Q2208" s="588">
        <v>1</v>
      </c>
      <c r="R2208" s="588">
        <v>61</v>
      </c>
      <c r="S2208" s="588">
        <v>5</v>
      </c>
      <c r="T2208" s="588">
        <v>2019</v>
      </c>
      <c r="U2208" s="588">
        <v>2013</v>
      </c>
      <c r="V2208" s="589"/>
      <c r="W2208" s="589"/>
      <c r="X2208" s="589"/>
      <c r="Y2208" s="589"/>
      <c r="Z2208" s="589"/>
      <c r="AA2208" s="589"/>
      <c r="AB2208" s="589"/>
      <c r="AC2208" s="589"/>
      <c r="AD2208" s="589"/>
      <c r="AE2208" s="589"/>
      <c r="AF2208" s="589"/>
      <c r="AG2208" s="589"/>
      <c r="AH2208" s="589"/>
      <c r="AI2208" s="589"/>
      <c r="AJ2208" s="589"/>
      <c r="AK2208" s="589"/>
      <c r="AL2208" s="589"/>
      <c r="AM2208" s="589"/>
      <c r="AN2208" s="589"/>
      <c r="AO2208" s="589"/>
      <c r="AP2208" s="589"/>
      <c r="AQ2208" s="589"/>
      <c r="AR2208" s="589"/>
      <c r="AS2208" s="589"/>
    </row>
    <row r="2209" spans="1:45" ht="15">
      <c r="A2209" s="590" t="s">
        <v>138</v>
      </c>
      <c r="B2209" s="591" t="s">
        <v>286</v>
      </c>
      <c r="C2209" s="591" t="s">
        <v>785</v>
      </c>
      <c r="D2209" s="592">
        <v>2019</v>
      </c>
      <c r="E2209" s="591" t="s">
        <v>775</v>
      </c>
      <c r="F2209" s="592">
        <v>60</v>
      </c>
      <c r="G2209" s="592">
        <v>26</v>
      </c>
      <c r="H2209" s="592">
        <v>20</v>
      </c>
      <c r="I2209" s="592">
        <v>6</v>
      </c>
      <c r="J2209" s="592">
        <v>37</v>
      </c>
      <c r="K2209" s="592">
        <v>9</v>
      </c>
      <c r="L2209" s="592">
        <v>0</v>
      </c>
      <c r="M2209" s="592">
        <v>9</v>
      </c>
      <c r="N2209" s="593">
        <v>30</v>
      </c>
      <c r="O2209" s="593">
        <v>14</v>
      </c>
      <c r="P2209" s="593">
        <v>106</v>
      </c>
      <c r="Q2209" s="593">
        <v>31</v>
      </c>
      <c r="R2209" s="593">
        <v>233</v>
      </c>
      <c r="S2209" s="593">
        <v>80</v>
      </c>
      <c r="T2209" s="593">
        <v>2019</v>
      </c>
      <c r="U2209" s="593">
        <v>2014</v>
      </c>
      <c r="V2209" s="589"/>
      <c r="W2209" s="589"/>
      <c r="X2209" s="589"/>
      <c r="Y2209" s="589"/>
      <c r="Z2209" s="589"/>
      <c r="AA2209" s="589"/>
      <c r="AB2209" s="589"/>
      <c r="AC2209" s="589"/>
      <c r="AD2209" s="589"/>
      <c r="AE2209" s="589"/>
      <c r="AF2209" s="589"/>
      <c r="AG2209" s="589"/>
      <c r="AH2209" s="589"/>
      <c r="AI2209" s="589"/>
      <c r="AJ2209" s="589"/>
      <c r="AK2209" s="589"/>
      <c r="AL2209" s="589"/>
      <c r="AM2209" s="589"/>
      <c r="AN2209" s="589"/>
      <c r="AO2209" s="589"/>
      <c r="AP2209" s="589"/>
      <c r="AQ2209" s="589"/>
      <c r="AR2209" s="589"/>
      <c r="AS2209" s="589"/>
    </row>
    <row r="2210" spans="1:45" ht="15">
      <c r="A2210" s="587" t="s">
        <v>164</v>
      </c>
      <c r="B2210" s="587" t="s">
        <v>465</v>
      </c>
      <c r="C2210" s="587" t="s">
        <v>811</v>
      </c>
      <c r="D2210" s="588">
        <v>2019</v>
      </c>
      <c r="E2210" s="587" t="s">
        <v>775</v>
      </c>
      <c r="F2210" s="588">
        <v>7</v>
      </c>
      <c r="G2210" s="588">
        <v>0</v>
      </c>
      <c r="H2210" s="588">
        <v>0</v>
      </c>
      <c r="I2210" s="588">
        <v>0</v>
      </c>
      <c r="J2210" s="588">
        <v>4</v>
      </c>
      <c r="K2210" s="588">
        <v>0</v>
      </c>
      <c r="L2210" s="588">
        <v>0</v>
      </c>
      <c r="M2210" s="588">
        <v>0</v>
      </c>
      <c r="N2210" s="588">
        <v>5</v>
      </c>
      <c r="O2210" s="588">
        <v>0</v>
      </c>
      <c r="P2210" s="588">
        <v>11</v>
      </c>
      <c r="Q2210" s="588">
        <v>0</v>
      </c>
      <c r="R2210" s="588">
        <v>27</v>
      </c>
      <c r="S2210" s="588">
        <v>0</v>
      </c>
      <c r="T2210" s="588">
        <v>2019</v>
      </c>
      <c r="U2210" s="588">
        <v>2016</v>
      </c>
      <c r="V2210" s="589"/>
      <c r="W2210" s="589"/>
      <c r="X2210" s="589"/>
      <c r="Y2210" s="589"/>
      <c r="Z2210" s="589"/>
      <c r="AA2210" s="589"/>
      <c r="AB2210" s="589"/>
      <c r="AC2210" s="589"/>
      <c r="AD2210" s="589"/>
      <c r="AE2210" s="589"/>
      <c r="AF2210" s="589"/>
      <c r="AG2210" s="589"/>
      <c r="AH2210" s="589"/>
      <c r="AI2210" s="589"/>
      <c r="AJ2210" s="589"/>
      <c r="AK2210" s="589"/>
      <c r="AL2210" s="589"/>
      <c r="AM2210" s="589"/>
      <c r="AN2210" s="589"/>
      <c r="AO2210" s="589"/>
      <c r="AP2210" s="589"/>
      <c r="AQ2210" s="589"/>
      <c r="AR2210" s="589"/>
      <c r="AS2210" s="589"/>
    </row>
    <row r="2211" spans="1:45" ht="15">
      <c r="A2211" s="590" t="s">
        <v>148</v>
      </c>
      <c r="B2211" s="591" t="s">
        <v>327</v>
      </c>
      <c r="C2211" s="591" t="s">
        <v>811</v>
      </c>
      <c r="D2211" s="592">
        <v>2019</v>
      </c>
      <c r="E2211" s="591" t="s">
        <v>775</v>
      </c>
      <c r="F2211" s="592">
        <v>396</v>
      </c>
      <c r="G2211" s="592">
        <v>0</v>
      </c>
      <c r="H2211" s="592">
        <v>0</v>
      </c>
      <c r="I2211" s="592">
        <v>0</v>
      </c>
      <c r="J2211" s="592">
        <v>277</v>
      </c>
      <c r="K2211" s="592">
        <v>0</v>
      </c>
      <c r="L2211" s="592">
        <v>0</v>
      </c>
      <c r="M2211" s="592">
        <v>0</v>
      </c>
      <c r="N2211" s="593">
        <v>243</v>
      </c>
      <c r="O2211" s="593">
        <v>63</v>
      </c>
      <c r="P2211" s="593">
        <v>546</v>
      </c>
      <c r="Q2211" s="593">
        <v>0</v>
      </c>
      <c r="R2211" s="593">
        <v>1462</v>
      </c>
      <c r="S2211" s="593">
        <v>63</v>
      </c>
      <c r="T2211" s="593">
        <v>2019</v>
      </c>
      <c r="U2211" s="593">
        <v>2016</v>
      </c>
      <c r="V2211" s="589"/>
      <c r="W2211" s="589"/>
      <c r="X2211" s="589"/>
      <c r="Y2211" s="589"/>
      <c r="Z2211" s="589"/>
      <c r="AA2211" s="589"/>
      <c r="AB2211" s="589"/>
      <c r="AC2211" s="589"/>
      <c r="AD2211" s="589"/>
      <c r="AE2211" s="589"/>
      <c r="AF2211" s="589"/>
      <c r="AG2211" s="589"/>
      <c r="AH2211" s="589"/>
      <c r="AI2211" s="589"/>
      <c r="AJ2211" s="589"/>
      <c r="AK2211" s="589"/>
      <c r="AL2211" s="589"/>
      <c r="AM2211" s="589"/>
      <c r="AN2211" s="589"/>
      <c r="AO2211" s="589"/>
      <c r="AP2211" s="589"/>
      <c r="AQ2211" s="589"/>
      <c r="AR2211" s="589"/>
      <c r="AS2211" s="589"/>
    </row>
    <row r="2212" spans="1:45" ht="15">
      <c r="A2212" s="587" t="s">
        <v>173</v>
      </c>
      <c r="B2212" s="587" t="s">
        <v>536</v>
      </c>
      <c r="C2212" s="587" t="s">
        <v>813</v>
      </c>
      <c r="D2212" s="588">
        <v>2019</v>
      </c>
      <c r="E2212" s="587" t="s">
        <v>775</v>
      </c>
      <c r="F2212" s="588">
        <v>946</v>
      </c>
      <c r="G2212" s="588">
        <v>0</v>
      </c>
      <c r="H2212" s="588">
        <v>0</v>
      </c>
      <c r="I2212" s="588">
        <v>0</v>
      </c>
      <c r="J2212" s="588">
        <v>661</v>
      </c>
      <c r="K2212" s="588">
        <v>1</v>
      </c>
      <c r="L2212" s="588">
        <v>0</v>
      </c>
      <c r="M2212" s="588">
        <v>1</v>
      </c>
      <c r="N2212" s="588">
        <v>772</v>
      </c>
      <c r="O2212" s="588">
        <v>20</v>
      </c>
      <c r="P2212" s="588">
        <v>1817</v>
      </c>
      <c r="Q2212" s="588">
        <v>0</v>
      </c>
      <c r="R2212" s="588">
        <v>4196</v>
      </c>
      <c r="S2212" s="588">
        <v>21</v>
      </c>
      <c r="T2212" s="588">
        <v>2019</v>
      </c>
      <c r="U2212" s="588">
        <v>2014</v>
      </c>
      <c r="V2212" s="589"/>
      <c r="W2212" s="589"/>
      <c r="X2212" s="589"/>
      <c r="Y2212" s="589"/>
      <c r="Z2212" s="589"/>
      <c r="AA2212" s="589"/>
      <c r="AB2212" s="589"/>
      <c r="AC2212" s="589"/>
      <c r="AD2212" s="589"/>
      <c r="AE2212" s="589"/>
      <c r="AF2212" s="589"/>
      <c r="AG2212" s="589"/>
      <c r="AH2212" s="589"/>
      <c r="AI2212" s="589"/>
      <c r="AJ2212" s="589"/>
      <c r="AK2212" s="589"/>
      <c r="AL2212" s="589"/>
      <c r="AM2212" s="589"/>
      <c r="AN2212" s="589"/>
      <c r="AO2212" s="589"/>
      <c r="AP2212" s="589"/>
      <c r="AQ2212" s="589"/>
      <c r="AR2212" s="589"/>
      <c r="AS2212" s="589"/>
    </row>
    <row r="2213" spans="1:45" ht="15">
      <c r="A2213" s="590" t="s">
        <v>153</v>
      </c>
      <c r="B2213" s="591" t="s">
        <v>368</v>
      </c>
      <c r="C2213" s="591" t="s">
        <v>813</v>
      </c>
      <c r="D2213" s="592">
        <v>2019</v>
      </c>
      <c r="E2213" s="591" t="s">
        <v>775</v>
      </c>
      <c r="F2213" s="592">
        <v>308</v>
      </c>
      <c r="G2213" s="592">
        <v>1</v>
      </c>
      <c r="H2213" s="592">
        <v>0</v>
      </c>
      <c r="I2213" s="592">
        <v>1</v>
      </c>
      <c r="J2213" s="592">
        <v>182</v>
      </c>
      <c r="K2213" s="592">
        <v>5</v>
      </c>
      <c r="L2213" s="592">
        <v>0</v>
      </c>
      <c r="M2213" s="592">
        <v>5</v>
      </c>
      <c r="N2213" s="593">
        <v>190</v>
      </c>
      <c r="O2213" s="593">
        <v>0</v>
      </c>
      <c r="P2213" s="593">
        <v>466</v>
      </c>
      <c r="Q2213" s="593">
        <v>5</v>
      </c>
      <c r="R2213" s="593">
        <v>1146</v>
      </c>
      <c r="S2213" s="593">
        <v>11</v>
      </c>
      <c r="T2213" s="593">
        <v>2019</v>
      </c>
      <c r="U2213" s="593">
        <v>2014</v>
      </c>
      <c r="V2213" s="589"/>
      <c r="W2213" s="589"/>
      <c r="X2213" s="589"/>
      <c r="Y2213" s="589"/>
      <c r="Z2213" s="589"/>
      <c r="AA2213" s="589"/>
      <c r="AB2213" s="589"/>
      <c r="AC2213" s="589"/>
      <c r="AD2213" s="589"/>
      <c r="AE2213" s="589"/>
      <c r="AF2213" s="589"/>
      <c r="AG2213" s="589"/>
      <c r="AH2213" s="589"/>
      <c r="AI2213" s="589"/>
      <c r="AJ2213" s="589"/>
      <c r="AK2213" s="589"/>
      <c r="AL2213" s="589"/>
      <c r="AM2213" s="589"/>
      <c r="AN2213" s="589"/>
      <c r="AO2213" s="589"/>
      <c r="AP2213" s="589"/>
      <c r="AQ2213" s="589"/>
      <c r="AR2213" s="589"/>
      <c r="AS2213" s="589"/>
    </row>
    <row r="2214" spans="1:45" ht="15">
      <c r="A2214" s="587" t="s">
        <v>199</v>
      </c>
      <c r="B2214" s="587" t="s">
        <v>720</v>
      </c>
      <c r="C2214" s="587" t="s">
        <v>811</v>
      </c>
      <c r="D2214" s="588">
        <v>2019</v>
      </c>
      <c r="E2214" s="587" t="s">
        <v>775</v>
      </c>
      <c r="F2214" s="588">
        <v>211</v>
      </c>
      <c r="G2214" s="588">
        <v>2</v>
      </c>
      <c r="H2214" s="588">
        <v>0</v>
      </c>
      <c r="I2214" s="588">
        <v>2</v>
      </c>
      <c r="J2214" s="588">
        <v>163</v>
      </c>
      <c r="K2214" s="588">
        <v>0</v>
      </c>
      <c r="L2214" s="588">
        <v>0</v>
      </c>
      <c r="M2214" s="588">
        <v>0</v>
      </c>
      <c r="N2214" s="588">
        <v>121</v>
      </c>
      <c r="O2214" s="588">
        <v>25</v>
      </c>
      <c r="P2214" s="588">
        <v>470</v>
      </c>
      <c r="Q2214" s="588">
        <v>202</v>
      </c>
      <c r="R2214" s="588">
        <v>965</v>
      </c>
      <c r="S2214" s="588">
        <v>229</v>
      </c>
      <c r="T2214" s="588">
        <v>2019</v>
      </c>
      <c r="U2214" s="588">
        <v>2016</v>
      </c>
      <c r="V2214" s="589"/>
      <c r="W2214" s="589"/>
      <c r="X2214" s="589"/>
      <c r="Y2214" s="589"/>
      <c r="Z2214" s="589"/>
      <c r="AA2214" s="589"/>
      <c r="AB2214" s="589"/>
      <c r="AC2214" s="589"/>
      <c r="AD2214" s="589"/>
      <c r="AE2214" s="589"/>
      <c r="AF2214" s="589"/>
      <c r="AG2214" s="589"/>
      <c r="AH2214" s="589"/>
      <c r="AI2214" s="589"/>
      <c r="AJ2214" s="589"/>
      <c r="AK2214" s="589"/>
      <c r="AL2214" s="589"/>
      <c r="AM2214" s="589"/>
      <c r="AN2214" s="589"/>
      <c r="AO2214" s="589"/>
      <c r="AP2214" s="589"/>
      <c r="AQ2214" s="589"/>
      <c r="AR2214" s="589"/>
      <c r="AS2214" s="589"/>
    </row>
    <row r="2215" spans="1:45" ht="15">
      <c r="A2215" s="590" t="s">
        <v>192</v>
      </c>
      <c r="B2215" s="591" t="s">
        <v>687</v>
      </c>
      <c r="C2215" s="591" t="s">
        <v>782</v>
      </c>
      <c r="D2215" s="592">
        <v>2019</v>
      </c>
      <c r="E2215" s="591" t="s">
        <v>775</v>
      </c>
      <c r="F2215" s="592">
        <v>50</v>
      </c>
      <c r="G2215" s="592">
        <v>0</v>
      </c>
      <c r="H2215" s="592">
        <v>0</v>
      </c>
      <c r="I2215" s="592">
        <v>0</v>
      </c>
      <c r="J2215" s="592">
        <v>24</v>
      </c>
      <c r="K2215" s="592">
        <v>0</v>
      </c>
      <c r="L2215" s="592">
        <v>0</v>
      </c>
      <c r="M2215" s="592">
        <v>0</v>
      </c>
      <c r="N2215" s="593">
        <v>30</v>
      </c>
      <c r="O2215" s="593">
        <v>71</v>
      </c>
      <c r="P2215" s="593">
        <v>93</v>
      </c>
      <c r="Q2215" s="593">
        <v>44</v>
      </c>
      <c r="R2215" s="593">
        <v>197</v>
      </c>
      <c r="S2215" s="593">
        <v>115</v>
      </c>
      <c r="T2215" s="593">
        <v>2019</v>
      </c>
      <c r="U2215" s="593">
        <v>2015</v>
      </c>
      <c r="V2215" s="589"/>
      <c r="W2215" s="589"/>
      <c r="X2215" s="589"/>
      <c r="Y2215" s="589"/>
      <c r="Z2215" s="589"/>
      <c r="AA2215" s="589"/>
      <c r="AB2215" s="589"/>
      <c r="AC2215" s="589"/>
      <c r="AD2215" s="589"/>
      <c r="AE2215" s="589"/>
      <c r="AF2215" s="589"/>
      <c r="AG2215" s="589"/>
      <c r="AH2215" s="589"/>
      <c r="AI2215" s="589"/>
      <c r="AJ2215" s="589"/>
      <c r="AK2215" s="589"/>
      <c r="AL2215" s="589"/>
      <c r="AM2215" s="589"/>
      <c r="AN2215" s="589"/>
      <c r="AO2215" s="589"/>
      <c r="AP2215" s="589"/>
      <c r="AQ2215" s="589"/>
      <c r="AR2215" s="589"/>
      <c r="AS2215" s="589"/>
    </row>
    <row r="2216" spans="1:45" ht="15">
      <c r="A2216" s="587" t="s">
        <v>191</v>
      </c>
      <c r="B2216" s="587" t="s">
        <v>676</v>
      </c>
      <c r="C2216" s="587" t="s">
        <v>785</v>
      </c>
      <c r="D2216" s="588">
        <v>2019</v>
      </c>
      <c r="E2216" s="587" t="s">
        <v>775</v>
      </c>
      <c r="F2216" s="588">
        <v>3</v>
      </c>
      <c r="G2216" s="588">
        <v>0</v>
      </c>
      <c r="H2216" s="588">
        <v>0</v>
      </c>
      <c r="I2216" s="588">
        <v>0</v>
      </c>
      <c r="J2216" s="588">
        <v>2</v>
      </c>
      <c r="K2216" s="588">
        <v>0</v>
      </c>
      <c r="L2216" s="588">
        <v>0</v>
      </c>
      <c r="M2216" s="588">
        <v>0</v>
      </c>
      <c r="N2216" s="588">
        <v>2</v>
      </c>
      <c r="O2216" s="588">
        <v>0</v>
      </c>
      <c r="P2216" s="588">
        <v>5</v>
      </c>
      <c r="Q2216" s="588">
        <v>0</v>
      </c>
      <c r="R2216" s="588">
        <v>12</v>
      </c>
      <c r="S2216" s="588">
        <v>0</v>
      </c>
      <c r="T2216" s="588">
        <v>2019</v>
      </c>
      <c r="U2216" s="588">
        <v>2014</v>
      </c>
      <c r="V2216" s="589"/>
      <c r="W2216" s="589"/>
      <c r="X2216" s="589"/>
      <c r="Y2216" s="589"/>
      <c r="Z2216" s="589"/>
      <c r="AA2216" s="589"/>
      <c r="AB2216" s="589"/>
      <c r="AC2216" s="589"/>
      <c r="AD2216" s="589"/>
      <c r="AE2216" s="589"/>
      <c r="AF2216" s="589"/>
      <c r="AG2216" s="589"/>
      <c r="AH2216" s="589"/>
      <c r="AI2216" s="589"/>
      <c r="AJ2216" s="589"/>
      <c r="AK2216" s="589"/>
      <c r="AL2216" s="589"/>
      <c r="AM2216" s="589"/>
      <c r="AN2216" s="589"/>
      <c r="AO2216" s="589"/>
      <c r="AP2216" s="589"/>
      <c r="AQ2216" s="589"/>
      <c r="AR2216" s="589"/>
      <c r="AS2216" s="589"/>
    </row>
    <row r="2217" spans="1:45" ht="15">
      <c r="A2217" s="590" t="s">
        <v>160</v>
      </c>
      <c r="B2217" s="591" t="s">
        <v>455</v>
      </c>
      <c r="C2217" s="591" t="s">
        <v>829</v>
      </c>
      <c r="D2217" s="592">
        <v>2019</v>
      </c>
      <c r="E2217" s="591" t="s">
        <v>775</v>
      </c>
      <c r="F2217" s="592">
        <v>71</v>
      </c>
      <c r="G2217" s="592">
        <v>0</v>
      </c>
      <c r="H2217" s="592">
        <v>0</v>
      </c>
      <c r="I2217" s="592">
        <v>0</v>
      </c>
      <c r="J2217" s="592">
        <v>27</v>
      </c>
      <c r="K2217" s="592">
        <v>0</v>
      </c>
      <c r="L2217" s="592">
        <v>0</v>
      </c>
      <c r="M2217" s="592">
        <v>0</v>
      </c>
      <c r="N2217" s="593">
        <v>47</v>
      </c>
      <c r="O2217" s="593">
        <v>0</v>
      </c>
      <c r="P2217" s="593">
        <v>124</v>
      </c>
      <c r="Q2217" s="593">
        <v>0</v>
      </c>
      <c r="R2217" s="593">
        <v>269</v>
      </c>
      <c r="S2217" s="593">
        <v>0</v>
      </c>
      <c r="T2217" s="593">
        <v>2019</v>
      </c>
      <c r="U2217" s="593">
        <v>2016</v>
      </c>
      <c r="V2217" s="589"/>
      <c r="W2217" s="589"/>
      <c r="X2217" s="589"/>
      <c r="Y2217" s="589"/>
      <c r="Z2217" s="589"/>
      <c r="AA2217" s="589"/>
      <c r="AB2217" s="589"/>
      <c r="AC2217" s="589"/>
      <c r="AD2217" s="589"/>
      <c r="AE2217" s="589"/>
      <c r="AF2217" s="589"/>
      <c r="AG2217" s="589"/>
      <c r="AH2217" s="589"/>
      <c r="AI2217" s="589"/>
      <c r="AJ2217" s="589"/>
      <c r="AK2217" s="589"/>
      <c r="AL2217" s="589"/>
      <c r="AM2217" s="589"/>
      <c r="AN2217" s="589"/>
      <c r="AO2217" s="589"/>
      <c r="AP2217" s="589"/>
      <c r="AQ2217" s="589"/>
      <c r="AR2217" s="589"/>
      <c r="AS2217" s="589"/>
    </row>
    <row r="2218" spans="1:45" ht="15">
      <c r="A2218" s="587" t="s">
        <v>153</v>
      </c>
      <c r="B2218" s="587" t="s">
        <v>369</v>
      </c>
      <c r="C2218" s="587" t="s">
        <v>813</v>
      </c>
      <c r="D2218" s="588">
        <v>2019</v>
      </c>
      <c r="E2218" s="587" t="s">
        <v>775</v>
      </c>
      <c r="F2218" s="588">
        <v>210</v>
      </c>
      <c r="G2218" s="588">
        <v>0</v>
      </c>
      <c r="H2218" s="588">
        <v>0</v>
      </c>
      <c r="I2218" s="588">
        <v>0</v>
      </c>
      <c r="J2218" s="588">
        <v>123</v>
      </c>
      <c r="K2218" s="588">
        <v>0</v>
      </c>
      <c r="L2218" s="588">
        <v>0</v>
      </c>
      <c r="M2218" s="588">
        <v>0</v>
      </c>
      <c r="N2218" s="588">
        <v>135</v>
      </c>
      <c r="O2218" s="588">
        <v>0</v>
      </c>
      <c r="P2218" s="588">
        <v>346</v>
      </c>
      <c r="Q2218" s="588">
        <v>41</v>
      </c>
      <c r="R2218" s="588">
        <v>814</v>
      </c>
      <c r="S2218" s="588">
        <v>41</v>
      </c>
      <c r="T2218" s="588">
        <v>2019</v>
      </c>
      <c r="U2218" s="588">
        <v>2014</v>
      </c>
      <c r="V2218" s="589"/>
      <c r="W2218" s="589"/>
      <c r="X2218" s="589"/>
      <c r="Y2218" s="589"/>
      <c r="Z2218" s="589"/>
      <c r="AA2218" s="589"/>
      <c r="AB2218" s="589"/>
      <c r="AC2218" s="589"/>
      <c r="AD2218" s="589"/>
      <c r="AE2218" s="589"/>
      <c r="AF2218" s="589"/>
      <c r="AG2218" s="589"/>
      <c r="AH2218" s="589"/>
      <c r="AI2218" s="589"/>
      <c r="AJ2218" s="589"/>
      <c r="AK2218" s="589"/>
      <c r="AL2218" s="589"/>
      <c r="AM2218" s="589"/>
      <c r="AN2218" s="589"/>
      <c r="AO2218" s="589"/>
      <c r="AP2218" s="589"/>
      <c r="AQ2218" s="589"/>
      <c r="AR2218" s="589"/>
      <c r="AS2218" s="589"/>
    </row>
    <row r="2219" spans="1:45" ht="15">
      <c r="A2219" s="590" t="s">
        <v>153</v>
      </c>
      <c r="B2219" s="591" t="s">
        <v>370</v>
      </c>
      <c r="C2219" s="591" t="s">
        <v>813</v>
      </c>
      <c r="D2219" s="592">
        <v>2019</v>
      </c>
      <c r="E2219" s="591" t="s">
        <v>775</v>
      </c>
      <c r="F2219" s="592">
        <v>87</v>
      </c>
      <c r="G2219" s="592">
        <v>0</v>
      </c>
      <c r="H2219" s="592">
        <v>0</v>
      </c>
      <c r="I2219" s="592">
        <v>0</v>
      </c>
      <c r="J2219" s="592">
        <v>53</v>
      </c>
      <c r="K2219" s="592">
        <v>0</v>
      </c>
      <c r="L2219" s="592">
        <v>0</v>
      </c>
      <c r="M2219" s="592">
        <v>0</v>
      </c>
      <c r="N2219" s="593">
        <v>55</v>
      </c>
      <c r="O2219" s="593">
        <v>0</v>
      </c>
      <c r="P2219" s="593">
        <v>142</v>
      </c>
      <c r="Q2219" s="593">
        <v>186</v>
      </c>
      <c r="R2219" s="593">
        <v>337</v>
      </c>
      <c r="S2219" s="593">
        <v>186</v>
      </c>
      <c r="T2219" s="593">
        <v>2019</v>
      </c>
      <c r="U2219" s="593">
        <v>2014</v>
      </c>
      <c r="V2219" s="589"/>
      <c r="W2219" s="589"/>
      <c r="X2219" s="589"/>
      <c r="Y2219" s="589"/>
      <c r="Z2219" s="589"/>
      <c r="AA2219" s="589"/>
      <c r="AB2219" s="589"/>
      <c r="AC2219" s="589"/>
      <c r="AD2219" s="589"/>
      <c r="AE2219" s="589"/>
      <c r="AF2219" s="589"/>
      <c r="AG2219" s="589"/>
      <c r="AH2219" s="589"/>
      <c r="AI2219" s="589"/>
      <c r="AJ2219" s="589"/>
      <c r="AK2219" s="589"/>
      <c r="AL2219" s="589"/>
      <c r="AM2219" s="589"/>
      <c r="AN2219" s="589"/>
      <c r="AO2219" s="589"/>
      <c r="AP2219" s="589"/>
      <c r="AQ2219" s="589"/>
      <c r="AR2219" s="589"/>
      <c r="AS2219" s="589"/>
    </row>
    <row r="2220" spans="1:45" ht="15">
      <c r="A2220" s="587" t="s">
        <v>125</v>
      </c>
      <c r="B2220" s="587" t="s">
        <v>236</v>
      </c>
      <c r="C2220" s="587" t="s">
        <v>782</v>
      </c>
      <c r="D2220" s="588">
        <v>2019</v>
      </c>
      <c r="E2220" s="587" t="s">
        <v>775</v>
      </c>
      <c r="F2220" s="588">
        <v>796</v>
      </c>
      <c r="G2220" s="588">
        <v>0</v>
      </c>
      <c r="H2220" s="588">
        <v>0</v>
      </c>
      <c r="I2220" s="588">
        <v>0</v>
      </c>
      <c r="J2220" s="588">
        <v>446</v>
      </c>
      <c r="K2220" s="588">
        <v>0</v>
      </c>
      <c r="L2220" s="588">
        <v>0</v>
      </c>
      <c r="M2220" s="588">
        <v>0</v>
      </c>
      <c r="N2220" s="588">
        <v>425</v>
      </c>
      <c r="O2220" s="588">
        <v>8</v>
      </c>
      <c r="P2220" s="588">
        <v>618</v>
      </c>
      <c r="Q2220" s="588">
        <v>233</v>
      </c>
      <c r="R2220" s="588">
        <v>2285</v>
      </c>
      <c r="S2220" s="588">
        <v>241</v>
      </c>
      <c r="T2220" s="588">
        <v>2019</v>
      </c>
      <c r="U2220" s="588">
        <v>2015</v>
      </c>
      <c r="V2220" s="589"/>
      <c r="W2220" s="589"/>
      <c r="X2220" s="589"/>
      <c r="Y2220" s="589"/>
      <c r="Z2220" s="589"/>
      <c r="AA2220" s="589"/>
      <c r="AB2220" s="589"/>
      <c r="AC2220" s="589"/>
      <c r="AD2220" s="589"/>
      <c r="AE2220" s="589"/>
      <c r="AF2220" s="589"/>
      <c r="AG2220" s="589"/>
      <c r="AH2220" s="589"/>
      <c r="AI2220" s="589"/>
      <c r="AJ2220" s="589"/>
      <c r="AK2220" s="589"/>
      <c r="AL2220" s="589"/>
      <c r="AM2220" s="589"/>
      <c r="AN2220" s="589"/>
      <c r="AO2220" s="589"/>
      <c r="AP2220" s="589"/>
      <c r="AQ2220" s="589"/>
      <c r="AR2220" s="589"/>
      <c r="AS2220" s="589"/>
    </row>
    <row r="2221" spans="1:45" ht="15">
      <c r="A2221" s="590" t="s">
        <v>191</v>
      </c>
      <c r="B2221" s="591" t="s">
        <v>677</v>
      </c>
      <c r="C2221" s="591" t="s">
        <v>785</v>
      </c>
      <c r="D2221" s="592">
        <v>2019</v>
      </c>
      <c r="E2221" s="591" t="s">
        <v>775</v>
      </c>
      <c r="F2221" s="592">
        <v>6</v>
      </c>
      <c r="G2221" s="592">
        <v>0</v>
      </c>
      <c r="H2221" s="592">
        <v>0</v>
      </c>
      <c r="I2221" s="592">
        <v>0</v>
      </c>
      <c r="J2221" s="592">
        <v>4</v>
      </c>
      <c r="K2221" s="592">
        <v>0</v>
      </c>
      <c r="L2221" s="592">
        <v>0</v>
      </c>
      <c r="M2221" s="592">
        <v>0</v>
      </c>
      <c r="N2221" s="593">
        <v>4</v>
      </c>
      <c r="O2221" s="593">
        <v>0</v>
      </c>
      <c r="P2221" s="593">
        <v>9</v>
      </c>
      <c r="Q2221" s="593">
        <v>0</v>
      </c>
      <c r="R2221" s="593">
        <v>23</v>
      </c>
      <c r="S2221" s="593">
        <v>0</v>
      </c>
      <c r="T2221" s="593">
        <v>2019</v>
      </c>
      <c r="U2221" s="593">
        <v>2014</v>
      </c>
      <c r="V2221" s="589"/>
      <c r="W2221" s="589"/>
      <c r="X2221" s="589"/>
      <c r="Y2221" s="589"/>
      <c r="Z2221" s="589"/>
      <c r="AA2221" s="589"/>
      <c r="AB2221" s="589"/>
      <c r="AC2221" s="589"/>
      <c r="AD2221" s="589"/>
      <c r="AE2221" s="589"/>
      <c r="AF2221" s="589"/>
      <c r="AG2221" s="589"/>
      <c r="AH2221" s="589"/>
      <c r="AI2221" s="589"/>
      <c r="AJ2221" s="589"/>
      <c r="AK2221" s="589"/>
      <c r="AL2221" s="589"/>
      <c r="AM2221" s="589"/>
      <c r="AN2221" s="589"/>
      <c r="AO2221" s="589"/>
      <c r="AP2221" s="589"/>
      <c r="AQ2221" s="589"/>
      <c r="AR2221" s="589"/>
      <c r="AS2221" s="589"/>
    </row>
    <row r="2222" spans="1:45" ht="15">
      <c r="A2222" s="587" t="s">
        <v>184</v>
      </c>
      <c r="B2222" s="587" t="s">
        <v>629</v>
      </c>
      <c r="C2222" s="587" t="s">
        <v>782</v>
      </c>
      <c r="D2222" s="588">
        <v>2019</v>
      </c>
      <c r="E2222" s="587" t="s">
        <v>775</v>
      </c>
      <c r="F2222" s="588">
        <v>64</v>
      </c>
      <c r="G2222" s="588">
        <v>4</v>
      </c>
      <c r="H2222" s="588">
        <v>0</v>
      </c>
      <c r="I2222" s="588">
        <v>4</v>
      </c>
      <c r="J2222" s="588">
        <v>54</v>
      </c>
      <c r="K2222" s="588">
        <v>2</v>
      </c>
      <c r="L2222" s="588">
        <v>0</v>
      </c>
      <c r="M2222" s="588">
        <v>2</v>
      </c>
      <c r="N2222" s="588">
        <v>83</v>
      </c>
      <c r="O2222" s="588">
        <v>2</v>
      </c>
      <c r="P2222" s="588">
        <v>266</v>
      </c>
      <c r="Q2222" s="588">
        <v>1</v>
      </c>
      <c r="R2222" s="588">
        <v>467</v>
      </c>
      <c r="S2222" s="588">
        <v>9</v>
      </c>
      <c r="T2222" s="588">
        <v>2019</v>
      </c>
      <c r="U2222" s="588">
        <v>2015</v>
      </c>
      <c r="V2222" s="589"/>
      <c r="W2222" s="589"/>
      <c r="X2222" s="589"/>
      <c r="Y2222" s="589"/>
      <c r="Z2222" s="589"/>
      <c r="AA2222" s="589"/>
      <c r="AB2222" s="589"/>
      <c r="AC2222" s="589"/>
      <c r="AD2222" s="589"/>
      <c r="AE2222" s="589"/>
      <c r="AF2222" s="589"/>
      <c r="AG2222" s="589"/>
      <c r="AH2222" s="589"/>
      <c r="AI2222" s="589"/>
      <c r="AJ2222" s="589"/>
      <c r="AK2222" s="589"/>
      <c r="AL2222" s="589"/>
      <c r="AM2222" s="589"/>
      <c r="AN2222" s="589"/>
      <c r="AO2222" s="589"/>
      <c r="AP2222" s="589"/>
      <c r="AQ2222" s="589"/>
      <c r="AR2222" s="589"/>
      <c r="AS2222" s="589"/>
    </row>
    <row r="2223" spans="1:45" ht="15">
      <c r="A2223" s="590" t="s">
        <v>179</v>
      </c>
      <c r="B2223" s="591" t="s">
        <v>594</v>
      </c>
      <c r="C2223" s="591" t="s">
        <v>856</v>
      </c>
      <c r="D2223" s="592">
        <v>2019</v>
      </c>
      <c r="E2223" s="591" t="s">
        <v>775</v>
      </c>
      <c r="F2223" s="592">
        <v>1448</v>
      </c>
      <c r="G2223" s="592">
        <v>0</v>
      </c>
      <c r="H2223" s="592">
        <v>0</v>
      </c>
      <c r="I2223" s="592">
        <v>0</v>
      </c>
      <c r="J2223" s="592">
        <v>1101</v>
      </c>
      <c r="K2223" s="592">
        <v>85</v>
      </c>
      <c r="L2223" s="592">
        <v>1</v>
      </c>
      <c r="M2223" s="592">
        <v>84</v>
      </c>
      <c r="N2223" s="593">
        <v>1019</v>
      </c>
      <c r="O2223" s="593">
        <v>0</v>
      </c>
      <c r="P2223" s="593">
        <v>2237</v>
      </c>
      <c r="Q2223" s="593">
        <v>147</v>
      </c>
      <c r="R2223" s="593">
        <v>5805</v>
      </c>
      <c r="S2223" s="593">
        <v>232</v>
      </c>
      <c r="T2223" s="593">
        <v>2019</v>
      </c>
      <c r="U2223" s="593">
        <v>2013</v>
      </c>
      <c r="V2223" s="589"/>
      <c r="W2223" s="589"/>
      <c r="X2223" s="589"/>
      <c r="Y2223" s="589"/>
      <c r="Z2223" s="589"/>
      <c r="AA2223" s="589"/>
      <c r="AB2223" s="589"/>
      <c r="AC2223" s="589"/>
      <c r="AD2223" s="589"/>
      <c r="AE2223" s="589"/>
      <c r="AF2223" s="589"/>
      <c r="AG2223" s="589"/>
      <c r="AH2223" s="589"/>
      <c r="AI2223" s="589"/>
      <c r="AJ2223" s="589"/>
      <c r="AK2223" s="589"/>
      <c r="AL2223" s="589"/>
      <c r="AM2223" s="589"/>
      <c r="AN2223" s="589"/>
      <c r="AO2223" s="589"/>
      <c r="AP2223" s="589"/>
      <c r="AQ2223" s="589"/>
      <c r="AR2223" s="589"/>
      <c r="AS2223" s="589"/>
    </row>
    <row r="2224" spans="1:45" ht="15">
      <c r="A2224" s="587" t="s">
        <v>146</v>
      </c>
      <c r="B2224" s="587" t="s">
        <v>318</v>
      </c>
      <c r="C2224" s="587" t="s">
        <v>813</v>
      </c>
      <c r="D2224" s="588">
        <v>2019</v>
      </c>
      <c r="E2224" s="587" t="s">
        <v>775</v>
      </c>
      <c r="F2224" s="588">
        <v>487</v>
      </c>
      <c r="G2224" s="588">
        <v>10</v>
      </c>
      <c r="H2224" s="588">
        <v>0</v>
      </c>
      <c r="I2224" s="588">
        <v>10</v>
      </c>
      <c r="J2224" s="588">
        <v>300</v>
      </c>
      <c r="K2224" s="588">
        <v>9</v>
      </c>
      <c r="L2224" s="588">
        <v>0</v>
      </c>
      <c r="M2224" s="588">
        <v>9</v>
      </c>
      <c r="N2224" s="588">
        <v>297</v>
      </c>
      <c r="O2224" s="588">
        <v>74</v>
      </c>
      <c r="P2224" s="588">
        <v>840</v>
      </c>
      <c r="Q2224" s="588">
        <v>5</v>
      </c>
      <c r="R2224" s="588">
        <v>1924</v>
      </c>
      <c r="S2224" s="588">
        <v>98</v>
      </c>
      <c r="T2224" s="588">
        <v>2019</v>
      </c>
      <c r="U2224" s="588">
        <v>2014</v>
      </c>
      <c r="V2224" s="589"/>
      <c r="W2224" s="589"/>
      <c r="X2224" s="589"/>
      <c r="Y2224" s="589"/>
      <c r="Z2224" s="589"/>
      <c r="AA2224" s="589"/>
      <c r="AB2224" s="589"/>
      <c r="AC2224" s="589"/>
      <c r="AD2224" s="589"/>
      <c r="AE2224" s="589"/>
      <c r="AF2224" s="589"/>
      <c r="AG2224" s="589"/>
      <c r="AH2224" s="589"/>
      <c r="AI2224" s="589"/>
      <c r="AJ2224" s="589"/>
      <c r="AK2224" s="589"/>
      <c r="AL2224" s="589"/>
      <c r="AM2224" s="589"/>
      <c r="AN2224" s="589"/>
      <c r="AO2224" s="589"/>
      <c r="AP2224" s="589"/>
      <c r="AQ2224" s="589"/>
      <c r="AR2224" s="589"/>
      <c r="AS2224" s="589"/>
    </row>
    <row r="2225" spans="1:45" ht="15">
      <c r="A2225" s="590" t="s">
        <v>136</v>
      </c>
      <c r="B2225" s="591" t="s">
        <v>271</v>
      </c>
      <c r="C2225" s="591" t="s">
        <v>782</v>
      </c>
      <c r="D2225" s="592">
        <v>2019</v>
      </c>
      <c r="E2225" s="591" t="s">
        <v>775</v>
      </c>
      <c r="F2225" s="592">
        <v>100</v>
      </c>
      <c r="G2225" s="592">
        <v>0</v>
      </c>
      <c r="H2225" s="592">
        <v>0</v>
      </c>
      <c r="I2225" s="592">
        <v>0</v>
      </c>
      <c r="J2225" s="592">
        <v>63</v>
      </c>
      <c r="K2225" s="592">
        <v>0</v>
      </c>
      <c r="L2225" s="592">
        <v>0</v>
      </c>
      <c r="M2225" s="592">
        <v>0</v>
      </c>
      <c r="N2225" s="593">
        <v>69</v>
      </c>
      <c r="O2225" s="593">
        <v>0</v>
      </c>
      <c r="P2225" s="593">
        <v>166</v>
      </c>
      <c r="Q2225" s="593">
        <v>136</v>
      </c>
      <c r="R2225" s="593">
        <v>398</v>
      </c>
      <c r="S2225" s="593">
        <v>136</v>
      </c>
      <c r="T2225" s="593">
        <v>2019</v>
      </c>
      <c r="U2225" s="593">
        <v>2015</v>
      </c>
      <c r="V2225" s="589"/>
      <c r="W2225" s="589"/>
      <c r="X2225" s="589"/>
      <c r="Y2225" s="589"/>
      <c r="Z2225" s="589"/>
      <c r="AA2225" s="589"/>
      <c r="AB2225" s="589"/>
      <c r="AC2225" s="589"/>
      <c r="AD2225" s="589"/>
      <c r="AE2225" s="589"/>
      <c r="AF2225" s="589"/>
      <c r="AG2225" s="589"/>
      <c r="AH2225" s="589"/>
      <c r="AI2225" s="589"/>
      <c r="AJ2225" s="589"/>
      <c r="AK2225" s="589"/>
      <c r="AL2225" s="589"/>
      <c r="AM2225" s="589"/>
      <c r="AN2225" s="589"/>
      <c r="AO2225" s="589"/>
      <c r="AP2225" s="589"/>
      <c r="AQ2225" s="589"/>
      <c r="AR2225" s="589"/>
      <c r="AS2225" s="589"/>
    </row>
    <row r="2226" spans="1:45" ht="15">
      <c r="A2226" s="587" t="s">
        <v>139</v>
      </c>
      <c r="B2226" s="587" t="s">
        <v>287</v>
      </c>
      <c r="C2226" s="587" t="s">
        <v>801</v>
      </c>
      <c r="D2226" s="588">
        <v>2019</v>
      </c>
      <c r="E2226" s="587" t="s">
        <v>775</v>
      </c>
      <c r="F2226" s="588">
        <v>1086</v>
      </c>
      <c r="G2226" s="588">
        <v>0</v>
      </c>
      <c r="H2226" s="588">
        <v>0</v>
      </c>
      <c r="I2226" s="588">
        <v>0</v>
      </c>
      <c r="J2226" s="588">
        <v>762</v>
      </c>
      <c r="K2226" s="588">
        <v>1</v>
      </c>
      <c r="L2226" s="588">
        <v>1</v>
      </c>
      <c r="M2226" s="588">
        <v>0</v>
      </c>
      <c r="N2226" s="588">
        <v>823</v>
      </c>
      <c r="O2226" s="588">
        <v>59</v>
      </c>
      <c r="P2226" s="588">
        <v>1757</v>
      </c>
      <c r="Q2226" s="588">
        <v>476</v>
      </c>
      <c r="R2226" s="588">
        <v>4428</v>
      </c>
      <c r="S2226" s="588">
        <v>536</v>
      </c>
      <c r="T2226" s="588">
        <v>2019</v>
      </c>
      <c r="U2226" s="588">
        <v>2014</v>
      </c>
      <c r="V2226" s="589"/>
      <c r="W2226" s="589"/>
      <c r="X2226" s="589"/>
      <c r="Y2226" s="589"/>
      <c r="Z2226" s="589"/>
      <c r="AA2226" s="589"/>
      <c r="AB2226" s="589"/>
      <c r="AC2226" s="589"/>
      <c r="AD2226" s="589"/>
      <c r="AE2226" s="589"/>
      <c r="AF2226" s="589"/>
      <c r="AG2226" s="589"/>
      <c r="AH2226" s="589"/>
      <c r="AI2226" s="589"/>
      <c r="AJ2226" s="589"/>
      <c r="AK2226" s="589"/>
      <c r="AL2226" s="589"/>
      <c r="AM2226" s="589"/>
      <c r="AN2226" s="589"/>
      <c r="AO2226" s="589"/>
      <c r="AP2226" s="589"/>
      <c r="AQ2226" s="589"/>
      <c r="AR2226" s="589"/>
      <c r="AS2226" s="589"/>
    </row>
    <row r="2227" spans="1:45" ht="15">
      <c r="A2227" s="590" t="s">
        <v>153</v>
      </c>
      <c r="B2227" s="591" t="s">
        <v>371</v>
      </c>
      <c r="C2227" s="591" t="s">
        <v>813</v>
      </c>
      <c r="D2227" s="592">
        <v>2019</v>
      </c>
      <c r="E2227" s="591" t="s">
        <v>775</v>
      </c>
      <c r="F2227" s="592">
        <v>529</v>
      </c>
      <c r="G2227" s="592">
        <v>0</v>
      </c>
      <c r="H2227" s="592">
        <v>0</v>
      </c>
      <c r="I2227" s="592">
        <v>0</v>
      </c>
      <c r="J2227" s="592">
        <v>315</v>
      </c>
      <c r="K2227" s="592">
        <v>0</v>
      </c>
      <c r="L2227" s="592">
        <v>0</v>
      </c>
      <c r="M2227" s="592">
        <v>0</v>
      </c>
      <c r="N2227" s="593">
        <v>352</v>
      </c>
      <c r="O2227" s="593">
        <v>0</v>
      </c>
      <c r="P2227" s="593">
        <v>946</v>
      </c>
      <c r="Q2227" s="593">
        <v>113</v>
      </c>
      <c r="R2227" s="593">
        <v>2142</v>
      </c>
      <c r="S2227" s="593">
        <v>113</v>
      </c>
      <c r="T2227" s="593">
        <v>2019</v>
      </c>
      <c r="U2227" s="593">
        <v>2014</v>
      </c>
      <c r="V2227" s="589"/>
      <c r="W2227" s="589"/>
      <c r="X2227" s="589"/>
      <c r="Y2227" s="589"/>
      <c r="Z2227" s="589"/>
      <c r="AA2227" s="589"/>
      <c r="AB2227" s="589"/>
      <c r="AC2227" s="589"/>
      <c r="AD2227" s="589"/>
      <c r="AE2227" s="589"/>
      <c r="AF2227" s="589"/>
      <c r="AG2227" s="589"/>
      <c r="AH2227" s="589"/>
      <c r="AI2227" s="589"/>
      <c r="AJ2227" s="589"/>
      <c r="AK2227" s="589"/>
      <c r="AL2227" s="589"/>
      <c r="AM2227" s="589"/>
      <c r="AN2227" s="589"/>
      <c r="AO2227" s="589"/>
      <c r="AP2227" s="589"/>
      <c r="AQ2227" s="589"/>
      <c r="AR2227" s="589"/>
      <c r="AS2227" s="589"/>
    </row>
    <row r="2228" spans="1:45" ht="15">
      <c r="A2228" s="587" t="s">
        <v>153</v>
      </c>
      <c r="B2228" s="587" t="s">
        <v>372</v>
      </c>
      <c r="C2228" s="587" t="s">
        <v>813</v>
      </c>
      <c r="D2228" s="588">
        <v>2019</v>
      </c>
      <c r="E2228" s="587" t="s">
        <v>775</v>
      </c>
      <c r="F2228" s="588">
        <v>18</v>
      </c>
      <c r="G2228" s="588">
        <v>0</v>
      </c>
      <c r="H2228" s="588">
        <v>0</v>
      </c>
      <c r="I2228" s="588">
        <v>0</v>
      </c>
      <c r="J2228" s="588">
        <v>11</v>
      </c>
      <c r="K2228" s="588">
        <v>0</v>
      </c>
      <c r="L2228" s="588">
        <v>0</v>
      </c>
      <c r="M2228" s="588">
        <v>0</v>
      </c>
      <c r="N2228" s="588">
        <v>12</v>
      </c>
      <c r="O2228" s="588">
        <v>0</v>
      </c>
      <c r="P2228" s="588">
        <v>28</v>
      </c>
      <c r="Q2228" s="588">
        <v>19</v>
      </c>
      <c r="R2228" s="588">
        <v>69</v>
      </c>
      <c r="S2228" s="588">
        <v>19</v>
      </c>
      <c r="T2228" s="588">
        <v>2019</v>
      </c>
      <c r="U2228" s="588">
        <v>2014</v>
      </c>
      <c r="V2228" s="589"/>
      <c r="W2228" s="589"/>
      <c r="X2228" s="589"/>
      <c r="Y2228" s="589"/>
      <c r="Z2228" s="589"/>
      <c r="AA2228" s="589"/>
      <c r="AB2228" s="589"/>
      <c r="AC2228" s="589"/>
      <c r="AD2228" s="589"/>
      <c r="AE2228" s="589"/>
      <c r="AF2228" s="589"/>
      <c r="AG2228" s="589"/>
      <c r="AH2228" s="589"/>
      <c r="AI2228" s="589"/>
      <c r="AJ2228" s="589"/>
      <c r="AK2228" s="589"/>
      <c r="AL2228" s="589"/>
      <c r="AM2228" s="589"/>
      <c r="AN2228" s="589"/>
      <c r="AO2228" s="589"/>
      <c r="AP2228" s="589"/>
      <c r="AQ2228" s="589"/>
      <c r="AR2228" s="589"/>
      <c r="AS2228" s="589"/>
    </row>
    <row r="2229" spans="1:45" ht="15">
      <c r="A2229" s="590" t="s">
        <v>174</v>
      </c>
      <c r="B2229" s="591" t="s">
        <v>557</v>
      </c>
      <c r="C2229" s="591" t="s">
        <v>801</v>
      </c>
      <c r="D2229" s="592">
        <v>2019</v>
      </c>
      <c r="E2229" s="591" t="s">
        <v>775</v>
      </c>
      <c r="F2229" s="592">
        <v>2035</v>
      </c>
      <c r="G2229" s="592">
        <v>63</v>
      </c>
      <c r="H2229" s="592">
        <v>63</v>
      </c>
      <c r="I2229" s="592">
        <v>0</v>
      </c>
      <c r="J2229" s="592">
        <v>1427</v>
      </c>
      <c r="K2229" s="592">
        <v>32</v>
      </c>
      <c r="L2229" s="592">
        <v>32</v>
      </c>
      <c r="M2229" s="592">
        <v>0</v>
      </c>
      <c r="N2229" s="593">
        <v>1377</v>
      </c>
      <c r="O2229" s="593">
        <v>0</v>
      </c>
      <c r="P2229" s="593">
        <v>2563</v>
      </c>
      <c r="Q2229" s="593">
        <v>1012</v>
      </c>
      <c r="R2229" s="593">
        <v>7402</v>
      </c>
      <c r="S2229" s="593">
        <v>1107</v>
      </c>
      <c r="T2229" s="593">
        <v>2019</v>
      </c>
      <c r="U2229" s="593">
        <v>2014</v>
      </c>
      <c r="V2229" s="589"/>
      <c r="W2229" s="589"/>
      <c r="X2229" s="589"/>
      <c r="Y2229" s="589"/>
      <c r="Z2229" s="589"/>
      <c r="AA2229" s="589"/>
      <c r="AB2229" s="589"/>
      <c r="AC2229" s="589"/>
      <c r="AD2229" s="589"/>
      <c r="AE2229" s="589"/>
      <c r="AF2229" s="589"/>
      <c r="AG2229" s="589"/>
      <c r="AH2229" s="589"/>
      <c r="AI2229" s="589"/>
      <c r="AJ2229" s="589"/>
      <c r="AK2229" s="589"/>
      <c r="AL2229" s="589"/>
      <c r="AM2229" s="589"/>
      <c r="AN2229" s="589"/>
      <c r="AO2229" s="589"/>
      <c r="AP2229" s="589"/>
      <c r="AQ2229" s="589"/>
      <c r="AR2229" s="589"/>
      <c r="AS2229" s="589"/>
    </row>
    <row r="2230" spans="1:45" ht="15">
      <c r="A2230" s="587" t="s">
        <v>125</v>
      </c>
      <c r="B2230" s="587" t="s">
        <v>237</v>
      </c>
      <c r="C2230" s="587" t="s">
        <v>782</v>
      </c>
      <c r="D2230" s="588">
        <v>2019</v>
      </c>
      <c r="E2230" s="587" t="s">
        <v>775</v>
      </c>
      <c r="F2230" s="588">
        <v>276</v>
      </c>
      <c r="G2230" s="588">
        <v>0</v>
      </c>
      <c r="H2230" s="588">
        <v>0</v>
      </c>
      <c r="I2230" s="588">
        <v>0</v>
      </c>
      <c r="J2230" s="588">
        <v>211</v>
      </c>
      <c r="K2230" s="588">
        <v>0</v>
      </c>
      <c r="L2230" s="588">
        <v>0</v>
      </c>
      <c r="M2230" s="588">
        <v>0</v>
      </c>
      <c r="N2230" s="588">
        <v>259</v>
      </c>
      <c r="O2230" s="588">
        <v>0</v>
      </c>
      <c r="P2230" s="588">
        <v>752</v>
      </c>
      <c r="Q2230" s="588">
        <v>0</v>
      </c>
      <c r="R2230" s="588">
        <v>1498</v>
      </c>
      <c r="S2230" s="588">
        <v>0</v>
      </c>
      <c r="T2230" s="588">
        <v>2019</v>
      </c>
      <c r="U2230" s="588">
        <v>2015</v>
      </c>
      <c r="V2230" s="589"/>
      <c r="W2230" s="589"/>
      <c r="X2230" s="589"/>
      <c r="Y2230" s="589"/>
      <c r="Z2230" s="589"/>
      <c r="AA2230" s="589"/>
      <c r="AB2230" s="589"/>
      <c r="AC2230" s="589"/>
      <c r="AD2230" s="589"/>
      <c r="AE2230" s="589"/>
      <c r="AF2230" s="589"/>
      <c r="AG2230" s="589"/>
      <c r="AH2230" s="589"/>
      <c r="AI2230" s="589"/>
      <c r="AJ2230" s="589"/>
      <c r="AK2230" s="589"/>
      <c r="AL2230" s="589"/>
      <c r="AM2230" s="589"/>
      <c r="AN2230" s="589"/>
      <c r="AO2230" s="589"/>
      <c r="AP2230" s="589"/>
      <c r="AQ2230" s="589"/>
      <c r="AR2230" s="589"/>
      <c r="AS2230" s="589"/>
    </row>
    <row r="2231" spans="1:45" ht="15">
      <c r="A2231" s="590" t="s">
        <v>179</v>
      </c>
      <c r="B2231" s="591" t="s">
        <v>595</v>
      </c>
      <c r="C2231" s="591" t="s">
        <v>856</v>
      </c>
      <c r="D2231" s="592">
        <v>2019</v>
      </c>
      <c r="E2231" s="591" t="s">
        <v>775</v>
      </c>
      <c r="F2231" s="592">
        <v>587</v>
      </c>
      <c r="G2231" s="592">
        <v>15</v>
      </c>
      <c r="H2231" s="592">
        <v>4</v>
      </c>
      <c r="I2231" s="592">
        <v>11</v>
      </c>
      <c r="J2231" s="592">
        <v>446</v>
      </c>
      <c r="K2231" s="592">
        <v>8</v>
      </c>
      <c r="L2231" s="592">
        <v>0</v>
      </c>
      <c r="M2231" s="592">
        <v>8</v>
      </c>
      <c r="N2231" s="593">
        <v>413</v>
      </c>
      <c r="O2231" s="593">
        <v>32</v>
      </c>
      <c r="P2231" s="593">
        <v>907</v>
      </c>
      <c r="Q2231" s="593">
        <v>133</v>
      </c>
      <c r="R2231" s="593">
        <v>2353</v>
      </c>
      <c r="S2231" s="593">
        <v>188</v>
      </c>
      <c r="T2231" s="593">
        <v>2019</v>
      </c>
      <c r="U2231" s="593">
        <v>2013</v>
      </c>
      <c r="V2231" s="589"/>
      <c r="W2231" s="589"/>
      <c r="X2231" s="589"/>
      <c r="Y2231" s="589"/>
      <c r="Z2231" s="589"/>
      <c r="AA2231" s="589"/>
      <c r="AB2231" s="589"/>
      <c r="AC2231" s="589"/>
      <c r="AD2231" s="589"/>
      <c r="AE2231" s="589"/>
      <c r="AF2231" s="589"/>
      <c r="AG2231" s="589"/>
      <c r="AH2231" s="589"/>
      <c r="AI2231" s="589"/>
      <c r="AJ2231" s="589"/>
      <c r="AK2231" s="589"/>
      <c r="AL2231" s="589"/>
      <c r="AM2231" s="589"/>
      <c r="AN2231" s="589"/>
      <c r="AO2231" s="589"/>
      <c r="AP2231" s="589"/>
      <c r="AQ2231" s="589"/>
      <c r="AR2231" s="589"/>
      <c r="AS2231" s="589"/>
    </row>
    <row r="2232" spans="1:45" ht="15">
      <c r="A2232" s="587" t="s">
        <v>182</v>
      </c>
      <c r="B2232" s="587" t="s">
        <v>608</v>
      </c>
      <c r="C2232" s="587" t="s">
        <v>811</v>
      </c>
      <c r="D2232" s="588">
        <v>2019</v>
      </c>
      <c r="E2232" s="587" t="s">
        <v>775</v>
      </c>
      <c r="F2232" s="588">
        <v>103</v>
      </c>
      <c r="G2232" s="588">
        <v>0</v>
      </c>
      <c r="H2232" s="588">
        <v>0</v>
      </c>
      <c r="I2232" s="588">
        <v>0</v>
      </c>
      <c r="J2232" s="588">
        <v>66</v>
      </c>
      <c r="K2232" s="588">
        <v>0</v>
      </c>
      <c r="L2232" s="588">
        <v>0</v>
      </c>
      <c r="M2232" s="588">
        <v>0</v>
      </c>
      <c r="N2232" s="588">
        <v>64</v>
      </c>
      <c r="O2232" s="588">
        <v>1</v>
      </c>
      <c r="P2232" s="588">
        <v>192</v>
      </c>
      <c r="Q2232" s="588">
        <v>9</v>
      </c>
      <c r="R2232" s="588">
        <v>425</v>
      </c>
      <c r="S2232" s="588">
        <v>10</v>
      </c>
      <c r="T2232" s="588">
        <v>2019</v>
      </c>
      <c r="U2232" s="588">
        <v>2016</v>
      </c>
      <c r="V2232" s="589"/>
      <c r="W2232" s="589"/>
      <c r="X2232" s="589"/>
      <c r="Y2232" s="589"/>
      <c r="Z2232" s="589"/>
      <c r="AA2232" s="589"/>
      <c r="AB2232" s="589"/>
      <c r="AC2232" s="589"/>
      <c r="AD2232" s="589"/>
      <c r="AE2232" s="589"/>
      <c r="AF2232" s="589"/>
      <c r="AG2232" s="589"/>
      <c r="AH2232" s="589"/>
      <c r="AI2232" s="589"/>
      <c r="AJ2232" s="589"/>
      <c r="AK2232" s="589"/>
      <c r="AL2232" s="589"/>
      <c r="AM2232" s="589"/>
      <c r="AN2232" s="589"/>
      <c r="AO2232" s="589"/>
      <c r="AP2232" s="589"/>
      <c r="AQ2232" s="589"/>
      <c r="AR2232" s="589"/>
      <c r="AS2232" s="589"/>
    </row>
    <row r="2233" spans="1:45" ht="15">
      <c r="A2233" s="590" t="s">
        <v>179</v>
      </c>
      <c r="B2233" s="591" t="s">
        <v>596</v>
      </c>
      <c r="C2233" s="591" t="s">
        <v>856</v>
      </c>
      <c r="D2233" s="592">
        <v>2019</v>
      </c>
      <c r="E2233" s="591" t="s">
        <v>775</v>
      </c>
      <c r="F2233" s="592">
        <v>1042</v>
      </c>
      <c r="G2233" s="592">
        <v>5</v>
      </c>
      <c r="H2233" s="592">
        <v>0</v>
      </c>
      <c r="I2233" s="592">
        <v>5</v>
      </c>
      <c r="J2233" s="592">
        <v>791</v>
      </c>
      <c r="K2233" s="592">
        <v>2</v>
      </c>
      <c r="L2233" s="592">
        <v>0</v>
      </c>
      <c r="M2233" s="592">
        <v>2</v>
      </c>
      <c r="N2233" s="593">
        <v>733</v>
      </c>
      <c r="O2233" s="593">
        <v>20</v>
      </c>
      <c r="P2233" s="593">
        <v>1609</v>
      </c>
      <c r="Q2233" s="593">
        <v>10</v>
      </c>
      <c r="R2233" s="593">
        <v>4175</v>
      </c>
      <c r="S2233" s="593">
        <v>37</v>
      </c>
      <c r="T2233" s="593">
        <v>2019</v>
      </c>
      <c r="U2233" s="593">
        <v>2013</v>
      </c>
      <c r="V2233" s="589"/>
      <c r="W2233" s="589"/>
      <c r="X2233" s="589"/>
      <c r="Y2233" s="589"/>
      <c r="Z2233" s="589"/>
      <c r="AA2233" s="589"/>
      <c r="AB2233" s="589"/>
      <c r="AC2233" s="589"/>
      <c r="AD2233" s="589"/>
      <c r="AE2233" s="589"/>
      <c r="AF2233" s="589"/>
      <c r="AG2233" s="589"/>
      <c r="AH2233" s="589"/>
      <c r="AI2233" s="589"/>
      <c r="AJ2233" s="589"/>
      <c r="AK2233" s="589"/>
      <c r="AL2233" s="589"/>
      <c r="AM2233" s="589"/>
      <c r="AN2233" s="589"/>
      <c r="AO2233" s="589"/>
      <c r="AP2233" s="589"/>
      <c r="AQ2233" s="589"/>
      <c r="AR2233" s="589"/>
      <c r="AS2233" s="589"/>
    </row>
    <row r="2234" spans="1:45" ht="15">
      <c r="A2234" s="587" t="s">
        <v>191</v>
      </c>
      <c r="B2234" s="587" t="s">
        <v>678</v>
      </c>
      <c r="C2234" s="587" t="s">
        <v>785</v>
      </c>
      <c r="D2234" s="588">
        <v>2019</v>
      </c>
      <c r="E2234" s="587" t="s">
        <v>775</v>
      </c>
      <c r="F2234" s="588">
        <v>3</v>
      </c>
      <c r="G2234" s="588">
        <v>0</v>
      </c>
      <c r="H2234" s="588">
        <v>0</v>
      </c>
      <c r="I2234" s="588">
        <v>0</v>
      </c>
      <c r="J2234" s="588">
        <v>2</v>
      </c>
      <c r="K2234" s="588">
        <v>0</v>
      </c>
      <c r="L2234" s="588">
        <v>0</v>
      </c>
      <c r="M2234" s="588">
        <v>0</v>
      </c>
      <c r="N2234" s="588">
        <v>2</v>
      </c>
      <c r="O2234" s="588">
        <v>0</v>
      </c>
      <c r="P2234" s="588">
        <v>3</v>
      </c>
      <c r="Q2234" s="588">
        <v>0</v>
      </c>
      <c r="R2234" s="588">
        <v>10</v>
      </c>
      <c r="S2234" s="588">
        <v>0</v>
      </c>
      <c r="T2234" s="588">
        <v>2019</v>
      </c>
      <c r="U2234" s="588">
        <v>2014</v>
      </c>
      <c r="V2234" s="589"/>
      <c r="W2234" s="589"/>
      <c r="X2234" s="589"/>
      <c r="Y2234" s="589"/>
      <c r="Z2234" s="589"/>
      <c r="AA2234" s="589"/>
      <c r="AB2234" s="589"/>
      <c r="AC2234" s="589"/>
      <c r="AD2234" s="589"/>
      <c r="AE2234" s="589"/>
      <c r="AF2234" s="589"/>
      <c r="AG2234" s="589"/>
      <c r="AH2234" s="589"/>
      <c r="AI2234" s="589"/>
      <c r="AJ2234" s="589"/>
      <c r="AK2234" s="589"/>
      <c r="AL2234" s="589"/>
      <c r="AM2234" s="589"/>
      <c r="AN2234" s="589"/>
      <c r="AO2234" s="589"/>
      <c r="AP2234" s="589"/>
      <c r="AQ2234" s="589"/>
      <c r="AR2234" s="589"/>
      <c r="AS2234" s="589"/>
    </row>
    <row r="2235" spans="1:45" ht="15">
      <c r="A2235" s="590" t="s">
        <v>199</v>
      </c>
      <c r="B2235" s="591" t="s">
        <v>721</v>
      </c>
      <c r="C2235" s="591" t="s">
        <v>811</v>
      </c>
      <c r="D2235" s="592">
        <v>2019</v>
      </c>
      <c r="E2235" s="591" t="s">
        <v>775</v>
      </c>
      <c r="F2235" s="592">
        <v>143</v>
      </c>
      <c r="G2235" s="592">
        <v>0</v>
      </c>
      <c r="H2235" s="592">
        <v>0</v>
      </c>
      <c r="I2235" s="592">
        <v>0</v>
      </c>
      <c r="J2235" s="592">
        <v>125</v>
      </c>
      <c r="K2235" s="592">
        <v>4</v>
      </c>
      <c r="L2235" s="592">
        <v>0</v>
      </c>
      <c r="M2235" s="592">
        <v>4</v>
      </c>
      <c r="N2235" s="593">
        <v>85</v>
      </c>
      <c r="O2235" s="593">
        <v>2</v>
      </c>
      <c r="P2235" s="593">
        <v>272</v>
      </c>
      <c r="Q2235" s="593">
        <v>8</v>
      </c>
      <c r="R2235" s="593">
        <v>625</v>
      </c>
      <c r="S2235" s="593">
        <v>14</v>
      </c>
      <c r="T2235" s="593">
        <v>2019</v>
      </c>
      <c r="U2235" s="593">
        <v>2016</v>
      </c>
      <c r="V2235" s="589"/>
      <c r="W2235" s="589"/>
      <c r="X2235" s="589"/>
      <c r="Y2235" s="589"/>
      <c r="Z2235" s="589"/>
      <c r="AA2235" s="589"/>
      <c r="AB2235" s="589"/>
      <c r="AC2235" s="589"/>
      <c r="AD2235" s="589"/>
      <c r="AE2235" s="589"/>
      <c r="AF2235" s="589"/>
      <c r="AG2235" s="589"/>
      <c r="AH2235" s="589"/>
      <c r="AI2235" s="589"/>
      <c r="AJ2235" s="589"/>
      <c r="AK2235" s="589"/>
      <c r="AL2235" s="589"/>
      <c r="AM2235" s="589"/>
      <c r="AN2235" s="589"/>
      <c r="AO2235" s="589"/>
      <c r="AP2235" s="589"/>
      <c r="AQ2235" s="589"/>
      <c r="AR2235" s="589"/>
      <c r="AS2235" s="589"/>
    </row>
    <row r="2236" spans="1:45" ht="15">
      <c r="A2236" s="587" t="s">
        <v>157</v>
      </c>
      <c r="B2236" s="587" t="s">
        <v>438</v>
      </c>
      <c r="C2236" s="587" t="s">
        <v>782</v>
      </c>
      <c r="D2236" s="588">
        <v>2019</v>
      </c>
      <c r="E2236" s="587" t="s">
        <v>775</v>
      </c>
      <c r="F2236" s="588">
        <v>16</v>
      </c>
      <c r="G2236" s="588">
        <v>0</v>
      </c>
      <c r="H2236" s="588">
        <v>0</v>
      </c>
      <c r="I2236" s="588">
        <v>0</v>
      </c>
      <c r="J2236" s="588">
        <v>11</v>
      </c>
      <c r="K2236" s="588">
        <v>4</v>
      </c>
      <c r="L2236" s="588">
        <v>0</v>
      </c>
      <c r="M2236" s="588">
        <v>4</v>
      </c>
      <c r="N2236" s="588">
        <v>11</v>
      </c>
      <c r="O2236" s="588">
        <v>2</v>
      </c>
      <c r="P2236" s="588">
        <v>23</v>
      </c>
      <c r="Q2236" s="588">
        <v>0</v>
      </c>
      <c r="R2236" s="588">
        <v>61</v>
      </c>
      <c r="S2236" s="588">
        <v>6</v>
      </c>
      <c r="T2236" s="588">
        <v>2019</v>
      </c>
      <c r="U2236" s="588">
        <v>2015</v>
      </c>
      <c r="V2236" s="589"/>
      <c r="W2236" s="589"/>
      <c r="X2236" s="589"/>
      <c r="Y2236" s="589"/>
      <c r="Z2236" s="589"/>
      <c r="AA2236" s="589"/>
      <c r="AB2236" s="589"/>
      <c r="AC2236" s="589"/>
      <c r="AD2236" s="589"/>
      <c r="AE2236" s="589"/>
      <c r="AF2236" s="589"/>
      <c r="AG2236" s="589"/>
      <c r="AH2236" s="589"/>
      <c r="AI2236" s="589"/>
      <c r="AJ2236" s="589"/>
      <c r="AK2236" s="589"/>
      <c r="AL2236" s="589"/>
      <c r="AM2236" s="589"/>
      <c r="AN2236" s="589"/>
      <c r="AO2236" s="589"/>
      <c r="AP2236" s="589"/>
      <c r="AQ2236" s="589"/>
      <c r="AR2236" s="589"/>
      <c r="AS2236" s="589"/>
    </row>
    <row r="2237" spans="1:45" ht="15">
      <c r="A2237" s="590" t="s">
        <v>192</v>
      </c>
      <c r="B2237" s="591" t="s">
        <v>688</v>
      </c>
      <c r="C2237" s="591" t="s">
        <v>782</v>
      </c>
      <c r="D2237" s="592">
        <v>2019</v>
      </c>
      <c r="E2237" s="591" t="s">
        <v>775</v>
      </c>
      <c r="F2237" s="592">
        <v>779</v>
      </c>
      <c r="G2237" s="592">
        <v>0</v>
      </c>
      <c r="H2237" s="592">
        <v>0</v>
      </c>
      <c r="I2237" s="592">
        <v>0</v>
      </c>
      <c r="J2237" s="592">
        <v>404</v>
      </c>
      <c r="K2237" s="592">
        <v>0</v>
      </c>
      <c r="L2237" s="592">
        <v>0</v>
      </c>
      <c r="M2237" s="592">
        <v>0</v>
      </c>
      <c r="N2237" s="593">
        <v>456</v>
      </c>
      <c r="O2237" s="593">
        <v>2</v>
      </c>
      <c r="P2237" s="593">
        <v>1461</v>
      </c>
      <c r="Q2237" s="593">
        <v>352</v>
      </c>
      <c r="R2237" s="593">
        <v>3100</v>
      </c>
      <c r="S2237" s="593">
        <v>354</v>
      </c>
      <c r="T2237" s="593">
        <v>2019</v>
      </c>
      <c r="U2237" s="593">
        <v>2015</v>
      </c>
      <c r="V2237" s="589"/>
      <c r="W2237" s="589"/>
      <c r="X2237" s="589"/>
      <c r="Y2237" s="589"/>
      <c r="Z2237" s="589"/>
      <c r="AA2237" s="589"/>
      <c r="AB2237" s="589"/>
      <c r="AC2237" s="589"/>
      <c r="AD2237" s="589"/>
      <c r="AE2237" s="589"/>
      <c r="AF2237" s="589"/>
      <c r="AG2237" s="589"/>
      <c r="AH2237" s="589"/>
      <c r="AI2237" s="589"/>
      <c r="AJ2237" s="589"/>
      <c r="AK2237" s="589"/>
      <c r="AL2237" s="589"/>
      <c r="AM2237" s="589"/>
      <c r="AN2237" s="589"/>
      <c r="AO2237" s="589"/>
      <c r="AP2237" s="589"/>
      <c r="AQ2237" s="589"/>
      <c r="AR2237" s="589"/>
      <c r="AS2237" s="589"/>
    </row>
    <row r="2238" spans="1:45" ht="15">
      <c r="A2238" s="587" t="s">
        <v>145</v>
      </c>
      <c r="B2238" s="587" t="s">
        <v>310</v>
      </c>
      <c r="C2238" s="587" t="s">
        <v>785</v>
      </c>
      <c r="D2238" s="588">
        <v>2019</v>
      </c>
      <c r="E2238" s="587" t="s">
        <v>775</v>
      </c>
      <c r="F2238" s="588">
        <v>6</v>
      </c>
      <c r="G2238" s="588">
        <v>0</v>
      </c>
      <c r="H2238" s="588">
        <v>0</v>
      </c>
      <c r="I2238" s="588">
        <v>0</v>
      </c>
      <c r="J2238" s="588">
        <v>3</v>
      </c>
      <c r="K2238" s="588">
        <v>5</v>
      </c>
      <c r="L2238" s="588">
        <v>0</v>
      </c>
      <c r="M2238" s="588">
        <v>5</v>
      </c>
      <c r="N2238" s="588">
        <v>4</v>
      </c>
      <c r="O2238" s="588">
        <v>3</v>
      </c>
      <c r="P2238" s="588">
        <v>8</v>
      </c>
      <c r="Q2238" s="588">
        <v>0</v>
      </c>
      <c r="R2238" s="588">
        <v>21</v>
      </c>
      <c r="S2238" s="588">
        <v>8</v>
      </c>
      <c r="T2238" s="588">
        <v>2019</v>
      </c>
      <c r="U2238" s="588">
        <v>2014</v>
      </c>
      <c r="V2238" s="589"/>
      <c r="W2238" s="589"/>
      <c r="X2238" s="589"/>
      <c r="Y2238" s="589"/>
      <c r="Z2238" s="589"/>
      <c r="AA2238" s="589"/>
      <c r="AB2238" s="589"/>
      <c r="AC2238" s="589"/>
      <c r="AD2238" s="589"/>
      <c r="AE2238" s="589"/>
      <c r="AF2238" s="589"/>
      <c r="AG2238" s="589"/>
      <c r="AH2238" s="589"/>
      <c r="AI2238" s="589"/>
      <c r="AJ2238" s="589"/>
      <c r="AK2238" s="589"/>
      <c r="AL2238" s="589"/>
      <c r="AM2238" s="589"/>
      <c r="AN2238" s="589"/>
      <c r="AO2238" s="589"/>
      <c r="AP2238" s="589"/>
      <c r="AQ2238" s="589"/>
      <c r="AR2238" s="589"/>
      <c r="AS2238" s="589"/>
    </row>
    <row r="2239" spans="1:45" ht="15">
      <c r="A2239" s="590" t="s">
        <v>145</v>
      </c>
      <c r="B2239" s="591" t="s">
        <v>310</v>
      </c>
      <c r="C2239" s="591" t="s">
        <v>971</v>
      </c>
      <c r="D2239" s="592">
        <v>2019</v>
      </c>
      <c r="E2239" s="591" t="s">
        <v>775</v>
      </c>
      <c r="F2239" s="592">
        <v>0</v>
      </c>
      <c r="G2239" s="592">
        <v>0</v>
      </c>
      <c r="H2239" s="592">
        <v>0</v>
      </c>
      <c r="I2239" s="592">
        <v>0</v>
      </c>
      <c r="J2239" s="592">
        <v>0</v>
      </c>
      <c r="K2239" s="592">
        <v>5</v>
      </c>
      <c r="L2239" s="592">
        <v>0</v>
      </c>
      <c r="M2239" s="592">
        <v>5</v>
      </c>
      <c r="N2239" s="593">
        <v>0</v>
      </c>
      <c r="O2239" s="593">
        <v>3</v>
      </c>
      <c r="P2239" s="593">
        <v>0</v>
      </c>
      <c r="Q2239" s="593">
        <v>0</v>
      </c>
      <c r="R2239" s="593">
        <v>0</v>
      </c>
      <c r="S2239" s="593">
        <v>8</v>
      </c>
      <c r="T2239" s="593">
        <v>2019</v>
      </c>
      <c r="U2239" s="593">
        <v>2014</v>
      </c>
      <c r="V2239" s="589"/>
      <c r="W2239" s="589"/>
      <c r="X2239" s="589"/>
      <c r="Y2239" s="589"/>
      <c r="Z2239" s="589"/>
      <c r="AA2239" s="589"/>
      <c r="AB2239" s="589"/>
      <c r="AC2239" s="589"/>
      <c r="AD2239" s="589"/>
      <c r="AE2239" s="589"/>
      <c r="AF2239" s="589"/>
      <c r="AG2239" s="589"/>
      <c r="AH2239" s="589"/>
      <c r="AI2239" s="589"/>
      <c r="AJ2239" s="589"/>
      <c r="AK2239" s="589"/>
      <c r="AL2239" s="589"/>
      <c r="AM2239" s="589"/>
      <c r="AN2239" s="589"/>
      <c r="AO2239" s="589"/>
      <c r="AP2239" s="589"/>
      <c r="AQ2239" s="589"/>
      <c r="AR2239" s="589"/>
      <c r="AS2239" s="589"/>
    </row>
    <row r="2240" spans="1:45" ht="15">
      <c r="A2240" s="587" t="s">
        <v>141</v>
      </c>
      <c r="B2240" s="587" t="s">
        <v>292</v>
      </c>
      <c r="C2240" s="587" t="s">
        <v>811</v>
      </c>
      <c r="D2240" s="588">
        <v>2019</v>
      </c>
      <c r="E2240" s="587" t="s">
        <v>775</v>
      </c>
      <c r="F2240" s="588">
        <v>128</v>
      </c>
      <c r="G2240" s="588">
        <v>0</v>
      </c>
      <c r="H2240" s="588">
        <v>0</v>
      </c>
      <c r="I2240" s="588">
        <v>0</v>
      </c>
      <c r="J2240" s="588">
        <v>169</v>
      </c>
      <c r="K2240" s="588">
        <v>2</v>
      </c>
      <c r="L2240" s="588">
        <v>0</v>
      </c>
      <c r="M2240" s="588">
        <v>2</v>
      </c>
      <c r="N2240" s="588">
        <v>204</v>
      </c>
      <c r="O2240" s="588">
        <v>0</v>
      </c>
      <c r="P2240" s="588">
        <v>211</v>
      </c>
      <c r="Q2240" s="588">
        <v>0</v>
      </c>
      <c r="R2240" s="588">
        <v>712</v>
      </c>
      <c r="S2240" s="588">
        <v>2</v>
      </c>
      <c r="T2240" s="588">
        <v>2019</v>
      </c>
      <c r="U2240" s="588">
        <v>2016</v>
      </c>
      <c r="V2240" s="589"/>
      <c r="W2240" s="589"/>
      <c r="X2240" s="589"/>
      <c r="Y2240" s="589"/>
      <c r="Z2240" s="589"/>
      <c r="AA2240" s="589"/>
      <c r="AB2240" s="589"/>
      <c r="AC2240" s="589"/>
      <c r="AD2240" s="589"/>
      <c r="AE2240" s="589"/>
      <c r="AF2240" s="589"/>
      <c r="AG2240" s="589"/>
      <c r="AH2240" s="589"/>
      <c r="AI2240" s="589"/>
      <c r="AJ2240" s="589"/>
      <c r="AK2240" s="589"/>
      <c r="AL2240" s="589"/>
      <c r="AM2240" s="589"/>
      <c r="AN2240" s="589"/>
      <c r="AO2240" s="589"/>
      <c r="AP2240" s="589"/>
      <c r="AQ2240" s="589"/>
      <c r="AR2240" s="589"/>
      <c r="AS2240" s="589"/>
    </row>
    <row r="2241" spans="1:45" ht="15">
      <c r="A2241" s="590" t="s">
        <v>174</v>
      </c>
      <c r="B2241" s="591" t="s">
        <v>558</v>
      </c>
      <c r="C2241" s="591" t="s">
        <v>801</v>
      </c>
      <c r="D2241" s="592">
        <v>2019</v>
      </c>
      <c r="E2241" s="591" t="s">
        <v>775</v>
      </c>
      <c r="F2241" s="592">
        <v>1218</v>
      </c>
      <c r="G2241" s="592">
        <v>1</v>
      </c>
      <c r="H2241" s="592">
        <v>0</v>
      </c>
      <c r="I2241" s="592">
        <v>1</v>
      </c>
      <c r="J2241" s="592">
        <v>854</v>
      </c>
      <c r="K2241" s="592">
        <v>3</v>
      </c>
      <c r="L2241" s="592">
        <v>0</v>
      </c>
      <c r="M2241" s="592">
        <v>3</v>
      </c>
      <c r="N2241" s="593">
        <v>862</v>
      </c>
      <c r="O2241" s="593">
        <v>3</v>
      </c>
      <c r="P2241" s="593">
        <v>1699</v>
      </c>
      <c r="Q2241" s="593">
        <v>726</v>
      </c>
      <c r="R2241" s="593">
        <v>4633</v>
      </c>
      <c r="S2241" s="593">
        <v>733</v>
      </c>
      <c r="T2241" s="593">
        <v>2019</v>
      </c>
      <c r="U2241" s="593">
        <v>2014</v>
      </c>
      <c r="V2241" s="589"/>
      <c r="W2241" s="589"/>
      <c r="X2241" s="589"/>
      <c r="Y2241" s="589"/>
      <c r="Z2241" s="589"/>
      <c r="AA2241" s="589"/>
      <c r="AB2241" s="589"/>
      <c r="AC2241" s="589"/>
      <c r="AD2241" s="589"/>
      <c r="AE2241" s="589"/>
      <c r="AF2241" s="589"/>
      <c r="AG2241" s="589"/>
      <c r="AH2241" s="589"/>
      <c r="AI2241" s="589"/>
      <c r="AJ2241" s="589"/>
      <c r="AK2241" s="589"/>
      <c r="AL2241" s="589"/>
      <c r="AM2241" s="589"/>
      <c r="AN2241" s="589"/>
      <c r="AO2241" s="589"/>
      <c r="AP2241" s="589"/>
      <c r="AQ2241" s="589"/>
      <c r="AR2241" s="589"/>
      <c r="AS2241" s="589"/>
    </row>
    <row r="2242" spans="1:45" ht="15">
      <c r="A2242" s="587" t="s">
        <v>178</v>
      </c>
      <c r="B2242" s="587" t="s">
        <v>573</v>
      </c>
      <c r="C2242" s="587" t="s">
        <v>813</v>
      </c>
      <c r="D2242" s="588">
        <v>2019</v>
      </c>
      <c r="E2242" s="587" t="s">
        <v>775</v>
      </c>
      <c r="F2242" s="588">
        <v>1442</v>
      </c>
      <c r="G2242" s="588">
        <v>0</v>
      </c>
      <c r="H2242" s="588">
        <v>0</v>
      </c>
      <c r="I2242" s="588">
        <v>0</v>
      </c>
      <c r="J2242" s="588">
        <v>974</v>
      </c>
      <c r="K2242" s="588">
        <v>0</v>
      </c>
      <c r="L2242" s="588">
        <v>0</v>
      </c>
      <c r="M2242" s="588">
        <v>0</v>
      </c>
      <c r="N2242" s="588">
        <v>1090</v>
      </c>
      <c r="O2242" s="588">
        <v>0</v>
      </c>
      <c r="P2242" s="588">
        <v>2471</v>
      </c>
      <c r="Q2242" s="588">
        <v>835</v>
      </c>
      <c r="R2242" s="588">
        <v>5977</v>
      </c>
      <c r="S2242" s="588">
        <v>835</v>
      </c>
      <c r="T2242" s="588">
        <v>2019</v>
      </c>
      <c r="U2242" s="588">
        <v>2014</v>
      </c>
      <c r="V2242" s="589"/>
      <c r="W2242" s="589"/>
      <c r="X2242" s="589"/>
      <c r="Y2242" s="589"/>
      <c r="Z2242" s="589"/>
      <c r="AA2242" s="589"/>
      <c r="AB2242" s="589"/>
      <c r="AC2242" s="589"/>
      <c r="AD2242" s="589"/>
      <c r="AE2242" s="589"/>
      <c r="AF2242" s="589"/>
      <c r="AG2242" s="589"/>
      <c r="AH2242" s="589"/>
      <c r="AI2242" s="589"/>
      <c r="AJ2242" s="589"/>
      <c r="AK2242" s="589"/>
      <c r="AL2242" s="589"/>
      <c r="AM2242" s="589"/>
      <c r="AN2242" s="589"/>
      <c r="AO2242" s="589"/>
      <c r="AP2242" s="589"/>
      <c r="AQ2242" s="589"/>
      <c r="AR2242" s="589"/>
      <c r="AS2242" s="589"/>
    </row>
    <row r="2243" spans="1:45" ht="15">
      <c r="A2243" s="590" t="s">
        <v>159</v>
      </c>
      <c r="B2243" s="591" t="s">
        <v>449</v>
      </c>
      <c r="C2243" s="591" t="s">
        <v>972</v>
      </c>
      <c r="D2243" s="592">
        <v>2019</v>
      </c>
      <c r="E2243" s="591" t="s">
        <v>775</v>
      </c>
      <c r="F2243" s="592">
        <v>0</v>
      </c>
      <c r="G2243" s="592">
        <v>0</v>
      </c>
      <c r="H2243" s="592">
        <v>0</v>
      </c>
      <c r="I2243" s="592">
        <v>0</v>
      </c>
      <c r="J2243" s="592">
        <v>0</v>
      </c>
      <c r="K2243" s="592">
        <v>1</v>
      </c>
      <c r="L2243" s="592">
        <v>1</v>
      </c>
      <c r="M2243" s="592">
        <v>0</v>
      </c>
      <c r="N2243" s="593">
        <v>0</v>
      </c>
      <c r="O2243" s="593">
        <v>10</v>
      </c>
      <c r="P2243" s="593">
        <v>0</v>
      </c>
      <c r="Q2243" s="593">
        <v>9</v>
      </c>
      <c r="R2243" s="593">
        <v>0</v>
      </c>
      <c r="S2243" s="593">
        <v>20</v>
      </c>
      <c r="T2243" s="593">
        <v>2019</v>
      </c>
      <c r="U2243" s="593">
        <v>2014</v>
      </c>
      <c r="V2243" s="589"/>
      <c r="W2243" s="589"/>
      <c r="X2243" s="589"/>
      <c r="Y2243" s="589"/>
      <c r="Z2243" s="589"/>
      <c r="AA2243" s="589"/>
      <c r="AB2243" s="589"/>
      <c r="AC2243" s="589"/>
      <c r="AD2243" s="589"/>
      <c r="AE2243" s="589"/>
      <c r="AF2243" s="589"/>
      <c r="AG2243" s="589"/>
      <c r="AH2243" s="589"/>
      <c r="AI2243" s="589"/>
      <c r="AJ2243" s="589"/>
      <c r="AK2243" s="589"/>
      <c r="AL2243" s="589"/>
      <c r="AM2243" s="589"/>
      <c r="AN2243" s="589"/>
      <c r="AO2243" s="589"/>
      <c r="AP2243" s="589"/>
      <c r="AQ2243" s="589"/>
      <c r="AR2243" s="589"/>
      <c r="AS2243" s="589"/>
    </row>
    <row r="2244" spans="1:45" ht="15">
      <c r="A2244" s="587" t="s">
        <v>159</v>
      </c>
      <c r="B2244" s="587" t="s">
        <v>449</v>
      </c>
      <c r="C2244" s="587" t="s">
        <v>785</v>
      </c>
      <c r="D2244" s="588">
        <v>2019</v>
      </c>
      <c r="E2244" s="587" t="s">
        <v>775</v>
      </c>
      <c r="F2244" s="588">
        <v>5</v>
      </c>
      <c r="G2244" s="588">
        <v>0</v>
      </c>
      <c r="H2244" s="588">
        <v>0</v>
      </c>
      <c r="I2244" s="588">
        <v>0</v>
      </c>
      <c r="J2244" s="588">
        <v>3</v>
      </c>
      <c r="K2244" s="588">
        <v>1</v>
      </c>
      <c r="L2244" s="588">
        <v>1</v>
      </c>
      <c r="M2244" s="588">
        <v>0</v>
      </c>
      <c r="N2244" s="588">
        <v>3</v>
      </c>
      <c r="O2244" s="588">
        <v>10</v>
      </c>
      <c r="P2244" s="588">
        <v>9</v>
      </c>
      <c r="Q2244" s="588">
        <v>9</v>
      </c>
      <c r="R2244" s="588">
        <v>20</v>
      </c>
      <c r="S2244" s="588">
        <v>20</v>
      </c>
      <c r="T2244" s="588">
        <v>2019</v>
      </c>
      <c r="U2244" s="588">
        <v>2014</v>
      </c>
      <c r="V2244" s="589"/>
      <c r="W2244" s="589"/>
      <c r="X2244" s="589"/>
      <c r="Y2244" s="589"/>
      <c r="Z2244" s="589"/>
      <c r="AA2244" s="589"/>
      <c r="AB2244" s="589"/>
      <c r="AC2244" s="589"/>
      <c r="AD2244" s="589"/>
      <c r="AE2244" s="589"/>
      <c r="AF2244" s="589"/>
      <c r="AG2244" s="589"/>
      <c r="AH2244" s="589"/>
      <c r="AI2244" s="589"/>
      <c r="AJ2244" s="589"/>
      <c r="AK2244" s="589"/>
      <c r="AL2244" s="589"/>
      <c r="AM2244" s="589"/>
      <c r="AN2244" s="589"/>
      <c r="AO2244" s="589"/>
      <c r="AP2244" s="589"/>
      <c r="AQ2244" s="589"/>
      <c r="AR2244" s="589"/>
      <c r="AS2244" s="589"/>
    </row>
    <row r="2245" spans="1:45" ht="15">
      <c r="A2245" s="590" t="s">
        <v>191</v>
      </c>
      <c r="B2245" s="591" t="s">
        <v>679</v>
      </c>
      <c r="C2245" s="591" t="s">
        <v>785</v>
      </c>
      <c r="D2245" s="592">
        <v>2019</v>
      </c>
      <c r="E2245" s="591" t="s">
        <v>775</v>
      </c>
      <c r="F2245" s="592">
        <v>2</v>
      </c>
      <c r="G2245" s="592">
        <v>0</v>
      </c>
      <c r="H2245" s="592">
        <v>0</v>
      </c>
      <c r="I2245" s="592">
        <v>0</v>
      </c>
      <c r="J2245" s="592">
        <v>1</v>
      </c>
      <c r="K2245" s="592">
        <v>0</v>
      </c>
      <c r="L2245" s="592">
        <v>0</v>
      </c>
      <c r="M2245" s="592">
        <v>0</v>
      </c>
      <c r="N2245" s="593">
        <v>2</v>
      </c>
      <c r="O2245" s="593">
        <v>0</v>
      </c>
      <c r="P2245" s="593">
        <v>4</v>
      </c>
      <c r="Q2245" s="593">
        <v>0</v>
      </c>
      <c r="R2245" s="593">
        <v>9</v>
      </c>
      <c r="S2245" s="593">
        <v>0</v>
      </c>
      <c r="T2245" s="593">
        <v>2019</v>
      </c>
      <c r="U2245" s="593">
        <v>2014</v>
      </c>
      <c r="V2245" s="589"/>
      <c r="W2245" s="589"/>
      <c r="X2245" s="589"/>
      <c r="Y2245" s="589"/>
      <c r="Z2245" s="589"/>
      <c r="AA2245" s="589"/>
      <c r="AB2245" s="589"/>
      <c r="AC2245" s="589"/>
      <c r="AD2245" s="589"/>
      <c r="AE2245" s="589"/>
      <c r="AF2245" s="589"/>
      <c r="AG2245" s="589"/>
      <c r="AH2245" s="589"/>
      <c r="AI2245" s="589"/>
      <c r="AJ2245" s="589"/>
      <c r="AK2245" s="589"/>
      <c r="AL2245" s="589"/>
      <c r="AM2245" s="589"/>
      <c r="AN2245" s="589"/>
      <c r="AO2245" s="589"/>
      <c r="AP2245" s="589"/>
      <c r="AQ2245" s="589"/>
      <c r="AR2245" s="589"/>
      <c r="AS2245" s="589"/>
    </row>
    <row r="2246" spans="1:45" ht="15">
      <c r="A2246" s="587" t="s">
        <v>145</v>
      </c>
      <c r="B2246" s="587" t="s">
        <v>311</v>
      </c>
      <c r="C2246" s="587" t="s">
        <v>785</v>
      </c>
      <c r="D2246" s="588">
        <v>2019</v>
      </c>
      <c r="E2246" s="587" t="s">
        <v>775</v>
      </c>
      <c r="F2246" s="588">
        <v>39</v>
      </c>
      <c r="G2246" s="588">
        <v>0</v>
      </c>
      <c r="H2246" s="588">
        <v>0</v>
      </c>
      <c r="I2246" s="588">
        <v>0</v>
      </c>
      <c r="J2246" s="588">
        <v>24</v>
      </c>
      <c r="K2246" s="588">
        <v>0</v>
      </c>
      <c r="L2246" s="588">
        <v>0</v>
      </c>
      <c r="M2246" s="588">
        <v>0</v>
      </c>
      <c r="N2246" s="588">
        <v>27</v>
      </c>
      <c r="O2246" s="588">
        <v>26</v>
      </c>
      <c r="P2246" s="588">
        <v>71</v>
      </c>
      <c r="Q2246" s="588">
        <v>15</v>
      </c>
      <c r="R2246" s="588">
        <v>161</v>
      </c>
      <c r="S2246" s="588">
        <v>41</v>
      </c>
      <c r="T2246" s="588">
        <v>2019</v>
      </c>
      <c r="U2246" s="588">
        <v>2014</v>
      </c>
      <c r="V2246" s="589"/>
      <c r="W2246" s="589"/>
      <c r="X2246" s="589"/>
      <c r="Y2246" s="589"/>
      <c r="Z2246" s="589"/>
      <c r="AA2246" s="589"/>
      <c r="AB2246" s="589"/>
      <c r="AC2246" s="589"/>
      <c r="AD2246" s="589"/>
      <c r="AE2246" s="589"/>
      <c r="AF2246" s="589"/>
      <c r="AG2246" s="589"/>
      <c r="AH2246" s="589"/>
      <c r="AI2246" s="589"/>
      <c r="AJ2246" s="589"/>
      <c r="AK2246" s="589"/>
      <c r="AL2246" s="589"/>
      <c r="AM2246" s="589"/>
      <c r="AN2246" s="589"/>
      <c r="AO2246" s="589"/>
      <c r="AP2246" s="589"/>
      <c r="AQ2246" s="589"/>
      <c r="AR2246" s="589"/>
      <c r="AS2246" s="589"/>
    </row>
    <row r="2247" spans="1:45" ht="15">
      <c r="A2247" s="590" t="s">
        <v>145</v>
      </c>
      <c r="B2247" s="591" t="s">
        <v>311</v>
      </c>
      <c r="C2247" s="591" t="s">
        <v>971</v>
      </c>
      <c r="D2247" s="592">
        <v>2019</v>
      </c>
      <c r="E2247" s="591" t="s">
        <v>775</v>
      </c>
      <c r="F2247" s="592">
        <v>0</v>
      </c>
      <c r="G2247" s="592">
        <v>0</v>
      </c>
      <c r="H2247" s="592">
        <v>0</v>
      </c>
      <c r="I2247" s="592">
        <v>0</v>
      </c>
      <c r="J2247" s="592">
        <v>0</v>
      </c>
      <c r="K2247" s="592">
        <v>0</v>
      </c>
      <c r="L2247" s="592">
        <v>0</v>
      </c>
      <c r="M2247" s="592">
        <v>0</v>
      </c>
      <c r="N2247" s="593">
        <v>0</v>
      </c>
      <c r="O2247" s="593">
        <v>26</v>
      </c>
      <c r="P2247" s="593">
        <v>0</v>
      </c>
      <c r="Q2247" s="593">
        <v>15</v>
      </c>
      <c r="R2247" s="593">
        <v>0</v>
      </c>
      <c r="S2247" s="593">
        <v>41</v>
      </c>
      <c r="T2247" s="593">
        <v>2019</v>
      </c>
      <c r="U2247" s="593">
        <v>2014</v>
      </c>
      <c r="V2247" s="589"/>
      <c r="W2247" s="589"/>
      <c r="X2247" s="589"/>
      <c r="Y2247" s="589"/>
      <c r="Z2247" s="589"/>
      <c r="AA2247" s="589"/>
      <c r="AB2247" s="589"/>
      <c r="AC2247" s="589"/>
      <c r="AD2247" s="589"/>
      <c r="AE2247" s="589"/>
      <c r="AF2247" s="589"/>
      <c r="AG2247" s="589"/>
      <c r="AH2247" s="589"/>
      <c r="AI2247" s="589"/>
      <c r="AJ2247" s="589"/>
      <c r="AK2247" s="589"/>
      <c r="AL2247" s="589"/>
      <c r="AM2247" s="589"/>
      <c r="AN2247" s="589"/>
      <c r="AO2247" s="589"/>
      <c r="AP2247" s="589"/>
      <c r="AQ2247" s="589"/>
      <c r="AR2247" s="589"/>
      <c r="AS2247" s="589"/>
    </row>
    <row r="2248" spans="1:45" ht="15">
      <c r="A2248" s="587" t="s">
        <v>184</v>
      </c>
      <c r="B2248" s="587" t="s">
        <v>630</v>
      </c>
      <c r="C2248" s="587" t="s">
        <v>782</v>
      </c>
      <c r="D2248" s="588">
        <v>2019</v>
      </c>
      <c r="E2248" s="587" t="s">
        <v>775</v>
      </c>
      <c r="F2248" s="588">
        <v>148</v>
      </c>
      <c r="G2248" s="588">
        <v>2</v>
      </c>
      <c r="H2248" s="588">
        <v>0</v>
      </c>
      <c r="I2248" s="588">
        <v>2</v>
      </c>
      <c r="J2248" s="588">
        <v>87</v>
      </c>
      <c r="K2248" s="588">
        <v>0</v>
      </c>
      <c r="L2248" s="588">
        <v>0</v>
      </c>
      <c r="M2248" s="588">
        <v>0</v>
      </c>
      <c r="N2248" s="588">
        <v>76</v>
      </c>
      <c r="O2248" s="588">
        <v>0</v>
      </c>
      <c r="P2248" s="588">
        <v>119</v>
      </c>
      <c r="Q2248" s="588">
        <v>20</v>
      </c>
      <c r="R2248" s="588">
        <v>430</v>
      </c>
      <c r="S2248" s="588">
        <v>22</v>
      </c>
      <c r="T2248" s="588">
        <v>2019</v>
      </c>
      <c r="U2248" s="588">
        <v>2015</v>
      </c>
      <c r="V2248" s="589"/>
      <c r="W2248" s="589"/>
      <c r="X2248" s="589"/>
      <c r="Y2248" s="589"/>
      <c r="Z2248" s="589"/>
      <c r="AA2248" s="589"/>
      <c r="AB2248" s="589"/>
      <c r="AC2248" s="589"/>
      <c r="AD2248" s="589"/>
      <c r="AE2248" s="589"/>
      <c r="AF2248" s="589"/>
      <c r="AG2248" s="589"/>
      <c r="AH2248" s="589"/>
      <c r="AI2248" s="589"/>
      <c r="AJ2248" s="589"/>
      <c r="AK2248" s="589"/>
      <c r="AL2248" s="589"/>
      <c r="AM2248" s="589"/>
      <c r="AN2248" s="589"/>
      <c r="AO2248" s="589"/>
      <c r="AP2248" s="589"/>
      <c r="AQ2248" s="589"/>
      <c r="AR2248" s="589"/>
      <c r="AS2248" s="589"/>
    </row>
    <row r="2249" spans="1:45" ht="15">
      <c r="A2249" s="590" t="s">
        <v>169</v>
      </c>
      <c r="B2249" s="591" t="s">
        <v>492</v>
      </c>
      <c r="C2249" s="591" t="s">
        <v>813</v>
      </c>
      <c r="D2249" s="592">
        <v>2019</v>
      </c>
      <c r="E2249" s="591" t="s">
        <v>775</v>
      </c>
      <c r="F2249" s="592">
        <v>83</v>
      </c>
      <c r="G2249" s="592">
        <v>0</v>
      </c>
      <c r="H2249" s="592">
        <v>0</v>
      </c>
      <c r="I2249" s="592">
        <v>0</v>
      </c>
      <c r="J2249" s="592">
        <v>59</v>
      </c>
      <c r="K2249" s="592">
        <v>17</v>
      </c>
      <c r="L2249" s="592">
        <v>0</v>
      </c>
      <c r="M2249" s="592">
        <v>17</v>
      </c>
      <c r="N2249" s="593">
        <v>65</v>
      </c>
      <c r="O2249" s="593">
        <v>6</v>
      </c>
      <c r="P2249" s="593">
        <v>151</v>
      </c>
      <c r="Q2249" s="593">
        <v>155</v>
      </c>
      <c r="R2249" s="593">
        <v>358</v>
      </c>
      <c r="S2249" s="593">
        <v>178</v>
      </c>
      <c r="T2249" s="593">
        <v>2019</v>
      </c>
      <c r="U2249" s="593">
        <v>2014</v>
      </c>
      <c r="V2249" s="589"/>
      <c r="W2249" s="589"/>
      <c r="X2249" s="589"/>
      <c r="Y2249" s="589"/>
      <c r="Z2249" s="589"/>
      <c r="AA2249" s="589"/>
      <c r="AB2249" s="589"/>
      <c r="AC2249" s="589"/>
      <c r="AD2249" s="589"/>
      <c r="AE2249" s="589"/>
      <c r="AF2249" s="589"/>
      <c r="AG2249" s="589"/>
      <c r="AH2249" s="589"/>
      <c r="AI2249" s="589"/>
      <c r="AJ2249" s="589"/>
      <c r="AK2249" s="589"/>
      <c r="AL2249" s="589"/>
      <c r="AM2249" s="589"/>
      <c r="AN2249" s="589"/>
      <c r="AO2249" s="589"/>
      <c r="AP2249" s="589"/>
      <c r="AQ2249" s="589"/>
      <c r="AR2249" s="589"/>
      <c r="AS2249" s="589"/>
    </row>
    <row r="2250" spans="1:45" ht="15">
      <c r="A2250" s="587" t="s">
        <v>141</v>
      </c>
      <c r="B2250" s="587" t="s">
        <v>293</v>
      </c>
      <c r="C2250" s="587" t="s">
        <v>811</v>
      </c>
      <c r="D2250" s="588">
        <v>2019</v>
      </c>
      <c r="E2250" s="587" t="s">
        <v>775</v>
      </c>
      <c r="F2250" s="588">
        <v>123</v>
      </c>
      <c r="G2250" s="588">
        <v>0</v>
      </c>
      <c r="H2250" s="588">
        <v>0</v>
      </c>
      <c r="I2250" s="588">
        <v>0</v>
      </c>
      <c r="J2250" s="588">
        <v>83</v>
      </c>
      <c r="K2250" s="588">
        <v>0</v>
      </c>
      <c r="L2250" s="588">
        <v>0</v>
      </c>
      <c r="M2250" s="588">
        <v>0</v>
      </c>
      <c r="N2250" s="588">
        <v>75</v>
      </c>
      <c r="O2250" s="588">
        <v>22</v>
      </c>
      <c r="P2250" s="588">
        <v>243</v>
      </c>
      <c r="Q2250" s="588">
        <v>29</v>
      </c>
      <c r="R2250" s="588">
        <v>524</v>
      </c>
      <c r="S2250" s="588">
        <v>51</v>
      </c>
      <c r="T2250" s="588">
        <v>2019</v>
      </c>
      <c r="U2250" s="588">
        <v>2016</v>
      </c>
      <c r="V2250" s="589"/>
      <c r="W2250" s="589"/>
      <c r="X2250" s="589"/>
      <c r="Y2250" s="589"/>
      <c r="Z2250" s="589"/>
      <c r="AA2250" s="589"/>
      <c r="AB2250" s="589"/>
      <c r="AC2250" s="589"/>
      <c r="AD2250" s="589"/>
      <c r="AE2250" s="589"/>
      <c r="AF2250" s="589"/>
      <c r="AG2250" s="589"/>
      <c r="AH2250" s="589"/>
      <c r="AI2250" s="589"/>
      <c r="AJ2250" s="589"/>
      <c r="AK2250" s="589"/>
      <c r="AL2250" s="589"/>
      <c r="AM2250" s="589"/>
      <c r="AN2250" s="589"/>
      <c r="AO2250" s="589"/>
      <c r="AP2250" s="589"/>
      <c r="AQ2250" s="589"/>
      <c r="AR2250" s="589"/>
      <c r="AS2250" s="589"/>
    </row>
    <row r="2251" spans="1:45" ht="15">
      <c r="A2251" s="590" t="s">
        <v>125</v>
      </c>
      <c r="B2251" s="591" t="s">
        <v>238</v>
      </c>
      <c r="C2251" s="591" t="s">
        <v>782</v>
      </c>
      <c r="D2251" s="592">
        <v>2019</v>
      </c>
      <c r="E2251" s="591" t="s">
        <v>775</v>
      </c>
      <c r="F2251" s="592">
        <v>1714</v>
      </c>
      <c r="G2251" s="592">
        <v>78</v>
      </c>
      <c r="H2251" s="592">
        <v>78</v>
      </c>
      <c r="I2251" s="592">
        <v>0</v>
      </c>
      <c r="J2251" s="592">
        <v>926</v>
      </c>
      <c r="K2251" s="592">
        <v>52</v>
      </c>
      <c r="L2251" s="592">
        <v>52</v>
      </c>
      <c r="M2251" s="592">
        <v>0</v>
      </c>
      <c r="N2251" s="593">
        <v>978</v>
      </c>
      <c r="O2251" s="593">
        <v>2</v>
      </c>
      <c r="P2251" s="593">
        <v>1837</v>
      </c>
      <c r="Q2251" s="593">
        <v>955</v>
      </c>
      <c r="R2251" s="593">
        <v>5455</v>
      </c>
      <c r="S2251" s="593">
        <v>1087</v>
      </c>
      <c r="T2251" s="593">
        <v>2019</v>
      </c>
      <c r="U2251" s="593">
        <v>2015</v>
      </c>
      <c r="V2251" s="589"/>
      <c r="W2251" s="589"/>
      <c r="X2251" s="589"/>
      <c r="Y2251" s="589"/>
      <c r="Z2251" s="589"/>
      <c r="AA2251" s="589"/>
      <c r="AB2251" s="589"/>
      <c r="AC2251" s="589"/>
      <c r="AD2251" s="589"/>
      <c r="AE2251" s="589"/>
      <c r="AF2251" s="589"/>
      <c r="AG2251" s="589"/>
      <c r="AH2251" s="589"/>
      <c r="AI2251" s="589"/>
      <c r="AJ2251" s="589"/>
      <c r="AK2251" s="589"/>
      <c r="AL2251" s="589"/>
      <c r="AM2251" s="589"/>
      <c r="AN2251" s="589"/>
      <c r="AO2251" s="589"/>
      <c r="AP2251" s="589"/>
      <c r="AQ2251" s="589"/>
      <c r="AR2251" s="589"/>
      <c r="AS2251" s="589"/>
    </row>
    <row r="2252" spans="1:45" ht="15">
      <c r="A2252" s="587" t="s">
        <v>141</v>
      </c>
      <c r="B2252" s="587" t="s">
        <v>141</v>
      </c>
      <c r="C2252" s="587" t="s">
        <v>811</v>
      </c>
      <c r="D2252" s="588">
        <v>2019</v>
      </c>
      <c r="E2252" s="587" t="s">
        <v>775</v>
      </c>
      <c r="F2252" s="588">
        <v>5666</v>
      </c>
      <c r="G2252" s="588">
        <v>41</v>
      </c>
      <c r="H2252" s="588">
        <v>41</v>
      </c>
      <c r="I2252" s="588">
        <v>0</v>
      </c>
      <c r="J2252" s="588">
        <v>3289</v>
      </c>
      <c r="K2252" s="588">
        <v>5</v>
      </c>
      <c r="L2252" s="588">
        <v>5</v>
      </c>
      <c r="M2252" s="588">
        <v>0</v>
      </c>
      <c r="N2252" s="588">
        <v>3571</v>
      </c>
      <c r="O2252" s="588">
        <v>0</v>
      </c>
      <c r="P2252" s="588">
        <v>11039</v>
      </c>
      <c r="Q2252" s="588">
        <v>1970</v>
      </c>
      <c r="R2252" s="588">
        <v>23565</v>
      </c>
      <c r="S2252" s="588">
        <v>2016</v>
      </c>
      <c r="T2252" s="588">
        <v>2019</v>
      </c>
      <c r="U2252" s="588">
        <v>2016</v>
      </c>
      <c r="V2252" s="589"/>
      <c r="W2252" s="589"/>
      <c r="X2252" s="589"/>
      <c r="Y2252" s="589"/>
      <c r="Z2252" s="589"/>
      <c r="AA2252" s="589"/>
      <c r="AB2252" s="589"/>
      <c r="AC2252" s="589"/>
      <c r="AD2252" s="589"/>
      <c r="AE2252" s="589"/>
      <c r="AF2252" s="589"/>
      <c r="AG2252" s="589"/>
      <c r="AH2252" s="589"/>
      <c r="AI2252" s="589"/>
      <c r="AJ2252" s="589"/>
      <c r="AK2252" s="589"/>
      <c r="AL2252" s="589"/>
      <c r="AM2252" s="589"/>
      <c r="AN2252" s="589"/>
      <c r="AO2252" s="589"/>
      <c r="AP2252" s="589"/>
      <c r="AQ2252" s="589"/>
      <c r="AR2252" s="589"/>
      <c r="AS2252" s="589"/>
    </row>
    <row r="2253" spans="1:45" ht="15">
      <c r="A2253" s="590" t="s">
        <v>141</v>
      </c>
      <c r="B2253" s="591" t="s">
        <v>294</v>
      </c>
      <c r="C2253" s="591" t="s">
        <v>811</v>
      </c>
      <c r="D2253" s="592">
        <v>2019</v>
      </c>
      <c r="E2253" s="591" t="s">
        <v>775</v>
      </c>
      <c r="F2253" s="592">
        <v>460</v>
      </c>
      <c r="G2253" s="592">
        <v>20</v>
      </c>
      <c r="H2253" s="592">
        <v>0</v>
      </c>
      <c r="I2253" s="592">
        <v>20</v>
      </c>
      <c r="J2253" s="592">
        <v>527</v>
      </c>
      <c r="K2253" s="592">
        <v>40</v>
      </c>
      <c r="L2253" s="592">
        <v>0</v>
      </c>
      <c r="M2253" s="592">
        <v>40</v>
      </c>
      <c r="N2253" s="593">
        <v>589</v>
      </c>
      <c r="O2253" s="593">
        <v>20</v>
      </c>
      <c r="P2253" s="593">
        <v>1146</v>
      </c>
      <c r="Q2253" s="593">
        <v>56</v>
      </c>
      <c r="R2253" s="593">
        <v>2722</v>
      </c>
      <c r="S2253" s="593">
        <v>136</v>
      </c>
      <c r="T2253" s="593">
        <v>2019</v>
      </c>
      <c r="U2253" s="593">
        <v>2016</v>
      </c>
      <c r="V2253" s="589"/>
      <c r="W2253" s="589"/>
      <c r="X2253" s="589"/>
      <c r="Y2253" s="589"/>
      <c r="Z2253" s="589"/>
      <c r="AA2253" s="589"/>
      <c r="AB2253" s="589"/>
      <c r="AC2253" s="589"/>
      <c r="AD2253" s="589"/>
      <c r="AE2253" s="589"/>
      <c r="AF2253" s="589"/>
      <c r="AG2253" s="589"/>
      <c r="AH2253" s="589"/>
      <c r="AI2253" s="589"/>
      <c r="AJ2253" s="589"/>
      <c r="AK2253" s="589"/>
      <c r="AL2253" s="589"/>
      <c r="AM2253" s="589"/>
      <c r="AN2253" s="589"/>
      <c r="AO2253" s="589"/>
      <c r="AP2253" s="589"/>
      <c r="AQ2253" s="589"/>
      <c r="AR2253" s="589"/>
      <c r="AS2253" s="589"/>
    </row>
    <row r="2254" spans="1:45" ht="15">
      <c r="A2254" s="587" t="s">
        <v>169</v>
      </c>
      <c r="B2254" s="587" t="s">
        <v>493</v>
      </c>
      <c r="C2254" s="587" t="s">
        <v>813</v>
      </c>
      <c r="D2254" s="588">
        <v>2019</v>
      </c>
      <c r="E2254" s="587" t="s">
        <v>775</v>
      </c>
      <c r="F2254" s="588">
        <v>411</v>
      </c>
      <c r="G2254" s="588">
        <v>1</v>
      </c>
      <c r="H2254" s="588">
        <v>1</v>
      </c>
      <c r="I2254" s="588">
        <v>0</v>
      </c>
      <c r="J2254" s="588">
        <v>299</v>
      </c>
      <c r="K2254" s="588">
        <v>8</v>
      </c>
      <c r="L2254" s="588">
        <v>8</v>
      </c>
      <c r="M2254" s="588">
        <v>0</v>
      </c>
      <c r="N2254" s="588">
        <v>337</v>
      </c>
      <c r="O2254" s="588">
        <v>10</v>
      </c>
      <c r="P2254" s="588">
        <v>794</v>
      </c>
      <c r="Q2254" s="588">
        <v>323</v>
      </c>
      <c r="R2254" s="588">
        <v>1841</v>
      </c>
      <c r="S2254" s="588">
        <v>342</v>
      </c>
      <c r="T2254" s="588">
        <v>2019</v>
      </c>
      <c r="U2254" s="588">
        <v>2014</v>
      </c>
      <c r="V2254" s="589"/>
      <c r="W2254" s="589"/>
      <c r="X2254" s="589"/>
      <c r="Y2254" s="589"/>
      <c r="Z2254" s="589"/>
      <c r="AA2254" s="589"/>
      <c r="AB2254" s="589"/>
      <c r="AC2254" s="589"/>
      <c r="AD2254" s="589"/>
      <c r="AE2254" s="589"/>
      <c r="AF2254" s="589"/>
      <c r="AG2254" s="589"/>
      <c r="AH2254" s="589"/>
      <c r="AI2254" s="589"/>
      <c r="AJ2254" s="589"/>
      <c r="AK2254" s="589"/>
      <c r="AL2254" s="589"/>
      <c r="AM2254" s="589"/>
      <c r="AN2254" s="589"/>
      <c r="AO2254" s="589"/>
      <c r="AP2254" s="589"/>
      <c r="AQ2254" s="589"/>
      <c r="AR2254" s="589"/>
      <c r="AS2254" s="589"/>
    </row>
    <row r="2255" spans="1:45" ht="15">
      <c r="A2255" s="590" t="s">
        <v>174</v>
      </c>
      <c r="B2255" s="591" t="s">
        <v>559</v>
      </c>
      <c r="C2255" s="591" t="s">
        <v>801</v>
      </c>
      <c r="D2255" s="592">
        <v>2019</v>
      </c>
      <c r="E2255" s="591" t="s">
        <v>775</v>
      </c>
      <c r="F2255" s="592">
        <v>131</v>
      </c>
      <c r="G2255" s="592">
        <v>1</v>
      </c>
      <c r="H2255" s="592">
        <v>0</v>
      </c>
      <c r="I2255" s="592">
        <v>1</v>
      </c>
      <c r="J2255" s="592">
        <v>91</v>
      </c>
      <c r="K2255" s="592">
        <v>0</v>
      </c>
      <c r="L2255" s="592">
        <v>0</v>
      </c>
      <c r="M2255" s="592">
        <v>0</v>
      </c>
      <c r="N2255" s="593">
        <v>126</v>
      </c>
      <c r="O2255" s="593">
        <v>0</v>
      </c>
      <c r="P2255" s="593">
        <v>331</v>
      </c>
      <c r="Q2255" s="593">
        <v>57</v>
      </c>
      <c r="R2255" s="593">
        <v>679</v>
      </c>
      <c r="S2255" s="593">
        <v>58</v>
      </c>
      <c r="T2255" s="593">
        <v>2019</v>
      </c>
      <c r="U2255" s="593">
        <v>2014</v>
      </c>
      <c r="V2255" s="589"/>
      <c r="W2255" s="589"/>
      <c r="X2255" s="589"/>
      <c r="Y2255" s="589"/>
      <c r="Z2255" s="589"/>
      <c r="AA2255" s="589"/>
      <c r="AB2255" s="589"/>
      <c r="AC2255" s="589"/>
      <c r="AD2255" s="589"/>
      <c r="AE2255" s="589"/>
      <c r="AF2255" s="589"/>
      <c r="AG2255" s="589"/>
      <c r="AH2255" s="589"/>
      <c r="AI2255" s="589"/>
      <c r="AJ2255" s="589"/>
      <c r="AK2255" s="589"/>
      <c r="AL2255" s="589"/>
      <c r="AM2255" s="589"/>
      <c r="AN2255" s="589"/>
      <c r="AO2255" s="589"/>
      <c r="AP2255" s="589"/>
      <c r="AQ2255" s="589"/>
      <c r="AR2255" s="589"/>
      <c r="AS2255" s="589"/>
    </row>
    <row r="2256" spans="1:45" ht="15">
      <c r="A2256" s="587" t="s">
        <v>169</v>
      </c>
      <c r="B2256" s="587" t="s">
        <v>494</v>
      </c>
      <c r="C2256" s="587" t="s">
        <v>813</v>
      </c>
      <c r="D2256" s="588">
        <v>2019</v>
      </c>
      <c r="E2256" s="587" t="s">
        <v>775</v>
      </c>
      <c r="F2256" s="588">
        <v>164</v>
      </c>
      <c r="G2256" s="588">
        <v>0</v>
      </c>
      <c r="H2256" s="588">
        <v>0</v>
      </c>
      <c r="I2256" s="588">
        <v>0</v>
      </c>
      <c r="J2256" s="588">
        <v>120</v>
      </c>
      <c r="K2256" s="588">
        <v>0</v>
      </c>
      <c r="L2256" s="588">
        <v>0</v>
      </c>
      <c r="M2256" s="588">
        <v>0</v>
      </c>
      <c r="N2256" s="588">
        <v>135</v>
      </c>
      <c r="O2256" s="588">
        <v>0</v>
      </c>
      <c r="P2256" s="588">
        <v>328</v>
      </c>
      <c r="Q2256" s="588">
        <v>125</v>
      </c>
      <c r="R2256" s="588">
        <v>747</v>
      </c>
      <c r="S2256" s="588">
        <v>125</v>
      </c>
      <c r="T2256" s="588">
        <v>2019</v>
      </c>
      <c r="U2256" s="588">
        <v>2014</v>
      </c>
      <c r="V2256" s="589"/>
      <c r="W2256" s="589"/>
      <c r="X2256" s="589"/>
      <c r="Y2256" s="589"/>
      <c r="Z2256" s="589"/>
      <c r="AA2256" s="589"/>
      <c r="AB2256" s="589"/>
      <c r="AC2256" s="589"/>
      <c r="AD2256" s="589"/>
      <c r="AE2256" s="589"/>
      <c r="AF2256" s="589"/>
      <c r="AG2256" s="589"/>
      <c r="AH2256" s="589"/>
      <c r="AI2256" s="589"/>
      <c r="AJ2256" s="589"/>
      <c r="AK2256" s="589"/>
      <c r="AL2256" s="589"/>
      <c r="AM2256" s="589"/>
      <c r="AN2256" s="589"/>
      <c r="AO2256" s="589"/>
      <c r="AP2256" s="589"/>
      <c r="AQ2256" s="589"/>
      <c r="AR2256" s="589"/>
      <c r="AS2256" s="589"/>
    </row>
    <row r="2257" spans="1:45" ht="15">
      <c r="A2257" s="590" t="s">
        <v>153</v>
      </c>
      <c r="B2257" s="591" t="s">
        <v>373</v>
      </c>
      <c r="C2257" s="591" t="s">
        <v>813</v>
      </c>
      <c r="D2257" s="592">
        <v>2019</v>
      </c>
      <c r="E2257" s="591" t="s">
        <v>775</v>
      </c>
      <c r="F2257" s="592">
        <v>98</v>
      </c>
      <c r="G2257" s="592">
        <v>0</v>
      </c>
      <c r="H2257" s="592">
        <v>0</v>
      </c>
      <c r="I2257" s="592">
        <v>0</v>
      </c>
      <c r="J2257" s="592">
        <v>60</v>
      </c>
      <c r="K2257" s="592">
        <v>0</v>
      </c>
      <c r="L2257" s="592">
        <v>0</v>
      </c>
      <c r="M2257" s="592">
        <v>0</v>
      </c>
      <c r="N2257" s="593">
        <v>66</v>
      </c>
      <c r="O2257" s="593">
        <v>0</v>
      </c>
      <c r="P2257" s="593">
        <v>173</v>
      </c>
      <c r="Q2257" s="593">
        <v>40</v>
      </c>
      <c r="R2257" s="593">
        <v>397</v>
      </c>
      <c r="S2257" s="593">
        <v>40</v>
      </c>
      <c r="T2257" s="593">
        <v>2019</v>
      </c>
      <c r="U2257" s="593">
        <v>2014</v>
      </c>
      <c r="V2257" s="589"/>
      <c r="W2257" s="589"/>
      <c r="X2257" s="589"/>
      <c r="Y2257" s="589"/>
      <c r="Z2257" s="589"/>
      <c r="AA2257" s="589"/>
      <c r="AB2257" s="589"/>
      <c r="AC2257" s="589"/>
      <c r="AD2257" s="589"/>
      <c r="AE2257" s="589"/>
      <c r="AF2257" s="589"/>
      <c r="AG2257" s="589"/>
      <c r="AH2257" s="589"/>
      <c r="AI2257" s="589"/>
      <c r="AJ2257" s="589"/>
      <c r="AK2257" s="589"/>
      <c r="AL2257" s="589"/>
      <c r="AM2257" s="589"/>
      <c r="AN2257" s="589"/>
      <c r="AO2257" s="589"/>
      <c r="AP2257" s="589"/>
      <c r="AQ2257" s="589"/>
      <c r="AR2257" s="589"/>
      <c r="AS2257" s="589"/>
    </row>
    <row r="2258" spans="1:45" ht="15">
      <c r="A2258" s="587" t="s">
        <v>187</v>
      </c>
      <c r="B2258" s="587" t="s">
        <v>653</v>
      </c>
      <c r="C2258" s="587" t="s">
        <v>782</v>
      </c>
      <c r="D2258" s="588">
        <v>2019</v>
      </c>
      <c r="E2258" s="587" t="s">
        <v>775</v>
      </c>
      <c r="F2258" s="588">
        <v>236</v>
      </c>
      <c r="G2258" s="588">
        <v>0</v>
      </c>
      <c r="H2258" s="588">
        <v>0</v>
      </c>
      <c r="I2258" s="588">
        <v>0</v>
      </c>
      <c r="J2258" s="588">
        <v>160</v>
      </c>
      <c r="K2258" s="588">
        <v>0</v>
      </c>
      <c r="L2258" s="588">
        <v>0</v>
      </c>
      <c r="M2258" s="588">
        <v>0</v>
      </c>
      <c r="N2258" s="588">
        <v>217</v>
      </c>
      <c r="O2258" s="588">
        <v>10</v>
      </c>
      <c r="P2258" s="588">
        <v>475</v>
      </c>
      <c r="Q2258" s="588">
        <v>153</v>
      </c>
      <c r="R2258" s="588">
        <v>1088</v>
      </c>
      <c r="S2258" s="588">
        <v>163</v>
      </c>
      <c r="T2258" s="588">
        <v>2019</v>
      </c>
      <c r="U2258" s="588">
        <v>2015</v>
      </c>
      <c r="V2258" s="589"/>
      <c r="W2258" s="589"/>
      <c r="X2258" s="589"/>
      <c r="Y2258" s="589"/>
      <c r="Z2258" s="589"/>
      <c r="AA2258" s="589"/>
      <c r="AB2258" s="589"/>
      <c r="AC2258" s="589"/>
      <c r="AD2258" s="589"/>
      <c r="AE2258" s="589"/>
      <c r="AF2258" s="589"/>
      <c r="AG2258" s="589"/>
      <c r="AH2258" s="589"/>
      <c r="AI2258" s="589"/>
      <c r="AJ2258" s="589"/>
      <c r="AK2258" s="589"/>
      <c r="AL2258" s="589"/>
      <c r="AM2258" s="589"/>
      <c r="AN2258" s="589"/>
      <c r="AO2258" s="589"/>
      <c r="AP2258" s="589"/>
      <c r="AQ2258" s="589"/>
      <c r="AR2258" s="589"/>
      <c r="AS2258" s="589"/>
    </row>
    <row r="2259" spans="1:45" ht="15">
      <c r="A2259" s="590" t="s">
        <v>153</v>
      </c>
      <c r="B2259" s="591" t="s">
        <v>374</v>
      </c>
      <c r="C2259" s="591" t="s">
        <v>813</v>
      </c>
      <c r="D2259" s="592">
        <v>2019</v>
      </c>
      <c r="E2259" s="591" t="s">
        <v>775</v>
      </c>
      <c r="F2259" s="592">
        <v>508</v>
      </c>
      <c r="G2259" s="592">
        <v>4</v>
      </c>
      <c r="H2259" s="592">
        <v>4</v>
      </c>
      <c r="I2259" s="592">
        <v>0</v>
      </c>
      <c r="J2259" s="592">
        <v>310</v>
      </c>
      <c r="K2259" s="592">
        <v>0</v>
      </c>
      <c r="L2259" s="592">
        <v>0</v>
      </c>
      <c r="M2259" s="592">
        <v>0</v>
      </c>
      <c r="N2259" s="593">
        <v>337</v>
      </c>
      <c r="O2259" s="593">
        <v>0</v>
      </c>
      <c r="P2259" s="593">
        <v>862</v>
      </c>
      <c r="Q2259" s="593">
        <v>299</v>
      </c>
      <c r="R2259" s="593">
        <v>2017</v>
      </c>
      <c r="S2259" s="593">
        <v>303</v>
      </c>
      <c r="T2259" s="593">
        <v>2019</v>
      </c>
      <c r="U2259" s="593">
        <v>2014</v>
      </c>
      <c r="V2259" s="589"/>
      <c r="W2259" s="589"/>
      <c r="X2259" s="589"/>
      <c r="Y2259" s="589"/>
      <c r="Z2259" s="589"/>
      <c r="AA2259" s="589"/>
      <c r="AB2259" s="589"/>
      <c r="AC2259" s="589"/>
      <c r="AD2259" s="589"/>
      <c r="AE2259" s="589"/>
      <c r="AF2259" s="589"/>
      <c r="AG2259" s="589"/>
      <c r="AH2259" s="589"/>
      <c r="AI2259" s="589"/>
      <c r="AJ2259" s="589"/>
      <c r="AK2259" s="589"/>
      <c r="AL2259" s="589"/>
      <c r="AM2259" s="589"/>
      <c r="AN2259" s="589"/>
      <c r="AO2259" s="589"/>
      <c r="AP2259" s="589"/>
      <c r="AQ2259" s="589"/>
      <c r="AR2259" s="589"/>
      <c r="AS2259" s="589"/>
    </row>
    <row r="2260" spans="1:45" ht="15">
      <c r="A2260" s="587" t="s">
        <v>153</v>
      </c>
      <c r="B2260" s="587" t="s">
        <v>375</v>
      </c>
      <c r="C2260" s="587" t="s">
        <v>813</v>
      </c>
      <c r="D2260" s="588">
        <v>2019</v>
      </c>
      <c r="E2260" s="587" t="s">
        <v>775</v>
      </c>
      <c r="F2260" s="588">
        <v>181</v>
      </c>
      <c r="G2260" s="588">
        <v>0</v>
      </c>
      <c r="H2260" s="588">
        <v>0</v>
      </c>
      <c r="I2260" s="588">
        <v>0</v>
      </c>
      <c r="J2260" s="588">
        <v>106</v>
      </c>
      <c r="K2260" s="588">
        <v>0</v>
      </c>
      <c r="L2260" s="588">
        <v>0</v>
      </c>
      <c r="M2260" s="588">
        <v>0</v>
      </c>
      <c r="N2260" s="588">
        <v>115</v>
      </c>
      <c r="O2260" s="588">
        <v>0</v>
      </c>
      <c r="P2260" s="588">
        <v>284</v>
      </c>
      <c r="Q2260" s="588">
        <v>42</v>
      </c>
      <c r="R2260" s="588">
        <v>686</v>
      </c>
      <c r="S2260" s="588">
        <v>42</v>
      </c>
      <c r="T2260" s="588">
        <v>2019</v>
      </c>
      <c r="U2260" s="588">
        <v>2014</v>
      </c>
      <c r="V2260" s="589"/>
      <c r="W2260" s="589"/>
      <c r="X2260" s="589"/>
      <c r="Y2260" s="589"/>
      <c r="Z2260" s="589"/>
      <c r="AA2260" s="589"/>
      <c r="AB2260" s="589"/>
      <c r="AC2260" s="589"/>
      <c r="AD2260" s="589"/>
      <c r="AE2260" s="589"/>
      <c r="AF2260" s="589"/>
      <c r="AG2260" s="589"/>
      <c r="AH2260" s="589"/>
      <c r="AI2260" s="589"/>
      <c r="AJ2260" s="589"/>
      <c r="AK2260" s="589"/>
      <c r="AL2260" s="589"/>
      <c r="AM2260" s="589"/>
      <c r="AN2260" s="589"/>
      <c r="AO2260" s="589"/>
      <c r="AP2260" s="589"/>
      <c r="AQ2260" s="589"/>
      <c r="AR2260" s="589"/>
      <c r="AS2260" s="589"/>
    </row>
    <row r="2261" spans="1:45" ht="15">
      <c r="A2261" s="590" t="s">
        <v>144</v>
      </c>
      <c r="B2261" s="591" t="s">
        <v>304</v>
      </c>
      <c r="C2261" s="591" t="s">
        <v>785</v>
      </c>
      <c r="D2261" s="592">
        <v>2019</v>
      </c>
      <c r="E2261" s="591" t="s">
        <v>775</v>
      </c>
      <c r="F2261" s="592">
        <v>25</v>
      </c>
      <c r="G2261" s="592">
        <v>0</v>
      </c>
      <c r="H2261" s="592">
        <v>0</v>
      </c>
      <c r="I2261" s="592">
        <v>0</v>
      </c>
      <c r="J2261" s="592">
        <v>19</v>
      </c>
      <c r="K2261" s="592">
        <v>8</v>
      </c>
      <c r="L2261" s="592">
        <v>0</v>
      </c>
      <c r="M2261" s="592">
        <v>8</v>
      </c>
      <c r="N2261" s="593">
        <v>25</v>
      </c>
      <c r="O2261" s="593">
        <v>11</v>
      </c>
      <c r="P2261" s="593">
        <v>48</v>
      </c>
      <c r="Q2261" s="593">
        <v>13</v>
      </c>
      <c r="R2261" s="593">
        <v>117</v>
      </c>
      <c r="S2261" s="593">
        <v>32</v>
      </c>
      <c r="T2261" s="593">
        <v>2019</v>
      </c>
      <c r="U2261" s="593">
        <v>2014</v>
      </c>
      <c r="V2261" s="589"/>
      <c r="W2261" s="589"/>
      <c r="X2261" s="589"/>
      <c r="Y2261" s="589"/>
      <c r="Z2261" s="589"/>
      <c r="AA2261" s="589"/>
      <c r="AB2261" s="589"/>
      <c r="AC2261" s="589"/>
      <c r="AD2261" s="589"/>
      <c r="AE2261" s="589"/>
      <c r="AF2261" s="589"/>
      <c r="AG2261" s="589"/>
      <c r="AH2261" s="589"/>
      <c r="AI2261" s="589"/>
      <c r="AJ2261" s="589"/>
      <c r="AK2261" s="589"/>
      <c r="AL2261" s="589"/>
      <c r="AM2261" s="589"/>
      <c r="AN2261" s="589"/>
      <c r="AO2261" s="589"/>
      <c r="AP2261" s="589"/>
      <c r="AQ2261" s="589"/>
      <c r="AR2261" s="589"/>
      <c r="AS2261" s="589"/>
    </row>
    <row r="2262" spans="1:45" ht="15">
      <c r="A2262" s="587" t="s">
        <v>185</v>
      </c>
      <c r="B2262" s="587" t="s">
        <v>645</v>
      </c>
      <c r="C2262" s="587" t="s">
        <v>872</v>
      </c>
      <c r="D2262" s="588">
        <v>2019</v>
      </c>
      <c r="E2262" s="587" t="s">
        <v>775</v>
      </c>
      <c r="F2262" s="588">
        <v>235</v>
      </c>
      <c r="G2262" s="588">
        <v>0</v>
      </c>
      <c r="H2262" s="588">
        <v>0</v>
      </c>
      <c r="I2262" s="588">
        <v>0</v>
      </c>
      <c r="J2262" s="588">
        <v>157</v>
      </c>
      <c r="K2262" s="588">
        <v>7</v>
      </c>
      <c r="L2262" s="588">
        <v>5</v>
      </c>
      <c r="M2262" s="588">
        <v>2</v>
      </c>
      <c r="N2262" s="588">
        <v>174</v>
      </c>
      <c r="O2262" s="588">
        <v>4</v>
      </c>
      <c r="P2262" s="588">
        <v>413</v>
      </c>
      <c r="Q2262" s="588">
        <v>273</v>
      </c>
      <c r="R2262" s="588">
        <v>979</v>
      </c>
      <c r="S2262" s="588">
        <v>284</v>
      </c>
      <c r="T2262" s="588">
        <v>2019</v>
      </c>
      <c r="U2262" s="588">
        <v>2015</v>
      </c>
      <c r="V2262" s="589"/>
      <c r="W2262" s="589"/>
      <c r="X2262" s="589"/>
      <c r="Y2262" s="589"/>
      <c r="Z2262" s="589"/>
      <c r="AA2262" s="589"/>
      <c r="AB2262" s="589"/>
      <c r="AC2262" s="589"/>
      <c r="AD2262" s="589"/>
      <c r="AE2262" s="589"/>
      <c r="AF2262" s="589"/>
      <c r="AG2262" s="589"/>
      <c r="AH2262" s="589"/>
      <c r="AI2262" s="589"/>
      <c r="AJ2262" s="589"/>
      <c r="AK2262" s="589"/>
      <c r="AL2262" s="589"/>
      <c r="AM2262" s="589"/>
      <c r="AN2262" s="589"/>
      <c r="AO2262" s="589"/>
      <c r="AP2262" s="589"/>
      <c r="AQ2262" s="589"/>
      <c r="AR2262" s="589"/>
      <c r="AS2262" s="589"/>
    </row>
    <row r="2263" spans="1:45" ht="15">
      <c r="A2263" s="590" t="s">
        <v>164</v>
      </c>
      <c r="B2263" s="591" t="s">
        <v>466</v>
      </c>
      <c r="C2263" s="591" t="s">
        <v>811</v>
      </c>
      <c r="D2263" s="592">
        <v>2019</v>
      </c>
      <c r="E2263" s="591" t="s">
        <v>775</v>
      </c>
      <c r="F2263" s="592">
        <v>71</v>
      </c>
      <c r="G2263" s="592">
        <v>0</v>
      </c>
      <c r="H2263" s="592">
        <v>0</v>
      </c>
      <c r="I2263" s="592">
        <v>0</v>
      </c>
      <c r="J2263" s="592">
        <v>46</v>
      </c>
      <c r="K2263" s="592">
        <v>0</v>
      </c>
      <c r="L2263" s="592">
        <v>0</v>
      </c>
      <c r="M2263" s="592">
        <v>0</v>
      </c>
      <c r="N2263" s="593">
        <v>53</v>
      </c>
      <c r="O2263" s="593">
        <v>0</v>
      </c>
      <c r="P2263" s="593">
        <v>123</v>
      </c>
      <c r="Q2263" s="593">
        <v>0</v>
      </c>
      <c r="R2263" s="593">
        <v>293</v>
      </c>
      <c r="S2263" s="593">
        <v>0</v>
      </c>
      <c r="T2263" s="593">
        <v>2019</v>
      </c>
      <c r="U2263" s="593">
        <v>2016</v>
      </c>
      <c r="V2263" s="589"/>
      <c r="W2263" s="589"/>
      <c r="X2263" s="589"/>
      <c r="Y2263" s="589"/>
      <c r="Z2263" s="589"/>
      <c r="AA2263" s="589"/>
      <c r="AB2263" s="589"/>
      <c r="AC2263" s="589"/>
      <c r="AD2263" s="589"/>
      <c r="AE2263" s="589"/>
      <c r="AF2263" s="589"/>
      <c r="AG2263" s="589"/>
      <c r="AH2263" s="589"/>
      <c r="AI2263" s="589"/>
      <c r="AJ2263" s="589"/>
      <c r="AK2263" s="589"/>
      <c r="AL2263" s="589"/>
      <c r="AM2263" s="589"/>
      <c r="AN2263" s="589"/>
      <c r="AO2263" s="589"/>
      <c r="AP2263" s="589"/>
      <c r="AQ2263" s="589"/>
      <c r="AR2263" s="589"/>
      <c r="AS2263" s="589"/>
    </row>
    <row r="2264" spans="1:45" ht="15">
      <c r="A2264" s="587" t="s">
        <v>178</v>
      </c>
      <c r="B2264" s="587" t="s">
        <v>574</v>
      </c>
      <c r="C2264" s="587" t="s">
        <v>813</v>
      </c>
      <c r="D2264" s="588">
        <v>2019</v>
      </c>
      <c r="E2264" s="587" t="s">
        <v>775</v>
      </c>
      <c r="F2264" s="588">
        <v>28</v>
      </c>
      <c r="G2264" s="588">
        <v>0</v>
      </c>
      <c r="H2264" s="588">
        <v>0</v>
      </c>
      <c r="I2264" s="588">
        <v>0</v>
      </c>
      <c r="J2264" s="588">
        <v>19</v>
      </c>
      <c r="K2264" s="588">
        <v>0</v>
      </c>
      <c r="L2264" s="588">
        <v>0</v>
      </c>
      <c r="M2264" s="588">
        <v>0</v>
      </c>
      <c r="N2264" s="588">
        <v>22</v>
      </c>
      <c r="O2264" s="588">
        <v>1</v>
      </c>
      <c r="P2264" s="588">
        <v>49</v>
      </c>
      <c r="Q2264" s="588">
        <v>18</v>
      </c>
      <c r="R2264" s="588">
        <v>118</v>
      </c>
      <c r="S2264" s="588">
        <v>19</v>
      </c>
      <c r="T2264" s="588">
        <v>2019</v>
      </c>
      <c r="U2264" s="588">
        <v>2014</v>
      </c>
      <c r="V2264" s="589"/>
      <c r="W2264" s="589"/>
      <c r="X2264" s="589"/>
      <c r="Y2264" s="589"/>
      <c r="Z2264" s="589"/>
      <c r="AA2264" s="589"/>
      <c r="AB2264" s="589"/>
      <c r="AC2264" s="589"/>
      <c r="AD2264" s="589"/>
      <c r="AE2264" s="589"/>
      <c r="AF2264" s="589"/>
      <c r="AG2264" s="589"/>
      <c r="AH2264" s="589"/>
      <c r="AI2264" s="589"/>
      <c r="AJ2264" s="589"/>
      <c r="AK2264" s="589"/>
      <c r="AL2264" s="589"/>
      <c r="AM2264" s="589"/>
      <c r="AN2264" s="589"/>
      <c r="AO2264" s="589"/>
      <c r="AP2264" s="589"/>
      <c r="AQ2264" s="589"/>
      <c r="AR2264" s="589"/>
      <c r="AS2264" s="589"/>
    </row>
    <row r="2265" spans="1:45" ht="15">
      <c r="A2265" s="590" t="s">
        <v>168</v>
      </c>
      <c r="B2265" s="591" t="s">
        <v>481</v>
      </c>
      <c r="C2265" s="591" t="s">
        <v>972</v>
      </c>
      <c r="D2265" s="592">
        <v>2019</v>
      </c>
      <c r="E2265" s="591" t="s">
        <v>775</v>
      </c>
      <c r="F2265" s="592">
        <v>0</v>
      </c>
      <c r="G2265" s="592">
        <v>0</v>
      </c>
      <c r="H2265" s="592">
        <v>0</v>
      </c>
      <c r="I2265" s="592">
        <v>0</v>
      </c>
      <c r="J2265" s="592">
        <v>0</v>
      </c>
      <c r="K2265" s="592">
        <v>36</v>
      </c>
      <c r="L2265" s="592">
        <v>1</v>
      </c>
      <c r="M2265" s="592">
        <v>35</v>
      </c>
      <c r="N2265" s="593">
        <v>0</v>
      </c>
      <c r="O2265" s="593">
        <v>0</v>
      </c>
      <c r="P2265" s="593">
        <v>0</v>
      </c>
      <c r="Q2265" s="593">
        <v>25</v>
      </c>
      <c r="R2265" s="593">
        <v>0</v>
      </c>
      <c r="S2265" s="593">
        <v>61</v>
      </c>
      <c r="T2265" s="593">
        <v>2019</v>
      </c>
      <c r="U2265" s="593">
        <v>2014</v>
      </c>
      <c r="V2265" s="589"/>
      <c r="W2265" s="589"/>
      <c r="X2265" s="589"/>
      <c r="Y2265" s="589"/>
      <c r="Z2265" s="589"/>
      <c r="AA2265" s="589"/>
      <c r="AB2265" s="589"/>
      <c r="AC2265" s="589"/>
      <c r="AD2265" s="589"/>
      <c r="AE2265" s="589"/>
      <c r="AF2265" s="589"/>
      <c r="AG2265" s="589"/>
      <c r="AH2265" s="589"/>
      <c r="AI2265" s="589"/>
      <c r="AJ2265" s="589"/>
      <c r="AK2265" s="589"/>
      <c r="AL2265" s="589"/>
      <c r="AM2265" s="589"/>
      <c r="AN2265" s="589"/>
      <c r="AO2265" s="589"/>
      <c r="AP2265" s="589"/>
      <c r="AQ2265" s="589"/>
      <c r="AR2265" s="589"/>
      <c r="AS2265" s="589"/>
    </row>
    <row r="2266" spans="1:45" ht="15">
      <c r="A2266" s="587" t="s">
        <v>168</v>
      </c>
      <c r="B2266" s="587" t="s">
        <v>481</v>
      </c>
      <c r="C2266" s="587" t="s">
        <v>785</v>
      </c>
      <c r="D2266" s="588">
        <v>2019</v>
      </c>
      <c r="E2266" s="587" t="s">
        <v>775</v>
      </c>
      <c r="F2266" s="588">
        <v>122</v>
      </c>
      <c r="G2266" s="588">
        <v>0</v>
      </c>
      <c r="H2266" s="588">
        <v>0</v>
      </c>
      <c r="I2266" s="588">
        <v>0</v>
      </c>
      <c r="J2266" s="588">
        <v>88</v>
      </c>
      <c r="K2266" s="588">
        <v>36</v>
      </c>
      <c r="L2266" s="588">
        <v>1</v>
      </c>
      <c r="M2266" s="588">
        <v>35</v>
      </c>
      <c r="N2266" s="588">
        <v>100</v>
      </c>
      <c r="O2266" s="588">
        <v>0</v>
      </c>
      <c r="P2266" s="588">
        <v>220</v>
      </c>
      <c r="Q2266" s="588">
        <v>25</v>
      </c>
      <c r="R2266" s="588">
        <v>530</v>
      </c>
      <c r="S2266" s="588">
        <v>61</v>
      </c>
      <c r="T2266" s="588">
        <v>2019</v>
      </c>
      <c r="U2266" s="588">
        <v>2014</v>
      </c>
      <c r="V2266" s="589"/>
      <c r="W2266" s="589"/>
      <c r="X2266" s="589"/>
      <c r="Y2266" s="589"/>
      <c r="Z2266" s="589"/>
      <c r="AA2266" s="589"/>
      <c r="AB2266" s="589"/>
      <c r="AC2266" s="589"/>
      <c r="AD2266" s="589"/>
      <c r="AE2266" s="589"/>
      <c r="AF2266" s="589"/>
      <c r="AG2266" s="589"/>
      <c r="AH2266" s="589"/>
      <c r="AI2266" s="589"/>
      <c r="AJ2266" s="589"/>
      <c r="AK2266" s="589"/>
      <c r="AL2266" s="589"/>
      <c r="AM2266" s="589"/>
      <c r="AN2266" s="589"/>
      <c r="AO2266" s="589"/>
      <c r="AP2266" s="589"/>
      <c r="AQ2266" s="589"/>
      <c r="AR2266" s="589"/>
      <c r="AS2266" s="589"/>
    </row>
    <row r="2267" spans="1:45" ht="15">
      <c r="A2267" s="590" t="s">
        <v>164</v>
      </c>
      <c r="B2267" s="591" t="s">
        <v>467</v>
      </c>
      <c r="C2267" s="591" t="s">
        <v>811</v>
      </c>
      <c r="D2267" s="592">
        <v>2019</v>
      </c>
      <c r="E2267" s="591" t="s">
        <v>775</v>
      </c>
      <c r="F2267" s="592">
        <v>87</v>
      </c>
      <c r="G2267" s="592">
        <v>0</v>
      </c>
      <c r="H2267" s="592">
        <v>0</v>
      </c>
      <c r="I2267" s="592">
        <v>0</v>
      </c>
      <c r="J2267" s="592">
        <v>57</v>
      </c>
      <c r="K2267" s="592">
        <v>0</v>
      </c>
      <c r="L2267" s="592">
        <v>0</v>
      </c>
      <c r="M2267" s="592">
        <v>0</v>
      </c>
      <c r="N2267" s="593">
        <v>66</v>
      </c>
      <c r="O2267" s="593">
        <v>0</v>
      </c>
      <c r="P2267" s="593">
        <v>153</v>
      </c>
      <c r="Q2267" s="593">
        <v>5</v>
      </c>
      <c r="R2267" s="593">
        <v>363</v>
      </c>
      <c r="S2267" s="593">
        <v>5</v>
      </c>
      <c r="T2267" s="593">
        <v>2019</v>
      </c>
      <c r="U2267" s="593">
        <v>2016</v>
      </c>
      <c r="V2267" s="589"/>
      <c r="W2267" s="589"/>
      <c r="X2267" s="589"/>
      <c r="Y2267" s="589"/>
      <c r="Z2267" s="589"/>
      <c r="AA2267" s="589"/>
      <c r="AB2267" s="589"/>
      <c r="AC2267" s="589"/>
      <c r="AD2267" s="589"/>
      <c r="AE2267" s="589"/>
      <c r="AF2267" s="589"/>
      <c r="AG2267" s="589"/>
      <c r="AH2267" s="589"/>
      <c r="AI2267" s="589"/>
      <c r="AJ2267" s="589"/>
      <c r="AK2267" s="589"/>
      <c r="AL2267" s="589"/>
      <c r="AM2267" s="589"/>
      <c r="AN2267" s="589"/>
      <c r="AO2267" s="589"/>
      <c r="AP2267" s="589"/>
      <c r="AQ2267" s="589"/>
      <c r="AR2267" s="589"/>
      <c r="AS2267" s="589"/>
    </row>
    <row r="2268" spans="1:45" ht="15">
      <c r="A2268" s="587" t="s">
        <v>131</v>
      </c>
      <c r="B2268" s="587" t="s">
        <v>258</v>
      </c>
      <c r="C2268" s="587" t="s">
        <v>787</v>
      </c>
      <c r="D2268" s="588">
        <v>2019</v>
      </c>
      <c r="E2268" s="587" t="s">
        <v>775</v>
      </c>
      <c r="F2268" s="588">
        <v>231</v>
      </c>
      <c r="G2268" s="588">
        <v>0</v>
      </c>
      <c r="H2268" s="588">
        <v>0</v>
      </c>
      <c r="I2268" s="588">
        <v>0</v>
      </c>
      <c r="J2268" s="588">
        <v>118</v>
      </c>
      <c r="K2268" s="588">
        <v>0</v>
      </c>
      <c r="L2268" s="588">
        <v>0</v>
      </c>
      <c r="M2268" s="588">
        <v>0</v>
      </c>
      <c r="N2268" s="588">
        <v>99</v>
      </c>
      <c r="O2268" s="588">
        <v>0</v>
      </c>
      <c r="P2268" s="588">
        <v>321</v>
      </c>
      <c r="Q2268" s="588">
        <v>32</v>
      </c>
      <c r="R2268" s="588">
        <v>769</v>
      </c>
      <c r="S2268" s="588">
        <v>32</v>
      </c>
      <c r="T2268" s="588">
        <v>2019</v>
      </c>
      <c r="U2268" s="588">
        <v>2014</v>
      </c>
      <c r="V2268" s="589"/>
      <c r="W2268" s="589"/>
      <c r="X2268" s="589"/>
      <c r="Y2268" s="589"/>
      <c r="Z2268" s="589"/>
      <c r="AA2268" s="589"/>
      <c r="AB2268" s="589"/>
      <c r="AC2268" s="589"/>
      <c r="AD2268" s="589"/>
      <c r="AE2268" s="589"/>
      <c r="AF2268" s="589"/>
      <c r="AG2268" s="589"/>
      <c r="AH2268" s="589"/>
      <c r="AI2268" s="589"/>
      <c r="AJ2268" s="589"/>
      <c r="AK2268" s="589"/>
      <c r="AL2268" s="589"/>
      <c r="AM2268" s="589"/>
      <c r="AN2268" s="589"/>
      <c r="AO2268" s="589"/>
      <c r="AP2268" s="589"/>
      <c r="AQ2268" s="589"/>
      <c r="AR2268" s="589"/>
      <c r="AS2268" s="589"/>
    </row>
    <row r="2269" spans="1:45" ht="15">
      <c r="A2269" s="590" t="s">
        <v>183</v>
      </c>
      <c r="B2269" s="591" t="s">
        <v>618</v>
      </c>
      <c r="C2269" s="591" t="s">
        <v>785</v>
      </c>
      <c r="D2269" s="592">
        <v>2019</v>
      </c>
      <c r="E2269" s="591" t="s">
        <v>775</v>
      </c>
      <c r="F2269" s="592">
        <v>41</v>
      </c>
      <c r="G2269" s="592">
        <v>0</v>
      </c>
      <c r="H2269" s="592">
        <v>0</v>
      </c>
      <c r="I2269" s="592">
        <v>0</v>
      </c>
      <c r="J2269" s="592">
        <v>26</v>
      </c>
      <c r="K2269" s="592">
        <v>5</v>
      </c>
      <c r="L2269" s="592">
        <v>3</v>
      </c>
      <c r="M2269" s="592">
        <v>2</v>
      </c>
      <c r="N2269" s="593">
        <v>29</v>
      </c>
      <c r="O2269" s="593">
        <v>18</v>
      </c>
      <c r="P2269" s="593">
        <v>69</v>
      </c>
      <c r="Q2269" s="593">
        <v>22</v>
      </c>
      <c r="R2269" s="593">
        <v>165</v>
      </c>
      <c r="S2269" s="593">
        <v>45</v>
      </c>
      <c r="T2269" s="593">
        <v>2019</v>
      </c>
      <c r="U2269" s="593">
        <v>2014</v>
      </c>
      <c r="V2269" s="589"/>
      <c r="W2269" s="589"/>
      <c r="X2269" s="589"/>
      <c r="Y2269" s="589"/>
      <c r="Z2269" s="589"/>
      <c r="AA2269" s="589"/>
      <c r="AB2269" s="589"/>
      <c r="AC2269" s="589"/>
      <c r="AD2269" s="589"/>
      <c r="AE2269" s="589"/>
      <c r="AF2269" s="589"/>
      <c r="AG2269" s="589"/>
      <c r="AH2269" s="589"/>
      <c r="AI2269" s="589"/>
      <c r="AJ2269" s="589"/>
      <c r="AK2269" s="589"/>
      <c r="AL2269" s="589"/>
      <c r="AM2269" s="589"/>
      <c r="AN2269" s="589"/>
      <c r="AO2269" s="589"/>
      <c r="AP2269" s="589"/>
      <c r="AQ2269" s="589"/>
      <c r="AR2269" s="589"/>
      <c r="AS2269" s="589"/>
    </row>
    <row r="2270" spans="1:45" ht="15">
      <c r="A2270" s="587" t="s">
        <v>185</v>
      </c>
      <c r="B2270" s="587" t="s">
        <v>646</v>
      </c>
      <c r="C2270" s="587" t="s">
        <v>872</v>
      </c>
      <c r="D2270" s="588">
        <v>2019</v>
      </c>
      <c r="E2270" s="587" t="s">
        <v>775</v>
      </c>
      <c r="F2270" s="588">
        <v>12</v>
      </c>
      <c r="G2270" s="588">
        <v>30</v>
      </c>
      <c r="H2270" s="588">
        <v>30</v>
      </c>
      <c r="I2270" s="588">
        <v>0</v>
      </c>
      <c r="J2270" s="588">
        <v>8</v>
      </c>
      <c r="K2270" s="588">
        <v>7</v>
      </c>
      <c r="L2270" s="588">
        <v>7</v>
      </c>
      <c r="M2270" s="588">
        <v>0</v>
      </c>
      <c r="N2270" s="588">
        <v>13</v>
      </c>
      <c r="O2270" s="588">
        <v>35</v>
      </c>
      <c r="P2270" s="588">
        <v>16</v>
      </c>
      <c r="Q2270" s="588">
        <v>0</v>
      </c>
      <c r="R2270" s="588">
        <v>49</v>
      </c>
      <c r="S2270" s="588">
        <v>72</v>
      </c>
      <c r="T2270" s="588">
        <v>2019</v>
      </c>
      <c r="U2270" s="588">
        <v>2015</v>
      </c>
      <c r="V2270" s="589"/>
      <c r="W2270" s="589"/>
      <c r="X2270" s="589"/>
      <c r="Y2270" s="589"/>
      <c r="Z2270" s="589"/>
      <c r="AA2270" s="589"/>
      <c r="AB2270" s="589"/>
      <c r="AC2270" s="589"/>
      <c r="AD2270" s="589"/>
      <c r="AE2270" s="589"/>
      <c r="AF2270" s="589"/>
      <c r="AG2270" s="589"/>
      <c r="AH2270" s="589"/>
      <c r="AI2270" s="589"/>
      <c r="AJ2270" s="589"/>
      <c r="AK2270" s="589"/>
      <c r="AL2270" s="589"/>
      <c r="AM2270" s="589"/>
      <c r="AN2270" s="589"/>
      <c r="AO2270" s="589"/>
      <c r="AP2270" s="589"/>
      <c r="AQ2270" s="589"/>
      <c r="AR2270" s="589"/>
      <c r="AS2270" s="589"/>
    </row>
    <row r="2271" spans="1:45" ht="15">
      <c r="A2271" s="590" t="s">
        <v>160</v>
      </c>
      <c r="B2271" s="591" t="s">
        <v>456</v>
      </c>
      <c r="C2271" s="591" t="s">
        <v>829</v>
      </c>
      <c r="D2271" s="592">
        <v>2019</v>
      </c>
      <c r="E2271" s="591" t="s">
        <v>775</v>
      </c>
      <c r="F2271" s="592">
        <v>61</v>
      </c>
      <c r="G2271" s="592">
        <v>0</v>
      </c>
      <c r="H2271" s="592">
        <v>0</v>
      </c>
      <c r="I2271" s="592">
        <v>0</v>
      </c>
      <c r="J2271" s="592">
        <v>56</v>
      </c>
      <c r="K2271" s="592">
        <v>0</v>
      </c>
      <c r="L2271" s="592">
        <v>0</v>
      </c>
      <c r="M2271" s="592">
        <v>0</v>
      </c>
      <c r="N2271" s="593">
        <v>51</v>
      </c>
      <c r="O2271" s="593">
        <v>0</v>
      </c>
      <c r="P2271" s="593">
        <v>136</v>
      </c>
      <c r="Q2271" s="593">
        <v>5</v>
      </c>
      <c r="R2271" s="593">
        <v>304</v>
      </c>
      <c r="S2271" s="593">
        <v>5</v>
      </c>
      <c r="T2271" s="593">
        <v>2019</v>
      </c>
      <c r="U2271" s="593">
        <v>2016</v>
      </c>
      <c r="V2271" s="589"/>
      <c r="W2271" s="589"/>
      <c r="X2271" s="589"/>
      <c r="Y2271" s="589"/>
      <c r="Z2271" s="589"/>
      <c r="AA2271" s="589"/>
      <c r="AB2271" s="589"/>
      <c r="AC2271" s="589"/>
      <c r="AD2271" s="589"/>
      <c r="AE2271" s="589"/>
      <c r="AF2271" s="589"/>
      <c r="AG2271" s="589"/>
      <c r="AH2271" s="589"/>
      <c r="AI2271" s="589"/>
      <c r="AJ2271" s="589"/>
      <c r="AK2271" s="589"/>
      <c r="AL2271" s="589"/>
      <c r="AM2271" s="589"/>
      <c r="AN2271" s="589"/>
      <c r="AO2271" s="589"/>
      <c r="AP2271" s="589"/>
      <c r="AQ2271" s="589"/>
      <c r="AR2271" s="589"/>
      <c r="AS2271" s="589"/>
    </row>
    <row r="2272" spans="1:45" ht="15">
      <c r="A2272" s="587" t="s">
        <v>184</v>
      </c>
      <c r="B2272" s="587" t="s">
        <v>631</v>
      </c>
      <c r="C2272" s="587" t="s">
        <v>782</v>
      </c>
      <c r="D2272" s="588">
        <v>2019</v>
      </c>
      <c r="E2272" s="587" t="s">
        <v>775</v>
      </c>
      <c r="F2272" s="588">
        <v>52</v>
      </c>
      <c r="G2272" s="588">
        <v>0</v>
      </c>
      <c r="H2272" s="588">
        <v>0</v>
      </c>
      <c r="I2272" s="588">
        <v>0</v>
      </c>
      <c r="J2272" s="588">
        <v>31</v>
      </c>
      <c r="K2272" s="588">
        <v>0</v>
      </c>
      <c r="L2272" s="588">
        <v>0</v>
      </c>
      <c r="M2272" s="588">
        <v>0</v>
      </c>
      <c r="N2272" s="588">
        <v>36</v>
      </c>
      <c r="O2272" s="588">
        <v>12</v>
      </c>
      <c r="P2272" s="588">
        <v>121</v>
      </c>
      <c r="Q2272" s="588">
        <v>7</v>
      </c>
      <c r="R2272" s="588">
        <v>240</v>
      </c>
      <c r="S2272" s="588">
        <v>19</v>
      </c>
      <c r="T2272" s="588">
        <v>2019</v>
      </c>
      <c r="U2272" s="588">
        <v>2015</v>
      </c>
      <c r="V2272" s="589"/>
      <c r="W2272" s="589"/>
      <c r="X2272" s="589"/>
      <c r="Y2272" s="589"/>
      <c r="Z2272" s="589"/>
      <c r="AA2272" s="589"/>
      <c r="AB2272" s="589"/>
      <c r="AC2272" s="589"/>
      <c r="AD2272" s="589"/>
      <c r="AE2272" s="589"/>
      <c r="AF2272" s="589"/>
      <c r="AG2272" s="589"/>
      <c r="AH2272" s="589"/>
      <c r="AI2272" s="589"/>
      <c r="AJ2272" s="589"/>
      <c r="AK2272" s="589"/>
      <c r="AL2272" s="589"/>
      <c r="AM2272" s="589"/>
      <c r="AN2272" s="589"/>
      <c r="AO2272" s="589"/>
      <c r="AP2272" s="589"/>
      <c r="AQ2272" s="589"/>
      <c r="AR2272" s="589"/>
      <c r="AS2272" s="589"/>
    </row>
    <row r="2273" spans="1:45" ht="15">
      <c r="A2273" s="590" t="s">
        <v>149</v>
      </c>
      <c r="B2273" s="591" t="s">
        <v>338</v>
      </c>
      <c r="C2273" s="591" t="s">
        <v>820</v>
      </c>
      <c r="D2273" s="592">
        <v>2019</v>
      </c>
      <c r="E2273" s="591" t="s">
        <v>775</v>
      </c>
      <c r="F2273" s="592">
        <v>1097</v>
      </c>
      <c r="G2273" s="592">
        <v>0</v>
      </c>
      <c r="H2273" s="592">
        <v>0</v>
      </c>
      <c r="I2273" s="592">
        <v>0</v>
      </c>
      <c r="J2273" s="592">
        <v>821</v>
      </c>
      <c r="K2273" s="592">
        <v>0</v>
      </c>
      <c r="L2273" s="592">
        <v>0</v>
      </c>
      <c r="M2273" s="592">
        <v>0</v>
      </c>
      <c r="N2273" s="593">
        <v>865</v>
      </c>
      <c r="O2273" s="593">
        <v>25</v>
      </c>
      <c r="P2273" s="593">
        <v>2049</v>
      </c>
      <c r="Q2273" s="593">
        <v>214</v>
      </c>
      <c r="R2273" s="593">
        <v>4832</v>
      </c>
      <c r="S2273" s="593">
        <v>239</v>
      </c>
      <c r="T2273" s="593">
        <v>2019</v>
      </c>
      <c r="U2273" s="593">
        <v>2016</v>
      </c>
      <c r="V2273" s="589"/>
      <c r="W2273" s="589"/>
      <c r="X2273" s="589"/>
      <c r="Y2273" s="589"/>
      <c r="Z2273" s="589"/>
      <c r="AA2273" s="589"/>
      <c r="AB2273" s="589"/>
      <c r="AC2273" s="589"/>
      <c r="AD2273" s="589"/>
      <c r="AE2273" s="589"/>
      <c r="AF2273" s="589"/>
      <c r="AG2273" s="589"/>
      <c r="AH2273" s="589"/>
      <c r="AI2273" s="589"/>
      <c r="AJ2273" s="589"/>
      <c r="AK2273" s="589"/>
      <c r="AL2273" s="589"/>
      <c r="AM2273" s="589"/>
      <c r="AN2273" s="589"/>
      <c r="AO2273" s="589"/>
      <c r="AP2273" s="589"/>
      <c r="AQ2273" s="589"/>
      <c r="AR2273" s="589"/>
      <c r="AS2273" s="589"/>
    </row>
    <row r="2274" spans="1:45" ht="15">
      <c r="A2274" s="587" t="s">
        <v>153</v>
      </c>
      <c r="B2274" s="587" t="s">
        <v>376</v>
      </c>
      <c r="C2274" s="587" t="s">
        <v>813</v>
      </c>
      <c r="D2274" s="588">
        <v>2019</v>
      </c>
      <c r="E2274" s="587" t="s">
        <v>775</v>
      </c>
      <c r="F2274" s="588">
        <v>32</v>
      </c>
      <c r="G2274" s="588">
        <v>0</v>
      </c>
      <c r="H2274" s="588">
        <v>0</v>
      </c>
      <c r="I2274" s="588">
        <v>0</v>
      </c>
      <c r="J2274" s="588">
        <v>19</v>
      </c>
      <c r="K2274" s="588">
        <v>0</v>
      </c>
      <c r="L2274" s="588">
        <v>0</v>
      </c>
      <c r="M2274" s="588">
        <v>0</v>
      </c>
      <c r="N2274" s="588">
        <v>21</v>
      </c>
      <c r="O2274" s="588">
        <v>0</v>
      </c>
      <c r="P2274" s="588">
        <v>57</v>
      </c>
      <c r="Q2274" s="588">
        <v>3</v>
      </c>
      <c r="R2274" s="588">
        <v>129</v>
      </c>
      <c r="S2274" s="588">
        <v>3</v>
      </c>
      <c r="T2274" s="588">
        <v>2019</v>
      </c>
      <c r="U2274" s="588">
        <v>2014</v>
      </c>
      <c r="V2274" s="589"/>
      <c r="W2274" s="589"/>
      <c r="X2274" s="589"/>
      <c r="Y2274" s="589"/>
      <c r="Z2274" s="589"/>
      <c r="AA2274" s="589"/>
      <c r="AB2274" s="589"/>
      <c r="AC2274" s="589"/>
      <c r="AD2274" s="589"/>
      <c r="AE2274" s="589"/>
      <c r="AF2274" s="589"/>
      <c r="AG2274" s="589"/>
      <c r="AH2274" s="589"/>
      <c r="AI2274" s="589"/>
      <c r="AJ2274" s="589"/>
      <c r="AK2274" s="589"/>
      <c r="AL2274" s="589"/>
      <c r="AM2274" s="589"/>
      <c r="AN2274" s="589"/>
      <c r="AO2274" s="589"/>
      <c r="AP2274" s="589"/>
      <c r="AQ2274" s="589"/>
      <c r="AR2274" s="589"/>
      <c r="AS2274" s="589"/>
    </row>
    <row r="2275" spans="1:45" ht="15">
      <c r="A2275" s="590" t="s">
        <v>153</v>
      </c>
      <c r="B2275" s="591" t="s">
        <v>377</v>
      </c>
      <c r="C2275" s="591" t="s">
        <v>813</v>
      </c>
      <c r="D2275" s="592">
        <v>2019</v>
      </c>
      <c r="E2275" s="591" t="s">
        <v>775</v>
      </c>
      <c r="F2275" s="592">
        <v>170</v>
      </c>
      <c r="G2275" s="592">
        <v>0</v>
      </c>
      <c r="H2275" s="592">
        <v>0</v>
      </c>
      <c r="I2275" s="592">
        <v>0</v>
      </c>
      <c r="J2275" s="592">
        <v>101</v>
      </c>
      <c r="K2275" s="592">
        <v>0</v>
      </c>
      <c r="L2275" s="592">
        <v>0</v>
      </c>
      <c r="M2275" s="592">
        <v>0</v>
      </c>
      <c r="N2275" s="593">
        <v>112</v>
      </c>
      <c r="O2275" s="593">
        <v>13</v>
      </c>
      <c r="P2275" s="593">
        <v>300</v>
      </c>
      <c r="Q2275" s="593">
        <v>0</v>
      </c>
      <c r="R2275" s="593">
        <v>683</v>
      </c>
      <c r="S2275" s="593">
        <v>13</v>
      </c>
      <c r="T2275" s="593">
        <v>2019</v>
      </c>
      <c r="U2275" s="593">
        <v>2014</v>
      </c>
      <c r="V2275" s="589"/>
      <c r="W2275" s="589"/>
      <c r="X2275" s="589"/>
      <c r="Y2275" s="589"/>
      <c r="Z2275" s="589"/>
      <c r="AA2275" s="589"/>
      <c r="AB2275" s="589"/>
      <c r="AC2275" s="589"/>
      <c r="AD2275" s="589"/>
      <c r="AE2275" s="589"/>
      <c r="AF2275" s="589"/>
      <c r="AG2275" s="589"/>
      <c r="AH2275" s="589"/>
      <c r="AI2275" s="589"/>
      <c r="AJ2275" s="589"/>
      <c r="AK2275" s="589"/>
      <c r="AL2275" s="589"/>
      <c r="AM2275" s="589"/>
      <c r="AN2275" s="589"/>
      <c r="AO2275" s="589"/>
      <c r="AP2275" s="589"/>
      <c r="AQ2275" s="589"/>
      <c r="AR2275" s="589"/>
      <c r="AS2275" s="589"/>
    </row>
    <row r="2276" spans="1:45" ht="15">
      <c r="A2276" s="587" t="s">
        <v>125</v>
      </c>
      <c r="B2276" s="587" t="s">
        <v>239</v>
      </c>
      <c r="C2276" s="587" t="s">
        <v>782</v>
      </c>
      <c r="D2276" s="588">
        <v>2019</v>
      </c>
      <c r="E2276" s="587" t="s">
        <v>775</v>
      </c>
      <c r="F2276" s="588">
        <v>851</v>
      </c>
      <c r="G2276" s="588">
        <v>0</v>
      </c>
      <c r="H2276" s="588">
        <v>0</v>
      </c>
      <c r="I2276" s="588">
        <v>0</v>
      </c>
      <c r="J2276" s="588">
        <v>480</v>
      </c>
      <c r="K2276" s="588">
        <v>20</v>
      </c>
      <c r="L2276" s="588">
        <v>20</v>
      </c>
      <c r="M2276" s="588">
        <v>0</v>
      </c>
      <c r="N2276" s="588">
        <v>608</v>
      </c>
      <c r="O2276" s="588">
        <v>27</v>
      </c>
      <c r="P2276" s="588">
        <v>1981</v>
      </c>
      <c r="Q2276" s="588">
        <v>1029</v>
      </c>
      <c r="R2276" s="588">
        <v>3920</v>
      </c>
      <c r="S2276" s="588">
        <v>1076</v>
      </c>
      <c r="T2276" s="588">
        <v>2019</v>
      </c>
      <c r="U2276" s="588">
        <v>2015</v>
      </c>
      <c r="V2276" s="589"/>
      <c r="W2276" s="589"/>
      <c r="X2276" s="589"/>
      <c r="Y2276" s="589"/>
      <c r="Z2276" s="589"/>
      <c r="AA2276" s="589"/>
      <c r="AB2276" s="589"/>
      <c r="AC2276" s="589"/>
      <c r="AD2276" s="589"/>
      <c r="AE2276" s="589"/>
      <c r="AF2276" s="589"/>
      <c r="AG2276" s="589"/>
      <c r="AH2276" s="589"/>
      <c r="AI2276" s="589"/>
      <c r="AJ2276" s="589"/>
      <c r="AK2276" s="589"/>
      <c r="AL2276" s="589"/>
      <c r="AM2276" s="589"/>
      <c r="AN2276" s="589"/>
      <c r="AO2276" s="589"/>
      <c r="AP2276" s="589"/>
      <c r="AQ2276" s="589"/>
      <c r="AR2276" s="589"/>
      <c r="AS2276" s="589"/>
    </row>
    <row r="2277" spans="1:45" ht="15">
      <c r="A2277" s="590" t="s">
        <v>193</v>
      </c>
      <c r="B2277" s="591" t="s">
        <v>696</v>
      </c>
      <c r="C2277" s="591" t="s">
        <v>782</v>
      </c>
      <c r="D2277" s="592">
        <v>2019</v>
      </c>
      <c r="E2277" s="591" t="s">
        <v>775</v>
      </c>
      <c r="F2277" s="592">
        <v>31</v>
      </c>
      <c r="G2277" s="592">
        <v>0</v>
      </c>
      <c r="H2277" s="592">
        <v>0</v>
      </c>
      <c r="I2277" s="592">
        <v>0</v>
      </c>
      <c r="J2277" s="592">
        <v>24</v>
      </c>
      <c r="K2277" s="592">
        <v>1</v>
      </c>
      <c r="L2277" s="592">
        <v>1</v>
      </c>
      <c r="M2277" s="592">
        <v>0</v>
      </c>
      <c r="N2277" s="593">
        <v>26</v>
      </c>
      <c r="O2277" s="593">
        <v>18</v>
      </c>
      <c r="P2277" s="593">
        <v>76</v>
      </c>
      <c r="Q2277" s="593">
        <v>12</v>
      </c>
      <c r="R2277" s="593">
        <v>157</v>
      </c>
      <c r="S2277" s="593">
        <v>31</v>
      </c>
      <c r="T2277" s="593">
        <v>2019</v>
      </c>
      <c r="U2277" s="593">
        <v>2015</v>
      </c>
      <c r="V2277" s="589"/>
      <c r="W2277" s="589"/>
      <c r="X2277" s="589"/>
      <c r="Y2277" s="589"/>
      <c r="Z2277" s="589"/>
      <c r="AA2277" s="589"/>
      <c r="AB2277" s="589"/>
      <c r="AC2277" s="589"/>
      <c r="AD2277" s="589"/>
      <c r="AE2277" s="589"/>
      <c r="AF2277" s="589"/>
      <c r="AG2277" s="589"/>
      <c r="AH2277" s="589"/>
      <c r="AI2277" s="589"/>
      <c r="AJ2277" s="589"/>
      <c r="AK2277" s="589"/>
      <c r="AL2277" s="589"/>
      <c r="AM2277" s="589"/>
      <c r="AN2277" s="589"/>
      <c r="AO2277" s="589"/>
      <c r="AP2277" s="589"/>
      <c r="AQ2277" s="589"/>
      <c r="AR2277" s="589"/>
      <c r="AS2277" s="589"/>
    </row>
    <row r="2278" spans="1:45" ht="15">
      <c r="A2278" s="587" t="s">
        <v>173</v>
      </c>
      <c r="B2278" s="587" t="s">
        <v>538</v>
      </c>
      <c r="C2278" s="587" t="s">
        <v>813</v>
      </c>
      <c r="D2278" s="588">
        <v>2019</v>
      </c>
      <c r="E2278" s="587" t="s">
        <v>775</v>
      </c>
      <c r="F2278" s="588">
        <v>134</v>
      </c>
      <c r="G2278" s="588">
        <v>0</v>
      </c>
      <c r="H2278" s="588">
        <v>0</v>
      </c>
      <c r="I2278" s="588">
        <v>0</v>
      </c>
      <c r="J2278" s="588">
        <v>96</v>
      </c>
      <c r="K2278" s="588">
        <v>1</v>
      </c>
      <c r="L2278" s="588">
        <v>0</v>
      </c>
      <c r="M2278" s="588">
        <v>1</v>
      </c>
      <c r="N2278" s="588">
        <v>112</v>
      </c>
      <c r="O2278" s="588">
        <v>72</v>
      </c>
      <c r="P2278" s="588">
        <v>262</v>
      </c>
      <c r="Q2278" s="588">
        <v>3</v>
      </c>
      <c r="R2278" s="588">
        <v>604</v>
      </c>
      <c r="S2278" s="588">
        <v>76</v>
      </c>
      <c r="T2278" s="588">
        <v>2019</v>
      </c>
      <c r="U2278" s="588">
        <v>2014</v>
      </c>
      <c r="V2278" s="589"/>
      <c r="W2278" s="589"/>
      <c r="X2278" s="589"/>
      <c r="Y2278" s="589"/>
      <c r="Z2278" s="589"/>
      <c r="AA2278" s="589"/>
      <c r="AB2278" s="589"/>
      <c r="AC2278" s="589"/>
      <c r="AD2278" s="589"/>
      <c r="AE2278" s="589"/>
      <c r="AF2278" s="589"/>
      <c r="AG2278" s="589"/>
      <c r="AH2278" s="589"/>
      <c r="AI2278" s="589"/>
      <c r="AJ2278" s="589"/>
      <c r="AK2278" s="589"/>
      <c r="AL2278" s="589"/>
      <c r="AM2278" s="589"/>
      <c r="AN2278" s="589"/>
      <c r="AO2278" s="589"/>
      <c r="AP2278" s="589"/>
      <c r="AQ2278" s="589"/>
      <c r="AR2278" s="589"/>
      <c r="AS2278" s="589"/>
    </row>
    <row r="2279" spans="1:45" ht="15">
      <c r="A2279" s="590" t="s">
        <v>136</v>
      </c>
      <c r="B2279" s="591" t="s">
        <v>272</v>
      </c>
      <c r="C2279" s="591" t="s">
        <v>782</v>
      </c>
      <c r="D2279" s="592">
        <v>2019</v>
      </c>
      <c r="E2279" s="591" t="s">
        <v>775</v>
      </c>
      <c r="F2279" s="592">
        <v>220</v>
      </c>
      <c r="G2279" s="592">
        <v>0</v>
      </c>
      <c r="H2279" s="592">
        <v>0</v>
      </c>
      <c r="I2279" s="592">
        <v>0</v>
      </c>
      <c r="J2279" s="592">
        <v>118</v>
      </c>
      <c r="K2279" s="592">
        <v>15</v>
      </c>
      <c r="L2279" s="592">
        <v>0</v>
      </c>
      <c r="M2279" s="592">
        <v>15</v>
      </c>
      <c r="N2279" s="593">
        <v>100</v>
      </c>
      <c r="O2279" s="593">
        <v>217</v>
      </c>
      <c r="P2279" s="593">
        <v>244</v>
      </c>
      <c r="Q2279" s="593">
        <v>17</v>
      </c>
      <c r="R2279" s="593">
        <v>682</v>
      </c>
      <c r="S2279" s="593">
        <v>249</v>
      </c>
      <c r="T2279" s="593">
        <v>2019</v>
      </c>
      <c r="U2279" s="593">
        <v>2015</v>
      </c>
      <c r="V2279" s="589"/>
      <c r="W2279" s="589"/>
      <c r="X2279" s="589"/>
      <c r="Y2279" s="589"/>
      <c r="Z2279" s="589"/>
      <c r="AA2279" s="589"/>
      <c r="AB2279" s="589"/>
      <c r="AC2279" s="589"/>
      <c r="AD2279" s="589"/>
      <c r="AE2279" s="589"/>
      <c r="AF2279" s="589"/>
      <c r="AG2279" s="589"/>
      <c r="AH2279" s="589"/>
      <c r="AI2279" s="589"/>
      <c r="AJ2279" s="589"/>
      <c r="AK2279" s="589"/>
      <c r="AL2279" s="589"/>
      <c r="AM2279" s="589"/>
      <c r="AN2279" s="589"/>
      <c r="AO2279" s="589"/>
      <c r="AP2279" s="589"/>
      <c r="AQ2279" s="589"/>
      <c r="AR2279" s="589"/>
      <c r="AS2279" s="589"/>
    </row>
    <row r="2280" spans="1:45" ht="15">
      <c r="A2280" s="587" t="s">
        <v>178</v>
      </c>
      <c r="B2280" s="587" t="s">
        <v>576</v>
      </c>
      <c r="C2280" s="587" t="s">
        <v>813</v>
      </c>
      <c r="D2280" s="588">
        <v>2019</v>
      </c>
      <c r="E2280" s="587" t="s">
        <v>775</v>
      </c>
      <c r="F2280" s="588">
        <v>349</v>
      </c>
      <c r="G2280" s="588">
        <v>0</v>
      </c>
      <c r="H2280" s="588">
        <v>0</v>
      </c>
      <c r="I2280" s="588">
        <v>0</v>
      </c>
      <c r="J2280" s="588">
        <v>246</v>
      </c>
      <c r="K2280" s="588">
        <v>0</v>
      </c>
      <c r="L2280" s="588">
        <v>0</v>
      </c>
      <c r="M2280" s="588">
        <v>0</v>
      </c>
      <c r="N2280" s="588">
        <v>280</v>
      </c>
      <c r="O2280" s="588">
        <v>2</v>
      </c>
      <c r="P2280" s="588">
        <v>625</v>
      </c>
      <c r="Q2280" s="588">
        <v>3</v>
      </c>
      <c r="R2280" s="588">
        <v>1500</v>
      </c>
      <c r="S2280" s="588">
        <v>5</v>
      </c>
      <c r="T2280" s="588">
        <v>2019</v>
      </c>
      <c r="U2280" s="588">
        <v>2014</v>
      </c>
      <c r="V2280" s="589"/>
      <c r="W2280" s="589"/>
      <c r="X2280" s="589"/>
      <c r="Y2280" s="589"/>
      <c r="Z2280" s="589"/>
      <c r="AA2280" s="589"/>
      <c r="AB2280" s="589"/>
      <c r="AC2280" s="589"/>
      <c r="AD2280" s="589"/>
      <c r="AE2280" s="589"/>
      <c r="AF2280" s="589"/>
      <c r="AG2280" s="589"/>
      <c r="AH2280" s="589"/>
      <c r="AI2280" s="589"/>
      <c r="AJ2280" s="589"/>
      <c r="AK2280" s="589"/>
      <c r="AL2280" s="589"/>
      <c r="AM2280" s="589"/>
      <c r="AN2280" s="589"/>
      <c r="AO2280" s="589"/>
      <c r="AP2280" s="589"/>
      <c r="AQ2280" s="589"/>
      <c r="AR2280" s="589"/>
      <c r="AS2280" s="589"/>
    </row>
    <row r="2281" spans="1:45" ht="15">
      <c r="A2281" s="590" t="s">
        <v>176</v>
      </c>
      <c r="B2281" s="591" t="s">
        <v>563</v>
      </c>
      <c r="C2281" s="591" t="s">
        <v>811</v>
      </c>
      <c r="D2281" s="592">
        <v>2019</v>
      </c>
      <c r="E2281" s="591" t="s">
        <v>775</v>
      </c>
      <c r="F2281" s="592">
        <v>312</v>
      </c>
      <c r="G2281" s="592">
        <v>0</v>
      </c>
      <c r="H2281" s="592">
        <v>0</v>
      </c>
      <c r="I2281" s="592">
        <v>0</v>
      </c>
      <c r="J2281" s="592">
        <v>189</v>
      </c>
      <c r="K2281" s="592">
        <v>0</v>
      </c>
      <c r="L2281" s="592">
        <v>0</v>
      </c>
      <c r="M2281" s="592">
        <v>0</v>
      </c>
      <c r="N2281" s="593">
        <v>258</v>
      </c>
      <c r="O2281" s="593">
        <v>0</v>
      </c>
      <c r="P2281" s="593">
        <v>557</v>
      </c>
      <c r="Q2281" s="593">
        <v>168</v>
      </c>
      <c r="R2281" s="593">
        <v>1316</v>
      </c>
      <c r="S2281" s="593">
        <v>168</v>
      </c>
      <c r="T2281" s="593">
        <v>2019</v>
      </c>
      <c r="U2281" s="593">
        <v>2016</v>
      </c>
      <c r="V2281" s="589"/>
      <c r="W2281" s="589"/>
      <c r="X2281" s="589"/>
      <c r="Y2281" s="589"/>
      <c r="Z2281" s="589"/>
      <c r="AA2281" s="589"/>
      <c r="AB2281" s="589"/>
      <c r="AC2281" s="589"/>
      <c r="AD2281" s="589"/>
      <c r="AE2281" s="589"/>
      <c r="AF2281" s="589"/>
      <c r="AG2281" s="589"/>
      <c r="AH2281" s="589"/>
      <c r="AI2281" s="589"/>
      <c r="AJ2281" s="589"/>
      <c r="AK2281" s="589"/>
      <c r="AL2281" s="589"/>
      <c r="AM2281" s="589"/>
      <c r="AN2281" s="589"/>
      <c r="AO2281" s="589"/>
      <c r="AP2281" s="589"/>
      <c r="AQ2281" s="589"/>
      <c r="AR2281" s="589"/>
      <c r="AS2281" s="589"/>
    </row>
    <row r="2282" spans="1:45" ht="15">
      <c r="A2282" s="587" t="s">
        <v>195</v>
      </c>
      <c r="B2282" s="587" t="s">
        <v>704</v>
      </c>
      <c r="C2282" s="587" t="s">
        <v>811</v>
      </c>
      <c r="D2282" s="588">
        <v>2019</v>
      </c>
      <c r="E2282" s="587" t="s">
        <v>775</v>
      </c>
      <c r="F2282" s="588">
        <v>53</v>
      </c>
      <c r="G2282" s="588">
        <v>0</v>
      </c>
      <c r="H2282" s="588">
        <v>0</v>
      </c>
      <c r="I2282" s="588">
        <v>0</v>
      </c>
      <c r="J2282" s="588">
        <v>34</v>
      </c>
      <c r="K2282" s="588">
        <v>0</v>
      </c>
      <c r="L2282" s="588">
        <v>0</v>
      </c>
      <c r="M2282" s="588">
        <v>0</v>
      </c>
      <c r="N2282" s="588">
        <v>38</v>
      </c>
      <c r="O2282" s="588">
        <v>0</v>
      </c>
      <c r="P2282" s="588">
        <v>93</v>
      </c>
      <c r="Q2282" s="588">
        <v>20</v>
      </c>
      <c r="R2282" s="588">
        <v>218</v>
      </c>
      <c r="S2282" s="588">
        <v>20</v>
      </c>
      <c r="T2282" s="588">
        <v>2019</v>
      </c>
      <c r="U2282" s="588">
        <v>2016</v>
      </c>
      <c r="V2282" s="589"/>
      <c r="W2282" s="589"/>
      <c r="X2282" s="589"/>
      <c r="Y2282" s="589"/>
      <c r="Z2282" s="589"/>
      <c r="AA2282" s="589"/>
      <c r="AB2282" s="589"/>
      <c r="AC2282" s="589"/>
      <c r="AD2282" s="589"/>
      <c r="AE2282" s="589"/>
      <c r="AF2282" s="589"/>
      <c r="AG2282" s="589"/>
      <c r="AH2282" s="589"/>
      <c r="AI2282" s="589"/>
      <c r="AJ2282" s="589"/>
      <c r="AK2282" s="589"/>
      <c r="AL2282" s="589"/>
      <c r="AM2282" s="589"/>
      <c r="AN2282" s="589"/>
      <c r="AO2282" s="589"/>
      <c r="AP2282" s="589"/>
      <c r="AQ2282" s="589"/>
      <c r="AR2282" s="589"/>
      <c r="AS2282" s="589"/>
    </row>
    <row r="2283" spans="1:45" ht="15">
      <c r="A2283" s="590" t="s">
        <v>145</v>
      </c>
      <c r="B2283" s="591" t="s">
        <v>312</v>
      </c>
      <c r="C2283" s="591" t="s">
        <v>971</v>
      </c>
      <c r="D2283" s="592">
        <v>2019</v>
      </c>
      <c r="E2283" s="591" t="s">
        <v>775</v>
      </c>
      <c r="F2283" s="592">
        <v>0</v>
      </c>
      <c r="G2283" s="592">
        <v>83</v>
      </c>
      <c r="H2283" s="592">
        <v>79</v>
      </c>
      <c r="I2283" s="592">
        <v>4</v>
      </c>
      <c r="J2283" s="592">
        <v>0</v>
      </c>
      <c r="K2283" s="592">
        <v>0</v>
      </c>
      <c r="L2283" s="592">
        <v>0</v>
      </c>
      <c r="M2283" s="592">
        <v>0</v>
      </c>
      <c r="N2283" s="593">
        <v>0</v>
      </c>
      <c r="O2283" s="593">
        <v>103</v>
      </c>
      <c r="P2283" s="593">
        <v>0</v>
      </c>
      <c r="Q2283" s="593">
        <v>53</v>
      </c>
      <c r="R2283" s="593">
        <v>0</v>
      </c>
      <c r="S2283" s="593">
        <v>239</v>
      </c>
      <c r="T2283" s="593">
        <v>2019</v>
      </c>
      <c r="U2283" s="593">
        <v>2014</v>
      </c>
      <c r="V2283" s="589"/>
      <c r="W2283" s="589"/>
      <c r="X2283" s="589"/>
      <c r="Y2283" s="589"/>
      <c r="Z2283" s="589"/>
      <c r="AA2283" s="589"/>
      <c r="AB2283" s="589"/>
      <c r="AC2283" s="589"/>
      <c r="AD2283" s="589"/>
      <c r="AE2283" s="589"/>
      <c r="AF2283" s="589"/>
      <c r="AG2283" s="589"/>
      <c r="AH2283" s="589"/>
      <c r="AI2283" s="589"/>
      <c r="AJ2283" s="589"/>
      <c r="AK2283" s="589"/>
      <c r="AL2283" s="589"/>
      <c r="AM2283" s="589"/>
      <c r="AN2283" s="589"/>
      <c r="AO2283" s="589"/>
      <c r="AP2283" s="589"/>
      <c r="AQ2283" s="589"/>
      <c r="AR2283" s="589"/>
      <c r="AS2283" s="589"/>
    </row>
    <row r="2284" spans="1:45" ht="15">
      <c r="A2284" s="587" t="s">
        <v>169</v>
      </c>
      <c r="B2284" s="587" t="s">
        <v>495</v>
      </c>
      <c r="C2284" s="587" t="s">
        <v>813</v>
      </c>
      <c r="D2284" s="588">
        <v>2019</v>
      </c>
      <c r="E2284" s="587" t="s">
        <v>775</v>
      </c>
      <c r="F2284" s="588">
        <v>313</v>
      </c>
      <c r="G2284" s="588">
        <v>0</v>
      </c>
      <c r="H2284" s="588">
        <v>0</v>
      </c>
      <c r="I2284" s="588">
        <v>0</v>
      </c>
      <c r="J2284" s="588">
        <v>220</v>
      </c>
      <c r="K2284" s="588">
        <v>0</v>
      </c>
      <c r="L2284" s="588">
        <v>0</v>
      </c>
      <c r="M2284" s="588">
        <v>0</v>
      </c>
      <c r="N2284" s="588">
        <v>248</v>
      </c>
      <c r="O2284" s="588">
        <v>23</v>
      </c>
      <c r="P2284" s="588">
        <v>572</v>
      </c>
      <c r="Q2284" s="588">
        <v>135</v>
      </c>
      <c r="R2284" s="588">
        <v>1353</v>
      </c>
      <c r="S2284" s="588">
        <v>158</v>
      </c>
      <c r="T2284" s="588">
        <v>2019</v>
      </c>
      <c r="U2284" s="588">
        <v>2014</v>
      </c>
      <c r="V2284" s="589"/>
      <c r="W2284" s="589"/>
      <c r="X2284" s="589"/>
      <c r="Y2284" s="589"/>
      <c r="Z2284" s="589"/>
      <c r="AA2284" s="589"/>
      <c r="AB2284" s="589"/>
      <c r="AC2284" s="589"/>
      <c r="AD2284" s="589"/>
      <c r="AE2284" s="589"/>
      <c r="AF2284" s="589"/>
      <c r="AG2284" s="589"/>
      <c r="AH2284" s="589"/>
      <c r="AI2284" s="589"/>
      <c r="AJ2284" s="589"/>
      <c r="AK2284" s="589"/>
      <c r="AL2284" s="589"/>
      <c r="AM2284" s="589"/>
      <c r="AN2284" s="589"/>
      <c r="AO2284" s="589"/>
      <c r="AP2284" s="589"/>
      <c r="AQ2284" s="589"/>
      <c r="AR2284" s="589"/>
      <c r="AS2284" s="589"/>
    </row>
    <row r="2285" spans="1:45" ht="15">
      <c r="A2285" s="590" t="s">
        <v>146</v>
      </c>
      <c r="B2285" s="591" t="s">
        <v>146</v>
      </c>
      <c r="C2285" s="591" t="s">
        <v>813</v>
      </c>
      <c r="D2285" s="592">
        <v>2019</v>
      </c>
      <c r="E2285" s="591" t="s">
        <v>775</v>
      </c>
      <c r="F2285" s="592">
        <v>349</v>
      </c>
      <c r="G2285" s="592">
        <v>0</v>
      </c>
      <c r="H2285" s="592">
        <v>0</v>
      </c>
      <c r="I2285" s="592">
        <v>0</v>
      </c>
      <c r="J2285" s="592">
        <v>205</v>
      </c>
      <c r="K2285" s="592">
        <v>0</v>
      </c>
      <c r="L2285" s="592">
        <v>0</v>
      </c>
      <c r="M2285" s="592">
        <v>0</v>
      </c>
      <c r="N2285" s="593">
        <v>202</v>
      </c>
      <c r="O2285" s="593">
        <v>0</v>
      </c>
      <c r="P2285" s="593">
        <v>553</v>
      </c>
      <c r="Q2285" s="593">
        <v>0</v>
      </c>
      <c r="R2285" s="593">
        <v>1309</v>
      </c>
      <c r="S2285" s="593">
        <v>0</v>
      </c>
      <c r="T2285" s="593">
        <v>2019</v>
      </c>
      <c r="U2285" s="593">
        <v>2014</v>
      </c>
      <c r="V2285" s="589"/>
      <c r="W2285" s="589"/>
      <c r="X2285" s="589"/>
      <c r="Y2285" s="589"/>
      <c r="Z2285" s="589"/>
      <c r="AA2285" s="589"/>
      <c r="AB2285" s="589"/>
      <c r="AC2285" s="589"/>
      <c r="AD2285" s="589"/>
      <c r="AE2285" s="589"/>
      <c r="AF2285" s="589"/>
      <c r="AG2285" s="589"/>
      <c r="AH2285" s="589"/>
      <c r="AI2285" s="589"/>
      <c r="AJ2285" s="589"/>
      <c r="AK2285" s="589"/>
      <c r="AL2285" s="589"/>
      <c r="AM2285" s="589"/>
      <c r="AN2285" s="589"/>
      <c r="AO2285" s="589"/>
      <c r="AP2285" s="589"/>
      <c r="AQ2285" s="589"/>
      <c r="AR2285" s="589"/>
      <c r="AS2285" s="589"/>
    </row>
    <row r="2286" spans="1:45" ht="15">
      <c r="A2286" s="587" t="s">
        <v>179</v>
      </c>
      <c r="B2286" s="587" t="s">
        <v>597</v>
      </c>
      <c r="C2286" s="587" t="s">
        <v>856</v>
      </c>
      <c r="D2286" s="588">
        <v>2019</v>
      </c>
      <c r="E2286" s="587" t="s">
        <v>775</v>
      </c>
      <c r="F2286" s="588">
        <v>63</v>
      </c>
      <c r="G2286" s="588">
        <v>0</v>
      </c>
      <c r="H2286" s="588">
        <v>0</v>
      </c>
      <c r="I2286" s="588">
        <v>0</v>
      </c>
      <c r="J2286" s="588">
        <v>48</v>
      </c>
      <c r="K2286" s="588">
        <v>0</v>
      </c>
      <c r="L2286" s="588">
        <v>0</v>
      </c>
      <c r="M2286" s="588">
        <v>0</v>
      </c>
      <c r="N2286" s="588">
        <v>45</v>
      </c>
      <c r="O2286" s="588">
        <v>0</v>
      </c>
      <c r="P2286" s="588">
        <v>98</v>
      </c>
      <c r="Q2286" s="588">
        <v>28</v>
      </c>
      <c r="R2286" s="588">
        <v>254</v>
      </c>
      <c r="S2286" s="588">
        <v>28</v>
      </c>
      <c r="T2286" s="588">
        <v>2019</v>
      </c>
      <c r="U2286" s="588">
        <v>2013</v>
      </c>
      <c r="V2286" s="589"/>
      <c r="W2286" s="589"/>
      <c r="X2286" s="589"/>
      <c r="Y2286" s="589"/>
      <c r="Z2286" s="589"/>
      <c r="AA2286" s="589"/>
      <c r="AB2286" s="589"/>
      <c r="AC2286" s="589"/>
      <c r="AD2286" s="589"/>
      <c r="AE2286" s="589"/>
      <c r="AF2286" s="589"/>
      <c r="AG2286" s="589"/>
      <c r="AH2286" s="589"/>
      <c r="AI2286" s="589"/>
      <c r="AJ2286" s="589"/>
      <c r="AK2286" s="589"/>
      <c r="AL2286" s="589"/>
      <c r="AM2286" s="589"/>
      <c r="AN2286" s="589"/>
      <c r="AO2286" s="589"/>
      <c r="AP2286" s="589"/>
      <c r="AQ2286" s="589"/>
      <c r="AR2286" s="589"/>
      <c r="AS2286" s="589"/>
    </row>
    <row r="2287" spans="1:45" ht="15">
      <c r="A2287" s="590" t="s">
        <v>146</v>
      </c>
      <c r="B2287" s="591" t="s">
        <v>320</v>
      </c>
      <c r="C2287" s="591" t="s">
        <v>813</v>
      </c>
      <c r="D2287" s="592">
        <v>2019</v>
      </c>
      <c r="E2287" s="591" t="s">
        <v>775</v>
      </c>
      <c r="F2287" s="592">
        <v>1633</v>
      </c>
      <c r="G2287" s="592">
        <v>0</v>
      </c>
      <c r="H2287" s="592">
        <v>0</v>
      </c>
      <c r="I2287" s="592">
        <v>0</v>
      </c>
      <c r="J2287" s="592">
        <v>1001</v>
      </c>
      <c r="K2287" s="592">
        <v>0</v>
      </c>
      <c r="L2287" s="592">
        <v>0</v>
      </c>
      <c r="M2287" s="592">
        <v>0</v>
      </c>
      <c r="N2287" s="593">
        <v>1001</v>
      </c>
      <c r="O2287" s="593">
        <v>0</v>
      </c>
      <c r="P2287" s="593">
        <v>2839</v>
      </c>
      <c r="Q2287" s="593">
        <v>13</v>
      </c>
      <c r="R2287" s="593">
        <v>6474</v>
      </c>
      <c r="S2287" s="593">
        <v>13</v>
      </c>
      <c r="T2287" s="593">
        <v>2019</v>
      </c>
      <c r="U2287" s="593">
        <v>2014</v>
      </c>
      <c r="V2287" s="589"/>
      <c r="W2287" s="589"/>
      <c r="X2287" s="589"/>
      <c r="Y2287" s="589"/>
      <c r="Z2287" s="589"/>
      <c r="AA2287" s="589"/>
      <c r="AB2287" s="589"/>
      <c r="AC2287" s="589"/>
      <c r="AD2287" s="589"/>
      <c r="AE2287" s="589"/>
      <c r="AF2287" s="589"/>
      <c r="AG2287" s="589"/>
      <c r="AH2287" s="589"/>
      <c r="AI2287" s="589"/>
      <c r="AJ2287" s="589"/>
      <c r="AK2287" s="589"/>
      <c r="AL2287" s="589"/>
      <c r="AM2287" s="589"/>
      <c r="AN2287" s="589"/>
      <c r="AO2287" s="589"/>
      <c r="AP2287" s="589"/>
      <c r="AQ2287" s="589"/>
      <c r="AR2287" s="589"/>
      <c r="AS2287" s="589"/>
    </row>
    <row r="2288" spans="1:45" ht="15">
      <c r="A2288" s="587" t="s">
        <v>173</v>
      </c>
      <c r="B2288" s="587" t="s">
        <v>539</v>
      </c>
      <c r="C2288" s="587" t="s">
        <v>813</v>
      </c>
      <c r="D2288" s="588">
        <v>2019</v>
      </c>
      <c r="E2288" s="587" t="s">
        <v>775</v>
      </c>
      <c r="F2288" s="588">
        <v>40</v>
      </c>
      <c r="G2288" s="588">
        <v>0</v>
      </c>
      <c r="H2288" s="588">
        <v>0</v>
      </c>
      <c r="I2288" s="588">
        <v>0</v>
      </c>
      <c r="J2288" s="588">
        <v>27</v>
      </c>
      <c r="K2288" s="588">
        <v>0</v>
      </c>
      <c r="L2288" s="588">
        <v>0</v>
      </c>
      <c r="M2288" s="588">
        <v>0</v>
      </c>
      <c r="N2288" s="588">
        <v>31</v>
      </c>
      <c r="O2288" s="588">
        <v>0</v>
      </c>
      <c r="P2288" s="588">
        <v>62</v>
      </c>
      <c r="Q2288" s="588">
        <v>71</v>
      </c>
      <c r="R2288" s="588">
        <v>160</v>
      </c>
      <c r="S2288" s="588">
        <v>71</v>
      </c>
      <c r="T2288" s="588">
        <v>2019</v>
      </c>
      <c r="U2288" s="588">
        <v>2014</v>
      </c>
      <c r="V2288" s="589"/>
      <c r="W2288" s="589"/>
      <c r="X2288" s="589"/>
      <c r="Y2288" s="589"/>
      <c r="Z2288" s="589"/>
      <c r="AA2288" s="589"/>
      <c r="AB2288" s="589"/>
      <c r="AC2288" s="589"/>
      <c r="AD2288" s="589"/>
      <c r="AE2288" s="589"/>
      <c r="AF2288" s="589"/>
      <c r="AG2288" s="589"/>
      <c r="AH2288" s="589"/>
      <c r="AI2288" s="589"/>
      <c r="AJ2288" s="589"/>
      <c r="AK2288" s="589"/>
      <c r="AL2288" s="589"/>
      <c r="AM2288" s="589"/>
      <c r="AN2288" s="589"/>
      <c r="AO2288" s="589"/>
      <c r="AP2288" s="589"/>
      <c r="AQ2288" s="589"/>
      <c r="AR2288" s="589"/>
      <c r="AS2288" s="589"/>
    </row>
    <row r="2289" spans="1:45" ht="15">
      <c r="A2289" s="590" t="s">
        <v>173</v>
      </c>
      <c r="B2289" s="591" t="s">
        <v>540</v>
      </c>
      <c r="C2289" s="591" t="s">
        <v>813</v>
      </c>
      <c r="D2289" s="592">
        <v>2019</v>
      </c>
      <c r="E2289" s="591" t="s">
        <v>775</v>
      </c>
      <c r="F2289" s="592">
        <v>714</v>
      </c>
      <c r="G2289" s="592">
        <v>0</v>
      </c>
      <c r="H2289" s="592">
        <v>0</v>
      </c>
      <c r="I2289" s="592">
        <v>0</v>
      </c>
      <c r="J2289" s="592">
        <v>487</v>
      </c>
      <c r="K2289" s="592">
        <v>0</v>
      </c>
      <c r="L2289" s="592">
        <v>0</v>
      </c>
      <c r="M2289" s="592">
        <v>0</v>
      </c>
      <c r="N2289" s="593">
        <v>553</v>
      </c>
      <c r="O2289" s="593">
        <v>0</v>
      </c>
      <c r="P2289" s="593">
        <v>1271</v>
      </c>
      <c r="Q2289" s="593">
        <v>265</v>
      </c>
      <c r="R2289" s="593">
        <v>3025</v>
      </c>
      <c r="S2289" s="593">
        <v>265</v>
      </c>
      <c r="T2289" s="593">
        <v>2019</v>
      </c>
      <c r="U2289" s="593">
        <v>2014</v>
      </c>
      <c r="V2289" s="589"/>
      <c r="W2289" s="589"/>
      <c r="X2289" s="589"/>
      <c r="Y2289" s="589"/>
      <c r="Z2289" s="589"/>
      <c r="AA2289" s="589"/>
      <c r="AB2289" s="589"/>
      <c r="AC2289" s="589"/>
      <c r="AD2289" s="589"/>
      <c r="AE2289" s="589"/>
      <c r="AF2289" s="589"/>
      <c r="AG2289" s="589"/>
      <c r="AH2289" s="589"/>
      <c r="AI2289" s="589"/>
      <c r="AJ2289" s="589"/>
      <c r="AK2289" s="589"/>
      <c r="AL2289" s="589"/>
      <c r="AM2289" s="589"/>
      <c r="AN2289" s="589"/>
      <c r="AO2289" s="589"/>
      <c r="AP2289" s="589"/>
      <c r="AQ2289" s="589"/>
      <c r="AR2289" s="589"/>
      <c r="AS2289" s="589"/>
    </row>
    <row r="2290" spans="1:45" ht="15">
      <c r="A2290" s="587" t="s">
        <v>153</v>
      </c>
      <c r="B2290" s="587" t="s">
        <v>381</v>
      </c>
      <c r="C2290" s="587" t="s">
        <v>813</v>
      </c>
      <c r="D2290" s="588">
        <v>2019</v>
      </c>
      <c r="E2290" s="587" t="s">
        <v>775</v>
      </c>
      <c r="F2290" s="588">
        <v>0</v>
      </c>
      <c r="G2290" s="588">
        <v>0</v>
      </c>
      <c r="H2290" s="588">
        <v>0</v>
      </c>
      <c r="I2290" s="588">
        <v>0</v>
      </c>
      <c r="J2290" s="588">
        <v>0</v>
      </c>
      <c r="K2290" s="588">
        <v>0</v>
      </c>
      <c r="L2290" s="588">
        <v>0</v>
      </c>
      <c r="M2290" s="588">
        <v>0</v>
      </c>
      <c r="N2290" s="588">
        <v>0</v>
      </c>
      <c r="O2290" s="588">
        <v>0</v>
      </c>
      <c r="P2290" s="588">
        <v>0</v>
      </c>
      <c r="Q2290" s="588">
        <v>0</v>
      </c>
      <c r="R2290" s="588">
        <v>0</v>
      </c>
      <c r="S2290" s="588">
        <v>0</v>
      </c>
      <c r="T2290" s="588">
        <v>2019</v>
      </c>
      <c r="U2290" s="588">
        <v>2014</v>
      </c>
      <c r="V2290" s="589"/>
      <c r="W2290" s="589"/>
      <c r="X2290" s="589"/>
      <c r="Y2290" s="589"/>
      <c r="Z2290" s="589"/>
      <c r="AA2290" s="589"/>
      <c r="AB2290" s="589"/>
      <c r="AC2290" s="589"/>
      <c r="AD2290" s="589"/>
      <c r="AE2290" s="589"/>
      <c r="AF2290" s="589"/>
      <c r="AG2290" s="589"/>
      <c r="AH2290" s="589"/>
      <c r="AI2290" s="589"/>
      <c r="AJ2290" s="589"/>
      <c r="AK2290" s="589"/>
      <c r="AL2290" s="589"/>
      <c r="AM2290" s="589"/>
      <c r="AN2290" s="589"/>
      <c r="AO2290" s="589"/>
      <c r="AP2290" s="589"/>
      <c r="AQ2290" s="589"/>
      <c r="AR2290" s="589"/>
      <c r="AS2290" s="589"/>
    </row>
    <row r="2291" spans="1:45" ht="15">
      <c r="A2291" s="590" t="s">
        <v>147</v>
      </c>
      <c r="B2291" s="591" t="s">
        <v>323</v>
      </c>
      <c r="C2291" s="591" t="s">
        <v>785</v>
      </c>
      <c r="D2291" s="592">
        <v>2019</v>
      </c>
      <c r="E2291" s="591" t="s">
        <v>775</v>
      </c>
      <c r="F2291" s="592">
        <v>35</v>
      </c>
      <c r="G2291" s="592">
        <v>0</v>
      </c>
      <c r="H2291" s="592">
        <v>0</v>
      </c>
      <c r="I2291" s="592">
        <v>0</v>
      </c>
      <c r="J2291" s="592">
        <v>25</v>
      </c>
      <c r="K2291" s="592">
        <v>0</v>
      </c>
      <c r="L2291" s="592">
        <v>0</v>
      </c>
      <c r="M2291" s="592">
        <v>0</v>
      </c>
      <c r="N2291" s="593">
        <v>28</v>
      </c>
      <c r="O2291" s="593">
        <v>0</v>
      </c>
      <c r="P2291" s="593">
        <v>72</v>
      </c>
      <c r="Q2291" s="593">
        <v>20</v>
      </c>
      <c r="R2291" s="593">
        <v>160</v>
      </c>
      <c r="S2291" s="593">
        <v>20</v>
      </c>
      <c r="T2291" s="593">
        <v>2019</v>
      </c>
      <c r="U2291" s="593">
        <v>2014</v>
      </c>
      <c r="V2291" s="589"/>
      <c r="W2291" s="589"/>
      <c r="X2291" s="589"/>
      <c r="Y2291" s="589"/>
      <c r="Z2291" s="589"/>
      <c r="AA2291" s="589"/>
      <c r="AB2291" s="589"/>
      <c r="AC2291" s="589"/>
      <c r="AD2291" s="589"/>
      <c r="AE2291" s="589"/>
      <c r="AF2291" s="589"/>
      <c r="AG2291" s="589"/>
      <c r="AH2291" s="589"/>
      <c r="AI2291" s="589"/>
      <c r="AJ2291" s="589"/>
      <c r="AK2291" s="589"/>
      <c r="AL2291" s="589"/>
      <c r="AM2291" s="589"/>
      <c r="AN2291" s="589"/>
      <c r="AO2291" s="589"/>
      <c r="AP2291" s="589"/>
      <c r="AQ2291" s="589"/>
      <c r="AR2291" s="589"/>
      <c r="AS2291" s="589"/>
    </row>
    <row r="2292" spans="1:45" ht="15">
      <c r="A2292" s="587" t="s">
        <v>130</v>
      </c>
      <c r="B2292" s="587" t="s">
        <v>251</v>
      </c>
      <c r="C2292" s="587" t="s">
        <v>785</v>
      </c>
      <c r="D2292" s="588">
        <v>2019</v>
      </c>
      <c r="E2292" s="587" t="s">
        <v>775</v>
      </c>
      <c r="F2292" s="588">
        <v>3</v>
      </c>
      <c r="G2292" s="588">
        <v>0</v>
      </c>
      <c r="H2292" s="588">
        <v>0</v>
      </c>
      <c r="I2292" s="588">
        <v>0</v>
      </c>
      <c r="J2292" s="588">
        <v>3</v>
      </c>
      <c r="K2292" s="588">
        <v>0</v>
      </c>
      <c r="L2292" s="588">
        <v>0</v>
      </c>
      <c r="M2292" s="588">
        <v>0</v>
      </c>
      <c r="N2292" s="588">
        <v>3</v>
      </c>
      <c r="O2292" s="588">
        <v>38</v>
      </c>
      <c r="P2292" s="588">
        <v>7</v>
      </c>
      <c r="Q2292" s="588">
        <v>0</v>
      </c>
      <c r="R2292" s="588">
        <v>16</v>
      </c>
      <c r="S2292" s="588">
        <v>38</v>
      </c>
      <c r="T2292" s="588">
        <v>2019</v>
      </c>
      <c r="U2292" s="588">
        <v>2014</v>
      </c>
      <c r="V2292" s="589"/>
      <c r="W2292" s="589"/>
      <c r="X2292" s="589"/>
      <c r="Y2292" s="589"/>
      <c r="Z2292" s="589"/>
      <c r="AA2292" s="589"/>
      <c r="AB2292" s="589"/>
      <c r="AC2292" s="589"/>
      <c r="AD2292" s="589"/>
      <c r="AE2292" s="589"/>
      <c r="AF2292" s="589"/>
      <c r="AG2292" s="589"/>
      <c r="AH2292" s="589"/>
      <c r="AI2292" s="589"/>
      <c r="AJ2292" s="589"/>
      <c r="AK2292" s="589"/>
      <c r="AL2292" s="589"/>
      <c r="AM2292" s="589"/>
      <c r="AN2292" s="589"/>
      <c r="AO2292" s="589"/>
      <c r="AP2292" s="589"/>
      <c r="AQ2292" s="589"/>
      <c r="AR2292" s="589"/>
      <c r="AS2292" s="589"/>
    </row>
    <row r="2293" spans="1:45" ht="15">
      <c r="A2293" s="590" t="s">
        <v>169</v>
      </c>
      <c r="B2293" s="591" t="s">
        <v>496</v>
      </c>
      <c r="C2293" s="591" t="s">
        <v>813</v>
      </c>
      <c r="D2293" s="592">
        <v>2019</v>
      </c>
      <c r="E2293" s="591" t="s">
        <v>775</v>
      </c>
      <c r="F2293" s="592">
        <v>2817</v>
      </c>
      <c r="G2293" s="592">
        <v>220</v>
      </c>
      <c r="H2293" s="592">
        <v>220</v>
      </c>
      <c r="I2293" s="592">
        <v>0</v>
      </c>
      <c r="J2293" s="592">
        <v>2034</v>
      </c>
      <c r="K2293" s="592">
        <v>34</v>
      </c>
      <c r="L2293" s="592">
        <v>34</v>
      </c>
      <c r="M2293" s="592">
        <v>0</v>
      </c>
      <c r="N2293" s="593">
        <v>2239</v>
      </c>
      <c r="O2293" s="593">
        <v>25</v>
      </c>
      <c r="P2293" s="593">
        <v>5059</v>
      </c>
      <c r="Q2293" s="593">
        <v>2725</v>
      </c>
      <c r="R2293" s="593">
        <v>12149</v>
      </c>
      <c r="S2293" s="593">
        <v>3004</v>
      </c>
      <c r="T2293" s="593">
        <v>2019</v>
      </c>
      <c r="U2293" s="593">
        <v>2014</v>
      </c>
      <c r="V2293" s="589"/>
      <c r="W2293" s="589"/>
      <c r="X2293" s="589"/>
      <c r="Y2293" s="589"/>
      <c r="Z2293" s="589"/>
      <c r="AA2293" s="589"/>
      <c r="AB2293" s="589"/>
      <c r="AC2293" s="589"/>
      <c r="AD2293" s="589"/>
      <c r="AE2293" s="589"/>
      <c r="AF2293" s="589"/>
      <c r="AG2293" s="589"/>
      <c r="AH2293" s="589"/>
      <c r="AI2293" s="589"/>
      <c r="AJ2293" s="589"/>
      <c r="AK2293" s="589"/>
      <c r="AL2293" s="589"/>
      <c r="AM2293" s="589"/>
      <c r="AN2293" s="589"/>
      <c r="AO2293" s="589"/>
      <c r="AP2293" s="589"/>
      <c r="AQ2293" s="589"/>
      <c r="AR2293" s="589"/>
      <c r="AS2293" s="589"/>
    </row>
    <row r="2294" spans="1:45" ht="15">
      <c r="A2294" s="587" t="s">
        <v>153</v>
      </c>
      <c r="B2294" s="587" t="s">
        <v>383</v>
      </c>
      <c r="C2294" s="587" t="s">
        <v>813</v>
      </c>
      <c r="D2294" s="588">
        <v>2019</v>
      </c>
      <c r="E2294" s="587" t="s">
        <v>775</v>
      </c>
      <c r="F2294" s="588">
        <v>4</v>
      </c>
      <c r="G2294" s="588">
        <v>2</v>
      </c>
      <c r="H2294" s="588">
        <v>2</v>
      </c>
      <c r="I2294" s="588">
        <v>0</v>
      </c>
      <c r="J2294" s="588">
        <v>2</v>
      </c>
      <c r="K2294" s="588">
        <v>2</v>
      </c>
      <c r="L2294" s="588">
        <v>2</v>
      </c>
      <c r="M2294" s="588">
        <v>0</v>
      </c>
      <c r="N2294" s="588">
        <v>2</v>
      </c>
      <c r="O2294" s="588">
        <v>0</v>
      </c>
      <c r="P2294" s="588">
        <v>7</v>
      </c>
      <c r="Q2294" s="588">
        <v>0</v>
      </c>
      <c r="R2294" s="588">
        <v>15</v>
      </c>
      <c r="S2294" s="588">
        <v>4</v>
      </c>
      <c r="T2294" s="588">
        <v>2019</v>
      </c>
      <c r="U2294" s="588">
        <v>2014</v>
      </c>
      <c r="V2294" s="589"/>
      <c r="W2294" s="589"/>
      <c r="X2294" s="589"/>
      <c r="Y2294" s="589"/>
      <c r="Z2294" s="589"/>
      <c r="AA2294" s="589"/>
      <c r="AB2294" s="589"/>
      <c r="AC2294" s="589"/>
      <c r="AD2294" s="589"/>
      <c r="AE2294" s="589"/>
      <c r="AF2294" s="589"/>
      <c r="AG2294" s="589"/>
      <c r="AH2294" s="589"/>
      <c r="AI2294" s="589"/>
      <c r="AJ2294" s="589"/>
      <c r="AK2294" s="589"/>
      <c r="AL2294" s="589"/>
      <c r="AM2294" s="589"/>
      <c r="AN2294" s="589"/>
      <c r="AO2294" s="589"/>
      <c r="AP2294" s="589"/>
      <c r="AQ2294" s="589"/>
      <c r="AR2294" s="589"/>
      <c r="AS2294" s="589"/>
    </row>
    <row r="2295" spans="1:45" ht="15">
      <c r="A2295" s="590" t="s">
        <v>174</v>
      </c>
      <c r="B2295" s="591" t="s">
        <v>560</v>
      </c>
      <c r="C2295" s="591" t="s">
        <v>801</v>
      </c>
      <c r="D2295" s="592">
        <v>2019</v>
      </c>
      <c r="E2295" s="591" t="s">
        <v>775</v>
      </c>
      <c r="F2295" s="592">
        <v>4</v>
      </c>
      <c r="G2295" s="592">
        <v>0</v>
      </c>
      <c r="H2295" s="592">
        <v>0</v>
      </c>
      <c r="I2295" s="592">
        <v>0</v>
      </c>
      <c r="J2295" s="592">
        <v>3</v>
      </c>
      <c r="K2295" s="592">
        <v>0</v>
      </c>
      <c r="L2295" s="592">
        <v>0</v>
      </c>
      <c r="M2295" s="592">
        <v>0</v>
      </c>
      <c r="N2295" s="593">
        <v>4</v>
      </c>
      <c r="O2295" s="593">
        <v>0</v>
      </c>
      <c r="P2295" s="593">
        <v>12</v>
      </c>
      <c r="Q2295" s="593">
        <v>0</v>
      </c>
      <c r="R2295" s="593">
        <v>23</v>
      </c>
      <c r="S2295" s="593">
        <v>0</v>
      </c>
      <c r="T2295" s="593">
        <v>2019</v>
      </c>
      <c r="U2295" s="593">
        <v>2014</v>
      </c>
      <c r="V2295" s="589"/>
      <c r="W2295" s="589"/>
      <c r="X2295" s="589"/>
      <c r="Y2295" s="589"/>
      <c r="Z2295" s="589"/>
      <c r="AA2295" s="589"/>
      <c r="AB2295" s="589"/>
      <c r="AC2295" s="589"/>
      <c r="AD2295" s="589"/>
      <c r="AE2295" s="589"/>
      <c r="AF2295" s="589"/>
      <c r="AG2295" s="589"/>
      <c r="AH2295" s="589"/>
      <c r="AI2295" s="589"/>
      <c r="AJ2295" s="589"/>
      <c r="AK2295" s="589"/>
      <c r="AL2295" s="589"/>
      <c r="AM2295" s="589"/>
      <c r="AN2295" s="589"/>
      <c r="AO2295" s="589"/>
      <c r="AP2295" s="589"/>
      <c r="AQ2295" s="589"/>
      <c r="AR2295" s="589"/>
      <c r="AS2295" s="589"/>
    </row>
    <row r="2296" spans="1:45" ht="15">
      <c r="A2296" s="587" t="s">
        <v>130</v>
      </c>
      <c r="B2296" s="587" t="s">
        <v>252</v>
      </c>
      <c r="C2296" s="587" t="s">
        <v>785</v>
      </c>
      <c r="D2296" s="588">
        <v>2019</v>
      </c>
      <c r="E2296" s="587" t="s">
        <v>775</v>
      </c>
      <c r="F2296" s="588">
        <v>4</v>
      </c>
      <c r="G2296" s="588">
        <v>0</v>
      </c>
      <c r="H2296" s="588">
        <v>0</v>
      </c>
      <c r="I2296" s="588">
        <v>0</v>
      </c>
      <c r="J2296" s="588">
        <v>3</v>
      </c>
      <c r="K2296" s="588">
        <v>0</v>
      </c>
      <c r="L2296" s="588">
        <v>0</v>
      </c>
      <c r="M2296" s="588">
        <v>0</v>
      </c>
      <c r="N2296" s="588">
        <v>4</v>
      </c>
      <c r="O2296" s="588">
        <v>0</v>
      </c>
      <c r="P2296" s="588">
        <v>8</v>
      </c>
      <c r="Q2296" s="588">
        <v>23</v>
      </c>
      <c r="R2296" s="588">
        <v>19</v>
      </c>
      <c r="S2296" s="588">
        <v>23</v>
      </c>
      <c r="T2296" s="588">
        <v>2019</v>
      </c>
      <c r="U2296" s="588">
        <v>2014</v>
      </c>
      <c r="V2296" s="589"/>
      <c r="W2296" s="589"/>
      <c r="X2296" s="589"/>
      <c r="Y2296" s="589"/>
      <c r="Z2296" s="589"/>
      <c r="AA2296" s="589"/>
      <c r="AB2296" s="589"/>
      <c r="AC2296" s="589"/>
      <c r="AD2296" s="589"/>
      <c r="AE2296" s="589"/>
      <c r="AF2296" s="589"/>
      <c r="AG2296" s="589"/>
      <c r="AH2296" s="589"/>
      <c r="AI2296" s="589"/>
      <c r="AJ2296" s="589"/>
      <c r="AK2296" s="589"/>
      <c r="AL2296" s="589"/>
      <c r="AM2296" s="589"/>
      <c r="AN2296" s="589"/>
      <c r="AO2296" s="589"/>
      <c r="AP2296" s="589"/>
      <c r="AQ2296" s="589"/>
      <c r="AR2296" s="589"/>
      <c r="AS2296" s="589"/>
    </row>
    <row r="2297" spans="1:45" ht="15">
      <c r="A2297" s="590" t="s">
        <v>173</v>
      </c>
      <c r="B2297" s="591" t="s">
        <v>541</v>
      </c>
      <c r="C2297" s="591" t="s">
        <v>813</v>
      </c>
      <c r="D2297" s="592">
        <v>2019</v>
      </c>
      <c r="E2297" s="591" t="s">
        <v>775</v>
      </c>
      <c r="F2297" s="592">
        <v>409</v>
      </c>
      <c r="G2297" s="592">
        <v>0</v>
      </c>
      <c r="H2297" s="592">
        <v>0</v>
      </c>
      <c r="I2297" s="592">
        <v>0</v>
      </c>
      <c r="J2297" s="592">
        <v>275</v>
      </c>
      <c r="K2297" s="592">
        <v>0</v>
      </c>
      <c r="L2297" s="592">
        <v>0</v>
      </c>
      <c r="M2297" s="592">
        <v>0</v>
      </c>
      <c r="N2297" s="593">
        <v>307</v>
      </c>
      <c r="O2297" s="593">
        <v>0</v>
      </c>
      <c r="P2297" s="593">
        <v>721</v>
      </c>
      <c r="Q2297" s="593">
        <v>0</v>
      </c>
      <c r="R2297" s="593">
        <v>1712</v>
      </c>
      <c r="S2297" s="593">
        <v>0</v>
      </c>
      <c r="T2297" s="593">
        <v>2019</v>
      </c>
      <c r="U2297" s="593">
        <v>2014</v>
      </c>
      <c r="V2297" s="589"/>
      <c r="W2297" s="589"/>
      <c r="X2297" s="589"/>
      <c r="Y2297" s="589"/>
      <c r="Z2297" s="589"/>
      <c r="AA2297" s="589"/>
      <c r="AB2297" s="589"/>
      <c r="AC2297" s="589"/>
      <c r="AD2297" s="589"/>
      <c r="AE2297" s="589"/>
      <c r="AF2297" s="589"/>
      <c r="AG2297" s="589"/>
      <c r="AH2297" s="589"/>
      <c r="AI2297" s="589"/>
      <c r="AJ2297" s="589"/>
      <c r="AK2297" s="589"/>
      <c r="AL2297" s="589"/>
      <c r="AM2297" s="589"/>
      <c r="AN2297" s="589"/>
      <c r="AO2297" s="589"/>
      <c r="AP2297" s="589"/>
      <c r="AQ2297" s="589"/>
      <c r="AR2297" s="589"/>
      <c r="AS2297" s="589"/>
    </row>
    <row r="2298" spans="1:45" ht="15">
      <c r="A2298" s="587" t="s">
        <v>141</v>
      </c>
      <c r="B2298" s="587" t="s">
        <v>296</v>
      </c>
      <c r="C2298" s="587" t="s">
        <v>811</v>
      </c>
      <c r="D2298" s="588">
        <v>2019</v>
      </c>
      <c r="E2298" s="587" t="s">
        <v>775</v>
      </c>
      <c r="F2298" s="588">
        <v>238</v>
      </c>
      <c r="G2298" s="588">
        <v>1</v>
      </c>
      <c r="H2298" s="588">
        <v>0</v>
      </c>
      <c r="I2298" s="588">
        <v>1</v>
      </c>
      <c r="J2298" s="588">
        <v>211</v>
      </c>
      <c r="K2298" s="588">
        <v>7</v>
      </c>
      <c r="L2298" s="588">
        <v>6</v>
      </c>
      <c r="M2298" s="588">
        <v>1</v>
      </c>
      <c r="N2298" s="588">
        <v>202</v>
      </c>
      <c r="O2298" s="588">
        <v>58</v>
      </c>
      <c r="P2298" s="588">
        <v>258</v>
      </c>
      <c r="Q2298" s="588">
        <v>12</v>
      </c>
      <c r="R2298" s="588">
        <v>909</v>
      </c>
      <c r="S2298" s="588">
        <v>78</v>
      </c>
      <c r="T2298" s="588">
        <v>2019</v>
      </c>
      <c r="U2298" s="588">
        <v>2016</v>
      </c>
      <c r="V2298" s="589"/>
      <c r="W2298" s="589"/>
      <c r="X2298" s="589"/>
      <c r="Y2298" s="589"/>
      <c r="Z2298" s="589"/>
      <c r="AA2298" s="589"/>
      <c r="AB2298" s="589"/>
      <c r="AC2298" s="589"/>
      <c r="AD2298" s="589"/>
      <c r="AE2298" s="589"/>
      <c r="AF2298" s="589"/>
      <c r="AG2298" s="589"/>
      <c r="AH2298" s="589"/>
      <c r="AI2298" s="589"/>
      <c r="AJ2298" s="589"/>
      <c r="AK2298" s="589"/>
      <c r="AL2298" s="589"/>
      <c r="AM2298" s="589"/>
      <c r="AN2298" s="589"/>
      <c r="AO2298" s="589"/>
      <c r="AP2298" s="589"/>
      <c r="AQ2298" s="589"/>
      <c r="AR2298" s="589"/>
      <c r="AS2298" s="589"/>
    </row>
    <row r="2299" spans="1:45" ht="15">
      <c r="A2299" s="590" t="s">
        <v>148</v>
      </c>
      <c r="B2299" s="591" t="s">
        <v>328</v>
      </c>
      <c r="C2299" s="591" t="s">
        <v>811</v>
      </c>
      <c r="D2299" s="592">
        <v>2019</v>
      </c>
      <c r="E2299" s="591" t="s">
        <v>775</v>
      </c>
      <c r="F2299" s="592">
        <v>4888</v>
      </c>
      <c r="G2299" s="592">
        <v>0</v>
      </c>
      <c r="H2299" s="592">
        <v>0</v>
      </c>
      <c r="I2299" s="592">
        <v>0</v>
      </c>
      <c r="J2299" s="592">
        <v>3107</v>
      </c>
      <c r="K2299" s="592">
        <v>77</v>
      </c>
      <c r="L2299" s="592">
        <v>0</v>
      </c>
      <c r="M2299" s="592">
        <v>77</v>
      </c>
      <c r="N2299" s="593">
        <v>3126</v>
      </c>
      <c r="O2299" s="593">
        <v>117</v>
      </c>
      <c r="P2299" s="593">
        <v>10462</v>
      </c>
      <c r="Q2299" s="593">
        <v>130</v>
      </c>
      <c r="R2299" s="593">
        <v>21583</v>
      </c>
      <c r="S2299" s="593">
        <v>324</v>
      </c>
      <c r="T2299" s="593">
        <v>2019</v>
      </c>
      <c r="U2299" s="593">
        <v>2016</v>
      </c>
      <c r="V2299" s="589"/>
      <c r="W2299" s="589"/>
      <c r="X2299" s="589"/>
      <c r="Y2299" s="589"/>
      <c r="Z2299" s="589"/>
      <c r="AA2299" s="589"/>
      <c r="AB2299" s="589"/>
      <c r="AC2299" s="589"/>
      <c r="AD2299" s="589"/>
      <c r="AE2299" s="589"/>
      <c r="AF2299" s="589"/>
      <c r="AG2299" s="589"/>
      <c r="AH2299" s="589"/>
      <c r="AI2299" s="589"/>
      <c r="AJ2299" s="589"/>
      <c r="AK2299" s="589"/>
      <c r="AL2299" s="589"/>
      <c r="AM2299" s="589"/>
      <c r="AN2299" s="589"/>
      <c r="AO2299" s="589"/>
      <c r="AP2299" s="589"/>
      <c r="AQ2299" s="589"/>
      <c r="AR2299" s="589"/>
      <c r="AS2299" s="589"/>
    </row>
    <row r="2300" spans="1:45" ht="15">
      <c r="A2300" s="587" t="s">
        <v>164</v>
      </c>
      <c r="B2300" s="587" t="s">
        <v>468</v>
      </c>
      <c r="C2300" s="587" t="s">
        <v>811</v>
      </c>
      <c r="D2300" s="588">
        <v>2019</v>
      </c>
      <c r="E2300" s="587" t="s">
        <v>775</v>
      </c>
      <c r="F2300" s="588">
        <v>43</v>
      </c>
      <c r="G2300" s="588">
        <v>0</v>
      </c>
      <c r="H2300" s="588">
        <v>0</v>
      </c>
      <c r="I2300" s="588">
        <v>0</v>
      </c>
      <c r="J2300" s="588">
        <v>28</v>
      </c>
      <c r="K2300" s="588">
        <v>0</v>
      </c>
      <c r="L2300" s="588">
        <v>0</v>
      </c>
      <c r="M2300" s="588">
        <v>0</v>
      </c>
      <c r="N2300" s="588">
        <v>33</v>
      </c>
      <c r="O2300" s="588">
        <v>0</v>
      </c>
      <c r="P2300" s="588">
        <v>76</v>
      </c>
      <c r="Q2300" s="588">
        <v>50</v>
      </c>
      <c r="R2300" s="588">
        <v>180</v>
      </c>
      <c r="S2300" s="588">
        <v>50</v>
      </c>
      <c r="T2300" s="588">
        <v>2019</v>
      </c>
      <c r="U2300" s="588">
        <v>2016</v>
      </c>
      <c r="V2300" s="589"/>
      <c r="W2300" s="589"/>
      <c r="X2300" s="589"/>
      <c r="Y2300" s="589"/>
      <c r="Z2300" s="589"/>
      <c r="AA2300" s="589"/>
      <c r="AB2300" s="589"/>
      <c r="AC2300" s="589"/>
      <c r="AD2300" s="589"/>
      <c r="AE2300" s="589"/>
      <c r="AF2300" s="589"/>
      <c r="AG2300" s="589"/>
      <c r="AH2300" s="589"/>
      <c r="AI2300" s="589"/>
      <c r="AJ2300" s="589"/>
      <c r="AK2300" s="589"/>
      <c r="AL2300" s="589"/>
      <c r="AM2300" s="589"/>
      <c r="AN2300" s="589"/>
      <c r="AO2300" s="589"/>
      <c r="AP2300" s="589"/>
      <c r="AQ2300" s="589"/>
      <c r="AR2300" s="589"/>
      <c r="AS2300" s="589"/>
    </row>
    <row r="2301" spans="1:45" ht="15">
      <c r="A2301" s="590" t="s">
        <v>149</v>
      </c>
      <c r="B2301" s="591" t="s">
        <v>339</v>
      </c>
      <c r="C2301" s="591" t="s">
        <v>820</v>
      </c>
      <c r="D2301" s="592">
        <v>2019</v>
      </c>
      <c r="E2301" s="591" t="s">
        <v>775</v>
      </c>
      <c r="F2301" s="592">
        <v>186</v>
      </c>
      <c r="G2301" s="592">
        <v>0</v>
      </c>
      <c r="H2301" s="592">
        <v>0</v>
      </c>
      <c r="I2301" s="592">
        <v>0</v>
      </c>
      <c r="J2301" s="592">
        <v>138</v>
      </c>
      <c r="K2301" s="592">
        <v>12</v>
      </c>
      <c r="L2301" s="592">
        <v>0</v>
      </c>
      <c r="M2301" s="592">
        <v>12</v>
      </c>
      <c r="N2301" s="593">
        <v>147</v>
      </c>
      <c r="O2301" s="593">
        <v>2</v>
      </c>
      <c r="P2301" s="593">
        <v>347</v>
      </c>
      <c r="Q2301" s="593">
        <v>8</v>
      </c>
      <c r="R2301" s="593">
        <v>818</v>
      </c>
      <c r="S2301" s="593">
        <v>22</v>
      </c>
      <c r="T2301" s="593">
        <v>2019</v>
      </c>
      <c r="U2301" s="593">
        <v>2016</v>
      </c>
      <c r="V2301" s="589"/>
      <c r="W2301" s="589"/>
      <c r="X2301" s="589"/>
      <c r="Y2301" s="589"/>
      <c r="Z2301" s="589"/>
      <c r="AA2301" s="589"/>
      <c r="AB2301" s="589"/>
      <c r="AC2301" s="589"/>
      <c r="AD2301" s="589"/>
      <c r="AE2301" s="589"/>
      <c r="AF2301" s="589"/>
      <c r="AG2301" s="589"/>
      <c r="AH2301" s="589"/>
      <c r="AI2301" s="589"/>
      <c r="AJ2301" s="589"/>
      <c r="AK2301" s="589"/>
      <c r="AL2301" s="589"/>
      <c r="AM2301" s="589"/>
      <c r="AN2301" s="589"/>
      <c r="AO2301" s="589"/>
      <c r="AP2301" s="589"/>
      <c r="AQ2301" s="589"/>
      <c r="AR2301" s="589"/>
      <c r="AS2301" s="589"/>
    </row>
    <row r="2302" spans="1:45" ht="15">
      <c r="A2302" s="587" t="s">
        <v>141</v>
      </c>
      <c r="B2302" s="587" t="s">
        <v>297</v>
      </c>
      <c r="C2302" s="587" t="s">
        <v>811</v>
      </c>
      <c r="D2302" s="588">
        <v>2019</v>
      </c>
      <c r="E2302" s="587" t="s">
        <v>775</v>
      </c>
      <c r="F2302" s="588">
        <v>113</v>
      </c>
      <c r="G2302" s="588">
        <v>12</v>
      </c>
      <c r="H2302" s="588">
        <v>0</v>
      </c>
      <c r="I2302" s="588">
        <v>12</v>
      </c>
      <c r="J2302" s="588">
        <v>70</v>
      </c>
      <c r="K2302" s="588">
        <v>39</v>
      </c>
      <c r="L2302" s="588">
        <v>35</v>
      </c>
      <c r="M2302" s="588">
        <v>4</v>
      </c>
      <c r="N2302" s="588">
        <v>60</v>
      </c>
      <c r="O2302" s="588">
        <v>3</v>
      </c>
      <c r="P2302" s="588">
        <v>131</v>
      </c>
      <c r="Q2302" s="588">
        <v>62</v>
      </c>
      <c r="R2302" s="588">
        <v>374</v>
      </c>
      <c r="S2302" s="588">
        <v>116</v>
      </c>
      <c r="T2302" s="588">
        <v>2019</v>
      </c>
      <c r="U2302" s="588">
        <v>2016</v>
      </c>
      <c r="V2302" s="589"/>
      <c r="W2302" s="589"/>
      <c r="X2302" s="589"/>
      <c r="Y2302" s="589"/>
      <c r="Z2302" s="589"/>
      <c r="AA2302" s="589"/>
      <c r="AB2302" s="589"/>
      <c r="AC2302" s="589"/>
      <c r="AD2302" s="589"/>
      <c r="AE2302" s="589"/>
      <c r="AF2302" s="589"/>
      <c r="AG2302" s="589"/>
      <c r="AH2302" s="589"/>
      <c r="AI2302" s="589"/>
      <c r="AJ2302" s="589"/>
      <c r="AK2302" s="589"/>
      <c r="AL2302" s="589"/>
      <c r="AM2302" s="589"/>
      <c r="AN2302" s="589"/>
      <c r="AO2302" s="589"/>
      <c r="AP2302" s="589"/>
      <c r="AQ2302" s="589"/>
      <c r="AR2302" s="589"/>
      <c r="AS2302" s="589"/>
    </row>
    <row r="2303" spans="1:45" ht="15">
      <c r="A2303" s="590" t="s">
        <v>153</v>
      </c>
      <c r="B2303" s="591" t="s">
        <v>384</v>
      </c>
      <c r="C2303" s="591" t="s">
        <v>813</v>
      </c>
      <c r="D2303" s="592">
        <v>2019</v>
      </c>
      <c r="E2303" s="591" t="s">
        <v>775</v>
      </c>
      <c r="F2303" s="592">
        <v>30</v>
      </c>
      <c r="G2303" s="592">
        <v>0</v>
      </c>
      <c r="H2303" s="592">
        <v>0</v>
      </c>
      <c r="I2303" s="592">
        <v>0</v>
      </c>
      <c r="J2303" s="592">
        <v>18</v>
      </c>
      <c r="K2303" s="592">
        <v>0</v>
      </c>
      <c r="L2303" s="592">
        <v>0</v>
      </c>
      <c r="M2303" s="592">
        <v>0</v>
      </c>
      <c r="N2303" s="593">
        <v>20</v>
      </c>
      <c r="O2303" s="593">
        <v>0</v>
      </c>
      <c r="P2303" s="593">
        <v>44</v>
      </c>
      <c r="Q2303" s="593">
        <v>8</v>
      </c>
      <c r="R2303" s="593">
        <v>112</v>
      </c>
      <c r="S2303" s="593">
        <v>8</v>
      </c>
      <c r="T2303" s="593">
        <v>2019</v>
      </c>
      <c r="U2303" s="593">
        <v>2014</v>
      </c>
      <c r="V2303" s="589"/>
      <c r="W2303" s="589"/>
      <c r="X2303" s="589"/>
      <c r="Y2303" s="589"/>
      <c r="Z2303" s="589"/>
      <c r="AA2303" s="589"/>
      <c r="AB2303" s="589"/>
      <c r="AC2303" s="589"/>
      <c r="AD2303" s="589"/>
      <c r="AE2303" s="589"/>
      <c r="AF2303" s="589"/>
      <c r="AG2303" s="589"/>
      <c r="AH2303" s="589"/>
      <c r="AI2303" s="589"/>
      <c r="AJ2303" s="589"/>
      <c r="AK2303" s="589"/>
      <c r="AL2303" s="589"/>
      <c r="AM2303" s="589"/>
      <c r="AN2303" s="589"/>
      <c r="AO2303" s="589"/>
      <c r="AP2303" s="589"/>
      <c r="AQ2303" s="589"/>
      <c r="AR2303" s="589"/>
      <c r="AS2303" s="589"/>
    </row>
    <row r="2304" spans="1:45" ht="15">
      <c r="A2304" s="587" t="s">
        <v>169</v>
      </c>
      <c r="B2304" s="587" t="s">
        <v>497</v>
      </c>
      <c r="C2304" s="587" t="s">
        <v>813</v>
      </c>
      <c r="D2304" s="588">
        <v>2019</v>
      </c>
      <c r="E2304" s="587" t="s">
        <v>775</v>
      </c>
      <c r="F2304" s="588">
        <v>1</v>
      </c>
      <c r="G2304" s="588">
        <v>0</v>
      </c>
      <c r="H2304" s="588">
        <v>0</v>
      </c>
      <c r="I2304" s="588">
        <v>0</v>
      </c>
      <c r="J2304" s="588">
        <v>1</v>
      </c>
      <c r="K2304" s="588">
        <v>5</v>
      </c>
      <c r="L2304" s="588">
        <v>0</v>
      </c>
      <c r="M2304" s="588">
        <v>5</v>
      </c>
      <c r="N2304" s="588">
        <v>1</v>
      </c>
      <c r="O2304" s="588">
        <v>2</v>
      </c>
      <c r="P2304" s="588">
        <v>1</v>
      </c>
      <c r="Q2304" s="588">
        <v>23</v>
      </c>
      <c r="R2304" s="588">
        <v>4</v>
      </c>
      <c r="S2304" s="588">
        <v>30</v>
      </c>
      <c r="T2304" s="588">
        <v>2019</v>
      </c>
      <c r="U2304" s="588">
        <v>2014</v>
      </c>
      <c r="V2304" s="589"/>
      <c r="W2304" s="589"/>
      <c r="X2304" s="589"/>
      <c r="Y2304" s="589"/>
      <c r="Z2304" s="589"/>
      <c r="AA2304" s="589"/>
      <c r="AB2304" s="589"/>
      <c r="AC2304" s="589"/>
      <c r="AD2304" s="589"/>
      <c r="AE2304" s="589"/>
      <c r="AF2304" s="589"/>
      <c r="AG2304" s="589"/>
      <c r="AH2304" s="589"/>
      <c r="AI2304" s="589"/>
      <c r="AJ2304" s="589"/>
      <c r="AK2304" s="589"/>
      <c r="AL2304" s="589"/>
      <c r="AM2304" s="589"/>
      <c r="AN2304" s="589"/>
      <c r="AO2304" s="589"/>
      <c r="AP2304" s="589"/>
      <c r="AQ2304" s="589"/>
      <c r="AR2304" s="589"/>
      <c r="AS2304" s="589"/>
    </row>
    <row r="2305" spans="1:45" ht="15">
      <c r="A2305" s="590" t="s">
        <v>153</v>
      </c>
      <c r="B2305" s="591" t="s">
        <v>385</v>
      </c>
      <c r="C2305" s="591" t="s">
        <v>813</v>
      </c>
      <c r="D2305" s="592">
        <v>2019</v>
      </c>
      <c r="E2305" s="591" t="s">
        <v>775</v>
      </c>
      <c r="F2305" s="592">
        <v>32</v>
      </c>
      <c r="G2305" s="592">
        <v>0</v>
      </c>
      <c r="H2305" s="592">
        <v>0</v>
      </c>
      <c r="I2305" s="592">
        <v>0</v>
      </c>
      <c r="J2305" s="592">
        <v>19</v>
      </c>
      <c r="K2305" s="592">
        <v>0</v>
      </c>
      <c r="L2305" s="592">
        <v>0</v>
      </c>
      <c r="M2305" s="592">
        <v>0</v>
      </c>
      <c r="N2305" s="593">
        <v>21</v>
      </c>
      <c r="O2305" s="593">
        <v>0</v>
      </c>
      <c r="P2305" s="593">
        <v>47</v>
      </c>
      <c r="Q2305" s="593">
        <v>2</v>
      </c>
      <c r="R2305" s="593">
        <v>119</v>
      </c>
      <c r="S2305" s="593">
        <v>2</v>
      </c>
      <c r="T2305" s="593">
        <v>2019</v>
      </c>
      <c r="U2305" s="593">
        <v>2014</v>
      </c>
      <c r="V2305" s="589"/>
      <c r="W2305" s="589"/>
      <c r="X2305" s="589"/>
      <c r="Y2305" s="589"/>
      <c r="Z2305" s="589"/>
      <c r="AA2305" s="589"/>
      <c r="AB2305" s="589"/>
      <c r="AC2305" s="589"/>
      <c r="AD2305" s="589"/>
      <c r="AE2305" s="589"/>
      <c r="AF2305" s="589"/>
      <c r="AG2305" s="589"/>
      <c r="AH2305" s="589"/>
      <c r="AI2305" s="589"/>
      <c r="AJ2305" s="589"/>
      <c r="AK2305" s="589"/>
      <c r="AL2305" s="589"/>
      <c r="AM2305" s="589"/>
      <c r="AN2305" s="589"/>
      <c r="AO2305" s="589"/>
      <c r="AP2305" s="589"/>
      <c r="AQ2305" s="589"/>
      <c r="AR2305" s="589"/>
      <c r="AS2305" s="589"/>
    </row>
    <row r="2306" spans="1:45" ht="15">
      <c r="A2306" s="587" t="s">
        <v>179</v>
      </c>
      <c r="B2306" s="587" t="s">
        <v>598</v>
      </c>
      <c r="C2306" s="587" t="s">
        <v>856</v>
      </c>
      <c r="D2306" s="588">
        <v>2019</v>
      </c>
      <c r="E2306" s="587" t="s">
        <v>775</v>
      </c>
      <c r="F2306" s="588">
        <v>430</v>
      </c>
      <c r="G2306" s="588">
        <v>0</v>
      </c>
      <c r="H2306" s="588">
        <v>0</v>
      </c>
      <c r="I2306" s="588">
        <v>0</v>
      </c>
      <c r="J2306" s="588">
        <v>326</v>
      </c>
      <c r="K2306" s="588">
        <v>13</v>
      </c>
      <c r="L2306" s="588">
        <v>13</v>
      </c>
      <c r="M2306" s="588">
        <v>0</v>
      </c>
      <c r="N2306" s="588">
        <v>302</v>
      </c>
      <c r="O2306" s="588">
        <v>0</v>
      </c>
      <c r="P2306" s="588">
        <v>664</v>
      </c>
      <c r="Q2306" s="588">
        <v>168</v>
      </c>
      <c r="R2306" s="588">
        <v>1722</v>
      </c>
      <c r="S2306" s="588">
        <v>181</v>
      </c>
      <c r="T2306" s="588">
        <v>2019</v>
      </c>
      <c r="U2306" s="588">
        <v>2013</v>
      </c>
      <c r="V2306" s="589"/>
      <c r="W2306" s="589"/>
      <c r="X2306" s="589"/>
      <c r="Y2306" s="589"/>
      <c r="Z2306" s="589"/>
      <c r="AA2306" s="589"/>
      <c r="AB2306" s="589"/>
      <c r="AC2306" s="589"/>
      <c r="AD2306" s="589"/>
      <c r="AE2306" s="589"/>
      <c r="AF2306" s="589"/>
      <c r="AG2306" s="589"/>
      <c r="AH2306" s="589"/>
      <c r="AI2306" s="589"/>
      <c r="AJ2306" s="589"/>
      <c r="AK2306" s="589"/>
      <c r="AL2306" s="589"/>
      <c r="AM2306" s="589"/>
      <c r="AN2306" s="589"/>
      <c r="AO2306" s="589"/>
      <c r="AP2306" s="589"/>
      <c r="AQ2306" s="589"/>
      <c r="AR2306" s="589"/>
      <c r="AS2306" s="589"/>
    </row>
    <row r="2307" spans="1:45" ht="15">
      <c r="A2307" s="590" t="s">
        <v>169</v>
      </c>
      <c r="B2307" s="591" t="s">
        <v>498</v>
      </c>
      <c r="C2307" s="591" t="s">
        <v>813</v>
      </c>
      <c r="D2307" s="592">
        <v>2019</v>
      </c>
      <c r="E2307" s="591" t="s">
        <v>775</v>
      </c>
      <c r="F2307" s="592">
        <v>2</v>
      </c>
      <c r="G2307" s="592">
        <v>0</v>
      </c>
      <c r="H2307" s="592">
        <v>0</v>
      </c>
      <c r="I2307" s="592">
        <v>0</v>
      </c>
      <c r="J2307" s="592">
        <v>2</v>
      </c>
      <c r="K2307" s="592">
        <v>1</v>
      </c>
      <c r="L2307" s="592">
        <v>0</v>
      </c>
      <c r="M2307" s="592">
        <v>1</v>
      </c>
      <c r="N2307" s="593">
        <v>2</v>
      </c>
      <c r="O2307" s="593">
        <v>0</v>
      </c>
      <c r="P2307" s="593">
        <v>3</v>
      </c>
      <c r="Q2307" s="593">
        <v>0</v>
      </c>
      <c r="R2307" s="593">
        <v>9</v>
      </c>
      <c r="S2307" s="593">
        <v>1</v>
      </c>
      <c r="T2307" s="593">
        <v>2019</v>
      </c>
      <c r="U2307" s="593">
        <v>2014</v>
      </c>
      <c r="V2307" s="589"/>
      <c r="W2307" s="589"/>
      <c r="X2307" s="589"/>
      <c r="Y2307" s="589"/>
      <c r="Z2307" s="589"/>
      <c r="AA2307" s="589"/>
      <c r="AB2307" s="589"/>
      <c r="AC2307" s="589"/>
      <c r="AD2307" s="589"/>
      <c r="AE2307" s="589"/>
      <c r="AF2307" s="589"/>
      <c r="AG2307" s="589"/>
      <c r="AH2307" s="589"/>
      <c r="AI2307" s="589"/>
      <c r="AJ2307" s="589"/>
      <c r="AK2307" s="589"/>
      <c r="AL2307" s="589"/>
      <c r="AM2307" s="589"/>
      <c r="AN2307" s="589"/>
      <c r="AO2307" s="589"/>
      <c r="AP2307" s="589"/>
      <c r="AQ2307" s="589"/>
      <c r="AR2307" s="589"/>
      <c r="AS2307" s="589"/>
    </row>
    <row r="2308" spans="1:45" ht="15">
      <c r="A2308" s="587" t="s">
        <v>153</v>
      </c>
      <c r="B2308" s="587" t="s">
        <v>387</v>
      </c>
      <c r="C2308" s="587" t="s">
        <v>813</v>
      </c>
      <c r="D2308" s="588">
        <v>2019</v>
      </c>
      <c r="E2308" s="587" t="s">
        <v>775</v>
      </c>
      <c r="F2308" s="588">
        <v>208</v>
      </c>
      <c r="G2308" s="588">
        <v>0</v>
      </c>
      <c r="H2308" s="588">
        <v>0</v>
      </c>
      <c r="I2308" s="588">
        <v>0</v>
      </c>
      <c r="J2308" s="588">
        <v>121</v>
      </c>
      <c r="K2308" s="588">
        <v>0</v>
      </c>
      <c r="L2308" s="588">
        <v>0</v>
      </c>
      <c r="M2308" s="588">
        <v>0</v>
      </c>
      <c r="N2308" s="588">
        <v>135</v>
      </c>
      <c r="O2308" s="588">
        <v>0</v>
      </c>
      <c r="P2308" s="588">
        <v>354</v>
      </c>
      <c r="Q2308" s="588">
        <v>42</v>
      </c>
      <c r="R2308" s="588">
        <v>818</v>
      </c>
      <c r="S2308" s="588">
        <v>42</v>
      </c>
      <c r="T2308" s="588">
        <v>2019</v>
      </c>
      <c r="U2308" s="588">
        <v>2014</v>
      </c>
      <c r="V2308" s="589"/>
      <c r="W2308" s="589"/>
      <c r="X2308" s="589"/>
      <c r="Y2308" s="589"/>
      <c r="Z2308" s="589"/>
      <c r="AA2308" s="589"/>
      <c r="AB2308" s="589"/>
      <c r="AC2308" s="589"/>
      <c r="AD2308" s="589"/>
      <c r="AE2308" s="589"/>
      <c r="AF2308" s="589"/>
      <c r="AG2308" s="589"/>
      <c r="AH2308" s="589"/>
      <c r="AI2308" s="589"/>
      <c r="AJ2308" s="589"/>
      <c r="AK2308" s="589"/>
      <c r="AL2308" s="589"/>
      <c r="AM2308" s="589"/>
      <c r="AN2308" s="589"/>
      <c r="AO2308" s="589"/>
      <c r="AP2308" s="589"/>
      <c r="AQ2308" s="589"/>
      <c r="AR2308" s="589"/>
      <c r="AS2308" s="589"/>
    </row>
    <row r="2309" spans="1:45" ht="15">
      <c r="A2309" s="590" t="s">
        <v>173</v>
      </c>
      <c r="B2309" s="591" t="s">
        <v>542</v>
      </c>
      <c r="C2309" s="591" t="s">
        <v>813</v>
      </c>
      <c r="D2309" s="592">
        <v>2019</v>
      </c>
      <c r="E2309" s="591" t="s">
        <v>775</v>
      </c>
      <c r="F2309" s="592">
        <v>91</v>
      </c>
      <c r="G2309" s="592">
        <v>0</v>
      </c>
      <c r="H2309" s="592">
        <v>0</v>
      </c>
      <c r="I2309" s="592">
        <v>0</v>
      </c>
      <c r="J2309" s="592">
        <v>61</v>
      </c>
      <c r="K2309" s="592">
        <v>0</v>
      </c>
      <c r="L2309" s="592">
        <v>0</v>
      </c>
      <c r="M2309" s="592">
        <v>0</v>
      </c>
      <c r="N2309" s="593">
        <v>66</v>
      </c>
      <c r="O2309" s="593">
        <v>6</v>
      </c>
      <c r="P2309" s="593">
        <v>146</v>
      </c>
      <c r="Q2309" s="593">
        <v>131</v>
      </c>
      <c r="R2309" s="593">
        <v>364</v>
      </c>
      <c r="S2309" s="593">
        <v>137</v>
      </c>
      <c r="T2309" s="593">
        <v>2019</v>
      </c>
      <c r="U2309" s="593">
        <v>2014</v>
      </c>
      <c r="V2309" s="589"/>
      <c r="W2309" s="589"/>
      <c r="X2309" s="589"/>
      <c r="Y2309" s="589"/>
      <c r="Z2309" s="589"/>
      <c r="AA2309" s="589"/>
      <c r="AB2309" s="589"/>
      <c r="AC2309" s="589"/>
      <c r="AD2309" s="589"/>
      <c r="AE2309" s="589"/>
      <c r="AF2309" s="589"/>
      <c r="AG2309" s="589"/>
      <c r="AH2309" s="589"/>
      <c r="AI2309" s="589"/>
      <c r="AJ2309" s="589"/>
      <c r="AK2309" s="589"/>
      <c r="AL2309" s="589"/>
      <c r="AM2309" s="589"/>
      <c r="AN2309" s="589"/>
      <c r="AO2309" s="589"/>
      <c r="AP2309" s="589"/>
      <c r="AQ2309" s="589"/>
      <c r="AR2309" s="589"/>
      <c r="AS2309" s="589"/>
    </row>
    <row r="2310" spans="1:45" ht="15">
      <c r="A2310" s="587" t="s">
        <v>153</v>
      </c>
      <c r="B2310" s="587" t="s">
        <v>388</v>
      </c>
      <c r="C2310" s="587" t="s">
        <v>813</v>
      </c>
      <c r="D2310" s="588">
        <v>2019</v>
      </c>
      <c r="E2310" s="587" t="s">
        <v>775</v>
      </c>
      <c r="F2310" s="588">
        <v>147</v>
      </c>
      <c r="G2310" s="588">
        <v>0</v>
      </c>
      <c r="H2310" s="588">
        <v>0</v>
      </c>
      <c r="I2310" s="588">
        <v>0</v>
      </c>
      <c r="J2310" s="588">
        <v>88</v>
      </c>
      <c r="K2310" s="588">
        <v>0</v>
      </c>
      <c r="L2310" s="588">
        <v>0</v>
      </c>
      <c r="M2310" s="588">
        <v>0</v>
      </c>
      <c r="N2310" s="588">
        <v>94</v>
      </c>
      <c r="O2310" s="588">
        <v>0</v>
      </c>
      <c r="P2310" s="588">
        <v>233</v>
      </c>
      <c r="Q2310" s="588">
        <v>10</v>
      </c>
      <c r="R2310" s="588">
        <v>562</v>
      </c>
      <c r="S2310" s="588">
        <v>10</v>
      </c>
      <c r="T2310" s="588">
        <v>2019</v>
      </c>
      <c r="U2310" s="588">
        <v>2014</v>
      </c>
      <c r="V2310" s="589"/>
      <c r="W2310" s="589"/>
      <c r="X2310" s="589"/>
      <c r="Y2310" s="589"/>
      <c r="Z2310" s="589"/>
      <c r="AA2310" s="589"/>
      <c r="AB2310" s="589"/>
      <c r="AC2310" s="589"/>
      <c r="AD2310" s="589"/>
      <c r="AE2310" s="589"/>
      <c r="AF2310" s="589"/>
      <c r="AG2310" s="589"/>
      <c r="AH2310" s="589"/>
      <c r="AI2310" s="589"/>
      <c r="AJ2310" s="589"/>
      <c r="AK2310" s="589"/>
      <c r="AL2310" s="589"/>
      <c r="AM2310" s="589"/>
      <c r="AN2310" s="589"/>
      <c r="AO2310" s="589"/>
      <c r="AP2310" s="589"/>
      <c r="AQ2310" s="589"/>
      <c r="AR2310" s="589"/>
      <c r="AS2310" s="589"/>
    </row>
    <row r="2311" spans="1:45" ht="15">
      <c r="A2311" s="590" t="s">
        <v>136</v>
      </c>
      <c r="B2311" s="591" t="s">
        <v>273</v>
      </c>
      <c r="C2311" s="591" t="s">
        <v>782</v>
      </c>
      <c r="D2311" s="592">
        <v>2019</v>
      </c>
      <c r="E2311" s="591" t="s">
        <v>775</v>
      </c>
      <c r="F2311" s="592">
        <v>138</v>
      </c>
      <c r="G2311" s="592">
        <v>0</v>
      </c>
      <c r="H2311" s="592">
        <v>0</v>
      </c>
      <c r="I2311" s="592">
        <v>0</v>
      </c>
      <c r="J2311" s="592">
        <v>78</v>
      </c>
      <c r="K2311" s="592">
        <v>3</v>
      </c>
      <c r="L2311" s="592">
        <v>3</v>
      </c>
      <c r="M2311" s="592">
        <v>0</v>
      </c>
      <c r="N2311" s="593">
        <v>85</v>
      </c>
      <c r="O2311" s="593">
        <v>14</v>
      </c>
      <c r="P2311" s="593">
        <v>99</v>
      </c>
      <c r="Q2311" s="593">
        <v>70</v>
      </c>
      <c r="R2311" s="593">
        <v>400</v>
      </c>
      <c r="S2311" s="593">
        <v>87</v>
      </c>
      <c r="T2311" s="593">
        <v>2019</v>
      </c>
      <c r="U2311" s="593">
        <v>2015</v>
      </c>
      <c r="V2311" s="589"/>
      <c r="W2311" s="589"/>
      <c r="X2311" s="589"/>
      <c r="Y2311" s="589"/>
      <c r="Z2311" s="589"/>
      <c r="AA2311" s="589"/>
      <c r="AB2311" s="589"/>
      <c r="AC2311" s="589"/>
      <c r="AD2311" s="589"/>
      <c r="AE2311" s="589"/>
      <c r="AF2311" s="589"/>
      <c r="AG2311" s="589"/>
      <c r="AH2311" s="589"/>
      <c r="AI2311" s="589"/>
      <c r="AJ2311" s="589"/>
      <c r="AK2311" s="589"/>
      <c r="AL2311" s="589"/>
      <c r="AM2311" s="589"/>
      <c r="AN2311" s="589"/>
      <c r="AO2311" s="589"/>
      <c r="AP2311" s="589"/>
      <c r="AQ2311" s="589"/>
      <c r="AR2311" s="589"/>
      <c r="AS2311" s="589"/>
    </row>
    <row r="2312" spans="1:45" ht="15">
      <c r="A2312" s="587" t="s">
        <v>169</v>
      </c>
      <c r="B2312" s="587" t="s">
        <v>499</v>
      </c>
      <c r="C2312" s="587" t="s">
        <v>813</v>
      </c>
      <c r="D2312" s="588">
        <v>2019</v>
      </c>
      <c r="E2312" s="587" t="s">
        <v>775</v>
      </c>
      <c r="F2312" s="588">
        <v>1</v>
      </c>
      <c r="G2312" s="588">
        <v>0</v>
      </c>
      <c r="H2312" s="588">
        <v>0</v>
      </c>
      <c r="I2312" s="588">
        <v>0</v>
      </c>
      <c r="J2312" s="588">
        <v>1</v>
      </c>
      <c r="K2312" s="588">
        <v>0</v>
      </c>
      <c r="L2312" s="588">
        <v>0</v>
      </c>
      <c r="M2312" s="588">
        <v>0</v>
      </c>
      <c r="N2312" s="588">
        <v>0</v>
      </c>
      <c r="O2312" s="588">
        <v>8</v>
      </c>
      <c r="P2312" s="588">
        <v>0</v>
      </c>
      <c r="Q2312" s="588">
        <v>8</v>
      </c>
      <c r="R2312" s="588">
        <v>2</v>
      </c>
      <c r="S2312" s="588">
        <v>16</v>
      </c>
      <c r="T2312" s="588">
        <v>2019</v>
      </c>
      <c r="U2312" s="588">
        <v>2014</v>
      </c>
      <c r="V2312" s="589"/>
      <c r="W2312" s="589"/>
      <c r="X2312" s="589"/>
      <c r="Y2312" s="589"/>
      <c r="Z2312" s="589"/>
      <c r="AA2312" s="589"/>
      <c r="AB2312" s="589"/>
      <c r="AC2312" s="589"/>
      <c r="AD2312" s="589"/>
      <c r="AE2312" s="589"/>
      <c r="AF2312" s="589"/>
      <c r="AG2312" s="589"/>
      <c r="AH2312" s="589"/>
      <c r="AI2312" s="589"/>
      <c r="AJ2312" s="589"/>
      <c r="AK2312" s="589"/>
      <c r="AL2312" s="589"/>
      <c r="AM2312" s="589"/>
      <c r="AN2312" s="589"/>
      <c r="AO2312" s="589"/>
      <c r="AP2312" s="589"/>
      <c r="AQ2312" s="589"/>
      <c r="AR2312" s="589"/>
      <c r="AS2312" s="589"/>
    </row>
    <row r="2313" spans="1:45" ht="15">
      <c r="A2313" s="590" t="s">
        <v>169</v>
      </c>
      <c r="B2313" s="591" t="s">
        <v>500</v>
      </c>
      <c r="C2313" s="591" t="s">
        <v>813</v>
      </c>
      <c r="D2313" s="592">
        <v>2019</v>
      </c>
      <c r="E2313" s="591" t="s">
        <v>775</v>
      </c>
      <c r="F2313" s="592">
        <v>1</v>
      </c>
      <c r="G2313" s="592">
        <v>0</v>
      </c>
      <c r="H2313" s="592">
        <v>0</v>
      </c>
      <c r="I2313" s="592">
        <v>0</v>
      </c>
      <c r="J2313" s="592">
        <v>1</v>
      </c>
      <c r="K2313" s="592">
        <v>0</v>
      </c>
      <c r="L2313" s="592">
        <v>0</v>
      </c>
      <c r="M2313" s="592">
        <v>0</v>
      </c>
      <c r="N2313" s="593">
        <v>0</v>
      </c>
      <c r="O2313" s="593">
        <v>0</v>
      </c>
      <c r="P2313" s="593">
        <v>0</v>
      </c>
      <c r="Q2313" s="593">
        <v>2</v>
      </c>
      <c r="R2313" s="593">
        <v>2</v>
      </c>
      <c r="S2313" s="593">
        <v>2</v>
      </c>
      <c r="T2313" s="593">
        <v>2019</v>
      </c>
      <c r="U2313" s="593">
        <v>2014</v>
      </c>
      <c r="V2313" s="589"/>
      <c r="W2313" s="589"/>
      <c r="X2313" s="589"/>
      <c r="Y2313" s="589"/>
      <c r="Z2313" s="589"/>
      <c r="AA2313" s="589"/>
      <c r="AB2313" s="589"/>
      <c r="AC2313" s="589"/>
      <c r="AD2313" s="589"/>
      <c r="AE2313" s="589"/>
      <c r="AF2313" s="589"/>
      <c r="AG2313" s="589"/>
      <c r="AH2313" s="589"/>
      <c r="AI2313" s="589"/>
      <c r="AJ2313" s="589"/>
      <c r="AK2313" s="589"/>
      <c r="AL2313" s="589"/>
      <c r="AM2313" s="589"/>
      <c r="AN2313" s="589"/>
      <c r="AO2313" s="589"/>
      <c r="AP2313" s="589"/>
      <c r="AQ2313" s="589"/>
      <c r="AR2313" s="589"/>
      <c r="AS2313" s="589"/>
    </row>
    <row r="2314" spans="1:45" ht="15">
      <c r="A2314" s="587" t="s">
        <v>169</v>
      </c>
      <c r="B2314" s="587" t="s">
        <v>501</v>
      </c>
      <c r="C2314" s="587" t="s">
        <v>813</v>
      </c>
      <c r="D2314" s="588">
        <v>2019</v>
      </c>
      <c r="E2314" s="587" t="s">
        <v>775</v>
      </c>
      <c r="F2314" s="588">
        <v>43</v>
      </c>
      <c r="G2314" s="588">
        <v>0</v>
      </c>
      <c r="H2314" s="588">
        <v>0</v>
      </c>
      <c r="I2314" s="588">
        <v>0</v>
      </c>
      <c r="J2314" s="588">
        <v>30</v>
      </c>
      <c r="K2314" s="588">
        <v>0</v>
      </c>
      <c r="L2314" s="588">
        <v>0</v>
      </c>
      <c r="M2314" s="588">
        <v>0</v>
      </c>
      <c r="N2314" s="588">
        <v>34</v>
      </c>
      <c r="O2314" s="588">
        <v>3</v>
      </c>
      <c r="P2314" s="588">
        <v>75</v>
      </c>
      <c r="Q2314" s="588">
        <v>1</v>
      </c>
      <c r="R2314" s="588">
        <v>182</v>
      </c>
      <c r="S2314" s="588">
        <v>4</v>
      </c>
      <c r="T2314" s="588">
        <v>2019</v>
      </c>
      <c r="U2314" s="588">
        <v>2014</v>
      </c>
      <c r="V2314" s="589"/>
      <c r="W2314" s="589"/>
      <c r="X2314" s="589"/>
      <c r="Y2314" s="589"/>
      <c r="Z2314" s="589"/>
      <c r="AA2314" s="589"/>
      <c r="AB2314" s="589"/>
      <c r="AC2314" s="589"/>
      <c r="AD2314" s="589"/>
      <c r="AE2314" s="589"/>
      <c r="AF2314" s="589"/>
      <c r="AG2314" s="589"/>
      <c r="AH2314" s="589"/>
      <c r="AI2314" s="589"/>
      <c r="AJ2314" s="589"/>
      <c r="AK2314" s="589"/>
      <c r="AL2314" s="589"/>
      <c r="AM2314" s="589"/>
      <c r="AN2314" s="589"/>
      <c r="AO2314" s="589"/>
      <c r="AP2314" s="589"/>
      <c r="AQ2314" s="589"/>
      <c r="AR2314" s="589"/>
      <c r="AS2314" s="589"/>
    </row>
    <row r="2315" spans="1:45" ht="15">
      <c r="A2315" s="590" t="s">
        <v>169</v>
      </c>
      <c r="B2315" s="591" t="s">
        <v>502</v>
      </c>
      <c r="C2315" s="591" t="s">
        <v>813</v>
      </c>
      <c r="D2315" s="592">
        <v>2019</v>
      </c>
      <c r="E2315" s="591" t="s">
        <v>775</v>
      </c>
      <c r="F2315" s="592">
        <v>1</v>
      </c>
      <c r="G2315" s="592">
        <v>0</v>
      </c>
      <c r="H2315" s="592">
        <v>0</v>
      </c>
      <c r="I2315" s="592">
        <v>0</v>
      </c>
      <c r="J2315" s="592">
        <v>1</v>
      </c>
      <c r="K2315" s="592">
        <v>0</v>
      </c>
      <c r="L2315" s="592">
        <v>0</v>
      </c>
      <c r="M2315" s="592">
        <v>0</v>
      </c>
      <c r="N2315" s="593">
        <v>0</v>
      </c>
      <c r="O2315" s="593">
        <v>0</v>
      </c>
      <c r="P2315" s="593">
        <v>0</v>
      </c>
      <c r="Q2315" s="593">
        <v>0</v>
      </c>
      <c r="R2315" s="593">
        <v>2</v>
      </c>
      <c r="S2315" s="593">
        <v>0</v>
      </c>
      <c r="T2315" s="593">
        <v>2019</v>
      </c>
      <c r="U2315" s="593">
        <v>2014</v>
      </c>
      <c r="V2315" s="589"/>
      <c r="W2315" s="589"/>
      <c r="X2315" s="589"/>
      <c r="Y2315" s="589"/>
      <c r="Z2315" s="589"/>
      <c r="AA2315" s="589"/>
      <c r="AB2315" s="589"/>
      <c r="AC2315" s="589"/>
      <c r="AD2315" s="589"/>
      <c r="AE2315" s="589"/>
      <c r="AF2315" s="589"/>
      <c r="AG2315" s="589"/>
      <c r="AH2315" s="589"/>
      <c r="AI2315" s="589"/>
      <c r="AJ2315" s="589"/>
      <c r="AK2315" s="589"/>
      <c r="AL2315" s="589"/>
      <c r="AM2315" s="589"/>
      <c r="AN2315" s="589"/>
      <c r="AO2315" s="589"/>
      <c r="AP2315" s="589"/>
      <c r="AQ2315" s="589"/>
      <c r="AR2315" s="589"/>
      <c r="AS2315" s="589"/>
    </row>
    <row r="2316" spans="1:45" ht="15">
      <c r="A2316" s="587" t="s">
        <v>173</v>
      </c>
      <c r="B2316" s="587" t="s">
        <v>543</v>
      </c>
      <c r="C2316" s="587" t="s">
        <v>813</v>
      </c>
      <c r="D2316" s="588">
        <v>2019</v>
      </c>
      <c r="E2316" s="587" t="s">
        <v>775</v>
      </c>
      <c r="F2316" s="588">
        <v>1196</v>
      </c>
      <c r="G2316" s="588">
        <v>28</v>
      </c>
      <c r="H2316" s="588">
        <v>28</v>
      </c>
      <c r="I2316" s="588">
        <v>0</v>
      </c>
      <c r="J2316" s="588">
        <v>801</v>
      </c>
      <c r="K2316" s="588">
        <v>106</v>
      </c>
      <c r="L2316" s="588">
        <v>103</v>
      </c>
      <c r="M2316" s="588">
        <v>3</v>
      </c>
      <c r="N2316" s="588">
        <v>897</v>
      </c>
      <c r="O2316" s="588">
        <v>134</v>
      </c>
      <c r="P2316" s="588">
        <v>2035</v>
      </c>
      <c r="Q2316" s="588">
        <v>137</v>
      </c>
      <c r="R2316" s="588">
        <v>4929</v>
      </c>
      <c r="S2316" s="588">
        <v>405</v>
      </c>
      <c r="T2316" s="588">
        <v>2019</v>
      </c>
      <c r="U2316" s="588">
        <v>2014</v>
      </c>
      <c r="V2316" s="589"/>
      <c r="W2316" s="589"/>
      <c r="X2316" s="589"/>
      <c r="Y2316" s="589"/>
      <c r="Z2316" s="589"/>
      <c r="AA2316" s="589"/>
      <c r="AB2316" s="589"/>
      <c r="AC2316" s="589"/>
      <c r="AD2316" s="589"/>
      <c r="AE2316" s="589"/>
      <c r="AF2316" s="589"/>
      <c r="AG2316" s="589"/>
      <c r="AH2316" s="589"/>
      <c r="AI2316" s="589"/>
      <c r="AJ2316" s="589"/>
      <c r="AK2316" s="589"/>
      <c r="AL2316" s="589"/>
      <c r="AM2316" s="589"/>
      <c r="AN2316" s="589"/>
      <c r="AO2316" s="589"/>
      <c r="AP2316" s="589"/>
      <c r="AQ2316" s="589"/>
      <c r="AR2316" s="589"/>
      <c r="AS2316" s="589"/>
    </row>
    <row r="2317" spans="1:45" ht="15">
      <c r="A2317" s="590" t="s">
        <v>169</v>
      </c>
      <c r="B2317" s="591" t="s">
        <v>503</v>
      </c>
      <c r="C2317" s="591" t="s">
        <v>813</v>
      </c>
      <c r="D2317" s="592">
        <v>2019</v>
      </c>
      <c r="E2317" s="591" t="s">
        <v>775</v>
      </c>
      <c r="F2317" s="592">
        <v>647</v>
      </c>
      <c r="G2317" s="592">
        <v>32</v>
      </c>
      <c r="H2317" s="592">
        <v>32</v>
      </c>
      <c r="I2317" s="592">
        <v>0</v>
      </c>
      <c r="J2317" s="592">
        <v>450</v>
      </c>
      <c r="K2317" s="592">
        <v>25</v>
      </c>
      <c r="L2317" s="592">
        <v>25</v>
      </c>
      <c r="M2317" s="592">
        <v>0</v>
      </c>
      <c r="N2317" s="593">
        <v>497</v>
      </c>
      <c r="O2317" s="593">
        <v>1</v>
      </c>
      <c r="P2317" s="593">
        <v>1133</v>
      </c>
      <c r="Q2317" s="593">
        <v>355</v>
      </c>
      <c r="R2317" s="593">
        <v>2727</v>
      </c>
      <c r="S2317" s="593">
        <v>413</v>
      </c>
      <c r="T2317" s="593">
        <v>2019</v>
      </c>
      <c r="U2317" s="593">
        <v>2014</v>
      </c>
      <c r="V2317" s="589"/>
      <c r="W2317" s="589"/>
      <c r="X2317" s="589"/>
      <c r="Y2317" s="589"/>
      <c r="Z2317" s="589"/>
      <c r="AA2317" s="589"/>
      <c r="AB2317" s="589"/>
      <c r="AC2317" s="589"/>
      <c r="AD2317" s="589"/>
      <c r="AE2317" s="589"/>
      <c r="AF2317" s="589"/>
      <c r="AG2317" s="589"/>
      <c r="AH2317" s="589"/>
      <c r="AI2317" s="589"/>
      <c r="AJ2317" s="589"/>
      <c r="AK2317" s="589"/>
      <c r="AL2317" s="589"/>
      <c r="AM2317" s="589"/>
      <c r="AN2317" s="589"/>
      <c r="AO2317" s="589"/>
      <c r="AP2317" s="589"/>
      <c r="AQ2317" s="589"/>
      <c r="AR2317" s="589"/>
      <c r="AS2317" s="589"/>
    </row>
    <row r="2318" spans="1:45" ht="15">
      <c r="A2318" s="587" t="s">
        <v>151</v>
      </c>
      <c r="B2318" s="587" t="s">
        <v>343</v>
      </c>
      <c r="C2318" s="587" t="s">
        <v>972</v>
      </c>
      <c r="D2318" s="588">
        <v>2019</v>
      </c>
      <c r="E2318" s="587" t="s">
        <v>775</v>
      </c>
      <c r="F2318" s="588">
        <v>0</v>
      </c>
      <c r="G2318" s="588">
        <v>0</v>
      </c>
      <c r="H2318" s="588">
        <v>0</v>
      </c>
      <c r="I2318" s="588">
        <v>0</v>
      </c>
      <c r="J2318" s="588">
        <v>0</v>
      </c>
      <c r="K2318" s="588">
        <v>0</v>
      </c>
      <c r="L2318" s="588">
        <v>0</v>
      </c>
      <c r="M2318" s="588">
        <v>0</v>
      </c>
      <c r="N2318" s="588">
        <v>0</v>
      </c>
      <c r="O2318" s="588">
        <v>0</v>
      </c>
      <c r="P2318" s="588">
        <v>0</v>
      </c>
      <c r="Q2318" s="588">
        <v>0</v>
      </c>
      <c r="R2318" s="588">
        <v>0</v>
      </c>
      <c r="S2318" s="588">
        <v>0</v>
      </c>
      <c r="T2318" s="588">
        <v>2019</v>
      </c>
      <c r="U2318" s="588">
        <v>2014</v>
      </c>
      <c r="V2318" s="589"/>
      <c r="W2318" s="589"/>
      <c r="X2318" s="589"/>
      <c r="Y2318" s="589"/>
      <c r="Z2318" s="589"/>
      <c r="AA2318" s="589"/>
      <c r="AB2318" s="589"/>
      <c r="AC2318" s="589"/>
      <c r="AD2318" s="589"/>
      <c r="AE2318" s="589"/>
      <c r="AF2318" s="589"/>
      <c r="AG2318" s="589"/>
      <c r="AH2318" s="589"/>
      <c r="AI2318" s="589"/>
      <c r="AJ2318" s="589"/>
      <c r="AK2318" s="589"/>
      <c r="AL2318" s="589"/>
      <c r="AM2318" s="589"/>
      <c r="AN2318" s="589"/>
      <c r="AO2318" s="589"/>
      <c r="AP2318" s="589"/>
      <c r="AQ2318" s="589"/>
      <c r="AR2318" s="589"/>
      <c r="AS2318" s="589"/>
    </row>
    <row r="2319" spans="1:45" ht="15">
      <c r="A2319" s="590" t="s">
        <v>151</v>
      </c>
      <c r="B2319" s="591" t="s">
        <v>343</v>
      </c>
      <c r="C2319" s="591" t="s">
        <v>785</v>
      </c>
      <c r="D2319" s="592">
        <v>2019</v>
      </c>
      <c r="E2319" s="591" t="s">
        <v>775</v>
      </c>
      <c r="F2319" s="592">
        <v>34</v>
      </c>
      <c r="G2319" s="592">
        <v>0</v>
      </c>
      <c r="H2319" s="592">
        <v>0</v>
      </c>
      <c r="I2319" s="592">
        <v>0</v>
      </c>
      <c r="J2319" s="592">
        <v>22</v>
      </c>
      <c r="K2319" s="592">
        <v>0</v>
      </c>
      <c r="L2319" s="592">
        <v>0</v>
      </c>
      <c r="M2319" s="592">
        <v>0</v>
      </c>
      <c r="N2319" s="593">
        <v>27</v>
      </c>
      <c r="O2319" s="593">
        <v>0</v>
      </c>
      <c r="P2319" s="593">
        <v>64</v>
      </c>
      <c r="Q2319" s="593">
        <v>0</v>
      </c>
      <c r="R2319" s="593">
        <v>147</v>
      </c>
      <c r="S2319" s="593">
        <v>0</v>
      </c>
      <c r="T2319" s="593">
        <v>2019</v>
      </c>
      <c r="U2319" s="593">
        <v>2014</v>
      </c>
      <c r="V2319" s="589"/>
      <c r="W2319" s="589"/>
      <c r="X2319" s="589"/>
      <c r="Y2319" s="589"/>
      <c r="Z2319" s="589"/>
      <c r="AA2319" s="589"/>
      <c r="AB2319" s="589"/>
      <c r="AC2319" s="589"/>
      <c r="AD2319" s="589"/>
      <c r="AE2319" s="589"/>
      <c r="AF2319" s="589"/>
      <c r="AG2319" s="589"/>
      <c r="AH2319" s="589"/>
      <c r="AI2319" s="589"/>
      <c r="AJ2319" s="589"/>
      <c r="AK2319" s="589"/>
      <c r="AL2319" s="589"/>
      <c r="AM2319" s="589"/>
      <c r="AN2319" s="589"/>
      <c r="AO2319" s="589"/>
      <c r="AP2319" s="589"/>
      <c r="AQ2319" s="589"/>
      <c r="AR2319" s="589"/>
      <c r="AS2319" s="589"/>
    </row>
    <row r="2320" spans="1:45" ht="15">
      <c r="A2320" s="587" t="s">
        <v>153</v>
      </c>
      <c r="B2320" s="587" t="s">
        <v>389</v>
      </c>
      <c r="C2320" s="587" t="s">
        <v>813</v>
      </c>
      <c r="D2320" s="588">
        <v>2019</v>
      </c>
      <c r="E2320" s="587" t="s">
        <v>775</v>
      </c>
      <c r="F2320" s="588">
        <v>107</v>
      </c>
      <c r="G2320" s="588">
        <v>13</v>
      </c>
      <c r="H2320" s="588">
        <v>0</v>
      </c>
      <c r="I2320" s="588">
        <v>13</v>
      </c>
      <c r="J2320" s="588">
        <v>63</v>
      </c>
      <c r="K2320" s="588">
        <v>4</v>
      </c>
      <c r="L2320" s="588">
        <v>0</v>
      </c>
      <c r="M2320" s="588">
        <v>4</v>
      </c>
      <c r="N2320" s="588">
        <v>67</v>
      </c>
      <c r="O2320" s="588">
        <v>0</v>
      </c>
      <c r="P2320" s="588">
        <v>166</v>
      </c>
      <c r="Q2320" s="588">
        <v>0</v>
      </c>
      <c r="R2320" s="588">
        <v>403</v>
      </c>
      <c r="S2320" s="588">
        <v>17</v>
      </c>
      <c r="T2320" s="588">
        <v>2019</v>
      </c>
      <c r="U2320" s="588">
        <v>2014</v>
      </c>
      <c r="V2320" s="589"/>
      <c r="W2320" s="589"/>
      <c r="X2320" s="589"/>
      <c r="Y2320" s="589"/>
      <c r="Z2320" s="589"/>
      <c r="AA2320" s="589"/>
      <c r="AB2320" s="589"/>
      <c r="AC2320" s="589"/>
      <c r="AD2320" s="589"/>
      <c r="AE2320" s="589"/>
      <c r="AF2320" s="589"/>
      <c r="AG2320" s="589"/>
      <c r="AH2320" s="589"/>
      <c r="AI2320" s="589"/>
      <c r="AJ2320" s="589"/>
      <c r="AK2320" s="589"/>
      <c r="AL2320" s="589"/>
      <c r="AM2320" s="589"/>
      <c r="AN2320" s="589"/>
      <c r="AO2320" s="589"/>
      <c r="AP2320" s="589"/>
      <c r="AQ2320" s="589"/>
      <c r="AR2320" s="589"/>
      <c r="AS2320" s="589"/>
    </row>
    <row r="2321" spans="1:45" ht="15">
      <c r="A2321" s="590" t="s">
        <v>153</v>
      </c>
      <c r="B2321" s="591" t="s">
        <v>390</v>
      </c>
      <c r="C2321" s="591" t="s">
        <v>813</v>
      </c>
      <c r="D2321" s="592">
        <v>2019</v>
      </c>
      <c r="E2321" s="591" t="s">
        <v>775</v>
      </c>
      <c r="F2321" s="592">
        <v>627</v>
      </c>
      <c r="G2321" s="592">
        <v>0</v>
      </c>
      <c r="H2321" s="592">
        <v>0</v>
      </c>
      <c r="I2321" s="592">
        <v>0</v>
      </c>
      <c r="J2321" s="592">
        <v>384</v>
      </c>
      <c r="K2321" s="592">
        <v>0</v>
      </c>
      <c r="L2321" s="592">
        <v>0</v>
      </c>
      <c r="M2321" s="592">
        <v>0</v>
      </c>
      <c r="N2321" s="593">
        <v>413</v>
      </c>
      <c r="O2321" s="593">
        <v>0</v>
      </c>
      <c r="P2321" s="593">
        <v>1086</v>
      </c>
      <c r="Q2321" s="593">
        <v>202</v>
      </c>
      <c r="R2321" s="593">
        <v>2510</v>
      </c>
      <c r="S2321" s="593">
        <v>202</v>
      </c>
      <c r="T2321" s="593">
        <v>2019</v>
      </c>
      <c r="U2321" s="593">
        <v>2014</v>
      </c>
      <c r="V2321" s="589"/>
      <c r="W2321" s="589"/>
      <c r="X2321" s="589"/>
      <c r="Y2321" s="589"/>
      <c r="Z2321" s="589"/>
      <c r="AA2321" s="589"/>
      <c r="AB2321" s="589"/>
      <c r="AC2321" s="589"/>
      <c r="AD2321" s="589"/>
      <c r="AE2321" s="589"/>
      <c r="AF2321" s="589"/>
      <c r="AG2321" s="589"/>
      <c r="AH2321" s="589"/>
      <c r="AI2321" s="589"/>
      <c r="AJ2321" s="589"/>
      <c r="AK2321" s="589"/>
      <c r="AL2321" s="589"/>
      <c r="AM2321" s="589"/>
      <c r="AN2321" s="589"/>
      <c r="AO2321" s="589"/>
      <c r="AP2321" s="589"/>
      <c r="AQ2321" s="589"/>
      <c r="AR2321" s="589"/>
      <c r="AS2321" s="589"/>
    </row>
    <row r="2322" spans="1:45" ht="15">
      <c r="A2322" s="587" t="s">
        <v>157</v>
      </c>
      <c r="B2322" s="587" t="s">
        <v>439</v>
      </c>
      <c r="C2322" s="587" t="s">
        <v>782</v>
      </c>
      <c r="D2322" s="588">
        <v>2019</v>
      </c>
      <c r="E2322" s="587" t="s">
        <v>775</v>
      </c>
      <c r="F2322" s="588">
        <v>40</v>
      </c>
      <c r="G2322" s="588">
        <v>2</v>
      </c>
      <c r="H2322" s="588">
        <v>0</v>
      </c>
      <c r="I2322" s="588">
        <v>2</v>
      </c>
      <c r="J2322" s="588">
        <v>20</v>
      </c>
      <c r="K2322" s="588">
        <v>1</v>
      </c>
      <c r="L2322" s="588">
        <v>0</v>
      </c>
      <c r="M2322" s="588">
        <v>1</v>
      </c>
      <c r="N2322" s="588">
        <v>21</v>
      </c>
      <c r="O2322" s="588">
        <v>0</v>
      </c>
      <c r="P2322" s="588">
        <v>51</v>
      </c>
      <c r="Q2322" s="588">
        <v>1</v>
      </c>
      <c r="R2322" s="588">
        <v>132</v>
      </c>
      <c r="S2322" s="588">
        <v>4</v>
      </c>
      <c r="T2322" s="588">
        <v>2019</v>
      </c>
      <c r="U2322" s="588">
        <v>2015</v>
      </c>
      <c r="V2322" s="589"/>
      <c r="W2322" s="589"/>
      <c r="X2322" s="589"/>
      <c r="Y2322" s="589"/>
      <c r="Z2322" s="589"/>
      <c r="AA2322" s="589"/>
      <c r="AB2322" s="589"/>
      <c r="AC2322" s="589"/>
      <c r="AD2322" s="589"/>
      <c r="AE2322" s="589"/>
      <c r="AF2322" s="589"/>
      <c r="AG2322" s="589"/>
      <c r="AH2322" s="589"/>
      <c r="AI2322" s="589"/>
      <c r="AJ2322" s="589"/>
      <c r="AK2322" s="589"/>
      <c r="AL2322" s="589"/>
      <c r="AM2322" s="589"/>
      <c r="AN2322" s="589"/>
      <c r="AO2322" s="589"/>
      <c r="AP2322" s="589"/>
      <c r="AQ2322" s="589"/>
      <c r="AR2322" s="589"/>
      <c r="AS2322" s="589"/>
    </row>
    <row r="2323" spans="1:45" ht="15">
      <c r="A2323" s="590" t="s">
        <v>182</v>
      </c>
      <c r="B2323" s="591" t="s">
        <v>609</v>
      </c>
      <c r="C2323" s="591" t="s">
        <v>811</v>
      </c>
      <c r="D2323" s="592">
        <v>2019</v>
      </c>
      <c r="E2323" s="591" t="s">
        <v>775</v>
      </c>
      <c r="F2323" s="592">
        <v>1019</v>
      </c>
      <c r="G2323" s="592">
        <v>0</v>
      </c>
      <c r="H2323" s="592">
        <v>0</v>
      </c>
      <c r="I2323" s="592">
        <v>0</v>
      </c>
      <c r="J2323" s="592">
        <v>759</v>
      </c>
      <c r="K2323" s="592">
        <v>0</v>
      </c>
      <c r="L2323" s="592">
        <v>0</v>
      </c>
      <c r="M2323" s="592">
        <v>0</v>
      </c>
      <c r="N2323" s="593">
        <v>957</v>
      </c>
      <c r="O2323" s="593">
        <v>0</v>
      </c>
      <c r="P2323" s="593">
        <v>2421</v>
      </c>
      <c r="Q2323" s="593">
        <v>389</v>
      </c>
      <c r="R2323" s="593">
        <v>5156</v>
      </c>
      <c r="S2323" s="593">
        <v>389</v>
      </c>
      <c r="T2323" s="593">
        <v>2019</v>
      </c>
      <c r="U2323" s="593">
        <v>2016</v>
      </c>
      <c r="V2323" s="589"/>
      <c r="W2323" s="589"/>
      <c r="X2323" s="589"/>
      <c r="Y2323" s="589"/>
      <c r="Z2323" s="589"/>
      <c r="AA2323" s="589"/>
      <c r="AB2323" s="589"/>
      <c r="AC2323" s="589"/>
      <c r="AD2323" s="589"/>
      <c r="AE2323" s="589"/>
      <c r="AF2323" s="589"/>
      <c r="AG2323" s="589"/>
      <c r="AH2323" s="589"/>
      <c r="AI2323" s="589"/>
      <c r="AJ2323" s="589"/>
      <c r="AK2323" s="589"/>
      <c r="AL2323" s="589"/>
      <c r="AM2323" s="589"/>
      <c r="AN2323" s="589"/>
      <c r="AO2323" s="589"/>
      <c r="AP2323" s="589"/>
      <c r="AQ2323" s="589"/>
      <c r="AR2323" s="589"/>
      <c r="AS2323" s="589"/>
    </row>
    <row r="2324" spans="1:45" ht="15">
      <c r="A2324" s="587" t="s">
        <v>153</v>
      </c>
      <c r="B2324" s="587" t="s">
        <v>391</v>
      </c>
      <c r="C2324" s="587" t="s">
        <v>813</v>
      </c>
      <c r="D2324" s="588">
        <v>2019</v>
      </c>
      <c r="E2324" s="587" t="s">
        <v>775</v>
      </c>
      <c r="F2324" s="588">
        <v>96</v>
      </c>
      <c r="G2324" s="588">
        <v>0</v>
      </c>
      <c r="H2324" s="588">
        <v>0</v>
      </c>
      <c r="I2324" s="588">
        <v>0</v>
      </c>
      <c r="J2324" s="588">
        <v>57</v>
      </c>
      <c r="K2324" s="588">
        <v>0</v>
      </c>
      <c r="L2324" s="588">
        <v>0</v>
      </c>
      <c r="M2324" s="588">
        <v>0</v>
      </c>
      <c r="N2324" s="588">
        <v>62</v>
      </c>
      <c r="O2324" s="588">
        <v>0</v>
      </c>
      <c r="P2324" s="588">
        <v>166</v>
      </c>
      <c r="Q2324" s="588">
        <v>51</v>
      </c>
      <c r="R2324" s="588">
        <v>381</v>
      </c>
      <c r="S2324" s="588">
        <v>51</v>
      </c>
      <c r="T2324" s="588">
        <v>2019</v>
      </c>
      <c r="U2324" s="588">
        <v>2014</v>
      </c>
      <c r="V2324" s="589"/>
      <c r="W2324" s="589"/>
      <c r="X2324" s="589"/>
      <c r="Y2324" s="589"/>
      <c r="Z2324" s="589"/>
      <c r="AA2324" s="589"/>
      <c r="AB2324" s="589"/>
      <c r="AC2324" s="589"/>
      <c r="AD2324" s="589"/>
      <c r="AE2324" s="589"/>
      <c r="AF2324" s="589"/>
      <c r="AG2324" s="589"/>
      <c r="AH2324" s="589"/>
      <c r="AI2324" s="589"/>
      <c r="AJ2324" s="589"/>
      <c r="AK2324" s="589"/>
      <c r="AL2324" s="589"/>
      <c r="AM2324" s="589"/>
      <c r="AN2324" s="589"/>
      <c r="AO2324" s="589"/>
      <c r="AP2324" s="589"/>
      <c r="AQ2324" s="589"/>
      <c r="AR2324" s="589"/>
      <c r="AS2324" s="589"/>
    </row>
    <row r="2325" spans="1:45" ht="15">
      <c r="A2325" s="590" t="s">
        <v>179</v>
      </c>
      <c r="B2325" s="591" t="s">
        <v>599</v>
      </c>
      <c r="C2325" s="591" t="s">
        <v>856</v>
      </c>
      <c r="D2325" s="592">
        <v>2019</v>
      </c>
      <c r="E2325" s="591" t="s">
        <v>775</v>
      </c>
      <c r="F2325" s="592">
        <v>77</v>
      </c>
      <c r="G2325" s="592">
        <v>0</v>
      </c>
      <c r="H2325" s="592">
        <v>0</v>
      </c>
      <c r="I2325" s="592">
        <v>0</v>
      </c>
      <c r="J2325" s="592">
        <v>59</v>
      </c>
      <c r="K2325" s="592">
        <v>4</v>
      </c>
      <c r="L2325" s="592">
        <v>0</v>
      </c>
      <c r="M2325" s="592">
        <v>4</v>
      </c>
      <c r="N2325" s="593">
        <v>54</v>
      </c>
      <c r="O2325" s="593">
        <v>3</v>
      </c>
      <c r="P2325" s="593">
        <v>119</v>
      </c>
      <c r="Q2325" s="593">
        <v>2</v>
      </c>
      <c r="R2325" s="593">
        <v>309</v>
      </c>
      <c r="S2325" s="593">
        <v>9</v>
      </c>
      <c r="T2325" s="593">
        <v>2019</v>
      </c>
      <c r="U2325" s="593">
        <v>2013</v>
      </c>
      <c r="V2325" s="589"/>
      <c r="W2325" s="589"/>
      <c r="X2325" s="589"/>
      <c r="Y2325" s="589"/>
      <c r="Z2325" s="589"/>
      <c r="AA2325" s="589"/>
      <c r="AB2325" s="589"/>
      <c r="AC2325" s="589"/>
      <c r="AD2325" s="589"/>
      <c r="AE2325" s="589"/>
      <c r="AF2325" s="589"/>
      <c r="AG2325" s="589"/>
      <c r="AH2325" s="589"/>
      <c r="AI2325" s="589"/>
      <c r="AJ2325" s="589"/>
      <c r="AK2325" s="589"/>
      <c r="AL2325" s="589"/>
      <c r="AM2325" s="589"/>
      <c r="AN2325" s="589"/>
      <c r="AO2325" s="589"/>
      <c r="AP2325" s="589"/>
      <c r="AQ2325" s="589"/>
      <c r="AR2325" s="589"/>
      <c r="AS2325" s="589"/>
    </row>
    <row r="2326" spans="1:45" ht="15">
      <c r="A2326" s="587" t="s">
        <v>149</v>
      </c>
      <c r="B2326" s="587" t="s">
        <v>340</v>
      </c>
      <c r="C2326" s="587" t="s">
        <v>820</v>
      </c>
      <c r="D2326" s="588">
        <v>2019</v>
      </c>
      <c r="E2326" s="587" t="s">
        <v>775</v>
      </c>
      <c r="F2326" s="588">
        <v>677</v>
      </c>
      <c r="G2326" s="588">
        <v>0</v>
      </c>
      <c r="H2326" s="588">
        <v>0</v>
      </c>
      <c r="I2326" s="588">
        <v>0</v>
      </c>
      <c r="J2326" s="588">
        <v>507</v>
      </c>
      <c r="K2326" s="588">
        <v>0</v>
      </c>
      <c r="L2326" s="588">
        <v>0</v>
      </c>
      <c r="M2326" s="588">
        <v>0</v>
      </c>
      <c r="N2326" s="588">
        <v>534</v>
      </c>
      <c r="O2326" s="588">
        <v>26</v>
      </c>
      <c r="P2326" s="588">
        <v>1267</v>
      </c>
      <c r="Q2326" s="588">
        <v>119</v>
      </c>
      <c r="R2326" s="588">
        <v>2985</v>
      </c>
      <c r="S2326" s="588">
        <v>145</v>
      </c>
      <c r="T2326" s="588">
        <v>2019</v>
      </c>
      <c r="U2326" s="588">
        <v>2016</v>
      </c>
      <c r="V2326" s="589"/>
      <c r="W2326" s="589"/>
      <c r="X2326" s="589"/>
      <c r="Y2326" s="589"/>
      <c r="Z2326" s="589"/>
      <c r="AA2326" s="589"/>
      <c r="AB2326" s="589"/>
      <c r="AC2326" s="589"/>
      <c r="AD2326" s="589"/>
      <c r="AE2326" s="589"/>
      <c r="AF2326" s="589"/>
      <c r="AG2326" s="589"/>
      <c r="AH2326" s="589"/>
      <c r="AI2326" s="589"/>
      <c r="AJ2326" s="589"/>
      <c r="AK2326" s="589"/>
      <c r="AL2326" s="589"/>
      <c r="AM2326" s="589"/>
      <c r="AN2326" s="589"/>
      <c r="AO2326" s="589"/>
      <c r="AP2326" s="589"/>
      <c r="AQ2326" s="589"/>
      <c r="AR2326" s="589"/>
      <c r="AS2326" s="589"/>
    </row>
    <row r="2327" spans="1:45" ht="15">
      <c r="A2327" s="590" t="s">
        <v>170</v>
      </c>
      <c r="B2327" s="591" t="s">
        <v>521</v>
      </c>
      <c r="C2327" s="591" t="s">
        <v>801</v>
      </c>
      <c r="D2327" s="592">
        <v>2019</v>
      </c>
      <c r="E2327" s="591" t="s">
        <v>775</v>
      </c>
      <c r="F2327" s="592">
        <v>953</v>
      </c>
      <c r="G2327" s="592">
        <v>0</v>
      </c>
      <c r="H2327" s="592">
        <v>0</v>
      </c>
      <c r="I2327" s="592">
        <v>0</v>
      </c>
      <c r="J2327" s="592">
        <v>668</v>
      </c>
      <c r="K2327" s="592">
        <v>0</v>
      </c>
      <c r="L2327" s="592">
        <v>0</v>
      </c>
      <c r="M2327" s="592">
        <v>0</v>
      </c>
      <c r="N2327" s="593">
        <v>705</v>
      </c>
      <c r="O2327" s="593">
        <v>61</v>
      </c>
      <c r="P2327" s="593">
        <v>1464</v>
      </c>
      <c r="Q2327" s="593">
        <v>1</v>
      </c>
      <c r="R2327" s="593">
        <v>3790</v>
      </c>
      <c r="S2327" s="593">
        <v>62</v>
      </c>
      <c r="T2327" s="593">
        <v>2019</v>
      </c>
      <c r="U2327" s="593">
        <v>2014</v>
      </c>
      <c r="V2327" s="589"/>
      <c r="W2327" s="589"/>
      <c r="X2327" s="589"/>
      <c r="Y2327" s="589"/>
      <c r="Z2327" s="589"/>
      <c r="AA2327" s="589"/>
      <c r="AB2327" s="589"/>
      <c r="AC2327" s="589"/>
      <c r="AD2327" s="589"/>
      <c r="AE2327" s="589"/>
      <c r="AF2327" s="589"/>
      <c r="AG2327" s="589"/>
      <c r="AH2327" s="589"/>
      <c r="AI2327" s="589"/>
      <c r="AJ2327" s="589"/>
      <c r="AK2327" s="589"/>
      <c r="AL2327" s="589"/>
      <c r="AM2327" s="589"/>
      <c r="AN2327" s="589"/>
      <c r="AO2327" s="589"/>
      <c r="AP2327" s="589"/>
      <c r="AQ2327" s="589"/>
      <c r="AR2327" s="589"/>
      <c r="AS2327" s="589"/>
    </row>
    <row r="2328" spans="1:45" ht="15">
      <c r="A2328" s="587" t="s">
        <v>199</v>
      </c>
      <c r="B2328" s="587" t="s">
        <v>723</v>
      </c>
      <c r="C2328" s="587" t="s">
        <v>811</v>
      </c>
      <c r="D2328" s="588">
        <v>2019</v>
      </c>
      <c r="E2328" s="587" t="s">
        <v>775</v>
      </c>
      <c r="F2328" s="588">
        <v>80</v>
      </c>
      <c r="G2328" s="588">
        <v>0</v>
      </c>
      <c r="H2328" s="588">
        <v>0</v>
      </c>
      <c r="I2328" s="588">
        <v>0</v>
      </c>
      <c r="J2328" s="588">
        <v>80</v>
      </c>
      <c r="K2328" s="588">
        <v>0</v>
      </c>
      <c r="L2328" s="588">
        <v>0</v>
      </c>
      <c r="M2328" s="588">
        <v>0</v>
      </c>
      <c r="N2328" s="588">
        <v>82</v>
      </c>
      <c r="O2328" s="588">
        <v>6</v>
      </c>
      <c r="P2328" s="588">
        <v>348</v>
      </c>
      <c r="Q2328" s="588">
        <v>0</v>
      </c>
      <c r="R2328" s="588">
        <v>590</v>
      </c>
      <c r="S2328" s="588">
        <v>6</v>
      </c>
      <c r="T2328" s="588">
        <v>2019</v>
      </c>
      <c r="U2328" s="588">
        <v>2016</v>
      </c>
      <c r="V2328" s="589"/>
      <c r="W2328" s="589"/>
      <c r="X2328" s="589"/>
      <c r="Y2328" s="589"/>
      <c r="Z2328" s="589"/>
      <c r="AA2328" s="589"/>
      <c r="AB2328" s="589"/>
      <c r="AC2328" s="589"/>
      <c r="AD2328" s="589"/>
      <c r="AE2328" s="589"/>
      <c r="AF2328" s="589"/>
      <c r="AG2328" s="589"/>
      <c r="AH2328" s="589"/>
      <c r="AI2328" s="589"/>
      <c r="AJ2328" s="589"/>
      <c r="AK2328" s="589"/>
      <c r="AL2328" s="589"/>
      <c r="AM2328" s="589"/>
      <c r="AN2328" s="589"/>
      <c r="AO2328" s="589"/>
      <c r="AP2328" s="589"/>
      <c r="AQ2328" s="589"/>
      <c r="AR2328" s="589"/>
      <c r="AS2328" s="589"/>
    </row>
    <row r="2329" spans="1:45" ht="15">
      <c r="A2329" s="590" t="s">
        <v>196</v>
      </c>
      <c r="B2329" s="591" t="s">
        <v>713</v>
      </c>
      <c r="C2329" s="591" t="s">
        <v>801</v>
      </c>
      <c r="D2329" s="592">
        <v>2019</v>
      </c>
      <c r="E2329" s="591" t="s">
        <v>775</v>
      </c>
      <c r="F2329" s="592">
        <v>104</v>
      </c>
      <c r="G2329" s="592">
        <v>0</v>
      </c>
      <c r="H2329" s="592">
        <v>0</v>
      </c>
      <c r="I2329" s="592">
        <v>0</v>
      </c>
      <c r="J2329" s="592">
        <v>72</v>
      </c>
      <c r="K2329" s="592">
        <v>0</v>
      </c>
      <c r="L2329" s="592">
        <v>0</v>
      </c>
      <c r="M2329" s="592">
        <v>0</v>
      </c>
      <c r="N2329" s="593">
        <v>83</v>
      </c>
      <c r="O2329" s="593">
        <v>0</v>
      </c>
      <c r="P2329" s="593">
        <v>190</v>
      </c>
      <c r="Q2329" s="593">
        <v>50</v>
      </c>
      <c r="R2329" s="593">
        <v>449</v>
      </c>
      <c r="S2329" s="593">
        <v>50</v>
      </c>
      <c r="T2329" s="593">
        <v>2019</v>
      </c>
      <c r="U2329" s="593">
        <v>2014</v>
      </c>
      <c r="V2329" s="589"/>
      <c r="W2329" s="589"/>
      <c r="X2329" s="589"/>
      <c r="Y2329" s="589"/>
      <c r="Z2329" s="589"/>
      <c r="AA2329" s="589"/>
      <c r="AB2329" s="589"/>
      <c r="AC2329" s="589"/>
      <c r="AD2329" s="589"/>
      <c r="AE2329" s="589"/>
      <c r="AF2329" s="589"/>
      <c r="AG2329" s="589"/>
      <c r="AH2329" s="589"/>
      <c r="AI2329" s="589"/>
      <c r="AJ2329" s="589"/>
      <c r="AK2329" s="589"/>
      <c r="AL2329" s="589"/>
      <c r="AM2329" s="589"/>
      <c r="AN2329" s="589"/>
      <c r="AO2329" s="589"/>
      <c r="AP2329" s="589"/>
      <c r="AQ2329" s="589"/>
      <c r="AR2329" s="589"/>
      <c r="AS2329" s="589"/>
    </row>
    <row r="2330" spans="1:45" ht="15">
      <c r="A2330" s="587" t="s">
        <v>125</v>
      </c>
      <c r="B2330" s="587" t="s">
        <v>240</v>
      </c>
      <c r="C2330" s="587" t="s">
        <v>782</v>
      </c>
      <c r="D2330" s="588">
        <v>2019</v>
      </c>
      <c r="E2330" s="587" t="s">
        <v>775</v>
      </c>
      <c r="F2330" s="588">
        <v>839</v>
      </c>
      <c r="G2330" s="588">
        <v>42</v>
      </c>
      <c r="H2330" s="588">
        <v>42</v>
      </c>
      <c r="I2330" s="588">
        <v>0</v>
      </c>
      <c r="J2330" s="588">
        <v>474</v>
      </c>
      <c r="K2330" s="588">
        <v>1</v>
      </c>
      <c r="L2330" s="588">
        <v>1</v>
      </c>
      <c r="M2330" s="588">
        <v>0</v>
      </c>
      <c r="N2330" s="588">
        <v>496</v>
      </c>
      <c r="O2330" s="588">
        <v>38</v>
      </c>
      <c r="P2330" s="588">
        <v>920</v>
      </c>
      <c r="Q2330" s="588">
        <v>260</v>
      </c>
      <c r="R2330" s="588">
        <v>2729</v>
      </c>
      <c r="S2330" s="588">
        <v>341</v>
      </c>
      <c r="T2330" s="588">
        <v>2019</v>
      </c>
      <c r="U2330" s="588">
        <v>2015</v>
      </c>
      <c r="V2330" s="589"/>
      <c r="W2330" s="589"/>
      <c r="X2330" s="589"/>
      <c r="Y2330" s="589"/>
      <c r="Z2330" s="589"/>
      <c r="AA2330" s="589"/>
      <c r="AB2330" s="589"/>
      <c r="AC2330" s="589"/>
      <c r="AD2330" s="589"/>
      <c r="AE2330" s="589"/>
      <c r="AF2330" s="589"/>
      <c r="AG2330" s="589"/>
      <c r="AH2330" s="589"/>
      <c r="AI2330" s="589"/>
      <c r="AJ2330" s="589"/>
      <c r="AK2330" s="589"/>
      <c r="AL2330" s="589"/>
      <c r="AM2330" s="589"/>
      <c r="AN2330" s="589"/>
      <c r="AO2330" s="589"/>
      <c r="AP2330" s="589"/>
      <c r="AQ2330" s="589"/>
      <c r="AR2330" s="589"/>
      <c r="AS2330" s="589"/>
    </row>
    <row r="2331" spans="1:45" ht="15">
      <c r="A2331" s="590" t="s">
        <v>160</v>
      </c>
      <c r="B2331" s="591" t="s">
        <v>457</v>
      </c>
      <c r="C2331" s="591" t="s">
        <v>829</v>
      </c>
      <c r="D2331" s="592">
        <v>2019</v>
      </c>
      <c r="E2331" s="591" t="s">
        <v>775</v>
      </c>
      <c r="F2331" s="592">
        <v>249</v>
      </c>
      <c r="G2331" s="592">
        <v>0</v>
      </c>
      <c r="H2331" s="592">
        <v>0</v>
      </c>
      <c r="I2331" s="592">
        <v>0</v>
      </c>
      <c r="J2331" s="592">
        <v>178</v>
      </c>
      <c r="K2331" s="592">
        <v>4</v>
      </c>
      <c r="L2331" s="592">
        <v>0</v>
      </c>
      <c r="M2331" s="592">
        <v>4</v>
      </c>
      <c r="N2331" s="593">
        <v>163</v>
      </c>
      <c r="O2331" s="593">
        <v>7</v>
      </c>
      <c r="P2331" s="593">
        <v>435</v>
      </c>
      <c r="Q2331" s="593">
        <v>76</v>
      </c>
      <c r="R2331" s="593">
        <v>1025</v>
      </c>
      <c r="S2331" s="593">
        <v>87</v>
      </c>
      <c r="T2331" s="593">
        <v>2019</v>
      </c>
      <c r="U2331" s="593">
        <v>2016</v>
      </c>
      <c r="V2331" s="589"/>
      <c r="W2331" s="589"/>
      <c r="X2331" s="589"/>
      <c r="Y2331" s="589"/>
      <c r="Z2331" s="589"/>
      <c r="AA2331" s="589"/>
      <c r="AB2331" s="589"/>
      <c r="AC2331" s="589"/>
      <c r="AD2331" s="589"/>
      <c r="AE2331" s="589"/>
      <c r="AF2331" s="589"/>
      <c r="AG2331" s="589"/>
      <c r="AH2331" s="589"/>
      <c r="AI2331" s="589"/>
      <c r="AJ2331" s="589"/>
      <c r="AK2331" s="589"/>
      <c r="AL2331" s="589"/>
      <c r="AM2331" s="589"/>
      <c r="AN2331" s="589"/>
      <c r="AO2331" s="589"/>
      <c r="AP2331" s="589"/>
      <c r="AQ2331" s="589"/>
      <c r="AR2331" s="589"/>
      <c r="AS2331" s="589"/>
    </row>
    <row r="2332" spans="1:45" ht="15">
      <c r="A2332" s="587" t="s">
        <v>178</v>
      </c>
      <c r="B2332" s="587" t="s">
        <v>577</v>
      </c>
      <c r="C2332" s="587" t="s">
        <v>813</v>
      </c>
      <c r="D2332" s="588">
        <v>2019</v>
      </c>
      <c r="E2332" s="587" t="s">
        <v>775</v>
      </c>
      <c r="F2332" s="588">
        <v>254</v>
      </c>
      <c r="G2332" s="588">
        <v>0</v>
      </c>
      <c r="H2332" s="588">
        <v>0</v>
      </c>
      <c r="I2332" s="588">
        <v>0</v>
      </c>
      <c r="J2332" s="588">
        <v>177</v>
      </c>
      <c r="K2332" s="588">
        <v>0</v>
      </c>
      <c r="L2332" s="588">
        <v>0</v>
      </c>
      <c r="M2332" s="588">
        <v>0</v>
      </c>
      <c r="N2332" s="588">
        <v>202</v>
      </c>
      <c r="O2332" s="588">
        <v>0</v>
      </c>
      <c r="P2332" s="588">
        <v>462</v>
      </c>
      <c r="Q2332" s="588">
        <v>91</v>
      </c>
      <c r="R2332" s="588">
        <v>1095</v>
      </c>
      <c r="S2332" s="588">
        <v>91</v>
      </c>
      <c r="T2332" s="588">
        <v>2019</v>
      </c>
      <c r="U2332" s="588">
        <v>2014</v>
      </c>
      <c r="V2332" s="589"/>
      <c r="W2332" s="589"/>
      <c r="X2332" s="589"/>
      <c r="Y2332" s="589"/>
      <c r="Z2332" s="589"/>
      <c r="AA2332" s="589"/>
      <c r="AB2332" s="589"/>
      <c r="AC2332" s="589"/>
      <c r="AD2332" s="589"/>
      <c r="AE2332" s="589"/>
      <c r="AF2332" s="589"/>
      <c r="AG2332" s="589"/>
      <c r="AH2332" s="589"/>
      <c r="AI2332" s="589"/>
      <c r="AJ2332" s="589"/>
      <c r="AK2332" s="589"/>
      <c r="AL2332" s="589"/>
      <c r="AM2332" s="589"/>
      <c r="AN2332" s="589"/>
      <c r="AO2332" s="589"/>
      <c r="AP2332" s="589"/>
      <c r="AQ2332" s="589"/>
      <c r="AR2332" s="589"/>
      <c r="AS2332" s="589"/>
    </row>
    <row r="2333" spans="1:45" ht="15">
      <c r="A2333" s="590" t="s">
        <v>153</v>
      </c>
      <c r="B2333" s="591" t="s">
        <v>392</v>
      </c>
      <c r="C2333" s="591" t="s">
        <v>813</v>
      </c>
      <c r="D2333" s="592">
        <v>2019</v>
      </c>
      <c r="E2333" s="591" t="s">
        <v>775</v>
      </c>
      <c r="F2333" s="592">
        <v>12</v>
      </c>
      <c r="G2333" s="592">
        <v>0</v>
      </c>
      <c r="H2333" s="592">
        <v>0</v>
      </c>
      <c r="I2333" s="592">
        <v>0</v>
      </c>
      <c r="J2333" s="592">
        <v>7</v>
      </c>
      <c r="K2333" s="592">
        <v>0</v>
      </c>
      <c r="L2333" s="592">
        <v>0</v>
      </c>
      <c r="M2333" s="592">
        <v>0</v>
      </c>
      <c r="N2333" s="593">
        <v>8</v>
      </c>
      <c r="O2333" s="593">
        <v>1</v>
      </c>
      <c r="P2333" s="593">
        <v>20</v>
      </c>
      <c r="Q2333" s="593">
        <v>24</v>
      </c>
      <c r="R2333" s="593">
        <v>47</v>
      </c>
      <c r="S2333" s="593">
        <v>25</v>
      </c>
      <c r="T2333" s="593">
        <v>2019</v>
      </c>
      <c r="U2333" s="593">
        <v>2014</v>
      </c>
      <c r="V2333" s="589"/>
      <c r="W2333" s="589"/>
      <c r="X2333" s="589"/>
      <c r="Y2333" s="589"/>
      <c r="Z2333" s="589"/>
      <c r="AA2333" s="589"/>
      <c r="AB2333" s="589"/>
      <c r="AC2333" s="589"/>
      <c r="AD2333" s="589"/>
      <c r="AE2333" s="589"/>
      <c r="AF2333" s="589"/>
      <c r="AG2333" s="589"/>
      <c r="AH2333" s="589"/>
      <c r="AI2333" s="589"/>
      <c r="AJ2333" s="589"/>
      <c r="AK2333" s="589"/>
      <c r="AL2333" s="589"/>
      <c r="AM2333" s="589"/>
      <c r="AN2333" s="589"/>
      <c r="AO2333" s="589"/>
      <c r="AP2333" s="589"/>
      <c r="AQ2333" s="589"/>
      <c r="AR2333" s="589"/>
      <c r="AS2333" s="589"/>
    </row>
    <row r="2334" spans="1:45" ht="15">
      <c r="A2334" s="587" t="s">
        <v>185</v>
      </c>
      <c r="B2334" s="587" t="s">
        <v>647</v>
      </c>
      <c r="C2334" s="587" t="s">
        <v>872</v>
      </c>
      <c r="D2334" s="588">
        <v>2019</v>
      </c>
      <c r="E2334" s="587" t="s">
        <v>775</v>
      </c>
      <c r="F2334" s="588">
        <v>126</v>
      </c>
      <c r="G2334" s="588">
        <v>0</v>
      </c>
      <c r="H2334" s="588">
        <v>0</v>
      </c>
      <c r="I2334" s="588">
        <v>0</v>
      </c>
      <c r="J2334" s="588">
        <v>84</v>
      </c>
      <c r="K2334" s="588">
        <v>0</v>
      </c>
      <c r="L2334" s="588">
        <v>0</v>
      </c>
      <c r="M2334" s="588">
        <v>0</v>
      </c>
      <c r="N2334" s="588">
        <v>95</v>
      </c>
      <c r="O2334" s="588">
        <v>0</v>
      </c>
      <c r="P2334" s="588">
        <v>221</v>
      </c>
      <c r="Q2334" s="588">
        <v>6</v>
      </c>
      <c r="R2334" s="588">
        <v>526</v>
      </c>
      <c r="S2334" s="588">
        <v>6</v>
      </c>
      <c r="T2334" s="588">
        <v>2019</v>
      </c>
      <c r="U2334" s="588">
        <v>2015</v>
      </c>
      <c r="V2334" s="589"/>
      <c r="W2334" s="589"/>
      <c r="X2334" s="589"/>
      <c r="Y2334" s="589"/>
      <c r="Z2334" s="589"/>
      <c r="AA2334" s="589"/>
      <c r="AB2334" s="589"/>
      <c r="AC2334" s="589"/>
      <c r="AD2334" s="589"/>
      <c r="AE2334" s="589"/>
      <c r="AF2334" s="589"/>
      <c r="AG2334" s="589"/>
      <c r="AH2334" s="589"/>
      <c r="AI2334" s="589"/>
      <c r="AJ2334" s="589"/>
      <c r="AK2334" s="589"/>
      <c r="AL2334" s="589"/>
      <c r="AM2334" s="589"/>
      <c r="AN2334" s="589"/>
      <c r="AO2334" s="589"/>
      <c r="AP2334" s="589"/>
      <c r="AQ2334" s="589"/>
      <c r="AR2334" s="589"/>
      <c r="AS2334" s="589"/>
    </row>
    <row r="2335" spans="1:45" ht="15">
      <c r="A2335" s="590" t="s">
        <v>153</v>
      </c>
      <c r="B2335" s="591" t="s">
        <v>393</v>
      </c>
      <c r="C2335" s="591" t="s">
        <v>813</v>
      </c>
      <c r="D2335" s="592">
        <v>2019</v>
      </c>
      <c r="E2335" s="591" t="s">
        <v>775</v>
      </c>
      <c r="F2335" s="592">
        <v>1773</v>
      </c>
      <c r="G2335" s="592">
        <v>87</v>
      </c>
      <c r="H2335" s="592">
        <v>87</v>
      </c>
      <c r="I2335" s="592">
        <v>0</v>
      </c>
      <c r="J2335" s="592">
        <v>1066</v>
      </c>
      <c r="K2335" s="592">
        <v>108</v>
      </c>
      <c r="L2335" s="592">
        <v>108</v>
      </c>
      <c r="M2335" s="592">
        <v>0</v>
      </c>
      <c r="N2335" s="593">
        <v>1170</v>
      </c>
      <c r="O2335" s="593">
        <v>28</v>
      </c>
      <c r="P2335" s="593">
        <v>3039</v>
      </c>
      <c r="Q2335" s="593">
        <v>1038</v>
      </c>
      <c r="R2335" s="593">
        <v>7048</v>
      </c>
      <c r="S2335" s="593">
        <v>1261</v>
      </c>
      <c r="T2335" s="593">
        <v>2019</v>
      </c>
      <c r="U2335" s="593">
        <v>2014</v>
      </c>
      <c r="V2335" s="589"/>
      <c r="W2335" s="589"/>
      <c r="X2335" s="589"/>
      <c r="Y2335" s="589"/>
      <c r="Z2335" s="589"/>
      <c r="AA2335" s="589"/>
      <c r="AB2335" s="589"/>
      <c r="AC2335" s="589"/>
      <c r="AD2335" s="589"/>
      <c r="AE2335" s="589"/>
      <c r="AF2335" s="589"/>
      <c r="AG2335" s="589"/>
      <c r="AH2335" s="589"/>
      <c r="AI2335" s="589"/>
      <c r="AJ2335" s="589"/>
      <c r="AK2335" s="589"/>
      <c r="AL2335" s="589"/>
      <c r="AM2335" s="589"/>
      <c r="AN2335" s="589"/>
      <c r="AO2335" s="589"/>
      <c r="AP2335" s="589"/>
      <c r="AQ2335" s="589"/>
      <c r="AR2335" s="589"/>
      <c r="AS2335" s="589"/>
    </row>
    <row r="2336" spans="1:45" ht="15">
      <c r="A2336" s="587" t="s">
        <v>170</v>
      </c>
      <c r="B2336" s="587" t="s">
        <v>522</v>
      </c>
      <c r="C2336" s="587" t="s">
        <v>801</v>
      </c>
      <c r="D2336" s="588">
        <v>2019</v>
      </c>
      <c r="E2336" s="587" t="s">
        <v>775</v>
      </c>
      <c r="F2336" s="588">
        <v>39</v>
      </c>
      <c r="G2336" s="588">
        <v>0</v>
      </c>
      <c r="H2336" s="588">
        <v>0</v>
      </c>
      <c r="I2336" s="588">
        <v>0</v>
      </c>
      <c r="J2336" s="588">
        <v>27</v>
      </c>
      <c r="K2336" s="588">
        <v>0</v>
      </c>
      <c r="L2336" s="588">
        <v>0</v>
      </c>
      <c r="M2336" s="588">
        <v>0</v>
      </c>
      <c r="N2336" s="588">
        <v>29</v>
      </c>
      <c r="O2336" s="588">
        <v>1</v>
      </c>
      <c r="P2336" s="588">
        <v>59</v>
      </c>
      <c r="Q2336" s="588">
        <v>0</v>
      </c>
      <c r="R2336" s="588">
        <v>154</v>
      </c>
      <c r="S2336" s="588">
        <v>1</v>
      </c>
      <c r="T2336" s="588">
        <v>2019</v>
      </c>
      <c r="U2336" s="588">
        <v>2014</v>
      </c>
      <c r="V2336" s="589"/>
      <c r="W2336" s="589"/>
      <c r="X2336" s="589"/>
      <c r="Y2336" s="589"/>
      <c r="Z2336" s="589"/>
      <c r="AA2336" s="589"/>
      <c r="AB2336" s="589"/>
      <c r="AC2336" s="589"/>
      <c r="AD2336" s="589"/>
      <c r="AE2336" s="589"/>
      <c r="AF2336" s="589"/>
      <c r="AG2336" s="589"/>
      <c r="AH2336" s="589"/>
      <c r="AI2336" s="589"/>
      <c r="AJ2336" s="589"/>
      <c r="AK2336" s="589"/>
      <c r="AL2336" s="589"/>
      <c r="AM2336" s="589"/>
      <c r="AN2336" s="589"/>
      <c r="AO2336" s="589"/>
      <c r="AP2336" s="589"/>
      <c r="AQ2336" s="589"/>
      <c r="AR2336" s="589"/>
      <c r="AS2336" s="589"/>
    </row>
    <row r="2337" spans="1:45" ht="15">
      <c r="A2337" s="590" t="s">
        <v>187</v>
      </c>
      <c r="B2337" s="591" t="s">
        <v>654</v>
      </c>
      <c r="C2337" s="591" t="s">
        <v>782</v>
      </c>
      <c r="D2337" s="592">
        <v>2019</v>
      </c>
      <c r="E2337" s="591" t="s">
        <v>775</v>
      </c>
      <c r="F2337" s="592">
        <v>169</v>
      </c>
      <c r="G2337" s="592">
        <v>0</v>
      </c>
      <c r="H2337" s="592">
        <v>0</v>
      </c>
      <c r="I2337" s="592">
        <v>0</v>
      </c>
      <c r="J2337" s="592">
        <v>99</v>
      </c>
      <c r="K2337" s="592">
        <v>0</v>
      </c>
      <c r="L2337" s="592">
        <v>0</v>
      </c>
      <c r="M2337" s="592">
        <v>0</v>
      </c>
      <c r="N2337" s="593">
        <v>112</v>
      </c>
      <c r="O2337" s="593">
        <v>0</v>
      </c>
      <c r="P2337" s="593">
        <v>97</v>
      </c>
      <c r="Q2337" s="593">
        <v>107</v>
      </c>
      <c r="R2337" s="593">
        <v>477</v>
      </c>
      <c r="S2337" s="593">
        <v>107</v>
      </c>
      <c r="T2337" s="593">
        <v>2019</v>
      </c>
      <c r="U2337" s="593">
        <v>2015</v>
      </c>
      <c r="V2337" s="589"/>
      <c r="W2337" s="589"/>
      <c r="X2337" s="589"/>
      <c r="Y2337" s="589"/>
      <c r="Z2337" s="589"/>
      <c r="AA2337" s="589"/>
      <c r="AB2337" s="589"/>
      <c r="AC2337" s="589"/>
      <c r="AD2337" s="589"/>
      <c r="AE2337" s="589"/>
      <c r="AF2337" s="589"/>
      <c r="AG2337" s="589"/>
      <c r="AH2337" s="589"/>
      <c r="AI2337" s="589"/>
      <c r="AJ2337" s="589"/>
      <c r="AK2337" s="589"/>
      <c r="AL2337" s="589"/>
      <c r="AM2337" s="589"/>
      <c r="AN2337" s="589"/>
      <c r="AO2337" s="589"/>
      <c r="AP2337" s="589"/>
      <c r="AQ2337" s="589"/>
      <c r="AR2337" s="589"/>
      <c r="AS2337" s="589"/>
    </row>
    <row r="2338" spans="1:45" ht="15">
      <c r="A2338" s="587" t="s">
        <v>187</v>
      </c>
      <c r="B2338" s="587" t="s">
        <v>655</v>
      </c>
      <c r="C2338" s="587" t="s">
        <v>782</v>
      </c>
      <c r="D2338" s="588">
        <v>2019</v>
      </c>
      <c r="E2338" s="587" t="s">
        <v>775</v>
      </c>
      <c r="F2338" s="588">
        <v>46</v>
      </c>
      <c r="G2338" s="588">
        <v>5</v>
      </c>
      <c r="H2338" s="588">
        <v>0</v>
      </c>
      <c r="I2338" s="588">
        <v>5</v>
      </c>
      <c r="J2338" s="588">
        <v>28</v>
      </c>
      <c r="K2338" s="588">
        <v>2</v>
      </c>
      <c r="L2338" s="588">
        <v>0</v>
      </c>
      <c r="M2338" s="588">
        <v>2</v>
      </c>
      <c r="N2338" s="588">
        <v>32</v>
      </c>
      <c r="O2338" s="588">
        <v>1</v>
      </c>
      <c r="P2338" s="588">
        <v>15</v>
      </c>
      <c r="Q2338" s="588">
        <v>11</v>
      </c>
      <c r="R2338" s="588">
        <v>121</v>
      </c>
      <c r="S2338" s="588">
        <v>19</v>
      </c>
      <c r="T2338" s="588">
        <v>2019</v>
      </c>
      <c r="U2338" s="588">
        <v>2015</v>
      </c>
      <c r="V2338" s="589"/>
      <c r="W2338" s="589"/>
      <c r="X2338" s="589"/>
      <c r="Y2338" s="589"/>
      <c r="Z2338" s="589"/>
      <c r="AA2338" s="589"/>
      <c r="AB2338" s="589"/>
      <c r="AC2338" s="589"/>
      <c r="AD2338" s="589"/>
      <c r="AE2338" s="589"/>
      <c r="AF2338" s="589"/>
      <c r="AG2338" s="589"/>
      <c r="AH2338" s="589"/>
      <c r="AI2338" s="589"/>
      <c r="AJ2338" s="589"/>
      <c r="AK2338" s="589"/>
      <c r="AL2338" s="589"/>
      <c r="AM2338" s="589"/>
      <c r="AN2338" s="589"/>
      <c r="AO2338" s="589"/>
      <c r="AP2338" s="589"/>
      <c r="AQ2338" s="589"/>
      <c r="AR2338" s="589"/>
      <c r="AS2338" s="589"/>
    </row>
    <row r="2339" spans="1:45" ht="15">
      <c r="A2339" s="590" t="s">
        <v>153</v>
      </c>
      <c r="B2339" s="591" t="s">
        <v>153</v>
      </c>
      <c r="C2339" s="591" t="s">
        <v>813</v>
      </c>
      <c r="D2339" s="592">
        <v>2019</v>
      </c>
      <c r="E2339" s="591" t="s">
        <v>775</v>
      </c>
      <c r="F2339" s="592">
        <v>20427</v>
      </c>
      <c r="G2339" s="592">
        <v>864</v>
      </c>
      <c r="H2339" s="592">
        <v>864</v>
      </c>
      <c r="I2339" s="592">
        <v>0</v>
      </c>
      <c r="J2339" s="592">
        <v>12435</v>
      </c>
      <c r="K2339" s="592">
        <v>391</v>
      </c>
      <c r="L2339" s="592">
        <v>391</v>
      </c>
      <c r="M2339" s="592">
        <v>0</v>
      </c>
      <c r="N2339" s="593">
        <v>13728</v>
      </c>
      <c r="O2339" s="593">
        <v>72</v>
      </c>
      <c r="P2339" s="593">
        <v>35412</v>
      </c>
      <c r="Q2339" s="593">
        <v>19002</v>
      </c>
      <c r="R2339" s="593">
        <v>82002</v>
      </c>
      <c r="S2339" s="593">
        <v>20329</v>
      </c>
      <c r="T2339" s="593">
        <v>2019</v>
      </c>
      <c r="U2339" s="593">
        <v>2014</v>
      </c>
      <c r="V2339" s="589"/>
      <c r="W2339" s="589"/>
      <c r="X2339" s="589"/>
      <c r="Y2339" s="589"/>
      <c r="Z2339" s="589"/>
      <c r="AA2339" s="589"/>
      <c r="AB2339" s="589"/>
      <c r="AC2339" s="589"/>
      <c r="AD2339" s="589"/>
      <c r="AE2339" s="589"/>
      <c r="AF2339" s="589"/>
      <c r="AG2339" s="589"/>
      <c r="AH2339" s="589"/>
      <c r="AI2339" s="589"/>
      <c r="AJ2339" s="589"/>
      <c r="AK2339" s="589"/>
      <c r="AL2339" s="589"/>
      <c r="AM2339" s="589"/>
      <c r="AN2339" s="589"/>
      <c r="AO2339" s="589"/>
      <c r="AP2339" s="589"/>
      <c r="AQ2339" s="589"/>
      <c r="AR2339" s="589"/>
      <c r="AS2339" s="589"/>
    </row>
    <row r="2340" spans="1:45" ht="15">
      <c r="A2340" s="587" t="s">
        <v>153</v>
      </c>
      <c r="B2340" s="587" t="s">
        <v>394</v>
      </c>
      <c r="C2340" s="587" t="s">
        <v>813</v>
      </c>
      <c r="D2340" s="588">
        <v>2019</v>
      </c>
      <c r="E2340" s="587" t="s">
        <v>775</v>
      </c>
      <c r="F2340" s="588">
        <v>7359</v>
      </c>
      <c r="G2340" s="588">
        <v>54</v>
      </c>
      <c r="H2340" s="588">
        <v>54</v>
      </c>
      <c r="I2340" s="588">
        <v>0</v>
      </c>
      <c r="J2340" s="588">
        <v>4251</v>
      </c>
      <c r="K2340" s="588">
        <v>107</v>
      </c>
      <c r="L2340" s="588">
        <v>107</v>
      </c>
      <c r="M2340" s="588">
        <v>0</v>
      </c>
      <c r="N2340" s="588">
        <v>4898</v>
      </c>
      <c r="O2340" s="588">
        <v>0</v>
      </c>
      <c r="P2340" s="588">
        <v>10749</v>
      </c>
      <c r="Q2340" s="588">
        <v>1130</v>
      </c>
      <c r="R2340" s="588">
        <v>27257</v>
      </c>
      <c r="S2340" s="588">
        <v>1291</v>
      </c>
      <c r="T2340" s="588">
        <v>2019</v>
      </c>
      <c r="U2340" s="588">
        <v>2014</v>
      </c>
      <c r="V2340" s="589"/>
      <c r="W2340" s="589"/>
      <c r="X2340" s="589"/>
      <c r="Y2340" s="589"/>
      <c r="Z2340" s="589"/>
      <c r="AA2340" s="589"/>
      <c r="AB2340" s="589"/>
      <c r="AC2340" s="589"/>
      <c r="AD2340" s="589"/>
      <c r="AE2340" s="589"/>
      <c r="AF2340" s="589"/>
      <c r="AG2340" s="589"/>
      <c r="AH2340" s="589"/>
      <c r="AI2340" s="589"/>
      <c r="AJ2340" s="589"/>
      <c r="AK2340" s="589"/>
      <c r="AL2340" s="589"/>
      <c r="AM2340" s="589"/>
      <c r="AN2340" s="589"/>
      <c r="AO2340" s="589"/>
      <c r="AP2340" s="589"/>
      <c r="AQ2340" s="589"/>
      <c r="AR2340" s="589"/>
      <c r="AS2340" s="589"/>
    </row>
    <row r="2341" spans="1:45" ht="15">
      <c r="A2341" s="590" t="s">
        <v>160</v>
      </c>
      <c r="B2341" s="591" t="s">
        <v>458</v>
      </c>
      <c r="C2341" s="591" t="s">
        <v>829</v>
      </c>
      <c r="D2341" s="592">
        <v>2019</v>
      </c>
      <c r="E2341" s="591" t="s">
        <v>775</v>
      </c>
      <c r="F2341" s="592">
        <v>604</v>
      </c>
      <c r="G2341" s="592">
        <v>0</v>
      </c>
      <c r="H2341" s="592">
        <v>0</v>
      </c>
      <c r="I2341" s="592">
        <v>0</v>
      </c>
      <c r="J2341" s="592">
        <v>431</v>
      </c>
      <c r="K2341" s="592">
        <v>0</v>
      </c>
      <c r="L2341" s="592">
        <v>0</v>
      </c>
      <c r="M2341" s="592">
        <v>0</v>
      </c>
      <c r="N2341" s="593">
        <v>396</v>
      </c>
      <c r="O2341" s="593">
        <v>2</v>
      </c>
      <c r="P2341" s="593">
        <v>1049</v>
      </c>
      <c r="Q2341" s="593">
        <v>192</v>
      </c>
      <c r="R2341" s="593">
        <v>2480</v>
      </c>
      <c r="S2341" s="593">
        <v>194</v>
      </c>
      <c r="T2341" s="593">
        <v>2019</v>
      </c>
      <c r="U2341" s="593">
        <v>2016</v>
      </c>
      <c r="V2341" s="589"/>
      <c r="W2341" s="589"/>
      <c r="X2341" s="589"/>
      <c r="Y2341" s="589"/>
      <c r="Z2341" s="589"/>
      <c r="AA2341" s="589"/>
      <c r="AB2341" s="589"/>
      <c r="AC2341" s="589"/>
      <c r="AD2341" s="589"/>
      <c r="AE2341" s="589"/>
      <c r="AF2341" s="589"/>
      <c r="AG2341" s="589"/>
      <c r="AH2341" s="589"/>
      <c r="AI2341" s="589"/>
      <c r="AJ2341" s="589"/>
      <c r="AK2341" s="589"/>
      <c r="AL2341" s="589"/>
      <c r="AM2341" s="589"/>
      <c r="AN2341" s="589"/>
      <c r="AO2341" s="589"/>
      <c r="AP2341" s="589"/>
      <c r="AQ2341" s="589"/>
      <c r="AR2341" s="589"/>
      <c r="AS2341" s="589"/>
    </row>
    <row r="2342" spans="1:45" ht="15">
      <c r="A2342" s="587" t="s">
        <v>187</v>
      </c>
      <c r="B2342" s="587" t="s">
        <v>656</v>
      </c>
      <c r="C2342" s="587" t="s">
        <v>782</v>
      </c>
      <c r="D2342" s="588">
        <v>2019</v>
      </c>
      <c r="E2342" s="587" t="s">
        <v>775</v>
      </c>
      <c r="F2342" s="588">
        <v>201</v>
      </c>
      <c r="G2342" s="588">
        <v>0</v>
      </c>
      <c r="H2342" s="588">
        <v>0</v>
      </c>
      <c r="I2342" s="588">
        <v>0</v>
      </c>
      <c r="J2342" s="588">
        <v>112</v>
      </c>
      <c r="K2342" s="588">
        <v>0</v>
      </c>
      <c r="L2342" s="588">
        <v>0</v>
      </c>
      <c r="M2342" s="588">
        <v>0</v>
      </c>
      <c r="N2342" s="588">
        <v>132</v>
      </c>
      <c r="O2342" s="588">
        <v>28</v>
      </c>
      <c r="P2342" s="588">
        <v>174</v>
      </c>
      <c r="Q2342" s="588">
        <v>3</v>
      </c>
      <c r="R2342" s="588">
        <v>619</v>
      </c>
      <c r="S2342" s="588">
        <v>31</v>
      </c>
      <c r="T2342" s="588">
        <v>2019</v>
      </c>
      <c r="U2342" s="588">
        <v>2015</v>
      </c>
      <c r="V2342" s="589"/>
      <c r="W2342" s="589"/>
      <c r="X2342" s="589"/>
      <c r="Y2342" s="589"/>
      <c r="Z2342" s="589"/>
      <c r="AA2342" s="589"/>
      <c r="AB2342" s="589"/>
      <c r="AC2342" s="589"/>
      <c r="AD2342" s="589"/>
      <c r="AE2342" s="589"/>
      <c r="AF2342" s="589"/>
      <c r="AG2342" s="589"/>
      <c r="AH2342" s="589"/>
      <c r="AI2342" s="589"/>
      <c r="AJ2342" s="589"/>
      <c r="AK2342" s="589"/>
      <c r="AL2342" s="589"/>
      <c r="AM2342" s="589"/>
      <c r="AN2342" s="589"/>
      <c r="AO2342" s="589"/>
      <c r="AP2342" s="589"/>
      <c r="AQ2342" s="589"/>
      <c r="AR2342" s="589"/>
      <c r="AS2342" s="589"/>
    </row>
    <row r="2343" spans="1:45" ht="15">
      <c r="A2343" s="590" t="s">
        <v>153</v>
      </c>
      <c r="B2343" s="591" t="s">
        <v>395</v>
      </c>
      <c r="C2343" s="591" t="s">
        <v>813</v>
      </c>
      <c r="D2343" s="592">
        <v>2019</v>
      </c>
      <c r="E2343" s="591" t="s">
        <v>775</v>
      </c>
      <c r="F2343" s="592">
        <v>123</v>
      </c>
      <c r="G2343" s="592">
        <v>0</v>
      </c>
      <c r="H2343" s="592">
        <v>0</v>
      </c>
      <c r="I2343" s="592">
        <v>0</v>
      </c>
      <c r="J2343" s="592">
        <v>72</v>
      </c>
      <c r="K2343" s="592">
        <v>0</v>
      </c>
      <c r="L2343" s="592">
        <v>0</v>
      </c>
      <c r="M2343" s="592">
        <v>0</v>
      </c>
      <c r="N2343" s="593">
        <v>81</v>
      </c>
      <c r="O2343" s="593">
        <v>0</v>
      </c>
      <c r="P2343" s="593">
        <v>218</v>
      </c>
      <c r="Q2343" s="593">
        <v>10</v>
      </c>
      <c r="R2343" s="593">
        <v>494</v>
      </c>
      <c r="S2343" s="593">
        <v>10</v>
      </c>
      <c r="T2343" s="593">
        <v>2019</v>
      </c>
      <c r="U2343" s="593">
        <v>2014</v>
      </c>
      <c r="V2343" s="589"/>
      <c r="W2343" s="589"/>
      <c r="X2343" s="589"/>
      <c r="Y2343" s="589"/>
      <c r="Z2343" s="589"/>
      <c r="AA2343" s="589"/>
      <c r="AB2343" s="589"/>
      <c r="AC2343" s="589"/>
      <c r="AD2343" s="589"/>
      <c r="AE2343" s="589"/>
      <c r="AF2343" s="589"/>
      <c r="AG2343" s="589"/>
      <c r="AH2343" s="589"/>
      <c r="AI2343" s="589"/>
      <c r="AJ2343" s="589"/>
      <c r="AK2343" s="589"/>
      <c r="AL2343" s="589"/>
      <c r="AM2343" s="589"/>
      <c r="AN2343" s="589"/>
      <c r="AO2343" s="589"/>
      <c r="AP2343" s="589"/>
      <c r="AQ2343" s="589"/>
      <c r="AR2343" s="589"/>
      <c r="AS2343" s="589"/>
    </row>
    <row r="2344" spans="1:45" ht="15">
      <c r="A2344" s="587" t="s">
        <v>156</v>
      </c>
      <c r="B2344" s="587" t="s">
        <v>156</v>
      </c>
      <c r="C2344" s="587" t="s">
        <v>820</v>
      </c>
      <c r="D2344" s="588">
        <v>2019</v>
      </c>
      <c r="E2344" s="587" t="s">
        <v>775</v>
      </c>
      <c r="F2344" s="588">
        <v>1352</v>
      </c>
      <c r="G2344" s="588">
        <v>0</v>
      </c>
      <c r="H2344" s="588">
        <v>0</v>
      </c>
      <c r="I2344" s="588">
        <v>0</v>
      </c>
      <c r="J2344" s="588">
        <v>1056</v>
      </c>
      <c r="K2344" s="588">
        <v>0</v>
      </c>
      <c r="L2344" s="588">
        <v>0</v>
      </c>
      <c r="M2344" s="588">
        <v>0</v>
      </c>
      <c r="N2344" s="588">
        <v>1091</v>
      </c>
      <c r="O2344" s="588">
        <v>0</v>
      </c>
      <c r="P2344" s="588">
        <v>2600</v>
      </c>
      <c r="Q2344" s="588">
        <v>148</v>
      </c>
      <c r="R2344" s="588">
        <v>6099</v>
      </c>
      <c r="S2344" s="588">
        <v>148</v>
      </c>
      <c r="T2344" s="588">
        <v>2019</v>
      </c>
      <c r="U2344" s="588">
        <v>2016</v>
      </c>
      <c r="V2344" s="589"/>
      <c r="W2344" s="589"/>
      <c r="X2344" s="589"/>
      <c r="Y2344" s="589"/>
      <c r="Z2344" s="589"/>
      <c r="AA2344" s="589"/>
      <c r="AB2344" s="589"/>
      <c r="AC2344" s="589"/>
      <c r="AD2344" s="589"/>
      <c r="AE2344" s="589"/>
      <c r="AF2344" s="589"/>
      <c r="AG2344" s="589"/>
      <c r="AH2344" s="589"/>
      <c r="AI2344" s="589"/>
      <c r="AJ2344" s="589"/>
      <c r="AK2344" s="589"/>
      <c r="AL2344" s="589"/>
      <c r="AM2344" s="589"/>
      <c r="AN2344" s="589"/>
      <c r="AO2344" s="589"/>
      <c r="AP2344" s="589"/>
      <c r="AQ2344" s="589"/>
      <c r="AR2344" s="589"/>
      <c r="AS2344" s="589"/>
    </row>
    <row r="2345" spans="1:45" ht="15">
      <c r="A2345" s="590" t="s">
        <v>156</v>
      </c>
      <c r="B2345" s="591" t="s">
        <v>435</v>
      </c>
      <c r="C2345" s="591" t="s">
        <v>820</v>
      </c>
      <c r="D2345" s="592">
        <v>2019</v>
      </c>
      <c r="E2345" s="591" t="s">
        <v>775</v>
      </c>
      <c r="F2345" s="592">
        <v>1285</v>
      </c>
      <c r="G2345" s="592">
        <v>0</v>
      </c>
      <c r="H2345" s="592">
        <v>0</v>
      </c>
      <c r="I2345" s="592">
        <v>0</v>
      </c>
      <c r="J2345" s="592">
        <v>984</v>
      </c>
      <c r="K2345" s="592">
        <v>0</v>
      </c>
      <c r="L2345" s="592">
        <v>0</v>
      </c>
      <c r="M2345" s="592">
        <v>0</v>
      </c>
      <c r="N2345" s="593">
        <v>1015</v>
      </c>
      <c r="O2345" s="593">
        <v>0</v>
      </c>
      <c r="P2345" s="593">
        <v>2398</v>
      </c>
      <c r="Q2345" s="593">
        <v>480</v>
      </c>
      <c r="R2345" s="593">
        <v>5682</v>
      </c>
      <c r="S2345" s="593">
        <v>480</v>
      </c>
      <c r="T2345" s="593">
        <v>2019</v>
      </c>
      <c r="U2345" s="593">
        <v>2016</v>
      </c>
      <c r="V2345" s="589"/>
      <c r="W2345" s="589"/>
      <c r="X2345" s="589"/>
      <c r="Y2345" s="589"/>
      <c r="Z2345" s="589"/>
      <c r="AA2345" s="589"/>
      <c r="AB2345" s="589"/>
      <c r="AC2345" s="589"/>
      <c r="AD2345" s="589"/>
      <c r="AE2345" s="589"/>
      <c r="AF2345" s="589"/>
      <c r="AG2345" s="589"/>
      <c r="AH2345" s="589"/>
      <c r="AI2345" s="589"/>
      <c r="AJ2345" s="589"/>
      <c r="AK2345" s="589"/>
      <c r="AL2345" s="589"/>
      <c r="AM2345" s="589"/>
      <c r="AN2345" s="589"/>
      <c r="AO2345" s="589"/>
      <c r="AP2345" s="589"/>
      <c r="AQ2345" s="589"/>
      <c r="AR2345" s="589"/>
      <c r="AS2345" s="589"/>
    </row>
    <row r="2346" spans="1:45" ht="15">
      <c r="A2346" s="587" t="s">
        <v>153</v>
      </c>
      <c r="B2346" s="587" t="s">
        <v>396</v>
      </c>
      <c r="C2346" s="587" t="s">
        <v>813</v>
      </c>
      <c r="D2346" s="588">
        <v>2019</v>
      </c>
      <c r="E2346" s="587" t="s">
        <v>775</v>
      </c>
      <c r="F2346" s="588">
        <v>1</v>
      </c>
      <c r="G2346" s="588">
        <v>0</v>
      </c>
      <c r="H2346" s="588">
        <v>0</v>
      </c>
      <c r="I2346" s="588">
        <v>0</v>
      </c>
      <c r="J2346" s="588">
        <v>1</v>
      </c>
      <c r="K2346" s="588">
        <v>0</v>
      </c>
      <c r="L2346" s="588">
        <v>0</v>
      </c>
      <c r="M2346" s="588">
        <v>0</v>
      </c>
      <c r="N2346" s="588">
        <v>0</v>
      </c>
      <c r="O2346" s="588">
        <v>0</v>
      </c>
      <c r="P2346" s="588">
        <v>0</v>
      </c>
      <c r="Q2346" s="588">
        <v>18</v>
      </c>
      <c r="R2346" s="588">
        <v>2</v>
      </c>
      <c r="S2346" s="588">
        <v>18</v>
      </c>
      <c r="T2346" s="588">
        <v>2019</v>
      </c>
      <c r="U2346" s="588">
        <v>2014</v>
      </c>
      <c r="V2346" s="589"/>
      <c r="W2346" s="589"/>
      <c r="X2346" s="589"/>
      <c r="Y2346" s="589"/>
      <c r="Z2346" s="589"/>
      <c r="AA2346" s="589"/>
      <c r="AB2346" s="589"/>
      <c r="AC2346" s="589"/>
      <c r="AD2346" s="589"/>
      <c r="AE2346" s="589"/>
      <c r="AF2346" s="589"/>
      <c r="AG2346" s="589"/>
      <c r="AH2346" s="589"/>
      <c r="AI2346" s="589"/>
      <c r="AJ2346" s="589"/>
      <c r="AK2346" s="589"/>
      <c r="AL2346" s="589"/>
      <c r="AM2346" s="589"/>
      <c r="AN2346" s="589"/>
      <c r="AO2346" s="589"/>
      <c r="AP2346" s="589"/>
      <c r="AQ2346" s="589"/>
      <c r="AR2346" s="589"/>
      <c r="AS2346" s="589"/>
    </row>
    <row r="2347" spans="1:45" ht="15">
      <c r="A2347" s="590" t="s">
        <v>163</v>
      </c>
      <c r="B2347" s="591" t="s">
        <v>462</v>
      </c>
      <c r="C2347" s="591" t="s">
        <v>972</v>
      </c>
      <c r="D2347" s="592">
        <v>2019</v>
      </c>
      <c r="E2347" s="591" t="s">
        <v>775</v>
      </c>
      <c r="F2347" s="592">
        <v>0</v>
      </c>
      <c r="G2347" s="592">
        <v>0</v>
      </c>
      <c r="H2347" s="592">
        <v>0</v>
      </c>
      <c r="I2347" s="592">
        <v>0</v>
      </c>
      <c r="J2347" s="592">
        <v>0</v>
      </c>
      <c r="K2347" s="592">
        <v>0</v>
      </c>
      <c r="L2347" s="592">
        <v>0</v>
      </c>
      <c r="M2347" s="592">
        <v>0</v>
      </c>
      <c r="N2347" s="593">
        <v>0</v>
      </c>
      <c r="O2347" s="593">
        <v>0</v>
      </c>
      <c r="P2347" s="593">
        <v>0</v>
      </c>
      <c r="Q2347" s="593">
        <v>41</v>
      </c>
      <c r="R2347" s="593">
        <v>0</v>
      </c>
      <c r="S2347" s="593">
        <v>41</v>
      </c>
      <c r="T2347" s="593">
        <v>2019</v>
      </c>
      <c r="U2347" s="593">
        <v>2014</v>
      </c>
      <c r="V2347" s="589"/>
      <c r="W2347" s="589"/>
      <c r="X2347" s="589"/>
      <c r="Y2347" s="589"/>
      <c r="Z2347" s="589"/>
      <c r="AA2347" s="589"/>
      <c r="AB2347" s="589"/>
      <c r="AC2347" s="589"/>
      <c r="AD2347" s="589"/>
      <c r="AE2347" s="589"/>
      <c r="AF2347" s="589"/>
      <c r="AG2347" s="589"/>
      <c r="AH2347" s="589"/>
      <c r="AI2347" s="589"/>
      <c r="AJ2347" s="589"/>
      <c r="AK2347" s="589"/>
      <c r="AL2347" s="589"/>
      <c r="AM2347" s="589"/>
      <c r="AN2347" s="589"/>
      <c r="AO2347" s="589"/>
      <c r="AP2347" s="589"/>
      <c r="AQ2347" s="589"/>
      <c r="AR2347" s="589"/>
      <c r="AS2347" s="589"/>
    </row>
    <row r="2348" spans="1:45" ht="15">
      <c r="A2348" s="587" t="s">
        <v>163</v>
      </c>
      <c r="B2348" s="587" t="s">
        <v>462</v>
      </c>
      <c r="C2348" s="587" t="s">
        <v>785</v>
      </c>
      <c r="D2348" s="588">
        <v>2019</v>
      </c>
      <c r="E2348" s="587" t="s">
        <v>775</v>
      </c>
      <c r="F2348" s="588">
        <v>17</v>
      </c>
      <c r="G2348" s="588">
        <v>0</v>
      </c>
      <c r="H2348" s="588">
        <v>0</v>
      </c>
      <c r="I2348" s="588">
        <v>0</v>
      </c>
      <c r="J2348" s="588">
        <v>12</v>
      </c>
      <c r="K2348" s="588">
        <v>0</v>
      </c>
      <c r="L2348" s="588">
        <v>0</v>
      </c>
      <c r="M2348" s="588">
        <v>0</v>
      </c>
      <c r="N2348" s="588">
        <v>14</v>
      </c>
      <c r="O2348" s="588">
        <v>0</v>
      </c>
      <c r="P2348" s="588">
        <v>31</v>
      </c>
      <c r="Q2348" s="588">
        <v>41</v>
      </c>
      <c r="R2348" s="588">
        <v>74</v>
      </c>
      <c r="S2348" s="588">
        <v>41</v>
      </c>
      <c r="T2348" s="588">
        <v>2019</v>
      </c>
      <c r="U2348" s="588">
        <v>2014</v>
      </c>
      <c r="V2348" s="589"/>
      <c r="W2348" s="589"/>
      <c r="X2348" s="589"/>
      <c r="Y2348" s="589"/>
      <c r="Z2348" s="589"/>
      <c r="AA2348" s="589"/>
      <c r="AB2348" s="589"/>
      <c r="AC2348" s="589"/>
      <c r="AD2348" s="589"/>
      <c r="AE2348" s="589"/>
      <c r="AF2348" s="589"/>
      <c r="AG2348" s="589"/>
      <c r="AH2348" s="589"/>
      <c r="AI2348" s="589"/>
      <c r="AJ2348" s="589"/>
      <c r="AK2348" s="589"/>
      <c r="AL2348" s="589"/>
      <c r="AM2348" s="589"/>
      <c r="AN2348" s="589"/>
      <c r="AO2348" s="589"/>
      <c r="AP2348" s="589"/>
      <c r="AQ2348" s="589"/>
      <c r="AR2348" s="589"/>
      <c r="AS2348" s="589"/>
    </row>
    <row r="2349" spans="1:45" ht="15">
      <c r="A2349" s="590" t="s">
        <v>153</v>
      </c>
      <c r="B2349" s="591" t="s">
        <v>397</v>
      </c>
      <c r="C2349" s="591" t="s">
        <v>813</v>
      </c>
      <c r="D2349" s="592">
        <v>2019</v>
      </c>
      <c r="E2349" s="591" t="s">
        <v>775</v>
      </c>
      <c r="F2349" s="592">
        <v>10</v>
      </c>
      <c r="G2349" s="592">
        <v>0</v>
      </c>
      <c r="H2349" s="592">
        <v>0</v>
      </c>
      <c r="I2349" s="592">
        <v>0</v>
      </c>
      <c r="J2349" s="592">
        <v>6</v>
      </c>
      <c r="K2349" s="592">
        <v>0</v>
      </c>
      <c r="L2349" s="592">
        <v>0</v>
      </c>
      <c r="M2349" s="592">
        <v>0</v>
      </c>
      <c r="N2349" s="593">
        <v>7</v>
      </c>
      <c r="O2349" s="593">
        <v>0</v>
      </c>
      <c r="P2349" s="593">
        <v>15</v>
      </c>
      <c r="Q2349" s="593">
        <v>96</v>
      </c>
      <c r="R2349" s="593">
        <v>38</v>
      </c>
      <c r="S2349" s="593">
        <v>96</v>
      </c>
      <c r="T2349" s="593">
        <v>2019</v>
      </c>
      <c r="U2349" s="593">
        <v>2014</v>
      </c>
      <c r="V2349" s="589"/>
      <c r="W2349" s="589"/>
      <c r="X2349" s="589"/>
      <c r="Y2349" s="589"/>
      <c r="Z2349" s="589"/>
      <c r="AA2349" s="589"/>
      <c r="AB2349" s="589"/>
      <c r="AC2349" s="589"/>
      <c r="AD2349" s="589"/>
      <c r="AE2349" s="589"/>
      <c r="AF2349" s="589"/>
      <c r="AG2349" s="589"/>
      <c r="AH2349" s="589"/>
      <c r="AI2349" s="589"/>
      <c r="AJ2349" s="589"/>
      <c r="AK2349" s="589"/>
      <c r="AL2349" s="589"/>
      <c r="AM2349" s="589"/>
      <c r="AN2349" s="589"/>
      <c r="AO2349" s="589"/>
      <c r="AP2349" s="589"/>
      <c r="AQ2349" s="589"/>
      <c r="AR2349" s="589"/>
      <c r="AS2349" s="589"/>
    </row>
    <row r="2350" spans="1:45" ht="15">
      <c r="A2350" s="587" t="s">
        <v>182</v>
      </c>
      <c r="B2350" s="587" t="s">
        <v>611</v>
      </c>
      <c r="C2350" s="587" t="s">
        <v>811</v>
      </c>
      <c r="D2350" s="588">
        <v>2019</v>
      </c>
      <c r="E2350" s="587" t="s">
        <v>775</v>
      </c>
      <c r="F2350" s="588">
        <v>925</v>
      </c>
      <c r="G2350" s="588">
        <v>0</v>
      </c>
      <c r="H2350" s="588">
        <v>0</v>
      </c>
      <c r="I2350" s="588">
        <v>0</v>
      </c>
      <c r="J2350" s="588">
        <v>693</v>
      </c>
      <c r="K2350" s="588">
        <v>0</v>
      </c>
      <c r="L2350" s="588">
        <v>0</v>
      </c>
      <c r="M2350" s="588">
        <v>0</v>
      </c>
      <c r="N2350" s="588">
        <v>825</v>
      </c>
      <c r="O2350" s="588">
        <v>182</v>
      </c>
      <c r="P2350" s="588">
        <v>1958</v>
      </c>
      <c r="Q2350" s="588">
        <v>514</v>
      </c>
      <c r="R2350" s="588">
        <v>4401</v>
      </c>
      <c r="S2350" s="588">
        <v>696</v>
      </c>
      <c r="T2350" s="588">
        <v>2019</v>
      </c>
      <c r="U2350" s="588">
        <v>2016</v>
      </c>
      <c r="V2350" s="589"/>
      <c r="W2350" s="589"/>
      <c r="X2350" s="589"/>
      <c r="Y2350" s="589"/>
      <c r="Z2350" s="589"/>
      <c r="AA2350" s="589"/>
      <c r="AB2350" s="589"/>
      <c r="AC2350" s="589"/>
      <c r="AD2350" s="589"/>
      <c r="AE2350" s="589"/>
      <c r="AF2350" s="589"/>
      <c r="AG2350" s="589"/>
      <c r="AH2350" s="589"/>
      <c r="AI2350" s="589"/>
      <c r="AJ2350" s="589"/>
      <c r="AK2350" s="589"/>
      <c r="AL2350" s="589"/>
      <c r="AM2350" s="589"/>
      <c r="AN2350" s="589"/>
      <c r="AO2350" s="589"/>
      <c r="AP2350" s="589"/>
      <c r="AQ2350" s="589"/>
      <c r="AR2350" s="589"/>
      <c r="AS2350" s="589"/>
    </row>
    <row r="2351" spans="1:45" ht="15">
      <c r="A2351" s="590" t="s">
        <v>148</v>
      </c>
      <c r="B2351" s="591" t="s">
        <v>329</v>
      </c>
      <c r="C2351" s="591" t="s">
        <v>811</v>
      </c>
      <c r="D2351" s="592">
        <v>2019</v>
      </c>
      <c r="E2351" s="591" t="s">
        <v>775</v>
      </c>
      <c r="F2351" s="592">
        <v>11</v>
      </c>
      <c r="G2351" s="592">
        <v>0</v>
      </c>
      <c r="H2351" s="592">
        <v>0</v>
      </c>
      <c r="I2351" s="592">
        <v>0</v>
      </c>
      <c r="J2351" s="592">
        <v>5</v>
      </c>
      <c r="K2351" s="592">
        <v>0</v>
      </c>
      <c r="L2351" s="592">
        <v>0</v>
      </c>
      <c r="M2351" s="592">
        <v>0</v>
      </c>
      <c r="N2351" s="593">
        <v>6</v>
      </c>
      <c r="O2351" s="593">
        <v>0</v>
      </c>
      <c r="P2351" s="593">
        <v>14</v>
      </c>
      <c r="Q2351" s="593">
        <v>0</v>
      </c>
      <c r="R2351" s="593">
        <v>36</v>
      </c>
      <c r="S2351" s="593">
        <v>0</v>
      </c>
      <c r="T2351" s="593">
        <v>2019</v>
      </c>
      <c r="U2351" s="593">
        <v>2016</v>
      </c>
      <c r="V2351" s="589"/>
      <c r="W2351" s="589"/>
      <c r="X2351" s="589"/>
      <c r="Y2351" s="589"/>
      <c r="Z2351" s="589"/>
      <c r="AA2351" s="589"/>
      <c r="AB2351" s="589"/>
      <c r="AC2351" s="589"/>
      <c r="AD2351" s="589"/>
      <c r="AE2351" s="589"/>
      <c r="AF2351" s="589"/>
      <c r="AG2351" s="589"/>
      <c r="AH2351" s="589"/>
      <c r="AI2351" s="589"/>
      <c r="AJ2351" s="589"/>
      <c r="AK2351" s="589"/>
      <c r="AL2351" s="589"/>
      <c r="AM2351" s="589"/>
      <c r="AN2351" s="589"/>
      <c r="AO2351" s="589"/>
      <c r="AP2351" s="589"/>
      <c r="AQ2351" s="589"/>
      <c r="AR2351" s="589"/>
      <c r="AS2351" s="589"/>
    </row>
    <row r="2352" spans="1:45" ht="15">
      <c r="A2352" s="587" t="s">
        <v>157</v>
      </c>
      <c r="B2352" s="587" t="s">
        <v>440</v>
      </c>
      <c r="C2352" s="587" t="s">
        <v>782</v>
      </c>
      <c r="D2352" s="588">
        <v>2019</v>
      </c>
      <c r="E2352" s="587" t="s">
        <v>775</v>
      </c>
      <c r="F2352" s="588">
        <v>55</v>
      </c>
      <c r="G2352" s="588">
        <v>7</v>
      </c>
      <c r="H2352" s="588">
        <v>1</v>
      </c>
      <c r="I2352" s="588">
        <v>6</v>
      </c>
      <c r="J2352" s="588">
        <v>32</v>
      </c>
      <c r="K2352" s="588">
        <v>8</v>
      </c>
      <c r="L2352" s="588">
        <v>0</v>
      </c>
      <c r="M2352" s="588">
        <v>8</v>
      </c>
      <c r="N2352" s="588">
        <v>37</v>
      </c>
      <c r="O2352" s="588">
        <v>9</v>
      </c>
      <c r="P2352" s="588">
        <v>61</v>
      </c>
      <c r="Q2352" s="588">
        <v>39</v>
      </c>
      <c r="R2352" s="588">
        <v>185</v>
      </c>
      <c r="S2352" s="588">
        <v>63</v>
      </c>
      <c r="T2352" s="588">
        <v>2019</v>
      </c>
      <c r="U2352" s="588">
        <v>2015</v>
      </c>
      <c r="V2352" s="589"/>
      <c r="W2352" s="589"/>
      <c r="X2352" s="589"/>
      <c r="Y2352" s="589"/>
      <c r="Z2352" s="589"/>
      <c r="AA2352" s="589"/>
      <c r="AB2352" s="589"/>
      <c r="AC2352" s="589"/>
      <c r="AD2352" s="589"/>
      <c r="AE2352" s="589"/>
      <c r="AF2352" s="589"/>
      <c r="AG2352" s="589"/>
      <c r="AH2352" s="589"/>
      <c r="AI2352" s="589"/>
      <c r="AJ2352" s="589"/>
      <c r="AK2352" s="589"/>
      <c r="AL2352" s="589"/>
      <c r="AM2352" s="589"/>
      <c r="AN2352" s="589"/>
      <c r="AO2352" s="589"/>
      <c r="AP2352" s="589"/>
      <c r="AQ2352" s="589"/>
      <c r="AR2352" s="589"/>
      <c r="AS2352" s="589"/>
    </row>
    <row r="2353" spans="1:45" ht="15">
      <c r="A2353" s="590" t="s">
        <v>164</v>
      </c>
      <c r="B2353" s="591" t="s">
        <v>469</v>
      </c>
      <c r="C2353" s="591" t="s">
        <v>811</v>
      </c>
      <c r="D2353" s="592">
        <v>2019</v>
      </c>
      <c r="E2353" s="591" t="s">
        <v>775</v>
      </c>
      <c r="F2353" s="592">
        <v>315</v>
      </c>
      <c r="G2353" s="592">
        <v>0</v>
      </c>
      <c r="H2353" s="592">
        <v>0</v>
      </c>
      <c r="I2353" s="592">
        <v>0</v>
      </c>
      <c r="J2353" s="592">
        <v>206</v>
      </c>
      <c r="K2353" s="592">
        <v>0</v>
      </c>
      <c r="L2353" s="592">
        <v>0</v>
      </c>
      <c r="M2353" s="592">
        <v>0</v>
      </c>
      <c r="N2353" s="593">
        <v>239</v>
      </c>
      <c r="O2353" s="593">
        <v>0</v>
      </c>
      <c r="P2353" s="593">
        <v>548</v>
      </c>
      <c r="Q2353" s="593">
        <v>76</v>
      </c>
      <c r="R2353" s="593">
        <v>1308</v>
      </c>
      <c r="S2353" s="593">
        <v>76</v>
      </c>
      <c r="T2353" s="593">
        <v>2019</v>
      </c>
      <c r="U2353" s="593">
        <v>2016</v>
      </c>
      <c r="V2353" s="589"/>
      <c r="W2353" s="589"/>
      <c r="X2353" s="589"/>
      <c r="Y2353" s="589"/>
      <c r="Z2353" s="589"/>
      <c r="AA2353" s="589"/>
      <c r="AB2353" s="589"/>
      <c r="AC2353" s="589"/>
      <c r="AD2353" s="589"/>
      <c r="AE2353" s="589"/>
      <c r="AF2353" s="589"/>
      <c r="AG2353" s="589"/>
      <c r="AH2353" s="589"/>
      <c r="AI2353" s="589"/>
      <c r="AJ2353" s="589"/>
      <c r="AK2353" s="589"/>
      <c r="AL2353" s="589"/>
      <c r="AM2353" s="589"/>
      <c r="AN2353" s="589"/>
      <c r="AO2353" s="589"/>
      <c r="AP2353" s="589"/>
      <c r="AQ2353" s="589"/>
      <c r="AR2353" s="589"/>
      <c r="AS2353" s="589"/>
    </row>
    <row r="2354" spans="1:45" ht="15">
      <c r="A2354" s="587" t="s">
        <v>158</v>
      </c>
      <c r="B2354" s="587" t="s">
        <v>448</v>
      </c>
      <c r="C2354" s="587" t="s">
        <v>785</v>
      </c>
      <c r="D2354" s="588">
        <v>2019</v>
      </c>
      <c r="E2354" s="587" t="s">
        <v>775</v>
      </c>
      <c r="F2354" s="588">
        <v>265</v>
      </c>
      <c r="G2354" s="588">
        <v>0</v>
      </c>
      <c r="H2354" s="588">
        <v>0</v>
      </c>
      <c r="I2354" s="588">
        <v>0</v>
      </c>
      <c r="J2354" s="588">
        <v>130</v>
      </c>
      <c r="K2354" s="588">
        <v>0</v>
      </c>
      <c r="L2354" s="588">
        <v>0</v>
      </c>
      <c r="M2354" s="588">
        <v>0</v>
      </c>
      <c r="N2354" s="588">
        <v>180</v>
      </c>
      <c r="O2354" s="588">
        <v>0</v>
      </c>
      <c r="P2354" s="588">
        <v>420</v>
      </c>
      <c r="Q2354" s="588">
        <v>63</v>
      </c>
      <c r="R2354" s="588">
        <v>995</v>
      </c>
      <c r="S2354" s="588">
        <v>63</v>
      </c>
      <c r="T2354" s="588">
        <v>2019</v>
      </c>
      <c r="U2354" s="588">
        <v>2014</v>
      </c>
      <c r="V2354" s="589"/>
      <c r="W2354" s="589"/>
      <c r="X2354" s="589"/>
      <c r="Y2354" s="589"/>
      <c r="Z2354" s="589"/>
      <c r="AA2354" s="589"/>
      <c r="AB2354" s="589"/>
      <c r="AC2354" s="589"/>
      <c r="AD2354" s="589"/>
      <c r="AE2354" s="589"/>
      <c r="AF2354" s="589"/>
      <c r="AG2354" s="589"/>
      <c r="AH2354" s="589"/>
      <c r="AI2354" s="589"/>
      <c r="AJ2354" s="589"/>
      <c r="AK2354" s="589"/>
      <c r="AL2354" s="589"/>
      <c r="AM2354" s="589"/>
      <c r="AN2354" s="589"/>
      <c r="AO2354" s="589"/>
      <c r="AP2354" s="589"/>
      <c r="AQ2354" s="589"/>
      <c r="AR2354" s="589"/>
      <c r="AS2354" s="589"/>
    </row>
    <row r="2355" spans="1:45" ht="15">
      <c r="A2355" s="590" t="s">
        <v>158</v>
      </c>
      <c r="B2355" s="591" t="s">
        <v>448</v>
      </c>
      <c r="C2355" s="591" t="s">
        <v>969</v>
      </c>
      <c r="D2355" s="592">
        <v>2019</v>
      </c>
      <c r="E2355" s="591" t="s">
        <v>775</v>
      </c>
      <c r="F2355" s="592">
        <v>0</v>
      </c>
      <c r="G2355" s="592">
        <v>0</v>
      </c>
      <c r="H2355" s="592">
        <v>0</v>
      </c>
      <c r="I2355" s="592">
        <v>0</v>
      </c>
      <c r="J2355" s="592">
        <v>0</v>
      </c>
      <c r="K2355" s="592">
        <v>0</v>
      </c>
      <c r="L2355" s="592">
        <v>0</v>
      </c>
      <c r="M2355" s="592">
        <v>0</v>
      </c>
      <c r="N2355" s="593">
        <v>0</v>
      </c>
      <c r="O2355" s="593">
        <v>0</v>
      </c>
      <c r="P2355" s="593">
        <v>0</v>
      </c>
      <c r="Q2355" s="593">
        <v>63</v>
      </c>
      <c r="R2355" s="593">
        <v>0</v>
      </c>
      <c r="S2355" s="593">
        <v>63</v>
      </c>
      <c r="T2355" s="593">
        <v>2019</v>
      </c>
      <c r="U2355" s="593">
        <v>2014</v>
      </c>
      <c r="V2355" s="589"/>
      <c r="W2355" s="589"/>
      <c r="X2355" s="589"/>
      <c r="Y2355" s="589"/>
      <c r="Z2355" s="589"/>
      <c r="AA2355" s="589"/>
      <c r="AB2355" s="589"/>
      <c r="AC2355" s="589"/>
      <c r="AD2355" s="589"/>
      <c r="AE2355" s="589"/>
      <c r="AF2355" s="589"/>
      <c r="AG2355" s="589"/>
      <c r="AH2355" s="589"/>
      <c r="AI2355" s="589"/>
      <c r="AJ2355" s="589"/>
      <c r="AK2355" s="589"/>
      <c r="AL2355" s="589"/>
      <c r="AM2355" s="589"/>
      <c r="AN2355" s="589"/>
      <c r="AO2355" s="589"/>
      <c r="AP2355" s="589"/>
      <c r="AQ2355" s="589"/>
      <c r="AR2355" s="589"/>
      <c r="AS2355" s="589"/>
    </row>
    <row r="2356" spans="1:45" ht="15">
      <c r="A2356" s="587" t="s">
        <v>136</v>
      </c>
      <c r="B2356" s="587" t="s">
        <v>274</v>
      </c>
      <c r="C2356" s="587" t="s">
        <v>782</v>
      </c>
      <c r="D2356" s="588">
        <v>2019</v>
      </c>
      <c r="E2356" s="587" t="s">
        <v>775</v>
      </c>
      <c r="F2356" s="588">
        <v>124</v>
      </c>
      <c r="G2356" s="588">
        <v>0</v>
      </c>
      <c r="H2356" s="588">
        <v>0</v>
      </c>
      <c r="I2356" s="588">
        <v>0</v>
      </c>
      <c r="J2356" s="588">
        <v>72</v>
      </c>
      <c r="K2356" s="588">
        <v>0</v>
      </c>
      <c r="L2356" s="588">
        <v>0</v>
      </c>
      <c r="M2356" s="588">
        <v>0</v>
      </c>
      <c r="N2356" s="588">
        <v>78</v>
      </c>
      <c r="O2356" s="588">
        <v>0</v>
      </c>
      <c r="P2356" s="588">
        <v>195</v>
      </c>
      <c r="Q2356" s="588">
        <v>2</v>
      </c>
      <c r="R2356" s="588">
        <v>469</v>
      </c>
      <c r="S2356" s="588">
        <v>2</v>
      </c>
      <c r="T2356" s="588">
        <v>2019</v>
      </c>
      <c r="U2356" s="588">
        <v>2015</v>
      </c>
      <c r="V2356" s="589"/>
      <c r="W2356" s="589"/>
      <c r="X2356" s="589"/>
      <c r="Y2356" s="589"/>
      <c r="Z2356" s="589"/>
      <c r="AA2356" s="589"/>
      <c r="AB2356" s="589"/>
      <c r="AC2356" s="589"/>
      <c r="AD2356" s="589"/>
      <c r="AE2356" s="589"/>
      <c r="AF2356" s="589"/>
      <c r="AG2356" s="589"/>
      <c r="AH2356" s="589"/>
      <c r="AI2356" s="589"/>
      <c r="AJ2356" s="589"/>
      <c r="AK2356" s="589"/>
      <c r="AL2356" s="589"/>
      <c r="AM2356" s="589"/>
      <c r="AN2356" s="589"/>
      <c r="AO2356" s="589"/>
      <c r="AP2356" s="589"/>
      <c r="AQ2356" s="589"/>
      <c r="AR2356" s="589"/>
      <c r="AS2356" s="589"/>
    </row>
    <row r="2357" spans="1:45" ht="15">
      <c r="A2357" s="590" t="s">
        <v>204</v>
      </c>
      <c r="B2357" s="591" t="s">
        <v>746</v>
      </c>
      <c r="C2357" s="591" t="s">
        <v>801</v>
      </c>
      <c r="D2357" s="592">
        <v>2019</v>
      </c>
      <c r="E2357" s="591" t="s">
        <v>775</v>
      </c>
      <c r="F2357" s="592">
        <v>12</v>
      </c>
      <c r="G2357" s="592">
        <v>0</v>
      </c>
      <c r="H2357" s="592">
        <v>0</v>
      </c>
      <c r="I2357" s="592">
        <v>0</v>
      </c>
      <c r="J2357" s="592">
        <v>8</v>
      </c>
      <c r="K2357" s="592">
        <v>0</v>
      </c>
      <c r="L2357" s="592">
        <v>0</v>
      </c>
      <c r="M2357" s="592">
        <v>0</v>
      </c>
      <c r="N2357" s="593">
        <v>13</v>
      </c>
      <c r="O2357" s="593">
        <v>0</v>
      </c>
      <c r="P2357" s="593">
        <v>39</v>
      </c>
      <c r="Q2357" s="593">
        <v>0</v>
      </c>
      <c r="R2357" s="593">
        <v>72</v>
      </c>
      <c r="S2357" s="593">
        <v>0</v>
      </c>
      <c r="T2357" s="593">
        <v>2019</v>
      </c>
      <c r="U2357" s="593">
        <v>2014</v>
      </c>
      <c r="V2357" s="589"/>
      <c r="W2357" s="589"/>
      <c r="X2357" s="589"/>
      <c r="Y2357" s="589"/>
      <c r="Z2357" s="589"/>
      <c r="AA2357" s="589"/>
      <c r="AB2357" s="589"/>
      <c r="AC2357" s="589"/>
      <c r="AD2357" s="589"/>
      <c r="AE2357" s="589"/>
      <c r="AF2357" s="589"/>
      <c r="AG2357" s="589"/>
      <c r="AH2357" s="589"/>
      <c r="AI2357" s="589"/>
      <c r="AJ2357" s="589"/>
      <c r="AK2357" s="589"/>
      <c r="AL2357" s="589"/>
      <c r="AM2357" s="589"/>
      <c r="AN2357" s="589"/>
      <c r="AO2357" s="589"/>
      <c r="AP2357" s="589"/>
      <c r="AQ2357" s="589"/>
      <c r="AR2357" s="589"/>
      <c r="AS2357" s="589"/>
    </row>
    <row r="2358" spans="1:45" ht="15">
      <c r="A2358" s="587" t="s">
        <v>153</v>
      </c>
      <c r="B2358" s="587" t="s">
        <v>398</v>
      </c>
      <c r="C2358" s="587" t="s">
        <v>813</v>
      </c>
      <c r="D2358" s="588">
        <v>2019</v>
      </c>
      <c r="E2358" s="587" t="s">
        <v>775</v>
      </c>
      <c r="F2358" s="588">
        <v>13</v>
      </c>
      <c r="G2358" s="588">
        <v>0</v>
      </c>
      <c r="H2358" s="588">
        <v>0</v>
      </c>
      <c r="I2358" s="588">
        <v>0</v>
      </c>
      <c r="J2358" s="588">
        <v>8</v>
      </c>
      <c r="K2358" s="588">
        <v>0</v>
      </c>
      <c r="L2358" s="588">
        <v>0</v>
      </c>
      <c r="M2358" s="588">
        <v>0</v>
      </c>
      <c r="N2358" s="588">
        <v>9</v>
      </c>
      <c r="O2358" s="588">
        <v>16</v>
      </c>
      <c r="P2358" s="588">
        <v>23</v>
      </c>
      <c r="Q2358" s="588">
        <v>5</v>
      </c>
      <c r="R2358" s="588">
        <v>53</v>
      </c>
      <c r="S2358" s="588">
        <v>21</v>
      </c>
      <c r="T2358" s="588">
        <v>2019</v>
      </c>
      <c r="U2358" s="588">
        <v>2014</v>
      </c>
      <c r="V2358" s="589"/>
      <c r="W2358" s="589"/>
      <c r="X2358" s="589"/>
      <c r="Y2358" s="589"/>
      <c r="Z2358" s="589"/>
      <c r="AA2358" s="589"/>
      <c r="AB2358" s="589"/>
      <c r="AC2358" s="589"/>
      <c r="AD2358" s="589"/>
      <c r="AE2358" s="589"/>
      <c r="AF2358" s="589"/>
      <c r="AG2358" s="589"/>
      <c r="AH2358" s="589"/>
      <c r="AI2358" s="589"/>
      <c r="AJ2358" s="589"/>
      <c r="AK2358" s="589"/>
      <c r="AL2358" s="589"/>
      <c r="AM2358" s="589"/>
      <c r="AN2358" s="589"/>
      <c r="AO2358" s="589"/>
      <c r="AP2358" s="589"/>
      <c r="AQ2358" s="589"/>
      <c r="AR2358" s="589"/>
      <c r="AS2358" s="589"/>
    </row>
    <row r="2359" spans="1:45" ht="15">
      <c r="A2359" s="590" t="s">
        <v>148</v>
      </c>
      <c r="B2359" s="591" t="s">
        <v>330</v>
      </c>
      <c r="C2359" s="591" t="s">
        <v>811</v>
      </c>
      <c r="D2359" s="592">
        <v>2019</v>
      </c>
      <c r="E2359" s="591" t="s">
        <v>775</v>
      </c>
      <c r="F2359" s="592">
        <v>93</v>
      </c>
      <c r="G2359" s="592">
        <v>0</v>
      </c>
      <c r="H2359" s="592">
        <v>0</v>
      </c>
      <c r="I2359" s="592">
        <v>0</v>
      </c>
      <c r="J2359" s="592">
        <v>73</v>
      </c>
      <c r="K2359" s="592">
        <v>0</v>
      </c>
      <c r="L2359" s="592">
        <v>0</v>
      </c>
      <c r="M2359" s="592">
        <v>0</v>
      </c>
      <c r="N2359" s="593">
        <v>66</v>
      </c>
      <c r="O2359" s="593">
        <v>0</v>
      </c>
      <c r="P2359" s="593">
        <v>79</v>
      </c>
      <c r="Q2359" s="593">
        <v>7</v>
      </c>
      <c r="R2359" s="593">
        <v>311</v>
      </c>
      <c r="S2359" s="593">
        <v>7</v>
      </c>
      <c r="T2359" s="593">
        <v>2019</v>
      </c>
      <c r="U2359" s="593">
        <v>2016</v>
      </c>
      <c r="V2359" s="589"/>
      <c r="W2359" s="589"/>
      <c r="X2359" s="589"/>
      <c r="Y2359" s="589"/>
      <c r="Z2359" s="589"/>
      <c r="AA2359" s="589"/>
      <c r="AB2359" s="589"/>
      <c r="AC2359" s="589"/>
      <c r="AD2359" s="589"/>
      <c r="AE2359" s="589"/>
      <c r="AF2359" s="589"/>
      <c r="AG2359" s="589"/>
      <c r="AH2359" s="589"/>
      <c r="AI2359" s="589"/>
      <c r="AJ2359" s="589"/>
      <c r="AK2359" s="589"/>
      <c r="AL2359" s="589"/>
      <c r="AM2359" s="589"/>
      <c r="AN2359" s="589"/>
      <c r="AO2359" s="589"/>
      <c r="AP2359" s="589"/>
      <c r="AQ2359" s="589"/>
      <c r="AR2359" s="589"/>
      <c r="AS2359" s="589"/>
    </row>
    <row r="2360" spans="1:45" ht="15">
      <c r="A2360" s="587" t="s">
        <v>159</v>
      </c>
      <c r="B2360" s="587" t="s">
        <v>450</v>
      </c>
      <c r="C2360" s="587" t="s">
        <v>972</v>
      </c>
      <c r="D2360" s="588">
        <v>2019</v>
      </c>
      <c r="E2360" s="587" t="s">
        <v>775</v>
      </c>
      <c r="F2360" s="588">
        <v>0</v>
      </c>
      <c r="G2360" s="588">
        <v>0</v>
      </c>
      <c r="H2360" s="588">
        <v>0</v>
      </c>
      <c r="I2360" s="588">
        <v>0</v>
      </c>
      <c r="J2360" s="588">
        <v>0</v>
      </c>
      <c r="K2360" s="588">
        <v>0</v>
      </c>
      <c r="L2360" s="588">
        <v>0</v>
      </c>
      <c r="M2360" s="588">
        <v>0</v>
      </c>
      <c r="N2360" s="588">
        <v>0</v>
      </c>
      <c r="O2360" s="588">
        <v>10</v>
      </c>
      <c r="P2360" s="588">
        <v>0</v>
      </c>
      <c r="Q2360" s="588">
        <v>75</v>
      </c>
      <c r="R2360" s="588">
        <v>0</v>
      </c>
      <c r="S2360" s="588">
        <v>85</v>
      </c>
      <c r="T2360" s="588">
        <v>2019</v>
      </c>
      <c r="U2360" s="588">
        <v>2014</v>
      </c>
      <c r="V2360" s="589"/>
      <c r="W2360" s="589"/>
      <c r="X2360" s="589"/>
      <c r="Y2360" s="589"/>
      <c r="Z2360" s="589"/>
      <c r="AA2360" s="589"/>
      <c r="AB2360" s="589"/>
      <c r="AC2360" s="589"/>
      <c r="AD2360" s="589"/>
      <c r="AE2360" s="589"/>
      <c r="AF2360" s="589"/>
      <c r="AG2360" s="589"/>
      <c r="AH2360" s="589"/>
      <c r="AI2360" s="589"/>
      <c r="AJ2360" s="589"/>
      <c r="AK2360" s="589"/>
      <c r="AL2360" s="589"/>
      <c r="AM2360" s="589"/>
      <c r="AN2360" s="589"/>
      <c r="AO2360" s="589"/>
      <c r="AP2360" s="589"/>
      <c r="AQ2360" s="589"/>
      <c r="AR2360" s="589"/>
      <c r="AS2360" s="589"/>
    </row>
    <row r="2361" spans="1:45" ht="15">
      <c r="A2361" s="590" t="s">
        <v>159</v>
      </c>
      <c r="B2361" s="591" t="s">
        <v>450</v>
      </c>
      <c r="C2361" s="591" t="s">
        <v>785</v>
      </c>
      <c r="D2361" s="592">
        <v>2019</v>
      </c>
      <c r="E2361" s="591" t="s">
        <v>775</v>
      </c>
      <c r="F2361" s="592">
        <v>40</v>
      </c>
      <c r="G2361" s="592">
        <v>0</v>
      </c>
      <c r="H2361" s="592">
        <v>0</v>
      </c>
      <c r="I2361" s="592">
        <v>0</v>
      </c>
      <c r="J2361" s="592">
        <v>27</v>
      </c>
      <c r="K2361" s="592">
        <v>0</v>
      </c>
      <c r="L2361" s="592">
        <v>0</v>
      </c>
      <c r="M2361" s="592">
        <v>0</v>
      </c>
      <c r="N2361" s="593">
        <v>27</v>
      </c>
      <c r="O2361" s="593">
        <v>10</v>
      </c>
      <c r="P2361" s="593">
        <v>74</v>
      </c>
      <c r="Q2361" s="593">
        <v>75</v>
      </c>
      <c r="R2361" s="593">
        <v>168</v>
      </c>
      <c r="S2361" s="593">
        <v>85</v>
      </c>
      <c r="T2361" s="593">
        <v>2019</v>
      </c>
      <c r="U2361" s="593">
        <v>2014</v>
      </c>
      <c r="V2361" s="589"/>
      <c r="W2361" s="589"/>
      <c r="X2361" s="589"/>
      <c r="Y2361" s="589"/>
      <c r="Z2361" s="589"/>
      <c r="AA2361" s="589"/>
      <c r="AB2361" s="589"/>
      <c r="AC2361" s="589"/>
      <c r="AD2361" s="589"/>
      <c r="AE2361" s="589"/>
      <c r="AF2361" s="589"/>
      <c r="AG2361" s="589"/>
      <c r="AH2361" s="589"/>
      <c r="AI2361" s="589"/>
      <c r="AJ2361" s="589"/>
      <c r="AK2361" s="589"/>
      <c r="AL2361" s="589"/>
      <c r="AM2361" s="589"/>
      <c r="AN2361" s="589"/>
      <c r="AO2361" s="589"/>
      <c r="AP2361" s="589"/>
      <c r="AQ2361" s="589"/>
      <c r="AR2361" s="589"/>
      <c r="AS2361" s="589"/>
    </row>
    <row r="2362" spans="1:45" ht="15">
      <c r="A2362" s="587" t="s">
        <v>173</v>
      </c>
      <c r="B2362" s="587" t="s">
        <v>544</v>
      </c>
      <c r="C2362" s="587" t="s">
        <v>813</v>
      </c>
      <c r="D2362" s="588">
        <v>2019</v>
      </c>
      <c r="E2362" s="587" t="s">
        <v>775</v>
      </c>
      <c r="F2362" s="588">
        <v>1488</v>
      </c>
      <c r="G2362" s="588">
        <v>0</v>
      </c>
      <c r="H2362" s="588">
        <v>0</v>
      </c>
      <c r="I2362" s="588">
        <v>0</v>
      </c>
      <c r="J2362" s="588">
        <v>1007</v>
      </c>
      <c r="K2362" s="588">
        <v>4</v>
      </c>
      <c r="L2362" s="588">
        <v>0</v>
      </c>
      <c r="M2362" s="588">
        <v>4</v>
      </c>
      <c r="N2362" s="588">
        <v>1140</v>
      </c>
      <c r="O2362" s="588">
        <v>379</v>
      </c>
      <c r="P2362" s="588">
        <v>2610</v>
      </c>
      <c r="Q2362" s="588">
        <v>653</v>
      </c>
      <c r="R2362" s="588">
        <v>6245</v>
      </c>
      <c r="S2362" s="588">
        <v>1036</v>
      </c>
      <c r="T2362" s="588">
        <v>2019</v>
      </c>
      <c r="U2362" s="588">
        <v>2014</v>
      </c>
      <c r="V2362" s="589"/>
      <c r="W2362" s="589"/>
      <c r="X2362" s="589"/>
      <c r="Y2362" s="589"/>
      <c r="Z2362" s="589"/>
      <c r="AA2362" s="589"/>
      <c r="AB2362" s="589"/>
      <c r="AC2362" s="589"/>
      <c r="AD2362" s="589"/>
      <c r="AE2362" s="589"/>
      <c r="AF2362" s="589"/>
      <c r="AG2362" s="589"/>
      <c r="AH2362" s="589"/>
      <c r="AI2362" s="589"/>
      <c r="AJ2362" s="589"/>
      <c r="AK2362" s="589"/>
      <c r="AL2362" s="589"/>
      <c r="AM2362" s="589"/>
      <c r="AN2362" s="589"/>
      <c r="AO2362" s="589"/>
      <c r="AP2362" s="589"/>
      <c r="AQ2362" s="589"/>
      <c r="AR2362" s="589"/>
      <c r="AS2362" s="589"/>
    </row>
    <row r="2363" spans="1:45" ht="15">
      <c r="A2363" s="590" t="s">
        <v>184</v>
      </c>
      <c r="B2363" s="591" t="s">
        <v>633</v>
      </c>
      <c r="C2363" s="591" t="s">
        <v>782</v>
      </c>
      <c r="D2363" s="592">
        <v>2019</v>
      </c>
      <c r="E2363" s="591" t="s">
        <v>775</v>
      </c>
      <c r="F2363" s="592">
        <v>233</v>
      </c>
      <c r="G2363" s="592">
        <v>1</v>
      </c>
      <c r="H2363" s="592">
        <v>0</v>
      </c>
      <c r="I2363" s="592">
        <v>1</v>
      </c>
      <c r="J2363" s="592">
        <v>129</v>
      </c>
      <c r="K2363" s="592">
        <v>16</v>
      </c>
      <c r="L2363" s="592">
        <v>14</v>
      </c>
      <c r="M2363" s="592">
        <v>2</v>
      </c>
      <c r="N2363" s="593">
        <v>143</v>
      </c>
      <c r="O2363" s="593">
        <v>7</v>
      </c>
      <c r="P2363" s="593">
        <v>150</v>
      </c>
      <c r="Q2363" s="593">
        <v>172</v>
      </c>
      <c r="R2363" s="593">
        <v>655</v>
      </c>
      <c r="S2363" s="593">
        <v>196</v>
      </c>
      <c r="T2363" s="593">
        <v>2019</v>
      </c>
      <c r="U2363" s="593">
        <v>2015</v>
      </c>
      <c r="V2363" s="589"/>
      <c r="W2363" s="589"/>
      <c r="X2363" s="589"/>
      <c r="Y2363" s="589"/>
      <c r="Z2363" s="589"/>
      <c r="AA2363" s="589"/>
      <c r="AB2363" s="589"/>
      <c r="AC2363" s="589"/>
      <c r="AD2363" s="589"/>
      <c r="AE2363" s="589"/>
      <c r="AF2363" s="589"/>
      <c r="AG2363" s="589"/>
      <c r="AH2363" s="589"/>
      <c r="AI2363" s="589"/>
      <c r="AJ2363" s="589"/>
      <c r="AK2363" s="589"/>
      <c r="AL2363" s="589"/>
      <c r="AM2363" s="589"/>
      <c r="AN2363" s="589"/>
      <c r="AO2363" s="589"/>
      <c r="AP2363" s="589"/>
      <c r="AQ2363" s="589"/>
      <c r="AR2363" s="589"/>
      <c r="AS2363" s="589"/>
    </row>
    <row r="2364" spans="1:45" ht="15">
      <c r="A2364" s="587" t="s">
        <v>160</v>
      </c>
      <c r="B2364" s="587" t="s">
        <v>160</v>
      </c>
      <c r="C2364" s="587" t="s">
        <v>829</v>
      </c>
      <c r="D2364" s="588">
        <v>2019</v>
      </c>
      <c r="E2364" s="587" t="s">
        <v>775</v>
      </c>
      <c r="F2364" s="588">
        <v>1351</v>
      </c>
      <c r="G2364" s="588">
        <v>0</v>
      </c>
      <c r="H2364" s="588">
        <v>0</v>
      </c>
      <c r="I2364" s="588">
        <v>0</v>
      </c>
      <c r="J2364" s="588">
        <v>966</v>
      </c>
      <c r="K2364" s="588">
        <v>0</v>
      </c>
      <c r="L2364" s="588">
        <v>0</v>
      </c>
      <c r="M2364" s="588">
        <v>0</v>
      </c>
      <c r="N2364" s="588">
        <v>886</v>
      </c>
      <c r="O2364" s="588">
        <v>18</v>
      </c>
      <c r="P2364" s="588">
        <v>2348</v>
      </c>
      <c r="Q2364" s="588">
        <v>650</v>
      </c>
      <c r="R2364" s="588">
        <v>5551</v>
      </c>
      <c r="S2364" s="588">
        <v>668</v>
      </c>
      <c r="T2364" s="588">
        <v>2019</v>
      </c>
      <c r="U2364" s="588">
        <v>2016</v>
      </c>
      <c r="V2364" s="589"/>
      <c r="W2364" s="589"/>
      <c r="X2364" s="589"/>
      <c r="Y2364" s="589"/>
      <c r="Z2364" s="589"/>
      <c r="AA2364" s="589"/>
      <c r="AB2364" s="589"/>
      <c r="AC2364" s="589"/>
      <c r="AD2364" s="589"/>
      <c r="AE2364" s="589"/>
      <c r="AF2364" s="589"/>
      <c r="AG2364" s="589"/>
      <c r="AH2364" s="589"/>
      <c r="AI2364" s="589"/>
      <c r="AJ2364" s="589"/>
      <c r="AK2364" s="589"/>
      <c r="AL2364" s="589"/>
      <c r="AM2364" s="589"/>
      <c r="AN2364" s="589"/>
      <c r="AO2364" s="589"/>
      <c r="AP2364" s="589"/>
      <c r="AQ2364" s="589"/>
      <c r="AR2364" s="589"/>
      <c r="AS2364" s="589"/>
    </row>
    <row r="2365" spans="1:45" ht="15">
      <c r="A2365" s="590" t="s">
        <v>160</v>
      </c>
      <c r="B2365" s="591" t="s">
        <v>459</v>
      </c>
      <c r="C2365" s="591" t="s">
        <v>829</v>
      </c>
      <c r="D2365" s="592">
        <v>2019</v>
      </c>
      <c r="E2365" s="591" t="s">
        <v>775</v>
      </c>
      <c r="F2365" s="592">
        <v>1085</v>
      </c>
      <c r="G2365" s="592">
        <v>0</v>
      </c>
      <c r="H2365" s="592">
        <v>0</v>
      </c>
      <c r="I2365" s="592">
        <v>0</v>
      </c>
      <c r="J2365" s="592">
        <v>775</v>
      </c>
      <c r="K2365" s="592">
        <v>25</v>
      </c>
      <c r="L2365" s="592">
        <v>0</v>
      </c>
      <c r="M2365" s="592">
        <v>25</v>
      </c>
      <c r="N2365" s="593">
        <v>711</v>
      </c>
      <c r="O2365" s="593">
        <v>2</v>
      </c>
      <c r="P2365" s="593">
        <v>1885</v>
      </c>
      <c r="Q2365" s="593">
        <v>105</v>
      </c>
      <c r="R2365" s="593">
        <v>4456</v>
      </c>
      <c r="S2365" s="593">
        <v>132</v>
      </c>
      <c r="T2365" s="593">
        <v>2019</v>
      </c>
      <c r="U2365" s="593">
        <v>2016</v>
      </c>
      <c r="V2365" s="589"/>
      <c r="W2365" s="589"/>
      <c r="X2365" s="589"/>
      <c r="Y2365" s="589"/>
      <c r="Z2365" s="589"/>
      <c r="AA2365" s="589"/>
      <c r="AB2365" s="589"/>
      <c r="AC2365" s="589"/>
      <c r="AD2365" s="589"/>
      <c r="AE2365" s="589"/>
      <c r="AF2365" s="589"/>
      <c r="AG2365" s="589"/>
      <c r="AH2365" s="589"/>
      <c r="AI2365" s="589"/>
      <c r="AJ2365" s="589"/>
      <c r="AK2365" s="589"/>
      <c r="AL2365" s="589"/>
      <c r="AM2365" s="589"/>
      <c r="AN2365" s="589"/>
      <c r="AO2365" s="589"/>
      <c r="AP2365" s="589"/>
      <c r="AQ2365" s="589"/>
      <c r="AR2365" s="589"/>
      <c r="AS2365" s="589"/>
    </row>
    <row r="2366" spans="1:45" ht="15">
      <c r="A2366" s="587" t="s">
        <v>157</v>
      </c>
      <c r="B2366" s="587" t="s">
        <v>441</v>
      </c>
      <c r="C2366" s="587" t="s">
        <v>782</v>
      </c>
      <c r="D2366" s="588">
        <v>2019</v>
      </c>
      <c r="E2366" s="587" t="s">
        <v>775</v>
      </c>
      <c r="F2366" s="588">
        <v>41</v>
      </c>
      <c r="G2366" s="588">
        <v>5</v>
      </c>
      <c r="H2366" s="588">
        <v>0</v>
      </c>
      <c r="I2366" s="588">
        <v>5</v>
      </c>
      <c r="J2366" s="588">
        <v>24</v>
      </c>
      <c r="K2366" s="588">
        <v>6</v>
      </c>
      <c r="L2366" s="588">
        <v>2</v>
      </c>
      <c r="M2366" s="588">
        <v>4</v>
      </c>
      <c r="N2366" s="588">
        <v>26</v>
      </c>
      <c r="O2366" s="588">
        <v>4</v>
      </c>
      <c r="P2366" s="588">
        <v>38</v>
      </c>
      <c r="Q2366" s="588">
        <v>11</v>
      </c>
      <c r="R2366" s="588">
        <v>129</v>
      </c>
      <c r="S2366" s="588">
        <v>26</v>
      </c>
      <c r="T2366" s="588">
        <v>2019</v>
      </c>
      <c r="U2366" s="588">
        <v>2015</v>
      </c>
      <c r="V2366" s="589"/>
      <c r="W2366" s="589"/>
      <c r="X2366" s="589"/>
      <c r="Y2366" s="589"/>
      <c r="Z2366" s="589"/>
      <c r="AA2366" s="589"/>
      <c r="AB2366" s="589"/>
      <c r="AC2366" s="589"/>
      <c r="AD2366" s="589"/>
      <c r="AE2366" s="589"/>
      <c r="AF2366" s="589"/>
      <c r="AG2366" s="589"/>
      <c r="AH2366" s="589"/>
      <c r="AI2366" s="589"/>
      <c r="AJ2366" s="589"/>
      <c r="AK2366" s="589"/>
      <c r="AL2366" s="589"/>
      <c r="AM2366" s="589"/>
      <c r="AN2366" s="589"/>
      <c r="AO2366" s="589"/>
      <c r="AP2366" s="589"/>
      <c r="AQ2366" s="589"/>
      <c r="AR2366" s="589"/>
      <c r="AS2366" s="589"/>
    </row>
    <row r="2367" spans="1:45" ht="15">
      <c r="A2367" s="590" t="s">
        <v>184</v>
      </c>
      <c r="B2367" s="591" t="s">
        <v>634</v>
      </c>
      <c r="C2367" s="591" t="s">
        <v>782</v>
      </c>
      <c r="D2367" s="592">
        <v>2019</v>
      </c>
      <c r="E2367" s="591" t="s">
        <v>775</v>
      </c>
      <c r="F2367" s="592">
        <v>193</v>
      </c>
      <c r="G2367" s="592">
        <v>5</v>
      </c>
      <c r="H2367" s="592">
        <v>0</v>
      </c>
      <c r="I2367" s="592">
        <v>5</v>
      </c>
      <c r="J2367" s="592">
        <v>101</v>
      </c>
      <c r="K2367" s="592">
        <v>5</v>
      </c>
      <c r="L2367" s="592">
        <v>0</v>
      </c>
      <c r="M2367" s="592">
        <v>5</v>
      </c>
      <c r="N2367" s="593">
        <v>112</v>
      </c>
      <c r="O2367" s="593">
        <v>4</v>
      </c>
      <c r="P2367" s="593">
        <v>257</v>
      </c>
      <c r="Q2367" s="593">
        <v>4</v>
      </c>
      <c r="R2367" s="593">
        <v>663</v>
      </c>
      <c r="S2367" s="593">
        <v>18</v>
      </c>
      <c r="T2367" s="593">
        <v>2019</v>
      </c>
      <c r="U2367" s="593">
        <v>2015</v>
      </c>
      <c r="V2367" s="589"/>
      <c r="W2367" s="589"/>
      <c r="X2367" s="589"/>
      <c r="Y2367" s="589"/>
      <c r="Z2367" s="589"/>
      <c r="AA2367" s="589"/>
      <c r="AB2367" s="589"/>
      <c r="AC2367" s="589"/>
      <c r="AD2367" s="589"/>
      <c r="AE2367" s="589"/>
      <c r="AF2367" s="589"/>
      <c r="AG2367" s="589"/>
      <c r="AH2367" s="589"/>
      <c r="AI2367" s="589"/>
      <c r="AJ2367" s="589"/>
      <c r="AK2367" s="589"/>
      <c r="AL2367" s="589"/>
      <c r="AM2367" s="589"/>
      <c r="AN2367" s="589"/>
      <c r="AO2367" s="589"/>
      <c r="AP2367" s="589"/>
      <c r="AQ2367" s="589"/>
      <c r="AR2367" s="589"/>
      <c r="AS2367" s="589"/>
    </row>
    <row r="2368" spans="1:45" ht="15">
      <c r="A2368" s="587" t="s">
        <v>187</v>
      </c>
      <c r="B2368" s="587" t="s">
        <v>657</v>
      </c>
      <c r="C2368" s="587" t="s">
        <v>782</v>
      </c>
      <c r="D2368" s="588">
        <v>2019</v>
      </c>
      <c r="E2368" s="587" t="s">
        <v>775</v>
      </c>
      <c r="F2368" s="588">
        <v>1004</v>
      </c>
      <c r="G2368" s="588">
        <v>0</v>
      </c>
      <c r="H2368" s="588">
        <v>0</v>
      </c>
      <c r="I2368" s="588">
        <v>0</v>
      </c>
      <c r="J2368" s="588">
        <v>570</v>
      </c>
      <c r="K2368" s="588">
        <v>0</v>
      </c>
      <c r="L2368" s="588">
        <v>0</v>
      </c>
      <c r="M2368" s="588">
        <v>0</v>
      </c>
      <c r="N2368" s="588">
        <v>565</v>
      </c>
      <c r="O2368" s="588">
        <v>0</v>
      </c>
      <c r="P2368" s="588">
        <v>1151</v>
      </c>
      <c r="Q2368" s="588">
        <v>141</v>
      </c>
      <c r="R2368" s="588">
        <v>3290</v>
      </c>
      <c r="S2368" s="588">
        <v>141</v>
      </c>
      <c r="T2368" s="588">
        <v>2019</v>
      </c>
      <c r="U2368" s="588">
        <v>2015</v>
      </c>
      <c r="V2368" s="589"/>
      <c r="W2368" s="589"/>
      <c r="X2368" s="589"/>
      <c r="Y2368" s="589"/>
      <c r="Z2368" s="589"/>
      <c r="AA2368" s="589"/>
      <c r="AB2368" s="589"/>
      <c r="AC2368" s="589"/>
      <c r="AD2368" s="589"/>
      <c r="AE2368" s="589"/>
      <c r="AF2368" s="589"/>
      <c r="AG2368" s="589"/>
      <c r="AH2368" s="589"/>
      <c r="AI2368" s="589"/>
      <c r="AJ2368" s="589"/>
      <c r="AK2368" s="589"/>
      <c r="AL2368" s="589"/>
      <c r="AM2368" s="589"/>
      <c r="AN2368" s="589"/>
      <c r="AO2368" s="589"/>
      <c r="AP2368" s="589"/>
      <c r="AQ2368" s="589"/>
      <c r="AR2368" s="589"/>
      <c r="AS2368" s="589"/>
    </row>
    <row r="2369" spans="1:45" ht="15">
      <c r="A2369" s="590" t="s">
        <v>169</v>
      </c>
      <c r="B2369" s="591" t="s">
        <v>505</v>
      </c>
      <c r="C2369" s="591" t="s">
        <v>813</v>
      </c>
      <c r="D2369" s="592">
        <v>2019</v>
      </c>
      <c r="E2369" s="591" t="s">
        <v>775</v>
      </c>
      <c r="F2369" s="592">
        <v>42</v>
      </c>
      <c r="G2369" s="592">
        <v>0</v>
      </c>
      <c r="H2369" s="592">
        <v>0</v>
      </c>
      <c r="I2369" s="592">
        <v>0</v>
      </c>
      <c r="J2369" s="592">
        <v>29</v>
      </c>
      <c r="K2369" s="592">
        <v>0</v>
      </c>
      <c r="L2369" s="592">
        <v>0</v>
      </c>
      <c r="M2369" s="592">
        <v>0</v>
      </c>
      <c r="N2369" s="593">
        <v>33</v>
      </c>
      <c r="O2369" s="593">
        <v>0</v>
      </c>
      <c r="P2369" s="593">
        <v>73</v>
      </c>
      <c r="Q2369" s="593">
        <v>0</v>
      </c>
      <c r="R2369" s="593">
        <v>177</v>
      </c>
      <c r="S2369" s="593">
        <v>0</v>
      </c>
      <c r="T2369" s="593">
        <v>2019</v>
      </c>
      <c r="U2369" s="593">
        <v>2014</v>
      </c>
      <c r="V2369" s="589"/>
      <c r="W2369" s="589"/>
      <c r="X2369" s="589"/>
      <c r="Y2369" s="589"/>
      <c r="Z2369" s="589"/>
      <c r="AA2369" s="589"/>
      <c r="AB2369" s="589"/>
      <c r="AC2369" s="589"/>
      <c r="AD2369" s="589"/>
      <c r="AE2369" s="589"/>
      <c r="AF2369" s="589"/>
      <c r="AG2369" s="589"/>
      <c r="AH2369" s="589"/>
      <c r="AI2369" s="589"/>
      <c r="AJ2369" s="589"/>
      <c r="AK2369" s="589"/>
      <c r="AL2369" s="589"/>
      <c r="AM2369" s="589"/>
      <c r="AN2369" s="589"/>
      <c r="AO2369" s="589"/>
      <c r="AP2369" s="589"/>
      <c r="AQ2369" s="589"/>
      <c r="AR2369" s="589"/>
      <c r="AS2369" s="589"/>
    </row>
    <row r="2370" spans="1:45" ht="15">
      <c r="A2370" s="587" t="s">
        <v>195</v>
      </c>
      <c r="B2370" s="587" t="s">
        <v>705</v>
      </c>
      <c r="C2370" s="587" t="s">
        <v>811</v>
      </c>
      <c r="D2370" s="588">
        <v>2019</v>
      </c>
      <c r="E2370" s="587" t="s">
        <v>775</v>
      </c>
      <c r="F2370" s="588">
        <v>1546</v>
      </c>
      <c r="G2370" s="588">
        <v>0</v>
      </c>
      <c r="H2370" s="588">
        <v>0</v>
      </c>
      <c r="I2370" s="588">
        <v>0</v>
      </c>
      <c r="J2370" s="588">
        <v>991</v>
      </c>
      <c r="K2370" s="588">
        <v>5</v>
      </c>
      <c r="L2370" s="588">
        <v>0</v>
      </c>
      <c r="M2370" s="588">
        <v>5</v>
      </c>
      <c r="N2370" s="588">
        <v>1100</v>
      </c>
      <c r="O2370" s="588">
        <v>130</v>
      </c>
      <c r="P2370" s="588">
        <v>2724</v>
      </c>
      <c r="Q2370" s="588">
        <v>159</v>
      </c>
      <c r="R2370" s="588">
        <v>6361</v>
      </c>
      <c r="S2370" s="588">
        <v>294</v>
      </c>
      <c r="T2370" s="588">
        <v>2019</v>
      </c>
      <c r="U2370" s="588">
        <v>2016</v>
      </c>
      <c r="V2370" s="589"/>
      <c r="W2370" s="589"/>
      <c r="X2370" s="589"/>
      <c r="Y2370" s="589"/>
      <c r="Z2370" s="589"/>
      <c r="AA2370" s="589"/>
      <c r="AB2370" s="589"/>
      <c r="AC2370" s="589"/>
      <c r="AD2370" s="589"/>
      <c r="AE2370" s="589"/>
      <c r="AF2370" s="589"/>
      <c r="AG2370" s="589"/>
      <c r="AH2370" s="589"/>
      <c r="AI2370" s="589"/>
      <c r="AJ2370" s="589"/>
      <c r="AK2370" s="589"/>
      <c r="AL2370" s="589"/>
      <c r="AM2370" s="589"/>
      <c r="AN2370" s="589"/>
      <c r="AO2370" s="589"/>
      <c r="AP2370" s="589"/>
      <c r="AQ2370" s="589"/>
      <c r="AR2370" s="589"/>
      <c r="AS2370" s="589"/>
    </row>
    <row r="2371" spans="1:45" ht="15">
      <c r="A2371" s="590" t="s">
        <v>162</v>
      </c>
      <c r="B2371" s="591" t="s">
        <v>461</v>
      </c>
      <c r="C2371" s="591" t="s">
        <v>785</v>
      </c>
      <c r="D2371" s="592">
        <v>2019</v>
      </c>
      <c r="E2371" s="591" t="s">
        <v>775</v>
      </c>
      <c r="F2371" s="592">
        <v>2</v>
      </c>
      <c r="G2371" s="592">
        <v>0</v>
      </c>
      <c r="H2371" s="592">
        <v>0</v>
      </c>
      <c r="I2371" s="592">
        <v>0</v>
      </c>
      <c r="J2371" s="592">
        <v>2</v>
      </c>
      <c r="K2371" s="592">
        <v>1</v>
      </c>
      <c r="L2371" s="592">
        <v>0</v>
      </c>
      <c r="M2371" s="592">
        <v>1</v>
      </c>
      <c r="N2371" s="593">
        <v>1</v>
      </c>
      <c r="O2371" s="593">
        <v>4</v>
      </c>
      <c r="P2371" s="593">
        <v>5</v>
      </c>
      <c r="Q2371" s="593">
        <v>0</v>
      </c>
      <c r="R2371" s="593">
        <v>10</v>
      </c>
      <c r="S2371" s="593">
        <v>5</v>
      </c>
      <c r="T2371" s="593">
        <v>2019</v>
      </c>
      <c r="U2371" s="593">
        <v>2014</v>
      </c>
      <c r="V2371" s="589"/>
      <c r="W2371" s="589"/>
      <c r="X2371" s="589"/>
      <c r="Y2371" s="589"/>
      <c r="Z2371" s="589"/>
      <c r="AA2371" s="589"/>
      <c r="AB2371" s="589"/>
      <c r="AC2371" s="589"/>
      <c r="AD2371" s="589"/>
      <c r="AE2371" s="589"/>
      <c r="AF2371" s="589"/>
      <c r="AG2371" s="589"/>
      <c r="AH2371" s="589"/>
      <c r="AI2371" s="589"/>
      <c r="AJ2371" s="589"/>
      <c r="AK2371" s="589"/>
      <c r="AL2371" s="589"/>
      <c r="AM2371" s="589"/>
      <c r="AN2371" s="589"/>
      <c r="AO2371" s="589"/>
      <c r="AP2371" s="589"/>
      <c r="AQ2371" s="589"/>
      <c r="AR2371" s="589"/>
      <c r="AS2371" s="589"/>
    </row>
    <row r="2372" spans="1:45" ht="15">
      <c r="A2372" s="587" t="s">
        <v>162</v>
      </c>
      <c r="B2372" s="587" t="s">
        <v>461</v>
      </c>
      <c r="C2372" s="587" t="s">
        <v>969</v>
      </c>
      <c r="D2372" s="588">
        <v>2019</v>
      </c>
      <c r="E2372" s="587" t="s">
        <v>775</v>
      </c>
      <c r="F2372" s="588">
        <v>0</v>
      </c>
      <c r="G2372" s="588">
        <v>0</v>
      </c>
      <c r="H2372" s="588">
        <v>0</v>
      </c>
      <c r="I2372" s="588">
        <v>0</v>
      </c>
      <c r="J2372" s="588">
        <v>0</v>
      </c>
      <c r="K2372" s="588">
        <v>1</v>
      </c>
      <c r="L2372" s="588">
        <v>0</v>
      </c>
      <c r="M2372" s="588">
        <v>1</v>
      </c>
      <c r="N2372" s="588">
        <v>0</v>
      </c>
      <c r="O2372" s="588">
        <v>4</v>
      </c>
      <c r="P2372" s="588">
        <v>0</v>
      </c>
      <c r="Q2372" s="588">
        <v>0</v>
      </c>
      <c r="R2372" s="588">
        <v>0</v>
      </c>
      <c r="S2372" s="588">
        <v>5</v>
      </c>
      <c r="T2372" s="588">
        <v>2019</v>
      </c>
      <c r="U2372" s="588">
        <v>2014</v>
      </c>
      <c r="V2372" s="589"/>
      <c r="W2372" s="589"/>
      <c r="X2372" s="589"/>
      <c r="Y2372" s="589"/>
      <c r="Z2372" s="589"/>
      <c r="AA2372" s="589"/>
      <c r="AB2372" s="589"/>
      <c r="AC2372" s="589"/>
      <c r="AD2372" s="589"/>
      <c r="AE2372" s="589"/>
      <c r="AF2372" s="589"/>
      <c r="AG2372" s="589"/>
      <c r="AH2372" s="589"/>
      <c r="AI2372" s="589"/>
      <c r="AJ2372" s="589"/>
      <c r="AK2372" s="589"/>
      <c r="AL2372" s="589"/>
      <c r="AM2372" s="589"/>
      <c r="AN2372" s="589"/>
      <c r="AO2372" s="589"/>
      <c r="AP2372" s="589"/>
      <c r="AQ2372" s="589"/>
      <c r="AR2372" s="589"/>
      <c r="AS2372" s="589"/>
    </row>
    <row r="2373" spans="1:45" ht="15">
      <c r="A2373" s="590" t="s">
        <v>163</v>
      </c>
      <c r="B2373" s="591" t="s">
        <v>463</v>
      </c>
      <c r="C2373" s="591" t="s">
        <v>972</v>
      </c>
      <c r="D2373" s="592">
        <v>2019</v>
      </c>
      <c r="E2373" s="591" t="s">
        <v>775</v>
      </c>
      <c r="F2373" s="592">
        <v>0</v>
      </c>
      <c r="G2373" s="592">
        <v>0</v>
      </c>
      <c r="H2373" s="592">
        <v>0</v>
      </c>
      <c r="I2373" s="592">
        <v>0</v>
      </c>
      <c r="J2373" s="592">
        <v>0</v>
      </c>
      <c r="K2373" s="592">
        <v>7</v>
      </c>
      <c r="L2373" s="592">
        <v>0</v>
      </c>
      <c r="M2373" s="592">
        <v>7</v>
      </c>
      <c r="N2373" s="593">
        <v>0</v>
      </c>
      <c r="O2373" s="593">
        <v>7</v>
      </c>
      <c r="P2373" s="593">
        <v>0</v>
      </c>
      <c r="Q2373" s="593">
        <v>3</v>
      </c>
      <c r="R2373" s="593">
        <v>0</v>
      </c>
      <c r="S2373" s="593">
        <v>17</v>
      </c>
      <c r="T2373" s="593">
        <v>2019</v>
      </c>
      <c r="U2373" s="593">
        <v>2014</v>
      </c>
      <c r="V2373" s="589"/>
      <c r="W2373" s="589"/>
      <c r="X2373" s="589"/>
      <c r="Y2373" s="589"/>
      <c r="Z2373" s="589"/>
      <c r="AA2373" s="589"/>
      <c r="AB2373" s="589"/>
      <c r="AC2373" s="589"/>
      <c r="AD2373" s="589"/>
      <c r="AE2373" s="589"/>
      <c r="AF2373" s="589"/>
      <c r="AG2373" s="589"/>
      <c r="AH2373" s="589"/>
      <c r="AI2373" s="589"/>
      <c r="AJ2373" s="589"/>
      <c r="AK2373" s="589"/>
      <c r="AL2373" s="589"/>
      <c r="AM2373" s="589"/>
      <c r="AN2373" s="589"/>
      <c r="AO2373" s="589"/>
      <c r="AP2373" s="589"/>
      <c r="AQ2373" s="589"/>
      <c r="AR2373" s="589"/>
      <c r="AS2373" s="589"/>
    </row>
    <row r="2374" spans="1:45" ht="15">
      <c r="A2374" s="587" t="s">
        <v>163</v>
      </c>
      <c r="B2374" s="587" t="s">
        <v>463</v>
      </c>
      <c r="C2374" s="587" t="s">
        <v>785</v>
      </c>
      <c r="D2374" s="588">
        <v>2019</v>
      </c>
      <c r="E2374" s="587" t="s">
        <v>775</v>
      </c>
      <c r="F2374" s="588">
        <v>11</v>
      </c>
      <c r="G2374" s="588">
        <v>0</v>
      </c>
      <c r="H2374" s="588">
        <v>0</v>
      </c>
      <c r="I2374" s="588">
        <v>0</v>
      </c>
      <c r="J2374" s="588">
        <v>7</v>
      </c>
      <c r="K2374" s="588">
        <v>7</v>
      </c>
      <c r="L2374" s="588">
        <v>0</v>
      </c>
      <c r="M2374" s="588">
        <v>7</v>
      </c>
      <c r="N2374" s="588">
        <v>9</v>
      </c>
      <c r="O2374" s="588">
        <v>7</v>
      </c>
      <c r="P2374" s="588">
        <v>19</v>
      </c>
      <c r="Q2374" s="588">
        <v>3</v>
      </c>
      <c r="R2374" s="588">
        <v>46</v>
      </c>
      <c r="S2374" s="588">
        <v>17</v>
      </c>
      <c r="T2374" s="588">
        <v>2019</v>
      </c>
      <c r="U2374" s="588">
        <v>2014</v>
      </c>
      <c r="V2374" s="589"/>
      <c r="W2374" s="589"/>
      <c r="X2374" s="589"/>
      <c r="Y2374" s="589"/>
      <c r="Z2374" s="589"/>
      <c r="AA2374" s="589"/>
      <c r="AB2374" s="589"/>
      <c r="AC2374" s="589"/>
      <c r="AD2374" s="589"/>
      <c r="AE2374" s="589"/>
      <c r="AF2374" s="589"/>
      <c r="AG2374" s="589"/>
      <c r="AH2374" s="589"/>
      <c r="AI2374" s="589"/>
      <c r="AJ2374" s="589"/>
      <c r="AK2374" s="589"/>
      <c r="AL2374" s="589"/>
      <c r="AM2374" s="589"/>
      <c r="AN2374" s="589"/>
      <c r="AO2374" s="589"/>
      <c r="AP2374" s="589"/>
      <c r="AQ2374" s="589"/>
      <c r="AR2374" s="589"/>
      <c r="AS2374" s="589"/>
    </row>
    <row r="2375" spans="1:45" ht="15">
      <c r="A2375" s="590" t="s">
        <v>153</v>
      </c>
      <c r="B2375" s="591" t="s">
        <v>399</v>
      </c>
      <c r="C2375" s="591" t="s">
        <v>813</v>
      </c>
      <c r="D2375" s="592">
        <v>2019</v>
      </c>
      <c r="E2375" s="591" t="s">
        <v>775</v>
      </c>
      <c r="F2375" s="592">
        <v>101</v>
      </c>
      <c r="G2375" s="592">
        <v>0</v>
      </c>
      <c r="H2375" s="592">
        <v>0</v>
      </c>
      <c r="I2375" s="592">
        <v>0</v>
      </c>
      <c r="J2375" s="592">
        <v>61</v>
      </c>
      <c r="K2375" s="592">
        <v>0</v>
      </c>
      <c r="L2375" s="592">
        <v>0</v>
      </c>
      <c r="M2375" s="592">
        <v>0</v>
      </c>
      <c r="N2375" s="593">
        <v>65</v>
      </c>
      <c r="O2375" s="593">
        <v>0</v>
      </c>
      <c r="P2375" s="593">
        <v>162</v>
      </c>
      <c r="Q2375" s="593">
        <v>18</v>
      </c>
      <c r="R2375" s="593">
        <v>389</v>
      </c>
      <c r="S2375" s="593">
        <v>18</v>
      </c>
      <c r="T2375" s="593">
        <v>2019</v>
      </c>
      <c r="U2375" s="593">
        <v>2014</v>
      </c>
      <c r="V2375" s="589"/>
      <c r="W2375" s="589"/>
      <c r="X2375" s="589"/>
      <c r="Y2375" s="589"/>
      <c r="Z2375" s="589"/>
      <c r="AA2375" s="589"/>
      <c r="AB2375" s="589"/>
      <c r="AC2375" s="589"/>
      <c r="AD2375" s="589"/>
      <c r="AE2375" s="589"/>
      <c r="AF2375" s="589"/>
      <c r="AG2375" s="589"/>
      <c r="AH2375" s="589"/>
      <c r="AI2375" s="589"/>
      <c r="AJ2375" s="589"/>
      <c r="AK2375" s="589"/>
      <c r="AL2375" s="589"/>
      <c r="AM2375" s="589"/>
      <c r="AN2375" s="589"/>
      <c r="AO2375" s="589"/>
      <c r="AP2375" s="589"/>
      <c r="AQ2375" s="589"/>
      <c r="AR2375" s="589"/>
      <c r="AS2375" s="589"/>
    </row>
    <row r="2376" spans="1:45" ht="15">
      <c r="A2376" s="587" t="s">
        <v>191</v>
      </c>
      <c r="B2376" s="587" t="s">
        <v>680</v>
      </c>
      <c r="C2376" s="587" t="s">
        <v>785</v>
      </c>
      <c r="D2376" s="588">
        <v>2019</v>
      </c>
      <c r="E2376" s="587" t="s">
        <v>775</v>
      </c>
      <c r="F2376" s="588">
        <v>5</v>
      </c>
      <c r="G2376" s="588">
        <v>0</v>
      </c>
      <c r="H2376" s="588">
        <v>0</v>
      </c>
      <c r="I2376" s="588">
        <v>0</v>
      </c>
      <c r="J2376" s="588">
        <v>3</v>
      </c>
      <c r="K2376" s="588">
        <v>0</v>
      </c>
      <c r="L2376" s="588">
        <v>0</v>
      </c>
      <c r="M2376" s="588">
        <v>0</v>
      </c>
      <c r="N2376" s="588">
        <v>3</v>
      </c>
      <c r="O2376" s="588">
        <v>0</v>
      </c>
      <c r="P2376" s="588">
        <v>8</v>
      </c>
      <c r="Q2376" s="588">
        <v>0</v>
      </c>
      <c r="R2376" s="588">
        <v>19</v>
      </c>
      <c r="S2376" s="588">
        <v>0</v>
      </c>
      <c r="T2376" s="588">
        <v>2019</v>
      </c>
      <c r="U2376" s="588">
        <v>2014</v>
      </c>
      <c r="V2376" s="589"/>
      <c r="W2376" s="589"/>
      <c r="X2376" s="589"/>
      <c r="Y2376" s="589"/>
      <c r="Z2376" s="589"/>
      <c r="AA2376" s="589"/>
      <c r="AB2376" s="589"/>
      <c r="AC2376" s="589"/>
      <c r="AD2376" s="589"/>
      <c r="AE2376" s="589"/>
      <c r="AF2376" s="589"/>
      <c r="AG2376" s="589"/>
      <c r="AH2376" s="589"/>
      <c r="AI2376" s="589"/>
      <c r="AJ2376" s="589"/>
      <c r="AK2376" s="589"/>
      <c r="AL2376" s="589"/>
      <c r="AM2376" s="589"/>
      <c r="AN2376" s="589"/>
      <c r="AO2376" s="589"/>
      <c r="AP2376" s="589"/>
      <c r="AQ2376" s="589"/>
      <c r="AR2376" s="589"/>
      <c r="AS2376" s="589"/>
    </row>
    <row r="2377" spans="1:45" ht="15">
      <c r="A2377" s="590" t="s">
        <v>178</v>
      </c>
      <c r="B2377" s="591" t="s">
        <v>578</v>
      </c>
      <c r="C2377" s="591" t="s">
        <v>813</v>
      </c>
      <c r="D2377" s="592">
        <v>2019</v>
      </c>
      <c r="E2377" s="591" t="s">
        <v>775</v>
      </c>
      <c r="F2377" s="592">
        <v>164</v>
      </c>
      <c r="G2377" s="592">
        <v>0</v>
      </c>
      <c r="H2377" s="592">
        <v>0</v>
      </c>
      <c r="I2377" s="592">
        <v>0</v>
      </c>
      <c r="J2377" s="592">
        <v>114</v>
      </c>
      <c r="K2377" s="592">
        <v>0</v>
      </c>
      <c r="L2377" s="592">
        <v>0</v>
      </c>
      <c r="M2377" s="592">
        <v>0</v>
      </c>
      <c r="N2377" s="593">
        <v>125</v>
      </c>
      <c r="O2377" s="593">
        <v>0</v>
      </c>
      <c r="P2377" s="593">
        <v>294</v>
      </c>
      <c r="Q2377" s="593">
        <v>0</v>
      </c>
      <c r="R2377" s="593">
        <v>697</v>
      </c>
      <c r="S2377" s="593">
        <v>0</v>
      </c>
      <c r="T2377" s="593">
        <v>2019</v>
      </c>
      <c r="U2377" s="593">
        <v>2014</v>
      </c>
      <c r="V2377" s="589"/>
      <c r="W2377" s="589"/>
      <c r="X2377" s="589"/>
      <c r="Y2377" s="589"/>
      <c r="Z2377" s="589"/>
      <c r="AA2377" s="589"/>
      <c r="AB2377" s="589"/>
      <c r="AC2377" s="589"/>
      <c r="AD2377" s="589"/>
      <c r="AE2377" s="589"/>
      <c r="AF2377" s="589"/>
      <c r="AG2377" s="589"/>
      <c r="AH2377" s="589"/>
      <c r="AI2377" s="589"/>
      <c r="AJ2377" s="589"/>
      <c r="AK2377" s="589"/>
      <c r="AL2377" s="589"/>
      <c r="AM2377" s="589"/>
      <c r="AN2377" s="589"/>
      <c r="AO2377" s="589"/>
      <c r="AP2377" s="589"/>
      <c r="AQ2377" s="589"/>
      <c r="AR2377" s="589"/>
      <c r="AS2377" s="589"/>
    </row>
    <row r="2378" spans="1:45" ht="15">
      <c r="A2378" s="587" t="s">
        <v>187</v>
      </c>
      <c r="B2378" s="587" t="s">
        <v>658</v>
      </c>
      <c r="C2378" s="587" t="s">
        <v>782</v>
      </c>
      <c r="D2378" s="588">
        <v>2019</v>
      </c>
      <c r="E2378" s="587" t="s">
        <v>775</v>
      </c>
      <c r="F2378" s="588">
        <v>23</v>
      </c>
      <c r="G2378" s="588">
        <v>14</v>
      </c>
      <c r="H2378" s="588">
        <v>0</v>
      </c>
      <c r="I2378" s="588">
        <v>14</v>
      </c>
      <c r="J2378" s="588">
        <v>13</v>
      </c>
      <c r="K2378" s="588">
        <v>0</v>
      </c>
      <c r="L2378" s="588">
        <v>0</v>
      </c>
      <c r="M2378" s="588">
        <v>0</v>
      </c>
      <c r="N2378" s="588">
        <v>13</v>
      </c>
      <c r="O2378" s="588">
        <v>0</v>
      </c>
      <c r="P2378" s="588">
        <v>12</v>
      </c>
      <c r="Q2378" s="588">
        <v>12</v>
      </c>
      <c r="R2378" s="588">
        <v>61</v>
      </c>
      <c r="S2378" s="588">
        <v>26</v>
      </c>
      <c r="T2378" s="588">
        <v>2019</v>
      </c>
      <c r="U2378" s="588">
        <v>2015</v>
      </c>
      <c r="V2378" s="589"/>
      <c r="W2378" s="589"/>
      <c r="X2378" s="589"/>
      <c r="Y2378" s="589"/>
      <c r="Z2378" s="589"/>
      <c r="AA2378" s="589"/>
      <c r="AB2378" s="589"/>
      <c r="AC2378" s="589"/>
      <c r="AD2378" s="589"/>
      <c r="AE2378" s="589"/>
      <c r="AF2378" s="589"/>
      <c r="AG2378" s="589"/>
      <c r="AH2378" s="589"/>
      <c r="AI2378" s="589"/>
      <c r="AJ2378" s="589"/>
      <c r="AK2378" s="589"/>
      <c r="AL2378" s="589"/>
      <c r="AM2378" s="589"/>
      <c r="AN2378" s="589"/>
      <c r="AO2378" s="589"/>
      <c r="AP2378" s="589"/>
      <c r="AQ2378" s="589"/>
      <c r="AR2378" s="589"/>
      <c r="AS2378" s="589"/>
    </row>
    <row r="2379" spans="1:45" ht="15">
      <c r="A2379" s="590" t="s">
        <v>153</v>
      </c>
      <c r="B2379" s="591" t="s">
        <v>400</v>
      </c>
      <c r="C2379" s="591" t="s">
        <v>813</v>
      </c>
      <c r="D2379" s="592">
        <v>2019</v>
      </c>
      <c r="E2379" s="591" t="s">
        <v>775</v>
      </c>
      <c r="F2379" s="592">
        <v>269</v>
      </c>
      <c r="G2379" s="592">
        <v>0</v>
      </c>
      <c r="H2379" s="592">
        <v>0</v>
      </c>
      <c r="I2379" s="592">
        <v>0</v>
      </c>
      <c r="J2379" s="592">
        <v>161</v>
      </c>
      <c r="K2379" s="592">
        <v>0</v>
      </c>
      <c r="L2379" s="592">
        <v>0</v>
      </c>
      <c r="M2379" s="592">
        <v>0</v>
      </c>
      <c r="N2379" s="593">
        <v>175</v>
      </c>
      <c r="O2379" s="593">
        <v>0</v>
      </c>
      <c r="P2379" s="593">
        <v>461</v>
      </c>
      <c r="Q2379" s="593">
        <v>0</v>
      </c>
      <c r="R2379" s="593">
        <v>1066</v>
      </c>
      <c r="S2379" s="593">
        <v>0</v>
      </c>
      <c r="T2379" s="593">
        <v>2019</v>
      </c>
      <c r="U2379" s="593">
        <v>2014</v>
      </c>
      <c r="V2379" s="589"/>
      <c r="W2379" s="589"/>
      <c r="X2379" s="589"/>
      <c r="Y2379" s="589"/>
      <c r="Z2379" s="589"/>
      <c r="AA2379" s="589"/>
      <c r="AB2379" s="589"/>
      <c r="AC2379" s="589"/>
      <c r="AD2379" s="589"/>
      <c r="AE2379" s="589"/>
      <c r="AF2379" s="589"/>
      <c r="AG2379" s="589"/>
      <c r="AH2379" s="589"/>
      <c r="AI2379" s="589"/>
      <c r="AJ2379" s="589"/>
      <c r="AK2379" s="589"/>
      <c r="AL2379" s="589"/>
      <c r="AM2379" s="589"/>
      <c r="AN2379" s="589"/>
      <c r="AO2379" s="589"/>
      <c r="AP2379" s="589"/>
      <c r="AQ2379" s="589"/>
      <c r="AR2379" s="589"/>
      <c r="AS2379" s="589"/>
    </row>
    <row r="2380" spans="1:45" ht="15">
      <c r="A2380" s="587" t="s">
        <v>164</v>
      </c>
      <c r="B2380" s="587" t="s">
        <v>164</v>
      </c>
      <c r="C2380" s="587" t="s">
        <v>811</v>
      </c>
      <c r="D2380" s="588">
        <v>2019</v>
      </c>
      <c r="E2380" s="587" t="s">
        <v>775</v>
      </c>
      <c r="F2380" s="588">
        <v>157</v>
      </c>
      <c r="G2380" s="588">
        <v>0</v>
      </c>
      <c r="H2380" s="588">
        <v>0</v>
      </c>
      <c r="I2380" s="588">
        <v>0</v>
      </c>
      <c r="J2380" s="588">
        <v>102</v>
      </c>
      <c r="K2380" s="588">
        <v>0</v>
      </c>
      <c r="L2380" s="588">
        <v>0</v>
      </c>
      <c r="M2380" s="588">
        <v>0</v>
      </c>
      <c r="N2380" s="588">
        <v>119</v>
      </c>
      <c r="O2380" s="588">
        <v>0</v>
      </c>
      <c r="P2380" s="588">
        <v>272</v>
      </c>
      <c r="Q2380" s="588">
        <v>3</v>
      </c>
      <c r="R2380" s="588">
        <v>650</v>
      </c>
      <c r="S2380" s="588">
        <v>3</v>
      </c>
      <c r="T2380" s="588">
        <v>2019</v>
      </c>
      <c r="U2380" s="588">
        <v>2016</v>
      </c>
      <c r="V2380" s="589"/>
      <c r="W2380" s="589"/>
      <c r="X2380" s="589"/>
      <c r="Y2380" s="589"/>
      <c r="Z2380" s="589"/>
      <c r="AA2380" s="589"/>
      <c r="AB2380" s="589"/>
      <c r="AC2380" s="589"/>
      <c r="AD2380" s="589"/>
      <c r="AE2380" s="589"/>
      <c r="AF2380" s="589"/>
      <c r="AG2380" s="589"/>
      <c r="AH2380" s="589"/>
      <c r="AI2380" s="589"/>
      <c r="AJ2380" s="589"/>
      <c r="AK2380" s="589"/>
      <c r="AL2380" s="589"/>
      <c r="AM2380" s="589"/>
      <c r="AN2380" s="589"/>
      <c r="AO2380" s="589"/>
      <c r="AP2380" s="589"/>
      <c r="AQ2380" s="589"/>
      <c r="AR2380" s="589"/>
      <c r="AS2380" s="589"/>
    </row>
    <row r="2381" spans="1:45" ht="15">
      <c r="A2381" s="590" t="s">
        <v>164</v>
      </c>
      <c r="B2381" s="591" t="s">
        <v>470</v>
      </c>
      <c r="C2381" s="591" t="s">
        <v>811</v>
      </c>
      <c r="D2381" s="592">
        <v>2019</v>
      </c>
      <c r="E2381" s="591" t="s">
        <v>775</v>
      </c>
      <c r="F2381" s="592">
        <v>374</v>
      </c>
      <c r="G2381" s="592">
        <v>0</v>
      </c>
      <c r="H2381" s="592">
        <v>0</v>
      </c>
      <c r="I2381" s="592">
        <v>0</v>
      </c>
      <c r="J2381" s="592">
        <v>244</v>
      </c>
      <c r="K2381" s="592">
        <v>0</v>
      </c>
      <c r="L2381" s="592">
        <v>0</v>
      </c>
      <c r="M2381" s="592">
        <v>0</v>
      </c>
      <c r="N2381" s="593">
        <v>282</v>
      </c>
      <c r="O2381" s="593">
        <v>8</v>
      </c>
      <c r="P2381" s="593">
        <v>651</v>
      </c>
      <c r="Q2381" s="593">
        <v>215</v>
      </c>
      <c r="R2381" s="593">
        <v>1551</v>
      </c>
      <c r="S2381" s="593">
        <v>223</v>
      </c>
      <c r="T2381" s="593">
        <v>2019</v>
      </c>
      <c r="U2381" s="593">
        <v>2016</v>
      </c>
      <c r="V2381" s="589"/>
      <c r="W2381" s="589"/>
      <c r="X2381" s="589"/>
      <c r="Y2381" s="589"/>
      <c r="Z2381" s="589"/>
      <c r="AA2381" s="589"/>
      <c r="AB2381" s="589"/>
      <c r="AC2381" s="589"/>
      <c r="AD2381" s="589"/>
      <c r="AE2381" s="589"/>
      <c r="AF2381" s="589"/>
      <c r="AG2381" s="589"/>
      <c r="AH2381" s="589"/>
      <c r="AI2381" s="589"/>
      <c r="AJ2381" s="589"/>
      <c r="AK2381" s="589"/>
      <c r="AL2381" s="589"/>
      <c r="AM2381" s="589"/>
      <c r="AN2381" s="589"/>
      <c r="AO2381" s="589"/>
      <c r="AP2381" s="589"/>
      <c r="AQ2381" s="589"/>
      <c r="AR2381" s="589"/>
      <c r="AS2381" s="589"/>
    </row>
    <row r="2382" spans="1:45" ht="15">
      <c r="A2382" s="587" t="s">
        <v>153</v>
      </c>
      <c r="B2382" s="587" t="s">
        <v>401</v>
      </c>
      <c r="C2382" s="587" t="s">
        <v>813</v>
      </c>
      <c r="D2382" s="588">
        <v>2019</v>
      </c>
      <c r="E2382" s="587" t="s">
        <v>775</v>
      </c>
      <c r="F2382" s="588">
        <v>205</v>
      </c>
      <c r="G2382" s="588">
        <v>0</v>
      </c>
      <c r="H2382" s="588">
        <v>0</v>
      </c>
      <c r="I2382" s="588">
        <v>0</v>
      </c>
      <c r="J2382" s="588">
        <v>123</v>
      </c>
      <c r="K2382" s="588">
        <v>0</v>
      </c>
      <c r="L2382" s="588">
        <v>0</v>
      </c>
      <c r="M2382" s="588">
        <v>0</v>
      </c>
      <c r="N2382" s="588">
        <v>137</v>
      </c>
      <c r="O2382" s="588">
        <v>0</v>
      </c>
      <c r="P2382" s="588">
        <v>350</v>
      </c>
      <c r="Q2382" s="588">
        <v>0</v>
      </c>
      <c r="R2382" s="588">
        <v>815</v>
      </c>
      <c r="S2382" s="588">
        <v>0</v>
      </c>
      <c r="T2382" s="588">
        <v>2019</v>
      </c>
      <c r="U2382" s="588">
        <v>2014</v>
      </c>
      <c r="V2382" s="589"/>
      <c r="W2382" s="589"/>
      <c r="X2382" s="589"/>
      <c r="Y2382" s="589"/>
      <c r="Z2382" s="589"/>
      <c r="AA2382" s="589"/>
      <c r="AB2382" s="589"/>
      <c r="AC2382" s="589"/>
      <c r="AD2382" s="589"/>
      <c r="AE2382" s="589"/>
      <c r="AF2382" s="589"/>
      <c r="AG2382" s="589"/>
      <c r="AH2382" s="589"/>
      <c r="AI2382" s="589"/>
      <c r="AJ2382" s="589"/>
      <c r="AK2382" s="589"/>
      <c r="AL2382" s="589"/>
      <c r="AM2382" s="589"/>
      <c r="AN2382" s="589"/>
      <c r="AO2382" s="589"/>
      <c r="AP2382" s="589"/>
      <c r="AQ2382" s="589"/>
      <c r="AR2382" s="589"/>
      <c r="AS2382" s="589"/>
    </row>
    <row r="2383" spans="1:45" ht="15">
      <c r="A2383" s="590" t="s">
        <v>201</v>
      </c>
      <c r="B2383" s="591" t="s">
        <v>732</v>
      </c>
      <c r="C2383" s="591" t="s">
        <v>813</v>
      </c>
      <c r="D2383" s="592">
        <v>2019</v>
      </c>
      <c r="E2383" s="591" t="s">
        <v>775</v>
      </c>
      <c r="F2383" s="592">
        <v>289</v>
      </c>
      <c r="G2383" s="592">
        <v>0</v>
      </c>
      <c r="H2383" s="592">
        <v>0</v>
      </c>
      <c r="I2383" s="592">
        <v>0</v>
      </c>
      <c r="J2383" s="592">
        <v>197</v>
      </c>
      <c r="K2383" s="592">
        <v>3</v>
      </c>
      <c r="L2383" s="592">
        <v>0</v>
      </c>
      <c r="M2383" s="592">
        <v>3</v>
      </c>
      <c r="N2383" s="593">
        <v>216</v>
      </c>
      <c r="O2383" s="593">
        <v>1</v>
      </c>
      <c r="P2383" s="593">
        <v>462</v>
      </c>
      <c r="Q2383" s="593">
        <v>0</v>
      </c>
      <c r="R2383" s="593">
        <v>1164</v>
      </c>
      <c r="S2383" s="593">
        <v>4</v>
      </c>
      <c r="T2383" s="593">
        <v>2019</v>
      </c>
      <c r="U2383" s="593">
        <v>2014</v>
      </c>
      <c r="V2383" s="589"/>
      <c r="W2383" s="589"/>
      <c r="X2383" s="589"/>
      <c r="Y2383" s="589"/>
      <c r="Z2383" s="589"/>
      <c r="AA2383" s="589"/>
      <c r="AB2383" s="589"/>
      <c r="AC2383" s="589"/>
      <c r="AD2383" s="589"/>
      <c r="AE2383" s="589"/>
      <c r="AF2383" s="589"/>
      <c r="AG2383" s="589"/>
      <c r="AH2383" s="589"/>
      <c r="AI2383" s="589"/>
      <c r="AJ2383" s="589"/>
      <c r="AK2383" s="589"/>
      <c r="AL2383" s="589"/>
      <c r="AM2383" s="589"/>
      <c r="AN2383" s="589"/>
      <c r="AO2383" s="589"/>
      <c r="AP2383" s="589"/>
      <c r="AQ2383" s="589"/>
      <c r="AR2383" s="589"/>
      <c r="AS2383" s="589"/>
    </row>
    <row r="2384" spans="1:45" ht="15">
      <c r="A2384" s="587" t="s">
        <v>136</v>
      </c>
      <c r="B2384" s="587" t="s">
        <v>275</v>
      </c>
      <c r="C2384" s="587" t="s">
        <v>782</v>
      </c>
      <c r="D2384" s="588">
        <v>2019</v>
      </c>
      <c r="E2384" s="587" t="s">
        <v>775</v>
      </c>
      <c r="F2384" s="588">
        <v>75</v>
      </c>
      <c r="G2384" s="588">
        <v>0</v>
      </c>
      <c r="H2384" s="588">
        <v>0</v>
      </c>
      <c r="I2384" s="588">
        <v>0</v>
      </c>
      <c r="J2384" s="588">
        <v>44</v>
      </c>
      <c r="K2384" s="588">
        <v>0</v>
      </c>
      <c r="L2384" s="588">
        <v>0</v>
      </c>
      <c r="M2384" s="588">
        <v>0</v>
      </c>
      <c r="N2384" s="588">
        <v>50</v>
      </c>
      <c r="O2384" s="588">
        <v>1</v>
      </c>
      <c r="P2384" s="588">
        <v>60</v>
      </c>
      <c r="Q2384" s="588">
        <v>5</v>
      </c>
      <c r="R2384" s="588">
        <v>229</v>
      </c>
      <c r="S2384" s="588">
        <v>6</v>
      </c>
      <c r="T2384" s="588">
        <v>2019</v>
      </c>
      <c r="U2384" s="588">
        <v>2015</v>
      </c>
      <c r="V2384" s="589"/>
      <c r="W2384" s="589"/>
      <c r="X2384" s="589"/>
      <c r="Y2384" s="589"/>
      <c r="Z2384" s="589"/>
      <c r="AA2384" s="589"/>
      <c r="AB2384" s="589"/>
      <c r="AC2384" s="589"/>
      <c r="AD2384" s="589"/>
      <c r="AE2384" s="589"/>
      <c r="AF2384" s="589"/>
      <c r="AG2384" s="589"/>
      <c r="AH2384" s="589"/>
      <c r="AI2384" s="589"/>
      <c r="AJ2384" s="589"/>
      <c r="AK2384" s="589"/>
      <c r="AL2384" s="589"/>
      <c r="AM2384" s="589"/>
      <c r="AN2384" s="589"/>
      <c r="AO2384" s="589"/>
      <c r="AP2384" s="589"/>
      <c r="AQ2384" s="589"/>
      <c r="AR2384" s="589"/>
      <c r="AS2384" s="589"/>
    </row>
    <row r="2385" spans="1:45" ht="15">
      <c r="A2385" s="590" t="s">
        <v>173</v>
      </c>
      <c r="B2385" s="591" t="s">
        <v>545</v>
      </c>
      <c r="C2385" s="591" t="s">
        <v>813</v>
      </c>
      <c r="D2385" s="592">
        <v>2019</v>
      </c>
      <c r="E2385" s="591" t="s">
        <v>775</v>
      </c>
      <c r="F2385" s="592">
        <v>1500</v>
      </c>
      <c r="G2385" s="592">
        <v>0</v>
      </c>
      <c r="H2385" s="592">
        <v>0</v>
      </c>
      <c r="I2385" s="592">
        <v>0</v>
      </c>
      <c r="J2385" s="592">
        <v>993</v>
      </c>
      <c r="K2385" s="592">
        <v>0</v>
      </c>
      <c r="L2385" s="592">
        <v>0</v>
      </c>
      <c r="M2385" s="592">
        <v>0</v>
      </c>
      <c r="N2385" s="593">
        <v>1112</v>
      </c>
      <c r="O2385" s="593">
        <v>238</v>
      </c>
      <c r="P2385" s="593">
        <v>2564</v>
      </c>
      <c r="Q2385" s="593">
        <v>283</v>
      </c>
      <c r="R2385" s="593">
        <v>6169</v>
      </c>
      <c r="S2385" s="593">
        <v>521</v>
      </c>
      <c r="T2385" s="593">
        <v>2019</v>
      </c>
      <c r="U2385" s="593">
        <v>2014</v>
      </c>
      <c r="V2385" s="589"/>
      <c r="W2385" s="589"/>
      <c r="X2385" s="589"/>
      <c r="Y2385" s="589"/>
      <c r="Z2385" s="589"/>
      <c r="AA2385" s="589"/>
      <c r="AB2385" s="589"/>
      <c r="AC2385" s="589"/>
      <c r="AD2385" s="589"/>
      <c r="AE2385" s="589"/>
      <c r="AF2385" s="589"/>
      <c r="AG2385" s="589"/>
      <c r="AH2385" s="589"/>
      <c r="AI2385" s="589"/>
      <c r="AJ2385" s="589"/>
      <c r="AK2385" s="589"/>
      <c r="AL2385" s="589"/>
      <c r="AM2385" s="589"/>
      <c r="AN2385" s="589"/>
      <c r="AO2385" s="589"/>
      <c r="AP2385" s="589"/>
      <c r="AQ2385" s="589"/>
      <c r="AR2385" s="589"/>
      <c r="AS2385" s="589"/>
    </row>
    <row r="2386" spans="1:45" ht="15">
      <c r="A2386" s="587" t="s">
        <v>187</v>
      </c>
      <c r="B2386" s="587" t="s">
        <v>659</v>
      </c>
      <c r="C2386" s="587" t="s">
        <v>782</v>
      </c>
      <c r="D2386" s="588">
        <v>2019</v>
      </c>
      <c r="E2386" s="587" t="s">
        <v>775</v>
      </c>
      <c r="F2386" s="588">
        <v>273</v>
      </c>
      <c r="G2386" s="588">
        <v>0</v>
      </c>
      <c r="H2386" s="588">
        <v>0</v>
      </c>
      <c r="I2386" s="588">
        <v>0</v>
      </c>
      <c r="J2386" s="588">
        <v>154</v>
      </c>
      <c r="K2386" s="588">
        <v>11</v>
      </c>
      <c r="L2386" s="588">
        <v>11</v>
      </c>
      <c r="M2386" s="588">
        <v>0</v>
      </c>
      <c r="N2386" s="588">
        <v>185</v>
      </c>
      <c r="O2386" s="588">
        <v>14</v>
      </c>
      <c r="P2386" s="588">
        <v>316</v>
      </c>
      <c r="Q2386" s="588">
        <v>142</v>
      </c>
      <c r="R2386" s="588">
        <v>928</v>
      </c>
      <c r="S2386" s="588">
        <v>167</v>
      </c>
      <c r="T2386" s="588">
        <v>2019</v>
      </c>
      <c r="U2386" s="588">
        <v>2015</v>
      </c>
      <c r="V2386" s="589"/>
      <c r="W2386" s="589"/>
      <c r="X2386" s="589"/>
      <c r="Y2386" s="589"/>
      <c r="Z2386" s="589"/>
      <c r="AA2386" s="589"/>
      <c r="AB2386" s="589"/>
      <c r="AC2386" s="589"/>
      <c r="AD2386" s="589"/>
      <c r="AE2386" s="589"/>
      <c r="AF2386" s="589"/>
      <c r="AG2386" s="589"/>
      <c r="AH2386" s="589"/>
      <c r="AI2386" s="589"/>
      <c r="AJ2386" s="589"/>
      <c r="AK2386" s="589"/>
      <c r="AL2386" s="589"/>
      <c r="AM2386" s="589"/>
      <c r="AN2386" s="589"/>
      <c r="AO2386" s="589"/>
      <c r="AP2386" s="589"/>
      <c r="AQ2386" s="589"/>
      <c r="AR2386" s="589"/>
      <c r="AS2386" s="589"/>
    </row>
    <row r="2387" spans="1:45" ht="15">
      <c r="A2387" s="590" t="s">
        <v>183</v>
      </c>
      <c r="B2387" s="591" t="s">
        <v>619</v>
      </c>
      <c r="C2387" s="591" t="s">
        <v>785</v>
      </c>
      <c r="D2387" s="592">
        <v>2019</v>
      </c>
      <c r="E2387" s="591" t="s">
        <v>775</v>
      </c>
      <c r="F2387" s="592">
        <v>39</v>
      </c>
      <c r="G2387" s="592">
        <v>0</v>
      </c>
      <c r="H2387" s="592">
        <v>0</v>
      </c>
      <c r="I2387" s="592">
        <v>0</v>
      </c>
      <c r="J2387" s="592">
        <v>24</v>
      </c>
      <c r="K2387" s="592">
        <v>0</v>
      </c>
      <c r="L2387" s="592">
        <v>0</v>
      </c>
      <c r="M2387" s="592">
        <v>0</v>
      </c>
      <c r="N2387" s="593">
        <v>27</v>
      </c>
      <c r="O2387" s="593">
        <v>1</v>
      </c>
      <c r="P2387" s="593">
        <v>65</v>
      </c>
      <c r="Q2387" s="593">
        <v>25</v>
      </c>
      <c r="R2387" s="593">
        <v>155</v>
      </c>
      <c r="S2387" s="593">
        <v>26</v>
      </c>
      <c r="T2387" s="593">
        <v>2019</v>
      </c>
      <c r="U2387" s="593">
        <v>2014</v>
      </c>
      <c r="V2387" s="589"/>
      <c r="W2387" s="589"/>
      <c r="X2387" s="589"/>
      <c r="Y2387" s="589"/>
      <c r="Z2387" s="589"/>
      <c r="AA2387" s="589"/>
      <c r="AB2387" s="589"/>
      <c r="AC2387" s="589"/>
      <c r="AD2387" s="589"/>
      <c r="AE2387" s="589"/>
      <c r="AF2387" s="589"/>
      <c r="AG2387" s="589"/>
      <c r="AH2387" s="589"/>
      <c r="AI2387" s="589"/>
      <c r="AJ2387" s="589"/>
      <c r="AK2387" s="589"/>
      <c r="AL2387" s="589"/>
      <c r="AM2387" s="589"/>
      <c r="AN2387" s="589"/>
      <c r="AO2387" s="589"/>
      <c r="AP2387" s="589"/>
      <c r="AQ2387" s="589"/>
      <c r="AR2387" s="589"/>
      <c r="AS2387" s="589"/>
    </row>
    <row r="2388" spans="1:45" ht="15">
      <c r="A2388" s="587" t="s">
        <v>191</v>
      </c>
      <c r="B2388" s="587" t="s">
        <v>681</v>
      </c>
      <c r="C2388" s="587" t="s">
        <v>785</v>
      </c>
      <c r="D2388" s="588">
        <v>2019</v>
      </c>
      <c r="E2388" s="587" t="s">
        <v>775</v>
      </c>
      <c r="F2388" s="588">
        <v>11</v>
      </c>
      <c r="G2388" s="588">
        <v>0</v>
      </c>
      <c r="H2388" s="588">
        <v>0</v>
      </c>
      <c r="I2388" s="588">
        <v>0</v>
      </c>
      <c r="J2388" s="588">
        <v>7</v>
      </c>
      <c r="K2388" s="588">
        <v>0</v>
      </c>
      <c r="L2388" s="588">
        <v>0</v>
      </c>
      <c r="M2388" s="588">
        <v>0</v>
      </c>
      <c r="N2388" s="588">
        <v>8</v>
      </c>
      <c r="O2388" s="588">
        <v>1</v>
      </c>
      <c r="P2388" s="588">
        <v>19</v>
      </c>
      <c r="Q2388" s="588">
        <v>1</v>
      </c>
      <c r="R2388" s="588">
        <v>45</v>
      </c>
      <c r="S2388" s="588">
        <v>2</v>
      </c>
      <c r="T2388" s="588">
        <v>2019</v>
      </c>
      <c r="U2388" s="588">
        <v>2014</v>
      </c>
      <c r="V2388" s="589"/>
      <c r="W2388" s="589"/>
      <c r="X2388" s="589"/>
      <c r="Y2388" s="589"/>
      <c r="Z2388" s="589"/>
      <c r="AA2388" s="589"/>
      <c r="AB2388" s="589"/>
      <c r="AC2388" s="589"/>
      <c r="AD2388" s="589"/>
      <c r="AE2388" s="589"/>
      <c r="AF2388" s="589"/>
      <c r="AG2388" s="589"/>
      <c r="AH2388" s="589"/>
      <c r="AI2388" s="589"/>
      <c r="AJ2388" s="589"/>
      <c r="AK2388" s="589"/>
      <c r="AL2388" s="589"/>
      <c r="AM2388" s="589"/>
      <c r="AN2388" s="589"/>
      <c r="AO2388" s="589"/>
      <c r="AP2388" s="589"/>
      <c r="AQ2388" s="589"/>
      <c r="AR2388" s="589"/>
      <c r="AS2388" s="589"/>
    </row>
    <row r="2389" spans="1:45" ht="15">
      <c r="A2389" s="590" t="s">
        <v>187</v>
      </c>
      <c r="B2389" s="591" t="s">
        <v>660</v>
      </c>
      <c r="C2389" s="591" t="s">
        <v>782</v>
      </c>
      <c r="D2389" s="592">
        <v>2019</v>
      </c>
      <c r="E2389" s="591" t="s">
        <v>775</v>
      </c>
      <c r="F2389" s="592">
        <v>814</v>
      </c>
      <c r="G2389" s="592">
        <v>61</v>
      </c>
      <c r="H2389" s="592">
        <v>61</v>
      </c>
      <c r="I2389" s="592">
        <v>0</v>
      </c>
      <c r="J2389" s="592">
        <v>492</v>
      </c>
      <c r="K2389" s="592">
        <v>0</v>
      </c>
      <c r="L2389" s="592">
        <v>0</v>
      </c>
      <c r="M2389" s="592">
        <v>0</v>
      </c>
      <c r="N2389" s="593">
        <v>527</v>
      </c>
      <c r="O2389" s="593">
        <v>0</v>
      </c>
      <c r="P2389" s="593">
        <v>1093</v>
      </c>
      <c r="Q2389" s="593">
        <v>233</v>
      </c>
      <c r="R2389" s="593">
        <v>2926</v>
      </c>
      <c r="S2389" s="593">
        <v>294</v>
      </c>
      <c r="T2389" s="593">
        <v>2019</v>
      </c>
      <c r="U2389" s="593">
        <v>2015</v>
      </c>
      <c r="V2389" s="589"/>
      <c r="W2389" s="589"/>
      <c r="X2389" s="589"/>
      <c r="Y2389" s="589"/>
      <c r="Z2389" s="589"/>
      <c r="AA2389" s="589"/>
      <c r="AB2389" s="589"/>
      <c r="AC2389" s="589"/>
      <c r="AD2389" s="589"/>
      <c r="AE2389" s="589"/>
      <c r="AF2389" s="589"/>
      <c r="AG2389" s="589"/>
      <c r="AH2389" s="589"/>
      <c r="AI2389" s="589"/>
      <c r="AJ2389" s="589"/>
      <c r="AK2389" s="589"/>
      <c r="AL2389" s="589"/>
      <c r="AM2389" s="589"/>
      <c r="AN2389" s="589"/>
      <c r="AO2389" s="589"/>
      <c r="AP2389" s="589"/>
      <c r="AQ2389" s="589"/>
      <c r="AR2389" s="589"/>
      <c r="AS2389" s="589"/>
    </row>
    <row r="2390" spans="1:45" ht="15">
      <c r="A2390" s="587" t="s">
        <v>173</v>
      </c>
      <c r="B2390" s="587" t="s">
        <v>546</v>
      </c>
      <c r="C2390" s="587" t="s">
        <v>813</v>
      </c>
      <c r="D2390" s="588">
        <v>2019</v>
      </c>
      <c r="E2390" s="587" t="s">
        <v>775</v>
      </c>
      <c r="F2390" s="588">
        <v>395</v>
      </c>
      <c r="G2390" s="588">
        <v>0</v>
      </c>
      <c r="H2390" s="588">
        <v>0</v>
      </c>
      <c r="I2390" s="588">
        <v>0</v>
      </c>
      <c r="J2390" s="588">
        <v>262</v>
      </c>
      <c r="K2390" s="588">
        <v>0</v>
      </c>
      <c r="L2390" s="588">
        <v>0</v>
      </c>
      <c r="M2390" s="588">
        <v>0</v>
      </c>
      <c r="N2390" s="588">
        <v>289</v>
      </c>
      <c r="O2390" s="588">
        <v>0</v>
      </c>
      <c r="P2390" s="588">
        <v>627</v>
      </c>
      <c r="Q2390" s="588">
        <v>230</v>
      </c>
      <c r="R2390" s="588">
        <v>1573</v>
      </c>
      <c r="S2390" s="588">
        <v>230</v>
      </c>
      <c r="T2390" s="588">
        <v>2019</v>
      </c>
      <c r="U2390" s="588">
        <v>2014</v>
      </c>
      <c r="V2390" s="589">
        <v>52</v>
      </c>
      <c r="W2390" s="589"/>
      <c r="X2390" s="589"/>
      <c r="Y2390" s="589"/>
      <c r="Z2390" s="589"/>
      <c r="AA2390" s="589"/>
      <c r="AB2390" s="589"/>
      <c r="AC2390" s="589"/>
      <c r="AD2390" s="589"/>
      <c r="AE2390" s="589"/>
      <c r="AF2390" s="589"/>
      <c r="AG2390" s="589"/>
      <c r="AH2390" s="589"/>
      <c r="AI2390" s="589"/>
      <c r="AJ2390" s="589"/>
      <c r="AK2390" s="589"/>
      <c r="AL2390" s="589"/>
      <c r="AM2390" s="589"/>
      <c r="AN2390" s="589"/>
      <c r="AO2390" s="589"/>
      <c r="AP2390" s="589"/>
      <c r="AQ2390" s="589"/>
      <c r="AR2390" s="589"/>
      <c r="AS2390" s="589"/>
    </row>
    <row r="2391" spans="1:45" ht="15">
      <c r="A2391" s="590" t="s">
        <v>166</v>
      </c>
      <c r="B2391" s="591" t="s">
        <v>166</v>
      </c>
      <c r="C2391" s="591" t="s">
        <v>782</v>
      </c>
      <c r="D2391" s="592">
        <v>2019</v>
      </c>
      <c r="E2391" s="591" t="s">
        <v>775</v>
      </c>
      <c r="F2391" s="592">
        <v>185</v>
      </c>
      <c r="G2391" s="592">
        <v>0</v>
      </c>
      <c r="H2391" s="592">
        <v>0</v>
      </c>
      <c r="I2391" s="592">
        <v>0</v>
      </c>
      <c r="J2391" s="592">
        <v>106</v>
      </c>
      <c r="K2391" s="592">
        <v>27</v>
      </c>
      <c r="L2391" s="592">
        <v>16</v>
      </c>
      <c r="M2391" s="592">
        <v>11</v>
      </c>
      <c r="N2391" s="593">
        <v>141</v>
      </c>
      <c r="O2391" s="593">
        <v>41</v>
      </c>
      <c r="P2391" s="593">
        <v>403</v>
      </c>
      <c r="Q2391" s="593">
        <v>92</v>
      </c>
      <c r="R2391" s="593">
        <v>835</v>
      </c>
      <c r="S2391" s="593">
        <v>160</v>
      </c>
      <c r="T2391" s="593">
        <v>2019</v>
      </c>
      <c r="U2391" s="593">
        <v>2015</v>
      </c>
      <c r="V2391" s="589"/>
      <c r="W2391" s="589"/>
      <c r="X2391" s="589"/>
      <c r="Y2391" s="589"/>
      <c r="Z2391" s="589"/>
      <c r="AA2391" s="589"/>
      <c r="AB2391" s="589"/>
      <c r="AC2391" s="589"/>
      <c r="AD2391" s="589"/>
      <c r="AE2391" s="589"/>
      <c r="AF2391" s="589"/>
      <c r="AG2391" s="589"/>
      <c r="AH2391" s="589"/>
      <c r="AI2391" s="589"/>
      <c r="AJ2391" s="589"/>
      <c r="AK2391" s="589"/>
      <c r="AL2391" s="589"/>
      <c r="AM2391" s="589"/>
      <c r="AN2391" s="589"/>
      <c r="AO2391" s="589"/>
      <c r="AP2391" s="589"/>
      <c r="AQ2391" s="589"/>
      <c r="AR2391" s="589"/>
      <c r="AS2391" s="589"/>
    </row>
    <row r="2392" spans="1:45" ht="15">
      <c r="A2392" s="587" t="s">
        <v>166</v>
      </c>
      <c r="B2392" s="587" t="s">
        <v>478</v>
      </c>
      <c r="C2392" s="587" t="s">
        <v>782</v>
      </c>
      <c r="D2392" s="588">
        <v>2019</v>
      </c>
      <c r="E2392" s="587" t="s">
        <v>775</v>
      </c>
      <c r="F2392" s="588">
        <v>51</v>
      </c>
      <c r="G2392" s="588">
        <v>1</v>
      </c>
      <c r="H2392" s="588">
        <v>0</v>
      </c>
      <c r="I2392" s="588">
        <v>1</v>
      </c>
      <c r="J2392" s="588">
        <v>30</v>
      </c>
      <c r="K2392" s="588">
        <v>2</v>
      </c>
      <c r="L2392" s="588">
        <v>0</v>
      </c>
      <c r="M2392" s="588">
        <v>2</v>
      </c>
      <c r="N2392" s="588">
        <v>32</v>
      </c>
      <c r="O2392" s="588">
        <v>3</v>
      </c>
      <c r="P2392" s="588">
        <v>67</v>
      </c>
      <c r="Q2392" s="588">
        <v>17</v>
      </c>
      <c r="R2392" s="588">
        <v>180</v>
      </c>
      <c r="S2392" s="588">
        <v>23</v>
      </c>
      <c r="T2392" s="588">
        <v>2019</v>
      </c>
      <c r="U2392" s="588">
        <v>2015</v>
      </c>
      <c r="V2392" s="589"/>
      <c r="W2392" s="589"/>
      <c r="X2392" s="589"/>
      <c r="Y2392" s="589"/>
      <c r="Z2392" s="589"/>
      <c r="AA2392" s="589"/>
      <c r="AB2392" s="589"/>
      <c r="AC2392" s="589"/>
      <c r="AD2392" s="589"/>
      <c r="AE2392" s="589"/>
      <c r="AF2392" s="589"/>
      <c r="AG2392" s="589"/>
      <c r="AH2392" s="589"/>
      <c r="AI2392" s="589"/>
      <c r="AJ2392" s="589"/>
      <c r="AK2392" s="589"/>
      <c r="AL2392" s="589"/>
      <c r="AM2392" s="589"/>
      <c r="AN2392" s="589"/>
      <c r="AO2392" s="589"/>
      <c r="AP2392" s="589"/>
      <c r="AQ2392" s="589"/>
      <c r="AR2392" s="589"/>
      <c r="AS2392" s="589"/>
    </row>
    <row r="2393" spans="1:45" ht="15">
      <c r="A2393" s="590" t="s">
        <v>179</v>
      </c>
      <c r="B2393" s="591" t="s">
        <v>600</v>
      </c>
      <c r="C2393" s="591" t="s">
        <v>856</v>
      </c>
      <c r="D2393" s="592">
        <v>2019</v>
      </c>
      <c r="E2393" s="591" t="s">
        <v>775</v>
      </c>
      <c r="F2393" s="592">
        <v>465</v>
      </c>
      <c r="G2393" s="592">
        <v>0</v>
      </c>
      <c r="H2393" s="592">
        <v>0</v>
      </c>
      <c r="I2393" s="592">
        <v>0</v>
      </c>
      <c r="J2393" s="592">
        <v>353</v>
      </c>
      <c r="K2393" s="592">
        <v>0</v>
      </c>
      <c r="L2393" s="592">
        <v>0</v>
      </c>
      <c r="M2393" s="592">
        <v>0</v>
      </c>
      <c r="N2393" s="593">
        <v>327</v>
      </c>
      <c r="O2393" s="593">
        <v>0</v>
      </c>
      <c r="P2393" s="593">
        <v>718</v>
      </c>
      <c r="Q2393" s="593">
        <v>166</v>
      </c>
      <c r="R2393" s="593">
        <v>1863</v>
      </c>
      <c r="S2393" s="593">
        <v>166</v>
      </c>
      <c r="T2393" s="593">
        <v>2019</v>
      </c>
      <c r="U2393" s="593">
        <v>2013</v>
      </c>
      <c r="V2393" s="589"/>
      <c r="W2393" s="589"/>
      <c r="X2393" s="589"/>
      <c r="Y2393" s="589"/>
      <c r="Z2393" s="589"/>
      <c r="AA2393" s="589"/>
      <c r="AB2393" s="589"/>
      <c r="AC2393" s="589"/>
      <c r="AD2393" s="589"/>
      <c r="AE2393" s="589"/>
      <c r="AF2393" s="589"/>
      <c r="AG2393" s="589"/>
      <c r="AH2393" s="589"/>
      <c r="AI2393" s="589"/>
      <c r="AJ2393" s="589"/>
      <c r="AK2393" s="589"/>
      <c r="AL2393" s="589"/>
      <c r="AM2393" s="589"/>
      <c r="AN2393" s="589"/>
      <c r="AO2393" s="589"/>
      <c r="AP2393" s="589"/>
      <c r="AQ2393" s="589"/>
      <c r="AR2393" s="589"/>
      <c r="AS2393" s="589"/>
    </row>
    <row r="2394" spans="1:45" ht="15">
      <c r="A2394" s="587" t="s">
        <v>178</v>
      </c>
      <c r="B2394" s="587" t="s">
        <v>579</v>
      </c>
      <c r="C2394" s="587" t="s">
        <v>813</v>
      </c>
      <c r="D2394" s="588">
        <v>2019</v>
      </c>
      <c r="E2394" s="587" t="s">
        <v>775</v>
      </c>
      <c r="F2394" s="588">
        <v>38</v>
      </c>
      <c r="G2394" s="588">
        <v>0</v>
      </c>
      <c r="H2394" s="588">
        <v>0</v>
      </c>
      <c r="I2394" s="588">
        <v>0</v>
      </c>
      <c r="J2394" s="588">
        <v>29</v>
      </c>
      <c r="K2394" s="588">
        <v>0</v>
      </c>
      <c r="L2394" s="588">
        <v>0</v>
      </c>
      <c r="M2394" s="588">
        <v>0</v>
      </c>
      <c r="N2394" s="588">
        <v>34</v>
      </c>
      <c r="O2394" s="588">
        <v>2</v>
      </c>
      <c r="P2394" s="588">
        <v>80</v>
      </c>
      <c r="Q2394" s="588">
        <v>0</v>
      </c>
      <c r="R2394" s="588">
        <v>181</v>
      </c>
      <c r="S2394" s="588">
        <v>2</v>
      </c>
      <c r="T2394" s="588">
        <v>2019</v>
      </c>
      <c r="U2394" s="588">
        <v>2014</v>
      </c>
      <c r="V2394" s="589"/>
      <c r="W2394" s="589"/>
      <c r="X2394" s="589"/>
      <c r="Y2394" s="589"/>
      <c r="Z2394" s="589"/>
      <c r="AA2394" s="589"/>
      <c r="AB2394" s="589"/>
      <c r="AC2394" s="589"/>
      <c r="AD2394" s="589"/>
      <c r="AE2394" s="589"/>
      <c r="AF2394" s="589"/>
      <c r="AG2394" s="589"/>
      <c r="AH2394" s="589"/>
      <c r="AI2394" s="589"/>
      <c r="AJ2394" s="589"/>
      <c r="AK2394" s="589"/>
      <c r="AL2394" s="589"/>
      <c r="AM2394" s="589"/>
      <c r="AN2394" s="589"/>
      <c r="AO2394" s="589"/>
      <c r="AP2394" s="589"/>
      <c r="AQ2394" s="589"/>
      <c r="AR2394" s="589"/>
      <c r="AS2394" s="589"/>
    </row>
    <row r="2395" spans="1:45" ht="15">
      <c r="A2395" s="590" t="s">
        <v>168</v>
      </c>
      <c r="B2395" s="591" t="s">
        <v>482</v>
      </c>
      <c r="C2395" s="591" t="s">
        <v>972</v>
      </c>
      <c r="D2395" s="592">
        <v>2019</v>
      </c>
      <c r="E2395" s="591" t="s">
        <v>775</v>
      </c>
      <c r="F2395" s="592">
        <v>0</v>
      </c>
      <c r="G2395" s="592">
        <v>0</v>
      </c>
      <c r="H2395" s="592">
        <v>0</v>
      </c>
      <c r="I2395" s="592">
        <v>0</v>
      </c>
      <c r="J2395" s="592">
        <v>0</v>
      </c>
      <c r="K2395" s="592">
        <v>0</v>
      </c>
      <c r="L2395" s="592">
        <v>0</v>
      </c>
      <c r="M2395" s="592">
        <v>0</v>
      </c>
      <c r="N2395" s="593">
        <v>0</v>
      </c>
      <c r="O2395" s="593">
        <v>1</v>
      </c>
      <c r="P2395" s="593">
        <v>0</v>
      </c>
      <c r="Q2395" s="593">
        <v>1</v>
      </c>
      <c r="R2395" s="593">
        <v>0</v>
      </c>
      <c r="S2395" s="593">
        <v>2</v>
      </c>
      <c r="T2395" s="593">
        <v>2019</v>
      </c>
      <c r="U2395" s="593">
        <v>2014</v>
      </c>
      <c r="V2395" s="589"/>
      <c r="W2395" s="589"/>
      <c r="X2395" s="589"/>
      <c r="Y2395" s="589"/>
      <c r="Z2395" s="589"/>
      <c r="AA2395" s="589"/>
      <c r="AB2395" s="589"/>
      <c r="AC2395" s="589"/>
      <c r="AD2395" s="589"/>
      <c r="AE2395" s="589"/>
      <c r="AF2395" s="589"/>
      <c r="AG2395" s="589"/>
      <c r="AH2395" s="589"/>
      <c r="AI2395" s="589"/>
      <c r="AJ2395" s="589"/>
      <c r="AK2395" s="589"/>
      <c r="AL2395" s="589"/>
      <c r="AM2395" s="589"/>
      <c r="AN2395" s="589"/>
      <c r="AO2395" s="589"/>
      <c r="AP2395" s="589"/>
      <c r="AQ2395" s="589"/>
      <c r="AR2395" s="589"/>
      <c r="AS2395" s="589"/>
    </row>
    <row r="2396" spans="1:45" ht="15">
      <c r="A2396" s="587" t="s">
        <v>168</v>
      </c>
      <c r="B2396" s="587" t="s">
        <v>482</v>
      </c>
      <c r="C2396" s="587" t="s">
        <v>785</v>
      </c>
      <c r="D2396" s="588">
        <v>2019</v>
      </c>
      <c r="E2396" s="587" t="s">
        <v>775</v>
      </c>
      <c r="F2396" s="588">
        <v>19</v>
      </c>
      <c r="G2396" s="588">
        <v>0</v>
      </c>
      <c r="H2396" s="588">
        <v>0</v>
      </c>
      <c r="I2396" s="588">
        <v>0</v>
      </c>
      <c r="J2396" s="588">
        <v>14</v>
      </c>
      <c r="K2396" s="588">
        <v>0</v>
      </c>
      <c r="L2396" s="588">
        <v>0</v>
      </c>
      <c r="M2396" s="588">
        <v>0</v>
      </c>
      <c r="N2396" s="588">
        <v>16</v>
      </c>
      <c r="O2396" s="588">
        <v>1</v>
      </c>
      <c r="P2396" s="588">
        <v>36</v>
      </c>
      <c r="Q2396" s="588">
        <v>1</v>
      </c>
      <c r="R2396" s="588">
        <v>85</v>
      </c>
      <c r="S2396" s="588">
        <v>2</v>
      </c>
      <c r="T2396" s="588">
        <v>2019</v>
      </c>
      <c r="U2396" s="588">
        <v>2014</v>
      </c>
      <c r="V2396" s="589"/>
      <c r="W2396" s="589"/>
      <c r="X2396" s="589"/>
      <c r="Y2396" s="589"/>
      <c r="Z2396" s="589"/>
      <c r="AA2396" s="589"/>
      <c r="AB2396" s="589"/>
      <c r="AC2396" s="589"/>
      <c r="AD2396" s="589"/>
      <c r="AE2396" s="589"/>
      <c r="AF2396" s="589"/>
      <c r="AG2396" s="589"/>
      <c r="AH2396" s="589"/>
      <c r="AI2396" s="589"/>
      <c r="AJ2396" s="589"/>
      <c r="AK2396" s="589"/>
      <c r="AL2396" s="589"/>
      <c r="AM2396" s="589"/>
      <c r="AN2396" s="589"/>
      <c r="AO2396" s="589"/>
      <c r="AP2396" s="589"/>
      <c r="AQ2396" s="589"/>
      <c r="AR2396" s="589"/>
      <c r="AS2396" s="589"/>
    </row>
    <row r="2397" spans="1:45" ht="15">
      <c r="A2397" s="590" t="s">
        <v>168</v>
      </c>
      <c r="B2397" s="591" t="s">
        <v>483</v>
      </c>
      <c r="C2397" s="591" t="s">
        <v>972</v>
      </c>
      <c r="D2397" s="592">
        <v>2019</v>
      </c>
      <c r="E2397" s="591" t="s">
        <v>775</v>
      </c>
      <c r="F2397" s="592">
        <v>0</v>
      </c>
      <c r="G2397" s="592">
        <v>0</v>
      </c>
      <c r="H2397" s="592">
        <v>0</v>
      </c>
      <c r="I2397" s="592">
        <v>0</v>
      </c>
      <c r="J2397" s="592">
        <v>0</v>
      </c>
      <c r="K2397" s="592">
        <v>0</v>
      </c>
      <c r="L2397" s="592">
        <v>0</v>
      </c>
      <c r="M2397" s="592">
        <v>0</v>
      </c>
      <c r="N2397" s="593">
        <v>0</v>
      </c>
      <c r="O2397" s="593">
        <v>0</v>
      </c>
      <c r="P2397" s="593">
        <v>0</v>
      </c>
      <c r="Q2397" s="593">
        <v>0</v>
      </c>
      <c r="R2397" s="593">
        <v>0</v>
      </c>
      <c r="S2397" s="593">
        <v>0</v>
      </c>
      <c r="T2397" s="593">
        <v>2019</v>
      </c>
      <c r="U2397" s="593">
        <v>2014</v>
      </c>
      <c r="V2397" s="589"/>
      <c r="W2397" s="589"/>
      <c r="X2397" s="589"/>
      <c r="Y2397" s="589"/>
      <c r="Z2397" s="589"/>
      <c r="AA2397" s="589"/>
      <c r="AB2397" s="589"/>
      <c r="AC2397" s="589"/>
      <c r="AD2397" s="589"/>
      <c r="AE2397" s="589"/>
      <c r="AF2397" s="589"/>
      <c r="AG2397" s="589"/>
      <c r="AH2397" s="589"/>
      <c r="AI2397" s="589"/>
      <c r="AJ2397" s="589"/>
      <c r="AK2397" s="589"/>
      <c r="AL2397" s="589"/>
      <c r="AM2397" s="589"/>
      <c r="AN2397" s="589"/>
      <c r="AO2397" s="589"/>
      <c r="AP2397" s="589"/>
      <c r="AQ2397" s="589"/>
      <c r="AR2397" s="589"/>
      <c r="AS2397" s="589"/>
    </row>
    <row r="2398" spans="1:45" ht="15">
      <c r="A2398" s="587" t="s">
        <v>168</v>
      </c>
      <c r="B2398" s="587" t="s">
        <v>483</v>
      </c>
      <c r="C2398" s="587" t="s">
        <v>785</v>
      </c>
      <c r="D2398" s="588">
        <v>2019</v>
      </c>
      <c r="E2398" s="587" t="s">
        <v>775</v>
      </c>
      <c r="F2398" s="588">
        <v>174</v>
      </c>
      <c r="G2398" s="588">
        <v>0</v>
      </c>
      <c r="H2398" s="588">
        <v>0</v>
      </c>
      <c r="I2398" s="588">
        <v>0</v>
      </c>
      <c r="J2398" s="588">
        <v>126</v>
      </c>
      <c r="K2398" s="588">
        <v>0</v>
      </c>
      <c r="L2398" s="588">
        <v>0</v>
      </c>
      <c r="M2398" s="588">
        <v>0</v>
      </c>
      <c r="N2398" s="588">
        <v>150</v>
      </c>
      <c r="O2398" s="588">
        <v>0</v>
      </c>
      <c r="P2398" s="588">
        <v>314</v>
      </c>
      <c r="Q2398" s="588">
        <v>0</v>
      </c>
      <c r="R2398" s="588">
        <v>764</v>
      </c>
      <c r="S2398" s="588">
        <v>0</v>
      </c>
      <c r="T2398" s="588">
        <v>2019</v>
      </c>
      <c r="U2398" s="588">
        <v>2014</v>
      </c>
      <c r="V2398" s="589"/>
      <c r="W2398" s="589"/>
      <c r="X2398" s="589"/>
      <c r="Y2398" s="589"/>
      <c r="Z2398" s="589"/>
      <c r="AA2398" s="589"/>
      <c r="AB2398" s="589"/>
      <c r="AC2398" s="589"/>
      <c r="AD2398" s="589"/>
      <c r="AE2398" s="589"/>
      <c r="AF2398" s="589"/>
      <c r="AG2398" s="589"/>
      <c r="AH2398" s="589"/>
      <c r="AI2398" s="589"/>
      <c r="AJ2398" s="589"/>
      <c r="AK2398" s="589"/>
      <c r="AL2398" s="589"/>
      <c r="AM2398" s="589"/>
      <c r="AN2398" s="589"/>
      <c r="AO2398" s="589"/>
      <c r="AP2398" s="589"/>
      <c r="AQ2398" s="589"/>
      <c r="AR2398" s="589"/>
      <c r="AS2398" s="589"/>
    </row>
    <row r="2399" spans="1:45" ht="15">
      <c r="A2399" s="590" t="s">
        <v>125</v>
      </c>
      <c r="B2399" s="591" t="s">
        <v>241</v>
      </c>
      <c r="C2399" s="591" t="s">
        <v>782</v>
      </c>
      <c r="D2399" s="592">
        <v>2019</v>
      </c>
      <c r="E2399" s="591" t="s">
        <v>775</v>
      </c>
      <c r="F2399" s="592">
        <v>330</v>
      </c>
      <c r="G2399" s="592">
        <v>0</v>
      </c>
      <c r="H2399" s="592">
        <v>0</v>
      </c>
      <c r="I2399" s="592">
        <v>0</v>
      </c>
      <c r="J2399" s="592">
        <v>167</v>
      </c>
      <c r="K2399" s="592">
        <v>0</v>
      </c>
      <c r="L2399" s="592">
        <v>0</v>
      </c>
      <c r="M2399" s="592">
        <v>0</v>
      </c>
      <c r="N2399" s="593">
        <v>158</v>
      </c>
      <c r="O2399" s="593">
        <v>0</v>
      </c>
      <c r="P2399" s="593">
        <v>423</v>
      </c>
      <c r="Q2399" s="593">
        <v>279</v>
      </c>
      <c r="R2399" s="593">
        <v>1078</v>
      </c>
      <c r="S2399" s="593">
        <v>279</v>
      </c>
      <c r="T2399" s="593">
        <v>2019</v>
      </c>
      <c r="U2399" s="593">
        <v>2015</v>
      </c>
      <c r="V2399" s="589"/>
      <c r="W2399" s="589"/>
      <c r="X2399" s="589"/>
      <c r="Y2399" s="589"/>
      <c r="Z2399" s="589"/>
      <c r="AA2399" s="589"/>
      <c r="AB2399" s="589"/>
      <c r="AC2399" s="589"/>
      <c r="AD2399" s="589"/>
      <c r="AE2399" s="589"/>
      <c r="AF2399" s="589"/>
      <c r="AG2399" s="589"/>
      <c r="AH2399" s="589"/>
      <c r="AI2399" s="589"/>
      <c r="AJ2399" s="589"/>
      <c r="AK2399" s="589"/>
      <c r="AL2399" s="589"/>
      <c r="AM2399" s="589"/>
      <c r="AN2399" s="589"/>
      <c r="AO2399" s="589"/>
      <c r="AP2399" s="589"/>
      <c r="AQ2399" s="589"/>
      <c r="AR2399" s="589"/>
      <c r="AS2399" s="589"/>
    </row>
    <row r="2400" spans="1:45" ht="15">
      <c r="A2400" s="587" t="s">
        <v>195</v>
      </c>
      <c r="B2400" s="587" t="s">
        <v>706</v>
      </c>
      <c r="C2400" s="587" t="s">
        <v>811</v>
      </c>
      <c r="D2400" s="588">
        <v>2019</v>
      </c>
      <c r="E2400" s="587" t="s">
        <v>775</v>
      </c>
      <c r="F2400" s="588">
        <v>186</v>
      </c>
      <c r="G2400" s="588">
        <v>0</v>
      </c>
      <c r="H2400" s="588">
        <v>0</v>
      </c>
      <c r="I2400" s="588">
        <v>0</v>
      </c>
      <c r="J2400" s="588">
        <v>119</v>
      </c>
      <c r="K2400" s="588">
        <v>0</v>
      </c>
      <c r="L2400" s="588">
        <v>0</v>
      </c>
      <c r="M2400" s="588">
        <v>0</v>
      </c>
      <c r="N2400" s="588">
        <v>136</v>
      </c>
      <c r="O2400" s="588">
        <v>0</v>
      </c>
      <c r="P2400" s="588">
        <v>337</v>
      </c>
      <c r="Q2400" s="588">
        <v>0</v>
      </c>
      <c r="R2400" s="588">
        <v>778</v>
      </c>
      <c r="S2400" s="588">
        <v>0</v>
      </c>
      <c r="T2400" s="588">
        <v>2019</v>
      </c>
      <c r="U2400" s="588">
        <v>2016</v>
      </c>
      <c r="V2400" s="589"/>
      <c r="W2400" s="589"/>
      <c r="X2400" s="589"/>
      <c r="Y2400" s="589"/>
      <c r="Z2400" s="589"/>
      <c r="AA2400" s="589"/>
      <c r="AB2400" s="589"/>
      <c r="AC2400" s="589"/>
      <c r="AD2400" s="589"/>
      <c r="AE2400" s="589"/>
      <c r="AF2400" s="589"/>
      <c r="AG2400" s="589"/>
      <c r="AH2400" s="589"/>
      <c r="AI2400" s="589"/>
      <c r="AJ2400" s="589"/>
      <c r="AK2400" s="589"/>
      <c r="AL2400" s="589"/>
      <c r="AM2400" s="589"/>
      <c r="AN2400" s="589"/>
      <c r="AO2400" s="589"/>
      <c r="AP2400" s="589"/>
      <c r="AQ2400" s="589"/>
      <c r="AR2400" s="589"/>
      <c r="AS2400" s="589"/>
    </row>
    <row r="2401" spans="1:45" ht="15">
      <c r="A2401" s="590" t="s">
        <v>169</v>
      </c>
      <c r="B2401" s="591" t="s">
        <v>506</v>
      </c>
      <c r="C2401" s="591" t="s">
        <v>813</v>
      </c>
      <c r="D2401" s="592">
        <v>2019</v>
      </c>
      <c r="E2401" s="591" t="s">
        <v>775</v>
      </c>
      <c r="F2401" s="592">
        <v>1</v>
      </c>
      <c r="G2401" s="592">
        <v>2</v>
      </c>
      <c r="H2401" s="592">
        <v>0</v>
      </c>
      <c r="I2401" s="592">
        <v>2</v>
      </c>
      <c r="J2401" s="592">
        <v>1</v>
      </c>
      <c r="K2401" s="592">
        <v>1</v>
      </c>
      <c r="L2401" s="592">
        <v>0</v>
      </c>
      <c r="M2401" s="592">
        <v>1</v>
      </c>
      <c r="N2401" s="593">
        <v>1</v>
      </c>
      <c r="O2401" s="593">
        <v>0</v>
      </c>
      <c r="P2401" s="593">
        <v>2</v>
      </c>
      <c r="Q2401" s="593">
        <v>23</v>
      </c>
      <c r="R2401" s="593">
        <v>5</v>
      </c>
      <c r="S2401" s="593">
        <v>26</v>
      </c>
      <c r="T2401" s="593">
        <v>2019</v>
      </c>
      <c r="U2401" s="593">
        <v>2014</v>
      </c>
      <c r="V2401" s="589"/>
      <c r="W2401" s="589"/>
      <c r="X2401" s="589"/>
      <c r="Y2401" s="589"/>
      <c r="Z2401" s="589"/>
      <c r="AA2401" s="589"/>
      <c r="AB2401" s="589"/>
      <c r="AC2401" s="589"/>
      <c r="AD2401" s="589"/>
      <c r="AE2401" s="589"/>
      <c r="AF2401" s="589"/>
      <c r="AG2401" s="589"/>
      <c r="AH2401" s="589"/>
      <c r="AI2401" s="589"/>
      <c r="AJ2401" s="589"/>
      <c r="AK2401" s="589"/>
      <c r="AL2401" s="589"/>
      <c r="AM2401" s="589"/>
      <c r="AN2401" s="589"/>
      <c r="AO2401" s="589"/>
      <c r="AP2401" s="589"/>
      <c r="AQ2401" s="589"/>
      <c r="AR2401" s="589"/>
      <c r="AS2401" s="589"/>
    </row>
    <row r="2402" spans="1:45" ht="15">
      <c r="A2402" s="587" t="s">
        <v>173</v>
      </c>
      <c r="B2402" s="587" t="s">
        <v>547</v>
      </c>
      <c r="C2402" s="587" t="s">
        <v>813</v>
      </c>
      <c r="D2402" s="588">
        <v>2019</v>
      </c>
      <c r="E2402" s="587" t="s">
        <v>775</v>
      </c>
      <c r="F2402" s="588">
        <v>205</v>
      </c>
      <c r="G2402" s="588">
        <v>0</v>
      </c>
      <c r="H2402" s="588">
        <v>0</v>
      </c>
      <c r="I2402" s="588">
        <v>0</v>
      </c>
      <c r="J2402" s="588">
        <v>136</v>
      </c>
      <c r="K2402" s="588">
        <v>0</v>
      </c>
      <c r="L2402" s="588">
        <v>0</v>
      </c>
      <c r="M2402" s="588">
        <v>0</v>
      </c>
      <c r="N2402" s="588">
        <v>151</v>
      </c>
      <c r="O2402" s="588">
        <v>0</v>
      </c>
      <c r="P2402" s="588">
        <v>326</v>
      </c>
      <c r="Q2402" s="588">
        <v>5</v>
      </c>
      <c r="R2402" s="588">
        <v>818</v>
      </c>
      <c r="S2402" s="588">
        <v>5</v>
      </c>
      <c r="T2402" s="588">
        <v>2019</v>
      </c>
      <c r="U2402" s="588">
        <v>2014</v>
      </c>
      <c r="V2402" s="589"/>
      <c r="W2402" s="589"/>
      <c r="X2402" s="589"/>
      <c r="Y2402" s="589"/>
      <c r="Z2402" s="589"/>
      <c r="AA2402" s="589"/>
      <c r="AB2402" s="589"/>
      <c r="AC2402" s="589"/>
      <c r="AD2402" s="589"/>
      <c r="AE2402" s="589"/>
      <c r="AF2402" s="589"/>
      <c r="AG2402" s="589"/>
      <c r="AH2402" s="589"/>
      <c r="AI2402" s="589"/>
      <c r="AJ2402" s="589"/>
      <c r="AK2402" s="589"/>
      <c r="AL2402" s="589"/>
      <c r="AM2402" s="589"/>
      <c r="AN2402" s="589"/>
      <c r="AO2402" s="589"/>
      <c r="AP2402" s="589"/>
      <c r="AQ2402" s="589"/>
      <c r="AR2402" s="589"/>
      <c r="AS2402" s="589"/>
    </row>
    <row r="2403" spans="1:45" ht="15">
      <c r="A2403" s="590" t="s">
        <v>153</v>
      </c>
      <c r="B2403" s="591" t="s">
        <v>402</v>
      </c>
      <c r="C2403" s="591" t="s">
        <v>813</v>
      </c>
      <c r="D2403" s="592">
        <v>2019</v>
      </c>
      <c r="E2403" s="591" t="s">
        <v>775</v>
      </c>
      <c r="F2403" s="592">
        <v>52</v>
      </c>
      <c r="G2403" s="592">
        <v>0</v>
      </c>
      <c r="H2403" s="592">
        <v>0</v>
      </c>
      <c r="I2403" s="592">
        <v>0</v>
      </c>
      <c r="J2403" s="592">
        <v>31</v>
      </c>
      <c r="K2403" s="592">
        <v>2</v>
      </c>
      <c r="L2403" s="592">
        <v>0</v>
      </c>
      <c r="M2403" s="592">
        <v>2</v>
      </c>
      <c r="N2403" s="593">
        <v>33</v>
      </c>
      <c r="O2403" s="593">
        <v>16</v>
      </c>
      <c r="P2403" s="593">
        <v>85</v>
      </c>
      <c r="Q2403" s="593">
        <v>4</v>
      </c>
      <c r="R2403" s="593">
        <v>201</v>
      </c>
      <c r="S2403" s="593">
        <v>22</v>
      </c>
      <c r="T2403" s="593">
        <v>2019</v>
      </c>
      <c r="U2403" s="593">
        <v>2014</v>
      </c>
      <c r="V2403" s="589"/>
      <c r="W2403" s="589"/>
      <c r="X2403" s="589"/>
      <c r="Y2403" s="589"/>
      <c r="Z2403" s="589"/>
      <c r="AA2403" s="589"/>
      <c r="AB2403" s="589"/>
      <c r="AC2403" s="589"/>
      <c r="AD2403" s="589"/>
      <c r="AE2403" s="589"/>
      <c r="AF2403" s="589"/>
      <c r="AG2403" s="589"/>
      <c r="AH2403" s="589"/>
      <c r="AI2403" s="589"/>
      <c r="AJ2403" s="589"/>
      <c r="AK2403" s="589"/>
      <c r="AL2403" s="589"/>
      <c r="AM2403" s="589"/>
      <c r="AN2403" s="589"/>
      <c r="AO2403" s="589"/>
      <c r="AP2403" s="589"/>
      <c r="AQ2403" s="589"/>
      <c r="AR2403" s="589"/>
      <c r="AS2403" s="589"/>
    </row>
    <row r="2404" spans="1:45" ht="15">
      <c r="A2404" s="587" t="s">
        <v>157</v>
      </c>
      <c r="B2404" s="587" t="s">
        <v>442</v>
      </c>
      <c r="C2404" s="587" t="s">
        <v>782</v>
      </c>
      <c r="D2404" s="588">
        <v>2019</v>
      </c>
      <c r="E2404" s="587" t="s">
        <v>775</v>
      </c>
      <c r="F2404" s="588">
        <v>111</v>
      </c>
      <c r="G2404" s="588">
        <v>12</v>
      </c>
      <c r="H2404" s="588">
        <v>3</v>
      </c>
      <c r="I2404" s="588">
        <v>9</v>
      </c>
      <c r="J2404" s="588">
        <v>65</v>
      </c>
      <c r="K2404" s="588">
        <v>4</v>
      </c>
      <c r="L2404" s="588">
        <v>3</v>
      </c>
      <c r="M2404" s="588">
        <v>1</v>
      </c>
      <c r="N2404" s="588">
        <v>72</v>
      </c>
      <c r="O2404" s="588">
        <v>5</v>
      </c>
      <c r="P2404" s="588">
        <v>167</v>
      </c>
      <c r="Q2404" s="588">
        <v>103</v>
      </c>
      <c r="R2404" s="588">
        <v>415</v>
      </c>
      <c r="S2404" s="588">
        <v>124</v>
      </c>
      <c r="T2404" s="588">
        <v>2019</v>
      </c>
      <c r="U2404" s="588">
        <v>2015</v>
      </c>
      <c r="V2404" s="589"/>
      <c r="W2404" s="589"/>
      <c r="X2404" s="589"/>
      <c r="Y2404" s="589"/>
      <c r="Z2404" s="589"/>
      <c r="AA2404" s="589"/>
      <c r="AB2404" s="589"/>
      <c r="AC2404" s="589"/>
      <c r="AD2404" s="589"/>
      <c r="AE2404" s="589"/>
      <c r="AF2404" s="589"/>
      <c r="AG2404" s="589"/>
      <c r="AH2404" s="589"/>
      <c r="AI2404" s="589"/>
      <c r="AJ2404" s="589"/>
      <c r="AK2404" s="589"/>
      <c r="AL2404" s="589"/>
      <c r="AM2404" s="589"/>
      <c r="AN2404" s="589"/>
      <c r="AO2404" s="589"/>
      <c r="AP2404" s="589"/>
      <c r="AQ2404" s="589"/>
      <c r="AR2404" s="589"/>
      <c r="AS2404" s="589"/>
    </row>
    <row r="2405" spans="1:45" ht="15">
      <c r="A2405" s="590" t="s">
        <v>195</v>
      </c>
      <c r="B2405" s="591" t="s">
        <v>707</v>
      </c>
      <c r="C2405" s="591" t="s">
        <v>811</v>
      </c>
      <c r="D2405" s="592">
        <v>2019</v>
      </c>
      <c r="E2405" s="591" t="s">
        <v>775</v>
      </c>
      <c r="F2405" s="592">
        <v>315</v>
      </c>
      <c r="G2405" s="592">
        <v>14</v>
      </c>
      <c r="H2405" s="592">
        <v>0</v>
      </c>
      <c r="I2405" s="592">
        <v>14</v>
      </c>
      <c r="J2405" s="592">
        <v>202</v>
      </c>
      <c r="K2405" s="592">
        <v>43</v>
      </c>
      <c r="L2405" s="592">
        <v>0</v>
      </c>
      <c r="M2405" s="592">
        <v>43</v>
      </c>
      <c r="N2405" s="593">
        <v>210</v>
      </c>
      <c r="O2405" s="593">
        <v>0</v>
      </c>
      <c r="P2405" s="593">
        <v>520</v>
      </c>
      <c r="Q2405" s="593">
        <v>33</v>
      </c>
      <c r="R2405" s="593">
        <v>1247</v>
      </c>
      <c r="S2405" s="593">
        <v>90</v>
      </c>
      <c r="T2405" s="593">
        <v>2019</v>
      </c>
      <c r="U2405" s="593">
        <v>2016</v>
      </c>
      <c r="V2405" s="589"/>
      <c r="W2405" s="589"/>
      <c r="X2405" s="589"/>
      <c r="Y2405" s="589"/>
      <c r="Z2405" s="589"/>
      <c r="AA2405" s="589"/>
      <c r="AB2405" s="589"/>
      <c r="AC2405" s="589"/>
      <c r="AD2405" s="589"/>
      <c r="AE2405" s="589"/>
      <c r="AF2405" s="589"/>
      <c r="AG2405" s="589"/>
      <c r="AH2405" s="589"/>
      <c r="AI2405" s="589"/>
      <c r="AJ2405" s="589"/>
      <c r="AK2405" s="589"/>
      <c r="AL2405" s="589"/>
      <c r="AM2405" s="589"/>
      <c r="AN2405" s="589"/>
      <c r="AO2405" s="589"/>
      <c r="AP2405" s="589"/>
      <c r="AQ2405" s="589"/>
      <c r="AR2405" s="589"/>
      <c r="AS2405" s="589"/>
    </row>
    <row r="2406" spans="1:45" ht="15">
      <c r="A2406" s="587" t="s">
        <v>125</v>
      </c>
      <c r="B2406" s="587" t="s">
        <v>242</v>
      </c>
      <c r="C2406" s="587" t="s">
        <v>782</v>
      </c>
      <c r="D2406" s="588">
        <v>2019</v>
      </c>
      <c r="E2406" s="587" t="s">
        <v>775</v>
      </c>
      <c r="F2406" s="588">
        <v>2059</v>
      </c>
      <c r="G2406" s="588">
        <v>87</v>
      </c>
      <c r="H2406" s="588">
        <v>87</v>
      </c>
      <c r="I2406" s="588">
        <v>0</v>
      </c>
      <c r="J2406" s="588">
        <v>2075</v>
      </c>
      <c r="K2406" s="588">
        <v>19</v>
      </c>
      <c r="L2406" s="588">
        <v>19</v>
      </c>
      <c r="M2406" s="588">
        <v>0</v>
      </c>
      <c r="N2406" s="588">
        <v>2815</v>
      </c>
      <c r="O2406" s="588">
        <v>11</v>
      </c>
      <c r="P2406" s="588">
        <v>7816</v>
      </c>
      <c r="Q2406" s="588">
        <v>2111</v>
      </c>
      <c r="R2406" s="588">
        <v>14765</v>
      </c>
      <c r="S2406" s="588">
        <v>2228</v>
      </c>
      <c r="T2406" s="588">
        <v>2019</v>
      </c>
      <c r="U2406" s="588">
        <v>2015</v>
      </c>
      <c r="V2406" s="589"/>
      <c r="W2406" s="589"/>
      <c r="X2406" s="589"/>
      <c r="Y2406" s="589"/>
      <c r="Z2406" s="589"/>
      <c r="AA2406" s="589"/>
      <c r="AB2406" s="589"/>
      <c r="AC2406" s="589"/>
      <c r="AD2406" s="589"/>
      <c r="AE2406" s="589"/>
      <c r="AF2406" s="589"/>
      <c r="AG2406" s="589"/>
      <c r="AH2406" s="589"/>
      <c r="AI2406" s="589"/>
      <c r="AJ2406" s="589"/>
      <c r="AK2406" s="589"/>
      <c r="AL2406" s="589"/>
      <c r="AM2406" s="589"/>
      <c r="AN2406" s="589"/>
      <c r="AO2406" s="589"/>
      <c r="AP2406" s="589"/>
      <c r="AQ2406" s="589"/>
      <c r="AR2406" s="589"/>
      <c r="AS2406" s="589"/>
    </row>
    <row r="2407" spans="1:45" ht="15">
      <c r="A2407" s="590" t="s">
        <v>136</v>
      </c>
      <c r="B2407" s="591" t="s">
        <v>276</v>
      </c>
      <c r="C2407" s="591" t="s">
        <v>782</v>
      </c>
      <c r="D2407" s="592">
        <v>2019</v>
      </c>
      <c r="E2407" s="591" t="s">
        <v>775</v>
      </c>
      <c r="F2407" s="592">
        <v>317</v>
      </c>
      <c r="G2407" s="592">
        <v>0</v>
      </c>
      <c r="H2407" s="592">
        <v>0</v>
      </c>
      <c r="I2407" s="592">
        <v>0</v>
      </c>
      <c r="J2407" s="592">
        <v>174</v>
      </c>
      <c r="K2407" s="592">
        <v>0</v>
      </c>
      <c r="L2407" s="592">
        <v>0</v>
      </c>
      <c r="M2407" s="592">
        <v>0</v>
      </c>
      <c r="N2407" s="593">
        <v>175</v>
      </c>
      <c r="O2407" s="593">
        <v>0</v>
      </c>
      <c r="P2407" s="593">
        <v>502</v>
      </c>
      <c r="Q2407" s="593">
        <v>262</v>
      </c>
      <c r="R2407" s="593">
        <v>1168</v>
      </c>
      <c r="S2407" s="593">
        <v>262</v>
      </c>
      <c r="T2407" s="593">
        <v>2019</v>
      </c>
      <c r="U2407" s="593">
        <v>2015</v>
      </c>
      <c r="V2407" s="589"/>
      <c r="W2407" s="589"/>
      <c r="X2407" s="589"/>
      <c r="Y2407" s="589"/>
      <c r="Z2407" s="589"/>
      <c r="AA2407" s="589"/>
      <c r="AB2407" s="589"/>
      <c r="AC2407" s="589"/>
      <c r="AD2407" s="589"/>
      <c r="AE2407" s="589"/>
      <c r="AF2407" s="589"/>
      <c r="AG2407" s="589"/>
      <c r="AH2407" s="589"/>
      <c r="AI2407" s="589"/>
      <c r="AJ2407" s="589"/>
      <c r="AK2407" s="589"/>
      <c r="AL2407" s="589"/>
      <c r="AM2407" s="589"/>
      <c r="AN2407" s="589"/>
      <c r="AO2407" s="589"/>
      <c r="AP2407" s="589"/>
      <c r="AQ2407" s="589"/>
      <c r="AR2407" s="589"/>
      <c r="AS2407" s="589"/>
    </row>
    <row r="2408" spans="1:45" ht="15">
      <c r="A2408" s="587" t="s">
        <v>179</v>
      </c>
      <c r="B2408" s="587" t="s">
        <v>601</v>
      </c>
      <c r="C2408" s="587" t="s">
        <v>856</v>
      </c>
      <c r="D2408" s="588">
        <v>2019</v>
      </c>
      <c r="E2408" s="587" t="s">
        <v>775</v>
      </c>
      <c r="F2408" s="588">
        <v>1549</v>
      </c>
      <c r="G2408" s="588">
        <v>0</v>
      </c>
      <c r="H2408" s="588">
        <v>0</v>
      </c>
      <c r="I2408" s="588">
        <v>0</v>
      </c>
      <c r="J2408" s="588">
        <v>1178</v>
      </c>
      <c r="K2408" s="588">
        <v>13</v>
      </c>
      <c r="L2408" s="588">
        <v>0</v>
      </c>
      <c r="M2408" s="588">
        <v>13</v>
      </c>
      <c r="N2408" s="588">
        <v>1090</v>
      </c>
      <c r="O2408" s="588">
        <v>20</v>
      </c>
      <c r="P2408" s="588">
        <v>2393</v>
      </c>
      <c r="Q2408" s="588">
        <v>247</v>
      </c>
      <c r="R2408" s="588">
        <v>6210</v>
      </c>
      <c r="S2408" s="588">
        <v>280</v>
      </c>
      <c r="T2408" s="588">
        <v>2019</v>
      </c>
      <c r="U2408" s="588">
        <v>2013</v>
      </c>
      <c r="V2408" s="589"/>
      <c r="W2408" s="589"/>
      <c r="X2408" s="589"/>
      <c r="Y2408" s="589"/>
      <c r="Z2408" s="589"/>
      <c r="AA2408" s="589"/>
      <c r="AB2408" s="589"/>
      <c r="AC2408" s="589"/>
      <c r="AD2408" s="589"/>
      <c r="AE2408" s="589"/>
      <c r="AF2408" s="589"/>
      <c r="AG2408" s="589"/>
      <c r="AH2408" s="589"/>
      <c r="AI2408" s="589"/>
      <c r="AJ2408" s="589"/>
      <c r="AK2408" s="589"/>
      <c r="AL2408" s="589"/>
      <c r="AM2408" s="589"/>
      <c r="AN2408" s="589"/>
      <c r="AO2408" s="589"/>
      <c r="AP2408" s="589"/>
      <c r="AQ2408" s="589"/>
      <c r="AR2408" s="589"/>
      <c r="AS2408" s="589"/>
    </row>
    <row r="2409" spans="1:45" ht="15">
      <c r="A2409" s="590" t="s">
        <v>201</v>
      </c>
      <c r="B2409" s="591" t="s">
        <v>733</v>
      </c>
      <c r="C2409" s="591" t="s">
        <v>813</v>
      </c>
      <c r="D2409" s="592">
        <v>2019</v>
      </c>
      <c r="E2409" s="591" t="s">
        <v>775</v>
      </c>
      <c r="F2409" s="592">
        <v>87</v>
      </c>
      <c r="G2409" s="592">
        <v>0</v>
      </c>
      <c r="H2409" s="592">
        <v>0</v>
      </c>
      <c r="I2409" s="592">
        <v>0</v>
      </c>
      <c r="J2409" s="592">
        <v>59</v>
      </c>
      <c r="K2409" s="592">
        <v>0</v>
      </c>
      <c r="L2409" s="592">
        <v>0</v>
      </c>
      <c r="M2409" s="592">
        <v>0</v>
      </c>
      <c r="N2409" s="593">
        <v>70</v>
      </c>
      <c r="O2409" s="593">
        <v>16</v>
      </c>
      <c r="P2409" s="593">
        <v>155</v>
      </c>
      <c r="Q2409" s="593">
        <v>1</v>
      </c>
      <c r="R2409" s="593">
        <v>371</v>
      </c>
      <c r="S2409" s="593">
        <v>17</v>
      </c>
      <c r="T2409" s="593">
        <v>2019</v>
      </c>
      <c r="U2409" s="593">
        <v>2014</v>
      </c>
      <c r="V2409" s="589"/>
      <c r="W2409" s="589"/>
      <c r="X2409" s="589"/>
      <c r="Y2409" s="589"/>
      <c r="Z2409" s="589"/>
      <c r="AA2409" s="589"/>
      <c r="AB2409" s="589"/>
      <c r="AC2409" s="589"/>
      <c r="AD2409" s="589"/>
      <c r="AE2409" s="589"/>
      <c r="AF2409" s="589"/>
      <c r="AG2409" s="589"/>
      <c r="AH2409" s="589"/>
      <c r="AI2409" s="589"/>
      <c r="AJ2409" s="589"/>
      <c r="AK2409" s="589"/>
      <c r="AL2409" s="589"/>
      <c r="AM2409" s="589"/>
      <c r="AN2409" s="589"/>
      <c r="AO2409" s="589"/>
      <c r="AP2409" s="589"/>
      <c r="AQ2409" s="589"/>
      <c r="AR2409" s="589"/>
      <c r="AS2409" s="589"/>
    </row>
    <row r="2410" spans="1:45" ht="15">
      <c r="A2410" s="587" t="s">
        <v>178</v>
      </c>
      <c r="B2410" s="587" t="s">
        <v>580</v>
      </c>
      <c r="C2410" s="587" t="s">
        <v>813</v>
      </c>
      <c r="D2410" s="588">
        <v>2019</v>
      </c>
      <c r="E2410" s="587" t="s">
        <v>775</v>
      </c>
      <c r="F2410" s="588">
        <v>2592</v>
      </c>
      <c r="G2410" s="588">
        <v>58</v>
      </c>
      <c r="H2410" s="588">
        <v>58</v>
      </c>
      <c r="I2410" s="588">
        <v>0</v>
      </c>
      <c r="J2410" s="588">
        <v>1745</v>
      </c>
      <c r="K2410" s="588">
        <v>42</v>
      </c>
      <c r="L2410" s="588">
        <v>42</v>
      </c>
      <c r="M2410" s="588">
        <v>0</v>
      </c>
      <c r="N2410" s="588">
        <v>1977</v>
      </c>
      <c r="O2410" s="588">
        <v>0</v>
      </c>
      <c r="P2410" s="588">
        <v>4547</v>
      </c>
      <c r="Q2410" s="588">
        <v>1452</v>
      </c>
      <c r="R2410" s="588">
        <v>10861</v>
      </c>
      <c r="S2410" s="588">
        <v>1552</v>
      </c>
      <c r="T2410" s="588">
        <v>2019</v>
      </c>
      <c r="U2410" s="588">
        <v>2014</v>
      </c>
      <c r="V2410" s="589"/>
      <c r="W2410" s="589"/>
      <c r="X2410" s="589"/>
      <c r="Y2410" s="589"/>
      <c r="Z2410" s="589"/>
      <c r="AA2410" s="589"/>
      <c r="AB2410" s="589"/>
      <c r="AC2410" s="589"/>
      <c r="AD2410" s="589"/>
      <c r="AE2410" s="589"/>
      <c r="AF2410" s="589"/>
      <c r="AG2410" s="589"/>
      <c r="AH2410" s="589"/>
      <c r="AI2410" s="589"/>
      <c r="AJ2410" s="589"/>
      <c r="AK2410" s="589"/>
      <c r="AL2410" s="589"/>
      <c r="AM2410" s="589"/>
      <c r="AN2410" s="589"/>
      <c r="AO2410" s="589"/>
      <c r="AP2410" s="589"/>
      <c r="AQ2410" s="589"/>
      <c r="AR2410" s="589"/>
      <c r="AS2410" s="589"/>
    </row>
    <row r="2411" spans="1:45" ht="15">
      <c r="A2411" s="590" t="s">
        <v>169</v>
      </c>
      <c r="B2411" s="591" t="s">
        <v>169</v>
      </c>
      <c r="C2411" s="591" t="s">
        <v>813</v>
      </c>
      <c r="D2411" s="592">
        <v>2019</v>
      </c>
      <c r="E2411" s="591" t="s">
        <v>775</v>
      </c>
      <c r="F2411" s="592">
        <v>83</v>
      </c>
      <c r="G2411" s="592">
        <v>0</v>
      </c>
      <c r="H2411" s="592">
        <v>0</v>
      </c>
      <c r="I2411" s="592">
        <v>0</v>
      </c>
      <c r="J2411" s="592">
        <v>59</v>
      </c>
      <c r="K2411" s="592">
        <v>0</v>
      </c>
      <c r="L2411" s="592">
        <v>0</v>
      </c>
      <c r="M2411" s="592">
        <v>0</v>
      </c>
      <c r="N2411" s="593">
        <v>66</v>
      </c>
      <c r="O2411" s="593">
        <v>662</v>
      </c>
      <c r="P2411" s="593">
        <v>155</v>
      </c>
      <c r="Q2411" s="593">
        <v>418</v>
      </c>
      <c r="R2411" s="593">
        <v>363</v>
      </c>
      <c r="S2411" s="593">
        <v>1080</v>
      </c>
      <c r="T2411" s="593">
        <v>2019</v>
      </c>
      <c r="U2411" s="593">
        <v>2014</v>
      </c>
      <c r="V2411" s="589"/>
      <c r="W2411" s="589"/>
      <c r="X2411" s="589"/>
      <c r="Y2411" s="589"/>
      <c r="Z2411" s="589"/>
      <c r="AA2411" s="589"/>
      <c r="AB2411" s="589"/>
      <c r="AC2411" s="589"/>
      <c r="AD2411" s="589"/>
      <c r="AE2411" s="589"/>
      <c r="AF2411" s="589"/>
      <c r="AG2411" s="589"/>
      <c r="AH2411" s="589"/>
      <c r="AI2411" s="589"/>
      <c r="AJ2411" s="589"/>
      <c r="AK2411" s="589"/>
      <c r="AL2411" s="589"/>
      <c r="AM2411" s="589"/>
      <c r="AN2411" s="589"/>
      <c r="AO2411" s="589"/>
      <c r="AP2411" s="589"/>
      <c r="AQ2411" s="589"/>
      <c r="AR2411" s="589"/>
      <c r="AS2411" s="589"/>
    </row>
    <row r="2412" spans="1:45" ht="15">
      <c r="A2412" s="587" t="s">
        <v>169</v>
      </c>
      <c r="B2412" s="587" t="s">
        <v>507</v>
      </c>
      <c r="C2412" s="587" t="s">
        <v>813</v>
      </c>
      <c r="D2412" s="588">
        <v>2019</v>
      </c>
      <c r="E2412" s="587" t="s">
        <v>775</v>
      </c>
      <c r="F2412" s="588">
        <v>1240</v>
      </c>
      <c r="G2412" s="588">
        <v>0</v>
      </c>
      <c r="H2412" s="588">
        <v>0</v>
      </c>
      <c r="I2412" s="588">
        <v>0</v>
      </c>
      <c r="J2412" s="588">
        <v>879</v>
      </c>
      <c r="K2412" s="588">
        <v>0</v>
      </c>
      <c r="L2412" s="588">
        <v>0</v>
      </c>
      <c r="M2412" s="588">
        <v>0</v>
      </c>
      <c r="N2412" s="588">
        <v>979</v>
      </c>
      <c r="O2412" s="588">
        <v>0</v>
      </c>
      <c r="P2412" s="588">
        <v>2174</v>
      </c>
      <c r="Q2412" s="588">
        <v>273</v>
      </c>
      <c r="R2412" s="588">
        <v>5272</v>
      </c>
      <c r="S2412" s="588">
        <v>273</v>
      </c>
      <c r="T2412" s="588">
        <v>2019</v>
      </c>
      <c r="U2412" s="588">
        <v>2014</v>
      </c>
      <c r="V2412" s="589"/>
      <c r="W2412" s="589"/>
      <c r="X2412" s="589"/>
      <c r="Y2412" s="589"/>
      <c r="Z2412" s="589"/>
      <c r="AA2412" s="589"/>
      <c r="AB2412" s="589"/>
      <c r="AC2412" s="589"/>
      <c r="AD2412" s="589"/>
      <c r="AE2412" s="589"/>
      <c r="AF2412" s="589"/>
      <c r="AG2412" s="589"/>
      <c r="AH2412" s="589"/>
      <c r="AI2412" s="589"/>
      <c r="AJ2412" s="589"/>
      <c r="AK2412" s="589"/>
      <c r="AL2412" s="589"/>
      <c r="AM2412" s="589"/>
      <c r="AN2412" s="589"/>
      <c r="AO2412" s="589"/>
      <c r="AP2412" s="589"/>
      <c r="AQ2412" s="589"/>
      <c r="AR2412" s="589"/>
      <c r="AS2412" s="589"/>
    </row>
    <row r="2413" spans="1:45" ht="15">
      <c r="A2413" s="590" t="s">
        <v>141</v>
      </c>
      <c r="B2413" s="591" t="s">
        <v>299</v>
      </c>
      <c r="C2413" s="591" t="s">
        <v>811</v>
      </c>
      <c r="D2413" s="592">
        <v>2019</v>
      </c>
      <c r="E2413" s="591" t="s">
        <v>775</v>
      </c>
      <c r="F2413" s="592">
        <v>111</v>
      </c>
      <c r="G2413" s="592">
        <v>0</v>
      </c>
      <c r="H2413" s="592">
        <v>0</v>
      </c>
      <c r="I2413" s="592">
        <v>0</v>
      </c>
      <c r="J2413" s="592">
        <v>86</v>
      </c>
      <c r="K2413" s="592">
        <v>0</v>
      </c>
      <c r="L2413" s="592">
        <v>0</v>
      </c>
      <c r="M2413" s="592">
        <v>0</v>
      </c>
      <c r="N2413" s="593">
        <v>105</v>
      </c>
      <c r="O2413" s="593">
        <v>0</v>
      </c>
      <c r="P2413" s="593">
        <v>367</v>
      </c>
      <c r="Q2413" s="593">
        <v>0</v>
      </c>
      <c r="R2413" s="593">
        <v>669</v>
      </c>
      <c r="S2413" s="593">
        <v>0</v>
      </c>
      <c r="T2413" s="593">
        <v>2019</v>
      </c>
      <c r="U2413" s="593">
        <v>2016</v>
      </c>
      <c r="V2413" s="589"/>
      <c r="W2413" s="589"/>
      <c r="X2413" s="589"/>
      <c r="Y2413" s="589"/>
      <c r="Z2413" s="589"/>
      <c r="AA2413" s="589"/>
      <c r="AB2413" s="589"/>
      <c r="AC2413" s="589"/>
      <c r="AD2413" s="589"/>
      <c r="AE2413" s="589"/>
      <c r="AF2413" s="589"/>
      <c r="AG2413" s="589"/>
      <c r="AH2413" s="589"/>
      <c r="AI2413" s="589"/>
      <c r="AJ2413" s="589"/>
      <c r="AK2413" s="589"/>
      <c r="AL2413" s="589"/>
      <c r="AM2413" s="589"/>
      <c r="AN2413" s="589"/>
      <c r="AO2413" s="589"/>
      <c r="AP2413" s="589"/>
      <c r="AQ2413" s="589"/>
      <c r="AR2413" s="589"/>
      <c r="AS2413" s="589"/>
    </row>
    <row r="2414" spans="1:45" ht="15">
      <c r="A2414" s="587" t="s">
        <v>136</v>
      </c>
      <c r="B2414" s="587" t="s">
        <v>277</v>
      </c>
      <c r="C2414" s="587" t="s">
        <v>782</v>
      </c>
      <c r="D2414" s="588">
        <v>2019</v>
      </c>
      <c r="E2414" s="587" t="s">
        <v>775</v>
      </c>
      <c r="F2414" s="588">
        <v>84</v>
      </c>
      <c r="G2414" s="588">
        <v>0</v>
      </c>
      <c r="H2414" s="588">
        <v>0</v>
      </c>
      <c r="I2414" s="588">
        <v>0</v>
      </c>
      <c r="J2414" s="588">
        <v>47</v>
      </c>
      <c r="K2414" s="588">
        <v>0</v>
      </c>
      <c r="L2414" s="588">
        <v>0</v>
      </c>
      <c r="M2414" s="588">
        <v>0</v>
      </c>
      <c r="N2414" s="588">
        <v>54</v>
      </c>
      <c r="O2414" s="588">
        <v>7</v>
      </c>
      <c r="P2414" s="588">
        <v>42</v>
      </c>
      <c r="Q2414" s="588">
        <v>33</v>
      </c>
      <c r="R2414" s="588">
        <v>227</v>
      </c>
      <c r="S2414" s="588">
        <v>40</v>
      </c>
      <c r="T2414" s="588">
        <v>2019</v>
      </c>
      <c r="U2414" s="588">
        <v>2015</v>
      </c>
      <c r="V2414" s="589"/>
      <c r="W2414" s="589"/>
      <c r="X2414" s="589"/>
      <c r="Y2414" s="589"/>
      <c r="Z2414" s="589"/>
      <c r="AA2414" s="589"/>
      <c r="AB2414" s="589"/>
      <c r="AC2414" s="589"/>
      <c r="AD2414" s="589"/>
      <c r="AE2414" s="589"/>
      <c r="AF2414" s="589"/>
      <c r="AG2414" s="589"/>
      <c r="AH2414" s="589"/>
      <c r="AI2414" s="589"/>
      <c r="AJ2414" s="589"/>
      <c r="AK2414" s="589"/>
      <c r="AL2414" s="589"/>
      <c r="AM2414" s="589"/>
      <c r="AN2414" s="589"/>
      <c r="AO2414" s="589"/>
      <c r="AP2414" s="589"/>
      <c r="AQ2414" s="589"/>
      <c r="AR2414" s="589"/>
      <c r="AS2414" s="589"/>
    </row>
    <row r="2415" spans="1:45" ht="15">
      <c r="A2415" s="590" t="s">
        <v>144</v>
      </c>
      <c r="B2415" s="591" t="s">
        <v>305</v>
      </c>
      <c r="C2415" s="591" t="s">
        <v>785</v>
      </c>
      <c r="D2415" s="592">
        <v>2019</v>
      </c>
      <c r="E2415" s="591" t="s">
        <v>775</v>
      </c>
      <c r="F2415" s="592">
        <v>20</v>
      </c>
      <c r="G2415" s="592">
        <v>0</v>
      </c>
      <c r="H2415" s="592">
        <v>0</v>
      </c>
      <c r="I2415" s="592">
        <v>0</v>
      </c>
      <c r="J2415" s="592">
        <v>10</v>
      </c>
      <c r="K2415" s="592">
        <v>3</v>
      </c>
      <c r="L2415" s="592">
        <v>0</v>
      </c>
      <c r="M2415" s="592">
        <v>3</v>
      </c>
      <c r="N2415" s="593">
        <v>14</v>
      </c>
      <c r="O2415" s="593">
        <v>22</v>
      </c>
      <c r="P2415" s="593">
        <v>36</v>
      </c>
      <c r="Q2415" s="593">
        <v>0</v>
      </c>
      <c r="R2415" s="593">
        <v>80</v>
      </c>
      <c r="S2415" s="593">
        <v>25</v>
      </c>
      <c r="T2415" s="593">
        <v>2019</v>
      </c>
      <c r="U2415" s="593">
        <v>2014</v>
      </c>
      <c r="V2415" s="589"/>
      <c r="W2415" s="589"/>
      <c r="X2415" s="589"/>
      <c r="Y2415" s="589"/>
      <c r="Z2415" s="589"/>
      <c r="AA2415" s="589"/>
      <c r="AB2415" s="589"/>
      <c r="AC2415" s="589"/>
      <c r="AD2415" s="589"/>
      <c r="AE2415" s="589"/>
      <c r="AF2415" s="589"/>
      <c r="AG2415" s="589"/>
      <c r="AH2415" s="589"/>
      <c r="AI2415" s="589"/>
      <c r="AJ2415" s="589"/>
      <c r="AK2415" s="589"/>
      <c r="AL2415" s="589"/>
      <c r="AM2415" s="589"/>
      <c r="AN2415" s="589"/>
      <c r="AO2415" s="589"/>
      <c r="AP2415" s="589"/>
      <c r="AQ2415" s="589"/>
      <c r="AR2415" s="589"/>
      <c r="AS2415" s="589"/>
    </row>
    <row r="2416" spans="1:45" ht="15">
      <c r="A2416" s="587" t="s">
        <v>131</v>
      </c>
      <c r="B2416" s="587" t="s">
        <v>259</v>
      </c>
      <c r="C2416" s="587" t="s">
        <v>787</v>
      </c>
      <c r="D2416" s="588">
        <v>2019</v>
      </c>
      <c r="E2416" s="587" t="s">
        <v>775</v>
      </c>
      <c r="F2416" s="588">
        <v>419</v>
      </c>
      <c r="G2416" s="588">
        <v>0</v>
      </c>
      <c r="H2416" s="588">
        <v>0</v>
      </c>
      <c r="I2416" s="588">
        <v>0</v>
      </c>
      <c r="J2416" s="588">
        <v>284</v>
      </c>
      <c r="K2416" s="588">
        <v>1</v>
      </c>
      <c r="L2416" s="588">
        <v>1</v>
      </c>
      <c r="M2416" s="588">
        <v>0</v>
      </c>
      <c r="N2416" s="588">
        <v>306</v>
      </c>
      <c r="O2416" s="588">
        <v>0</v>
      </c>
      <c r="P2416" s="588">
        <v>784</v>
      </c>
      <c r="Q2416" s="588">
        <v>56</v>
      </c>
      <c r="R2416" s="588">
        <v>1793</v>
      </c>
      <c r="S2416" s="588">
        <v>57</v>
      </c>
      <c r="T2416" s="588">
        <v>2019</v>
      </c>
      <c r="U2416" s="588">
        <v>2014</v>
      </c>
      <c r="V2416" s="589"/>
      <c r="W2416" s="589"/>
      <c r="X2416" s="589"/>
      <c r="Y2416" s="589"/>
      <c r="Z2416" s="589"/>
      <c r="AA2416" s="589"/>
      <c r="AB2416" s="589"/>
      <c r="AC2416" s="589"/>
      <c r="AD2416" s="589"/>
      <c r="AE2416" s="589"/>
      <c r="AF2416" s="589"/>
      <c r="AG2416" s="589"/>
      <c r="AH2416" s="589"/>
      <c r="AI2416" s="589"/>
      <c r="AJ2416" s="589"/>
      <c r="AK2416" s="589"/>
      <c r="AL2416" s="589"/>
      <c r="AM2416" s="589"/>
      <c r="AN2416" s="589"/>
      <c r="AO2416" s="589"/>
      <c r="AP2416" s="589"/>
      <c r="AQ2416" s="589"/>
      <c r="AR2416" s="589"/>
      <c r="AS2416" s="589"/>
    </row>
    <row r="2417" spans="1:45" ht="15">
      <c r="A2417" s="590" t="s">
        <v>201</v>
      </c>
      <c r="B2417" s="591" t="s">
        <v>734</v>
      </c>
      <c r="C2417" s="591" t="s">
        <v>813</v>
      </c>
      <c r="D2417" s="592">
        <v>2019</v>
      </c>
      <c r="E2417" s="591" t="s">
        <v>775</v>
      </c>
      <c r="F2417" s="592">
        <v>1688</v>
      </c>
      <c r="G2417" s="592">
        <v>0</v>
      </c>
      <c r="H2417" s="592">
        <v>0</v>
      </c>
      <c r="I2417" s="592">
        <v>0</v>
      </c>
      <c r="J2417" s="592">
        <v>1160</v>
      </c>
      <c r="K2417" s="592">
        <v>0</v>
      </c>
      <c r="L2417" s="592">
        <v>0</v>
      </c>
      <c r="M2417" s="592">
        <v>0</v>
      </c>
      <c r="N2417" s="593">
        <v>1351</v>
      </c>
      <c r="O2417" s="593">
        <v>0</v>
      </c>
      <c r="P2417" s="593">
        <v>3102</v>
      </c>
      <c r="Q2417" s="593">
        <v>137</v>
      </c>
      <c r="R2417" s="593">
        <v>7301</v>
      </c>
      <c r="S2417" s="593">
        <v>137</v>
      </c>
      <c r="T2417" s="593">
        <v>2019</v>
      </c>
      <c r="U2417" s="593">
        <v>2014</v>
      </c>
      <c r="V2417" s="589"/>
      <c r="W2417" s="589"/>
      <c r="X2417" s="589"/>
      <c r="Y2417" s="589"/>
      <c r="Z2417" s="589"/>
      <c r="AA2417" s="589"/>
      <c r="AB2417" s="589"/>
      <c r="AC2417" s="589"/>
      <c r="AD2417" s="589"/>
      <c r="AE2417" s="589"/>
      <c r="AF2417" s="589"/>
      <c r="AG2417" s="589"/>
      <c r="AH2417" s="589"/>
      <c r="AI2417" s="589"/>
      <c r="AJ2417" s="589"/>
      <c r="AK2417" s="589"/>
      <c r="AL2417" s="589"/>
      <c r="AM2417" s="589"/>
      <c r="AN2417" s="589"/>
      <c r="AO2417" s="589"/>
      <c r="AP2417" s="589"/>
      <c r="AQ2417" s="589"/>
      <c r="AR2417" s="589"/>
      <c r="AS2417" s="589"/>
    </row>
    <row r="2418" spans="1:45" ht="15">
      <c r="A2418" s="587" t="s">
        <v>164</v>
      </c>
      <c r="B2418" s="587" t="s">
        <v>471</v>
      </c>
      <c r="C2418" s="587" t="s">
        <v>811</v>
      </c>
      <c r="D2418" s="588">
        <v>2019</v>
      </c>
      <c r="E2418" s="587" t="s">
        <v>775</v>
      </c>
      <c r="F2418" s="588">
        <v>28</v>
      </c>
      <c r="G2418" s="588">
        <v>0</v>
      </c>
      <c r="H2418" s="588">
        <v>0</v>
      </c>
      <c r="I2418" s="588">
        <v>0</v>
      </c>
      <c r="J2418" s="588">
        <v>18</v>
      </c>
      <c r="K2418" s="588">
        <v>0</v>
      </c>
      <c r="L2418" s="588">
        <v>0</v>
      </c>
      <c r="M2418" s="588">
        <v>0</v>
      </c>
      <c r="N2418" s="588">
        <v>21</v>
      </c>
      <c r="O2418" s="588">
        <v>1</v>
      </c>
      <c r="P2418" s="588">
        <v>48</v>
      </c>
      <c r="Q2418" s="588">
        <v>1</v>
      </c>
      <c r="R2418" s="588">
        <v>115</v>
      </c>
      <c r="S2418" s="588">
        <v>2</v>
      </c>
      <c r="T2418" s="588">
        <v>2019</v>
      </c>
      <c r="U2418" s="588">
        <v>2016</v>
      </c>
      <c r="V2418" s="589"/>
      <c r="W2418" s="589"/>
      <c r="X2418" s="589"/>
      <c r="Y2418" s="589"/>
      <c r="Z2418" s="589"/>
      <c r="AA2418" s="589"/>
      <c r="AB2418" s="589"/>
      <c r="AC2418" s="589"/>
      <c r="AD2418" s="589"/>
      <c r="AE2418" s="589"/>
      <c r="AF2418" s="589"/>
      <c r="AG2418" s="589"/>
      <c r="AH2418" s="589"/>
      <c r="AI2418" s="589"/>
      <c r="AJ2418" s="589"/>
      <c r="AK2418" s="589"/>
      <c r="AL2418" s="589"/>
      <c r="AM2418" s="589"/>
      <c r="AN2418" s="589"/>
      <c r="AO2418" s="589"/>
      <c r="AP2418" s="589"/>
      <c r="AQ2418" s="589"/>
      <c r="AR2418" s="589"/>
      <c r="AS2418" s="589"/>
    </row>
    <row r="2419" spans="1:45" ht="15">
      <c r="A2419" s="590" t="s">
        <v>184</v>
      </c>
      <c r="B2419" s="591" t="s">
        <v>635</v>
      </c>
      <c r="C2419" s="591" t="s">
        <v>782</v>
      </c>
      <c r="D2419" s="592">
        <v>2019</v>
      </c>
      <c r="E2419" s="591" t="s">
        <v>775</v>
      </c>
      <c r="F2419" s="592">
        <v>121</v>
      </c>
      <c r="G2419" s="592">
        <v>0</v>
      </c>
      <c r="H2419" s="592">
        <v>0</v>
      </c>
      <c r="I2419" s="592">
        <v>0</v>
      </c>
      <c r="J2419" s="592">
        <v>68</v>
      </c>
      <c r="K2419" s="592">
        <v>0</v>
      </c>
      <c r="L2419" s="592">
        <v>0</v>
      </c>
      <c r="M2419" s="592">
        <v>0</v>
      </c>
      <c r="N2419" s="593">
        <v>70</v>
      </c>
      <c r="O2419" s="593">
        <v>0</v>
      </c>
      <c r="P2419" s="593">
        <v>154</v>
      </c>
      <c r="Q2419" s="593">
        <v>14</v>
      </c>
      <c r="R2419" s="593">
        <v>413</v>
      </c>
      <c r="S2419" s="593">
        <v>14</v>
      </c>
      <c r="T2419" s="593">
        <v>2019</v>
      </c>
      <c r="U2419" s="593">
        <v>2015</v>
      </c>
      <c r="V2419" s="589"/>
      <c r="W2419" s="589"/>
      <c r="X2419" s="589"/>
      <c r="Y2419" s="589"/>
      <c r="Z2419" s="589"/>
      <c r="AA2419" s="589"/>
      <c r="AB2419" s="589"/>
      <c r="AC2419" s="589"/>
      <c r="AD2419" s="589"/>
      <c r="AE2419" s="589"/>
      <c r="AF2419" s="589"/>
      <c r="AG2419" s="589"/>
      <c r="AH2419" s="589"/>
      <c r="AI2419" s="589"/>
      <c r="AJ2419" s="589"/>
      <c r="AK2419" s="589"/>
      <c r="AL2419" s="589"/>
      <c r="AM2419" s="589"/>
      <c r="AN2419" s="589"/>
      <c r="AO2419" s="589"/>
      <c r="AP2419" s="589"/>
      <c r="AQ2419" s="589"/>
      <c r="AR2419" s="589"/>
      <c r="AS2419" s="589"/>
    </row>
    <row r="2420" spans="1:45" ht="15">
      <c r="A2420" s="587" t="s">
        <v>173</v>
      </c>
      <c r="B2420" s="587" t="s">
        <v>548</v>
      </c>
      <c r="C2420" s="587" t="s">
        <v>813</v>
      </c>
      <c r="D2420" s="588">
        <v>2019</v>
      </c>
      <c r="E2420" s="587" t="s">
        <v>775</v>
      </c>
      <c r="F2420" s="588">
        <v>98</v>
      </c>
      <c r="G2420" s="588">
        <v>0</v>
      </c>
      <c r="H2420" s="588">
        <v>0</v>
      </c>
      <c r="I2420" s="588">
        <v>0</v>
      </c>
      <c r="J2420" s="588">
        <v>67</v>
      </c>
      <c r="K2420" s="588">
        <v>0</v>
      </c>
      <c r="L2420" s="588">
        <v>0</v>
      </c>
      <c r="M2420" s="588">
        <v>0</v>
      </c>
      <c r="N2420" s="588">
        <v>76</v>
      </c>
      <c r="O2420" s="588">
        <v>0</v>
      </c>
      <c r="P2420" s="588">
        <v>172</v>
      </c>
      <c r="Q2420" s="588">
        <v>42</v>
      </c>
      <c r="R2420" s="588">
        <v>413</v>
      </c>
      <c r="S2420" s="588">
        <v>42</v>
      </c>
      <c r="T2420" s="588">
        <v>2019</v>
      </c>
      <c r="U2420" s="588">
        <v>2014</v>
      </c>
      <c r="V2420" s="589"/>
      <c r="W2420" s="589"/>
      <c r="X2420" s="589"/>
      <c r="Y2420" s="589"/>
      <c r="Z2420" s="589"/>
      <c r="AA2420" s="589"/>
      <c r="AB2420" s="589"/>
      <c r="AC2420" s="589"/>
      <c r="AD2420" s="589"/>
      <c r="AE2420" s="589"/>
      <c r="AF2420" s="589"/>
      <c r="AG2420" s="589"/>
      <c r="AH2420" s="589"/>
      <c r="AI2420" s="589"/>
      <c r="AJ2420" s="589"/>
      <c r="AK2420" s="589"/>
      <c r="AL2420" s="589"/>
      <c r="AM2420" s="589"/>
      <c r="AN2420" s="589"/>
      <c r="AO2420" s="589"/>
      <c r="AP2420" s="589"/>
      <c r="AQ2420" s="589"/>
      <c r="AR2420" s="589"/>
      <c r="AS2420" s="589"/>
    </row>
    <row r="2421" spans="1:45" ht="15">
      <c r="A2421" s="590" t="s">
        <v>173</v>
      </c>
      <c r="B2421" s="591" t="s">
        <v>549</v>
      </c>
      <c r="C2421" s="591" t="s">
        <v>813</v>
      </c>
      <c r="D2421" s="592">
        <v>2019</v>
      </c>
      <c r="E2421" s="591" t="s">
        <v>775</v>
      </c>
      <c r="F2421" s="592">
        <v>63</v>
      </c>
      <c r="G2421" s="592">
        <v>0</v>
      </c>
      <c r="H2421" s="592">
        <v>0</v>
      </c>
      <c r="I2421" s="592">
        <v>0</v>
      </c>
      <c r="J2421" s="592">
        <v>43</v>
      </c>
      <c r="K2421" s="592">
        <v>0</v>
      </c>
      <c r="L2421" s="592">
        <v>0</v>
      </c>
      <c r="M2421" s="592">
        <v>0</v>
      </c>
      <c r="N2421" s="593">
        <v>50</v>
      </c>
      <c r="O2421" s="593">
        <v>4</v>
      </c>
      <c r="P2421" s="593">
        <v>116</v>
      </c>
      <c r="Q2421" s="593">
        <v>213</v>
      </c>
      <c r="R2421" s="593">
        <v>272</v>
      </c>
      <c r="S2421" s="593">
        <v>217</v>
      </c>
      <c r="T2421" s="593">
        <v>2019</v>
      </c>
      <c r="U2421" s="593">
        <v>2014</v>
      </c>
      <c r="V2421" s="589"/>
      <c r="W2421" s="589"/>
      <c r="X2421" s="589"/>
      <c r="Y2421" s="589"/>
      <c r="Z2421" s="589"/>
      <c r="AA2421" s="589"/>
      <c r="AB2421" s="589"/>
      <c r="AC2421" s="589"/>
      <c r="AD2421" s="589"/>
      <c r="AE2421" s="589"/>
      <c r="AF2421" s="589"/>
      <c r="AG2421" s="589"/>
      <c r="AH2421" s="589"/>
      <c r="AI2421" s="589"/>
      <c r="AJ2421" s="589"/>
      <c r="AK2421" s="589"/>
      <c r="AL2421" s="589"/>
      <c r="AM2421" s="589"/>
      <c r="AN2421" s="589"/>
      <c r="AO2421" s="589"/>
      <c r="AP2421" s="589"/>
      <c r="AQ2421" s="589"/>
      <c r="AR2421" s="589"/>
      <c r="AS2421" s="589"/>
    </row>
    <row r="2422" spans="1:45" ht="15">
      <c r="A2422" s="587" t="s">
        <v>153</v>
      </c>
      <c r="B2422" s="587" t="s">
        <v>403</v>
      </c>
      <c r="C2422" s="587" t="s">
        <v>813</v>
      </c>
      <c r="D2422" s="588">
        <v>2019</v>
      </c>
      <c r="E2422" s="587" t="s">
        <v>775</v>
      </c>
      <c r="F2422" s="588">
        <v>1397</v>
      </c>
      <c r="G2422" s="588">
        <v>0</v>
      </c>
      <c r="H2422" s="588">
        <v>0</v>
      </c>
      <c r="I2422" s="588">
        <v>0</v>
      </c>
      <c r="J2422" s="588">
        <v>828</v>
      </c>
      <c r="K2422" s="588">
        <v>0</v>
      </c>
      <c r="L2422" s="588">
        <v>0</v>
      </c>
      <c r="M2422" s="588">
        <v>0</v>
      </c>
      <c r="N2422" s="588">
        <v>899</v>
      </c>
      <c r="O2422" s="588">
        <v>149</v>
      </c>
      <c r="P2422" s="588">
        <v>2334</v>
      </c>
      <c r="Q2422" s="588">
        <v>0</v>
      </c>
      <c r="R2422" s="588">
        <v>5458</v>
      </c>
      <c r="S2422" s="588">
        <v>149</v>
      </c>
      <c r="T2422" s="588">
        <v>2019</v>
      </c>
      <c r="U2422" s="588">
        <v>2014</v>
      </c>
      <c r="V2422" s="589"/>
      <c r="W2422" s="589"/>
      <c r="X2422" s="589"/>
      <c r="Y2422" s="589"/>
      <c r="Z2422" s="589"/>
      <c r="AA2422" s="589"/>
      <c r="AB2422" s="589"/>
      <c r="AC2422" s="589"/>
      <c r="AD2422" s="589"/>
      <c r="AE2422" s="589"/>
      <c r="AF2422" s="589"/>
      <c r="AG2422" s="589"/>
      <c r="AH2422" s="589"/>
      <c r="AI2422" s="589"/>
      <c r="AJ2422" s="589"/>
      <c r="AK2422" s="589"/>
      <c r="AL2422" s="589"/>
      <c r="AM2422" s="589"/>
      <c r="AN2422" s="589"/>
      <c r="AO2422" s="589"/>
      <c r="AP2422" s="589"/>
      <c r="AQ2422" s="589"/>
      <c r="AR2422" s="589"/>
      <c r="AS2422" s="589"/>
    </row>
    <row r="2423" spans="1:45" ht="15">
      <c r="A2423" s="590" t="s">
        <v>187</v>
      </c>
      <c r="B2423" s="591" t="s">
        <v>661</v>
      </c>
      <c r="C2423" s="591" t="s">
        <v>782</v>
      </c>
      <c r="D2423" s="592">
        <v>2019</v>
      </c>
      <c r="E2423" s="591" t="s">
        <v>775</v>
      </c>
      <c r="F2423" s="592">
        <v>691</v>
      </c>
      <c r="G2423" s="592">
        <v>0</v>
      </c>
      <c r="H2423" s="592">
        <v>0</v>
      </c>
      <c r="I2423" s="592">
        <v>0</v>
      </c>
      <c r="J2423" s="592">
        <v>432</v>
      </c>
      <c r="K2423" s="592">
        <v>2</v>
      </c>
      <c r="L2423" s="592">
        <v>2</v>
      </c>
      <c r="M2423" s="592">
        <v>0</v>
      </c>
      <c r="N2423" s="593">
        <v>278</v>
      </c>
      <c r="O2423" s="593">
        <v>0</v>
      </c>
      <c r="P2423" s="593">
        <v>587</v>
      </c>
      <c r="Q2423" s="593">
        <v>105</v>
      </c>
      <c r="R2423" s="593">
        <v>1988</v>
      </c>
      <c r="S2423" s="593">
        <v>107</v>
      </c>
      <c r="T2423" s="593">
        <v>2019</v>
      </c>
      <c r="U2423" s="593">
        <v>2015</v>
      </c>
      <c r="V2423" s="589"/>
      <c r="W2423" s="589"/>
      <c r="X2423" s="589"/>
      <c r="Y2423" s="589"/>
      <c r="Z2423" s="589"/>
      <c r="AA2423" s="589"/>
      <c r="AB2423" s="589"/>
      <c r="AC2423" s="589"/>
      <c r="AD2423" s="589"/>
      <c r="AE2423" s="589"/>
      <c r="AF2423" s="589"/>
      <c r="AG2423" s="589"/>
      <c r="AH2423" s="589"/>
      <c r="AI2423" s="589"/>
      <c r="AJ2423" s="589"/>
      <c r="AK2423" s="589"/>
      <c r="AL2423" s="589"/>
      <c r="AM2423" s="589"/>
      <c r="AN2423" s="589"/>
      <c r="AO2423" s="589"/>
      <c r="AP2423" s="589"/>
      <c r="AQ2423" s="589"/>
      <c r="AR2423" s="589"/>
      <c r="AS2423" s="589"/>
    </row>
    <row r="2424" spans="1:45" ht="15">
      <c r="A2424" s="587" t="s">
        <v>153</v>
      </c>
      <c r="B2424" s="587" t="s">
        <v>404</v>
      </c>
      <c r="C2424" s="587" t="s">
        <v>813</v>
      </c>
      <c r="D2424" s="588">
        <v>2019</v>
      </c>
      <c r="E2424" s="587" t="s">
        <v>775</v>
      </c>
      <c r="F2424" s="588">
        <v>4</v>
      </c>
      <c r="G2424" s="588">
        <v>0</v>
      </c>
      <c r="H2424" s="588">
        <v>0</v>
      </c>
      <c r="I2424" s="588">
        <v>0</v>
      </c>
      <c r="J2424" s="588">
        <v>3</v>
      </c>
      <c r="K2424" s="588">
        <v>0</v>
      </c>
      <c r="L2424" s="588">
        <v>0</v>
      </c>
      <c r="M2424" s="588">
        <v>0</v>
      </c>
      <c r="N2424" s="588">
        <v>3</v>
      </c>
      <c r="O2424" s="588">
        <v>0</v>
      </c>
      <c r="P2424" s="588">
        <v>6</v>
      </c>
      <c r="Q2424" s="588">
        <v>10</v>
      </c>
      <c r="R2424" s="588">
        <v>16</v>
      </c>
      <c r="S2424" s="588">
        <v>10</v>
      </c>
      <c r="T2424" s="588">
        <v>2019</v>
      </c>
      <c r="U2424" s="588">
        <v>2014</v>
      </c>
      <c r="V2424" s="589"/>
      <c r="W2424" s="589"/>
      <c r="X2424" s="589"/>
      <c r="Y2424" s="589"/>
      <c r="Z2424" s="589"/>
      <c r="AA2424" s="589"/>
      <c r="AB2424" s="589"/>
      <c r="AC2424" s="589"/>
      <c r="AD2424" s="589"/>
      <c r="AE2424" s="589"/>
      <c r="AF2424" s="589"/>
      <c r="AG2424" s="589"/>
      <c r="AH2424" s="589"/>
      <c r="AI2424" s="589"/>
      <c r="AJ2424" s="589"/>
      <c r="AK2424" s="589"/>
      <c r="AL2424" s="589"/>
      <c r="AM2424" s="589"/>
      <c r="AN2424" s="589"/>
      <c r="AO2424" s="589"/>
      <c r="AP2424" s="589"/>
      <c r="AQ2424" s="589"/>
      <c r="AR2424" s="589"/>
      <c r="AS2424" s="589"/>
    </row>
    <row r="2425" spans="1:45" ht="15">
      <c r="A2425" s="590" t="s">
        <v>153</v>
      </c>
      <c r="B2425" s="591" t="s">
        <v>405</v>
      </c>
      <c r="C2425" s="591" t="s">
        <v>813</v>
      </c>
      <c r="D2425" s="592">
        <v>2019</v>
      </c>
      <c r="E2425" s="591" t="s">
        <v>775</v>
      </c>
      <c r="F2425" s="592">
        <v>26</v>
      </c>
      <c r="G2425" s="592">
        <v>0</v>
      </c>
      <c r="H2425" s="592">
        <v>0</v>
      </c>
      <c r="I2425" s="592">
        <v>0</v>
      </c>
      <c r="J2425" s="592">
        <v>16</v>
      </c>
      <c r="K2425" s="592">
        <v>0</v>
      </c>
      <c r="L2425" s="592">
        <v>0</v>
      </c>
      <c r="M2425" s="592">
        <v>0</v>
      </c>
      <c r="N2425" s="593">
        <v>17</v>
      </c>
      <c r="O2425" s="593">
        <v>0</v>
      </c>
      <c r="P2425" s="593">
        <v>46</v>
      </c>
      <c r="Q2425" s="593">
        <v>26</v>
      </c>
      <c r="R2425" s="593">
        <v>105</v>
      </c>
      <c r="S2425" s="593">
        <v>26</v>
      </c>
      <c r="T2425" s="593">
        <v>2019</v>
      </c>
      <c r="U2425" s="593">
        <v>2014</v>
      </c>
      <c r="V2425" s="589"/>
      <c r="W2425" s="589"/>
      <c r="X2425" s="589"/>
      <c r="Y2425" s="589"/>
      <c r="Z2425" s="589"/>
      <c r="AA2425" s="589"/>
      <c r="AB2425" s="589"/>
      <c r="AC2425" s="589"/>
      <c r="AD2425" s="589"/>
      <c r="AE2425" s="589"/>
      <c r="AF2425" s="589"/>
      <c r="AG2425" s="589"/>
      <c r="AH2425" s="589"/>
      <c r="AI2425" s="589"/>
      <c r="AJ2425" s="589"/>
      <c r="AK2425" s="589"/>
      <c r="AL2425" s="589"/>
      <c r="AM2425" s="589"/>
      <c r="AN2425" s="589"/>
      <c r="AO2425" s="589"/>
      <c r="AP2425" s="589"/>
      <c r="AQ2425" s="589"/>
      <c r="AR2425" s="589"/>
      <c r="AS2425" s="589"/>
    </row>
    <row r="2426" spans="1:45" ht="15">
      <c r="A2426" s="587" t="s">
        <v>153</v>
      </c>
      <c r="B2426" s="587" t="s">
        <v>406</v>
      </c>
      <c r="C2426" s="587" t="s">
        <v>813</v>
      </c>
      <c r="D2426" s="588">
        <v>2019</v>
      </c>
      <c r="E2426" s="587" t="s">
        <v>775</v>
      </c>
      <c r="F2426" s="588">
        <v>340</v>
      </c>
      <c r="G2426" s="588">
        <v>3</v>
      </c>
      <c r="H2426" s="588">
        <v>3</v>
      </c>
      <c r="I2426" s="588">
        <v>0</v>
      </c>
      <c r="J2426" s="588">
        <v>207</v>
      </c>
      <c r="K2426" s="588">
        <v>16</v>
      </c>
      <c r="L2426" s="588">
        <v>16</v>
      </c>
      <c r="M2426" s="588">
        <v>0</v>
      </c>
      <c r="N2426" s="588">
        <v>224</v>
      </c>
      <c r="O2426" s="588">
        <v>0</v>
      </c>
      <c r="P2426" s="588">
        <v>561</v>
      </c>
      <c r="Q2426" s="588">
        <v>242</v>
      </c>
      <c r="R2426" s="588">
        <v>1332</v>
      </c>
      <c r="S2426" s="588">
        <v>261</v>
      </c>
      <c r="T2426" s="588">
        <v>2019</v>
      </c>
      <c r="U2426" s="588">
        <v>2014</v>
      </c>
      <c r="V2426" s="589"/>
      <c r="W2426" s="589"/>
      <c r="X2426" s="589"/>
      <c r="Y2426" s="589"/>
      <c r="Z2426" s="589"/>
      <c r="AA2426" s="589"/>
      <c r="AB2426" s="589"/>
      <c r="AC2426" s="589"/>
      <c r="AD2426" s="589"/>
      <c r="AE2426" s="589"/>
      <c r="AF2426" s="589"/>
      <c r="AG2426" s="589"/>
      <c r="AH2426" s="589"/>
      <c r="AI2426" s="589"/>
      <c r="AJ2426" s="589"/>
      <c r="AK2426" s="589"/>
      <c r="AL2426" s="589"/>
      <c r="AM2426" s="589"/>
      <c r="AN2426" s="589"/>
      <c r="AO2426" s="589"/>
      <c r="AP2426" s="589"/>
      <c r="AQ2426" s="589"/>
      <c r="AR2426" s="589"/>
      <c r="AS2426" s="589"/>
    </row>
    <row r="2427" spans="1:45" ht="15">
      <c r="A2427" s="590" t="s">
        <v>183</v>
      </c>
      <c r="B2427" s="591" t="s">
        <v>620</v>
      </c>
      <c r="C2427" s="591" t="s">
        <v>785</v>
      </c>
      <c r="D2427" s="592">
        <v>2019</v>
      </c>
      <c r="E2427" s="591" t="s">
        <v>775</v>
      </c>
      <c r="F2427" s="592">
        <v>123</v>
      </c>
      <c r="G2427" s="592">
        <v>0</v>
      </c>
      <c r="H2427" s="592">
        <v>0</v>
      </c>
      <c r="I2427" s="592">
        <v>0</v>
      </c>
      <c r="J2427" s="592">
        <v>77</v>
      </c>
      <c r="K2427" s="592">
        <v>0</v>
      </c>
      <c r="L2427" s="592">
        <v>0</v>
      </c>
      <c r="M2427" s="592">
        <v>0</v>
      </c>
      <c r="N2427" s="593">
        <v>87</v>
      </c>
      <c r="O2427" s="593">
        <v>13</v>
      </c>
      <c r="P2427" s="593">
        <v>206</v>
      </c>
      <c r="Q2427" s="593">
        <v>13</v>
      </c>
      <c r="R2427" s="593">
        <v>493</v>
      </c>
      <c r="S2427" s="593">
        <v>26</v>
      </c>
      <c r="T2427" s="593">
        <v>2019</v>
      </c>
      <c r="U2427" s="593">
        <v>2014</v>
      </c>
      <c r="V2427" s="589"/>
      <c r="W2427" s="589"/>
      <c r="X2427" s="589"/>
      <c r="Y2427" s="589"/>
      <c r="Z2427" s="589"/>
      <c r="AA2427" s="589"/>
      <c r="AB2427" s="589"/>
      <c r="AC2427" s="589"/>
      <c r="AD2427" s="589"/>
      <c r="AE2427" s="589"/>
      <c r="AF2427" s="589"/>
      <c r="AG2427" s="589"/>
      <c r="AH2427" s="589"/>
      <c r="AI2427" s="589"/>
      <c r="AJ2427" s="589"/>
      <c r="AK2427" s="589"/>
      <c r="AL2427" s="589"/>
      <c r="AM2427" s="589"/>
      <c r="AN2427" s="589"/>
      <c r="AO2427" s="589"/>
      <c r="AP2427" s="589"/>
      <c r="AQ2427" s="589"/>
      <c r="AR2427" s="589"/>
      <c r="AS2427" s="589"/>
    </row>
    <row r="2428" spans="1:45" ht="15">
      <c r="A2428" s="587" t="s">
        <v>173</v>
      </c>
      <c r="B2428" s="587" t="s">
        <v>550</v>
      </c>
      <c r="C2428" s="587" t="s">
        <v>813</v>
      </c>
      <c r="D2428" s="588">
        <v>2019</v>
      </c>
      <c r="E2428" s="587" t="s">
        <v>775</v>
      </c>
      <c r="F2428" s="588">
        <v>1026</v>
      </c>
      <c r="G2428" s="588">
        <v>0</v>
      </c>
      <c r="H2428" s="588">
        <v>0</v>
      </c>
      <c r="I2428" s="588">
        <v>0</v>
      </c>
      <c r="J2428" s="588">
        <v>681</v>
      </c>
      <c r="K2428" s="588">
        <v>0</v>
      </c>
      <c r="L2428" s="588">
        <v>0</v>
      </c>
      <c r="M2428" s="588">
        <v>0</v>
      </c>
      <c r="N2428" s="588">
        <v>759</v>
      </c>
      <c r="O2428" s="588">
        <v>0</v>
      </c>
      <c r="P2428" s="588">
        <v>1814</v>
      </c>
      <c r="Q2428" s="588">
        <v>0</v>
      </c>
      <c r="R2428" s="588">
        <v>4280</v>
      </c>
      <c r="S2428" s="588">
        <v>0</v>
      </c>
      <c r="T2428" s="588">
        <v>2019</v>
      </c>
      <c r="U2428" s="588">
        <v>2014</v>
      </c>
      <c r="V2428" s="589"/>
      <c r="W2428" s="589"/>
      <c r="X2428" s="589"/>
      <c r="Y2428" s="589"/>
      <c r="Z2428" s="589"/>
      <c r="AA2428" s="589"/>
      <c r="AB2428" s="589"/>
      <c r="AC2428" s="589"/>
      <c r="AD2428" s="589"/>
      <c r="AE2428" s="589"/>
      <c r="AF2428" s="589"/>
      <c r="AG2428" s="589"/>
      <c r="AH2428" s="589"/>
      <c r="AI2428" s="589"/>
      <c r="AJ2428" s="589"/>
      <c r="AK2428" s="589"/>
      <c r="AL2428" s="589"/>
      <c r="AM2428" s="589"/>
      <c r="AN2428" s="589"/>
      <c r="AO2428" s="589"/>
      <c r="AP2428" s="589"/>
      <c r="AQ2428" s="589"/>
      <c r="AR2428" s="589"/>
      <c r="AS2428" s="589"/>
    </row>
    <row r="2429" spans="1:45" ht="15">
      <c r="A2429" s="590" t="s">
        <v>193</v>
      </c>
      <c r="B2429" s="591" t="s">
        <v>697</v>
      </c>
      <c r="C2429" s="591" t="s">
        <v>782</v>
      </c>
      <c r="D2429" s="592">
        <v>2019</v>
      </c>
      <c r="E2429" s="591" t="s">
        <v>775</v>
      </c>
      <c r="F2429" s="592">
        <v>199</v>
      </c>
      <c r="G2429" s="592">
        <v>0</v>
      </c>
      <c r="H2429" s="592">
        <v>0</v>
      </c>
      <c r="I2429" s="592">
        <v>0</v>
      </c>
      <c r="J2429" s="592">
        <v>103</v>
      </c>
      <c r="K2429" s="592">
        <v>4</v>
      </c>
      <c r="L2429" s="592">
        <v>4</v>
      </c>
      <c r="M2429" s="592">
        <v>0</v>
      </c>
      <c r="N2429" s="593">
        <v>121</v>
      </c>
      <c r="O2429" s="593">
        <v>41</v>
      </c>
      <c r="P2429" s="593">
        <v>322</v>
      </c>
      <c r="Q2429" s="593">
        <v>117</v>
      </c>
      <c r="R2429" s="593">
        <v>745</v>
      </c>
      <c r="S2429" s="593">
        <v>162</v>
      </c>
      <c r="T2429" s="593">
        <v>2019</v>
      </c>
      <c r="U2429" s="593">
        <v>2015</v>
      </c>
      <c r="V2429" s="589"/>
      <c r="W2429" s="589"/>
      <c r="X2429" s="589"/>
      <c r="Y2429" s="589"/>
      <c r="Z2429" s="589"/>
      <c r="AA2429" s="589"/>
      <c r="AB2429" s="589"/>
      <c r="AC2429" s="589"/>
      <c r="AD2429" s="589"/>
      <c r="AE2429" s="589"/>
      <c r="AF2429" s="589"/>
      <c r="AG2429" s="589"/>
      <c r="AH2429" s="589"/>
      <c r="AI2429" s="589"/>
      <c r="AJ2429" s="589"/>
      <c r="AK2429" s="589"/>
      <c r="AL2429" s="589"/>
      <c r="AM2429" s="589"/>
      <c r="AN2429" s="589"/>
      <c r="AO2429" s="589"/>
      <c r="AP2429" s="589"/>
      <c r="AQ2429" s="589"/>
      <c r="AR2429" s="589"/>
      <c r="AS2429" s="589"/>
    </row>
    <row r="2430" spans="1:45" ht="15">
      <c r="A2430" s="587" t="s">
        <v>153</v>
      </c>
      <c r="B2430" s="587" t="s">
        <v>407</v>
      </c>
      <c r="C2430" s="587" t="s">
        <v>813</v>
      </c>
      <c r="D2430" s="588">
        <v>2019</v>
      </c>
      <c r="E2430" s="587" t="s">
        <v>775</v>
      </c>
      <c r="F2430" s="588">
        <v>217</v>
      </c>
      <c r="G2430" s="588">
        <v>0</v>
      </c>
      <c r="H2430" s="588">
        <v>0</v>
      </c>
      <c r="I2430" s="588">
        <v>0</v>
      </c>
      <c r="J2430" s="588">
        <v>131</v>
      </c>
      <c r="K2430" s="588">
        <v>21</v>
      </c>
      <c r="L2430" s="588">
        <v>0</v>
      </c>
      <c r="M2430" s="588">
        <v>21</v>
      </c>
      <c r="N2430" s="588">
        <v>140</v>
      </c>
      <c r="O2430" s="588">
        <v>2</v>
      </c>
      <c r="P2430" s="588">
        <v>362</v>
      </c>
      <c r="Q2430" s="588">
        <v>0</v>
      </c>
      <c r="R2430" s="588">
        <v>850</v>
      </c>
      <c r="S2430" s="588">
        <v>23</v>
      </c>
      <c r="T2430" s="588">
        <v>2019</v>
      </c>
      <c r="U2430" s="588">
        <v>2014</v>
      </c>
      <c r="V2430" s="589"/>
      <c r="W2430" s="589"/>
      <c r="X2430" s="589"/>
      <c r="Y2430" s="589"/>
      <c r="Z2430" s="589"/>
      <c r="AA2430" s="589"/>
      <c r="AB2430" s="589"/>
      <c r="AC2430" s="589"/>
      <c r="AD2430" s="589"/>
      <c r="AE2430" s="589"/>
      <c r="AF2430" s="589"/>
      <c r="AG2430" s="589"/>
      <c r="AH2430" s="589"/>
      <c r="AI2430" s="589"/>
      <c r="AJ2430" s="589"/>
      <c r="AK2430" s="589"/>
      <c r="AL2430" s="589"/>
      <c r="AM2430" s="589"/>
      <c r="AN2430" s="589"/>
      <c r="AO2430" s="589"/>
      <c r="AP2430" s="589"/>
      <c r="AQ2430" s="589"/>
      <c r="AR2430" s="589"/>
      <c r="AS2430" s="589"/>
    </row>
    <row r="2431" spans="1:45" ht="15">
      <c r="A2431" s="590" t="s">
        <v>125</v>
      </c>
      <c r="B2431" s="591" t="s">
        <v>243</v>
      </c>
      <c r="C2431" s="591" t="s">
        <v>782</v>
      </c>
      <c r="D2431" s="592">
        <v>2019</v>
      </c>
      <c r="E2431" s="591" t="s">
        <v>775</v>
      </c>
      <c r="F2431" s="592">
        <v>24</v>
      </c>
      <c r="G2431" s="592">
        <v>2</v>
      </c>
      <c r="H2431" s="592">
        <v>0</v>
      </c>
      <c r="I2431" s="592">
        <v>2</v>
      </c>
      <c r="J2431" s="592">
        <v>14</v>
      </c>
      <c r="K2431" s="592">
        <v>2</v>
      </c>
      <c r="L2431" s="592">
        <v>0</v>
      </c>
      <c r="M2431" s="592">
        <v>2</v>
      </c>
      <c r="N2431" s="593">
        <v>15</v>
      </c>
      <c r="O2431" s="593">
        <v>4</v>
      </c>
      <c r="P2431" s="593">
        <v>7</v>
      </c>
      <c r="Q2431" s="593">
        <v>3</v>
      </c>
      <c r="R2431" s="593">
        <v>60</v>
      </c>
      <c r="S2431" s="593">
        <v>11</v>
      </c>
      <c r="T2431" s="593">
        <v>2019</v>
      </c>
      <c r="U2431" s="593">
        <v>2015</v>
      </c>
      <c r="V2431" s="589"/>
      <c r="W2431" s="589"/>
      <c r="X2431" s="589"/>
      <c r="Y2431" s="589"/>
      <c r="Z2431" s="589"/>
      <c r="AA2431" s="589"/>
      <c r="AB2431" s="589"/>
      <c r="AC2431" s="589"/>
      <c r="AD2431" s="589"/>
      <c r="AE2431" s="589"/>
      <c r="AF2431" s="589"/>
      <c r="AG2431" s="589"/>
      <c r="AH2431" s="589"/>
      <c r="AI2431" s="589"/>
      <c r="AJ2431" s="589"/>
      <c r="AK2431" s="589"/>
      <c r="AL2431" s="589"/>
      <c r="AM2431" s="589"/>
      <c r="AN2431" s="589"/>
      <c r="AO2431" s="589"/>
      <c r="AP2431" s="589"/>
      <c r="AQ2431" s="589"/>
      <c r="AR2431" s="589"/>
      <c r="AS2431" s="589"/>
    </row>
    <row r="2432" spans="1:45" ht="15">
      <c r="A2432" s="587" t="s">
        <v>136</v>
      </c>
      <c r="B2432" s="587" t="s">
        <v>278</v>
      </c>
      <c r="C2432" s="587" t="s">
        <v>782</v>
      </c>
      <c r="D2432" s="588">
        <v>2019</v>
      </c>
      <c r="E2432" s="587" t="s">
        <v>775</v>
      </c>
      <c r="F2432" s="588">
        <v>80</v>
      </c>
      <c r="G2432" s="588">
        <v>0</v>
      </c>
      <c r="H2432" s="588">
        <v>0</v>
      </c>
      <c r="I2432" s="588">
        <v>0</v>
      </c>
      <c r="J2432" s="588">
        <v>48</v>
      </c>
      <c r="K2432" s="588">
        <v>0</v>
      </c>
      <c r="L2432" s="588">
        <v>0</v>
      </c>
      <c r="M2432" s="588">
        <v>0</v>
      </c>
      <c r="N2432" s="588">
        <v>43</v>
      </c>
      <c r="O2432" s="588">
        <v>0</v>
      </c>
      <c r="P2432" s="588">
        <v>126</v>
      </c>
      <c r="Q2432" s="588">
        <v>7</v>
      </c>
      <c r="R2432" s="588">
        <v>297</v>
      </c>
      <c r="S2432" s="588">
        <v>7</v>
      </c>
      <c r="T2432" s="588">
        <v>2019</v>
      </c>
      <c r="U2432" s="588">
        <v>2015</v>
      </c>
      <c r="V2432" s="589"/>
      <c r="W2432" s="589"/>
      <c r="X2432" s="589"/>
      <c r="Y2432" s="589"/>
      <c r="Z2432" s="589"/>
      <c r="AA2432" s="589"/>
      <c r="AB2432" s="589"/>
      <c r="AC2432" s="589"/>
      <c r="AD2432" s="589"/>
      <c r="AE2432" s="589"/>
      <c r="AF2432" s="589"/>
      <c r="AG2432" s="589"/>
      <c r="AH2432" s="589"/>
      <c r="AI2432" s="589"/>
      <c r="AJ2432" s="589"/>
      <c r="AK2432" s="589"/>
      <c r="AL2432" s="589"/>
      <c r="AM2432" s="589"/>
      <c r="AN2432" s="589"/>
      <c r="AO2432" s="589"/>
      <c r="AP2432" s="589"/>
      <c r="AQ2432" s="589"/>
      <c r="AR2432" s="589"/>
      <c r="AS2432" s="589"/>
    </row>
    <row r="2433" spans="1:45" ht="15">
      <c r="A2433" s="590" t="s">
        <v>183</v>
      </c>
      <c r="B2433" s="591" t="s">
        <v>621</v>
      </c>
      <c r="C2433" s="591" t="s">
        <v>785</v>
      </c>
      <c r="D2433" s="592">
        <v>2019</v>
      </c>
      <c r="E2433" s="591" t="s">
        <v>775</v>
      </c>
      <c r="F2433" s="592">
        <v>38</v>
      </c>
      <c r="G2433" s="592">
        <v>0</v>
      </c>
      <c r="H2433" s="592">
        <v>0</v>
      </c>
      <c r="I2433" s="592">
        <v>0</v>
      </c>
      <c r="J2433" s="592">
        <v>24</v>
      </c>
      <c r="K2433" s="592">
        <v>0</v>
      </c>
      <c r="L2433" s="592">
        <v>0</v>
      </c>
      <c r="M2433" s="592">
        <v>0</v>
      </c>
      <c r="N2433" s="593">
        <v>27</v>
      </c>
      <c r="O2433" s="593">
        <v>0</v>
      </c>
      <c r="P2433" s="593">
        <v>64</v>
      </c>
      <c r="Q2433" s="593">
        <v>36</v>
      </c>
      <c r="R2433" s="593">
        <v>153</v>
      </c>
      <c r="S2433" s="593">
        <v>36</v>
      </c>
      <c r="T2433" s="593">
        <v>2019</v>
      </c>
      <c r="U2433" s="593">
        <v>2014</v>
      </c>
      <c r="V2433" s="589"/>
      <c r="W2433" s="589"/>
      <c r="X2433" s="589"/>
      <c r="Y2433" s="589"/>
      <c r="Z2433" s="589"/>
      <c r="AA2433" s="589"/>
      <c r="AB2433" s="589"/>
      <c r="AC2433" s="589"/>
      <c r="AD2433" s="589"/>
      <c r="AE2433" s="589"/>
      <c r="AF2433" s="589"/>
      <c r="AG2433" s="589"/>
      <c r="AH2433" s="589"/>
      <c r="AI2433" s="589"/>
      <c r="AJ2433" s="589"/>
      <c r="AK2433" s="589"/>
      <c r="AL2433" s="589"/>
      <c r="AM2433" s="589"/>
      <c r="AN2433" s="589"/>
      <c r="AO2433" s="589"/>
      <c r="AP2433" s="589"/>
      <c r="AQ2433" s="589"/>
      <c r="AR2433" s="589"/>
      <c r="AS2433" s="589"/>
    </row>
    <row r="2434" spans="1:45" ht="15">
      <c r="A2434" s="587" t="s">
        <v>136</v>
      </c>
      <c r="B2434" s="587" t="s">
        <v>279</v>
      </c>
      <c r="C2434" s="587" t="s">
        <v>782</v>
      </c>
      <c r="D2434" s="588">
        <v>2019</v>
      </c>
      <c r="E2434" s="587" t="s">
        <v>775</v>
      </c>
      <c r="F2434" s="588">
        <v>392</v>
      </c>
      <c r="G2434" s="588">
        <v>0</v>
      </c>
      <c r="H2434" s="588">
        <v>0</v>
      </c>
      <c r="I2434" s="588">
        <v>0</v>
      </c>
      <c r="J2434" s="588">
        <v>254</v>
      </c>
      <c r="K2434" s="588">
        <v>9</v>
      </c>
      <c r="L2434" s="588">
        <v>3</v>
      </c>
      <c r="M2434" s="588">
        <v>6</v>
      </c>
      <c r="N2434" s="588">
        <v>316</v>
      </c>
      <c r="O2434" s="588">
        <v>18</v>
      </c>
      <c r="P2434" s="588">
        <v>1063</v>
      </c>
      <c r="Q2434" s="588">
        <v>89</v>
      </c>
      <c r="R2434" s="588">
        <v>2025</v>
      </c>
      <c r="S2434" s="588">
        <v>116</v>
      </c>
      <c r="T2434" s="588">
        <v>2019</v>
      </c>
      <c r="U2434" s="588">
        <v>2015</v>
      </c>
      <c r="V2434" s="589"/>
      <c r="W2434" s="589"/>
      <c r="X2434" s="589"/>
      <c r="Y2434" s="589"/>
      <c r="Z2434" s="589"/>
      <c r="AA2434" s="589"/>
      <c r="AB2434" s="589"/>
      <c r="AC2434" s="589"/>
      <c r="AD2434" s="589"/>
      <c r="AE2434" s="589"/>
      <c r="AF2434" s="589"/>
      <c r="AG2434" s="589"/>
      <c r="AH2434" s="589"/>
      <c r="AI2434" s="589"/>
      <c r="AJ2434" s="589"/>
      <c r="AK2434" s="589"/>
      <c r="AL2434" s="589"/>
      <c r="AM2434" s="589"/>
      <c r="AN2434" s="589"/>
      <c r="AO2434" s="589"/>
      <c r="AP2434" s="589"/>
      <c r="AQ2434" s="589"/>
      <c r="AR2434" s="589"/>
      <c r="AS2434" s="589"/>
    </row>
    <row r="2435" spans="1:45" ht="15">
      <c r="A2435" s="590" t="s">
        <v>169</v>
      </c>
      <c r="B2435" s="591" t="s">
        <v>508</v>
      </c>
      <c r="C2435" s="591" t="s">
        <v>813</v>
      </c>
      <c r="D2435" s="592">
        <v>2019</v>
      </c>
      <c r="E2435" s="591" t="s">
        <v>775</v>
      </c>
      <c r="F2435" s="592">
        <v>112</v>
      </c>
      <c r="G2435" s="592">
        <v>0</v>
      </c>
      <c r="H2435" s="592">
        <v>0</v>
      </c>
      <c r="I2435" s="592">
        <v>0</v>
      </c>
      <c r="J2435" s="592">
        <v>81</v>
      </c>
      <c r="K2435" s="592">
        <v>0</v>
      </c>
      <c r="L2435" s="592">
        <v>0</v>
      </c>
      <c r="M2435" s="592">
        <v>0</v>
      </c>
      <c r="N2435" s="593">
        <v>90</v>
      </c>
      <c r="O2435" s="593">
        <v>2</v>
      </c>
      <c r="P2435" s="593">
        <v>209</v>
      </c>
      <c r="Q2435" s="593">
        <v>218</v>
      </c>
      <c r="R2435" s="593">
        <v>492</v>
      </c>
      <c r="S2435" s="593">
        <v>220</v>
      </c>
      <c r="T2435" s="593">
        <v>2019</v>
      </c>
      <c r="U2435" s="593">
        <v>2014</v>
      </c>
      <c r="V2435" s="589"/>
      <c r="W2435" s="589"/>
      <c r="X2435" s="589"/>
      <c r="Y2435" s="589"/>
      <c r="Z2435" s="589"/>
      <c r="AA2435" s="589"/>
      <c r="AB2435" s="589"/>
      <c r="AC2435" s="589"/>
      <c r="AD2435" s="589"/>
      <c r="AE2435" s="589"/>
      <c r="AF2435" s="589"/>
      <c r="AG2435" s="589"/>
      <c r="AH2435" s="589"/>
      <c r="AI2435" s="589"/>
      <c r="AJ2435" s="589"/>
      <c r="AK2435" s="589"/>
      <c r="AL2435" s="589"/>
      <c r="AM2435" s="589"/>
      <c r="AN2435" s="589"/>
      <c r="AO2435" s="589"/>
      <c r="AP2435" s="589"/>
      <c r="AQ2435" s="589"/>
      <c r="AR2435" s="589"/>
      <c r="AS2435" s="589"/>
    </row>
    <row r="2436" spans="1:45" ht="15">
      <c r="A2436" s="587" t="s">
        <v>170</v>
      </c>
      <c r="B2436" s="587" t="s">
        <v>523</v>
      </c>
      <c r="C2436" s="587" t="s">
        <v>801</v>
      </c>
      <c r="D2436" s="588">
        <v>2019</v>
      </c>
      <c r="E2436" s="587" t="s">
        <v>775</v>
      </c>
      <c r="F2436" s="588">
        <v>1365</v>
      </c>
      <c r="G2436" s="588">
        <v>0</v>
      </c>
      <c r="H2436" s="588">
        <v>0</v>
      </c>
      <c r="I2436" s="588">
        <v>0</v>
      </c>
      <c r="J2436" s="588">
        <v>957</v>
      </c>
      <c r="K2436" s="588">
        <v>0</v>
      </c>
      <c r="L2436" s="588">
        <v>0</v>
      </c>
      <c r="M2436" s="588">
        <v>0</v>
      </c>
      <c r="N2436" s="588">
        <v>936</v>
      </c>
      <c r="O2436" s="588">
        <v>24</v>
      </c>
      <c r="P2436" s="588">
        <v>1773</v>
      </c>
      <c r="Q2436" s="588">
        <v>386</v>
      </c>
      <c r="R2436" s="588">
        <v>5031</v>
      </c>
      <c r="S2436" s="588">
        <v>410</v>
      </c>
      <c r="T2436" s="588">
        <v>2019</v>
      </c>
      <c r="U2436" s="588">
        <v>2014</v>
      </c>
      <c r="V2436" s="589"/>
      <c r="W2436" s="589"/>
      <c r="X2436" s="589"/>
      <c r="Y2436" s="589"/>
      <c r="Z2436" s="589"/>
      <c r="AA2436" s="589"/>
      <c r="AB2436" s="589"/>
      <c r="AC2436" s="589"/>
      <c r="AD2436" s="589"/>
      <c r="AE2436" s="589"/>
      <c r="AF2436" s="589"/>
      <c r="AG2436" s="589"/>
      <c r="AH2436" s="589"/>
      <c r="AI2436" s="589"/>
      <c r="AJ2436" s="589"/>
      <c r="AK2436" s="589"/>
      <c r="AL2436" s="589"/>
      <c r="AM2436" s="589"/>
      <c r="AN2436" s="589"/>
      <c r="AO2436" s="589"/>
      <c r="AP2436" s="589"/>
      <c r="AQ2436" s="589"/>
      <c r="AR2436" s="589"/>
      <c r="AS2436" s="589"/>
    </row>
    <row r="2437" spans="1:45" ht="15">
      <c r="A2437" s="590" t="s">
        <v>139</v>
      </c>
      <c r="B2437" s="591" t="s">
        <v>288</v>
      </c>
      <c r="C2437" s="591" t="s">
        <v>801</v>
      </c>
      <c r="D2437" s="592">
        <v>2019</v>
      </c>
      <c r="E2437" s="591" t="s">
        <v>775</v>
      </c>
      <c r="F2437" s="592">
        <v>78</v>
      </c>
      <c r="G2437" s="592">
        <v>0</v>
      </c>
      <c r="H2437" s="592">
        <v>0</v>
      </c>
      <c r="I2437" s="592">
        <v>0</v>
      </c>
      <c r="J2437" s="592">
        <v>55</v>
      </c>
      <c r="K2437" s="592">
        <v>0</v>
      </c>
      <c r="L2437" s="592">
        <v>0</v>
      </c>
      <c r="M2437" s="592">
        <v>0</v>
      </c>
      <c r="N2437" s="593">
        <v>69</v>
      </c>
      <c r="O2437" s="593">
        <v>2</v>
      </c>
      <c r="P2437" s="593">
        <v>170</v>
      </c>
      <c r="Q2437" s="593">
        <v>4</v>
      </c>
      <c r="R2437" s="593">
        <v>372</v>
      </c>
      <c r="S2437" s="593">
        <v>6</v>
      </c>
      <c r="T2437" s="593">
        <v>2019</v>
      </c>
      <c r="U2437" s="593">
        <v>2014</v>
      </c>
      <c r="V2437" s="589"/>
      <c r="W2437" s="589"/>
      <c r="X2437" s="589"/>
      <c r="Y2437" s="589"/>
      <c r="Z2437" s="589"/>
      <c r="AA2437" s="589"/>
      <c r="AB2437" s="589"/>
      <c r="AC2437" s="589"/>
      <c r="AD2437" s="589"/>
      <c r="AE2437" s="589"/>
      <c r="AF2437" s="589"/>
      <c r="AG2437" s="589"/>
      <c r="AH2437" s="589"/>
      <c r="AI2437" s="589"/>
      <c r="AJ2437" s="589"/>
      <c r="AK2437" s="589"/>
      <c r="AL2437" s="589"/>
      <c r="AM2437" s="589"/>
      <c r="AN2437" s="589"/>
      <c r="AO2437" s="589"/>
      <c r="AP2437" s="589"/>
      <c r="AQ2437" s="589"/>
      <c r="AR2437" s="589"/>
      <c r="AS2437" s="589"/>
    </row>
    <row r="2438" spans="1:45" ht="15">
      <c r="A2438" s="587" t="s">
        <v>136</v>
      </c>
      <c r="B2438" s="587" t="s">
        <v>280</v>
      </c>
      <c r="C2438" s="587" t="s">
        <v>782</v>
      </c>
      <c r="D2438" s="588">
        <v>2019</v>
      </c>
      <c r="E2438" s="587" t="s">
        <v>775</v>
      </c>
      <c r="F2438" s="588">
        <v>118</v>
      </c>
      <c r="G2438" s="588">
        <v>0</v>
      </c>
      <c r="H2438" s="588">
        <v>0</v>
      </c>
      <c r="I2438" s="588">
        <v>0</v>
      </c>
      <c r="J2438" s="588">
        <v>69</v>
      </c>
      <c r="K2438" s="588">
        <v>0</v>
      </c>
      <c r="L2438" s="588">
        <v>0</v>
      </c>
      <c r="M2438" s="588">
        <v>0</v>
      </c>
      <c r="N2438" s="588">
        <v>84</v>
      </c>
      <c r="O2438" s="588">
        <v>14</v>
      </c>
      <c r="P2438" s="588">
        <v>177</v>
      </c>
      <c r="Q2438" s="588">
        <v>18</v>
      </c>
      <c r="R2438" s="588">
        <v>448</v>
      </c>
      <c r="S2438" s="588">
        <v>32</v>
      </c>
      <c r="T2438" s="588">
        <v>2019</v>
      </c>
      <c r="U2438" s="588">
        <v>2015</v>
      </c>
      <c r="V2438" s="589"/>
      <c r="W2438" s="589"/>
      <c r="X2438" s="589"/>
      <c r="Y2438" s="589"/>
      <c r="Z2438" s="589"/>
      <c r="AA2438" s="589"/>
      <c r="AB2438" s="589"/>
      <c r="AC2438" s="589"/>
      <c r="AD2438" s="589"/>
      <c r="AE2438" s="589"/>
      <c r="AF2438" s="589"/>
      <c r="AG2438" s="589"/>
      <c r="AH2438" s="589"/>
      <c r="AI2438" s="589"/>
      <c r="AJ2438" s="589"/>
      <c r="AK2438" s="589"/>
      <c r="AL2438" s="589"/>
      <c r="AM2438" s="589"/>
      <c r="AN2438" s="589"/>
      <c r="AO2438" s="589"/>
      <c r="AP2438" s="589"/>
      <c r="AQ2438" s="589"/>
      <c r="AR2438" s="589"/>
      <c r="AS2438" s="589"/>
    </row>
    <row r="2439" spans="1:45" ht="15">
      <c r="A2439" s="590" t="s">
        <v>125</v>
      </c>
      <c r="B2439" s="591" t="s">
        <v>244</v>
      </c>
      <c r="C2439" s="591" t="s">
        <v>782</v>
      </c>
      <c r="D2439" s="592">
        <v>2019</v>
      </c>
      <c r="E2439" s="591" t="s">
        <v>775</v>
      </c>
      <c r="F2439" s="592">
        <v>716</v>
      </c>
      <c r="G2439" s="592">
        <v>23</v>
      </c>
      <c r="H2439" s="592">
        <v>23</v>
      </c>
      <c r="I2439" s="592">
        <v>0</v>
      </c>
      <c r="J2439" s="592">
        <v>391</v>
      </c>
      <c r="K2439" s="592">
        <v>6</v>
      </c>
      <c r="L2439" s="592">
        <v>6</v>
      </c>
      <c r="M2439" s="592">
        <v>0</v>
      </c>
      <c r="N2439" s="593">
        <v>407</v>
      </c>
      <c r="O2439" s="593">
        <v>11</v>
      </c>
      <c r="P2439" s="593">
        <v>553</v>
      </c>
      <c r="Q2439" s="593">
        <v>87</v>
      </c>
      <c r="R2439" s="593">
        <v>2067</v>
      </c>
      <c r="S2439" s="593">
        <v>127</v>
      </c>
      <c r="T2439" s="593">
        <v>2019</v>
      </c>
      <c r="U2439" s="593">
        <v>2015</v>
      </c>
      <c r="V2439" s="589"/>
      <c r="W2439" s="589"/>
      <c r="X2439" s="589"/>
      <c r="Y2439" s="589"/>
      <c r="Z2439" s="589"/>
      <c r="AA2439" s="589"/>
      <c r="AB2439" s="589"/>
      <c r="AC2439" s="589"/>
      <c r="AD2439" s="589"/>
      <c r="AE2439" s="589"/>
      <c r="AF2439" s="589"/>
      <c r="AG2439" s="589"/>
      <c r="AH2439" s="589"/>
      <c r="AI2439" s="589"/>
      <c r="AJ2439" s="589"/>
      <c r="AK2439" s="589"/>
      <c r="AL2439" s="589"/>
      <c r="AM2439" s="589"/>
      <c r="AN2439" s="589"/>
      <c r="AO2439" s="589"/>
      <c r="AP2439" s="589"/>
      <c r="AQ2439" s="589"/>
      <c r="AR2439" s="589"/>
      <c r="AS2439" s="589"/>
    </row>
    <row r="2440" spans="1:45" ht="15">
      <c r="A2440" s="587" t="s">
        <v>171</v>
      </c>
      <c r="B2440" s="587" t="s">
        <v>526</v>
      </c>
      <c r="C2440" s="587" t="s">
        <v>785</v>
      </c>
      <c r="D2440" s="588">
        <v>2019</v>
      </c>
      <c r="E2440" s="587" t="s">
        <v>775</v>
      </c>
      <c r="F2440" s="588">
        <v>12</v>
      </c>
      <c r="G2440" s="588">
        <v>0</v>
      </c>
      <c r="H2440" s="588">
        <v>0</v>
      </c>
      <c r="I2440" s="588">
        <v>0</v>
      </c>
      <c r="J2440" s="588">
        <v>8</v>
      </c>
      <c r="K2440" s="588">
        <v>1</v>
      </c>
      <c r="L2440" s="588">
        <v>0</v>
      </c>
      <c r="M2440" s="588">
        <v>1</v>
      </c>
      <c r="N2440" s="588">
        <v>12</v>
      </c>
      <c r="O2440" s="588">
        <v>12</v>
      </c>
      <c r="P2440" s="588">
        <v>25</v>
      </c>
      <c r="Q2440" s="588">
        <v>30</v>
      </c>
      <c r="R2440" s="588">
        <v>57</v>
      </c>
      <c r="S2440" s="588">
        <v>43</v>
      </c>
      <c r="T2440" s="588">
        <v>2019</v>
      </c>
      <c r="U2440" s="588">
        <v>2014</v>
      </c>
      <c r="V2440" s="589"/>
      <c r="W2440" s="589"/>
      <c r="X2440" s="589"/>
      <c r="Y2440" s="589"/>
      <c r="Z2440" s="589"/>
      <c r="AA2440" s="589"/>
      <c r="AB2440" s="589"/>
      <c r="AC2440" s="589"/>
      <c r="AD2440" s="589"/>
      <c r="AE2440" s="589"/>
      <c r="AF2440" s="589"/>
      <c r="AG2440" s="589"/>
      <c r="AH2440" s="589"/>
      <c r="AI2440" s="589"/>
      <c r="AJ2440" s="589"/>
      <c r="AK2440" s="589"/>
      <c r="AL2440" s="589"/>
      <c r="AM2440" s="589"/>
      <c r="AN2440" s="589"/>
      <c r="AO2440" s="589"/>
      <c r="AP2440" s="589"/>
      <c r="AQ2440" s="589"/>
      <c r="AR2440" s="589"/>
      <c r="AS2440" s="589"/>
    </row>
    <row r="2441" spans="1:45" ht="15">
      <c r="A2441" s="590" t="s">
        <v>171</v>
      </c>
      <c r="B2441" s="591" t="s">
        <v>526</v>
      </c>
      <c r="C2441" s="591" t="s">
        <v>969</v>
      </c>
      <c r="D2441" s="592">
        <v>2019</v>
      </c>
      <c r="E2441" s="591" t="s">
        <v>775</v>
      </c>
      <c r="F2441" s="592">
        <v>0</v>
      </c>
      <c r="G2441" s="592">
        <v>0</v>
      </c>
      <c r="H2441" s="592">
        <v>0</v>
      </c>
      <c r="I2441" s="592">
        <v>0</v>
      </c>
      <c r="J2441" s="592">
        <v>0</v>
      </c>
      <c r="K2441" s="592">
        <v>1</v>
      </c>
      <c r="L2441" s="592">
        <v>0</v>
      </c>
      <c r="M2441" s="592">
        <v>1</v>
      </c>
      <c r="N2441" s="593">
        <v>0</v>
      </c>
      <c r="O2441" s="593">
        <v>12</v>
      </c>
      <c r="P2441" s="593">
        <v>0</v>
      </c>
      <c r="Q2441" s="593">
        <v>30</v>
      </c>
      <c r="R2441" s="593">
        <v>0</v>
      </c>
      <c r="S2441" s="593">
        <v>43</v>
      </c>
      <c r="T2441" s="593">
        <v>2019</v>
      </c>
      <c r="U2441" s="593">
        <v>2014</v>
      </c>
      <c r="V2441" s="589"/>
      <c r="W2441" s="589"/>
      <c r="X2441" s="589"/>
      <c r="Y2441" s="589"/>
      <c r="Z2441" s="589"/>
      <c r="AA2441" s="589"/>
      <c r="AB2441" s="589"/>
      <c r="AC2441" s="589"/>
      <c r="AD2441" s="589"/>
      <c r="AE2441" s="589"/>
      <c r="AF2441" s="589"/>
      <c r="AG2441" s="589"/>
      <c r="AH2441" s="589"/>
      <c r="AI2441" s="589"/>
      <c r="AJ2441" s="589"/>
      <c r="AK2441" s="589"/>
      <c r="AL2441" s="589"/>
      <c r="AM2441" s="589"/>
      <c r="AN2441" s="589"/>
      <c r="AO2441" s="589"/>
      <c r="AP2441" s="589"/>
      <c r="AQ2441" s="589"/>
      <c r="AR2441" s="589"/>
      <c r="AS2441" s="589"/>
    </row>
    <row r="2442" spans="1:45" ht="15">
      <c r="A2442" s="587" t="s">
        <v>130</v>
      </c>
      <c r="B2442" s="587" t="s">
        <v>253</v>
      </c>
      <c r="C2442" s="587" t="s">
        <v>785</v>
      </c>
      <c r="D2442" s="588">
        <v>2019</v>
      </c>
      <c r="E2442" s="587" t="s">
        <v>775</v>
      </c>
      <c r="F2442" s="588">
        <v>1</v>
      </c>
      <c r="G2442" s="588">
        <v>0</v>
      </c>
      <c r="H2442" s="588">
        <v>0</v>
      </c>
      <c r="I2442" s="588">
        <v>0</v>
      </c>
      <c r="J2442" s="588">
        <v>1</v>
      </c>
      <c r="K2442" s="588">
        <v>0</v>
      </c>
      <c r="L2442" s="588">
        <v>0</v>
      </c>
      <c r="M2442" s="588">
        <v>0</v>
      </c>
      <c r="N2442" s="588">
        <v>1</v>
      </c>
      <c r="O2442" s="588">
        <v>0</v>
      </c>
      <c r="P2442" s="588">
        <v>1</v>
      </c>
      <c r="Q2442" s="588">
        <v>9</v>
      </c>
      <c r="R2442" s="588">
        <v>4</v>
      </c>
      <c r="S2442" s="588">
        <v>9</v>
      </c>
      <c r="T2442" s="588">
        <v>2019</v>
      </c>
      <c r="U2442" s="588">
        <v>2014</v>
      </c>
      <c r="V2442" s="589"/>
      <c r="W2442" s="589"/>
      <c r="X2442" s="589"/>
      <c r="Y2442" s="589"/>
      <c r="Z2442" s="589"/>
      <c r="AA2442" s="589"/>
      <c r="AB2442" s="589"/>
      <c r="AC2442" s="589"/>
      <c r="AD2442" s="589"/>
      <c r="AE2442" s="589"/>
      <c r="AF2442" s="589"/>
      <c r="AG2442" s="589"/>
      <c r="AH2442" s="589"/>
      <c r="AI2442" s="589"/>
      <c r="AJ2442" s="589"/>
      <c r="AK2442" s="589"/>
      <c r="AL2442" s="589"/>
      <c r="AM2442" s="589"/>
      <c r="AN2442" s="589"/>
      <c r="AO2442" s="589"/>
      <c r="AP2442" s="589"/>
      <c r="AQ2442" s="589"/>
      <c r="AR2442" s="589"/>
      <c r="AS2442" s="589"/>
    </row>
    <row r="2443" spans="1:45" ht="15">
      <c r="A2443" s="590" t="s">
        <v>159</v>
      </c>
      <c r="B2443" s="591" t="s">
        <v>451</v>
      </c>
      <c r="C2443" s="591" t="s">
        <v>972</v>
      </c>
      <c r="D2443" s="592">
        <v>2019</v>
      </c>
      <c r="E2443" s="591" t="s">
        <v>775</v>
      </c>
      <c r="F2443" s="592">
        <v>0</v>
      </c>
      <c r="G2443" s="592">
        <v>0</v>
      </c>
      <c r="H2443" s="592">
        <v>0</v>
      </c>
      <c r="I2443" s="592">
        <v>0</v>
      </c>
      <c r="J2443" s="592">
        <v>0</v>
      </c>
      <c r="K2443" s="592">
        <v>0</v>
      </c>
      <c r="L2443" s="592">
        <v>0</v>
      </c>
      <c r="M2443" s="592">
        <v>0</v>
      </c>
      <c r="N2443" s="593">
        <v>0</v>
      </c>
      <c r="O2443" s="593">
        <v>0</v>
      </c>
      <c r="P2443" s="593">
        <v>0</v>
      </c>
      <c r="Q2443" s="593">
        <v>0</v>
      </c>
      <c r="R2443" s="593">
        <v>0</v>
      </c>
      <c r="S2443" s="593">
        <v>0</v>
      </c>
      <c r="T2443" s="593">
        <v>2019</v>
      </c>
      <c r="U2443" s="593">
        <v>2014</v>
      </c>
      <c r="V2443" s="589"/>
      <c r="W2443" s="589"/>
      <c r="X2443" s="589"/>
      <c r="Y2443" s="589"/>
      <c r="Z2443" s="589"/>
      <c r="AA2443" s="589"/>
      <c r="AB2443" s="589"/>
      <c r="AC2443" s="589"/>
      <c r="AD2443" s="589"/>
      <c r="AE2443" s="589"/>
      <c r="AF2443" s="589"/>
      <c r="AG2443" s="589"/>
      <c r="AH2443" s="589"/>
      <c r="AI2443" s="589"/>
      <c r="AJ2443" s="589"/>
      <c r="AK2443" s="589"/>
      <c r="AL2443" s="589"/>
      <c r="AM2443" s="589"/>
      <c r="AN2443" s="589"/>
      <c r="AO2443" s="589"/>
      <c r="AP2443" s="589"/>
      <c r="AQ2443" s="589"/>
      <c r="AR2443" s="589"/>
      <c r="AS2443" s="589"/>
    </row>
    <row r="2444" spans="1:45" ht="15">
      <c r="A2444" s="587" t="s">
        <v>159</v>
      </c>
      <c r="B2444" s="587" t="s">
        <v>451</v>
      </c>
      <c r="C2444" s="587" t="s">
        <v>785</v>
      </c>
      <c r="D2444" s="588">
        <v>2019</v>
      </c>
      <c r="E2444" s="587" t="s">
        <v>775</v>
      </c>
      <c r="F2444" s="588">
        <v>1</v>
      </c>
      <c r="G2444" s="588">
        <v>0</v>
      </c>
      <c r="H2444" s="588">
        <v>0</v>
      </c>
      <c r="I2444" s="588">
        <v>0</v>
      </c>
      <c r="J2444" s="588">
        <v>1</v>
      </c>
      <c r="K2444" s="588">
        <v>0</v>
      </c>
      <c r="L2444" s="588">
        <v>0</v>
      </c>
      <c r="M2444" s="588">
        <v>0</v>
      </c>
      <c r="N2444" s="588">
        <v>1</v>
      </c>
      <c r="O2444" s="588">
        <v>0</v>
      </c>
      <c r="P2444" s="588">
        <v>1</v>
      </c>
      <c r="Q2444" s="588">
        <v>0</v>
      </c>
      <c r="R2444" s="588">
        <v>4</v>
      </c>
      <c r="S2444" s="588">
        <v>0</v>
      </c>
      <c r="T2444" s="588">
        <v>2019</v>
      </c>
      <c r="U2444" s="588">
        <v>2014</v>
      </c>
      <c r="V2444" s="589"/>
      <c r="W2444" s="589"/>
      <c r="X2444" s="589"/>
      <c r="Y2444" s="589"/>
      <c r="Z2444" s="589"/>
      <c r="AA2444" s="589"/>
      <c r="AB2444" s="589"/>
      <c r="AC2444" s="589"/>
      <c r="AD2444" s="589"/>
      <c r="AE2444" s="589"/>
      <c r="AF2444" s="589"/>
      <c r="AG2444" s="589"/>
      <c r="AH2444" s="589"/>
      <c r="AI2444" s="589"/>
      <c r="AJ2444" s="589"/>
      <c r="AK2444" s="589"/>
      <c r="AL2444" s="589"/>
      <c r="AM2444" s="589"/>
      <c r="AN2444" s="589"/>
      <c r="AO2444" s="589"/>
      <c r="AP2444" s="589"/>
      <c r="AQ2444" s="589"/>
      <c r="AR2444" s="589"/>
      <c r="AS2444" s="589"/>
    </row>
    <row r="2445" spans="1:45" ht="15">
      <c r="A2445" s="590" t="s">
        <v>153</v>
      </c>
      <c r="B2445" s="591" t="s">
        <v>408</v>
      </c>
      <c r="C2445" s="591" t="s">
        <v>813</v>
      </c>
      <c r="D2445" s="592">
        <v>2019</v>
      </c>
      <c r="E2445" s="591" t="s">
        <v>775</v>
      </c>
      <c r="F2445" s="592">
        <v>919</v>
      </c>
      <c r="G2445" s="592">
        <v>0</v>
      </c>
      <c r="H2445" s="592">
        <v>0</v>
      </c>
      <c r="I2445" s="592">
        <v>0</v>
      </c>
      <c r="J2445" s="592">
        <v>543</v>
      </c>
      <c r="K2445" s="592">
        <v>61</v>
      </c>
      <c r="L2445" s="592">
        <v>0</v>
      </c>
      <c r="M2445" s="592">
        <v>61</v>
      </c>
      <c r="N2445" s="593">
        <v>592</v>
      </c>
      <c r="O2445" s="593">
        <v>0</v>
      </c>
      <c r="P2445" s="593">
        <v>1572</v>
      </c>
      <c r="Q2445" s="593">
        <v>144</v>
      </c>
      <c r="R2445" s="593">
        <v>3626</v>
      </c>
      <c r="S2445" s="593">
        <v>205</v>
      </c>
      <c r="T2445" s="593">
        <v>2019</v>
      </c>
      <c r="U2445" s="593">
        <v>2014</v>
      </c>
      <c r="V2445" s="589"/>
      <c r="W2445" s="589"/>
      <c r="X2445" s="589"/>
      <c r="Y2445" s="589"/>
      <c r="Z2445" s="589"/>
      <c r="AA2445" s="589"/>
      <c r="AB2445" s="589"/>
      <c r="AC2445" s="589"/>
      <c r="AD2445" s="589"/>
      <c r="AE2445" s="589"/>
      <c r="AF2445" s="589"/>
      <c r="AG2445" s="589"/>
      <c r="AH2445" s="589"/>
      <c r="AI2445" s="589"/>
      <c r="AJ2445" s="589"/>
      <c r="AK2445" s="589"/>
      <c r="AL2445" s="589"/>
      <c r="AM2445" s="589"/>
      <c r="AN2445" s="589"/>
      <c r="AO2445" s="589"/>
      <c r="AP2445" s="589"/>
      <c r="AQ2445" s="589"/>
      <c r="AR2445" s="589"/>
      <c r="AS2445" s="589"/>
    </row>
    <row r="2446" spans="1:45" ht="15">
      <c r="A2446" s="587" t="s">
        <v>201</v>
      </c>
      <c r="B2446" s="587" t="s">
        <v>735</v>
      </c>
      <c r="C2446" s="587" t="s">
        <v>813</v>
      </c>
      <c r="D2446" s="588">
        <v>2019</v>
      </c>
      <c r="E2446" s="587" t="s">
        <v>775</v>
      </c>
      <c r="F2446" s="588">
        <v>1</v>
      </c>
      <c r="G2446" s="588">
        <v>0</v>
      </c>
      <c r="H2446" s="588">
        <v>0</v>
      </c>
      <c r="I2446" s="588">
        <v>0</v>
      </c>
      <c r="J2446" s="588">
        <v>1</v>
      </c>
      <c r="K2446" s="588">
        <v>0</v>
      </c>
      <c r="L2446" s="588">
        <v>0</v>
      </c>
      <c r="M2446" s="588">
        <v>0</v>
      </c>
      <c r="N2446" s="588">
        <v>0</v>
      </c>
      <c r="O2446" s="588">
        <v>0</v>
      </c>
      <c r="P2446" s="588">
        <v>0</v>
      </c>
      <c r="Q2446" s="588">
        <v>4</v>
      </c>
      <c r="R2446" s="588">
        <v>2</v>
      </c>
      <c r="S2446" s="588">
        <v>4</v>
      </c>
      <c r="T2446" s="588">
        <v>2019</v>
      </c>
      <c r="U2446" s="588">
        <v>2014</v>
      </c>
      <c r="V2446" s="589"/>
      <c r="W2446" s="589"/>
      <c r="X2446" s="589"/>
      <c r="Y2446" s="589"/>
      <c r="Z2446" s="589"/>
      <c r="AA2446" s="589"/>
      <c r="AB2446" s="589"/>
      <c r="AC2446" s="589"/>
      <c r="AD2446" s="589"/>
      <c r="AE2446" s="589"/>
      <c r="AF2446" s="589"/>
      <c r="AG2446" s="589"/>
      <c r="AH2446" s="589"/>
      <c r="AI2446" s="589"/>
      <c r="AJ2446" s="589"/>
      <c r="AK2446" s="589"/>
      <c r="AL2446" s="589"/>
      <c r="AM2446" s="589"/>
      <c r="AN2446" s="589"/>
      <c r="AO2446" s="589"/>
      <c r="AP2446" s="589"/>
      <c r="AQ2446" s="589"/>
      <c r="AR2446" s="589"/>
      <c r="AS2446" s="589"/>
    </row>
    <row r="2447" spans="1:45" ht="15">
      <c r="A2447" s="590" t="s">
        <v>199</v>
      </c>
      <c r="B2447" s="591" t="s">
        <v>724</v>
      </c>
      <c r="C2447" s="591" t="s">
        <v>811</v>
      </c>
      <c r="D2447" s="592">
        <v>2019</v>
      </c>
      <c r="E2447" s="591" t="s">
        <v>775</v>
      </c>
      <c r="F2447" s="592">
        <v>623</v>
      </c>
      <c r="G2447" s="592">
        <v>0</v>
      </c>
      <c r="H2447" s="592">
        <v>0</v>
      </c>
      <c r="I2447" s="592">
        <v>0</v>
      </c>
      <c r="J2447" s="592">
        <v>576</v>
      </c>
      <c r="K2447" s="592">
        <v>12</v>
      </c>
      <c r="L2447" s="592">
        <v>8</v>
      </c>
      <c r="M2447" s="592">
        <v>4</v>
      </c>
      <c r="N2447" s="593">
        <v>566</v>
      </c>
      <c r="O2447" s="593">
        <v>2</v>
      </c>
      <c r="P2447" s="593">
        <v>1431</v>
      </c>
      <c r="Q2447" s="593">
        <v>64</v>
      </c>
      <c r="R2447" s="593">
        <v>3196</v>
      </c>
      <c r="S2447" s="593">
        <v>78</v>
      </c>
      <c r="T2447" s="593">
        <v>2019</v>
      </c>
      <c r="U2447" s="593">
        <v>2016</v>
      </c>
      <c r="V2447" s="589"/>
      <c r="W2447" s="589"/>
      <c r="X2447" s="589"/>
      <c r="Y2447" s="589"/>
      <c r="Z2447" s="589"/>
      <c r="AA2447" s="589"/>
      <c r="AB2447" s="589"/>
      <c r="AC2447" s="589"/>
      <c r="AD2447" s="589"/>
      <c r="AE2447" s="589"/>
      <c r="AF2447" s="589"/>
      <c r="AG2447" s="589"/>
      <c r="AH2447" s="589"/>
      <c r="AI2447" s="589"/>
      <c r="AJ2447" s="589"/>
      <c r="AK2447" s="589"/>
      <c r="AL2447" s="589"/>
      <c r="AM2447" s="589"/>
      <c r="AN2447" s="589"/>
      <c r="AO2447" s="589"/>
      <c r="AP2447" s="589"/>
      <c r="AQ2447" s="589"/>
      <c r="AR2447" s="589"/>
      <c r="AS2447" s="589"/>
    </row>
    <row r="2448" spans="1:45" ht="15">
      <c r="A2448" s="587" t="s">
        <v>171</v>
      </c>
      <c r="B2448" s="587" t="s">
        <v>527</v>
      </c>
      <c r="C2448" s="587" t="s">
        <v>785</v>
      </c>
      <c r="D2448" s="588">
        <v>2019</v>
      </c>
      <c r="E2448" s="587" t="s">
        <v>775</v>
      </c>
      <c r="F2448" s="588">
        <v>3</v>
      </c>
      <c r="G2448" s="588">
        <v>0</v>
      </c>
      <c r="H2448" s="588">
        <v>0</v>
      </c>
      <c r="I2448" s="588">
        <v>0</v>
      </c>
      <c r="J2448" s="588">
        <v>2</v>
      </c>
      <c r="K2448" s="588">
        <v>0</v>
      </c>
      <c r="L2448" s="588">
        <v>0</v>
      </c>
      <c r="M2448" s="588">
        <v>0</v>
      </c>
      <c r="N2448" s="588">
        <v>3</v>
      </c>
      <c r="O2448" s="588">
        <v>0</v>
      </c>
      <c r="P2448" s="588">
        <v>5</v>
      </c>
      <c r="Q2448" s="588">
        <v>0</v>
      </c>
      <c r="R2448" s="588">
        <v>13</v>
      </c>
      <c r="S2448" s="588">
        <v>0</v>
      </c>
      <c r="T2448" s="588">
        <v>2019</v>
      </c>
      <c r="U2448" s="588">
        <v>2014</v>
      </c>
      <c r="V2448" s="589"/>
      <c r="W2448" s="589"/>
      <c r="X2448" s="589"/>
      <c r="Y2448" s="589"/>
      <c r="Z2448" s="589"/>
      <c r="AA2448" s="589"/>
      <c r="AB2448" s="589"/>
      <c r="AC2448" s="589"/>
      <c r="AD2448" s="589"/>
      <c r="AE2448" s="589"/>
      <c r="AF2448" s="589"/>
      <c r="AG2448" s="589"/>
      <c r="AH2448" s="589"/>
      <c r="AI2448" s="589"/>
      <c r="AJ2448" s="589"/>
      <c r="AK2448" s="589"/>
      <c r="AL2448" s="589"/>
      <c r="AM2448" s="589"/>
      <c r="AN2448" s="589"/>
      <c r="AO2448" s="589"/>
      <c r="AP2448" s="589"/>
      <c r="AQ2448" s="589"/>
      <c r="AR2448" s="589"/>
      <c r="AS2448" s="589"/>
    </row>
    <row r="2449" spans="1:45" ht="15">
      <c r="A2449" s="590" t="s">
        <v>171</v>
      </c>
      <c r="B2449" s="591" t="s">
        <v>527</v>
      </c>
      <c r="C2449" s="591" t="s">
        <v>969</v>
      </c>
      <c r="D2449" s="592">
        <v>2019</v>
      </c>
      <c r="E2449" s="591" t="s">
        <v>775</v>
      </c>
      <c r="F2449" s="592">
        <v>0</v>
      </c>
      <c r="G2449" s="592">
        <v>0</v>
      </c>
      <c r="H2449" s="592">
        <v>0</v>
      </c>
      <c r="I2449" s="592">
        <v>0</v>
      </c>
      <c r="J2449" s="592">
        <v>0</v>
      </c>
      <c r="K2449" s="592">
        <v>0</v>
      </c>
      <c r="L2449" s="592">
        <v>0</v>
      </c>
      <c r="M2449" s="592">
        <v>0</v>
      </c>
      <c r="N2449" s="593">
        <v>0</v>
      </c>
      <c r="O2449" s="593">
        <v>0</v>
      </c>
      <c r="P2449" s="593">
        <v>0</v>
      </c>
      <c r="Q2449" s="593">
        <v>0</v>
      </c>
      <c r="R2449" s="593">
        <v>0</v>
      </c>
      <c r="S2449" s="593">
        <v>0</v>
      </c>
      <c r="T2449" s="593">
        <v>2019</v>
      </c>
      <c r="U2449" s="593">
        <v>2014</v>
      </c>
      <c r="V2449" s="589"/>
      <c r="W2449" s="589"/>
      <c r="X2449" s="589"/>
      <c r="Y2449" s="589"/>
      <c r="Z2449" s="589"/>
      <c r="AA2449" s="589"/>
      <c r="AB2449" s="589"/>
      <c r="AC2449" s="589"/>
      <c r="AD2449" s="589"/>
      <c r="AE2449" s="589"/>
      <c r="AF2449" s="589"/>
      <c r="AG2449" s="589"/>
      <c r="AH2449" s="589"/>
      <c r="AI2449" s="589"/>
      <c r="AJ2449" s="589"/>
      <c r="AK2449" s="589"/>
      <c r="AL2449" s="589"/>
      <c r="AM2449" s="589"/>
      <c r="AN2449" s="589"/>
      <c r="AO2449" s="589"/>
      <c r="AP2449" s="589"/>
      <c r="AQ2449" s="589"/>
      <c r="AR2449" s="589"/>
      <c r="AS2449" s="589"/>
    </row>
    <row r="2450" spans="1:45" ht="15">
      <c r="A2450" s="587" t="s">
        <v>184</v>
      </c>
      <c r="B2450" s="587" t="s">
        <v>636</v>
      </c>
      <c r="C2450" s="587" t="s">
        <v>782</v>
      </c>
      <c r="D2450" s="588">
        <v>2019</v>
      </c>
      <c r="E2450" s="587" t="s">
        <v>775</v>
      </c>
      <c r="F2450" s="588">
        <v>21</v>
      </c>
      <c r="G2450" s="588">
        <v>4</v>
      </c>
      <c r="H2450" s="588">
        <v>0</v>
      </c>
      <c r="I2450" s="588">
        <v>4</v>
      </c>
      <c r="J2450" s="588">
        <v>15</v>
      </c>
      <c r="K2450" s="588">
        <v>1</v>
      </c>
      <c r="L2450" s="588">
        <v>0</v>
      </c>
      <c r="M2450" s="588">
        <v>1</v>
      </c>
      <c r="N2450" s="588">
        <v>15</v>
      </c>
      <c r="O2450" s="588">
        <v>1</v>
      </c>
      <c r="P2450" s="588">
        <v>13</v>
      </c>
      <c r="Q2450" s="588">
        <v>4</v>
      </c>
      <c r="R2450" s="588">
        <v>64</v>
      </c>
      <c r="S2450" s="588">
        <v>10</v>
      </c>
      <c r="T2450" s="588">
        <v>2019</v>
      </c>
      <c r="U2450" s="588">
        <v>2015</v>
      </c>
      <c r="V2450" s="589"/>
      <c r="W2450" s="589"/>
      <c r="X2450" s="589"/>
      <c r="Y2450" s="589"/>
      <c r="Z2450" s="589"/>
      <c r="AA2450" s="589"/>
      <c r="AB2450" s="589"/>
      <c r="AC2450" s="589"/>
      <c r="AD2450" s="589"/>
      <c r="AE2450" s="589"/>
      <c r="AF2450" s="589"/>
      <c r="AG2450" s="589"/>
      <c r="AH2450" s="589"/>
      <c r="AI2450" s="589"/>
      <c r="AJ2450" s="589"/>
      <c r="AK2450" s="589"/>
      <c r="AL2450" s="589"/>
      <c r="AM2450" s="589"/>
      <c r="AN2450" s="589"/>
      <c r="AO2450" s="589"/>
      <c r="AP2450" s="589"/>
      <c r="AQ2450" s="589"/>
      <c r="AR2450" s="589"/>
      <c r="AS2450" s="589"/>
    </row>
    <row r="2451" spans="1:45" ht="15">
      <c r="A2451" s="590" t="s">
        <v>179</v>
      </c>
      <c r="B2451" s="591" t="s">
        <v>602</v>
      </c>
      <c r="C2451" s="591" t="s">
        <v>856</v>
      </c>
      <c r="D2451" s="592">
        <v>2019</v>
      </c>
      <c r="E2451" s="591" t="s">
        <v>775</v>
      </c>
      <c r="F2451" s="592">
        <v>201</v>
      </c>
      <c r="G2451" s="592">
        <v>33</v>
      </c>
      <c r="H2451" s="592">
        <v>33</v>
      </c>
      <c r="I2451" s="592">
        <v>0</v>
      </c>
      <c r="J2451" s="592">
        <v>152</v>
      </c>
      <c r="K2451" s="592">
        <v>20</v>
      </c>
      <c r="L2451" s="592">
        <v>20</v>
      </c>
      <c r="M2451" s="592">
        <v>0</v>
      </c>
      <c r="N2451" s="593">
        <v>282</v>
      </c>
      <c r="O2451" s="593">
        <v>0</v>
      </c>
      <c r="P2451" s="593">
        <v>618</v>
      </c>
      <c r="Q2451" s="593">
        <v>17</v>
      </c>
      <c r="R2451" s="593">
        <v>1253</v>
      </c>
      <c r="S2451" s="593">
        <v>70</v>
      </c>
      <c r="T2451" s="593">
        <v>2019</v>
      </c>
      <c r="U2451" s="593">
        <v>2013</v>
      </c>
      <c r="V2451" s="589"/>
      <c r="W2451" s="589"/>
      <c r="X2451" s="589"/>
      <c r="Y2451" s="589"/>
      <c r="Z2451" s="589"/>
      <c r="AA2451" s="589"/>
      <c r="AB2451" s="589"/>
      <c r="AC2451" s="589"/>
      <c r="AD2451" s="589"/>
      <c r="AE2451" s="589"/>
      <c r="AF2451" s="589"/>
      <c r="AG2451" s="589"/>
      <c r="AH2451" s="589"/>
      <c r="AI2451" s="589"/>
      <c r="AJ2451" s="589"/>
      <c r="AK2451" s="589"/>
      <c r="AL2451" s="589"/>
      <c r="AM2451" s="589"/>
      <c r="AN2451" s="589"/>
      <c r="AO2451" s="589"/>
      <c r="AP2451" s="589"/>
      <c r="AQ2451" s="589"/>
      <c r="AR2451" s="589"/>
      <c r="AS2451" s="589"/>
    </row>
    <row r="2452" spans="1:45" ht="15">
      <c r="A2452" s="587" t="s">
        <v>174</v>
      </c>
      <c r="B2452" s="587" t="s">
        <v>561</v>
      </c>
      <c r="C2452" s="587" t="s">
        <v>801</v>
      </c>
      <c r="D2452" s="588">
        <v>2019</v>
      </c>
      <c r="E2452" s="587" t="s">
        <v>775</v>
      </c>
      <c r="F2452" s="588">
        <v>1539</v>
      </c>
      <c r="G2452" s="588">
        <v>0</v>
      </c>
      <c r="H2452" s="588">
        <v>0</v>
      </c>
      <c r="I2452" s="588">
        <v>0</v>
      </c>
      <c r="J2452" s="588">
        <v>1079</v>
      </c>
      <c r="K2452" s="588">
        <v>0</v>
      </c>
      <c r="L2452" s="588">
        <v>0</v>
      </c>
      <c r="M2452" s="588">
        <v>0</v>
      </c>
      <c r="N2452" s="588">
        <v>1303</v>
      </c>
      <c r="O2452" s="588">
        <v>210</v>
      </c>
      <c r="P2452" s="588">
        <v>3087</v>
      </c>
      <c r="Q2452" s="588">
        <v>254</v>
      </c>
      <c r="R2452" s="588">
        <v>7008</v>
      </c>
      <c r="S2452" s="588">
        <v>464</v>
      </c>
      <c r="T2452" s="588">
        <v>2019</v>
      </c>
      <c r="U2452" s="588">
        <v>2014</v>
      </c>
      <c r="V2452" s="589"/>
      <c r="W2452" s="589"/>
      <c r="X2452" s="589"/>
      <c r="Y2452" s="589"/>
      <c r="Z2452" s="589"/>
      <c r="AA2452" s="589"/>
      <c r="AB2452" s="589"/>
      <c r="AC2452" s="589"/>
      <c r="AD2452" s="589"/>
      <c r="AE2452" s="589"/>
      <c r="AF2452" s="589"/>
      <c r="AG2452" s="589"/>
      <c r="AH2452" s="589"/>
      <c r="AI2452" s="589"/>
      <c r="AJ2452" s="589"/>
      <c r="AK2452" s="589"/>
      <c r="AL2452" s="589"/>
      <c r="AM2452" s="589"/>
      <c r="AN2452" s="589"/>
      <c r="AO2452" s="589"/>
      <c r="AP2452" s="589"/>
      <c r="AQ2452" s="589"/>
      <c r="AR2452" s="589"/>
      <c r="AS2452" s="589"/>
    </row>
    <row r="2453" spans="1:45" ht="15">
      <c r="A2453" s="590" t="s">
        <v>178</v>
      </c>
      <c r="B2453" s="591" t="s">
        <v>581</v>
      </c>
      <c r="C2453" s="591" t="s">
        <v>813</v>
      </c>
      <c r="D2453" s="592">
        <v>2019</v>
      </c>
      <c r="E2453" s="591" t="s">
        <v>775</v>
      </c>
      <c r="F2453" s="592">
        <v>209</v>
      </c>
      <c r="G2453" s="592">
        <v>0</v>
      </c>
      <c r="H2453" s="592">
        <v>0</v>
      </c>
      <c r="I2453" s="592">
        <v>0</v>
      </c>
      <c r="J2453" s="592">
        <v>141</v>
      </c>
      <c r="K2453" s="592">
        <v>0</v>
      </c>
      <c r="L2453" s="592">
        <v>0</v>
      </c>
      <c r="M2453" s="592">
        <v>0</v>
      </c>
      <c r="N2453" s="593">
        <v>158</v>
      </c>
      <c r="O2453" s="593">
        <v>140</v>
      </c>
      <c r="P2453" s="593">
        <v>340</v>
      </c>
      <c r="Q2453" s="593">
        <v>300</v>
      </c>
      <c r="R2453" s="593">
        <v>848</v>
      </c>
      <c r="S2453" s="593">
        <v>440</v>
      </c>
      <c r="T2453" s="593">
        <v>2019</v>
      </c>
      <c r="U2453" s="593">
        <v>2014</v>
      </c>
      <c r="V2453" s="589"/>
      <c r="W2453" s="589"/>
      <c r="X2453" s="589"/>
      <c r="Y2453" s="589"/>
      <c r="Z2453" s="589"/>
      <c r="AA2453" s="589"/>
      <c r="AB2453" s="589"/>
      <c r="AC2453" s="589"/>
      <c r="AD2453" s="589"/>
      <c r="AE2453" s="589"/>
      <c r="AF2453" s="589"/>
      <c r="AG2453" s="589"/>
      <c r="AH2453" s="589"/>
      <c r="AI2453" s="589"/>
      <c r="AJ2453" s="589"/>
      <c r="AK2453" s="589"/>
      <c r="AL2453" s="589"/>
      <c r="AM2453" s="589"/>
      <c r="AN2453" s="589"/>
      <c r="AO2453" s="589"/>
      <c r="AP2453" s="589"/>
      <c r="AQ2453" s="589"/>
      <c r="AR2453" s="589"/>
      <c r="AS2453" s="589"/>
    </row>
    <row r="2454" spans="1:45" ht="15">
      <c r="A2454" s="587" t="s">
        <v>173</v>
      </c>
      <c r="B2454" s="587" t="s">
        <v>551</v>
      </c>
      <c r="C2454" s="587" t="s">
        <v>813</v>
      </c>
      <c r="D2454" s="588">
        <v>2019</v>
      </c>
      <c r="E2454" s="587" t="s">
        <v>775</v>
      </c>
      <c r="F2454" s="588">
        <v>23</v>
      </c>
      <c r="G2454" s="588">
        <v>0</v>
      </c>
      <c r="H2454" s="588">
        <v>0</v>
      </c>
      <c r="I2454" s="588">
        <v>0</v>
      </c>
      <c r="J2454" s="588">
        <v>15</v>
      </c>
      <c r="K2454" s="588">
        <v>0</v>
      </c>
      <c r="L2454" s="588">
        <v>0</v>
      </c>
      <c r="M2454" s="588">
        <v>0</v>
      </c>
      <c r="N2454" s="588">
        <v>18</v>
      </c>
      <c r="O2454" s="588">
        <v>0</v>
      </c>
      <c r="P2454" s="588">
        <v>39</v>
      </c>
      <c r="Q2454" s="588">
        <v>195</v>
      </c>
      <c r="R2454" s="588">
        <v>95</v>
      </c>
      <c r="S2454" s="588">
        <v>195</v>
      </c>
      <c r="T2454" s="588">
        <v>2019</v>
      </c>
      <c r="U2454" s="588">
        <v>2014</v>
      </c>
      <c r="V2454" s="589"/>
      <c r="W2454" s="589"/>
      <c r="X2454" s="589"/>
      <c r="Y2454" s="589"/>
      <c r="Z2454" s="589"/>
      <c r="AA2454" s="589"/>
      <c r="AB2454" s="589"/>
      <c r="AC2454" s="589"/>
      <c r="AD2454" s="589"/>
      <c r="AE2454" s="589"/>
      <c r="AF2454" s="589"/>
      <c r="AG2454" s="589"/>
      <c r="AH2454" s="589"/>
      <c r="AI2454" s="589"/>
      <c r="AJ2454" s="589"/>
      <c r="AK2454" s="589"/>
      <c r="AL2454" s="589"/>
      <c r="AM2454" s="589"/>
      <c r="AN2454" s="589"/>
      <c r="AO2454" s="589"/>
      <c r="AP2454" s="589"/>
      <c r="AQ2454" s="589"/>
      <c r="AR2454" s="589"/>
      <c r="AS2454" s="589"/>
    </row>
    <row r="2455" spans="1:45" ht="15">
      <c r="A2455" s="590" t="s">
        <v>153</v>
      </c>
      <c r="B2455" s="591" t="s">
        <v>409</v>
      </c>
      <c r="C2455" s="591" t="s">
        <v>813</v>
      </c>
      <c r="D2455" s="592">
        <v>2019</v>
      </c>
      <c r="E2455" s="591" t="s">
        <v>775</v>
      </c>
      <c r="F2455" s="592">
        <v>8</v>
      </c>
      <c r="G2455" s="592">
        <v>0</v>
      </c>
      <c r="H2455" s="592">
        <v>0</v>
      </c>
      <c r="I2455" s="592">
        <v>0</v>
      </c>
      <c r="J2455" s="592">
        <v>5</v>
      </c>
      <c r="K2455" s="592">
        <v>0</v>
      </c>
      <c r="L2455" s="592">
        <v>0</v>
      </c>
      <c r="M2455" s="592">
        <v>0</v>
      </c>
      <c r="N2455" s="593">
        <v>5</v>
      </c>
      <c r="O2455" s="593">
        <v>1</v>
      </c>
      <c r="P2455" s="593">
        <v>13</v>
      </c>
      <c r="Q2455" s="593">
        <v>9</v>
      </c>
      <c r="R2455" s="593">
        <v>31</v>
      </c>
      <c r="S2455" s="593">
        <v>10</v>
      </c>
      <c r="T2455" s="593">
        <v>2019</v>
      </c>
      <c r="U2455" s="593">
        <v>2014</v>
      </c>
      <c r="V2455" s="589"/>
      <c r="W2455" s="589"/>
      <c r="X2455" s="589"/>
      <c r="Y2455" s="589"/>
      <c r="Z2455" s="589"/>
      <c r="AA2455" s="589"/>
      <c r="AB2455" s="589"/>
      <c r="AC2455" s="589"/>
      <c r="AD2455" s="589"/>
      <c r="AE2455" s="589"/>
      <c r="AF2455" s="589"/>
      <c r="AG2455" s="589"/>
      <c r="AH2455" s="589"/>
      <c r="AI2455" s="589"/>
      <c r="AJ2455" s="589"/>
      <c r="AK2455" s="589"/>
      <c r="AL2455" s="589"/>
      <c r="AM2455" s="589"/>
      <c r="AN2455" s="589"/>
      <c r="AO2455" s="589"/>
      <c r="AP2455" s="589"/>
      <c r="AQ2455" s="589"/>
      <c r="AR2455" s="589"/>
      <c r="AS2455" s="589"/>
    </row>
    <row r="2456" spans="1:45" ht="15">
      <c r="A2456" s="587" t="s">
        <v>169</v>
      </c>
      <c r="B2456" s="587" t="s">
        <v>509</v>
      </c>
      <c r="C2456" s="587" t="s">
        <v>813</v>
      </c>
      <c r="D2456" s="588">
        <v>2019</v>
      </c>
      <c r="E2456" s="587" t="s">
        <v>775</v>
      </c>
      <c r="F2456" s="588">
        <v>1</v>
      </c>
      <c r="G2456" s="588">
        <v>0</v>
      </c>
      <c r="H2456" s="588">
        <v>0</v>
      </c>
      <c r="I2456" s="588">
        <v>0</v>
      </c>
      <c r="J2456" s="588">
        <v>1</v>
      </c>
      <c r="K2456" s="588">
        <v>1</v>
      </c>
      <c r="L2456" s="588">
        <v>0</v>
      </c>
      <c r="M2456" s="588">
        <v>1</v>
      </c>
      <c r="N2456" s="588">
        <v>0</v>
      </c>
      <c r="O2456" s="588">
        <v>0</v>
      </c>
      <c r="P2456" s="588">
        <v>0</v>
      </c>
      <c r="Q2456" s="588">
        <v>0</v>
      </c>
      <c r="R2456" s="588">
        <v>2</v>
      </c>
      <c r="S2456" s="588">
        <v>1</v>
      </c>
      <c r="T2456" s="588">
        <v>2019</v>
      </c>
      <c r="U2456" s="588">
        <v>2014</v>
      </c>
      <c r="V2456" s="589"/>
      <c r="W2456" s="589"/>
      <c r="X2456" s="589"/>
      <c r="Y2456" s="589"/>
      <c r="Z2456" s="589"/>
      <c r="AA2456" s="589"/>
      <c r="AB2456" s="589"/>
      <c r="AC2456" s="589"/>
      <c r="AD2456" s="589"/>
      <c r="AE2456" s="589"/>
      <c r="AF2456" s="589"/>
      <c r="AG2456" s="589"/>
      <c r="AH2456" s="589"/>
      <c r="AI2456" s="589"/>
      <c r="AJ2456" s="589"/>
      <c r="AK2456" s="589"/>
      <c r="AL2456" s="589"/>
      <c r="AM2456" s="589"/>
      <c r="AN2456" s="589"/>
      <c r="AO2456" s="589"/>
      <c r="AP2456" s="589"/>
      <c r="AQ2456" s="589"/>
      <c r="AR2456" s="589"/>
      <c r="AS2456" s="589"/>
    </row>
    <row r="2457" spans="1:45" ht="15">
      <c r="A2457" s="590" t="s">
        <v>197</v>
      </c>
      <c r="B2457" s="591" t="s">
        <v>717</v>
      </c>
      <c r="C2457" s="591" t="s">
        <v>785</v>
      </c>
      <c r="D2457" s="592">
        <v>2019</v>
      </c>
      <c r="E2457" s="591" t="s">
        <v>775</v>
      </c>
      <c r="F2457" s="592">
        <v>73</v>
      </c>
      <c r="G2457" s="592">
        <v>0</v>
      </c>
      <c r="H2457" s="592">
        <v>0</v>
      </c>
      <c r="I2457" s="592">
        <v>0</v>
      </c>
      <c r="J2457" s="592">
        <v>52</v>
      </c>
      <c r="K2457" s="592">
        <v>0</v>
      </c>
      <c r="L2457" s="592">
        <v>0</v>
      </c>
      <c r="M2457" s="592">
        <v>0</v>
      </c>
      <c r="N2457" s="593">
        <v>61</v>
      </c>
      <c r="O2457" s="593">
        <v>4</v>
      </c>
      <c r="P2457" s="593">
        <v>137</v>
      </c>
      <c r="Q2457" s="593">
        <v>0</v>
      </c>
      <c r="R2457" s="593">
        <v>323</v>
      </c>
      <c r="S2457" s="593">
        <v>4</v>
      </c>
      <c r="T2457" s="593">
        <v>2019</v>
      </c>
      <c r="U2457" s="593">
        <v>2014</v>
      </c>
      <c r="V2457" s="589"/>
      <c r="W2457" s="589"/>
      <c r="X2457" s="589"/>
      <c r="Y2457" s="589"/>
      <c r="Z2457" s="589"/>
      <c r="AA2457" s="589"/>
      <c r="AB2457" s="589"/>
      <c r="AC2457" s="589"/>
      <c r="AD2457" s="589"/>
      <c r="AE2457" s="589"/>
      <c r="AF2457" s="589"/>
      <c r="AG2457" s="589"/>
      <c r="AH2457" s="589"/>
      <c r="AI2457" s="589"/>
      <c r="AJ2457" s="589"/>
      <c r="AK2457" s="589"/>
      <c r="AL2457" s="589"/>
      <c r="AM2457" s="589"/>
      <c r="AN2457" s="589"/>
      <c r="AO2457" s="589"/>
      <c r="AP2457" s="589"/>
      <c r="AQ2457" s="589"/>
      <c r="AR2457" s="589"/>
      <c r="AS2457" s="589"/>
    </row>
    <row r="2458" spans="1:45" ht="15">
      <c r="A2458" s="587" t="s">
        <v>197</v>
      </c>
      <c r="B2458" s="587" t="s">
        <v>717</v>
      </c>
      <c r="C2458" s="587" t="s">
        <v>969</v>
      </c>
      <c r="D2458" s="588">
        <v>2019</v>
      </c>
      <c r="E2458" s="587" t="s">
        <v>775</v>
      </c>
      <c r="F2458" s="588">
        <v>0</v>
      </c>
      <c r="G2458" s="588">
        <v>0</v>
      </c>
      <c r="H2458" s="588">
        <v>0</v>
      </c>
      <c r="I2458" s="588">
        <v>0</v>
      </c>
      <c r="J2458" s="588">
        <v>0</v>
      </c>
      <c r="K2458" s="588">
        <v>0</v>
      </c>
      <c r="L2458" s="588">
        <v>0</v>
      </c>
      <c r="M2458" s="588">
        <v>0</v>
      </c>
      <c r="N2458" s="588">
        <v>0</v>
      </c>
      <c r="O2458" s="588">
        <v>4</v>
      </c>
      <c r="P2458" s="588">
        <v>0</v>
      </c>
      <c r="Q2458" s="588">
        <v>0</v>
      </c>
      <c r="R2458" s="588">
        <v>0</v>
      </c>
      <c r="S2458" s="588">
        <v>4</v>
      </c>
      <c r="T2458" s="588">
        <v>2019</v>
      </c>
      <c r="U2458" s="588">
        <v>2014</v>
      </c>
      <c r="V2458" s="589"/>
      <c r="W2458" s="589"/>
      <c r="X2458" s="589"/>
      <c r="Y2458" s="589"/>
      <c r="Z2458" s="589"/>
      <c r="AA2458" s="589"/>
      <c r="AB2458" s="589"/>
      <c r="AC2458" s="589"/>
      <c r="AD2458" s="589"/>
      <c r="AE2458" s="589"/>
      <c r="AF2458" s="589"/>
      <c r="AG2458" s="589"/>
      <c r="AH2458" s="589"/>
      <c r="AI2458" s="589"/>
      <c r="AJ2458" s="589"/>
      <c r="AK2458" s="589"/>
      <c r="AL2458" s="589"/>
      <c r="AM2458" s="589"/>
      <c r="AN2458" s="589"/>
      <c r="AO2458" s="589"/>
      <c r="AP2458" s="589"/>
      <c r="AQ2458" s="589"/>
      <c r="AR2458" s="589"/>
      <c r="AS2458" s="589"/>
    </row>
    <row r="2459" spans="1:45" ht="15">
      <c r="A2459" s="590" t="s">
        <v>189</v>
      </c>
      <c r="B2459" s="591" t="s">
        <v>671</v>
      </c>
      <c r="C2459" s="591" t="s">
        <v>785</v>
      </c>
      <c r="D2459" s="592">
        <v>2019</v>
      </c>
      <c r="E2459" s="591" t="s">
        <v>775</v>
      </c>
      <c r="F2459" s="592">
        <v>287</v>
      </c>
      <c r="G2459" s="592">
        <v>0</v>
      </c>
      <c r="H2459" s="592">
        <v>0</v>
      </c>
      <c r="I2459" s="592">
        <v>0</v>
      </c>
      <c r="J2459" s="592">
        <v>181</v>
      </c>
      <c r="K2459" s="592">
        <v>59</v>
      </c>
      <c r="L2459" s="592">
        <v>59</v>
      </c>
      <c r="M2459" s="592">
        <v>0</v>
      </c>
      <c r="N2459" s="593">
        <v>205</v>
      </c>
      <c r="O2459" s="593">
        <v>0</v>
      </c>
      <c r="P2459" s="593">
        <v>502</v>
      </c>
      <c r="Q2459" s="593">
        <v>249</v>
      </c>
      <c r="R2459" s="593">
        <v>1175</v>
      </c>
      <c r="S2459" s="593">
        <v>308</v>
      </c>
      <c r="T2459" s="593">
        <v>2019</v>
      </c>
      <c r="U2459" s="593">
        <v>2014</v>
      </c>
      <c r="V2459" s="589"/>
      <c r="W2459" s="589"/>
      <c r="X2459" s="589"/>
      <c r="Y2459" s="589"/>
      <c r="Z2459" s="589"/>
      <c r="AA2459" s="589"/>
      <c r="AB2459" s="589"/>
      <c r="AC2459" s="589"/>
      <c r="AD2459" s="589"/>
      <c r="AE2459" s="589"/>
      <c r="AF2459" s="589"/>
      <c r="AG2459" s="589"/>
      <c r="AH2459" s="589"/>
      <c r="AI2459" s="589"/>
      <c r="AJ2459" s="589"/>
      <c r="AK2459" s="589"/>
      <c r="AL2459" s="589"/>
      <c r="AM2459" s="589"/>
      <c r="AN2459" s="589"/>
      <c r="AO2459" s="589"/>
      <c r="AP2459" s="589"/>
      <c r="AQ2459" s="589"/>
      <c r="AR2459" s="589"/>
      <c r="AS2459" s="589"/>
    </row>
    <row r="2460" spans="1:45" ht="15">
      <c r="A2460" s="587" t="s">
        <v>178</v>
      </c>
      <c r="B2460" s="587" t="s">
        <v>582</v>
      </c>
      <c r="C2460" s="587" t="s">
        <v>813</v>
      </c>
      <c r="D2460" s="588">
        <v>2019</v>
      </c>
      <c r="E2460" s="587" t="s">
        <v>775</v>
      </c>
      <c r="F2460" s="588">
        <v>579</v>
      </c>
      <c r="G2460" s="588">
        <v>1</v>
      </c>
      <c r="H2460" s="588">
        <v>0</v>
      </c>
      <c r="I2460" s="588">
        <v>1</v>
      </c>
      <c r="J2460" s="588">
        <v>396</v>
      </c>
      <c r="K2460" s="588">
        <v>10</v>
      </c>
      <c r="L2460" s="588">
        <v>0</v>
      </c>
      <c r="M2460" s="588">
        <v>10</v>
      </c>
      <c r="N2460" s="588">
        <v>453</v>
      </c>
      <c r="O2460" s="588">
        <v>0</v>
      </c>
      <c r="P2460" s="588">
        <v>1001</v>
      </c>
      <c r="Q2460" s="588">
        <v>122</v>
      </c>
      <c r="R2460" s="588">
        <v>2429</v>
      </c>
      <c r="S2460" s="588">
        <v>133</v>
      </c>
      <c r="T2460" s="588">
        <v>2019</v>
      </c>
      <c r="U2460" s="588">
        <v>2014</v>
      </c>
      <c r="V2460" s="589"/>
      <c r="W2460" s="589"/>
      <c r="X2460" s="589"/>
      <c r="Y2460" s="589"/>
      <c r="Z2460" s="589"/>
      <c r="AA2460" s="589"/>
      <c r="AB2460" s="589"/>
      <c r="AC2460" s="589"/>
      <c r="AD2460" s="589"/>
      <c r="AE2460" s="589"/>
      <c r="AF2460" s="589"/>
      <c r="AG2460" s="589"/>
      <c r="AH2460" s="589"/>
      <c r="AI2460" s="589"/>
      <c r="AJ2460" s="589"/>
      <c r="AK2460" s="589"/>
      <c r="AL2460" s="589"/>
      <c r="AM2460" s="589"/>
      <c r="AN2460" s="589"/>
      <c r="AO2460" s="589"/>
      <c r="AP2460" s="589"/>
      <c r="AQ2460" s="589"/>
      <c r="AR2460" s="589"/>
      <c r="AS2460" s="589"/>
    </row>
    <row r="2461" spans="1:45" ht="15">
      <c r="A2461" s="590" t="s">
        <v>153</v>
      </c>
      <c r="B2461" s="591" t="s">
        <v>410</v>
      </c>
      <c r="C2461" s="591" t="s">
        <v>813</v>
      </c>
      <c r="D2461" s="592">
        <v>2019</v>
      </c>
      <c r="E2461" s="591" t="s">
        <v>775</v>
      </c>
      <c r="F2461" s="592">
        <v>372</v>
      </c>
      <c r="G2461" s="592">
        <v>0</v>
      </c>
      <c r="H2461" s="592">
        <v>0</v>
      </c>
      <c r="I2461" s="592">
        <v>0</v>
      </c>
      <c r="J2461" s="592">
        <v>223</v>
      </c>
      <c r="K2461" s="592">
        <v>16</v>
      </c>
      <c r="L2461" s="592">
        <v>0</v>
      </c>
      <c r="M2461" s="592">
        <v>16</v>
      </c>
      <c r="N2461" s="593">
        <v>238</v>
      </c>
      <c r="O2461" s="593">
        <v>0</v>
      </c>
      <c r="P2461" s="593">
        <v>564</v>
      </c>
      <c r="Q2461" s="593">
        <v>127</v>
      </c>
      <c r="R2461" s="593">
        <v>1397</v>
      </c>
      <c r="S2461" s="593">
        <v>143</v>
      </c>
      <c r="T2461" s="593">
        <v>2019</v>
      </c>
      <c r="U2461" s="593">
        <v>2014</v>
      </c>
      <c r="V2461" s="589"/>
      <c r="W2461" s="589"/>
      <c r="X2461" s="589"/>
      <c r="Y2461" s="589"/>
      <c r="Z2461" s="589"/>
      <c r="AA2461" s="589"/>
      <c r="AB2461" s="589"/>
      <c r="AC2461" s="589"/>
      <c r="AD2461" s="589"/>
      <c r="AE2461" s="589"/>
      <c r="AF2461" s="589"/>
      <c r="AG2461" s="589"/>
      <c r="AH2461" s="589"/>
      <c r="AI2461" s="589"/>
      <c r="AJ2461" s="589"/>
      <c r="AK2461" s="589"/>
      <c r="AL2461" s="589"/>
      <c r="AM2461" s="589"/>
      <c r="AN2461" s="589"/>
      <c r="AO2461" s="589"/>
      <c r="AP2461" s="589"/>
      <c r="AQ2461" s="589"/>
      <c r="AR2461" s="589"/>
      <c r="AS2461" s="589"/>
    </row>
    <row r="2462" spans="1:45" ht="15">
      <c r="A2462" s="587" t="s">
        <v>184</v>
      </c>
      <c r="B2462" s="587" t="s">
        <v>637</v>
      </c>
      <c r="C2462" s="587" t="s">
        <v>782</v>
      </c>
      <c r="D2462" s="588">
        <v>2019</v>
      </c>
      <c r="E2462" s="587" t="s">
        <v>775</v>
      </c>
      <c r="F2462" s="588">
        <v>706</v>
      </c>
      <c r="G2462" s="588">
        <v>117</v>
      </c>
      <c r="H2462" s="588">
        <v>117</v>
      </c>
      <c r="I2462" s="588">
        <v>0</v>
      </c>
      <c r="J2462" s="588">
        <v>429</v>
      </c>
      <c r="K2462" s="588">
        <v>39</v>
      </c>
      <c r="L2462" s="588">
        <v>0</v>
      </c>
      <c r="M2462" s="588">
        <v>39</v>
      </c>
      <c r="N2462" s="588">
        <v>502</v>
      </c>
      <c r="O2462" s="588">
        <v>0</v>
      </c>
      <c r="P2462" s="588">
        <v>1152</v>
      </c>
      <c r="Q2462" s="588">
        <v>60</v>
      </c>
      <c r="R2462" s="588">
        <v>2789</v>
      </c>
      <c r="S2462" s="588">
        <v>216</v>
      </c>
      <c r="T2462" s="588">
        <v>2019</v>
      </c>
      <c r="U2462" s="588">
        <v>2015</v>
      </c>
      <c r="V2462" s="589"/>
      <c r="W2462" s="589"/>
      <c r="X2462" s="589"/>
      <c r="Y2462" s="589"/>
      <c r="Z2462" s="589"/>
      <c r="AA2462" s="589"/>
      <c r="AB2462" s="589"/>
      <c r="AC2462" s="589"/>
      <c r="AD2462" s="589"/>
      <c r="AE2462" s="589"/>
      <c r="AF2462" s="589"/>
      <c r="AG2462" s="589"/>
      <c r="AH2462" s="589"/>
      <c r="AI2462" s="589"/>
      <c r="AJ2462" s="589"/>
      <c r="AK2462" s="589"/>
      <c r="AL2462" s="589"/>
      <c r="AM2462" s="589"/>
      <c r="AN2462" s="589"/>
      <c r="AO2462" s="589"/>
      <c r="AP2462" s="589"/>
      <c r="AQ2462" s="589"/>
      <c r="AR2462" s="589"/>
      <c r="AS2462" s="589"/>
    </row>
    <row r="2463" spans="1:45" ht="15">
      <c r="A2463" s="590" t="s">
        <v>141</v>
      </c>
      <c r="B2463" s="591" t="s">
        <v>301</v>
      </c>
      <c r="C2463" s="591" t="s">
        <v>811</v>
      </c>
      <c r="D2463" s="592">
        <v>2019</v>
      </c>
      <c r="E2463" s="591" t="s">
        <v>775</v>
      </c>
      <c r="F2463" s="592">
        <v>393</v>
      </c>
      <c r="G2463" s="592">
        <v>0</v>
      </c>
      <c r="H2463" s="592">
        <v>0</v>
      </c>
      <c r="I2463" s="592">
        <v>0</v>
      </c>
      <c r="J2463" s="592">
        <v>204</v>
      </c>
      <c r="K2463" s="592">
        <v>0</v>
      </c>
      <c r="L2463" s="592">
        <v>0</v>
      </c>
      <c r="M2463" s="592">
        <v>0</v>
      </c>
      <c r="N2463" s="593">
        <v>161</v>
      </c>
      <c r="O2463" s="593">
        <v>12</v>
      </c>
      <c r="P2463" s="593">
        <v>553</v>
      </c>
      <c r="Q2463" s="593">
        <v>0</v>
      </c>
      <c r="R2463" s="593">
        <v>1311</v>
      </c>
      <c r="S2463" s="593">
        <v>12</v>
      </c>
      <c r="T2463" s="593">
        <v>2019</v>
      </c>
      <c r="U2463" s="593">
        <v>2016</v>
      </c>
      <c r="V2463" s="589"/>
      <c r="W2463" s="589"/>
      <c r="X2463" s="589"/>
      <c r="Y2463" s="589"/>
      <c r="Z2463" s="589"/>
      <c r="AA2463" s="589"/>
      <c r="AB2463" s="589"/>
      <c r="AC2463" s="589"/>
      <c r="AD2463" s="589"/>
      <c r="AE2463" s="589"/>
      <c r="AF2463" s="589"/>
      <c r="AG2463" s="589"/>
      <c r="AH2463" s="589"/>
      <c r="AI2463" s="589"/>
      <c r="AJ2463" s="589"/>
      <c r="AK2463" s="589"/>
      <c r="AL2463" s="589"/>
      <c r="AM2463" s="589"/>
      <c r="AN2463" s="589"/>
      <c r="AO2463" s="589"/>
      <c r="AP2463" s="589"/>
      <c r="AQ2463" s="589"/>
      <c r="AR2463" s="589"/>
      <c r="AS2463" s="589"/>
    </row>
    <row r="2464" spans="1:45" ht="15">
      <c r="A2464" s="587" t="s">
        <v>178</v>
      </c>
      <c r="B2464" s="587" t="s">
        <v>583</v>
      </c>
      <c r="C2464" s="587" t="s">
        <v>813</v>
      </c>
      <c r="D2464" s="588">
        <v>2019</v>
      </c>
      <c r="E2464" s="587" t="s">
        <v>775</v>
      </c>
      <c r="F2464" s="588">
        <v>636</v>
      </c>
      <c r="G2464" s="588">
        <v>0</v>
      </c>
      <c r="H2464" s="588">
        <v>0</v>
      </c>
      <c r="I2464" s="588">
        <v>0</v>
      </c>
      <c r="J2464" s="588">
        <v>432</v>
      </c>
      <c r="K2464" s="588">
        <v>1</v>
      </c>
      <c r="L2464" s="588">
        <v>0</v>
      </c>
      <c r="M2464" s="588">
        <v>1</v>
      </c>
      <c r="N2464" s="588">
        <v>496</v>
      </c>
      <c r="O2464" s="588">
        <v>0</v>
      </c>
      <c r="P2464" s="588">
        <v>1151</v>
      </c>
      <c r="Q2464" s="588">
        <v>53</v>
      </c>
      <c r="R2464" s="588">
        <v>2715</v>
      </c>
      <c r="S2464" s="588">
        <v>54</v>
      </c>
      <c r="T2464" s="588">
        <v>2019</v>
      </c>
      <c r="U2464" s="588">
        <v>2014</v>
      </c>
      <c r="V2464" s="589"/>
      <c r="W2464" s="589"/>
      <c r="X2464" s="589"/>
      <c r="Y2464" s="589"/>
      <c r="Z2464" s="589"/>
      <c r="AA2464" s="589"/>
      <c r="AB2464" s="589"/>
      <c r="AC2464" s="589"/>
      <c r="AD2464" s="589"/>
      <c r="AE2464" s="589"/>
      <c r="AF2464" s="589"/>
      <c r="AG2464" s="589"/>
      <c r="AH2464" s="589"/>
      <c r="AI2464" s="589"/>
      <c r="AJ2464" s="589"/>
      <c r="AK2464" s="589"/>
      <c r="AL2464" s="589"/>
      <c r="AM2464" s="589"/>
      <c r="AN2464" s="589"/>
      <c r="AO2464" s="589"/>
      <c r="AP2464" s="589"/>
      <c r="AQ2464" s="589"/>
      <c r="AR2464" s="589"/>
      <c r="AS2464" s="589"/>
    </row>
    <row r="2465" spans="1:45" ht="15">
      <c r="A2465" s="590" t="s">
        <v>136</v>
      </c>
      <c r="B2465" s="591" t="s">
        <v>281</v>
      </c>
      <c r="C2465" s="591" t="s">
        <v>782</v>
      </c>
      <c r="D2465" s="592">
        <v>2019</v>
      </c>
      <c r="E2465" s="591" t="s">
        <v>775</v>
      </c>
      <c r="F2465" s="592">
        <v>438</v>
      </c>
      <c r="G2465" s="592">
        <v>0</v>
      </c>
      <c r="H2465" s="592">
        <v>0</v>
      </c>
      <c r="I2465" s="592">
        <v>0</v>
      </c>
      <c r="J2465" s="592">
        <v>305</v>
      </c>
      <c r="K2465" s="592">
        <v>0</v>
      </c>
      <c r="L2465" s="592">
        <v>0</v>
      </c>
      <c r="M2465" s="592">
        <v>0</v>
      </c>
      <c r="N2465" s="593">
        <v>410</v>
      </c>
      <c r="O2465" s="593">
        <v>0</v>
      </c>
      <c r="P2465" s="593">
        <v>1282</v>
      </c>
      <c r="Q2465" s="593">
        <v>91</v>
      </c>
      <c r="R2465" s="593">
        <v>2435</v>
      </c>
      <c r="S2465" s="593">
        <v>91</v>
      </c>
      <c r="T2465" s="593">
        <v>2019</v>
      </c>
      <c r="U2465" s="593">
        <v>2015</v>
      </c>
      <c r="V2465" s="589"/>
      <c r="W2465" s="589"/>
      <c r="X2465" s="589"/>
      <c r="Y2465" s="589"/>
      <c r="Z2465" s="589"/>
      <c r="AA2465" s="589"/>
      <c r="AB2465" s="589"/>
      <c r="AC2465" s="589"/>
      <c r="AD2465" s="589"/>
      <c r="AE2465" s="589"/>
      <c r="AF2465" s="589"/>
      <c r="AG2465" s="589"/>
      <c r="AH2465" s="589"/>
      <c r="AI2465" s="589"/>
      <c r="AJ2465" s="589"/>
      <c r="AK2465" s="589"/>
      <c r="AL2465" s="589"/>
      <c r="AM2465" s="589"/>
      <c r="AN2465" s="589"/>
      <c r="AO2465" s="589"/>
      <c r="AP2465" s="589"/>
      <c r="AQ2465" s="589"/>
      <c r="AR2465" s="589"/>
      <c r="AS2465" s="589"/>
    </row>
    <row r="2466" spans="1:45" ht="15">
      <c r="A2466" s="587" t="s">
        <v>145</v>
      </c>
      <c r="B2466" s="587" t="s">
        <v>313</v>
      </c>
      <c r="C2466" s="587" t="s">
        <v>785</v>
      </c>
      <c r="D2466" s="588">
        <v>2019</v>
      </c>
      <c r="E2466" s="587" t="s">
        <v>775</v>
      </c>
      <c r="F2466" s="588">
        <v>8</v>
      </c>
      <c r="G2466" s="588">
        <v>25</v>
      </c>
      <c r="H2466" s="588">
        <v>25</v>
      </c>
      <c r="I2466" s="588">
        <v>0</v>
      </c>
      <c r="J2466" s="588">
        <v>4</v>
      </c>
      <c r="K2466" s="588">
        <v>5</v>
      </c>
      <c r="L2466" s="588">
        <v>0</v>
      </c>
      <c r="M2466" s="588">
        <v>5</v>
      </c>
      <c r="N2466" s="588">
        <v>4</v>
      </c>
      <c r="O2466" s="588">
        <v>0</v>
      </c>
      <c r="P2466" s="588">
        <v>15</v>
      </c>
      <c r="Q2466" s="588">
        <v>2</v>
      </c>
      <c r="R2466" s="588">
        <v>31</v>
      </c>
      <c r="S2466" s="588">
        <v>32</v>
      </c>
      <c r="T2466" s="588">
        <v>2019</v>
      </c>
      <c r="U2466" s="588">
        <v>2014</v>
      </c>
      <c r="V2466" s="589"/>
      <c r="W2466" s="589"/>
      <c r="X2466" s="589"/>
      <c r="Y2466" s="589"/>
      <c r="Z2466" s="589"/>
      <c r="AA2466" s="589"/>
      <c r="AB2466" s="589"/>
      <c r="AC2466" s="589"/>
      <c r="AD2466" s="589"/>
      <c r="AE2466" s="589"/>
      <c r="AF2466" s="589"/>
      <c r="AG2466" s="589"/>
      <c r="AH2466" s="589"/>
      <c r="AI2466" s="589"/>
      <c r="AJ2466" s="589"/>
      <c r="AK2466" s="589"/>
      <c r="AL2466" s="589"/>
      <c r="AM2466" s="589"/>
      <c r="AN2466" s="589"/>
      <c r="AO2466" s="589"/>
      <c r="AP2466" s="589"/>
      <c r="AQ2466" s="589"/>
      <c r="AR2466" s="589"/>
      <c r="AS2466" s="589"/>
    </row>
    <row r="2467" spans="1:45" ht="15">
      <c r="A2467" s="590" t="s">
        <v>145</v>
      </c>
      <c r="B2467" s="591" t="s">
        <v>313</v>
      </c>
      <c r="C2467" s="591" t="s">
        <v>971</v>
      </c>
      <c r="D2467" s="592">
        <v>2019</v>
      </c>
      <c r="E2467" s="591" t="s">
        <v>775</v>
      </c>
      <c r="F2467" s="592">
        <v>0</v>
      </c>
      <c r="G2467" s="592">
        <v>25</v>
      </c>
      <c r="H2467" s="592">
        <v>25</v>
      </c>
      <c r="I2467" s="592">
        <v>0</v>
      </c>
      <c r="J2467" s="592">
        <v>0</v>
      </c>
      <c r="K2467" s="592">
        <v>5</v>
      </c>
      <c r="L2467" s="592">
        <v>0</v>
      </c>
      <c r="M2467" s="592">
        <v>5</v>
      </c>
      <c r="N2467" s="593">
        <v>0</v>
      </c>
      <c r="O2467" s="593">
        <v>0</v>
      </c>
      <c r="P2467" s="593">
        <v>0</v>
      </c>
      <c r="Q2467" s="593">
        <v>2</v>
      </c>
      <c r="R2467" s="593">
        <v>0</v>
      </c>
      <c r="S2467" s="593">
        <v>32</v>
      </c>
      <c r="T2467" s="593">
        <v>2019</v>
      </c>
      <c r="U2467" s="593">
        <v>2014</v>
      </c>
      <c r="V2467" s="589"/>
      <c r="W2467" s="589"/>
      <c r="X2467" s="589"/>
      <c r="Y2467" s="589"/>
      <c r="Z2467" s="589"/>
      <c r="AA2467" s="589"/>
      <c r="AB2467" s="589"/>
      <c r="AC2467" s="589"/>
      <c r="AD2467" s="589"/>
      <c r="AE2467" s="589"/>
      <c r="AF2467" s="589"/>
      <c r="AG2467" s="589"/>
      <c r="AH2467" s="589"/>
      <c r="AI2467" s="589"/>
      <c r="AJ2467" s="589"/>
      <c r="AK2467" s="589"/>
      <c r="AL2467" s="589"/>
      <c r="AM2467" s="589"/>
      <c r="AN2467" s="589"/>
      <c r="AO2467" s="589"/>
      <c r="AP2467" s="589"/>
      <c r="AQ2467" s="589"/>
      <c r="AR2467" s="589"/>
      <c r="AS2467" s="589"/>
    </row>
    <row r="2468" spans="1:45" ht="15">
      <c r="A2468" s="587" t="s">
        <v>192</v>
      </c>
      <c r="B2468" s="587" t="s">
        <v>689</v>
      </c>
      <c r="C2468" s="587" t="s">
        <v>782</v>
      </c>
      <c r="D2468" s="588">
        <v>2019</v>
      </c>
      <c r="E2468" s="587" t="s">
        <v>775</v>
      </c>
      <c r="F2468" s="588">
        <v>45</v>
      </c>
      <c r="G2468" s="588">
        <v>0</v>
      </c>
      <c r="H2468" s="588">
        <v>0</v>
      </c>
      <c r="I2468" s="588">
        <v>0</v>
      </c>
      <c r="J2468" s="588">
        <v>36</v>
      </c>
      <c r="K2468" s="588">
        <v>0</v>
      </c>
      <c r="L2468" s="588">
        <v>0</v>
      </c>
      <c r="M2468" s="588">
        <v>0</v>
      </c>
      <c r="N2468" s="588">
        <v>48</v>
      </c>
      <c r="O2468" s="588">
        <v>0</v>
      </c>
      <c r="P2468" s="588">
        <v>170</v>
      </c>
      <c r="Q2468" s="588">
        <v>121</v>
      </c>
      <c r="R2468" s="588">
        <v>299</v>
      </c>
      <c r="S2468" s="588">
        <v>121</v>
      </c>
      <c r="T2468" s="588">
        <v>2019</v>
      </c>
      <c r="U2468" s="588">
        <v>2015</v>
      </c>
      <c r="V2468" s="589"/>
      <c r="W2468" s="589"/>
      <c r="X2468" s="589"/>
      <c r="Y2468" s="589"/>
      <c r="Z2468" s="589"/>
      <c r="AA2468" s="589"/>
      <c r="AB2468" s="589"/>
      <c r="AC2468" s="589"/>
      <c r="AD2468" s="589"/>
      <c r="AE2468" s="589"/>
      <c r="AF2468" s="589"/>
      <c r="AG2468" s="589"/>
      <c r="AH2468" s="589"/>
      <c r="AI2468" s="589"/>
      <c r="AJ2468" s="589"/>
      <c r="AK2468" s="589"/>
      <c r="AL2468" s="589"/>
      <c r="AM2468" s="589"/>
      <c r="AN2468" s="589"/>
      <c r="AO2468" s="589"/>
      <c r="AP2468" s="589"/>
      <c r="AQ2468" s="589"/>
      <c r="AR2468" s="589"/>
      <c r="AS2468" s="589"/>
    </row>
    <row r="2469" spans="1:45" ht="15">
      <c r="A2469" s="590" t="s">
        <v>182</v>
      </c>
      <c r="B2469" s="591" t="s">
        <v>612</v>
      </c>
      <c r="C2469" s="591" t="s">
        <v>811</v>
      </c>
      <c r="D2469" s="592">
        <v>2019</v>
      </c>
      <c r="E2469" s="591" t="s">
        <v>775</v>
      </c>
      <c r="F2469" s="592">
        <v>308</v>
      </c>
      <c r="G2469" s="592">
        <v>0</v>
      </c>
      <c r="H2469" s="592">
        <v>0</v>
      </c>
      <c r="I2469" s="592">
        <v>0</v>
      </c>
      <c r="J2469" s="592">
        <v>215</v>
      </c>
      <c r="K2469" s="592">
        <v>0</v>
      </c>
      <c r="L2469" s="592">
        <v>0</v>
      </c>
      <c r="M2469" s="592">
        <v>0</v>
      </c>
      <c r="N2469" s="593">
        <v>231</v>
      </c>
      <c r="O2469" s="593">
        <v>0</v>
      </c>
      <c r="P2469" s="593">
        <v>726</v>
      </c>
      <c r="Q2469" s="593">
        <v>71</v>
      </c>
      <c r="R2469" s="593">
        <v>1480</v>
      </c>
      <c r="S2469" s="593">
        <v>71</v>
      </c>
      <c r="T2469" s="593">
        <v>2019</v>
      </c>
      <c r="U2469" s="593">
        <v>2016</v>
      </c>
      <c r="V2469" s="589"/>
      <c r="W2469" s="589"/>
      <c r="X2469" s="589"/>
      <c r="Y2469" s="589"/>
      <c r="Z2469" s="589"/>
      <c r="AA2469" s="589"/>
      <c r="AB2469" s="589"/>
      <c r="AC2469" s="589"/>
      <c r="AD2469" s="589"/>
      <c r="AE2469" s="589"/>
      <c r="AF2469" s="589"/>
      <c r="AG2469" s="589"/>
      <c r="AH2469" s="589"/>
      <c r="AI2469" s="589"/>
      <c r="AJ2469" s="589"/>
      <c r="AK2469" s="589"/>
      <c r="AL2469" s="589"/>
      <c r="AM2469" s="589"/>
      <c r="AN2469" s="589"/>
      <c r="AO2469" s="589"/>
      <c r="AP2469" s="589"/>
      <c r="AQ2469" s="589"/>
      <c r="AR2469" s="589"/>
      <c r="AS2469" s="589"/>
    </row>
    <row r="2470" spans="1:45" ht="15">
      <c r="A2470" s="587" t="s">
        <v>195</v>
      </c>
      <c r="B2470" s="587" t="s">
        <v>709</v>
      </c>
      <c r="C2470" s="587" t="s">
        <v>811</v>
      </c>
      <c r="D2470" s="588">
        <v>2019</v>
      </c>
      <c r="E2470" s="587" t="s">
        <v>775</v>
      </c>
      <c r="F2470" s="588">
        <v>321</v>
      </c>
      <c r="G2470" s="588">
        <v>0</v>
      </c>
      <c r="H2470" s="588">
        <v>0</v>
      </c>
      <c r="I2470" s="588">
        <v>0</v>
      </c>
      <c r="J2470" s="588">
        <v>206</v>
      </c>
      <c r="K2470" s="588">
        <v>0</v>
      </c>
      <c r="L2470" s="588">
        <v>0</v>
      </c>
      <c r="M2470" s="588">
        <v>0</v>
      </c>
      <c r="N2470" s="588">
        <v>217</v>
      </c>
      <c r="O2470" s="588">
        <v>0</v>
      </c>
      <c r="P2470" s="588">
        <v>536</v>
      </c>
      <c r="Q2470" s="588">
        <v>18</v>
      </c>
      <c r="R2470" s="588">
        <v>1280</v>
      </c>
      <c r="S2470" s="588">
        <v>18</v>
      </c>
      <c r="T2470" s="588">
        <v>2019</v>
      </c>
      <c r="U2470" s="588">
        <v>2016</v>
      </c>
      <c r="V2470" s="589"/>
      <c r="W2470" s="589"/>
      <c r="X2470" s="589"/>
      <c r="Y2470" s="589"/>
      <c r="Z2470" s="589"/>
      <c r="AA2470" s="589"/>
      <c r="AB2470" s="589"/>
      <c r="AC2470" s="589"/>
      <c r="AD2470" s="589"/>
      <c r="AE2470" s="589"/>
      <c r="AF2470" s="589"/>
      <c r="AG2470" s="589"/>
      <c r="AH2470" s="589"/>
      <c r="AI2470" s="589"/>
      <c r="AJ2470" s="589"/>
      <c r="AK2470" s="589"/>
      <c r="AL2470" s="589"/>
      <c r="AM2470" s="589"/>
      <c r="AN2470" s="589"/>
      <c r="AO2470" s="589"/>
      <c r="AP2470" s="589"/>
      <c r="AQ2470" s="589"/>
      <c r="AR2470" s="589"/>
      <c r="AS2470" s="589"/>
    </row>
    <row r="2471" spans="1:45" ht="15">
      <c r="A2471" s="590" t="s">
        <v>173</v>
      </c>
      <c r="B2471" s="591" t="s">
        <v>173</v>
      </c>
      <c r="C2471" s="591" t="s">
        <v>813</v>
      </c>
      <c r="D2471" s="592">
        <v>2019</v>
      </c>
      <c r="E2471" s="591" t="s">
        <v>775</v>
      </c>
      <c r="F2471" s="592">
        <v>2002</v>
      </c>
      <c r="G2471" s="592">
        <v>0</v>
      </c>
      <c r="H2471" s="592">
        <v>0</v>
      </c>
      <c r="I2471" s="592">
        <v>0</v>
      </c>
      <c r="J2471" s="592">
        <v>1336</v>
      </c>
      <c r="K2471" s="592">
        <v>0</v>
      </c>
      <c r="L2471" s="592">
        <v>0</v>
      </c>
      <c r="M2471" s="592">
        <v>0</v>
      </c>
      <c r="N2471" s="593">
        <v>1503</v>
      </c>
      <c r="O2471" s="593">
        <v>31</v>
      </c>
      <c r="P2471" s="593">
        <v>3442</v>
      </c>
      <c r="Q2471" s="593">
        <v>627</v>
      </c>
      <c r="R2471" s="593">
        <v>8283</v>
      </c>
      <c r="S2471" s="593">
        <v>658</v>
      </c>
      <c r="T2471" s="593">
        <v>2019</v>
      </c>
      <c r="U2471" s="593">
        <v>2014</v>
      </c>
      <c r="V2471" s="589"/>
      <c r="W2471" s="589"/>
      <c r="X2471" s="589"/>
      <c r="Y2471" s="589"/>
      <c r="Z2471" s="589"/>
      <c r="AA2471" s="589"/>
      <c r="AB2471" s="589"/>
      <c r="AC2471" s="589"/>
      <c r="AD2471" s="589"/>
      <c r="AE2471" s="589"/>
      <c r="AF2471" s="589"/>
      <c r="AG2471" s="589"/>
      <c r="AH2471" s="589"/>
      <c r="AI2471" s="589"/>
      <c r="AJ2471" s="589"/>
      <c r="AK2471" s="589"/>
      <c r="AL2471" s="589"/>
      <c r="AM2471" s="589"/>
      <c r="AN2471" s="589"/>
      <c r="AO2471" s="589"/>
      <c r="AP2471" s="589"/>
      <c r="AQ2471" s="589"/>
      <c r="AR2471" s="589"/>
      <c r="AS2471" s="589"/>
    </row>
    <row r="2472" spans="1:45" ht="15">
      <c r="A2472" s="587" t="s">
        <v>173</v>
      </c>
      <c r="B2472" s="587" t="s">
        <v>552</v>
      </c>
      <c r="C2472" s="587" t="s">
        <v>813</v>
      </c>
      <c r="D2472" s="588">
        <v>2019</v>
      </c>
      <c r="E2472" s="587" t="s">
        <v>775</v>
      </c>
      <c r="F2472" s="588">
        <v>7173</v>
      </c>
      <c r="G2472" s="588">
        <v>3</v>
      </c>
      <c r="H2472" s="588">
        <v>0</v>
      </c>
      <c r="I2472" s="588">
        <v>3</v>
      </c>
      <c r="J2472" s="588">
        <v>4871</v>
      </c>
      <c r="K2472" s="588">
        <v>0</v>
      </c>
      <c r="L2472" s="588">
        <v>0</v>
      </c>
      <c r="M2472" s="588">
        <v>0</v>
      </c>
      <c r="N2472" s="588">
        <v>5534</v>
      </c>
      <c r="O2472" s="588">
        <v>265</v>
      </c>
      <c r="P2472" s="588">
        <v>12725</v>
      </c>
      <c r="Q2472" s="588">
        <v>1765</v>
      </c>
      <c r="R2472" s="588">
        <v>30303</v>
      </c>
      <c r="S2472" s="588">
        <v>2033</v>
      </c>
      <c r="T2472" s="588">
        <v>2019</v>
      </c>
      <c r="U2472" s="588">
        <v>2014</v>
      </c>
      <c r="V2472" s="589"/>
      <c r="W2472" s="589"/>
      <c r="X2472" s="589"/>
      <c r="Y2472" s="589"/>
      <c r="Z2472" s="589"/>
      <c r="AA2472" s="589"/>
      <c r="AB2472" s="589"/>
      <c r="AC2472" s="589"/>
      <c r="AD2472" s="589"/>
      <c r="AE2472" s="589"/>
      <c r="AF2472" s="589"/>
      <c r="AG2472" s="589"/>
      <c r="AH2472" s="589"/>
      <c r="AI2472" s="589"/>
      <c r="AJ2472" s="589"/>
      <c r="AK2472" s="589"/>
      <c r="AL2472" s="589"/>
      <c r="AM2472" s="589"/>
      <c r="AN2472" s="589"/>
      <c r="AO2472" s="589"/>
      <c r="AP2472" s="589"/>
      <c r="AQ2472" s="589"/>
      <c r="AR2472" s="589"/>
      <c r="AS2472" s="589"/>
    </row>
    <row r="2473" spans="1:45" ht="15">
      <c r="A2473" s="590" t="s">
        <v>170</v>
      </c>
      <c r="B2473" s="591" t="s">
        <v>524</v>
      </c>
      <c r="C2473" s="591" t="s">
        <v>801</v>
      </c>
      <c r="D2473" s="592">
        <v>2019</v>
      </c>
      <c r="E2473" s="591" t="s">
        <v>775</v>
      </c>
      <c r="F2473" s="592">
        <v>1040</v>
      </c>
      <c r="G2473" s="592">
        <v>2</v>
      </c>
      <c r="H2473" s="592">
        <v>0</v>
      </c>
      <c r="I2473" s="592">
        <v>2</v>
      </c>
      <c r="J2473" s="592">
        <v>729</v>
      </c>
      <c r="K2473" s="592">
        <v>0</v>
      </c>
      <c r="L2473" s="592">
        <v>0</v>
      </c>
      <c r="M2473" s="592">
        <v>0</v>
      </c>
      <c r="N2473" s="593">
        <v>709</v>
      </c>
      <c r="O2473" s="593">
        <v>82</v>
      </c>
      <c r="P2473" s="593">
        <v>1335</v>
      </c>
      <c r="Q2473" s="593">
        <v>355</v>
      </c>
      <c r="R2473" s="593">
        <v>3813</v>
      </c>
      <c r="S2473" s="593">
        <v>439</v>
      </c>
      <c r="T2473" s="593">
        <v>2019</v>
      </c>
      <c r="U2473" s="593">
        <v>2014</v>
      </c>
      <c r="V2473" s="589"/>
      <c r="W2473" s="589"/>
      <c r="X2473" s="589"/>
      <c r="Y2473" s="589"/>
      <c r="Z2473" s="589"/>
      <c r="AA2473" s="589"/>
      <c r="AB2473" s="589"/>
      <c r="AC2473" s="589"/>
      <c r="AD2473" s="589"/>
      <c r="AE2473" s="589"/>
      <c r="AF2473" s="589"/>
      <c r="AG2473" s="589"/>
      <c r="AH2473" s="589"/>
      <c r="AI2473" s="589"/>
      <c r="AJ2473" s="589"/>
      <c r="AK2473" s="589"/>
      <c r="AL2473" s="589"/>
      <c r="AM2473" s="589"/>
      <c r="AN2473" s="589"/>
      <c r="AO2473" s="589"/>
      <c r="AP2473" s="589"/>
      <c r="AQ2473" s="589"/>
      <c r="AR2473" s="589"/>
      <c r="AS2473" s="589"/>
    </row>
    <row r="2474" spans="1:45" ht="15">
      <c r="A2474" s="587" t="s">
        <v>193</v>
      </c>
      <c r="B2474" s="587" t="s">
        <v>698</v>
      </c>
      <c r="C2474" s="587" t="s">
        <v>782</v>
      </c>
      <c r="D2474" s="588">
        <v>2019</v>
      </c>
      <c r="E2474" s="587" t="s">
        <v>775</v>
      </c>
      <c r="F2474" s="588">
        <v>181</v>
      </c>
      <c r="G2474" s="588">
        <v>7</v>
      </c>
      <c r="H2474" s="588">
        <v>7</v>
      </c>
      <c r="I2474" s="588">
        <v>0</v>
      </c>
      <c r="J2474" s="588">
        <v>107</v>
      </c>
      <c r="K2474" s="588">
        <v>0</v>
      </c>
      <c r="L2474" s="588">
        <v>0</v>
      </c>
      <c r="M2474" s="588">
        <v>0</v>
      </c>
      <c r="N2474" s="588">
        <v>127</v>
      </c>
      <c r="O2474" s="588">
        <v>0</v>
      </c>
      <c r="P2474" s="588">
        <v>484</v>
      </c>
      <c r="Q2474" s="588">
        <v>306</v>
      </c>
      <c r="R2474" s="588">
        <v>899</v>
      </c>
      <c r="S2474" s="588">
        <v>313</v>
      </c>
      <c r="T2474" s="588">
        <v>2019</v>
      </c>
      <c r="U2474" s="588">
        <v>2015</v>
      </c>
      <c r="V2474" s="589"/>
      <c r="W2474" s="589"/>
      <c r="X2474" s="589"/>
      <c r="Y2474" s="589"/>
      <c r="Z2474" s="589"/>
      <c r="AA2474" s="589"/>
      <c r="AB2474" s="589"/>
      <c r="AC2474" s="589"/>
      <c r="AD2474" s="589"/>
      <c r="AE2474" s="589"/>
      <c r="AF2474" s="589"/>
      <c r="AG2474" s="589"/>
      <c r="AH2474" s="589"/>
      <c r="AI2474" s="589"/>
      <c r="AJ2474" s="589"/>
      <c r="AK2474" s="589"/>
      <c r="AL2474" s="589"/>
      <c r="AM2474" s="589"/>
      <c r="AN2474" s="589"/>
      <c r="AO2474" s="589"/>
      <c r="AP2474" s="589"/>
      <c r="AQ2474" s="589"/>
      <c r="AR2474" s="589"/>
      <c r="AS2474" s="589"/>
    </row>
    <row r="2475" spans="1:45" ht="15">
      <c r="A2475" s="590" t="s">
        <v>153</v>
      </c>
      <c r="B2475" s="591" t="s">
        <v>412</v>
      </c>
      <c r="C2475" s="591" t="s">
        <v>813</v>
      </c>
      <c r="D2475" s="592">
        <v>2019</v>
      </c>
      <c r="E2475" s="591" t="s">
        <v>775</v>
      </c>
      <c r="F2475" s="592">
        <v>1</v>
      </c>
      <c r="G2475" s="592">
        <v>0</v>
      </c>
      <c r="H2475" s="592">
        <v>0</v>
      </c>
      <c r="I2475" s="592">
        <v>0</v>
      </c>
      <c r="J2475" s="592">
        <v>1</v>
      </c>
      <c r="K2475" s="592">
        <v>0</v>
      </c>
      <c r="L2475" s="592">
        <v>0</v>
      </c>
      <c r="M2475" s="592">
        <v>0</v>
      </c>
      <c r="N2475" s="593">
        <v>1</v>
      </c>
      <c r="O2475" s="593">
        <v>1</v>
      </c>
      <c r="P2475" s="593">
        <v>2</v>
      </c>
      <c r="Q2475" s="593">
        <v>104</v>
      </c>
      <c r="R2475" s="593">
        <v>5</v>
      </c>
      <c r="S2475" s="593">
        <v>105</v>
      </c>
      <c r="T2475" s="593">
        <v>2019</v>
      </c>
      <c r="U2475" s="593">
        <v>2014</v>
      </c>
      <c r="V2475" s="589"/>
      <c r="W2475" s="589"/>
      <c r="X2475" s="589"/>
      <c r="Y2475" s="589"/>
      <c r="Z2475" s="589"/>
      <c r="AA2475" s="589"/>
      <c r="AB2475" s="589"/>
      <c r="AC2475" s="589"/>
      <c r="AD2475" s="589"/>
      <c r="AE2475" s="589"/>
      <c r="AF2475" s="589"/>
      <c r="AG2475" s="589"/>
      <c r="AH2475" s="589"/>
      <c r="AI2475" s="589"/>
      <c r="AJ2475" s="589"/>
      <c r="AK2475" s="589"/>
      <c r="AL2475" s="589"/>
      <c r="AM2475" s="589"/>
      <c r="AN2475" s="589"/>
      <c r="AO2475" s="589"/>
      <c r="AP2475" s="589"/>
      <c r="AQ2475" s="589"/>
      <c r="AR2475" s="589"/>
      <c r="AS2475" s="589"/>
    </row>
    <row r="2476" spans="1:45" ht="15">
      <c r="A2476" s="587" t="s">
        <v>153</v>
      </c>
      <c r="B2476" s="587" t="s">
        <v>413</v>
      </c>
      <c r="C2476" s="587" t="s">
        <v>813</v>
      </c>
      <c r="D2476" s="588">
        <v>2019</v>
      </c>
      <c r="E2476" s="587" t="s">
        <v>775</v>
      </c>
      <c r="F2476" s="588">
        <v>153</v>
      </c>
      <c r="G2476" s="588">
        <v>0</v>
      </c>
      <c r="H2476" s="588">
        <v>0</v>
      </c>
      <c r="I2476" s="588">
        <v>0</v>
      </c>
      <c r="J2476" s="588">
        <v>88</v>
      </c>
      <c r="K2476" s="588">
        <v>0</v>
      </c>
      <c r="L2476" s="588">
        <v>0</v>
      </c>
      <c r="M2476" s="588">
        <v>0</v>
      </c>
      <c r="N2476" s="588">
        <v>99</v>
      </c>
      <c r="O2476" s="588">
        <v>0</v>
      </c>
      <c r="P2476" s="588">
        <v>262</v>
      </c>
      <c r="Q2476" s="588">
        <v>66</v>
      </c>
      <c r="R2476" s="588">
        <v>602</v>
      </c>
      <c r="S2476" s="588">
        <v>66</v>
      </c>
      <c r="T2476" s="588">
        <v>2019</v>
      </c>
      <c r="U2476" s="588">
        <v>2014</v>
      </c>
      <c r="V2476" s="589"/>
      <c r="W2476" s="589"/>
      <c r="X2476" s="589"/>
      <c r="Y2476" s="589"/>
      <c r="Z2476" s="589"/>
      <c r="AA2476" s="589"/>
      <c r="AB2476" s="589"/>
      <c r="AC2476" s="589"/>
      <c r="AD2476" s="589"/>
      <c r="AE2476" s="589"/>
      <c r="AF2476" s="589"/>
      <c r="AG2476" s="589"/>
      <c r="AH2476" s="589"/>
      <c r="AI2476" s="589"/>
      <c r="AJ2476" s="589"/>
      <c r="AK2476" s="589"/>
      <c r="AL2476" s="589"/>
      <c r="AM2476" s="589"/>
      <c r="AN2476" s="589"/>
      <c r="AO2476" s="589"/>
      <c r="AP2476" s="589"/>
      <c r="AQ2476" s="589"/>
      <c r="AR2476" s="589"/>
      <c r="AS2476" s="589"/>
    </row>
    <row r="2477" spans="1:45" ht="15">
      <c r="A2477" s="590" t="s">
        <v>170</v>
      </c>
      <c r="B2477" s="591" t="s">
        <v>525</v>
      </c>
      <c r="C2477" s="591" t="s">
        <v>801</v>
      </c>
      <c r="D2477" s="592">
        <v>2019</v>
      </c>
      <c r="E2477" s="591" t="s">
        <v>775</v>
      </c>
      <c r="F2477" s="592">
        <v>2268</v>
      </c>
      <c r="G2477" s="592">
        <v>43</v>
      </c>
      <c r="H2477" s="592">
        <v>43</v>
      </c>
      <c r="I2477" s="592">
        <v>0</v>
      </c>
      <c r="J2477" s="592">
        <v>1590</v>
      </c>
      <c r="K2477" s="592">
        <v>25</v>
      </c>
      <c r="L2477" s="592">
        <v>20</v>
      </c>
      <c r="M2477" s="592">
        <v>5</v>
      </c>
      <c r="N2477" s="593">
        <v>1577</v>
      </c>
      <c r="O2477" s="593">
        <v>474</v>
      </c>
      <c r="P2477" s="593">
        <v>3043</v>
      </c>
      <c r="Q2477" s="593">
        <v>500</v>
      </c>
      <c r="R2477" s="593">
        <v>8478</v>
      </c>
      <c r="S2477" s="593">
        <v>1042</v>
      </c>
      <c r="T2477" s="593">
        <v>2019</v>
      </c>
      <c r="U2477" s="593">
        <v>2014</v>
      </c>
      <c r="V2477" s="589"/>
      <c r="W2477" s="589"/>
      <c r="X2477" s="589"/>
      <c r="Y2477" s="589"/>
      <c r="Z2477" s="589"/>
      <c r="AA2477" s="589"/>
      <c r="AB2477" s="589"/>
      <c r="AC2477" s="589"/>
      <c r="AD2477" s="589"/>
      <c r="AE2477" s="589"/>
      <c r="AF2477" s="589"/>
      <c r="AG2477" s="589"/>
      <c r="AH2477" s="589"/>
      <c r="AI2477" s="589"/>
      <c r="AJ2477" s="589"/>
      <c r="AK2477" s="589"/>
      <c r="AL2477" s="589"/>
      <c r="AM2477" s="589"/>
      <c r="AN2477" s="589"/>
      <c r="AO2477" s="589"/>
      <c r="AP2477" s="589"/>
      <c r="AQ2477" s="589"/>
      <c r="AR2477" s="589"/>
      <c r="AS2477" s="589"/>
    </row>
    <row r="2478" spans="1:45" ht="15">
      <c r="A2478" s="587" t="s">
        <v>157</v>
      </c>
      <c r="B2478" s="587" t="s">
        <v>443</v>
      </c>
      <c r="C2478" s="587" t="s">
        <v>782</v>
      </c>
      <c r="D2478" s="588">
        <v>2019</v>
      </c>
      <c r="E2478" s="587" t="s">
        <v>775</v>
      </c>
      <c r="F2478" s="588">
        <v>6</v>
      </c>
      <c r="G2478" s="588">
        <v>1</v>
      </c>
      <c r="H2478" s="588">
        <v>1</v>
      </c>
      <c r="I2478" s="588">
        <v>0</v>
      </c>
      <c r="J2478" s="588">
        <v>4</v>
      </c>
      <c r="K2478" s="588">
        <v>2</v>
      </c>
      <c r="L2478" s="588">
        <v>0</v>
      </c>
      <c r="M2478" s="588">
        <v>2</v>
      </c>
      <c r="N2478" s="588">
        <v>4</v>
      </c>
      <c r="O2478" s="588">
        <v>2</v>
      </c>
      <c r="P2478" s="588">
        <v>4</v>
      </c>
      <c r="Q2478" s="588">
        <v>0</v>
      </c>
      <c r="R2478" s="588">
        <v>18</v>
      </c>
      <c r="S2478" s="588">
        <v>5</v>
      </c>
      <c r="T2478" s="588">
        <v>2019</v>
      </c>
      <c r="U2478" s="588">
        <v>2015</v>
      </c>
      <c r="V2478" s="589"/>
      <c r="W2478" s="589"/>
      <c r="X2478" s="589"/>
      <c r="Y2478" s="589"/>
      <c r="Z2478" s="589"/>
      <c r="AA2478" s="589"/>
      <c r="AB2478" s="589"/>
      <c r="AC2478" s="589"/>
      <c r="AD2478" s="589"/>
      <c r="AE2478" s="589"/>
      <c r="AF2478" s="589"/>
      <c r="AG2478" s="589"/>
      <c r="AH2478" s="589"/>
      <c r="AI2478" s="589"/>
      <c r="AJ2478" s="589"/>
      <c r="AK2478" s="589"/>
      <c r="AL2478" s="589"/>
      <c r="AM2478" s="589"/>
      <c r="AN2478" s="589"/>
      <c r="AO2478" s="589"/>
      <c r="AP2478" s="589"/>
      <c r="AQ2478" s="589"/>
      <c r="AR2478" s="589"/>
      <c r="AS2478" s="589"/>
    </row>
    <row r="2479" spans="1:45" ht="15">
      <c r="A2479" s="590" t="s">
        <v>174</v>
      </c>
      <c r="B2479" s="591" t="s">
        <v>174</v>
      </c>
      <c r="C2479" s="591" t="s">
        <v>801</v>
      </c>
      <c r="D2479" s="592">
        <v>2019</v>
      </c>
      <c r="E2479" s="591" t="s">
        <v>775</v>
      </c>
      <c r="F2479" s="592">
        <v>4944</v>
      </c>
      <c r="G2479" s="592">
        <v>47</v>
      </c>
      <c r="H2479" s="592">
        <v>10</v>
      </c>
      <c r="I2479" s="592">
        <v>37</v>
      </c>
      <c r="J2479" s="592">
        <v>3467</v>
      </c>
      <c r="K2479" s="592">
        <v>59</v>
      </c>
      <c r="L2479" s="592">
        <v>7</v>
      </c>
      <c r="M2479" s="592">
        <v>52</v>
      </c>
      <c r="N2479" s="593">
        <v>4482</v>
      </c>
      <c r="O2479" s="593">
        <v>1924</v>
      </c>
      <c r="P2479" s="593">
        <v>11208</v>
      </c>
      <c r="Q2479" s="593">
        <v>1046</v>
      </c>
      <c r="R2479" s="593">
        <v>24101</v>
      </c>
      <c r="S2479" s="593">
        <v>3076</v>
      </c>
      <c r="T2479" s="593">
        <v>2019</v>
      </c>
      <c r="U2479" s="593">
        <v>2014</v>
      </c>
      <c r="V2479" s="589"/>
      <c r="W2479" s="589"/>
      <c r="X2479" s="589"/>
      <c r="Y2479" s="589"/>
      <c r="Z2479" s="589"/>
      <c r="AA2479" s="589"/>
      <c r="AB2479" s="589"/>
      <c r="AC2479" s="589"/>
      <c r="AD2479" s="589"/>
      <c r="AE2479" s="589"/>
      <c r="AF2479" s="589"/>
      <c r="AG2479" s="589"/>
      <c r="AH2479" s="589"/>
      <c r="AI2479" s="589"/>
      <c r="AJ2479" s="589"/>
      <c r="AK2479" s="589"/>
      <c r="AL2479" s="589"/>
      <c r="AM2479" s="589"/>
      <c r="AN2479" s="589"/>
      <c r="AO2479" s="589"/>
      <c r="AP2479" s="589"/>
      <c r="AQ2479" s="589"/>
      <c r="AR2479" s="589"/>
      <c r="AS2479" s="589"/>
    </row>
    <row r="2480" spans="1:45" ht="15">
      <c r="A2480" s="587" t="s">
        <v>174</v>
      </c>
      <c r="B2480" s="587" t="s">
        <v>562</v>
      </c>
      <c r="C2480" s="587" t="s">
        <v>801</v>
      </c>
      <c r="D2480" s="588">
        <v>2019</v>
      </c>
      <c r="E2480" s="587" t="s">
        <v>775</v>
      </c>
      <c r="F2480" s="588">
        <v>3149</v>
      </c>
      <c r="G2480" s="588">
        <v>57</v>
      </c>
      <c r="H2480" s="588">
        <v>57</v>
      </c>
      <c r="I2480" s="588">
        <v>0</v>
      </c>
      <c r="J2480" s="588">
        <v>2208</v>
      </c>
      <c r="K2480" s="588">
        <v>26</v>
      </c>
      <c r="L2480" s="588">
        <v>26</v>
      </c>
      <c r="M2480" s="588">
        <v>0</v>
      </c>
      <c r="N2480" s="588">
        <v>2574</v>
      </c>
      <c r="O2480" s="588">
        <v>242</v>
      </c>
      <c r="P2480" s="588">
        <v>5913</v>
      </c>
      <c r="Q2480" s="588">
        <v>295</v>
      </c>
      <c r="R2480" s="588">
        <v>13844</v>
      </c>
      <c r="S2480" s="588">
        <v>620</v>
      </c>
      <c r="T2480" s="588">
        <v>2019</v>
      </c>
      <c r="U2480" s="588">
        <v>2014</v>
      </c>
      <c r="V2480" s="589"/>
      <c r="W2480" s="589"/>
      <c r="X2480" s="589"/>
      <c r="Y2480" s="589"/>
      <c r="Z2480" s="589"/>
      <c r="AA2480" s="589"/>
      <c r="AB2480" s="589"/>
      <c r="AC2480" s="589"/>
      <c r="AD2480" s="589"/>
      <c r="AE2480" s="589"/>
      <c r="AF2480" s="589"/>
      <c r="AG2480" s="589"/>
      <c r="AH2480" s="589"/>
      <c r="AI2480" s="589"/>
      <c r="AJ2480" s="589"/>
      <c r="AK2480" s="589"/>
      <c r="AL2480" s="589"/>
      <c r="AM2480" s="589"/>
      <c r="AN2480" s="589"/>
      <c r="AO2480" s="589"/>
      <c r="AP2480" s="589"/>
      <c r="AQ2480" s="589"/>
      <c r="AR2480" s="589"/>
      <c r="AS2480" s="589"/>
    </row>
    <row r="2481" spans="1:45" ht="15">
      <c r="A2481" s="590" t="s">
        <v>166</v>
      </c>
      <c r="B2481" s="591" t="s">
        <v>479</v>
      </c>
      <c r="C2481" s="591" t="s">
        <v>782</v>
      </c>
      <c r="D2481" s="592">
        <v>2019</v>
      </c>
      <c r="E2481" s="591" t="s">
        <v>775</v>
      </c>
      <c r="F2481" s="592">
        <v>8</v>
      </c>
      <c r="G2481" s="592">
        <v>2</v>
      </c>
      <c r="H2481" s="592">
        <v>2</v>
      </c>
      <c r="I2481" s="592">
        <v>0</v>
      </c>
      <c r="J2481" s="592">
        <v>5</v>
      </c>
      <c r="K2481" s="592">
        <v>6</v>
      </c>
      <c r="L2481" s="592">
        <v>6</v>
      </c>
      <c r="M2481" s="592">
        <v>0</v>
      </c>
      <c r="N2481" s="593">
        <v>5</v>
      </c>
      <c r="O2481" s="593">
        <v>0</v>
      </c>
      <c r="P2481" s="593">
        <v>13</v>
      </c>
      <c r="Q2481" s="593">
        <v>4</v>
      </c>
      <c r="R2481" s="593">
        <v>31</v>
      </c>
      <c r="S2481" s="593">
        <v>12</v>
      </c>
      <c r="T2481" s="593">
        <v>2019</v>
      </c>
      <c r="U2481" s="593">
        <v>2015</v>
      </c>
      <c r="V2481" s="589"/>
      <c r="W2481" s="589"/>
      <c r="X2481" s="589"/>
      <c r="Y2481" s="589"/>
      <c r="Z2481" s="589"/>
      <c r="AA2481" s="589"/>
      <c r="AB2481" s="589"/>
      <c r="AC2481" s="589"/>
      <c r="AD2481" s="589"/>
      <c r="AE2481" s="589"/>
      <c r="AF2481" s="589"/>
      <c r="AG2481" s="589"/>
      <c r="AH2481" s="589"/>
      <c r="AI2481" s="589"/>
      <c r="AJ2481" s="589"/>
      <c r="AK2481" s="589"/>
      <c r="AL2481" s="589"/>
      <c r="AM2481" s="589"/>
      <c r="AN2481" s="589"/>
      <c r="AO2481" s="589"/>
      <c r="AP2481" s="589"/>
      <c r="AQ2481" s="589"/>
      <c r="AR2481" s="589"/>
      <c r="AS2481" s="589"/>
    </row>
    <row r="2482" spans="1:45" ht="15">
      <c r="A2482" s="587" t="s">
        <v>164</v>
      </c>
      <c r="B2482" s="587" t="s">
        <v>472</v>
      </c>
      <c r="C2482" s="587" t="s">
        <v>811</v>
      </c>
      <c r="D2482" s="588">
        <v>2019</v>
      </c>
      <c r="E2482" s="587" t="s">
        <v>775</v>
      </c>
      <c r="F2482" s="588">
        <v>537</v>
      </c>
      <c r="G2482" s="588">
        <v>0</v>
      </c>
      <c r="H2482" s="588">
        <v>0</v>
      </c>
      <c r="I2482" s="588">
        <v>0</v>
      </c>
      <c r="J2482" s="588">
        <v>351</v>
      </c>
      <c r="K2482" s="588">
        <v>8</v>
      </c>
      <c r="L2482" s="588">
        <v>8</v>
      </c>
      <c r="M2482" s="588">
        <v>0</v>
      </c>
      <c r="N2482" s="588">
        <v>407</v>
      </c>
      <c r="O2482" s="588">
        <v>0</v>
      </c>
      <c r="P2482" s="588">
        <v>934</v>
      </c>
      <c r="Q2482" s="588">
        <v>100</v>
      </c>
      <c r="R2482" s="588">
        <v>2229</v>
      </c>
      <c r="S2482" s="588">
        <v>108</v>
      </c>
      <c r="T2482" s="588">
        <v>2019</v>
      </c>
      <c r="U2482" s="588">
        <v>2016</v>
      </c>
      <c r="V2482" s="589"/>
      <c r="W2482" s="589"/>
      <c r="X2482" s="589"/>
      <c r="Y2482" s="589"/>
      <c r="Z2482" s="589"/>
      <c r="AA2482" s="589"/>
      <c r="AB2482" s="589"/>
      <c r="AC2482" s="589"/>
      <c r="AD2482" s="589"/>
      <c r="AE2482" s="589"/>
      <c r="AF2482" s="589"/>
      <c r="AG2482" s="589"/>
      <c r="AH2482" s="589"/>
      <c r="AI2482" s="589"/>
      <c r="AJ2482" s="589"/>
      <c r="AK2482" s="589"/>
      <c r="AL2482" s="589"/>
      <c r="AM2482" s="589"/>
      <c r="AN2482" s="589"/>
      <c r="AO2482" s="589"/>
      <c r="AP2482" s="589"/>
      <c r="AQ2482" s="589"/>
      <c r="AR2482" s="589"/>
      <c r="AS2482" s="589"/>
    </row>
    <row r="2483" spans="1:45" ht="15">
      <c r="A2483" s="590" t="s">
        <v>157</v>
      </c>
      <c r="B2483" s="591" t="s">
        <v>444</v>
      </c>
      <c r="C2483" s="591" t="s">
        <v>782</v>
      </c>
      <c r="D2483" s="592">
        <v>2019</v>
      </c>
      <c r="E2483" s="591" t="s">
        <v>775</v>
      </c>
      <c r="F2483" s="592">
        <v>33</v>
      </c>
      <c r="G2483" s="592">
        <v>0</v>
      </c>
      <c r="H2483" s="592">
        <v>0</v>
      </c>
      <c r="I2483" s="592">
        <v>0</v>
      </c>
      <c r="J2483" s="592">
        <v>17</v>
      </c>
      <c r="K2483" s="592">
        <v>0</v>
      </c>
      <c r="L2483" s="592">
        <v>0</v>
      </c>
      <c r="M2483" s="592">
        <v>0</v>
      </c>
      <c r="N2483" s="593">
        <v>19</v>
      </c>
      <c r="O2483" s="593">
        <v>7</v>
      </c>
      <c r="P2483" s="593">
        <v>37</v>
      </c>
      <c r="Q2483" s="593">
        <v>3</v>
      </c>
      <c r="R2483" s="593">
        <v>106</v>
      </c>
      <c r="S2483" s="593">
        <v>10</v>
      </c>
      <c r="T2483" s="593">
        <v>2019</v>
      </c>
      <c r="U2483" s="593">
        <v>2015</v>
      </c>
      <c r="V2483" s="589"/>
      <c r="W2483" s="589"/>
      <c r="X2483" s="589"/>
      <c r="Y2483" s="589"/>
      <c r="Z2483" s="589"/>
      <c r="AA2483" s="589"/>
      <c r="AB2483" s="589"/>
      <c r="AC2483" s="589"/>
      <c r="AD2483" s="589"/>
      <c r="AE2483" s="589"/>
      <c r="AF2483" s="589"/>
      <c r="AG2483" s="589"/>
      <c r="AH2483" s="589"/>
      <c r="AI2483" s="589"/>
      <c r="AJ2483" s="589"/>
      <c r="AK2483" s="589"/>
      <c r="AL2483" s="589"/>
      <c r="AM2483" s="589"/>
      <c r="AN2483" s="589"/>
      <c r="AO2483" s="589"/>
      <c r="AP2483" s="589"/>
      <c r="AQ2483" s="589"/>
      <c r="AR2483" s="589"/>
      <c r="AS2483" s="589"/>
    </row>
    <row r="2484" spans="1:45" ht="15">
      <c r="A2484" s="587" t="s">
        <v>176</v>
      </c>
      <c r="B2484" s="587" t="s">
        <v>564</v>
      </c>
      <c r="C2484" s="587" t="s">
        <v>811</v>
      </c>
      <c r="D2484" s="588">
        <v>2019</v>
      </c>
      <c r="E2484" s="587" t="s">
        <v>775</v>
      </c>
      <c r="F2484" s="588">
        <v>198</v>
      </c>
      <c r="G2484" s="588">
        <v>0</v>
      </c>
      <c r="H2484" s="588">
        <v>0</v>
      </c>
      <c r="I2484" s="588">
        <v>0</v>
      </c>
      <c r="J2484" s="588">
        <v>120</v>
      </c>
      <c r="K2484" s="588">
        <v>0</v>
      </c>
      <c r="L2484" s="588">
        <v>0</v>
      </c>
      <c r="M2484" s="588">
        <v>0</v>
      </c>
      <c r="N2484" s="588">
        <v>164</v>
      </c>
      <c r="O2484" s="588">
        <v>0</v>
      </c>
      <c r="P2484" s="588">
        <v>355</v>
      </c>
      <c r="Q2484" s="588">
        <v>213</v>
      </c>
      <c r="R2484" s="588">
        <v>837</v>
      </c>
      <c r="S2484" s="588">
        <v>213</v>
      </c>
      <c r="T2484" s="588">
        <v>2019</v>
      </c>
      <c r="U2484" s="588">
        <v>2016</v>
      </c>
      <c r="V2484" s="589"/>
      <c r="W2484" s="589"/>
      <c r="X2484" s="589"/>
      <c r="Y2484" s="589"/>
      <c r="Z2484" s="589"/>
      <c r="AA2484" s="589"/>
      <c r="AB2484" s="589"/>
      <c r="AC2484" s="589"/>
      <c r="AD2484" s="589"/>
      <c r="AE2484" s="589"/>
      <c r="AF2484" s="589"/>
      <c r="AG2484" s="589"/>
      <c r="AH2484" s="589"/>
      <c r="AI2484" s="589"/>
      <c r="AJ2484" s="589"/>
      <c r="AK2484" s="589"/>
      <c r="AL2484" s="589"/>
      <c r="AM2484" s="589"/>
      <c r="AN2484" s="589"/>
      <c r="AO2484" s="589"/>
      <c r="AP2484" s="589"/>
      <c r="AQ2484" s="589"/>
      <c r="AR2484" s="589"/>
      <c r="AS2484" s="589"/>
    </row>
    <row r="2485" spans="1:45" ht="15">
      <c r="A2485" s="590" t="s">
        <v>178</v>
      </c>
      <c r="B2485" s="591" t="s">
        <v>584</v>
      </c>
      <c r="C2485" s="591" t="s">
        <v>813</v>
      </c>
      <c r="D2485" s="592">
        <v>2019</v>
      </c>
      <c r="E2485" s="591" t="s">
        <v>775</v>
      </c>
      <c r="F2485" s="592">
        <v>9</v>
      </c>
      <c r="G2485" s="592">
        <v>1</v>
      </c>
      <c r="H2485" s="592">
        <v>0</v>
      </c>
      <c r="I2485" s="592">
        <v>1</v>
      </c>
      <c r="J2485" s="592">
        <v>6</v>
      </c>
      <c r="K2485" s="592">
        <v>51</v>
      </c>
      <c r="L2485" s="592">
        <v>0</v>
      </c>
      <c r="M2485" s="592">
        <v>51</v>
      </c>
      <c r="N2485" s="593">
        <v>7</v>
      </c>
      <c r="O2485" s="593">
        <v>99</v>
      </c>
      <c r="P2485" s="593">
        <v>17</v>
      </c>
      <c r="Q2485" s="593">
        <v>289</v>
      </c>
      <c r="R2485" s="593">
        <v>39</v>
      </c>
      <c r="S2485" s="593">
        <v>440</v>
      </c>
      <c r="T2485" s="593">
        <v>2019</v>
      </c>
      <c r="U2485" s="593">
        <v>2014</v>
      </c>
      <c r="V2485" s="589"/>
      <c r="W2485" s="589"/>
      <c r="X2485" s="589"/>
      <c r="Y2485" s="589"/>
      <c r="Z2485" s="589"/>
      <c r="AA2485" s="589"/>
      <c r="AB2485" s="589"/>
      <c r="AC2485" s="589"/>
      <c r="AD2485" s="589"/>
      <c r="AE2485" s="589"/>
      <c r="AF2485" s="589"/>
      <c r="AG2485" s="589"/>
      <c r="AH2485" s="589"/>
      <c r="AI2485" s="589"/>
      <c r="AJ2485" s="589"/>
      <c r="AK2485" s="589"/>
      <c r="AL2485" s="589"/>
      <c r="AM2485" s="589"/>
      <c r="AN2485" s="589"/>
      <c r="AO2485" s="589"/>
      <c r="AP2485" s="589"/>
      <c r="AQ2485" s="589"/>
      <c r="AR2485" s="589"/>
      <c r="AS2485" s="589"/>
    </row>
    <row r="2486" spans="1:45" ht="15">
      <c r="A2486" s="587" t="s">
        <v>184</v>
      </c>
      <c r="B2486" s="587" t="s">
        <v>638</v>
      </c>
      <c r="C2486" s="587" t="s">
        <v>782</v>
      </c>
      <c r="D2486" s="588">
        <v>2019</v>
      </c>
      <c r="E2486" s="587" t="s">
        <v>775</v>
      </c>
      <c r="F2486" s="588">
        <v>358</v>
      </c>
      <c r="G2486" s="588">
        <v>0</v>
      </c>
      <c r="H2486" s="588">
        <v>0</v>
      </c>
      <c r="I2486" s="588">
        <v>0</v>
      </c>
      <c r="J2486" s="588">
        <v>161</v>
      </c>
      <c r="K2486" s="588">
        <v>42</v>
      </c>
      <c r="L2486" s="588">
        <v>6</v>
      </c>
      <c r="M2486" s="588">
        <v>36</v>
      </c>
      <c r="N2486" s="588">
        <v>205</v>
      </c>
      <c r="O2486" s="588">
        <v>5</v>
      </c>
      <c r="P2486" s="588">
        <v>431</v>
      </c>
      <c r="Q2486" s="588">
        <v>2</v>
      </c>
      <c r="R2486" s="588">
        <v>1155</v>
      </c>
      <c r="S2486" s="588">
        <v>49</v>
      </c>
      <c r="T2486" s="588">
        <v>2019</v>
      </c>
      <c r="U2486" s="588">
        <v>2015</v>
      </c>
      <c r="V2486" s="589"/>
      <c r="W2486" s="589"/>
      <c r="X2486" s="589"/>
      <c r="Y2486" s="589"/>
      <c r="Z2486" s="589"/>
      <c r="AA2486" s="589"/>
      <c r="AB2486" s="589"/>
      <c r="AC2486" s="589"/>
      <c r="AD2486" s="589"/>
      <c r="AE2486" s="589"/>
      <c r="AF2486" s="589"/>
      <c r="AG2486" s="589"/>
      <c r="AH2486" s="589"/>
      <c r="AI2486" s="589"/>
      <c r="AJ2486" s="589"/>
      <c r="AK2486" s="589"/>
      <c r="AL2486" s="589"/>
      <c r="AM2486" s="589"/>
      <c r="AN2486" s="589"/>
      <c r="AO2486" s="589"/>
      <c r="AP2486" s="589"/>
      <c r="AQ2486" s="589"/>
      <c r="AR2486" s="589"/>
      <c r="AS2486" s="589"/>
    </row>
    <row r="2487" spans="1:45" ht="15">
      <c r="A2487" s="590" t="s">
        <v>201</v>
      </c>
      <c r="B2487" s="591" t="s">
        <v>736</v>
      </c>
      <c r="C2487" s="591" t="s">
        <v>813</v>
      </c>
      <c r="D2487" s="592">
        <v>2019</v>
      </c>
      <c r="E2487" s="591" t="s">
        <v>775</v>
      </c>
      <c r="F2487" s="592">
        <v>861</v>
      </c>
      <c r="G2487" s="592">
        <v>0</v>
      </c>
      <c r="H2487" s="592">
        <v>0</v>
      </c>
      <c r="I2487" s="592">
        <v>0</v>
      </c>
      <c r="J2487" s="592">
        <v>591</v>
      </c>
      <c r="K2487" s="592">
        <v>0</v>
      </c>
      <c r="L2487" s="592">
        <v>0</v>
      </c>
      <c r="M2487" s="592">
        <v>0</v>
      </c>
      <c r="N2487" s="593">
        <v>673</v>
      </c>
      <c r="O2487" s="593">
        <v>0</v>
      </c>
      <c r="P2487" s="593">
        <v>1529</v>
      </c>
      <c r="Q2487" s="593">
        <v>280</v>
      </c>
      <c r="R2487" s="593">
        <v>3654</v>
      </c>
      <c r="S2487" s="593">
        <v>280</v>
      </c>
      <c r="T2487" s="593">
        <v>2019</v>
      </c>
      <c r="U2487" s="593">
        <v>2014</v>
      </c>
      <c r="V2487" s="589"/>
      <c r="W2487" s="589"/>
      <c r="X2487" s="589"/>
      <c r="Y2487" s="589"/>
      <c r="Z2487" s="589"/>
      <c r="AA2487" s="589"/>
      <c r="AB2487" s="589"/>
      <c r="AC2487" s="589"/>
      <c r="AD2487" s="589"/>
      <c r="AE2487" s="589"/>
      <c r="AF2487" s="589"/>
      <c r="AG2487" s="589"/>
      <c r="AH2487" s="589"/>
      <c r="AI2487" s="589"/>
      <c r="AJ2487" s="589"/>
      <c r="AK2487" s="589"/>
      <c r="AL2487" s="589"/>
      <c r="AM2487" s="589"/>
      <c r="AN2487" s="589"/>
      <c r="AO2487" s="589"/>
      <c r="AP2487" s="589"/>
      <c r="AQ2487" s="589"/>
      <c r="AR2487" s="589"/>
      <c r="AS2487" s="589"/>
    </row>
    <row r="2488" spans="1:45" ht="15">
      <c r="A2488" s="587" t="s">
        <v>184</v>
      </c>
      <c r="B2488" s="587" t="s">
        <v>639</v>
      </c>
      <c r="C2488" s="587" t="s">
        <v>782</v>
      </c>
      <c r="D2488" s="588">
        <v>2019</v>
      </c>
      <c r="E2488" s="587" t="s">
        <v>775</v>
      </c>
      <c r="F2488" s="588">
        <v>195</v>
      </c>
      <c r="G2488" s="588">
        <v>0</v>
      </c>
      <c r="H2488" s="588">
        <v>0</v>
      </c>
      <c r="I2488" s="588">
        <v>0</v>
      </c>
      <c r="J2488" s="588">
        <v>107</v>
      </c>
      <c r="K2488" s="588">
        <v>1</v>
      </c>
      <c r="L2488" s="588">
        <v>1</v>
      </c>
      <c r="M2488" s="588">
        <v>0</v>
      </c>
      <c r="N2488" s="588">
        <v>111</v>
      </c>
      <c r="O2488" s="588">
        <v>2</v>
      </c>
      <c r="P2488" s="588">
        <v>183</v>
      </c>
      <c r="Q2488" s="588">
        <v>52</v>
      </c>
      <c r="R2488" s="588">
        <v>596</v>
      </c>
      <c r="S2488" s="588">
        <v>55</v>
      </c>
      <c r="T2488" s="588">
        <v>2019</v>
      </c>
      <c r="U2488" s="588">
        <v>2015</v>
      </c>
      <c r="V2488" s="589"/>
      <c r="W2488" s="589"/>
      <c r="X2488" s="589"/>
      <c r="Y2488" s="589"/>
      <c r="Z2488" s="589"/>
      <c r="AA2488" s="589"/>
      <c r="AB2488" s="589"/>
      <c r="AC2488" s="589"/>
      <c r="AD2488" s="589"/>
      <c r="AE2488" s="589"/>
      <c r="AF2488" s="589"/>
      <c r="AG2488" s="589"/>
      <c r="AH2488" s="589"/>
      <c r="AI2488" s="589"/>
      <c r="AJ2488" s="589"/>
      <c r="AK2488" s="589"/>
      <c r="AL2488" s="589"/>
      <c r="AM2488" s="589"/>
      <c r="AN2488" s="589"/>
      <c r="AO2488" s="589"/>
      <c r="AP2488" s="589"/>
      <c r="AQ2488" s="589"/>
      <c r="AR2488" s="589"/>
      <c r="AS2488" s="589"/>
    </row>
    <row r="2489" spans="1:45" ht="15">
      <c r="A2489" s="590" t="s">
        <v>169</v>
      </c>
      <c r="B2489" s="591" t="s">
        <v>510</v>
      </c>
      <c r="C2489" s="591" t="s">
        <v>813</v>
      </c>
      <c r="D2489" s="592">
        <v>2019</v>
      </c>
      <c r="E2489" s="591" t="s">
        <v>775</v>
      </c>
      <c r="F2489" s="592">
        <v>134</v>
      </c>
      <c r="G2489" s="592">
        <v>0</v>
      </c>
      <c r="H2489" s="592">
        <v>0</v>
      </c>
      <c r="I2489" s="592">
        <v>0</v>
      </c>
      <c r="J2489" s="592">
        <v>95</v>
      </c>
      <c r="K2489" s="592">
        <v>0</v>
      </c>
      <c r="L2489" s="592">
        <v>0</v>
      </c>
      <c r="M2489" s="592">
        <v>0</v>
      </c>
      <c r="N2489" s="593">
        <v>108</v>
      </c>
      <c r="O2489" s="593">
        <v>13</v>
      </c>
      <c r="P2489" s="593">
        <v>244</v>
      </c>
      <c r="Q2489" s="593">
        <v>33</v>
      </c>
      <c r="R2489" s="593">
        <v>581</v>
      </c>
      <c r="S2489" s="593">
        <v>46</v>
      </c>
      <c r="T2489" s="593">
        <v>2019</v>
      </c>
      <c r="U2489" s="593">
        <v>2014</v>
      </c>
      <c r="V2489" s="589"/>
      <c r="W2489" s="589"/>
      <c r="X2489" s="589"/>
      <c r="Y2489" s="589"/>
      <c r="Z2489" s="589"/>
      <c r="AA2489" s="589"/>
      <c r="AB2489" s="589"/>
      <c r="AC2489" s="589"/>
      <c r="AD2489" s="589"/>
      <c r="AE2489" s="589"/>
      <c r="AF2489" s="589"/>
      <c r="AG2489" s="589"/>
      <c r="AH2489" s="589"/>
      <c r="AI2489" s="589"/>
      <c r="AJ2489" s="589"/>
      <c r="AK2489" s="589"/>
      <c r="AL2489" s="589"/>
      <c r="AM2489" s="589"/>
      <c r="AN2489" s="589"/>
      <c r="AO2489" s="589"/>
      <c r="AP2489" s="589"/>
      <c r="AQ2489" s="589"/>
      <c r="AR2489" s="589"/>
      <c r="AS2489" s="589"/>
    </row>
    <row r="2490" spans="1:45" ht="15">
      <c r="A2490" s="587" t="s">
        <v>179</v>
      </c>
      <c r="B2490" s="587" t="s">
        <v>179</v>
      </c>
      <c r="C2490" s="587" t="s">
        <v>856</v>
      </c>
      <c r="D2490" s="588">
        <v>2019</v>
      </c>
      <c r="E2490" s="587" t="s">
        <v>775</v>
      </c>
      <c r="F2490" s="588">
        <v>21977</v>
      </c>
      <c r="G2490" s="588">
        <v>602</v>
      </c>
      <c r="H2490" s="588">
        <v>602</v>
      </c>
      <c r="I2490" s="588">
        <v>0</v>
      </c>
      <c r="J2490" s="588">
        <v>16703</v>
      </c>
      <c r="K2490" s="588">
        <v>314</v>
      </c>
      <c r="L2490" s="588">
        <v>314</v>
      </c>
      <c r="M2490" s="588">
        <v>0</v>
      </c>
      <c r="N2490" s="588">
        <v>15462</v>
      </c>
      <c r="O2490" s="588">
        <v>24</v>
      </c>
      <c r="P2490" s="588">
        <v>33954</v>
      </c>
      <c r="Q2490" s="588">
        <v>4281</v>
      </c>
      <c r="R2490" s="588">
        <v>88096</v>
      </c>
      <c r="S2490" s="588">
        <v>5221</v>
      </c>
      <c r="T2490" s="588">
        <v>2019</v>
      </c>
      <c r="U2490" s="588">
        <v>2013</v>
      </c>
      <c r="V2490" s="589"/>
      <c r="W2490" s="589"/>
      <c r="X2490" s="589"/>
      <c r="Y2490" s="589"/>
      <c r="Z2490" s="589"/>
      <c r="AA2490" s="589"/>
      <c r="AB2490" s="589"/>
      <c r="AC2490" s="589"/>
      <c r="AD2490" s="589"/>
      <c r="AE2490" s="589"/>
      <c r="AF2490" s="589"/>
      <c r="AG2490" s="589"/>
      <c r="AH2490" s="589"/>
      <c r="AI2490" s="589"/>
      <c r="AJ2490" s="589"/>
      <c r="AK2490" s="589"/>
      <c r="AL2490" s="589"/>
      <c r="AM2490" s="589"/>
      <c r="AN2490" s="589"/>
      <c r="AO2490" s="589"/>
      <c r="AP2490" s="589"/>
      <c r="AQ2490" s="589"/>
      <c r="AR2490" s="589"/>
      <c r="AS2490" s="589"/>
    </row>
    <row r="2491" spans="1:45" ht="15">
      <c r="A2491" s="590" t="s">
        <v>179</v>
      </c>
      <c r="B2491" s="591" t="s">
        <v>603</v>
      </c>
      <c r="C2491" s="591" t="s">
        <v>856</v>
      </c>
      <c r="D2491" s="592">
        <v>2019</v>
      </c>
      <c r="E2491" s="591" t="s">
        <v>775</v>
      </c>
      <c r="F2491" s="592">
        <v>2085</v>
      </c>
      <c r="G2491" s="592">
        <v>71</v>
      </c>
      <c r="H2491" s="592">
        <v>0</v>
      </c>
      <c r="I2491" s="592">
        <v>71</v>
      </c>
      <c r="J2491" s="592">
        <v>1585</v>
      </c>
      <c r="K2491" s="592">
        <v>214</v>
      </c>
      <c r="L2491" s="592">
        <v>0</v>
      </c>
      <c r="M2491" s="592">
        <v>214</v>
      </c>
      <c r="N2491" s="593">
        <v>5864</v>
      </c>
      <c r="O2491" s="593">
        <v>32</v>
      </c>
      <c r="P2491" s="593">
        <v>12878</v>
      </c>
      <c r="Q2491" s="593">
        <v>545</v>
      </c>
      <c r="R2491" s="593">
        <v>22412</v>
      </c>
      <c r="S2491" s="593">
        <v>862</v>
      </c>
      <c r="T2491" s="593">
        <v>2019</v>
      </c>
      <c r="U2491" s="593">
        <v>2013</v>
      </c>
      <c r="V2491" s="589"/>
      <c r="W2491" s="589"/>
      <c r="X2491" s="589"/>
      <c r="Y2491" s="589"/>
      <c r="Z2491" s="589"/>
      <c r="AA2491" s="589"/>
      <c r="AB2491" s="589"/>
      <c r="AC2491" s="589"/>
      <c r="AD2491" s="589"/>
      <c r="AE2491" s="589"/>
      <c r="AF2491" s="589"/>
      <c r="AG2491" s="589"/>
      <c r="AH2491" s="589"/>
      <c r="AI2491" s="589"/>
      <c r="AJ2491" s="589"/>
      <c r="AK2491" s="589"/>
      <c r="AL2491" s="589"/>
      <c r="AM2491" s="589"/>
      <c r="AN2491" s="589"/>
      <c r="AO2491" s="589"/>
      <c r="AP2491" s="589"/>
      <c r="AQ2491" s="589"/>
      <c r="AR2491" s="589"/>
      <c r="AS2491" s="589"/>
    </row>
    <row r="2492" spans="1:45" ht="15">
      <c r="A2492" s="587" t="s">
        <v>153</v>
      </c>
      <c r="B2492" s="587" t="s">
        <v>414</v>
      </c>
      <c r="C2492" s="587" t="s">
        <v>813</v>
      </c>
      <c r="D2492" s="588">
        <v>2019</v>
      </c>
      <c r="E2492" s="587" t="s">
        <v>775</v>
      </c>
      <c r="F2492" s="588">
        <v>121</v>
      </c>
      <c r="G2492" s="588">
        <v>0</v>
      </c>
      <c r="H2492" s="588">
        <v>0</v>
      </c>
      <c r="I2492" s="588">
        <v>0</v>
      </c>
      <c r="J2492" s="588">
        <v>72</v>
      </c>
      <c r="K2492" s="588">
        <v>0</v>
      </c>
      <c r="L2492" s="588">
        <v>0</v>
      </c>
      <c r="M2492" s="588">
        <v>0</v>
      </c>
      <c r="N2492" s="588">
        <v>77</v>
      </c>
      <c r="O2492" s="588">
        <v>0</v>
      </c>
      <c r="P2492" s="588">
        <v>193</v>
      </c>
      <c r="Q2492" s="588">
        <v>15</v>
      </c>
      <c r="R2492" s="588">
        <v>463</v>
      </c>
      <c r="S2492" s="588">
        <v>15</v>
      </c>
      <c r="T2492" s="588">
        <v>2019</v>
      </c>
      <c r="U2492" s="588">
        <v>2014</v>
      </c>
      <c r="V2492" s="589"/>
      <c r="W2492" s="589"/>
      <c r="X2492" s="589"/>
      <c r="Y2492" s="589"/>
      <c r="Z2492" s="589"/>
      <c r="AA2492" s="589"/>
      <c r="AB2492" s="589"/>
      <c r="AC2492" s="589"/>
      <c r="AD2492" s="589"/>
      <c r="AE2492" s="589"/>
      <c r="AF2492" s="589"/>
      <c r="AG2492" s="589"/>
      <c r="AH2492" s="589"/>
      <c r="AI2492" s="589"/>
      <c r="AJ2492" s="589"/>
      <c r="AK2492" s="589"/>
      <c r="AL2492" s="589"/>
      <c r="AM2492" s="589"/>
      <c r="AN2492" s="589"/>
      <c r="AO2492" s="589"/>
      <c r="AP2492" s="589"/>
      <c r="AQ2492" s="589"/>
      <c r="AR2492" s="589"/>
      <c r="AS2492" s="589"/>
    </row>
    <row r="2493" spans="1:45" ht="15">
      <c r="A2493" s="590" t="s">
        <v>153</v>
      </c>
      <c r="B2493" s="591" t="s">
        <v>415</v>
      </c>
      <c r="C2493" s="591" t="s">
        <v>813</v>
      </c>
      <c r="D2493" s="592">
        <v>2019</v>
      </c>
      <c r="E2493" s="591" t="s">
        <v>775</v>
      </c>
      <c r="F2493" s="592">
        <v>55</v>
      </c>
      <c r="G2493" s="592">
        <v>0</v>
      </c>
      <c r="H2493" s="592">
        <v>0</v>
      </c>
      <c r="I2493" s="592">
        <v>0</v>
      </c>
      <c r="J2493" s="592">
        <v>32</v>
      </c>
      <c r="K2493" s="592">
        <v>46</v>
      </c>
      <c r="L2493" s="592">
        <v>0</v>
      </c>
      <c r="M2493" s="592">
        <v>46</v>
      </c>
      <c r="N2493" s="593">
        <v>35</v>
      </c>
      <c r="O2493" s="593">
        <v>16</v>
      </c>
      <c r="P2493" s="593">
        <v>95</v>
      </c>
      <c r="Q2493" s="593">
        <v>4</v>
      </c>
      <c r="R2493" s="593">
        <v>217</v>
      </c>
      <c r="S2493" s="593">
        <v>66</v>
      </c>
      <c r="T2493" s="593">
        <v>2019</v>
      </c>
      <c r="U2493" s="593">
        <v>2014</v>
      </c>
      <c r="V2493" s="589"/>
      <c r="W2493" s="589"/>
      <c r="X2493" s="589"/>
      <c r="Y2493" s="589"/>
      <c r="Z2493" s="589"/>
      <c r="AA2493" s="589"/>
      <c r="AB2493" s="589"/>
      <c r="AC2493" s="589"/>
      <c r="AD2493" s="589"/>
      <c r="AE2493" s="589"/>
      <c r="AF2493" s="589"/>
      <c r="AG2493" s="589"/>
      <c r="AH2493" s="589"/>
      <c r="AI2493" s="589"/>
      <c r="AJ2493" s="589"/>
      <c r="AK2493" s="589"/>
      <c r="AL2493" s="589"/>
      <c r="AM2493" s="589"/>
      <c r="AN2493" s="589"/>
      <c r="AO2493" s="589"/>
      <c r="AP2493" s="589"/>
      <c r="AQ2493" s="589"/>
      <c r="AR2493" s="589"/>
      <c r="AS2493" s="589"/>
    </row>
    <row r="2494" spans="1:45" ht="15">
      <c r="A2494" s="587" t="s">
        <v>181</v>
      </c>
      <c r="B2494" s="587" t="s">
        <v>181</v>
      </c>
      <c r="C2494" s="587" t="s">
        <v>782</v>
      </c>
      <c r="D2494" s="588">
        <v>2019</v>
      </c>
      <c r="E2494" s="587" t="s">
        <v>775</v>
      </c>
      <c r="F2494" s="588">
        <v>6234</v>
      </c>
      <c r="G2494" s="588">
        <v>654</v>
      </c>
      <c r="H2494" s="588">
        <v>654</v>
      </c>
      <c r="I2494" s="588">
        <v>0</v>
      </c>
      <c r="J2494" s="588">
        <v>4639</v>
      </c>
      <c r="K2494" s="588">
        <v>478</v>
      </c>
      <c r="L2494" s="588">
        <v>478</v>
      </c>
      <c r="M2494" s="588">
        <v>0</v>
      </c>
      <c r="N2494" s="588">
        <v>5460</v>
      </c>
      <c r="O2494" s="588">
        <v>598</v>
      </c>
      <c r="P2494" s="588">
        <v>12536</v>
      </c>
      <c r="Q2494" s="588">
        <v>1567</v>
      </c>
      <c r="R2494" s="588">
        <v>28869</v>
      </c>
      <c r="S2494" s="588">
        <v>3297</v>
      </c>
      <c r="T2494" s="588">
        <v>2019</v>
      </c>
      <c r="U2494" s="588">
        <v>2015</v>
      </c>
      <c r="V2494" s="589"/>
      <c r="W2494" s="589"/>
      <c r="X2494" s="589"/>
      <c r="Y2494" s="589"/>
      <c r="Z2494" s="589"/>
      <c r="AA2494" s="589"/>
      <c r="AB2494" s="589"/>
      <c r="AC2494" s="589"/>
      <c r="AD2494" s="589"/>
      <c r="AE2494" s="589"/>
      <c r="AF2494" s="589"/>
      <c r="AG2494" s="589"/>
      <c r="AH2494" s="589"/>
      <c r="AI2494" s="589"/>
      <c r="AJ2494" s="589"/>
      <c r="AK2494" s="589"/>
      <c r="AL2494" s="589"/>
      <c r="AM2494" s="589"/>
      <c r="AN2494" s="589"/>
      <c r="AO2494" s="589"/>
      <c r="AP2494" s="589"/>
      <c r="AQ2494" s="589"/>
      <c r="AR2494" s="589"/>
      <c r="AS2494" s="589"/>
    </row>
    <row r="2495" spans="1:45" ht="15">
      <c r="A2495" s="590" t="s">
        <v>153</v>
      </c>
      <c r="B2495" s="591" t="s">
        <v>416</v>
      </c>
      <c r="C2495" s="591" t="s">
        <v>813</v>
      </c>
      <c r="D2495" s="592">
        <v>2019</v>
      </c>
      <c r="E2495" s="591" t="s">
        <v>775</v>
      </c>
      <c r="F2495" s="592">
        <v>236</v>
      </c>
      <c r="G2495" s="592">
        <v>0</v>
      </c>
      <c r="H2495" s="592">
        <v>0</v>
      </c>
      <c r="I2495" s="592">
        <v>0</v>
      </c>
      <c r="J2495" s="592">
        <v>142</v>
      </c>
      <c r="K2495" s="592">
        <v>21</v>
      </c>
      <c r="L2495" s="592">
        <v>0</v>
      </c>
      <c r="M2495" s="592">
        <v>21</v>
      </c>
      <c r="N2495" s="593">
        <v>154</v>
      </c>
      <c r="O2495" s="593">
        <v>0</v>
      </c>
      <c r="P2495" s="593">
        <v>398</v>
      </c>
      <c r="Q2495" s="593">
        <v>13</v>
      </c>
      <c r="R2495" s="593">
        <v>930</v>
      </c>
      <c r="S2495" s="593">
        <v>34</v>
      </c>
      <c r="T2495" s="593">
        <v>2019</v>
      </c>
      <c r="U2495" s="593">
        <v>2014</v>
      </c>
      <c r="V2495" s="589"/>
      <c r="W2495" s="589"/>
      <c r="X2495" s="589"/>
      <c r="Y2495" s="589"/>
      <c r="Z2495" s="589"/>
      <c r="AA2495" s="589"/>
      <c r="AB2495" s="589"/>
      <c r="AC2495" s="589"/>
      <c r="AD2495" s="589"/>
      <c r="AE2495" s="589"/>
      <c r="AF2495" s="589"/>
      <c r="AG2495" s="589"/>
      <c r="AH2495" s="589"/>
      <c r="AI2495" s="589"/>
      <c r="AJ2495" s="589"/>
      <c r="AK2495" s="589"/>
      <c r="AL2495" s="589"/>
      <c r="AM2495" s="589"/>
      <c r="AN2495" s="589"/>
      <c r="AO2495" s="589"/>
      <c r="AP2495" s="589"/>
      <c r="AQ2495" s="589"/>
      <c r="AR2495" s="589"/>
      <c r="AS2495" s="589"/>
    </row>
    <row r="2496" spans="1:45" ht="15">
      <c r="A2496" s="587" t="s">
        <v>173</v>
      </c>
      <c r="B2496" s="587" t="s">
        <v>553</v>
      </c>
      <c r="C2496" s="587" t="s">
        <v>813</v>
      </c>
      <c r="D2496" s="588">
        <v>2019</v>
      </c>
      <c r="E2496" s="587" t="s">
        <v>775</v>
      </c>
      <c r="F2496" s="588">
        <v>562</v>
      </c>
      <c r="G2496" s="588">
        <v>0</v>
      </c>
      <c r="H2496" s="588">
        <v>0</v>
      </c>
      <c r="I2496" s="588">
        <v>0</v>
      </c>
      <c r="J2496" s="588">
        <v>394</v>
      </c>
      <c r="K2496" s="588">
        <v>0</v>
      </c>
      <c r="L2496" s="588">
        <v>0</v>
      </c>
      <c r="M2496" s="588">
        <v>0</v>
      </c>
      <c r="N2496" s="588">
        <v>441</v>
      </c>
      <c r="O2496" s="588">
        <v>201</v>
      </c>
      <c r="P2496" s="588">
        <v>1036</v>
      </c>
      <c r="Q2496" s="588">
        <v>0</v>
      </c>
      <c r="R2496" s="588">
        <v>2433</v>
      </c>
      <c r="S2496" s="588">
        <v>201</v>
      </c>
      <c r="T2496" s="588">
        <v>2019</v>
      </c>
      <c r="U2496" s="588">
        <v>2014</v>
      </c>
      <c r="V2496" s="589"/>
      <c r="W2496" s="589"/>
      <c r="X2496" s="589"/>
      <c r="Y2496" s="589"/>
      <c r="Z2496" s="589"/>
      <c r="AA2496" s="589"/>
      <c r="AB2496" s="589"/>
      <c r="AC2496" s="589"/>
      <c r="AD2496" s="589"/>
      <c r="AE2496" s="589"/>
      <c r="AF2496" s="589"/>
      <c r="AG2496" s="589"/>
      <c r="AH2496" s="589"/>
      <c r="AI2496" s="589"/>
      <c r="AJ2496" s="589"/>
      <c r="AK2496" s="589"/>
      <c r="AL2496" s="589"/>
      <c r="AM2496" s="589"/>
      <c r="AN2496" s="589"/>
      <c r="AO2496" s="589"/>
      <c r="AP2496" s="589"/>
      <c r="AQ2496" s="589"/>
      <c r="AR2496" s="589"/>
      <c r="AS2496" s="589"/>
    </row>
    <row r="2497" spans="1:45" ht="15">
      <c r="A2497" s="590" t="s">
        <v>141</v>
      </c>
      <c r="B2497" s="591" t="s">
        <v>182</v>
      </c>
      <c r="C2497" s="591" t="s">
        <v>811</v>
      </c>
      <c r="D2497" s="592">
        <v>2019</v>
      </c>
      <c r="E2497" s="591" t="s">
        <v>775</v>
      </c>
      <c r="F2497" s="592">
        <v>103</v>
      </c>
      <c r="G2497" s="592">
        <v>0</v>
      </c>
      <c r="H2497" s="592">
        <v>0</v>
      </c>
      <c r="I2497" s="592">
        <v>0</v>
      </c>
      <c r="J2497" s="592">
        <v>36</v>
      </c>
      <c r="K2497" s="592">
        <v>0</v>
      </c>
      <c r="L2497" s="592">
        <v>0</v>
      </c>
      <c r="M2497" s="592">
        <v>0</v>
      </c>
      <c r="N2497" s="593">
        <v>35</v>
      </c>
      <c r="O2497" s="593">
        <v>0</v>
      </c>
      <c r="P2497" s="593">
        <v>204</v>
      </c>
      <c r="Q2497" s="593">
        <v>0</v>
      </c>
      <c r="R2497" s="593">
        <v>378</v>
      </c>
      <c r="S2497" s="593">
        <v>0</v>
      </c>
      <c r="T2497" s="593">
        <v>2019</v>
      </c>
      <c r="U2497" s="593">
        <v>2016</v>
      </c>
      <c r="V2497" s="589"/>
      <c r="W2497" s="589"/>
      <c r="X2497" s="589"/>
      <c r="Y2497" s="589"/>
      <c r="Z2497" s="589"/>
      <c r="AA2497" s="589"/>
      <c r="AB2497" s="589"/>
      <c r="AC2497" s="589"/>
      <c r="AD2497" s="589"/>
      <c r="AE2497" s="589"/>
      <c r="AF2497" s="589"/>
      <c r="AG2497" s="589"/>
      <c r="AH2497" s="589"/>
      <c r="AI2497" s="589"/>
      <c r="AJ2497" s="589"/>
      <c r="AK2497" s="589"/>
      <c r="AL2497" s="589"/>
      <c r="AM2497" s="589"/>
      <c r="AN2497" s="589"/>
      <c r="AO2497" s="589"/>
      <c r="AP2497" s="589"/>
      <c r="AQ2497" s="589"/>
      <c r="AR2497" s="589"/>
      <c r="AS2497" s="589"/>
    </row>
    <row r="2498" spans="1:45" ht="15">
      <c r="A2498" s="587" t="s">
        <v>182</v>
      </c>
      <c r="B2498" s="587" t="s">
        <v>613</v>
      </c>
      <c r="C2498" s="587" t="s">
        <v>811</v>
      </c>
      <c r="D2498" s="588">
        <v>2019</v>
      </c>
      <c r="E2498" s="587" t="s">
        <v>775</v>
      </c>
      <c r="F2498" s="588">
        <v>2496</v>
      </c>
      <c r="G2498" s="588">
        <v>26</v>
      </c>
      <c r="H2498" s="588">
        <v>0</v>
      </c>
      <c r="I2498" s="588">
        <v>26</v>
      </c>
      <c r="J2498" s="588">
        <v>1727</v>
      </c>
      <c r="K2498" s="588">
        <v>90</v>
      </c>
      <c r="L2498" s="588">
        <v>2</v>
      </c>
      <c r="M2498" s="588">
        <v>88</v>
      </c>
      <c r="N2498" s="588">
        <v>1724</v>
      </c>
      <c r="O2498" s="588">
        <v>225</v>
      </c>
      <c r="P2498" s="588">
        <v>4220</v>
      </c>
      <c r="Q2498" s="588">
        <v>363</v>
      </c>
      <c r="R2498" s="588">
        <v>10167</v>
      </c>
      <c r="S2498" s="588">
        <v>704</v>
      </c>
      <c r="T2498" s="588">
        <v>2019</v>
      </c>
      <c r="U2498" s="588">
        <v>2016</v>
      </c>
      <c r="V2498" s="589"/>
      <c r="W2498" s="589"/>
      <c r="X2498" s="589"/>
      <c r="Y2498" s="589"/>
      <c r="Z2498" s="589"/>
      <c r="AA2498" s="589"/>
      <c r="AB2498" s="589"/>
      <c r="AC2498" s="589"/>
      <c r="AD2498" s="589"/>
      <c r="AE2498" s="589"/>
      <c r="AF2498" s="589"/>
      <c r="AG2498" s="589"/>
      <c r="AH2498" s="589"/>
      <c r="AI2498" s="589"/>
      <c r="AJ2498" s="589"/>
      <c r="AK2498" s="589"/>
      <c r="AL2498" s="589"/>
      <c r="AM2498" s="589"/>
      <c r="AN2498" s="589"/>
      <c r="AO2498" s="589"/>
      <c r="AP2498" s="589"/>
      <c r="AQ2498" s="589"/>
      <c r="AR2498" s="589"/>
      <c r="AS2498" s="589"/>
    </row>
    <row r="2499" spans="1:45" ht="15">
      <c r="A2499" s="590" t="s">
        <v>187</v>
      </c>
      <c r="B2499" s="591" t="s">
        <v>662</v>
      </c>
      <c r="C2499" s="591" t="s">
        <v>782</v>
      </c>
      <c r="D2499" s="592">
        <v>2019</v>
      </c>
      <c r="E2499" s="591" t="s">
        <v>775</v>
      </c>
      <c r="F2499" s="592">
        <v>9233</v>
      </c>
      <c r="G2499" s="592">
        <v>134</v>
      </c>
      <c r="H2499" s="592">
        <v>134</v>
      </c>
      <c r="I2499" s="592">
        <v>0</v>
      </c>
      <c r="J2499" s="592">
        <v>5428</v>
      </c>
      <c r="K2499" s="592">
        <v>0</v>
      </c>
      <c r="L2499" s="592">
        <v>0</v>
      </c>
      <c r="M2499" s="592">
        <v>0</v>
      </c>
      <c r="N2499" s="593">
        <v>6188</v>
      </c>
      <c r="O2499" s="593">
        <v>719</v>
      </c>
      <c r="P2499" s="593">
        <v>14231</v>
      </c>
      <c r="Q2499" s="593">
        <v>1572</v>
      </c>
      <c r="R2499" s="593">
        <v>35080</v>
      </c>
      <c r="S2499" s="593">
        <v>2425</v>
      </c>
      <c r="T2499" s="593">
        <v>2019</v>
      </c>
      <c r="U2499" s="593">
        <v>2015</v>
      </c>
      <c r="V2499" s="589"/>
      <c r="W2499" s="589"/>
      <c r="X2499" s="589"/>
      <c r="Y2499" s="589"/>
      <c r="Z2499" s="589"/>
      <c r="AA2499" s="589"/>
      <c r="AB2499" s="589"/>
      <c r="AC2499" s="589"/>
      <c r="AD2499" s="589"/>
      <c r="AE2499" s="589"/>
      <c r="AF2499" s="589"/>
      <c r="AG2499" s="589"/>
      <c r="AH2499" s="589"/>
      <c r="AI2499" s="589"/>
      <c r="AJ2499" s="589"/>
      <c r="AK2499" s="589"/>
      <c r="AL2499" s="589"/>
      <c r="AM2499" s="589"/>
      <c r="AN2499" s="589"/>
      <c r="AO2499" s="589"/>
      <c r="AP2499" s="589"/>
      <c r="AQ2499" s="589"/>
      <c r="AR2499" s="589"/>
      <c r="AS2499" s="589"/>
    </row>
    <row r="2500" spans="1:45" ht="15">
      <c r="A2500" s="587" t="s">
        <v>176</v>
      </c>
      <c r="B2500" s="587" t="s">
        <v>565</v>
      </c>
      <c r="C2500" s="587" t="s">
        <v>811</v>
      </c>
      <c r="D2500" s="588">
        <v>2019</v>
      </c>
      <c r="E2500" s="587" t="s">
        <v>775</v>
      </c>
      <c r="F2500" s="588">
        <v>10</v>
      </c>
      <c r="G2500" s="588">
        <v>0</v>
      </c>
      <c r="H2500" s="588">
        <v>0</v>
      </c>
      <c r="I2500" s="588">
        <v>0</v>
      </c>
      <c r="J2500" s="588">
        <v>6</v>
      </c>
      <c r="K2500" s="588">
        <v>0</v>
      </c>
      <c r="L2500" s="588">
        <v>0</v>
      </c>
      <c r="M2500" s="588">
        <v>0</v>
      </c>
      <c r="N2500" s="588">
        <v>8</v>
      </c>
      <c r="O2500" s="588">
        <v>0</v>
      </c>
      <c r="P2500" s="588">
        <v>17</v>
      </c>
      <c r="Q2500" s="588">
        <v>0</v>
      </c>
      <c r="R2500" s="588">
        <v>41</v>
      </c>
      <c r="S2500" s="588">
        <v>0</v>
      </c>
      <c r="T2500" s="588">
        <v>2019</v>
      </c>
      <c r="U2500" s="588">
        <v>2016</v>
      </c>
      <c r="V2500" s="589"/>
      <c r="W2500" s="589"/>
      <c r="X2500" s="589"/>
      <c r="Y2500" s="589"/>
      <c r="Z2500" s="589"/>
      <c r="AA2500" s="589"/>
      <c r="AB2500" s="589"/>
      <c r="AC2500" s="589"/>
      <c r="AD2500" s="589"/>
      <c r="AE2500" s="589"/>
      <c r="AF2500" s="589"/>
      <c r="AG2500" s="589"/>
      <c r="AH2500" s="589"/>
      <c r="AI2500" s="589"/>
      <c r="AJ2500" s="589"/>
      <c r="AK2500" s="589"/>
      <c r="AL2500" s="589"/>
      <c r="AM2500" s="589"/>
      <c r="AN2500" s="589"/>
      <c r="AO2500" s="589"/>
      <c r="AP2500" s="589"/>
      <c r="AQ2500" s="589"/>
      <c r="AR2500" s="589"/>
      <c r="AS2500" s="589"/>
    </row>
    <row r="2501" spans="1:45" ht="15">
      <c r="A2501" s="590" t="s">
        <v>169</v>
      </c>
      <c r="B2501" s="591" t="s">
        <v>511</v>
      </c>
      <c r="C2501" s="591" t="s">
        <v>813</v>
      </c>
      <c r="D2501" s="592">
        <v>2019</v>
      </c>
      <c r="E2501" s="591" t="s">
        <v>775</v>
      </c>
      <c r="F2501" s="592">
        <v>147</v>
      </c>
      <c r="G2501" s="592">
        <v>0</v>
      </c>
      <c r="H2501" s="592">
        <v>0</v>
      </c>
      <c r="I2501" s="592">
        <v>0</v>
      </c>
      <c r="J2501" s="592">
        <v>104</v>
      </c>
      <c r="K2501" s="592">
        <v>0</v>
      </c>
      <c r="L2501" s="592">
        <v>0</v>
      </c>
      <c r="M2501" s="592">
        <v>0</v>
      </c>
      <c r="N2501" s="593">
        <v>120</v>
      </c>
      <c r="O2501" s="593">
        <v>3</v>
      </c>
      <c r="P2501" s="593">
        <v>267</v>
      </c>
      <c r="Q2501" s="593">
        <v>82</v>
      </c>
      <c r="R2501" s="593">
        <v>638</v>
      </c>
      <c r="S2501" s="593">
        <v>85</v>
      </c>
      <c r="T2501" s="593">
        <v>2019</v>
      </c>
      <c r="U2501" s="593">
        <v>2014</v>
      </c>
      <c r="V2501" s="589"/>
      <c r="W2501" s="589"/>
      <c r="X2501" s="589"/>
      <c r="Y2501" s="589"/>
      <c r="Z2501" s="589"/>
      <c r="AA2501" s="589"/>
      <c r="AB2501" s="589"/>
      <c r="AC2501" s="589"/>
      <c r="AD2501" s="589"/>
      <c r="AE2501" s="589"/>
      <c r="AF2501" s="589"/>
      <c r="AG2501" s="589"/>
      <c r="AH2501" s="589"/>
      <c r="AI2501" s="589"/>
      <c r="AJ2501" s="589"/>
      <c r="AK2501" s="589"/>
      <c r="AL2501" s="589"/>
      <c r="AM2501" s="589"/>
      <c r="AN2501" s="589"/>
      <c r="AO2501" s="589"/>
      <c r="AP2501" s="589"/>
      <c r="AQ2501" s="589"/>
      <c r="AR2501" s="589"/>
      <c r="AS2501" s="589"/>
    </row>
    <row r="2502" spans="1:45" ht="15">
      <c r="A2502" s="587" t="s">
        <v>125</v>
      </c>
      <c r="B2502" s="587" t="s">
        <v>245</v>
      </c>
      <c r="C2502" s="587" t="s">
        <v>782</v>
      </c>
      <c r="D2502" s="588">
        <v>2019</v>
      </c>
      <c r="E2502" s="587" t="s">
        <v>775</v>
      </c>
      <c r="F2502" s="588">
        <v>504</v>
      </c>
      <c r="G2502" s="588">
        <v>0</v>
      </c>
      <c r="H2502" s="588">
        <v>0</v>
      </c>
      <c r="I2502" s="588">
        <v>0</v>
      </c>
      <c r="J2502" s="588">
        <v>270</v>
      </c>
      <c r="K2502" s="588">
        <v>0</v>
      </c>
      <c r="L2502" s="588">
        <v>0</v>
      </c>
      <c r="M2502" s="588">
        <v>0</v>
      </c>
      <c r="N2502" s="588">
        <v>352</v>
      </c>
      <c r="O2502" s="588">
        <v>0</v>
      </c>
      <c r="P2502" s="588">
        <v>1161</v>
      </c>
      <c r="Q2502" s="588">
        <v>33</v>
      </c>
      <c r="R2502" s="588">
        <v>2287</v>
      </c>
      <c r="S2502" s="588">
        <v>33</v>
      </c>
      <c r="T2502" s="588">
        <v>2019</v>
      </c>
      <c r="U2502" s="588">
        <v>2015</v>
      </c>
      <c r="V2502" s="589"/>
      <c r="W2502" s="589"/>
      <c r="X2502" s="589"/>
      <c r="Y2502" s="589"/>
      <c r="Z2502" s="589"/>
      <c r="AA2502" s="589"/>
      <c r="AB2502" s="589"/>
      <c r="AC2502" s="589"/>
      <c r="AD2502" s="589"/>
      <c r="AE2502" s="589"/>
      <c r="AF2502" s="589"/>
      <c r="AG2502" s="589"/>
      <c r="AH2502" s="589"/>
      <c r="AI2502" s="589"/>
      <c r="AJ2502" s="589"/>
      <c r="AK2502" s="589"/>
      <c r="AL2502" s="589"/>
      <c r="AM2502" s="589"/>
      <c r="AN2502" s="589"/>
      <c r="AO2502" s="589"/>
      <c r="AP2502" s="589"/>
      <c r="AQ2502" s="589"/>
      <c r="AR2502" s="589"/>
      <c r="AS2502" s="589"/>
    </row>
    <row r="2503" spans="1:45" ht="15">
      <c r="A2503" s="590" t="s">
        <v>183</v>
      </c>
      <c r="B2503" s="591" t="s">
        <v>183</v>
      </c>
      <c r="C2503" s="591" t="s">
        <v>785</v>
      </c>
      <c r="D2503" s="592">
        <v>2019</v>
      </c>
      <c r="E2503" s="591" t="s">
        <v>775</v>
      </c>
      <c r="F2503" s="592">
        <v>285</v>
      </c>
      <c r="G2503" s="592">
        <v>0</v>
      </c>
      <c r="H2503" s="592">
        <v>0</v>
      </c>
      <c r="I2503" s="592">
        <v>0</v>
      </c>
      <c r="J2503" s="592">
        <v>179</v>
      </c>
      <c r="K2503" s="592">
        <v>6</v>
      </c>
      <c r="L2503" s="592">
        <v>6</v>
      </c>
      <c r="M2503" s="592">
        <v>0</v>
      </c>
      <c r="N2503" s="593">
        <v>201</v>
      </c>
      <c r="O2503" s="593">
        <v>8</v>
      </c>
      <c r="P2503" s="593">
        <v>478</v>
      </c>
      <c r="Q2503" s="593">
        <v>523</v>
      </c>
      <c r="R2503" s="593">
        <v>1143</v>
      </c>
      <c r="S2503" s="593">
        <v>537</v>
      </c>
      <c r="T2503" s="593">
        <v>2019</v>
      </c>
      <c r="U2503" s="593">
        <v>2014</v>
      </c>
      <c r="V2503" s="589"/>
      <c r="W2503" s="589"/>
      <c r="X2503" s="589"/>
      <c r="Y2503" s="589"/>
      <c r="Z2503" s="589"/>
      <c r="AA2503" s="589"/>
      <c r="AB2503" s="589"/>
      <c r="AC2503" s="589"/>
      <c r="AD2503" s="589"/>
      <c r="AE2503" s="589"/>
      <c r="AF2503" s="589"/>
      <c r="AG2503" s="589"/>
      <c r="AH2503" s="589"/>
      <c r="AI2503" s="589"/>
      <c r="AJ2503" s="589"/>
      <c r="AK2503" s="589"/>
      <c r="AL2503" s="589"/>
      <c r="AM2503" s="589"/>
      <c r="AN2503" s="589"/>
      <c r="AO2503" s="589"/>
      <c r="AP2503" s="589"/>
      <c r="AQ2503" s="589"/>
      <c r="AR2503" s="589"/>
      <c r="AS2503" s="589"/>
    </row>
    <row r="2504" spans="1:45" ht="15">
      <c r="A2504" s="587" t="s">
        <v>183</v>
      </c>
      <c r="B2504" s="587" t="s">
        <v>622</v>
      </c>
      <c r="C2504" s="587" t="s">
        <v>785</v>
      </c>
      <c r="D2504" s="588">
        <v>2019</v>
      </c>
      <c r="E2504" s="587" t="s">
        <v>775</v>
      </c>
      <c r="F2504" s="588">
        <v>336</v>
      </c>
      <c r="G2504" s="588">
        <v>7</v>
      </c>
      <c r="H2504" s="588">
        <v>7</v>
      </c>
      <c r="I2504" s="588">
        <v>0</v>
      </c>
      <c r="J2504" s="588">
        <v>211</v>
      </c>
      <c r="K2504" s="588">
        <v>26</v>
      </c>
      <c r="L2504" s="588">
        <v>13</v>
      </c>
      <c r="M2504" s="588">
        <v>13</v>
      </c>
      <c r="N2504" s="588">
        <v>237</v>
      </c>
      <c r="O2504" s="588">
        <v>20</v>
      </c>
      <c r="P2504" s="588">
        <v>563</v>
      </c>
      <c r="Q2504" s="588">
        <v>279</v>
      </c>
      <c r="R2504" s="588">
        <v>1347</v>
      </c>
      <c r="S2504" s="588">
        <v>332</v>
      </c>
      <c r="T2504" s="588">
        <v>2019</v>
      </c>
      <c r="U2504" s="588">
        <v>2014</v>
      </c>
      <c r="V2504" s="589"/>
      <c r="W2504" s="589"/>
      <c r="X2504" s="589"/>
      <c r="Y2504" s="589"/>
      <c r="Z2504" s="589"/>
      <c r="AA2504" s="589"/>
      <c r="AB2504" s="589"/>
      <c r="AC2504" s="589"/>
      <c r="AD2504" s="589"/>
      <c r="AE2504" s="589"/>
      <c r="AF2504" s="589"/>
      <c r="AG2504" s="589"/>
      <c r="AH2504" s="589"/>
      <c r="AI2504" s="589"/>
      <c r="AJ2504" s="589"/>
      <c r="AK2504" s="589"/>
      <c r="AL2504" s="589"/>
      <c r="AM2504" s="589"/>
      <c r="AN2504" s="589"/>
      <c r="AO2504" s="589"/>
      <c r="AP2504" s="589"/>
      <c r="AQ2504" s="589"/>
      <c r="AR2504" s="589"/>
      <c r="AS2504" s="589"/>
    </row>
    <row r="2505" spans="1:45" ht="15">
      <c r="A2505" s="590" t="s">
        <v>179</v>
      </c>
      <c r="B2505" s="591" t="s">
        <v>604</v>
      </c>
      <c r="C2505" s="591" t="s">
        <v>856</v>
      </c>
      <c r="D2505" s="592">
        <v>2019</v>
      </c>
      <c r="E2505" s="591" t="s">
        <v>775</v>
      </c>
      <c r="F2505" s="592">
        <v>1043</v>
      </c>
      <c r="G2505" s="592">
        <v>0</v>
      </c>
      <c r="H2505" s="592">
        <v>0</v>
      </c>
      <c r="I2505" s="592">
        <v>0</v>
      </c>
      <c r="J2505" s="592">
        <v>793</v>
      </c>
      <c r="K2505" s="592">
        <v>0</v>
      </c>
      <c r="L2505" s="592">
        <v>0</v>
      </c>
      <c r="M2505" s="592">
        <v>0</v>
      </c>
      <c r="N2505" s="593">
        <v>734</v>
      </c>
      <c r="O2505" s="593">
        <v>0</v>
      </c>
      <c r="P2505" s="593">
        <v>1613</v>
      </c>
      <c r="Q2505" s="593">
        <v>215</v>
      </c>
      <c r="R2505" s="593">
        <v>4183</v>
      </c>
      <c r="S2505" s="593">
        <v>215</v>
      </c>
      <c r="T2505" s="593">
        <v>2019</v>
      </c>
      <c r="U2505" s="593">
        <v>2013</v>
      </c>
      <c r="V2505" s="589"/>
      <c r="W2505" s="589"/>
      <c r="X2505" s="589"/>
      <c r="Y2505" s="589"/>
      <c r="Z2505" s="589"/>
      <c r="AA2505" s="589"/>
      <c r="AB2505" s="589"/>
      <c r="AC2505" s="589"/>
      <c r="AD2505" s="589"/>
      <c r="AE2505" s="589"/>
      <c r="AF2505" s="589"/>
      <c r="AG2505" s="589"/>
      <c r="AH2505" s="589"/>
      <c r="AI2505" s="589"/>
      <c r="AJ2505" s="589"/>
      <c r="AK2505" s="589"/>
      <c r="AL2505" s="589"/>
      <c r="AM2505" s="589"/>
      <c r="AN2505" s="589"/>
      <c r="AO2505" s="589"/>
      <c r="AP2505" s="589"/>
      <c r="AQ2505" s="589"/>
      <c r="AR2505" s="589"/>
      <c r="AS2505" s="589"/>
    </row>
    <row r="2506" spans="1:45" ht="15">
      <c r="A2506" s="587" t="s">
        <v>153</v>
      </c>
      <c r="B2506" s="587" t="s">
        <v>417</v>
      </c>
      <c r="C2506" s="587" t="s">
        <v>813</v>
      </c>
      <c r="D2506" s="588">
        <v>2019</v>
      </c>
      <c r="E2506" s="587" t="s">
        <v>775</v>
      </c>
      <c r="F2506" s="588">
        <v>1</v>
      </c>
      <c r="G2506" s="588">
        <v>0</v>
      </c>
      <c r="H2506" s="588">
        <v>0</v>
      </c>
      <c r="I2506" s="588">
        <v>0</v>
      </c>
      <c r="J2506" s="588">
        <v>1</v>
      </c>
      <c r="K2506" s="588">
        <v>8</v>
      </c>
      <c r="L2506" s="588">
        <v>8</v>
      </c>
      <c r="M2506" s="588">
        <v>0</v>
      </c>
      <c r="N2506" s="588">
        <v>0</v>
      </c>
      <c r="O2506" s="588">
        <v>0</v>
      </c>
      <c r="P2506" s="588">
        <v>0</v>
      </c>
      <c r="Q2506" s="588">
        <v>4</v>
      </c>
      <c r="R2506" s="588">
        <v>2</v>
      </c>
      <c r="S2506" s="588">
        <v>12</v>
      </c>
      <c r="T2506" s="588">
        <v>2019</v>
      </c>
      <c r="U2506" s="588">
        <v>2014</v>
      </c>
      <c r="V2506" s="589"/>
      <c r="W2506" s="589"/>
      <c r="X2506" s="589"/>
      <c r="Y2506" s="589"/>
      <c r="Z2506" s="589"/>
      <c r="AA2506" s="589"/>
      <c r="AB2506" s="589"/>
      <c r="AC2506" s="589"/>
      <c r="AD2506" s="589"/>
      <c r="AE2506" s="589"/>
      <c r="AF2506" s="589"/>
      <c r="AG2506" s="589"/>
      <c r="AH2506" s="589"/>
      <c r="AI2506" s="589"/>
      <c r="AJ2506" s="589"/>
      <c r="AK2506" s="589"/>
      <c r="AL2506" s="589"/>
      <c r="AM2506" s="589"/>
      <c r="AN2506" s="589"/>
      <c r="AO2506" s="589"/>
      <c r="AP2506" s="589"/>
      <c r="AQ2506" s="589"/>
      <c r="AR2506" s="589"/>
      <c r="AS2506" s="589"/>
    </row>
    <row r="2507" spans="1:45" ht="15">
      <c r="A2507" s="590" t="s">
        <v>184</v>
      </c>
      <c r="B2507" s="591" t="s">
        <v>184</v>
      </c>
      <c r="C2507" s="591" t="s">
        <v>782</v>
      </c>
      <c r="D2507" s="592">
        <v>2019</v>
      </c>
      <c r="E2507" s="591" t="s">
        <v>775</v>
      </c>
      <c r="F2507" s="592">
        <v>859</v>
      </c>
      <c r="G2507" s="592">
        <v>67</v>
      </c>
      <c r="H2507" s="592">
        <v>67</v>
      </c>
      <c r="I2507" s="592">
        <v>0</v>
      </c>
      <c r="J2507" s="592">
        <v>469</v>
      </c>
      <c r="K2507" s="592">
        <v>25</v>
      </c>
      <c r="L2507" s="592">
        <v>25</v>
      </c>
      <c r="M2507" s="592">
        <v>0</v>
      </c>
      <c r="N2507" s="593">
        <v>530</v>
      </c>
      <c r="O2507" s="593">
        <v>0</v>
      </c>
      <c r="P2507" s="593">
        <v>1242</v>
      </c>
      <c r="Q2507" s="593">
        <v>294</v>
      </c>
      <c r="R2507" s="593">
        <v>3100</v>
      </c>
      <c r="S2507" s="593">
        <v>386</v>
      </c>
      <c r="T2507" s="593">
        <v>2019</v>
      </c>
      <c r="U2507" s="593">
        <v>2015</v>
      </c>
      <c r="V2507" s="589"/>
      <c r="W2507" s="589"/>
      <c r="X2507" s="589"/>
      <c r="Y2507" s="589"/>
      <c r="Z2507" s="589"/>
      <c r="AA2507" s="589"/>
      <c r="AB2507" s="589"/>
      <c r="AC2507" s="589"/>
      <c r="AD2507" s="589"/>
      <c r="AE2507" s="589"/>
      <c r="AF2507" s="589"/>
      <c r="AG2507" s="589"/>
      <c r="AH2507" s="589"/>
      <c r="AI2507" s="589"/>
      <c r="AJ2507" s="589"/>
      <c r="AK2507" s="589"/>
      <c r="AL2507" s="589"/>
      <c r="AM2507" s="589"/>
      <c r="AN2507" s="589"/>
      <c r="AO2507" s="589"/>
      <c r="AP2507" s="589"/>
      <c r="AQ2507" s="589"/>
      <c r="AR2507" s="589"/>
      <c r="AS2507" s="589"/>
    </row>
    <row r="2508" spans="1:45" ht="15">
      <c r="A2508" s="587" t="s">
        <v>184</v>
      </c>
      <c r="B2508" s="587" t="s">
        <v>640</v>
      </c>
      <c r="C2508" s="587" t="s">
        <v>782</v>
      </c>
      <c r="D2508" s="588">
        <v>2019</v>
      </c>
      <c r="E2508" s="587" t="s">
        <v>775</v>
      </c>
      <c r="F2508" s="588">
        <v>153</v>
      </c>
      <c r="G2508" s="588">
        <v>0</v>
      </c>
      <c r="H2508" s="588">
        <v>0</v>
      </c>
      <c r="I2508" s="588">
        <v>0</v>
      </c>
      <c r="J2508" s="588">
        <v>103</v>
      </c>
      <c r="K2508" s="588">
        <v>9</v>
      </c>
      <c r="L2508" s="588">
        <v>0</v>
      </c>
      <c r="M2508" s="588">
        <v>9</v>
      </c>
      <c r="N2508" s="588">
        <v>102</v>
      </c>
      <c r="O2508" s="588">
        <v>11</v>
      </c>
      <c r="P2508" s="588">
        <v>555</v>
      </c>
      <c r="Q2508" s="588">
        <v>123</v>
      </c>
      <c r="R2508" s="588">
        <v>913</v>
      </c>
      <c r="S2508" s="588">
        <v>143</v>
      </c>
      <c r="T2508" s="588">
        <v>2019</v>
      </c>
      <c r="U2508" s="588">
        <v>2015</v>
      </c>
      <c r="V2508" s="589"/>
      <c r="W2508" s="589"/>
      <c r="X2508" s="589"/>
      <c r="Y2508" s="589"/>
      <c r="Z2508" s="589"/>
      <c r="AA2508" s="589"/>
      <c r="AB2508" s="589"/>
      <c r="AC2508" s="589"/>
      <c r="AD2508" s="589"/>
      <c r="AE2508" s="589"/>
      <c r="AF2508" s="589"/>
      <c r="AG2508" s="589"/>
      <c r="AH2508" s="589"/>
      <c r="AI2508" s="589"/>
      <c r="AJ2508" s="589"/>
      <c r="AK2508" s="589"/>
      <c r="AL2508" s="589"/>
      <c r="AM2508" s="589"/>
      <c r="AN2508" s="589"/>
      <c r="AO2508" s="589"/>
      <c r="AP2508" s="589"/>
      <c r="AQ2508" s="589"/>
      <c r="AR2508" s="589"/>
      <c r="AS2508" s="589"/>
    </row>
    <row r="2509" spans="1:45" ht="15">
      <c r="A2509" s="590" t="s">
        <v>136</v>
      </c>
      <c r="B2509" s="591" t="s">
        <v>282</v>
      </c>
      <c r="C2509" s="591" t="s">
        <v>782</v>
      </c>
      <c r="D2509" s="592">
        <v>2019</v>
      </c>
      <c r="E2509" s="591" t="s">
        <v>775</v>
      </c>
      <c r="F2509" s="592">
        <v>56</v>
      </c>
      <c r="G2509" s="592">
        <v>0</v>
      </c>
      <c r="H2509" s="592">
        <v>0</v>
      </c>
      <c r="I2509" s="592">
        <v>0</v>
      </c>
      <c r="J2509" s="592">
        <v>53</v>
      </c>
      <c r="K2509" s="592">
        <v>0</v>
      </c>
      <c r="L2509" s="592">
        <v>0</v>
      </c>
      <c r="M2509" s="592">
        <v>0</v>
      </c>
      <c r="N2509" s="593">
        <v>75</v>
      </c>
      <c r="O2509" s="593">
        <v>6</v>
      </c>
      <c r="P2509" s="593">
        <v>265</v>
      </c>
      <c r="Q2509" s="593">
        <v>1</v>
      </c>
      <c r="R2509" s="593">
        <v>449</v>
      </c>
      <c r="S2509" s="593">
        <v>7</v>
      </c>
      <c r="T2509" s="593">
        <v>2019</v>
      </c>
      <c r="U2509" s="593">
        <v>2015</v>
      </c>
      <c r="V2509" s="589"/>
      <c r="W2509" s="589"/>
      <c r="X2509" s="589"/>
      <c r="Y2509" s="589"/>
      <c r="Z2509" s="589"/>
      <c r="AA2509" s="589"/>
      <c r="AB2509" s="589"/>
      <c r="AC2509" s="589"/>
      <c r="AD2509" s="589"/>
      <c r="AE2509" s="589"/>
      <c r="AF2509" s="589"/>
      <c r="AG2509" s="589"/>
      <c r="AH2509" s="589"/>
      <c r="AI2509" s="589"/>
      <c r="AJ2509" s="589"/>
      <c r="AK2509" s="589"/>
      <c r="AL2509" s="589"/>
      <c r="AM2509" s="589"/>
      <c r="AN2509" s="589"/>
      <c r="AO2509" s="589"/>
      <c r="AP2509" s="589"/>
      <c r="AQ2509" s="589"/>
      <c r="AR2509" s="589"/>
      <c r="AS2509" s="589"/>
    </row>
    <row r="2510" spans="1:45" ht="15">
      <c r="A2510" s="587" t="s">
        <v>157</v>
      </c>
      <c r="B2510" s="587" t="s">
        <v>445</v>
      </c>
      <c r="C2510" s="587" t="s">
        <v>782</v>
      </c>
      <c r="D2510" s="588">
        <v>2019</v>
      </c>
      <c r="E2510" s="587" t="s">
        <v>775</v>
      </c>
      <c r="F2510" s="588">
        <v>240</v>
      </c>
      <c r="G2510" s="588">
        <v>0</v>
      </c>
      <c r="H2510" s="588">
        <v>0</v>
      </c>
      <c r="I2510" s="588">
        <v>0</v>
      </c>
      <c r="J2510" s="588">
        <v>148</v>
      </c>
      <c r="K2510" s="588">
        <v>6</v>
      </c>
      <c r="L2510" s="588">
        <v>0</v>
      </c>
      <c r="M2510" s="588">
        <v>6</v>
      </c>
      <c r="N2510" s="588">
        <v>181</v>
      </c>
      <c r="O2510" s="588">
        <v>0</v>
      </c>
      <c r="P2510" s="588">
        <v>438</v>
      </c>
      <c r="Q2510" s="588">
        <v>22</v>
      </c>
      <c r="R2510" s="588">
        <v>1007</v>
      </c>
      <c r="S2510" s="588">
        <v>28</v>
      </c>
      <c r="T2510" s="588">
        <v>2019</v>
      </c>
      <c r="U2510" s="588">
        <v>2015</v>
      </c>
      <c r="V2510" s="589"/>
      <c r="W2510" s="589"/>
      <c r="X2510" s="589"/>
      <c r="Y2510" s="589"/>
      <c r="Z2510" s="589"/>
      <c r="AA2510" s="589"/>
      <c r="AB2510" s="589"/>
      <c r="AC2510" s="589"/>
      <c r="AD2510" s="589"/>
      <c r="AE2510" s="589"/>
      <c r="AF2510" s="589"/>
      <c r="AG2510" s="589"/>
      <c r="AH2510" s="589"/>
      <c r="AI2510" s="589"/>
      <c r="AJ2510" s="589"/>
      <c r="AK2510" s="589"/>
      <c r="AL2510" s="589"/>
      <c r="AM2510" s="589"/>
      <c r="AN2510" s="589"/>
      <c r="AO2510" s="589"/>
      <c r="AP2510" s="589"/>
      <c r="AQ2510" s="589"/>
      <c r="AR2510" s="589"/>
      <c r="AS2510" s="589"/>
    </row>
    <row r="2511" spans="1:45" ht="15">
      <c r="A2511" s="590" t="s">
        <v>136</v>
      </c>
      <c r="B2511" s="591" t="s">
        <v>283</v>
      </c>
      <c r="C2511" s="591" t="s">
        <v>782</v>
      </c>
      <c r="D2511" s="592">
        <v>2019</v>
      </c>
      <c r="E2511" s="591" t="s">
        <v>775</v>
      </c>
      <c r="F2511" s="592">
        <v>516</v>
      </c>
      <c r="G2511" s="592">
        <v>0</v>
      </c>
      <c r="H2511" s="592">
        <v>0</v>
      </c>
      <c r="I2511" s="592">
        <v>0</v>
      </c>
      <c r="J2511" s="592">
        <v>279</v>
      </c>
      <c r="K2511" s="592">
        <v>0</v>
      </c>
      <c r="L2511" s="592">
        <v>0</v>
      </c>
      <c r="M2511" s="592">
        <v>0</v>
      </c>
      <c r="N2511" s="593">
        <v>282</v>
      </c>
      <c r="O2511" s="593">
        <v>0</v>
      </c>
      <c r="P2511" s="593">
        <v>340</v>
      </c>
      <c r="Q2511" s="593">
        <v>252</v>
      </c>
      <c r="R2511" s="593">
        <v>1417</v>
      </c>
      <c r="S2511" s="593">
        <v>252</v>
      </c>
      <c r="T2511" s="593">
        <v>2019</v>
      </c>
      <c r="U2511" s="593">
        <v>2015</v>
      </c>
      <c r="V2511" s="589"/>
      <c r="W2511" s="589"/>
      <c r="X2511" s="589"/>
      <c r="Y2511" s="589"/>
      <c r="Z2511" s="589"/>
      <c r="AA2511" s="589"/>
      <c r="AB2511" s="589"/>
      <c r="AC2511" s="589"/>
      <c r="AD2511" s="589"/>
      <c r="AE2511" s="589"/>
      <c r="AF2511" s="589"/>
      <c r="AG2511" s="589"/>
      <c r="AH2511" s="589"/>
      <c r="AI2511" s="589"/>
      <c r="AJ2511" s="589"/>
      <c r="AK2511" s="589"/>
      <c r="AL2511" s="589"/>
      <c r="AM2511" s="589"/>
      <c r="AN2511" s="589"/>
      <c r="AO2511" s="589"/>
      <c r="AP2511" s="589"/>
      <c r="AQ2511" s="589"/>
      <c r="AR2511" s="589"/>
      <c r="AS2511" s="589"/>
    </row>
    <row r="2512" spans="1:45" ht="15">
      <c r="A2512" s="587" t="s">
        <v>164</v>
      </c>
      <c r="B2512" s="587" t="s">
        <v>473</v>
      </c>
      <c r="C2512" s="587" t="s">
        <v>811</v>
      </c>
      <c r="D2512" s="588">
        <v>2019</v>
      </c>
      <c r="E2512" s="587" t="s">
        <v>775</v>
      </c>
      <c r="F2512" s="588">
        <v>13</v>
      </c>
      <c r="G2512" s="588">
        <v>0</v>
      </c>
      <c r="H2512" s="588">
        <v>0</v>
      </c>
      <c r="I2512" s="588">
        <v>0</v>
      </c>
      <c r="J2512" s="588">
        <v>9</v>
      </c>
      <c r="K2512" s="588">
        <v>0</v>
      </c>
      <c r="L2512" s="588">
        <v>0</v>
      </c>
      <c r="M2512" s="588">
        <v>0</v>
      </c>
      <c r="N2512" s="588">
        <v>10</v>
      </c>
      <c r="O2512" s="588">
        <v>0</v>
      </c>
      <c r="P2512" s="588">
        <v>23</v>
      </c>
      <c r="Q2512" s="588">
        <v>4</v>
      </c>
      <c r="R2512" s="588">
        <v>55</v>
      </c>
      <c r="S2512" s="588">
        <v>4</v>
      </c>
      <c r="T2512" s="588">
        <v>2019</v>
      </c>
      <c r="U2512" s="588">
        <v>2016</v>
      </c>
      <c r="V2512" s="589"/>
      <c r="W2512" s="589"/>
      <c r="X2512" s="589"/>
      <c r="Y2512" s="589"/>
      <c r="Z2512" s="589"/>
      <c r="AA2512" s="589"/>
      <c r="AB2512" s="589"/>
      <c r="AC2512" s="589"/>
      <c r="AD2512" s="589"/>
      <c r="AE2512" s="589"/>
      <c r="AF2512" s="589"/>
      <c r="AG2512" s="589"/>
      <c r="AH2512" s="589"/>
      <c r="AI2512" s="589"/>
      <c r="AJ2512" s="589"/>
      <c r="AK2512" s="589"/>
      <c r="AL2512" s="589"/>
      <c r="AM2512" s="589"/>
      <c r="AN2512" s="589"/>
      <c r="AO2512" s="589"/>
      <c r="AP2512" s="589"/>
      <c r="AQ2512" s="589"/>
      <c r="AR2512" s="589"/>
      <c r="AS2512" s="589"/>
    </row>
    <row r="2513" spans="1:45" ht="15">
      <c r="A2513" s="590" t="s">
        <v>141</v>
      </c>
      <c r="B2513" s="591" t="s">
        <v>302</v>
      </c>
      <c r="C2513" s="591" t="s">
        <v>811</v>
      </c>
      <c r="D2513" s="592">
        <v>2019</v>
      </c>
      <c r="E2513" s="591" t="s">
        <v>775</v>
      </c>
      <c r="F2513" s="592">
        <v>312</v>
      </c>
      <c r="G2513" s="592">
        <v>0</v>
      </c>
      <c r="H2513" s="592">
        <v>0</v>
      </c>
      <c r="I2513" s="592">
        <v>0</v>
      </c>
      <c r="J2513" s="592">
        <v>175</v>
      </c>
      <c r="K2513" s="592">
        <v>0</v>
      </c>
      <c r="L2513" s="592">
        <v>0</v>
      </c>
      <c r="M2513" s="592">
        <v>0</v>
      </c>
      <c r="N2513" s="593">
        <v>163</v>
      </c>
      <c r="O2513" s="593">
        <v>33</v>
      </c>
      <c r="P2513" s="593">
        <v>568</v>
      </c>
      <c r="Q2513" s="593">
        <v>17</v>
      </c>
      <c r="R2513" s="593">
        <v>1218</v>
      </c>
      <c r="S2513" s="593">
        <v>50</v>
      </c>
      <c r="T2513" s="593">
        <v>2019</v>
      </c>
      <c r="U2513" s="593">
        <v>2016</v>
      </c>
      <c r="V2513" s="589"/>
      <c r="W2513" s="589"/>
      <c r="X2513" s="589"/>
      <c r="Y2513" s="589"/>
      <c r="Z2513" s="589"/>
      <c r="AA2513" s="589"/>
      <c r="AB2513" s="589"/>
      <c r="AC2513" s="589"/>
      <c r="AD2513" s="589"/>
      <c r="AE2513" s="589"/>
      <c r="AF2513" s="589"/>
      <c r="AG2513" s="589"/>
      <c r="AH2513" s="589"/>
      <c r="AI2513" s="589"/>
      <c r="AJ2513" s="589"/>
      <c r="AK2513" s="589"/>
      <c r="AL2513" s="589"/>
      <c r="AM2513" s="589"/>
      <c r="AN2513" s="589"/>
      <c r="AO2513" s="589"/>
      <c r="AP2513" s="589"/>
      <c r="AQ2513" s="589"/>
      <c r="AR2513" s="589"/>
      <c r="AS2513" s="589"/>
    </row>
    <row r="2514" spans="1:45" ht="15">
      <c r="A2514" s="587" t="s">
        <v>169</v>
      </c>
      <c r="B2514" s="587" t="s">
        <v>512</v>
      </c>
      <c r="C2514" s="587" t="s">
        <v>813</v>
      </c>
      <c r="D2514" s="588">
        <v>2019</v>
      </c>
      <c r="E2514" s="587" t="s">
        <v>775</v>
      </c>
      <c r="F2514" s="588">
        <v>45</v>
      </c>
      <c r="G2514" s="588">
        <v>80</v>
      </c>
      <c r="H2514" s="588">
        <v>76</v>
      </c>
      <c r="I2514" s="588">
        <v>4</v>
      </c>
      <c r="J2514" s="588">
        <v>32</v>
      </c>
      <c r="K2514" s="588">
        <v>83</v>
      </c>
      <c r="L2514" s="588">
        <v>30</v>
      </c>
      <c r="M2514" s="588">
        <v>53</v>
      </c>
      <c r="N2514" s="588">
        <v>37</v>
      </c>
      <c r="O2514" s="588">
        <v>1</v>
      </c>
      <c r="P2514" s="588">
        <v>90</v>
      </c>
      <c r="Q2514" s="588">
        <v>538</v>
      </c>
      <c r="R2514" s="588">
        <v>204</v>
      </c>
      <c r="S2514" s="588">
        <v>702</v>
      </c>
      <c r="T2514" s="588">
        <v>2019</v>
      </c>
      <c r="U2514" s="588">
        <v>2014</v>
      </c>
      <c r="V2514" s="589"/>
      <c r="W2514" s="589"/>
      <c r="X2514" s="589"/>
      <c r="Y2514" s="589"/>
      <c r="Z2514" s="589"/>
      <c r="AA2514" s="589"/>
      <c r="AB2514" s="589"/>
      <c r="AC2514" s="589"/>
      <c r="AD2514" s="589"/>
      <c r="AE2514" s="589"/>
      <c r="AF2514" s="589"/>
      <c r="AG2514" s="589"/>
      <c r="AH2514" s="589"/>
      <c r="AI2514" s="589"/>
      <c r="AJ2514" s="589"/>
      <c r="AK2514" s="589"/>
      <c r="AL2514" s="589"/>
      <c r="AM2514" s="589"/>
      <c r="AN2514" s="589"/>
      <c r="AO2514" s="589"/>
      <c r="AP2514" s="589"/>
      <c r="AQ2514" s="589"/>
      <c r="AR2514" s="589"/>
      <c r="AS2514" s="589"/>
    </row>
    <row r="2515" spans="1:45" ht="15">
      <c r="A2515" s="590" t="s">
        <v>185</v>
      </c>
      <c r="B2515" s="591" t="s">
        <v>185</v>
      </c>
      <c r="C2515" s="591" t="s">
        <v>872</v>
      </c>
      <c r="D2515" s="592">
        <v>2019</v>
      </c>
      <c r="E2515" s="591" t="s">
        <v>775</v>
      </c>
      <c r="F2515" s="592">
        <v>962</v>
      </c>
      <c r="G2515" s="592">
        <v>0</v>
      </c>
      <c r="H2515" s="592">
        <v>0</v>
      </c>
      <c r="I2515" s="592">
        <v>0</v>
      </c>
      <c r="J2515" s="592">
        <v>701</v>
      </c>
      <c r="K2515" s="592">
        <v>0</v>
      </c>
      <c r="L2515" s="592">
        <v>0</v>
      </c>
      <c r="M2515" s="592">
        <v>0</v>
      </c>
      <c r="N2515" s="593">
        <v>820</v>
      </c>
      <c r="O2515" s="593">
        <v>0</v>
      </c>
      <c r="P2515" s="593">
        <v>1617</v>
      </c>
      <c r="Q2515" s="593">
        <v>180</v>
      </c>
      <c r="R2515" s="593">
        <v>4100</v>
      </c>
      <c r="S2515" s="593">
        <v>180</v>
      </c>
      <c r="T2515" s="593">
        <v>2019</v>
      </c>
      <c r="U2515" s="593">
        <v>2015</v>
      </c>
      <c r="V2515" s="589"/>
      <c r="W2515" s="589"/>
      <c r="X2515" s="589"/>
      <c r="Y2515" s="589"/>
      <c r="Z2515" s="589"/>
      <c r="AA2515" s="589"/>
      <c r="AB2515" s="589"/>
      <c r="AC2515" s="589"/>
      <c r="AD2515" s="589"/>
      <c r="AE2515" s="589"/>
      <c r="AF2515" s="589"/>
      <c r="AG2515" s="589"/>
      <c r="AH2515" s="589"/>
      <c r="AI2515" s="589"/>
      <c r="AJ2515" s="589"/>
      <c r="AK2515" s="589"/>
      <c r="AL2515" s="589"/>
      <c r="AM2515" s="589"/>
      <c r="AN2515" s="589"/>
      <c r="AO2515" s="589"/>
      <c r="AP2515" s="589"/>
      <c r="AQ2515" s="589"/>
      <c r="AR2515" s="589"/>
      <c r="AS2515" s="589"/>
    </row>
    <row r="2516" spans="1:45" ht="15">
      <c r="A2516" s="587" t="s">
        <v>185</v>
      </c>
      <c r="B2516" s="587" t="s">
        <v>648</v>
      </c>
      <c r="C2516" s="587" t="s">
        <v>872</v>
      </c>
      <c r="D2516" s="588">
        <v>2019</v>
      </c>
      <c r="E2516" s="587" t="s">
        <v>775</v>
      </c>
      <c r="F2516" s="588">
        <v>159</v>
      </c>
      <c r="G2516" s="588">
        <v>0</v>
      </c>
      <c r="H2516" s="588">
        <v>0</v>
      </c>
      <c r="I2516" s="588">
        <v>0</v>
      </c>
      <c r="J2516" s="588">
        <v>106</v>
      </c>
      <c r="K2516" s="588">
        <v>26</v>
      </c>
      <c r="L2516" s="588">
        <v>0</v>
      </c>
      <c r="M2516" s="588">
        <v>26</v>
      </c>
      <c r="N2516" s="588">
        <v>112</v>
      </c>
      <c r="O2516" s="588">
        <v>21</v>
      </c>
      <c r="P2516" s="588">
        <v>284</v>
      </c>
      <c r="Q2516" s="588">
        <v>195</v>
      </c>
      <c r="R2516" s="588">
        <v>661</v>
      </c>
      <c r="S2516" s="588">
        <v>242</v>
      </c>
      <c r="T2516" s="588">
        <v>2019</v>
      </c>
      <c r="U2516" s="588">
        <v>2015</v>
      </c>
      <c r="V2516" s="589"/>
      <c r="W2516" s="589"/>
      <c r="X2516" s="589"/>
      <c r="Y2516" s="589"/>
      <c r="Z2516" s="589"/>
      <c r="AA2516" s="589"/>
      <c r="AB2516" s="589"/>
      <c r="AC2516" s="589"/>
      <c r="AD2516" s="589"/>
      <c r="AE2516" s="589"/>
      <c r="AF2516" s="589"/>
      <c r="AG2516" s="589"/>
      <c r="AH2516" s="589"/>
      <c r="AI2516" s="589"/>
      <c r="AJ2516" s="589"/>
      <c r="AK2516" s="589"/>
      <c r="AL2516" s="589"/>
      <c r="AM2516" s="589"/>
      <c r="AN2516" s="589"/>
      <c r="AO2516" s="589"/>
      <c r="AP2516" s="589"/>
      <c r="AQ2516" s="589"/>
      <c r="AR2516" s="589"/>
      <c r="AS2516" s="589"/>
    </row>
    <row r="2517" spans="1:45" ht="15">
      <c r="A2517" s="590" t="s">
        <v>187</v>
      </c>
      <c r="B2517" s="591" t="s">
        <v>187</v>
      </c>
      <c r="C2517" s="591" t="s">
        <v>782</v>
      </c>
      <c r="D2517" s="592">
        <v>2019</v>
      </c>
      <c r="E2517" s="591" t="s">
        <v>775</v>
      </c>
      <c r="F2517" s="592">
        <v>1050</v>
      </c>
      <c r="G2517" s="592">
        <v>130</v>
      </c>
      <c r="H2517" s="592">
        <v>130</v>
      </c>
      <c r="I2517" s="592">
        <v>0</v>
      </c>
      <c r="J2517" s="592">
        <v>695</v>
      </c>
      <c r="K2517" s="592">
        <v>15</v>
      </c>
      <c r="L2517" s="592">
        <v>15</v>
      </c>
      <c r="M2517" s="592">
        <v>0</v>
      </c>
      <c r="N2517" s="593">
        <v>755</v>
      </c>
      <c r="O2517" s="593">
        <v>8</v>
      </c>
      <c r="P2517" s="593">
        <v>1593</v>
      </c>
      <c r="Q2517" s="593">
        <v>626</v>
      </c>
      <c r="R2517" s="593">
        <v>4093</v>
      </c>
      <c r="S2517" s="593">
        <v>779</v>
      </c>
      <c r="T2517" s="593">
        <v>2019</v>
      </c>
      <c r="U2517" s="593">
        <v>2015</v>
      </c>
      <c r="V2517" s="589"/>
      <c r="W2517" s="589"/>
      <c r="X2517" s="589"/>
      <c r="Y2517" s="589"/>
      <c r="Z2517" s="589"/>
      <c r="AA2517" s="589"/>
      <c r="AB2517" s="589"/>
      <c r="AC2517" s="589"/>
      <c r="AD2517" s="589"/>
      <c r="AE2517" s="589"/>
      <c r="AF2517" s="589"/>
      <c r="AG2517" s="589"/>
      <c r="AH2517" s="589"/>
      <c r="AI2517" s="589"/>
      <c r="AJ2517" s="589"/>
      <c r="AK2517" s="589"/>
      <c r="AL2517" s="589"/>
      <c r="AM2517" s="589"/>
      <c r="AN2517" s="589"/>
      <c r="AO2517" s="589"/>
      <c r="AP2517" s="589"/>
      <c r="AQ2517" s="589"/>
      <c r="AR2517" s="589"/>
      <c r="AS2517" s="589"/>
    </row>
    <row r="2518" spans="1:45" ht="15">
      <c r="A2518" s="587" t="s">
        <v>187</v>
      </c>
      <c r="B2518" s="587" t="s">
        <v>663</v>
      </c>
      <c r="C2518" s="587" t="s">
        <v>782</v>
      </c>
      <c r="D2518" s="588">
        <v>2019</v>
      </c>
      <c r="E2518" s="587" t="s">
        <v>775</v>
      </c>
      <c r="F2518" s="588">
        <v>22</v>
      </c>
      <c r="G2518" s="588">
        <v>24</v>
      </c>
      <c r="H2518" s="588">
        <v>0</v>
      </c>
      <c r="I2518" s="588">
        <v>24</v>
      </c>
      <c r="J2518" s="588">
        <v>13</v>
      </c>
      <c r="K2518" s="588">
        <v>0</v>
      </c>
      <c r="L2518" s="588">
        <v>0</v>
      </c>
      <c r="M2518" s="588">
        <v>0</v>
      </c>
      <c r="N2518" s="588">
        <v>214</v>
      </c>
      <c r="O2518" s="588">
        <v>2532</v>
      </c>
      <c r="P2518" s="588">
        <v>28</v>
      </c>
      <c r="Q2518" s="588">
        <v>41</v>
      </c>
      <c r="R2518" s="588">
        <v>277</v>
      </c>
      <c r="S2518" s="588">
        <v>2597</v>
      </c>
      <c r="T2518" s="588">
        <v>2019</v>
      </c>
      <c r="U2518" s="588">
        <v>2015</v>
      </c>
      <c r="V2518" s="589"/>
      <c r="W2518" s="589"/>
      <c r="X2518" s="589"/>
      <c r="Y2518" s="589"/>
      <c r="Z2518" s="589"/>
      <c r="AA2518" s="589"/>
      <c r="AB2518" s="589"/>
      <c r="AC2518" s="589"/>
      <c r="AD2518" s="589"/>
      <c r="AE2518" s="589"/>
      <c r="AF2518" s="589"/>
      <c r="AG2518" s="589"/>
      <c r="AH2518" s="589"/>
      <c r="AI2518" s="589"/>
      <c r="AJ2518" s="589"/>
      <c r="AK2518" s="589"/>
      <c r="AL2518" s="589"/>
      <c r="AM2518" s="589"/>
      <c r="AN2518" s="589"/>
      <c r="AO2518" s="589"/>
      <c r="AP2518" s="589"/>
      <c r="AQ2518" s="589"/>
      <c r="AR2518" s="589"/>
      <c r="AS2518" s="589"/>
    </row>
    <row r="2519" spans="1:45" ht="15">
      <c r="A2519" s="590" t="s">
        <v>153</v>
      </c>
      <c r="B2519" s="591" t="s">
        <v>418</v>
      </c>
      <c r="C2519" s="591" t="s">
        <v>813</v>
      </c>
      <c r="D2519" s="592">
        <v>2019</v>
      </c>
      <c r="E2519" s="591" t="s">
        <v>775</v>
      </c>
      <c r="F2519" s="592">
        <v>2645</v>
      </c>
      <c r="G2519" s="592">
        <v>0</v>
      </c>
      <c r="H2519" s="592">
        <v>0</v>
      </c>
      <c r="I2519" s="592">
        <v>0</v>
      </c>
      <c r="J2519" s="592">
        <v>1678</v>
      </c>
      <c r="K2519" s="592">
        <v>0</v>
      </c>
      <c r="L2519" s="592">
        <v>0</v>
      </c>
      <c r="M2519" s="592">
        <v>0</v>
      </c>
      <c r="N2519" s="593">
        <v>1532</v>
      </c>
      <c r="O2519" s="593">
        <v>0</v>
      </c>
      <c r="P2519" s="593">
        <v>5126</v>
      </c>
      <c r="Q2519" s="593">
        <v>925</v>
      </c>
      <c r="R2519" s="593">
        <v>10981</v>
      </c>
      <c r="S2519" s="593">
        <v>925</v>
      </c>
      <c r="T2519" s="593">
        <v>2019</v>
      </c>
      <c r="U2519" s="593">
        <v>2014</v>
      </c>
      <c r="V2519" s="589"/>
      <c r="W2519" s="589"/>
      <c r="X2519" s="589"/>
      <c r="Y2519" s="589"/>
      <c r="Z2519" s="589"/>
      <c r="AA2519" s="589"/>
      <c r="AB2519" s="589"/>
      <c r="AC2519" s="589"/>
      <c r="AD2519" s="589"/>
      <c r="AE2519" s="589"/>
      <c r="AF2519" s="589"/>
      <c r="AG2519" s="589"/>
      <c r="AH2519" s="589"/>
      <c r="AI2519" s="589"/>
      <c r="AJ2519" s="589"/>
      <c r="AK2519" s="589"/>
      <c r="AL2519" s="589"/>
      <c r="AM2519" s="589"/>
      <c r="AN2519" s="589"/>
      <c r="AO2519" s="589"/>
      <c r="AP2519" s="589"/>
      <c r="AQ2519" s="589"/>
      <c r="AR2519" s="589"/>
      <c r="AS2519" s="589"/>
    </row>
    <row r="2520" spans="1:45" ht="15">
      <c r="A2520" s="587" t="s">
        <v>188</v>
      </c>
      <c r="B2520" s="587" t="s">
        <v>188</v>
      </c>
      <c r="C2520" s="587" t="s">
        <v>811</v>
      </c>
      <c r="D2520" s="588">
        <v>2019</v>
      </c>
      <c r="E2520" s="587" t="s">
        <v>775</v>
      </c>
      <c r="F2520" s="588">
        <v>180</v>
      </c>
      <c r="G2520" s="588">
        <v>0</v>
      </c>
      <c r="H2520" s="588">
        <v>0</v>
      </c>
      <c r="I2520" s="588">
        <v>0</v>
      </c>
      <c r="J2520" s="588">
        <v>118</v>
      </c>
      <c r="K2520" s="588">
        <v>115</v>
      </c>
      <c r="L2520" s="588">
        <v>64</v>
      </c>
      <c r="M2520" s="588">
        <v>51</v>
      </c>
      <c r="N2520" s="588">
        <v>136</v>
      </c>
      <c r="O2520" s="588">
        <v>16</v>
      </c>
      <c r="P2520" s="588">
        <v>313</v>
      </c>
      <c r="Q2520" s="588">
        <v>27</v>
      </c>
      <c r="R2520" s="588">
        <v>747</v>
      </c>
      <c r="S2520" s="588">
        <v>158</v>
      </c>
      <c r="T2520" s="588">
        <v>2019</v>
      </c>
      <c r="U2520" s="588">
        <v>2016</v>
      </c>
      <c r="V2520" s="589"/>
      <c r="W2520" s="589"/>
      <c r="X2520" s="589"/>
      <c r="Y2520" s="589"/>
      <c r="Z2520" s="589"/>
      <c r="AA2520" s="589"/>
      <c r="AB2520" s="589"/>
      <c r="AC2520" s="589"/>
      <c r="AD2520" s="589"/>
      <c r="AE2520" s="589"/>
      <c r="AF2520" s="589"/>
      <c r="AG2520" s="589"/>
      <c r="AH2520" s="589"/>
      <c r="AI2520" s="589"/>
      <c r="AJ2520" s="589"/>
      <c r="AK2520" s="589"/>
      <c r="AL2520" s="589"/>
      <c r="AM2520" s="589"/>
      <c r="AN2520" s="589"/>
      <c r="AO2520" s="589"/>
      <c r="AP2520" s="589"/>
      <c r="AQ2520" s="589"/>
      <c r="AR2520" s="589"/>
      <c r="AS2520" s="589"/>
    </row>
    <row r="2521" spans="1:45" ht="15">
      <c r="A2521" s="590" t="s">
        <v>188</v>
      </c>
      <c r="B2521" s="591" t="s">
        <v>667</v>
      </c>
      <c r="C2521" s="591" t="s">
        <v>811</v>
      </c>
      <c r="D2521" s="592">
        <v>2019</v>
      </c>
      <c r="E2521" s="591" t="s">
        <v>775</v>
      </c>
      <c r="F2521" s="592">
        <v>317</v>
      </c>
      <c r="G2521" s="592">
        <v>0</v>
      </c>
      <c r="H2521" s="592">
        <v>0</v>
      </c>
      <c r="I2521" s="592">
        <v>0</v>
      </c>
      <c r="J2521" s="592">
        <v>207</v>
      </c>
      <c r="K2521" s="592">
        <v>2</v>
      </c>
      <c r="L2521" s="592">
        <v>2</v>
      </c>
      <c r="M2521" s="592">
        <v>0</v>
      </c>
      <c r="N2521" s="593">
        <v>239</v>
      </c>
      <c r="O2521" s="593">
        <v>28</v>
      </c>
      <c r="P2521" s="593">
        <v>551</v>
      </c>
      <c r="Q2521" s="593">
        <v>46</v>
      </c>
      <c r="R2521" s="593">
        <v>1314</v>
      </c>
      <c r="S2521" s="593">
        <v>76</v>
      </c>
      <c r="T2521" s="593">
        <v>2019</v>
      </c>
      <c r="U2521" s="593">
        <v>2016</v>
      </c>
      <c r="V2521" s="589"/>
      <c r="W2521" s="589"/>
      <c r="X2521" s="589"/>
      <c r="Y2521" s="589"/>
      <c r="Z2521" s="589"/>
      <c r="AA2521" s="589"/>
      <c r="AB2521" s="589"/>
      <c r="AC2521" s="589"/>
      <c r="AD2521" s="589"/>
      <c r="AE2521" s="589"/>
      <c r="AF2521" s="589"/>
      <c r="AG2521" s="589"/>
      <c r="AH2521" s="589"/>
      <c r="AI2521" s="589"/>
      <c r="AJ2521" s="589"/>
      <c r="AK2521" s="589"/>
      <c r="AL2521" s="589"/>
      <c r="AM2521" s="589"/>
      <c r="AN2521" s="589"/>
      <c r="AO2521" s="589"/>
      <c r="AP2521" s="589"/>
      <c r="AQ2521" s="589"/>
      <c r="AR2521" s="589"/>
      <c r="AS2521" s="589"/>
    </row>
    <row r="2522" spans="1:45" ht="15">
      <c r="A2522" s="587" t="s">
        <v>153</v>
      </c>
      <c r="B2522" s="587" t="s">
        <v>419</v>
      </c>
      <c r="C2522" s="587" t="s">
        <v>813</v>
      </c>
      <c r="D2522" s="588">
        <v>2019</v>
      </c>
      <c r="E2522" s="587" t="s">
        <v>775</v>
      </c>
      <c r="F2522" s="588">
        <v>82</v>
      </c>
      <c r="G2522" s="588">
        <v>0</v>
      </c>
      <c r="H2522" s="588">
        <v>0</v>
      </c>
      <c r="I2522" s="588">
        <v>0</v>
      </c>
      <c r="J2522" s="588">
        <v>50</v>
      </c>
      <c r="K2522" s="588">
        <v>10</v>
      </c>
      <c r="L2522" s="588">
        <v>0</v>
      </c>
      <c r="M2522" s="588">
        <v>10</v>
      </c>
      <c r="N2522" s="588">
        <v>53</v>
      </c>
      <c r="O2522" s="588">
        <v>0</v>
      </c>
      <c r="P2522" s="588">
        <v>139</v>
      </c>
      <c r="Q2522" s="588">
        <v>0</v>
      </c>
      <c r="R2522" s="588">
        <v>324</v>
      </c>
      <c r="S2522" s="588">
        <v>10</v>
      </c>
      <c r="T2522" s="588">
        <v>2019</v>
      </c>
      <c r="U2522" s="588">
        <v>2014</v>
      </c>
      <c r="V2522" s="589"/>
      <c r="W2522" s="589"/>
      <c r="X2522" s="589"/>
      <c r="Y2522" s="589"/>
      <c r="Z2522" s="589"/>
      <c r="AA2522" s="589"/>
      <c r="AB2522" s="589"/>
      <c r="AC2522" s="589"/>
      <c r="AD2522" s="589"/>
      <c r="AE2522" s="589"/>
      <c r="AF2522" s="589"/>
      <c r="AG2522" s="589"/>
      <c r="AH2522" s="589"/>
      <c r="AI2522" s="589"/>
      <c r="AJ2522" s="589"/>
      <c r="AK2522" s="589"/>
      <c r="AL2522" s="589"/>
      <c r="AM2522" s="589"/>
      <c r="AN2522" s="589"/>
      <c r="AO2522" s="589"/>
      <c r="AP2522" s="589"/>
      <c r="AQ2522" s="589"/>
      <c r="AR2522" s="589"/>
      <c r="AS2522" s="589"/>
    </row>
    <row r="2523" spans="1:45" ht="15">
      <c r="A2523" s="590" t="s">
        <v>185</v>
      </c>
      <c r="B2523" s="591" t="s">
        <v>649</v>
      </c>
      <c r="C2523" s="591" t="s">
        <v>872</v>
      </c>
      <c r="D2523" s="592">
        <v>2019</v>
      </c>
      <c r="E2523" s="591" t="s">
        <v>775</v>
      </c>
      <c r="F2523" s="592">
        <v>985</v>
      </c>
      <c r="G2523" s="592">
        <v>4</v>
      </c>
      <c r="H2523" s="592">
        <v>4</v>
      </c>
      <c r="I2523" s="592">
        <v>0</v>
      </c>
      <c r="J2523" s="592">
        <v>656</v>
      </c>
      <c r="K2523" s="592">
        <v>146</v>
      </c>
      <c r="L2523" s="592">
        <v>35</v>
      </c>
      <c r="M2523" s="592">
        <v>111</v>
      </c>
      <c r="N2523" s="593">
        <v>730</v>
      </c>
      <c r="O2523" s="593">
        <v>92</v>
      </c>
      <c r="P2523" s="593">
        <v>1731</v>
      </c>
      <c r="Q2523" s="593">
        <v>252</v>
      </c>
      <c r="R2523" s="593">
        <v>4102</v>
      </c>
      <c r="S2523" s="593">
        <v>494</v>
      </c>
      <c r="T2523" s="593">
        <v>2019</v>
      </c>
      <c r="U2523" s="593">
        <v>2015</v>
      </c>
      <c r="V2523" s="589"/>
      <c r="W2523" s="589"/>
      <c r="X2523" s="589"/>
      <c r="Y2523" s="589"/>
      <c r="Z2523" s="589"/>
      <c r="AA2523" s="589"/>
      <c r="AB2523" s="589"/>
      <c r="AC2523" s="589"/>
      <c r="AD2523" s="589"/>
      <c r="AE2523" s="589"/>
      <c r="AF2523" s="589"/>
      <c r="AG2523" s="589"/>
      <c r="AH2523" s="589"/>
      <c r="AI2523" s="589"/>
      <c r="AJ2523" s="589"/>
      <c r="AK2523" s="589"/>
      <c r="AL2523" s="589"/>
      <c r="AM2523" s="589"/>
      <c r="AN2523" s="589"/>
      <c r="AO2523" s="589"/>
      <c r="AP2523" s="589"/>
      <c r="AQ2523" s="589"/>
      <c r="AR2523" s="589"/>
      <c r="AS2523" s="589"/>
    </row>
    <row r="2524" spans="1:45" ht="15">
      <c r="A2524" s="587" t="s">
        <v>153</v>
      </c>
      <c r="B2524" s="587" t="s">
        <v>420</v>
      </c>
      <c r="C2524" s="587" t="s">
        <v>813</v>
      </c>
      <c r="D2524" s="588">
        <v>2019</v>
      </c>
      <c r="E2524" s="587" t="s">
        <v>775</v>
      </c>
      <c r="F2524" s="588">
        <v>428</v>
      </c>
      <c r="G2524" s="588">
        <v>9</v>
      </c>
      <c r="H2524" s="588">
        <v>9</v>
      </c>
      <c r="I2524" s="588">
        <v>0</v>
      </c>
      <c r="J2524" s="588">
        <v>263</v>
      </c>
      <c r="K2524" s="588">
        <v>39</v>
      </c>
      <c r="L2524" s="588">
        <v>39</v>
      </c>
      <c r="M2524" s="588">
        <v>0</v>
      </c>
      <c r="N2524" s="588">
        <v>283</v>
      </c>
      <c r="O2524" s="588">
        <v>0</v>
      </c>
      <c r="P2524" s="588">
        <v>700</v>
      </c>
      <c r="Q2524" s="588">
        <v>450</v>
      </c>
      <c r="R2524" s="588">
        <v>1674</v>
      </c>
      <c r="S2524" s="588">
        <v>498</v>
      </c>
      <c r="T2524" s="588">
        <v>2019</v>
      </c>
      <c r="U2524" s="588">
        <v>2014</v>
      </c>
      <c r="V2524" s="589"/>
      <c r="W2524" s="589"/>
      <c r="X2524" s="589"/>
      <c r="Y2524" s="589"/>
      <c r="Z2524" s="589"/>
      <c r="AA2524" s="589"/>
      <c r="AB2524" s="589"/>
      <c r="AC2524" s="589"/>
      <c r="AD2524" s="589"/>
      <c r="AE2524" s="589"/>
      <c r="AF2524" s="589"/>
      <c r="AG2524" s="589"/>
      <c r="AH2524" s="589"/>
      <c r="AI2524" s="589"/>
      <c r="AJ2524" s="589"/>
      <c r="AK2524" s="589"/>
      <c r="AL2524" s="589"/>
      <c r="AM2524" s="589"/>
      <c r="AN2524" s="589"/>
      <c r="AO2524" s="589"/>
      <c r="AP2524" s="589"/>
      <c r="AQ2524" s="589"/>
      <c r="AR2524" s="589"/>
      <c r="AS2524" s="589"/>
    </row>
    <row r="2525" spans="1:45" ht="15">
      <c r="A2525" s="590" t="s">
        <v>201</v>
      </c>
      <c r="B2525" s="591" t="s">
        <v>737</v>
      </c>
      <c r="C2525" s="591" t="s">
        <v>813</v>
      </c>
      <c r="D2525" s="592">
        <v>2019</v>
      </c>
      <c r="E2525" s="591" t="s">
        <v>775</v>
      </c>
      <c r="F2525" s="592">
        <v>288</v>
      </c>
      <c r="G2525" s="592">
        <v>0</v>
      </c>
      <c r="H2525" s="592">
        <v>0</v>
      </c>
      <c r="I2525" s="592">
        <v>0</v>
      </c>
      <c r="J2525" s="592">
        <v>201</v>
      </c>
      <c r="K2525" s="592">
        <v>0</v>
      </c>
      <c r="L2525" s="592">
        <v>0</v>
      </c>
      <c r="M2525" s="592">
        <v>0</v>
      </c>
      <c r="N2525" s="593">
        <v>241</v>
      </c>
      <c r="O2525" s="593">
        <v>0</v>
      </c>
      <c r="P2525" s="593">
        <v>555</v>
      </c>
      <c r="Q2525" s="593">
        <v>0</v>
      </c>
      <c r="R2525" s="593">
        <v>1285</v>
      </c>
      <c r="S2525" s="593">
        <v>0</v>
      </c>
      <c r="T2525" s="593">
        <v>2019</v>
      </c>
      <c r="U2525" s="593">
        <v>2014</v>
      </c>
      <c r="V2525" s="589"/>
      <c r="W2525" s="589"/>
      <c r="X2525" s="589"/>
      <c r="Y2525" s="589"/>
      <c r="Z2525" s="589"/>
      <c r="AA2525" s="589"/>
      <c r="AB2525" s="589"/>
      <c r="AC2525" s="589"/>
      <c r="AD2525" s="589"/>
      <c r="AE2525" s="589"/>
      <c r="AF2525" s="589"/>
      <c r="AG2525" s="589"/>
      <c r="AH2525" s="589"/>
      <c r="AI2525" s="589"/>
      <c r="AJ2525" s="589"/>
      <c r="AK2525" s="589"/>
      <c r="AL2525" s="589"/>
      <c r="AM2525" s="589"/>
      <c r="AN2525" s="589"/>
      <c r="AO2525" s="589"/>
      <c r="AP2525" s="589"/>
      <c r="AQ2525" s="589"/>
      <c r="AR2525" s="589"/>
      <c r="AS2525" s="589"/>
    </row>
    <row r="2526" spans="1:45" ht="15">
      <c r="A2526" s="587" t="s">
        <v>193</v>
      </c>
      <c r="B2526" s="587" t="s">
        <v>699</v>
      </c>
      <c r="C2526" s="587" t="s">
        <v>782</v>
      </c>
      <c r="D2526" s="588">
        <v>2019</v>
      </c>
      <c r="E2526" s="587" t="s">
        <v>775</v>
      </c>
      <c r="F2526" s="588">
        <v>1041</v>
      </c>
      <c r="G2526" s="588">
        <v>6</v>
      </c>
      <c r="H2526" s="588">
        <v>6</v>
      </c>
      <c r="I2526" s="588">
        <v>0</v>
      </c>
      <c r="J2526" s="588">
        <v>671</v>
      </c>
      <c r="K2526" s="588">
        <v>12</v>
      </c>
      <c r="L2526" s="588">
        <v>12</v>
      </c>
      <c r="M2526" s="588">
        <v>0</v>
      </c>
      <c r="N2526" s="588">
        <v>759</v>
      </c>
      <c r="O2526" s="588">
        <v>50</v>
      </c>
      <c r="P2526" s="588">
        <v>2612</v>
      </c>
      <c r="Q2526" s="588">
        <v>379</v>
      </c>
      <c r="R2526" s="588">
        <v>5083</v>
      </c>
      <c r="S2526" s="588">
        <v>447</v>
      </c>
      <c r="T2526" s="588">
        <v>2019</v>
      </c>
      <c r="U2526" s="588">
        <v>2015</v>
      </c>
      <c r="V2526" s="589"/>
      <c r="W2526" s="589"/>
      <c r="X2526" s="589"/>
      <c r="Y2526" s="589"/>
      <c r="Z2526" s="589"/>
      <c r="AA2526" s="589"/>
      <c r="AB2526" s="589"/>
      <c r="AC2526" s="589"/>
      <c r="AD2526" s="589"/>
      <c r="AE2526" s="589"/>
      <c r="AF2526" s="589"/>
      <c r="AG2526" s="589"/>
      <c r="AH2526" s="589"/>
      <c r="AI2526" s="589"/>
      <c r="AJ2526" s="589"/>
      <c r="AK2526" s="589"/>
      <c r="AL2526" s="589"/>
      <c r="AM2526" s="589"/>
      <c r="AN2526" s="589"/>
      <c r="AO2526" s="589"/>
      <c r="AP2526" s="589"/>
      <c r="AQ2526" s="589"/>
      <c r="AR2526" s="589"/>
      <c r="AS2526" s="589"/>
    </row>
    <row r="2527" spans="1:45" ht="15">
      <c r="A2527" s="590" t="s">
        <v>179</v>
      </c>
      <c r="B2527" s="591" t="s">
        <v>605</v>
      </c>
      <c r="C2527" s="591" t="s">
        <v>856</v>
      </c>
      <c r="D2527" s="592">
        <v>2019</v>
      </c>
      <c r="E2527" s="591" t="s">
        <v>775</v>
      </c>
      <c r="F2527" s="592">
        <v>914</v>
      </c>
      <c r="G2527" s="592">
        <v>0</v>
      </c>
      <c r="H2527" s="592">
        <v>0</v>
      </c>
      <c r="I2527" s="592">
        <v>0</v>
      </c>
      <c r="J2527" s="592">
        <v>694</v>
      </c>
      <c r="K2527" s="592">
        <v>0</v>
      </c>
      <c r="L2527" s="592">
        <v>0</v>
      </c>
      <c r="M2527" s="592">
        <v>0</v>
      </c>
      <c r="N2527" s="593">
        <v>642</v>
      </c>
      <c r="O2527" s="593">
        <v>1</v>
      </c>
      <c r="P2527" s="593">
        <v>1410</v>
      </c>
      <c r="Q2527" s="593">
        <v>114</v>
      </c>
      <c r="R2527" s="593">
        <v>3660</v>
      </c>
      <c r="S2527" s="593">
        <v>115</v>
      </c>
      <c r="T2527" s="593">
        <v>2019</v>
      </c>
      <c r="U2527" s="593">
        <v>2013</v>
      </c>
      <c r="V2527" s="589"/>
      <c r="W2527" s="589"/>
      <c r="X2527" s="589"/>
      <c r="Y2527" s="589"/>
      <c r="Z2527" s="589"/>
      <c r="AA2527" s="589"/>
      <c r="AB2527" s="589"/>
      <c r="AC2527" s="589"/>
      <c r="AD2527" s="589"/>
      <c r="AE2527" s="589"/>
      <c r="AF2527" s="589"/>
      <c r="AG2527" s="589"/>
      <c r="AH2527" s="589"/>
      <c r="AI2527" s="589"/>
      <c r="AJ2527" s="589"/>
      <c r="AK2527" s="589"/>
      <c r="AL2527" s="589"/>
      <c r="AM2527" s="589"/>
      <c r="AN2527" s="589"/>
      <c r="AO2527" s="589"/>
      <c r="AP2527" s="589"/>
      <c r="AQ2527" s="589"/>
      <c r="AR2527" s="589"/>
      <c r="AS2527" s="589"/>
    </row>
    <row r="2528" spans="1:45" ht="15">
      <c r="A2528" s="587" t="s">
        <v>187</v>
      </c>
      <c r="B2528" s="587" t="s">
        <v>664</v>
      </c>
      <c r="C2528" s="587" t="s">
        <v>782</v>
      </c>
      <c r="D2528" s="588">
        <v>2019</v>
      </c>
      <c r="E2528" s="587" t="s">
        <v>775</v>
      </c>
      <c r="F2528" s="588">
        <v>147</v>
      </c>
      <c r="G2528" s="588">
        <v>0</v>
      </c>
      <c r="H2528" s="588">
        <v>0</v>
      </c>
      <c r="I2528" s="588">
        <v>0</v>
      </c>
      <c r="J2528" s="588">
        <v>95</v>
      </c>
      <c r="K2528" s="588">
        <v>17</v>
      </c>
      <c r="L2528" s="588">
        <v>17</v>
      </c>
      <c r="M2528" s="588">
        <v>0</v>
      </c>
      <c r="N2528" s="588">
        <v>104</v>
      </c>
      <c r="O2528" s="588">
        <v>8</v>
      </c>
      <c r="P2528" s="588">
        <v>93</v>
      </c>
      <c r="Q2528" s="588">
        <v>3</v>
      </c>
      <c r="R2528" s="588">
        <v>439</v>
      </c>
      <c r="S2528" s="588">
        <v>28</v>
      </c>
      <c r="T2528" s="588">
        <v>2019</v>
      </c>
      <c r="U2528" s="588">
        <v>2015</v>
      </c>
      <c r="V2528" s="589"/>
      <c r="W2528" s="589"/>
      <c r="X2528" s="589"/>
      <c r="Y2528" s="589"/>
      <c r="Z2528" s="589"/>
      <c r="AA2528" s="589"/>
      <c r="AB2528" s="589"/>
      <c r="AC2528" s="589"/>
      <c r="AD2528" s="589"/>
      <c r="AE2528" s="589"/>
      <c r="AF2528" s="589"/>
      <c r="AG2528" s="589"/>
      <c r="AH2528" s="589"/>
      <c r="AI2528" s="589"/>
      <c r="AJ2528" s="589"/>
      <c r="AK2528" s="589"/>
      <c r="AL2528" s="589"/>
      <c r="AM2528" s="589"/>
      <c r="AN2528" s="589"/>
      <c r="AO2528" s="589"/>
      <c r="AP2528" s="589"/>
      <c r="AQ2528" s="589"/>
      <c r="AR2528" s="589"/>
      <c r="AS2528" s="589"/>
    </row>
    <row r="2529" spans="1:45" ht="15">
      <c r="A2529" s="590" t="s">
        <v>157</v>
      </c>
      <c r="B2529" s="591" t="s">
        <v>446</v>
      </c>
      <c r="C2529" s="591" t="s">
        <v>782</v>
      </c>
      <c r="D2529" s="592">
        <v>2019</v>
      </c>
      <c r="E2529" s="591" t="s">
        <v>775</v>
      </c>
      <c r="F2529" s="592">
        <v>26</v>
      </c>
      <c r="G2529" s="592">
        <v>2</v>
      </c>
      <c r="H2529" s="592">
        <v>0</v>
      </c>
      <c r="I2529" s="592">
        <v>2</v>
      </c>
      <c r="J2529" s="592">
        <v>14</v>
      </c>
      <c r="K2529" s="592">
        <v>3</v>
      </c>
      <c r="L2529" s="592">
        <v>0</v>
      </c>
      <c r="M2529" s="592">
        <v>3</v>
      </c>
      <c r="N2529" s="593">
        <v>16</v>
      </c>
      <c r="O2529" s="593">
        <v>1</v>
      </c>
      <c r="P2529" s="593">
        <v>23</v>
      </c>
      <c r="Q2529" s="593">
        <v>0</v>
      </c>
      <c r="R2529" s="593">
        <v>79</v>
      </c>
      <c r="S2529" s="593">
        <v>6</v>
      </c>
      <c r="T2529" s="593">
        <v>2019</v>
      </c>
      <c r="U2529" s="593">
        <v>2015</v>
      </c>
      <c r="V2529" s="589"/>
      <c r="W2529" s="589"/>
      <c r="X2529" s="589"/>
      <c r="Y2529" s="589"/>
      <c r="Z2529" s="589"/>
      <c r="AA2529" s="589"/>
      <c r="AB2529" s="589"/>
      <c r="AC2529" s="589"/>
      <c r="AD2529" s="589"/>
      <c r="AE2529" s="589"/>
      <c r="AF2529" s="589"/>
      <c r="AG2529" s="589"/>
      <c r="AH2529" s="589"/>
      <c r="AI2529" s="589"/>
      <c r="AJ2529" s="589"/>
      <c r="AK2529" s="589"/>
      <c r="AL2529" s="589"/>
      <c r="AM2529" s="589"/>
      <c r="AN2529" s="589"/>
      <c r="AO2529" s="589"/>
      <c r="AP2529" s="589"/>
      <c r="AQ2529" s="589"/>
      <c r="AR2529" s="589"/>
      <c r="AS2529" s="589"/>
    </row>
    <row r="2530" spans="1:45" ht="15">
      <c r="A2530" s="587" t="s">
        <v>188</v>
      </c>
      <c r="B2530" s="587" t="s">
        <v>668</v>
      </c>
      <c r="C2530" s="587" t="s">
        <v>811</v>
      </c>
      <c r="D2530" s="588">
        <v>2019</v>
      </c>
      <c r="E2530" s="587" t="s">
        <v>775</v>
      </c>
      <c r="F2530" s="588">
        <v>34</v>
      </c>
      <c r="G2530" s="588">
        <v>0</v>
      </c>
      <c r="H2530" s="588">
        <v>0</v>
      </c>
      <c r="I2530" s="588">
        <v>0</v>
      </c>
      <c r="J2530" s="588">
        <v>22</v>
      </c>
      <c r="K2530" s="588">
        <v>0</v>
      </c>
      <c r="L2530" s="588">
        <v>0</v>
      </c>
      <c r="M2530" s="588">
        <v>0</v>
      </c>
      <c r="N2530" s="588">
        <v>26</v>
      </c>
      <c r="O2530" s="588">
        <v>0</v>
      </c>
      <c r="P2530" s="588">
        <v>58</v>
      </c>
      <c r="Q2530" s="588">
        <v>12</v>
      </c>
      <c r="R2530" s="588">
        <v>140</v>
      </c>
      <c r="S2530" s="588">
        <v>12</v>
      </c>
      <c r="T2530" s="588">
        <v>2019</v>
      </c>
      <c r="U2530" s="588">
        <v>2016</v>
      </c>
      <c r="V2530" s="589"/>
      <c r="W2530" s="589"/>
      <c r="X2530" s="589"/>
      <c r="Y2530" s="589"/>
      <c r="Z2530" s="589"/>
      <c r="AA2530" s="589"/>
      <c r="AB2530" s="589"/>
      <c r="AC2530" s="589"/>
      <c r="AD2530" s="589"/>
      <c r="AE2530" s="589"/>
      <c r="AF2530" s="589"/>
      <c r="AG2530" s="589"/>
      <c r="AH2530" s="589"/>
      <c r="AI2530" s="589"/>
      <c r="AJ2530" s="589"/>
      <c r="AK2530" s="589"/>
      <c r="AL2530" s="589"/>
      <c r="AM2530" s="589"/>
      <c r="AN2530" s="589"/>
      <c r="AO2530" s="589"/>
      <c r="AP2530" s="589"/>
      <c r="AQ2530" s="589"/>
      <c r="AR2530" s="589"/>
      <c r="AS2530" s="589"/>
    </row>
    <row r="2531" spans="1:45" ht="15">
      <c r="A2531" s="590" t="s">
        <v>169</v>
      </c>
      <c r="B2531" s="591" t="s">
        <v>513</v>
      </c>
      <c r="C2531" s="591" t="s">
        <v>813</v>
      </c>
      <c r="D2531" s="592">
        <v>2019</v>
      </c>
      <c r="E2531" s="591" t="s">
        <v>775</v>
      </c>
      <c r="F2531" s="592">
        <v>1</v>
      </c>
      <c r="G2531" s="592">
        <v>0</v>
      </c>
      <c r="H2531" s="592">
        <v>0</v>
      </c>
      <c r="I2531" s="592">
        <v>0</v>
      </c>
      <c r="J2531" s="592">
        <v>1</v>
      </c>
      <c r="K2531" s="592">
        <v>0</v>
      </c>
      <c r="L2531" s="592">
        <v>0</v>
      </c>
      <c r="M2531" s="592">
        <v>0</v>
      </c>
      <c r="N2531" s="593">
        <v>0</v>
      </c>
      <c r="O2531" s="593">
        <v>0</v>
      </c>
      <c r="P2531" s="593">
        <v>0</v>
      </c>
      <c r="Q2531" s="593">
        <v>12</v>
      </c>
      <c r="R2531" s="593">
        <v>2</v>
      </c>
      <c r="S2531" s="593">
        <v>12</v>
      </c>
      <c r="T2531" s="593">
        <v>2019</v>
      </c>
      <c r="U2531" s="593">
        <v>2014</v>
      </c>
      <c r="V2531" s="589"/>
      <c r="W2531" s="589"/>
      <c r="X2531" s="589"/>
      <c r="Y2531" s="589"/>
      <c r="Z2531" s="589"/>
      <c r="AA2531" s="589"/>
      <c r="AB2531" s="589"/>
      <c r="AC2531" s="589"/>
      <c r="AD2531" s="589"/>
      <c r="AE2531" s="589"/>
      <c r="AF2531" s="589"/>
      <c r="AG2531" s="589"/>
      <c r="AH2531" s="589"/>
      <c r="AI2531" s="589"/>
      <c r="AJ2531" s="589"/>
      <c r="AK2531" s="589"/>
      <c r="AL2531" s="589"/>
      <c r="AM2531" s="589"/>
      <c r="AN2531" s="589"/>
      <c r="AO2531" s="589"/>
      <c r="AP2531" s="589"/>
      <c r="AQ2531" s="589"/>
      <c r="AR2531" s="589"/>
      <c r="AS2531" s="589"/>
    </row>
    <row r="2532" spans="1:45" ht="15">
      <c r="A2532" s="587" t="s">
        <v>164</v>
      </c>
      <c r="B2532" s="587" t="s">
        <v>474</v>
      </c>
      <c r="C2532" s="587" t="s">
        <v>811</v>
      </c>
      <c r="D2532" s="588">
        <v>2019</v>
      </c>
      <c r="E2532" s="587" t="s">
        <v>775</v>
      </c>
      <c r="F2532" s="588">
        <v>95</v>
      </c>
      <c r="G2532" s="588">
        <v>0</v>
      </c>
      <c r="H2532" s="588">
        <v>0</v>
      </c>
      <c r="I2532" s="588">
        <v>0</v>
      </c>
      <c r="J2532" s="588">
        <v>62</v>
      </c>
      <c r="K2532" s="588">
        <v>0</v>
      </c>
      <c r="L2532" s="588">
        <v>0</v>
      </c>
      <c r="M2532" s="588">
        <v>0</v>
      </c>
      <c r="N2532" s="588">
        <v>72</v>
      </c>
      <c r="O2532" s="588">
        <v>0</v>
      </c>
      <c r="P2532" s="588">
        <v>164</v>
      </c>
      <c r="Q2532" s="588">
        <v>5</v>
      </c>
      <c r="R2532" s="588">
        <v>393</v>
      </c>
      <c r="S2532" s="588">
        <v>5</v>
      </c>
      <c r="T2532" s="588">
        <v>2019</v>
      </c>
      <c r="U2532" s="588">
        <v>2016</v>
      </c>
      <c r="V2532" s="589"/>
      <c r="W2532" s="589"/>
      <c r="X2532" s="589"/>
      <c r="Y2532" s="589"/>
      <c r="Z2532" s="589"/>
      <c r="AA2532" s="589"/>
      <c r="AB2532" s="589"/>
      <c r="AC2532" s="589"/>
      <c r="AD2532" s="589"/>
      <c r="AE2532" s="589"/>
      <c r="AF2532" s="589"/>
      <c r="AG2532" s="589"/>
      <c r="AH2532" s="589"/>
      <c r="AI2532" s="589"/>
      <c r="AJ2532" s="589"/>
      <c r="AK2532" s="589"/>
      <c r="AL2532" s="589"/>
      <c r="AM2532" s="589"/>
      <c r="AN2532" s="589"/>
      <c r="AO2532" s="589"/>
      <c r="AP2532" s="589"/>
      <c r="AQ2532" s="589"/>
      <c r="AR2532" s="589"/>
      <c r="AS2532" s="589"/>
    </row>
    <row r="2533" spans="1:45" ht="15">
      <c r="A2533" s="590" t="s">
        <v>193</v>
      </c>
      <c r="B2533" s="591" t="s">
        <v>700</v>
      </c>
      <c r="C2533" s="591" t="s">
        <v>782</v>
      </c>
      <c r="D2533" s="592">
        <v>2019</v>
      </c>
      <c r="E2533" s="591" t="s">
        <v>775</v>
      </c>
      <c r="F2533" s="592">
        <v>22</v>
      </c>
      <c r="G2533" s="592">
        <v>1</v>
      </c>
      <c r="H2533" s="592">
        <v>0</v>
      </c>
      <c r="I2533" s="592">
        <v>1</v>
      </c>
      <c r="J2533" s="592">
        <v>17</v>
      </c>
      <c r="K2533" s="592">
        <v>3</v>
      </c>
      <c r="L2533" s="592">
        <v>0</v>
      </c>
      <c r="M2533" s="592">
        <v>3</v>
      </c>
      <c r="N2533" s="593">
        <v>19</v>
      </c>
      <c r="O2533" s="593">
        <v>0</v>
      </c>
      <c r="P2533" s="593">
        <v>62</v>
      </c>
      <c r="Q2533" s="593">
        <v>1</v>
      </c>
      <c r="R2533" s="593">
        <v>120</v>
      </c>
      <c r="S2533" s="593">
        <v>5</v>
      </c>
      <c r="T2533" s="593">
        <v>2019</v>
      </c>
      <c r="U2533" s="593">
        <v>2015</v>
      </c>
      <c r="V2533" s="589"/>
      <c r="W2533" s="589"/>
      <c r="X2533" s="589"/>
      <c r="Y2533" s="589"/>
      <c r="Z2533" s="589"/>
      <c r="AA2533" s="589"/>
      <c r="AB2533" s="589"/>
      <c r="AC2533" s="589"/>
      <c r="AD2533" s="589"/>
      <c r="AE2533" s="589"/>
      <c r="AF2533" s="589"/>
      <c r="AG2533" s="589"/>
      <c r="AH2533" s="589"/>
      <c r="AI2533" s="589"/>
      <c r="AJ2533" s="589"/>
      <c r="AK2533" s="589"/>
      <c r="AL2533" s="589"/>
      <c r="AM2533" s="589"/>
      <c r="AN2533" s="589"/>
      <c r="AO2533" s="589"/>
      <c r="AP2533" s="589"/>
      <c r="AQ2533" s="589"/>
      <c r="AR2533" s="589"/>
      <c r="AS2533" s="589"/>
    </row>
    <row r="2534" spans="1:45" ht="15">
      <c r="A2534" s="587" t="s">
        <v>141</v>
      </c>
      <c r="B2534" s="587" t="s">
        <v>303</v>
      </c>
      <c r="C2534" s="587" t="s">
        <v>811</v>
      </c>
      <c r="D2534" s="588">
        <v>2019</v>
      </c>
      <c r="E2534" s="587" t="s">
        <v>775</v>
      </c>
      <c r="F2534" s="588">
        <v>140</v>
      </c>
      <c r="G2534" s="588">
        <v>0</v>
      </c>
      <c r="H2534" s="588">
        <v>0</v>
      </c>
      <c r="I2534" s="588">
        <v>0</v>
      </c>
      <c r="J2534" s="588">
        <v>115</v>
      </c>
      <c r="K2534" s="588">
        <v>0</v>
      </c>
      <c r="L2534" s="588">
        <v>0</v>
      </c>
      <c r="M2534" s="588">
        <v>0</v>
      </c>
      <c r="N2534" s="588">
        <v>69</v>
      </c>
      <c r="O2534" s="588">
        <v>13</v>
      </c>
      <c r="P2534" s="588">
        <v>281</v>
      </c>
      <c r="Q2534" s="588">
        <v>0</v>
      </c>
      <c r="R2534" s="588">
        <v>605</v>
      </c>
      <c r="S2534" s="588">
        <v>13</v>
      </c>
      <c r="T2534" s="588">
        <v>2019</v>
      </c>
      <c r="U2534" s="588">
        <v>2016</v>
      </c>
      <c r="V2534" s="589"/>
      <c r="W2534" s="589"/>
      <c r="X2534" s="589"/>
      <c r="Y2534" s="589"/>
      <c r="Z2534" s="589"/>
      <c r="AA2534" s="589"/>
      <c r="AB2534" s="589"/>
      <c r="AC2534" s="589"/>
      <c r="AD2534" s="589"/>
      <c r="AE2534" s="589"/>
      <c r="AF2534" s="589"/>
      <c r="AG2534" s="589"/>
      <c r="AH2534" s="589"/>
      <c r="AI2534" s="589"/>
      <c r="AJ2534" s="589"/>
      <c r="AK2534" s="589"/>
      <c r="AL2534" s="589"/>
      <c r="AM2534" s="589"/>
      <c r="AN2534" s="589"/>
      <c r="AO2534" s="589"/>
      <c r="AP2534" s="589"/>
      <c r="AQ2534" s="589"/>
      <c r="AR2534" s="589"/>
      <c r="AS2534" s="589"/>
    </row>
    <row r="2535" spans="1:45" ht="15">
      <c r="A2535" s="590" t="s">
        <v>189</v>
      </c>
      <c r="B2535" s="591" t="s">
        <v>672</v>
      </c>
      <c r="C2535" s="591" t="s">
        <v>785</v>
      </c>
      <c r="D2535" s="592">
        <v>2019</v>
      </c>
      <c r="E2535" s="591" t="s">
        <v>775</v>
      </c>
      <c r="F2535" s="592">
        <v>189</v>
      </c>
      <c r="G2535" s="592">
        <v>3</v>
      </c>
      <c r="H2535" s="592">
        <v>0</v>
      </c>
      <c r="I2535" s="592">
        <v>3</v>
      </c>
      <c r="J2535" s="592">
        <v>117</v>
      </c>
      <c r="K2535" s="592">
        <v>8</v>
      </c>
      <c r="L2535" s="592">
        <v>0</v>
      </c>
      <c r="M2535" s="592">
        <v>8</v>
      </c>
      <c r="N2535" s="593">
        <v>128</v>
      </c>
      <c r="O2535" s="593">
        <v>5</v>
      </c>
      <c r="P2535" s="593">
        <v>321</v>
      </c>
      <c r="Q2535" s="593">
        <v>280</v>
      </c>
      <c r="R2535" s="593">
        <v>755</v>
      </c>
      <c r="S2535" s="593">
        <v>296</v>
      </c>
      <c r="T2535" s="593">
        <v>2019</v>
      </c>
      <c r="U2535" s="593">
        <v>2014</v>
      </c>
      <c r="V2535" s="589"/>
      <c r="W2535" s="589"/>
      <c r="X2535" s="589"/>
      <c r="Y2535" s="589"/>
      <c r="Z2535" s="589"/>
      <c r="AA2535" s="589"/>
      <c r="AB2535" s="589"/>
      <c r="AC2535" s="589"/>
      <c r="AD2535" s="589"/>
      <c r="AE2535" s="589"/>
      <c r="AF2535" s="589"/>
      <c r="AG2535" s="589"/>
      <c r="AH2535" s="589"/>
      <c r="AI2535" s="589"/>
      <c r="AJ2535" s="589"/>
      <c r="AK2535" s="589"/>
      <c r="AL2535" s="589"/>
      <c r="AM2535" s="589"/>
      <c r="AN2535" s="589"/>
      <c r="AO2535" s="589"/>
      <c r="AP2535" s="589"/>
      <c r="AQ2535" s="589"/>
      <c r="AR2535" s="589"/>
      <c r="AS2535" s="589"/>
    </row>
    <row r="2536" spans="1:45" ht="15">
      <c r="A2536" s="587" t="s">
        <v>189</v>
      </c>
      <c r="B2536" s="587" t="s">
        <v>673</v>
      </c>
      <c r="C2536" s="587" t="s">
        <v>785</v>
      </c>
      <c r="D2536" s="588">
        <v>2019</v>
      </c>
      <c r="E2536" s="587" t="s">
        <v>775</v>
      </c>
      <c r="F2536" s="588">
        <v>32</v>
      </c>
      <c r="G2536" s="588">
        <v>30</v>
      </c>
      <c r="H2536" s="588">
        <v>30</v>
      </c>
      <c r="I2536" s="588">
        <v>0</v>
      </c>
      <c r="J2536" s="588">
        <v>21</v>
      </c>
      <c r="K2536" s="588">
        <v>0</v>
      </c>
      <c r="L2536" s="588">
        <v>0</v>
      </c>
      <c r="M2536" s="588">
        <v>0</v>
      </c>
      <c r="N2536" s="588">
        <v>23</v>
      </c>
      <c r="O2536" s="588">
        <v>25</v>
      </c>
      <c r="P2536" s="588">
        <v>58</v>
      </c>
      <c r="Q2536" s="588">
        <v>17</v>
      </c>
      <c r="R2536" s="588">
        <v>134</v>
      </c>
      <c r="S2536" s="588">
        <v>72</v>
      </c>
      <c r="T2536" s="588">
        <v>2019</v>
      </c>
      <c r="U2536" s="588">
        <v>2014</v>
      </c>
      <c r="V2536" s="589"/>
      <c r="W2536" s="589"/>
      <c r="X2536" s="589"/>
      <c r="Y2536" s="589"/>
      <c r="Z2536" s="589"/>
      <c r="AA2536" s="589"/>
      <c r="AB2536" s="589"/>
      <c r="AC2536" s="589"/>
      <c r="AD2536" s="589"/>
      <c r="AE2536" s="589"/>
      <c r="AF2536" s="589"/>
      <c r="AG2536" s="589"/>
      <c r="AH2536" s="589"/>
      <c r="AI2536" s="589"/>
      <c r="AJ2536" s="589"/>
      <c r="AK2536" s="589"/>
      <c r="AL2536" s="589"/>
      <c r="AM2536" s="589"/>
      <c r="AN2536" s="589"/>
      <c r="AO2536" s="589"/>
      <c r="AP2536" s="589"/>
      <c r="AQ2536" s="589"/>
      <c r="AR2536" s="589"/>
      <c r="AS2536" s="589"/>
    </row>
    <row r="2537" spans="1:45" ht="15">
      <c r="A2537" s="590" t="s">
        <v>153</v>
      </c>
      <c r="B2537" s="591" t="s">
        <v>421</v>
      </c>
      <c r="C2537" s="591" t="s">
        <v>813</v>
      </c>
      <c r="D2537" s="592">
        <v>2019</v>
      </c>
      <c r="E2537" s="591" t="s">
        <v>775</v>
      </c>
      <c r="F2537" s="592">
        <v>14</v>
      </c>
      <c r="G2537" s="592">
        <v>0</v>
      </c>
      <c r="H2537" s="592">
        <v>0</v>
      </c>
      <c r="I2537" s="592">
        <v>0</v>
      </c>
      <c r="J2537" s="592">
        <v>9</v>
      </c>
      <c r="K2537" s="592">
        <v>8</v>
      </c>
      <c r="L2537" s="592">
        <v>0</v>
      </c>
      <c r="M2537" s="592">
        <v>8</v>
      </c>
      <c r="N2537" s="593">
        <v>9</v>
      </c>
      <c r="O2537" s="593">
        <v>0</v>
      </c>
      <c r="P2537" s="593">
        <v>23</v>
      </c>
      <c r="Q2537" s="593">
        <v>0</v>
      </c>
      <c r="R2537" s="593">
        <v>55</v>
      </c>
      <c r="S2537" s="593">
        <v>8</v>
      </c>
      <c r="T2537" s="593">
        <v>2019</v>
      </c>
      <c r="U2537" s="593">
        <v>2014</v>
      </c>
      <c r="V2537" s="589"/>
      <c r="W2537" s="589"/>
      <c r="X2537" s="589"/>
      <c r="Y2537" s="589"/>
      <c r="Z2537" s="589"/>
      <c r="AA2537" s="589"/>
      <c r="AB2537" s="589"/>
      <c r="AC2537" s="589"/>
      <c r="AD2537" s="589"/>
      <c r="AE2537" s="589"/>
      <c r="AF2537" s="589"/>
      <c r="AG2537" s="589"/>
      <c r="AH2537" s="589"/>
      <c r="AI2537" s="589"/>
      <c r="AJ2537" s="589"/>
      <c r="AK2537" s="589"/>
      <c r="AL2537" s="589"/>
      <c r="AM2537" s="589"/>
      <c r="AN2537" s="589"/>
      <c r="AO2537" s="589"/>
      <c r="AP2537" s="589"/>
      <c r="AQ2537" s="589"/>
      <c r="AR2537" s="589"/>
      <c r="AS2537" s="589"/>
    </row>
    <row r="2538" spans="1:45" ht="15">
      <c r="A2538" s="587" t="s">
        <v>153</v>
      </c>
      <c r="B2538" s="587" t="s">
        <v>422</v>
      </c>
      <c r="C2538" s="587" t="s">
        <v>813</v>
      </c>
      <c r="D2538" s="588">
        <v>2019</v>
      </c>
      <c r="E2538" s="587" t="s">
        <v>775</v>
      </c>
      <c r="F2538" s="588">
        <v>44</v>
      </c>
      <c r="G2538" s="588">
        <v>0</v>
      </c>
      <c r="H2538" s="588">
        <v>0</v>
      </c>
      <c r="I2538" s="588">
        <v>0</v>
      </c>
      <c r="J2538" s="588">
        <v>27</v>
      </c>
      <c r="K2538" s="588">
        <v>0</v>
      </c>
      <c r="L2538" s="588">
        <v>0</v>
      </c>
      <c r="M2538" s="588">
        <v>0</v>
      </c>
      <c r="N2538" s="588">
        <v>28</v>
      </c>
      <c r="O2538" s="588">
        <v>1</v>
      </c>
      <c r="P2538" s="588">
        <v>70</v>
      </c>
      <c r="Q2538" s="588">
        <v>3</v>
      </c>
      <c r="R2538" s="588">
        <v>169</v>
      </c>
      <c r="S2538" s="588">
        <v>4</v>
      </c>
      <c r="T2538" s="588">
        <v>2019</v>
      </c>
      <c r="U2538" s="588">
        <v>2014</v>
      </c>
      <c r="V2538" s="589"/>
      <c r="W2538" s="589"/>
      <c r="X2538" s="589"/>
      <c r="Y2538" s="589"/>
      <c r="Z2538" s="589"/>
      <c r="AA2538" s="589"/>
      <c r="AB2538" s="589"/>
      <c r="AC2538" s="589"/>
      <c r="AD2538" s="589"/>
      <c r="AE2538" s="589"/>
      <c r="AF2538" s="589"/>
      <c r="AG2538" s="589"/>
      <c r="AH2538" s="589"/>
      <c r="AI2538" s="589"/>
      <c r="AJ2538" s="589"/>
      <c r="AK2538" s="589"/>
      <c r="AL2538" s="589"/>
      <c r="AM2538" s="589"/>
      <c r="AN2538" s="589"/>
      <c r="AO2538" s="589"/>
      <c r="AP2538" s="589"/>
      <c r="AQ2538" s="589"/>
      <c r="AR2538" s="589"/>
      <c r="AS2538" s="589"/>
    </row>
    <row r="2539" spans="1:45" ht="15">
      <c r="A2539" s="590" t="s">
        <v>201</v>
      </c>
      <c r="B2539" s="591" t="s">
        <v>738</v>
      </c>
      <c r="C2539" s="591" t="s">
        <v>813</v>
      </c>
      <c r="D2539" s="592">
        <v>2019</v>
      </c>
      <c r="E2539" s="591" t="s">
        <v>775</v>
      </c>
      <c r="F2539" s="592">
        <v>310</v>
      </c>
      <c r="G2539" s="592">
        <v>0</v>
      </c>
      <c r="H2539" s="592">
        <v>0</v>
      </c>
      <c r="I2539" s="592">
        <v>0</v>
      </c>
      <c r="J2539" s="592">
        <v>208</v>
      </c>
      <c r="K2539" s="592">
        <v>0</v>
      </c>
      <c r="L2539" s="592">
        <v>0</v>
      </c>
      <c r="M2539" s="592">
        <v>0</v>
      </c>
      <c r="N2539" s="593">
        <v>229</v>
      </c>
      <c r="O2539" s="593">
        <v>0</v>
      </c>
      <c r="P2539" s="593">
        <v>509</v>
      </c>
      <c r="Q2539" s="593">
        <v>0</v>
      </c>
      <c r="R2539" s="593">
        <v>1256</v>
      </c>
      <c r="S2539" s="593">
        <v>0</v>
      </c>
      <c r="T2539" s="593">
        <v>2019</v>
      </c>
      <c r="U2539" s="593">
        <v>2014</v>
      </c>
      <c r="V2539" s="589"/>
      <c r="W2539" s="589"/>
      <c r="X2539" s="589"/>
      <c r="Y2539" s="589"/>
      <c r="Z2539" s="589"/>
      <c r="AA2539" s="589"/>
      <c r="AB2539" s="589"/>
      <c r="AC2539" s="589"/>
      <c r="AD2539" s="589"/>
      <c r="AE2539" s="589"/>
      <c r="AF2539" s="589"/>
      <c r="AG2539" s="589"/>
      <c r="AH2539" s="589"/>
      <c r="AI2539" s="589"/>
      <c r="AJ2539" s="589"/>
      <c r="AK2539" s="589"/>
      <c r="AL2539" s="589"/>
      <c r="AM2539" s="589"/>
      <c r="AN2539" s="589"/>
      <c r="AO2539" s="589"/>
      <c r="AP2539" s="589"/>
      <c r="AQ2539" s="589"/>
      <c r="AR2539" s="589"/>
      <c r="AS2539" s="589"/>
    </row>
    <row r="2540" spans="1:45" ht="15">
      <c r="A2540" s="587" t="s">
        <v>191</v>
      </c>
      <c r="B2540" s="587" t="s">
        <v>682</v>
      </c>
      <c r="C2540" s="587" t="s">
        <v>785</v>
      </c>
      <c r="D2540" s="588">
        <v>2019</v>
      </c>
      <c r="E2540" s="587" t="s">
        <v>775</v>
      </c>
      <c r="F2540" s="588">
        <v>65</v>
      </c>
      <c r="G2540" s="588">
        <v>0</v>
      </c>
      <c r="H2540" s="588">
        <v>0</v>
      </c>
      <c r="I2540" s="588">
        <v>0</v>
      </c>
      <c r="J2540" s="588">
        <v>40</v>
      </c>
      <c r="K2540" s="588">
        <v>0</v>
      </c>
      <c r="L2540" s="588">
        <v>0</v>
      </c>
      <c r="M2540" s="588">
        <v>0</v>
      </c>
      <c r="N2540" s="588">
        <v>43</v>
      </c>
      <c r="O2540" s="588">
        <v>0</v>
      </c>
      <c r="P2540" s="588">
        <v>110</v>
      </c>
      <c r="Q2540" s="588">
        <v>11</v>
      </c>
      <c r="R2540" s="588">
        <v>258</v>
      </c>
      <c r="S2540" s="588">
        <v>11</v>
      </c>
      <c r="T2540" s="588">
        <v>2019</v>
      </c>
      <c r="U2540" s="588">
        <v>2014</v>
      </c>
      <c r="V2540" s="589"/>
      <c r="W2540" s="589"/>
      <c r="X2540" s="589"/>
      <c r="Y2540" s="589"/>
      <c r="Z2540" s="589"/>
      <c r="AA2540" s="589"/>
      <c r="AB2540" s="589"/>
      <c r="AC2540" s="589"/>
      <c r="AD2540" s="589"/>
      <c r="AE2540" s="589"/>
      <c r="AF2540" s="589"/>
      <c r="AG2540" s="589"/>
      <c r="AH2540" s="589"/>
      <c r="AI2540" s="589"/>
      <c r="AJ2540" s="589"/>
      <c r="AK2540" s="589"/>
      <c r="AL2540" s="589"/>
      <c r="AM2540" s="589"/>
      <c r="AN2540" s="589"/>
      <c r="AO2540" s="589"/>
      <c r="AP2540" s="589"/>
      <c r="AQ2540" s="589"/>
      <c r="AR2540" s="589"/>
      <c r="AS2540" s="589"/>
    </row>
    <row r="2541" spans="1:45" ht="15">
      <c r="A2541" s="590" t="s">
        <v>179</v>
      </c>
      <c r="B2541" s="591" t="s">
        <v>606</v>
      </c>
      <c r="C2541" s="591" t="s">
        <v>856</v>
      </c>
      <c r="D2541" s="592">
        <v>2019</v>
      </c>
      <c r="E2541" s="591" t="s">
        <v>775</v>
      </c>
      <c r="F2541" s="592">
        <v>85</v>
      </c>
      <c r="G2541" s="592">
        <v>0</v>
      </c>
      <c r="H2541" s="592">
        <v>0</v>
      </c>
      <c r="I2541" s="592">
        <v>0</v>
      </c>
      <c r="J2541" s="592">
        <v>65</v>
      </c>
      <c r="K2541" s="592">
        <v>0</v>
      </c>
      <c r="L2541" s="592">
        <v>0</v>
      </c>
      <c r="M2541" s="592">
        <v>0</v>
      </c>
      <c r="N2541" s="593">
        <v>59</v>
      </c>
      <c r="O2541" s="593">
        <v>6</v>
      </c>
      <c r="P2541" s="593">
        <v>131</v>
      </c>
      <c r="Q2541" s="593">
        <v>3</v>
      </c>
      <c r="R2541" s="593">
        <v>340</v>
      </c>
      <c r="S2541" s="593">
        <v>9</v>
      </c>
      <c r="T2541" s="593">
        <v>2019</v>
      </c>
      <c r="U2541" s="593">
        <v>2013</v>
      </c>
      <c r="V2541" s="589"/>
      <c r="W2541" s="589"/>
      <c r="X2541" s="589"/>
      <c r="Y2541" s="589"/>
      <c r="Z2541" s="589"/>
      <c r="AA2541" s="589"/>
      <c r="AB2541" s="589"/>
      <c r="AC2541" s="589"/>
      <c r="AD2541" s="589"/>
      <c r="AE2541" s="589"/>
      <c r="AF2541" s="589"/>
      <c r="AG2541" s="589"/>
      <c r="AH2541" s="589"/>
      <c r="AI2541" s="589"/>
      <c r="AJ2541" s="589"/>
      <c r="AK2541" s="589"/>
      <c r="AL2541" s="589"/>
      <c r="AM2541" s="589"/>
      <c r="AN2541" s="589"/>
      <c r="AO2541" s="589"/>
      <c r="AP2541" s="589"/>
      <c r="AQ2541" s="589"/>
      <c r="AR2541" s="589"/>
      <c r="AS2541" s="589"/>
    </row>
    <row r="2542" spans="1:45" ht="15">
      <c r="A2542" s="587" t="s">
        <v>192</v>
      </c>
      <c r="B2542" s="587" t="s">
        <v>690</v>
      </c>
      <c r="C2542" s="587" t="s">
        <v>782</v>
      </c>
      <c r="D2542" s="588">
        <v>2019</v>
      </c>
      <c r="E2542" s="587" t="s">
        <v>775</v>
      </c>
      <c r="F2542" s="588">
        <v>26</v>
      </c>
      <c r="G2542" s="588">
        <v>1</v>
      </c>
      <c r="H2542" s="588">
        <v>0</v>
      </c>
      <c r="I2542" s="588">
        <v>1</v>
      </c>
      <c r="J2542" s="588">
        <v>15</v>
      </c>
      <c r="K2542" s="588">
        <v>18</v>
      </c>
      <c r="L2542" s="588">
        <v>0</v>
      </c>
      <c r="M2542" s="588">
        <v>18</v>
      </c>
      <c r="N2542" s="588">
        <v>19</v>
      </c>
      <c r="O2542" s="588">
        <v>5</v>
      </c>
      <c r="P2542" s="588">
        <v>43</v>
      </c>
      <c r="Q2542" s="588">
        <v>6</v>
      </c>
      <c r="R2542" s="588">
        <v>103</v>
      </c>
      <c r="S2542" s="588">
        <v>30</v>
      </c>
      <c r="T2542" s="588">
        <v>2019</v>
      </c>
      <c r="U2542" s="588">
        <v>2015</v>
      </c>
      <c r="V2542" s="589"/>
      <c r="W2542" s="589"/>
      <c r="X2542" s="589"/>
      <c r="Y2542" s="589"/>
      <c r="Z2542" s="589"/>
      <c r="AA2542" s="589"/>
      <c r="AB2542" s="589"/>
      <c r="AC2542" s="589"/>
      <c r="AD2542" s="589"/>
      <c r="AE2542" s="589"/>
      <c r="AF2542" s="589"/>
      <c r="AG2542" s="589"/>
      <c r="AH2542" s="589"/>
      <c r="AI2542" s="589"/>
      <c r="AJ2542" s="589"/>
      <c r="AK2542" s="589"/>
      <c r="AL2542" s="589"/>
      <c r="AM2542" s="589"/>
      <c r="AN2542" s="589"/>
      <c r="AO2542" s="589"/>
      <c r="AP2542" s="589"/>
      <c r="AQ2542" s="589"/>
      <c r="AR2542" s="589"/>
      <c r="AS2542" s="589"/>
    </row>
    <row r="2543" spans="1:45" ht="15">
      <c r="A2543" s="590" t="s">
        <v>185</v>
      </c>
      <c r="B2543" s="591" t="s">
        <v>650</v>
      </c>
      <c r="C2543" s="591" t="s">
        <v>872</v>
      </c>
      <c r="D2543" s="592">
        <v>2019</v>
      </c>
      <c r="E2543" s="591" t="s">
        <v>775</v>
      </c>
      <c r="F2543" s="592">
        <v>42</v>
      </c>
      <c r="G2543" s="592">
        <v>0</v>
      </c>
      <c r="H2543" s="592">
        <v>0</v>
      </c>
      <c r="I2543" s="592">
        <v>0</v>
      </c>
      <c r="J2543" s="592">
        <v>28</v>
      </c>
      <c r="K2543" s="592">
        <v>0</v>
      </c>
      <c r="L2543" s="592">
        <v>0</v>
      </c>
      <c r="M2543" s="592">
        <v>0</v>
      </c>
      <c r="N2543" s="593">
        <v>30</v>
      </c>
      <c r="O2543" s="593">
        <v>0</v>
      </c>
      <c r="P2543" s="593">
        <v>75</v>
      </c>
      <c r="Q2543" s="593">
        <v>0</v>
      </c>
      <c r="R2543" s="593">
        <v>175</v>
      </c>
      <c r="S2543" s="593">
        <v>0</v>
      </c>
      <c r="T2543" s="593">
        <v>2019</v>
      </c>
      <c r="U2543" s="593">
        <v>2015</v>
      </c>
      <c r="V2543" s="589"/>
      <c r="W2543" s="589"/>
      <c r="X2543" s="589"/>
      <c r="Y2543" s="589"/>
      <c r="Z2543" s="589"/>
      <c r="AA2543" s="589"/>
      <c r="AB2543" s="589"/>
      <c r="AC2543" s="589"/>
      <c r="AD2543" s="589"/>
      <c r="AE2543" s="589"/>
      <c r="AF2543" s="589"/>
      <c r="AG2543" s="589"/>
      <c r="AH2543" s="589"/>
      <c r="AI2543" s="589"/>
      <c r="AJ2543" s="589"/>
      <c r="AK2543" s="589"/>
      <c r="AL2543" s="589"/>
      <c r="AM2543" s="589"/>
      <c r="AN2543" s="589"/>
      <c r="AO2543" s="589"/>
      <c r="AP2543" s="589"/>
      <c r="AQ2543" s="589"/>
      <c r="AR2543" s="589"/>
      <c r="AS2543" s="589"/>
    </row>
    <row r="2544" spans="1:45" ht="15">
      <c r="A2544" s="587" t="s">
        <v>193</v>
      </c>
      <c r="B2544" s="587" t="s">
        <v>193</v>
      </c>
      <c r="C2544" s="587" t="s">
        <v>782</v>
      </c>
      <c r="D2544" s="588">
        <v>2019</v>
      </c>
      <c r="E2544" s="587" t="s">
        <v>775</v>
      </c>
      <c r="F2544" s="588">
        <v>24</v>
      </c>
      <c r="G2544" s="588">
        <v>4</v>
      </c>
      <c r="H2544" s="588">
        <v>4</v>
      </c>
      <c r="I2544" s="588">
        <v>0</v>
      </c>
      <c r="J2544" s="588">
        <v>23</v>
      </c>
      <c r="K2544" s="588">
        <v>2</v>
      </c>
      <c r="L2544" s="588">
        <v>2</v>
      </c>
      <c r="M2544" s="588">
        <v>0</v>
      </c>
      <c r="N2544" s="588">
        <v>27</v>
      </c>
      <c r="O2544" s="588">
        <v>4</v>
      </c>
      <c r="P2544" s="588">
        <v>63</v>
      </c>
      <c r="Q2544" s="588">
        <v>49</v>
      </c>
      <c r="R2544" s="588">
        <v>137</v>
      </c>
      <c r="S2544" s="588">
        <v>59</v>
      </c>
      <c r="T2544" s="588">
        <v>2019</v>
      </c>
      <c r="U2544" s="588">
        <v>2015</v>
      </c>
      <c r="V2544" s="589"/>
      <c r="W2544" s="589"/>
      <c r="X2544" s="589"/>
      <c r="Y2544" s="589"/>
      <c r="Z2544" s="589"/>
      <c r="AA2544" s="589"/>
      <c r="AB2544" s="589"/>
      <c r="AC2544" s="589"/>
      <c r="AD2544" s="589"/>
      <c r="AE2544" s="589"/>
      <c r="AF2544" s="589"/>
      <c r="AG2544" s="589"/>
      <c r="AH2544" s="589"/>
      <c r="AI2544" s="589"/>
      <c r="AJ2544" s="589"/>
      <c r="AK2544" s="589"/>
      <c r="AL2544" s="589"/>
      <c r="AM2544" s="589"/>
      <c r="AN2544" s="589"/>
      <c r="AO2544" s="589"/>
      <c r="AP2544" s="589"/>
      <c r="AQ2544" s="589"/>
      <c r="AR2544" s="589"/>
      <c r="AS2544" s="589"/>
    </row>
    <row r="2545" spans="1:45" ht="15">
      <c r="A2545" s="590" t="s">
        <v>193</v>
      </c>
      <c r="B2545" s="591" t="s">
        <v>701</v>
      </c>
      <c r="C2545" s="591" t="s">
        <v>782</v>
      </c>
      <c r="D2545" s="592">
        <v>2019</v>
      </c>
      <c r="E2545" s="591" t="s">
        <v>775</v>
      </c>
      <c r="F2545" s="592">
        <v>126</v>
      </c>
      <c r="G2545" s="592">
        <v>0</v>
      </c>
      <c r="H2545" s="592">
        <v>0</v>
      </c>
      <c r="I2545" s="592">
        <v>0</v>
      </c>
      <c r="J2545" s="592">
        <v>37</v>
      </c>
      <c r="K2545" s="592">
        <v>63</v>
      </c>
      <c r="L2545" s="592">
        <v>0</v>
      </c>
      <c r="M2545" s="592">
        <v>63</v>
      </c>
      <c r="N2545" s="593">
        <v>160</v>
      </c>
      <c r="O2545" s="593">
        <v>82</v>
      </c>
      <c r="P2545" s="593">
        <v>192</v>
      </c>
      <c r="Q2545" s="593">
        <v>394</v>
      </c>
      <c r="R2545" s="593">
        <v>515</v>
      </c>
      <c r="S2545" s="593">
        <v>539</v>
      </c>
      <c r="T2545" s="593">
        <v>2019</v>
      </c>
      <c r="U2545" s="593">
        <v>2015</v>
      </c>
      <c r="V2545" s="589"/>
      <c r="W2545" s="589"/>
      <c r="X2545" s="589"/>
      <c r="Y2545" s="589"/>
      <c r="Z2545" s="589"/>
      <c r="AA2545" s="589"/>
      <c r="AB2545" s="589"/>
      <c r="AC2545" s="589"/>
      <c r="AD2545" s="589"/>
      <c r="AE2545" s="589"/>
      <c r="AF2545" s="589"/>
      <c r="AG2545" s="589"/>
      <c r="AH2545" s="589"/>
      <c r="AI2545" s="589"/>
      <c r="AJ2545" s="589"/>
      <c r="AK2545" s="589"/>
      <c r="AL2545" s="589"/>
      <c r="AM2545" s="589"/>
      <c r="AN2545" s="589"/>
      <c r="AO2545" s="589"/>
      <c r="AP2545" s="589"/>
      <c r="AQ2545" s="589"/>
      <c r="AR2545" s="589"/>
      <c r="AS2545" s="589"/>
    </row>
    <row r="2546" spans="1:45" ht="15">
      <c r="A2546" s="587" t="s">
        <v>200</v>
      </c>
      <c r="B2546" s="587" t="s">
        <v>728</v>
      </c>
      <c r="C2546" s="587" t="s">
        <v>785</v>
      </c>
      <c r="D2546" s="588">
        <v>2019</v>
      </c>
      <c r="E2546" s="587" t="s">
        <v>775</v>
      </c>
      <c r="F2546" s="588">
        <v>23</v>
      </c>
      <c r="G2546" s="588">
        <v>0</v>
      </c>
      <c r="H2546" s="588">
        <v>0</v>
      </c>
      <c r="I2546" s="588">
        <v>0</v>
      </c>
      <c r="J2546" s="588">
        <v>16</v>
      </c>
      <c r="K2546" s="588">
        <v>0</v>
      </c>
      <c r="L2546" s="588">
        <v>0</v>
      </c>
      <c r="M2546" s="588">
        <v>0</v>
      </c>
      <c r="N2546" s="588">
        <v>19</v>
      </c>
      <c r="O2546" s="588">
        <v>1</v>
      </c>
      <c r="P2546" s="588">
        <v>42</v>
      </c>
      <c r="Q2546" s="588">
        <v>1</v>
      </c>
      <c r="R2546" s="588">
        <v>100</v>
      </c>
      <c r="S2546" s="588">
        <v>2</v>
      </c>
      <c r="T2546" s="588">
        <v>2019</v>
      </c>
      <c r="U2546" s="588">
        <v>2014</v>
      </c>
      <c r="V2546" s="589"/>
      <c r="W2546" s="589"/>
      <c r="X2546" s="589"/>
      <c r="Y2546" s="589"/>
      <c r="Z2546" s="589"/>
      <c r="AA2546" s="589"/>
      <c r="AB2546" s="589"/>
      <c r="AC2546" s="589"/>
      <c r="AD2546" s="589"/>
      <c r="AE2546" s="589"/>
      <c r="AF2546" s="589"/>
      <c r="AG2546" s="589"/>
      <c r="AH2546" s="589"/>
      <c r="AI2546" s="589"/>
      <c r="AJ2546" s="589"/>
      <c r="AK2546" s="589"/>
      <c r="AL2546" s="589"/>
      <c r="AM2546" s="589"/>
      <c r="AN2546" s="589"/>
      <c r="AO2546" s="589"/>
      <c r="AP2546" s="589"/>
      <c r="AQ2546" s="589"/>
      <c r="AR2546" s="589"/>
      <c r="AS2546" s="589"/>
    </row>
    <row r="2547" spans="1:45" ht="15">
      <c r="A2547" s="590" t="s">
        <v>200</v>
      </c>
      <c r="B2547" s="591" t="s">
        <v>728</v>
      </c>
      <c r="C2547" s="591" t="s">
        <v>969</v>
      </c>
      <c r="D2547" s="592">
        <v>2019</v>
      </c>
      <c r="E2547" s="591" t="s">
        <v>775</v>
      </c>
      <c r="F2547" s="592">
        <v>0</v>
      </c>
      <c r="G2547" s="592">
        <v>0</v>
      </c>
      <c r="H2547" s="592">
        <v>0</v>
      </c>
      <c r="I2547" s="592">
        <v>0</v>
      </c>
      <c r="J2547" s="592">
        <v>0</v>
      </c>
      <c r="K2547" s="592">
        <v>0</v>
      </c>
      <c r="L2547" s="592">
        <v>0</v>
      </c>
      <c r="M2547" s="592">
        <v>0</v>
      </c>
      <c r="N2547" s="593">
        <v>0</v>
      </c>
      <c r="O2547" s="593">
        <v>1</v>
      </c>
      <c r="P2547" s="593">
        <v>0</v>
      </c>
      <c r="Q2547" s="593">
        <v>1</v>
      </c>
      <c r="R2547" s="593">
        <v>0</v>
      </c>
      <c r="S2547" s="593">
        <v>2</v>
      </c>
      <c r="T2547" s="593">
        <v>2019</v>
      </c>
      <c r="U2547" s="593">
        <v>2014</v>
      </c>
      <c r="V2547" s="589"/>
      <c r="W2547" s="589"/>
      <c r="X2547" s="589"/>
      <c r="Y2547" s="589"/>
      <c r="Z2547" s="589"/>
      <c r="AA2547" s="589"/>
      <c r="AB2547" s="589"/>
      <c r="AC2547" s="589"/>
      <c r="AD2547" s="589"/>
      <c r="AE2547" s="589"/>
      <c r="AF2547" s="589"/>
      <c r="AG2547" s="589"/>
      <c r="AH2547" s="589"/>
      <c r="AI2547" s="589"/>
      <c r="AJ2547" s="589"/>
      <c r="AK2547" s="589"/>
      <c r="AL2547" s="589"/>
      <c r="AM2547" s="589"/>
      <c r="AN2547" s="589"/>
      <c r="AO2547" s="589"/>
      <c r="AP2547" s="589"/>
      <c r="AQ2547" s="589"/>
      <c r="AR2547" s="589"/>
      <c r="AS2547" s="589"/>
    </row>
    <row r="2548" spans="1:45" ht="15">
      <c r="A2548" s="587" t="s">
        <v>153</v>
      </c>
      <c r="B2548" s="587" t="s">
        <v>423</v>
      </c>
      <c r="C2548" s="587" t="s">
        <v>813</v>
      </c>
      <c r="D2548" s="588">
        <v>2019</v>
      </c>
      <c r="E2548" s="587" t="s">
        <v>775</v>
      </c>
      <c r="F2548" s="588">
        <v>43</v>
      </c>
      <c r="G2548" s="588">
        <v>0</v>
      </c>
      <c r="H2548" s="588">
        <v>0</v>
      </c>
      <c r="I2548" s="588">
        <v>0</v>
      </c>
      <c r="J2548" s="588">
        <v>25</v>
      </c>
      <c r="K2548" s="588">
        <v>0</v>
      </c>
      <c r="L2548" s="588">
        <v>0</v>
      </c>
      <c r="M2548" s="588">
        <v>0</v>
      </c>
      <c r="N2548" s="588">
        <v>28</v>
      </c>
      <c r="O2548" s="588">
        <v>0</v>
      </c>
      <c r="P2548" s="588">
        <v>76</v>
      </c>
      <c r="Q2548" s="588">
        <v>11</v>
      </c>
      <c r="R2548" s="588">
        <v>172</v>
      </c>
      <c r="S2548" s="588">
        <v>11</v>
      </c>
      <c r="T2548" s="588">
        <v>2019</v>
      </c>
      <c r="U2548" s="588">
        <v>2014</v>
      </c>
      <c r="V2548" s="589"/>
      <c r="W2548" s="589"/>
      <c r="X2548" s="589"/>
      <c r="Y2548" s="589"/>
      <c r="Z2548" s="589"/>
      <c r="AA2548" s="589"/>
      <c r="AB2548" s="589"/>
      <c r="AC2548" s="589"/>
      <c r="AD2548" s="589"/>
      <c r="AE2548" s="589"/>
      <c r="AF2548" s="589"/>
      <c r="AG2548" s="589"/>
      <c r="AH2548" s="589"/>
      <c r="AI2548" s="589"/>
      <c r="AJ2548" s="589"/>
      <c r="AK2548" s="589"/>
      <c r="AL2548" s="589"/>
      <c r="AM2548" s="589"/>
      <c r="AN2548" s="589"/>
      <c r="AO2548" s="589"/>
      <c r="AP2548" s="589"/>
      <c r="AQ2548" s="589"/>
      <c r="AR2548" s="589"/>
      <c r="AS2548" s="589"/>
    </row>
    <row r="2549" spans="1:45" ht="15">
      <c r="A2549" s="590" t="s">
        <v>153</v>
      </c>
      <c r="B2549" s="591" t="s">
        <v>424</v>
      </c>
      <c r="C2549" s="591" t="s">
        <v>813</v>
      </c>
      <c r="D2549" s="592">
        <v>2019</v>
      </c>
      <c r="E2549" s="591" t="s">
        <v>775</v>
      </c>
      <c r="F2549" s="592">
        <v>314</v>
      </c>
      <c r="G2549" s="592">
        <v>0</v>
      </c>
      <c r="H2549" s="592">
        <v>0</v>
      </c>
      <c r="I2549" s="592">
        <v>0</v>
      </c>
      <c r="J2549" s="592">
        <v>185</v>
      </c>
      <c r="K2549" s="592">
        <v>0</v>
      </c>
      <c r="L2549" s="592">
        <v>0</v>
      </c>
      <c r="M2549" s="592">
        <v>0</v>
      </c>
      <c r="N2549" s="593">
        <v>205</v>
      </c>
      <c r="O2549" s="593">
        <v>493</v>
      </c>
      <c r="P2549" s="593">
        <v>558</v>
      </c>
      <c r="Q2549" s="593">
        <v>7</v>
      </c>
      <c r="R2549" s="593">
        <v>1262</v>
      </c>
      <c r="S2549" s="593">
        <v>500</v>
      </c>
      <c r="T2549" s="593">
        <v>2019</v>
      </c>
      <c r="U2549" s="593">
        <v>2014</v>
      </c>
      <c r="V2549" s="589"/>
      <c r="W2549" s="589"/>
      <c r="X2549" s="589"/>
      <c r="Y2549" s="589"/>
      <c r="Z2549" s="589"/>
      <c r="AA2549" s="589"/>
      <c r="AB2549" s="589"/>
      <c r="AC2549" s="589"/>
      <c r="AD2549" s="589"/>
      <c r="AE2549" s="589"/>
      <c r="AF2549" s="589"/>
      <c r="AG2549" s="589"/>
      <c r="AH2549" s="589"/>
      <c r="AI2549" s="589"/>
      <c r="AJ2549" s="589"/>
      <c r="AK2549" s="589"/>
      <c r="AL2549" s="589"/>
      <c r="AM2549" s="589"/>
      <c r="AN2549" s="589"/>
      <c r="AO2549" s="589"/>
      <c r="AP2549" s="589"/>
      <c r="AQ2549" s="589"/>
      <c r="AR2549" s="589"/>
      <c r="AS2549" s="589"/>
    </row>
    <row r="2550" spans="1:45" ht="15">
      <c r="A2550" s="587" t="s">
        <v>139</v>
      </c>
      <c r="B2550" s="587" t="s">
        <v>289</v>
      </c>
      <c r="C2550" s="587" t="s">
        <v>787</v>
      </c>
      <c r="D2550" s="588">
        <v>2019</v>
      </c>
      <c r="E2550" s="587" t="s">
        <v>775</v>
      </c>
      <c r="F2550" s="588">
        <v>54</v>
      </c>
      <c r="G2550" s="588">
        <v>0</v>
      </c>
      <c r="H2550" s="588">
        <v>0</v>
      </c>
      <c r="I2550" s="588">
        <v>0</v>
      </c>
      <c r="J2550" s="588">
        <v>38</v>
      </c>
      <c r="K2550" s="588">
        <v>1</v>
      </c>
      <c r="L2550" s="588">
        <v>1</v>
      </c>
      <c r="M2550" s="588">
        <v>0</v>
      </c>
      <c r="N2550" s="588">
        <v>63</v>
      </c>
      <c r="O2550" s="588">
        <v>10</v>
      </c>
      <c r="P2550" s="588">
        <v>181</v>
      </c>
      <c r="Q2550" s="588">
        <v>27</v>
      </c>
      <c r="R2550" s="588">
        <v>336</v>
      </c>
      <c r="S2550" s="588">
        <v>38</v>
      </c>
      <c r="T2550" s="588">
        <v>2019</v>
      </c>
      <c r="U2550" s="588">
        <v>2014</v>
      </c>
      <c r="V2550" s="589"/>
      <c r="W2550" s="589"/>
      <c r="X2550" s="589"/>
      <c r="Y2550" s="589"/>
      <c r="Z2550" s="589"/>
      <c r="AA2550" s="589"/>
      <c r="AB2550" s="589"/>
      <c r="AC2550" s="589"/>
      <c r="AD2550" s="589"/>
      <c r="AE2550" s="589"/>
      <c r="AF2550" s="589"/>
      <c r="AG2550" s="589"/>
      <c r="AH2550" s="589"/>
      <c r="AI2550" s="589"/>
      <c r="AJ2550" s="589"/>
      <c r="AK2550" s="589"/>
      <c r="AL2550" s="589"/>
      <c r="AM2550" s="589"/>
      <c r="AN2550" s="589"/>
      <c r="AO2550" s="589"/>
      <c r="AP2550" s="589"/>
      <c r="AQ2550" s="589"/>
      <c r="AR2550" s="589"/>
      <c r="AS2550" s="589"/>
    </row>
    <row r="2551" spans="1:45" ht="15">
      <c r="A2551" s="590" t="s">
        <v>153</v>
      </c>
      <c r="B2551" s="591" t="s">
        <v>425</v>
      </c>
      <c r="C2551" s="591" t="s">
        <v>813</v>
      </c>
      <c r="D2551" s="592">
        <v>2019</v>
      </c>
      <c r="E2551" s="591" t="s">
        <v>775</v>
      </c>
      <c r="F2551" s="592">
        <v>17</v>
      </c>
      <c r="G2551" s="592">
        <v>0</v>
      </c>
      <c r="H2551" s="592">
        <v>0</v>
      </c>
      <c r="I2551" s="592">
        <v>0</v>
      </c>
      <c r="J2551" s="592">
        <v>10</v>
      </c>
      <c r="K2551" s="592">
        <v>0</v>
      </c>
      <c r="L2551" s="592">
        <v>0</v>
      </c>
      <c r="M2551" s="592">
        <v>0</v>
      </c>
      <c r="N2551" s="593">
        <v>11</v>
      </c>
      <c r="O2551" s="593">
        <v>0</v>
      </c>
      <c r="P2551" s="593">
        <v>25</v>
      </c>
      <c r="Q2551" s="593">
        <v>10</v>
      </c>
      <c r="R2551" s="593">
        <v>63</v>
      </c>
      <c r="S2551" s="593">
        <v>10</v>
      </c>
      <c r="T2551" s="593">
        <v>2019</v>
      </c>
      <c r="U2551" s="593">
        <v>2014</v>
      </c>
      <c r="V2551" s="589"/>
      <c r="W2551" s="589"/>
      <c r="X2551" s="589"/>
      <c r="Y2551" s="589"/>
      <c r="Z2551" s="589"/>
      <c r="AA2551" s="589"/>
      <c r="AB2551" s="589"/>
      <c r="AC2551" s="589"/>
      <c r="AD2551" s="589"/>
      <c r="AE2551" s="589"/>
      <c r="AF2551" s="589"/>
      <c r="AG2551" s="589"/>
      <c r="AH2551" s="589"/>
      <c r="AI2551" s="589"/>
      <c r="AJ2551" s="589"/>
      <c r="AK2551" s="589"/>
      <c r="AL2551" s="589"/>
      <c r="AM2551" s="589"/>
      <c r="AN2551" s="589"/>
      <c r="AO2551" s="589"/>
      <c r="AP2551" s="589"/>
      <c r="AQ2551" s="589"/>
      <c r="AR2551" s="589"/>
      <c r="AS2551" s="589"/>
    </row>
    <row r="2552" spans="1:45" ht="15">
      <c r="A2552" s="587" t="s">
        <v>184</v>
      </c>
      <c r="B2552" s="587" t="s">
        <v>641</v>
      </c>
      <c r="C2552" s="587" t="s">
        <v>782</v>
      </c>
      <c r="D2552" s="588">
        <v>2019</v>
      </c>
      <c r="E2552" s="587" t="s">
        <v>775</v>
      </c>
      <c r="F2552" s="588">
        <v>565</v>
      </c>
      <c r="G2552" s="588">
        <v>0</v>
      </c>
      <c r="H2552" s="588">
        <v>0</v>
      </c>
      <c r="I2552" s="588">
        <v>0</v>
      </c>
      <c r="J2552" s="588">
        <v>281</v>
      </c>
      <c r="K2552" s="588">
        <v>1</v>
      </c>
      <c r="L2552" s="588">
        <v>1</v>
      </c>
      <c r="M2552" s="588">
        <v>0</v>
      </c>
      <c r="N2552" s="588">
        <v>313</v>
      </c>
      <c r="O2552" s="588">
        <v>25</v>
      </c>
      <c r="P2552" s="588">
        <v>705</v>
      </c>
      <c r="Q2552" s="588">
        <v>269</v>
      </c>
      <c r="R2552" s="588">
        <v>1864</v>
      </c>
      <c r="S2552" s="588">
        <v>295</v>
      </c>
      <c r="T2552" s="588">
        <v>2019</v>
      </c>
      <c r="U2552" s="588">
        <v>2015</v>
      </c>
      <c r="V2552" s="589"/>
      <c r="W2552" s="589"/>
      <c r="X2552" s="589"/>
      <c r="Y2552" s="589"/>
      <c r="Z2552" s="589"/>
      <c r="AA2552" s="589"/>
      <c r="AB2552" s="589"/>
      <c r="AC2552" s="589"/>
      <c r="AD2552" s="589"/>
      <c r="AE2552" s="589"/>
      <c r="AF2552" s="589"/>
      <c r="AG2552" s="589"/>
      <c r="AH2552" s="589"/>
      <c r="AI2552" s="589"/>
      <c r="AJ2552" s="589"/>
      <c r="AK2552" s="589"/>
      <c r="AL2552" s="589"/>
      <c r="AM2552" s="589"/>
      <c r="AN2552" s="589"/>
      <c r="AO2552" s="589"/>
      <c r="AP2552" s="589"/>
      <c r="AQ2552" s="589"/>
      <c r="AR2552" s="589"/>
      <c r="AS2552" s="589"/>
    </row>
    <row r="2553" spans="1:45" ht="15">
      <c r="A2553" s="590" t="s">
        <v>195</v>
      </c>
      <c r="B2553" s="591" t="s">
        <v>710</v>
      </c>
      <c r="C2553" s="591" t="s">
        <v>811</v>
      </c>
      <c r="D2553" s="592">
        <v>2019</v>
      </c>
      <c r="E2553" s="591" t="s">
        <v>775</v>
      </c>
      <c r="F2553" s="592">
        <v>538</v>
      </c>
      <c r="G2553" s="592">
        <v>0</v>
      </c>
      <c r="H2553" s="592">
        <v>0</v>
      </c>
      <c r="I2553" s="592">
        <v>0</v>
      </c>
      <c r="J2553" s="592">
        <v>345</v>
      </c>
      <c r="K2553" s="592">
        <v>13</v>
      </c>
      <c r="L2553" s="592">
        <v>0</v>
      </c>
      <c r="M2553" s="592">
        <v>13</v>
      </c>
      <c r="N2553" s="593">
        <v>391</v>
      </c>
      <c r="O2553" s="593">
        <v>0</v>
      </c>
      <c r="P2553" s="593">
        <v>967</v>
      </c>
      <c r="Q2553" s="593">
        <v>54</v>
      </c>
      <c r="R2553" s="593">
        <v>2241</v>
      </c>
      <c r="S2553" s="593">
        <v>67</v>
      </c>
      <c r="T2553" s="593">
        <v>2019</v>
      </c>
      <c r="U2553" s="593">
        <v>2016</v>
      </c>
      <c r="V2553" s="589"/>
      <c r="W2553" s="589"/>
      <c r="X2553" s="589"/>
      <c r="Y2553" s="589"/>
      <c r="Z2553" s="589"/>
      <c r="AA2553" s="589"/>
      <c r="AB2553" s="589"/>
      <c r="AC2553" s="589"/>
      <c r="AD2553" s="589"/>
      <c r="AE2553" s="589"/>
      <c r="AF2553" s="589"/>
      <c r="AG2553" s="589"/>
      <c r="AH2553" s="589"/>
      <c r="AI2553" s="589"/>
      <c r="AJ2553" s="589"/>
      <c r="AK2553" s="589"/>
      <c r="AL2553" s="589"/>
      <c r="AM2553" s="589"/>
      <c r="AN2553" s="589"/>
      <c r="AO2553" s="589"/>
      <c r="AP2553" s="589"/>
      <c r="AQ2553" s="589"/>
      <c r="AR2553" s="589"/>
      <c r="AS2553" s="589"/>
    </row>
    <row r="2554" spans="1:45" ht="15">
      <c r="A2554" s="587" t="s">
        <v>169</v>
      </c>
      <c r="B2554" s="587" t="s">
        <v>514</v>
      </c>
      <c r="C2554" s="587" t="s">
        <v>813</v>
      </c>
      <c r="D2554" s="588">
        <v>2019</v>
      </c>
      <c r="E2554" s="587" t="s">
        <v>775</v>
      </c>
      <c r="F2554" s="588">
        <v>68</v>
      </c>
      <c r="G2554" s="588">
        <v>0</v>
      </c>
      <c r="H2554" s="588">
        <v>0</v>
      </c>
      <c r="I2554" s="588">
        <v>0</v>
      </c>
      <c r="J2554" s="588">
        <v>49</v>
      </c>
      <c r="K2554" s="588">
        <v>0</v>
      </c>
      <c r="L2554" s="588">
        <v>0</v>
      </c>
      <c r="M2554" s="588">
        <v>0</v>
      </c>
      <c r="N2554" s="588">
        <v>56</v>
      </c>
      <c r="O2554" s="588">
        <v>0</v>
      </c>
      <c r="P2554" s="588">
        <v>140</v>
      </c>
      <c r="Q2554" s="588">
        <v>115</v>
      </c>
      <c r="R2554" s="588">
        <v>313</v>
      </c>
      <c r="S2554" s="588">
        <v>115</v>
      </c>
      <c r="T2554" s="588">
        <v>2019</v>
      </c>
      <c r="U2554" s="588">
        <v>2014</v>
      </c>
      <c r="V2554" s="589"/>
      <c r="W2554" s="589"/>
      <c r="X2554" s="589"/>
      <c r="Y2554" s="589"/>
      <c r="Z2554" s="589"/>
      <c r="AA2554" s="589"/>
      <c r="AB2554" s="589"/>
      <c r="AC2554" s="589"/>
      <c r="AD2554" s="589"/>
      <c r="AE2554" s="589"/>
      <c r="AF2554" s="589"/>
      <c r="AG2554" s="589"/>
      <c r="AH2554" s="589"/>
      <c r="AI2554" s="589"/>
      <c r="AJ2554" s="589"/>
      <c r="AK2554" s="589"/>
      <c r="AL2554" s="589"/>
      <c r="AM2554" s="589"/>
      <c r="AN2554" s="589"/>
      <c r="AO2554" s="589"/>
      <c r="AP2554" s="589"/>
      <c r="AQ2554" s="589"/>
      <c r="AR2554" s="589"/>
      <c r="AS2554" s="589"/>
    </row>
    <row r="2555" spans="1:45" ht="15">
      <c r="A2555" s="590" t="s">
        <v>182</v>
      </c>
      <c r="B2555" s="591" t="s">
        <v>614</v>
      </c>
      <c r="C2555" s="591" t="s">
        <v>811</v>
      </c>
      <c r="D2555" s="592">
        <v>2019</v>
      </c>
      <c r="E2555" s="591" t="s">
        <v>775</v>
      </c>
      <c r="F2555" s="592">
        <v>3157</v>
      </c>
      <c r="G2555" s="592">
        <v>118</v>
      </c>
      <c r="H2555" s="592">
        <v>118</v>
      </c>
      <c r="I2555" s="592">
        <v>0</v>
      </c>
      <c r="J2555" s="592">
        <v>2004</v>
      </c>
      <c r="K2555" s="592">
        <v>4</v>
      </c>
      <c r="L2555" s="592">
        <v>0</v>
      </c>
      <c r="M2555" s="592">
        <v>4</v>
      </c>
      <c r="N2555" s="593">
        <v>2103</v>
      </c>
      <c r="O2555" s="593">
        <v>457</v>
      </c>
      <c r="P2555" s="593">
        <v>4560</v>
      </c>
      <c r="Q2555" s="593">
        <v>0</v>
      </c>
      <c r="R2555" s="593">
        <v>11824</v>
      </c>
      <c r="S2555" s="593">
        <v>579</v>
      </c>
      <c r="T2555" s="593">
        <v>2019</v>
      </c>
      <c r="U2555" s="593">
        <v>2016</v>
      </c>
      <c r="V2555" s="589"/>
      <c r="W2555" s="589"/>
      <c r="X2555" s="589"/>
      <c r="Y2555" s="589"/>
      <c r="Z2555" s="589"/>
      <c r="AA2555" s="589"/>
      <c r="AB2555" s="589"/>
      <c r="AC2555" s="589"/>
      <c r="AD2555" s="589"/>
      <c r="AE2555" s="589"/>
      <c r="AF2555" s="589"/>
      <c r="AG2555" s="589"/>
      <c r="AH2555" s="589"/>
      <c r="AI2555" s="589"/>
      <c r="AJ2555" s="589"/>
      <c r="AK2555" s="589"/>
      <c r="AL2555" s="589"/>
      <c r="AM2555" s="589"/>
      <c r="AN2555" s="589"/>
      <c r="AO2555" s="589"/>
      <c r="AP2555" s="589"/>
      <c r="AQ2555" s="589"/>
      <c r="AR2555" s="589"/>
      <c r="AS2555" s="589"/>
    </row>
    <row r="2556" spans="1:45" ht="15">
      <c r="A2556" s="587" t="s">
        <v>192</v>
      </c>
      <c r="B2556" s="587" t="s">
        <v>691</v>
      </c>
      <c r="C2556" s="587" t="s">
        <v>782</v>
      </c>
      <c r="D2556" s="588">
        <v>2019</v>
      </c>
      <c r="E2556" s="587" t="s">
        <v>775</v>
      </c>
      <c r="F2556" s="588">
        <v>147</v>
      </c>
      <c r="G2556" s="588">
        <v>0</v>
      </c>
      <c r="H2556" s="588">
        <v>0</v>
      </c>
      <c r="I2556" s="588">
        <v>0</v>
      </c>
      <c r="J2556" s="588">
        <v>57</v>
      </c>
      <c r="K2556" s="588">
        <v>0</v>
      </c>
      <c r="L2556" s="588">
        <v>0</v>
      </c>
      <c r="M2556" s="588">
        <v>0</v>
      </c>
      <c r="N2556" s="588">
        <v>60</v>
      </c>
      <c r="O2556" s="588">
        <v>0</v>
      </c>
      <c r="P2556" s="588">
        <v>241</v>
      </c>
      <c r="Q2556" s="588">
        <v>0</v>
      </c>
      <c r="R2556" s="588">
        <v>505</v>
      </c>
      <c r="S2556" s="588">
        <v>0</v>
      </c>
      <c r="T2556" s="588">
        <v>2019</v>
      </c>
      <c r="U2556" s="588">
        <v>2015</v>
      </c>
      <c r="V2556" s="589"/>
      <c r="W2556" s="589"/>
      <c r="X2556" s="589"/>
      <c r="Y2556" s="589"/>
      <c r="Z2556" s="589"/>
      <c r="AA2556" s="589"/>
      <c r="AB2556" s="589"/>
      <c r="AC2556" s="589"/>
      <c r="AD2556" s="589"/>
      <c r="AE2556" s="589"/>
      <c r="AF2556" s="589"/>
      <c r="AG2556" s="589"/>
      <c r="AH2556" s="589"/>
      <c r="AI2556" s="589"/>
      <c r="AJ2556" s="589"/>
      <c r="AK2556" s="589"/>
      <c r="AL2556" s="589"/>
      <c r="AM2556" s="589"/>
      <c r="AN2556" s="589"/>
      <c r="AO2556" s="589"/>
      <c r="AP2556" s="589"/>
      <c r="AQ2556" s="589"/>
      <c r="AR2556" s="589"/>
      <c r="AS2556" s="589"/>
    </row>
    <row r="2557" spans="1:45" ht="15">
      <c r="A2557" s="590" t="s">
        <v>187</v>
      </c>
      <c r="B2557" s="591" t="s">
        <v>665</v>
      </c>
      <c r="C2557" s="591" t="s">
        <v>782</v>
      </c>
      <c r="D2557" s="592">
        <v>2019</v>
      </c>
      <c r="E2557" s="591" t="s">
        <v>775</v>
      </c>
      <c r="F2557" s="592">
        <v>1640</v>
      </c>
      <c r="G2557" s="592">
        <v>25</v>
      </c>
      <c r="H2557" s="592">
        <v>25</v>
      </c>
      <c r="I2557" s="592">
        <v>0</v>
      </c>
      <c r="J2557" s="592">
        <v>906</v>
      </c>
      <c r="K2557" s="592">
        <v>0</v>
      </c>
      <c r="L2557" s="592">
        <v>0</v>
      </c>
      <c r="M2557" s="592">
        <v>0</v>
      </c>
      <c r="N2557" s="593">
        <v>932</v>
      </c>
      <c r="O2557" s="593">
        <v>40</v>
      </c>
      <c r="P2557" s="593">
        <v>1974</v>
      </c>
      <c r="Q2557" s="593">
        <v>609</v>
      </c>
      <c r="R2557" s="593">
        <v>5452</v>
      </c>
      <c r="S2557" s="593">
        <v>674</v>
      </c>
      <c r="T2557" s="593">
        <v>2019</v>
      </c>
      <c r="U2557" s="593">
        <v>2015</v>
      </c>
      <c r="V2557" s="589"/>
      <c r="W2557" s="589"/>
      <c r="X2557" s="589"/>
      <c r="Y2557" s="589"/>
      <c r="Z2557" s="589"/>
      <c r="AA2557" s="589"/>
      <c r="AB2557" s="589"/>
      <c r="AC2557" s="589"/>
      <c r="AD2557" s="589"/>
      <c r="AE2557" s="589"/>
      <c r="AF2557" s="589"/>
      <c r="AG2557" s="589"/>
      <c r="AH2557" s="589"/>
      <c r="AI2557" s="589"/>
      <c r="AJ2557" s="589"/>
      <c r="AK2557" s="589"/>
      <c r="AL2557" s="589"/>
      <c r="AM2557" s="589"/>
      <c r="AN2557" s="589"/>
      <c r="AO2557" s="589"/>
      <c r="AP2557" s="589"/>
      <c r="AQ2557" s="589"/>
      <c r="AR2557" s="589"/>
      <c r="AS2557" s="589"/>
    </row>
    <row r="2558" spans="1:45" ht="15">
      <c r="A2558" s="587" t="s">
        <v>152</v>
      </c>
      <c r="B2558" s="587" t="s">
        <v>345</v>
      </c>
      <c r="C2558" s="587" t="s">
        <v>785</v>
      </c>
      <c r="D2558" s="588">
        <v>2019</v>
      </c>
      <c r="E2558" s="587" t="s">
        <v>775</v>
      </c>
      <c r="F2558" s="588">
        <v>8</v>
      </c>
      <c r="G2558" s="588">
        <v>0</v>
      </c>
      <c r="H2558" s="588">
        <v>0</v>
      </c>
      <c r="I2558" s="588">
        <v>0</v>
      </c>
      <c r="J2558" s="588">
        <v>4</v>
      </c>
      <c r="K2558" s="588">
        <v>0</v>
      </c>
      <c r="L2558" s="588">
        <v>0</v>
      </c>
      <c r="M2558" s="588">
        <v>0</v>
      </c>
      <c r="N2558" s="588">
        <v>6</v>
      </c>
      <c r="O2558" s="588">
        <v>9</v>
      </c>
      <c r="P2558" s="588">
        <v>12</v>
      </c>
      <c r="Q2558" s="588">
        <v>0</v>
      </c>
      <c r="R2558" s="588">
        <v>30</v>
      </c>
      <c r="S2558" s="588">
        <v>9</v>
      </c>
      <c r="T2558" s="588">
        <v>2019</v>
      </c>
      <c r="U2558" s="588">
        <v>2014</v>
      </c>
      <c r="V2558" s="589"/>
      <c r="W2558" s="589"/>
      <c r="X2558" s="589"/>
      <c r="Y2558" s="589"/>
      <c r="Z2558" s="589"/>
      <c r="AA2558" s="589"/>
      <c r="AB2558" s="589"/>
      <c r="AC2558" s="589"/>
      <c r="AD2558" s="589"/>
      <c r="AE2558" s="589"/>
      <c r="AF2558" s="589"/>
      <c r="AG2558" s="589"/>
      <c r="AH2558" s="589"/>
      <c r="AI2558" s="589"/>
      <c r="AJ2558" s="589"/>
      <c r="AK2558" s="589"/>
      <c r="AL2558" s="589"/>
      <c r="AM2558" s="589"/>
      <c r="AN2558" s="589"/>
      <c r="AO2558" s="589"/>
      <c r="AP2558" s="589"/>
      <c r="AQ2558" s="589"/>
      <c r="AR2558" s="589"/>
      <c r="AS2558" s="589"/>
    </row>
    <row r="2559" spans="1:45" ht="15">
      <c r="A2559" s="590" t="s">
        <v>152</v>
      </c>
      <c r="B2559" s="591" t="s">
        <v>345</v>
      </c>
      <c r="C2559" s="591" t="s">
        <v>969</v>
      </c>
      <c r="D2559" s="592">
        <v>2019</v>
      </c>
      <c r="E2559" s="591" t="s">
        <v>775</v>
      </c>
      <c r="F2559" s="592">
        <v>0</v>
      </c>
      <c r="G2559" s="592">
        <v>0</v>
      </c>
      <c r="H2559" s="592">
        <v>0</v>
      </c>
      <c r="I2559" s="592">
        <v>0</v>
      </c>
      <c r="J2559" s="592">
        <v>0</v>
      </c>
      <c r="K2559" s="592">
        <v>0</v>
      </c>
      <c r="L2559" s="592">
        <v>0</v>
      </c>
      <c r="M2559" s="592">
        <v>0</v>
      </c>
      <c r="N2559" s="593">
        <v>0</v>
      </c>
      <c r="O2559" s="593">
        <v>9</v>
      </c>
      <c r="P2559" s="593">
        <v>0</v>
      </c>
      <c r="Q2559" s="593">
        <v>0</v>
      </c>
      <c r="R2559" s="593">
        <v>0</v>
      </c>
      <c r="S2559" s="593">
        <v>9</v>
      </c>
      <c r="T2559" s="593">
        <v>2019</v>
      </c>
      <c r="U2559" s="593">
        <v>2014</v>
      </c>
      <c r="V2559" s="589"/>
      <c r="W2559" s="589"/>
      <c r="X2559" s="589"/>
      <c r="Y2559" s="589"/>
      <c r="Z2559" s="589"/>
      <c r="AA2559" s="589"/>
      <c r="AB2559" s="589"/>
      <c r="AC2559" s="589"/>
      <c r="AD2559" s="589"/>
      <c r="AE2559" s="589"/>
      <c r="AF2559" s="589"/>
      <c r="AG2559" s="589"/>
      <c r="AH2559" s="589"/>
      <c r="AI2559" s="589"/>
      <c r="AJ2559" s="589"/>
      <c r="AK2559" s="589"/>
      <c r="AL2559" s="589"/>
      <c r="AM2559" s="589"/>
      <c r="AN2559" s="589"/>
      <c r="AO2559" s="589"/>
      <c r="AP2559" s="589"/>
      <c r="AQ2559" s="589"/>
      <c r="AR2559" s="589"/>
      <c r="AS2559" s="589"/>
    </row>
    <row r="2560" spans="1:45" ht="15">
      <c r="A2560" s="587" t="s">
        <v>196</v>
      </c>
      <c r="B2560" s="587" t="s">
        <v>714</v>
      </c>
      <c r="C2560" s="587" t="s">
        <v>801</v>
      </c>
      <c r="D2560" s="588">
        <v>2019</v>
      </c>
      <c r="E2560" s="587" t="s">
        <v>775</v>
      </c>
      <c r="F2560" s="588">
        <v>85</v>
      </c>
      <c r="G2560" s="588">
        <v>0</v>
      </c>
      <c r="H2560" s="588">
        <v>0</v>
      </c>
      <c r="I2560" s="588">
        <v>0</v>
      </c>
      <c r="J2560" s="588">
        <v>60</v>
      </c>
      <c r="K2560" s="588">
        <v>0</v>
      </c>
      <c r="L2560" s="588">
        <v>0</v>
      </c>
      <c r="M2560" s="588">
        <v>0</v>
      </c>
      <c r="N2560" s="588">
        <v>62</v>
      </c>
      <c r="O2560" s="588">
        <v>0</v>
      </c>
      <c r="P2560" s="588">
        <v>128</v>
      </c>
      <c r="Q2560" s="588">
        <v>9</v>
      </c>
      <c r="R2560" s="588">
        <v>335</v>
      </c>
      <c r="S2560" s="588">
        <v>9</v>
      </c>
      <c r="T2560" s="588">
        <v>2019</v>
      </c>
      <c r="U2560" s="588">
        <v>2014</v>
      </c>
      <c r="V2560" s="589"/>
      <c r="W2560" s="589"/>
      <c r="X2560" s="589"/>
      <c r="Y2560" s="589"/>
      <c r="Z2560" s="589"/>
      <c r="AA2560" s="589"/>
      <c r="AB2560" s="589"/>
      <c r="AC2560" s="589"/>
      <c r="AD2560" s="589"/>
      <c r="AE2560" s="589"/>
      <c r="AF2560" s="589"/>
      <c r="AG2560" s="589"/>
      <c r="AH2560" s="589"/>
      <c r="AI2560" s="589"/>
      <c r="AJ2560" s="589"/>
      <c r="AK2560" s="589"/>
      <c r="AL2560" s="589"/>
      <c r="AM2560" s="589"/>
      <c r="AN2560" s="589"/>
      <c r="AO2560" s="589"/>
      <c r="AP2560" s="589"/>
      <c r="AQ2560" s="589"/>
      <c r="AR2560" s="589"/>
      <c r="AS2560" s="589"/>
    </row>
    <row r="2561" spans="1:45" ht="15">
      <c r="A2561" s="590" t="s">
        <v>130</v>
      </c>
      <c r="B2561" s="591" t="s">
        <v>254</v>
      </c>
      <c r="C2561" s="591" t="s">
        <v>785</v>
      </c>
      <c r="D2561" s="592">
        <v>2019</v>
      </c>
      <c r="E2561" s="591" t="s">
        <v>775</v>
      </c>
      <c r="F2561" s="592">
        <v>2</v>
      </c>
      <c r="G2561" s="592">
        <v>0</v>
      </c>
      <c r="H2561" s="592">
        <v>0</v>
      </c>
      <c r="I2561" s="592">
        <v>0</v>
      </c>
      <c r="J2561" s="592">
        <v>2</v>
      </c>
      <c r="K2561" s="592">
        <v>0</v>
      </c>
      <c r="L2561" s="592">
        <v>0</v>
      </c>
      <c r="M2561" s="592">
        <v>0</v>
      </c>
      <c r="N2561" s="593">
        <v>2</v>
      </c>
      <c r="O2561" s="593">
        <v>0</v>
      </c>
      <c r="P2561" s="593">
        <v>4</v>
      </c>
      <c r="Q2561" s="593">
        <v>3</v>
      </c>
      <c r="R2561" s="593">
        <v>10</v>
      </c>
      <c r="S2561" s="593">
        <v>3</v>
      </c>
      <c r="T2561" s="593">
        <v>2019</v>
      </c>
      <c r="U2561" s="593">
        <v>2014</v>
      </c>
      <c r="V2561" s="589"/>
      <c r="W2561" s="589"/>
      <c r="X2561" s="589"/>
      <c r="Y2561" s="589"/>
      <c r="Z2561" s="589"/>
      <c r="AA2561" s="589"/>
      <c r="AB2561" s="589"/>
      <c r="AC2561" s="589"/>
      <c r="AD2561" s="589"/>
      <c r="AE2561" s="589"/>
      <c r="AF2561" s="589"/>
      <c r="AG2561" s="589"/>
      <c r="AH2561" s="589"/>
      <c r="AI2561" s="589"/>
      <c r="AJ2561" s="589"/>
      <c r="AK2561" s="589"/>
      <c r="AL2561" s="589"/>
      <c r="AM2561" s="589"/>
      <c r="AN2561" s="589"/>
      <c r="AO2561" s="589"/>
      <c r="AP2561" s="589"/>
      <c r="AQ2561" s="589"/>
      <c r="AR2561" s="589"/>
      <c r="AS2561" s="589"/>
    </row>
    <row r="2562" spans="1:45" ht="15">
      <c r="A2562" s="587" t="s">
        <v>148</v>
      </c>
      <c r="B2562" s="587" t="s">
        <v>333</v>
      </c>
      <c r="C2562" s="587" t="s">
        <v>811</v>
      </c>
      <c r="D2562" s="588">
        <v>2019</v>
      </c>
      <c r="E2562" s="587" t="s">
        <v>775</v>
      </c>
      <c r="F2562" s="588">
        <v>52</v>
      </c>
      <c r="G2562" s="588">
        <v>0</v>
      </c>
      <c r="H2562" s="588">
        <v>0</v>
      </c>
      <c r="I2562" s="588">
        <v>0</v>
      </c>
      <c r="J2562" s="588">
        <v>26</v>
      </c>
      <c r="K2562" s="588">
        <v>0</v>
      </c>
      <c r="L2562" s="588">
        <v>0</v>
      </c>
      <c r="M2562" s="588">
        <v>0</v>
      </c>
      <c r="N2562" s="588">
        <v>30</v>
      </c>
      <c r="O2562" s="588">
        <v>5</v>
      </c>
      <c r="P2562" s="588">
        <v>146</v>
      </c>
      <c r="Q2562" s="588">
        <v>7</v>
      </c>
      <c r="R2562" s="588">
        <v>254</v>
      </c>
      <c r="S2562" s="588">
        <v>12</v>
      </c>
      <c r="T2562" s="588">
        <v>2019</v>
      </c>
      <c r="U2562" s="588">
        <v>2016</v>
      </c>
      <c r="V2562" s="589"/>
      <c r="W2562" s="589"/>
      <c r="X2562" s="589"/>
      <c r="Y2562" s="589"/>
      <c r="Z2562" s="589"/>
      <c r="AA2562" s="589"/>
      <c r="AB2562" s="589"/>
      <c r="AC2562" s="589"/>
      <c r="AD2562" s="589"/>
      <c r="AE2562" s="589"/>
      <c r="AF2562" s="589"/>
      <c r="AG2562" s="589"/>
      <c r="AH2562" s="589"/>
      <c r="AI2562" s="589"/>
      <c r="AJ2562" s="589"/>
      <c r="AK2562" s="589"/>
      <c r="AL2562" s="589"/>
      <c r="AM2562" s="589"/>
      <c r="AN2562" s="589"/>
      <c r="AO2562" s="589"/>
      <c r="AP2562" s="589"/>
      <c r="AQ2562" s="589"/>
      <c r="AR2562" s="589"/>
      <c r="AS2562" s="589"/>
    </row>
    <row r="2563" spans="1:45" ht="15">
      <c r="A2563" s="590" t="s">
        <v>148</v>
      </c>
      <c r="B2563" s="591" t="s">
        <v>334</v>
      </c>
      <c r="C2563" s="591" t="s">
        <v>811</v>
      </c>
      <c r="D2563" s="592">
        <v>2019</v>
      </c>
      <c r="E2563" s="591" t="s">
        <v>775</v>
      </c>
      <c r="F2563" s="592">
        <v>127</v>
      </c>
      <c r="G2563" s="592">
        <v>0</v>
      </c>
      <c r="H2563" s="592">
        <v>0</v>
      </c>
      <c r="I2563" s="592">
        <v>0</v>
      </c>
      <c r="J2563" s="592">
        <v>64</v>
      </c>
      <c r="K2563" s="592">
        <v>0</v>
      </c>
      <c r="L2563" s="592">
        <v>0</v>
      </c>
      <c r="M2563" s="592">
        <v>0</v>
      </c>
      <c r="N2563" s="593">
        <v>88</v>
      </c>
      <c r="O2563" s="593">
        <v>0</v>
      </c>
      <c r="P2563" s="593">
        <v>216</v>
      </c>
      <c r="Q2563" s="593">
        <v>6</v>
      </c>
      <c r="R2563" s="593">
        <v>495</v>
      </c>
      <c r="S2563" s="593">
        <v>6</v>
      </c>
      <c r="T2563" s="593">
        <v>2019</v>
      </c>
      <c r="U2563" s="593">
        <v>2016</v>
      </c>
      <c r="V2563" s="589"/>
      <c r="W2563" s="589"/>
      <c r="X2563" s="589"/>
      <c r="Y2563" s="589"/>
      <c r="Z2563" s="589"/>
      <c r="AA2563" s="589"/>
      <c r="AB2563" s="589"/>
      <c r="AC2563" s="589"/>
      <c r="AD2563" s="589"/>
      <c r="AE2563" s="589"/>
      <c r="AF2563" s="589"/>
      <c r="AG2563" s="589"/>
      <c r="AH2563" s="589"/>
      <c r="AI2563" s="589"/>
      <c r="AJ2563" s="589"/>
      <c r="AK2563" s="589"/>
      <c r="AL2563" s="589"/>
      <c r="AM2563" s="589"/>
      <c r="AN2563" s="589"/>
      <c r="AO2563" s="589"/>
      <c r="AP2563" s="589"/>
      <c r="AQ2563" s="589"/>
      <c r="AR2563" s="589"/>
      <c r="AS2563" s="589"/>
    </row>
    <row r="2564" spans="1:45" ht="15">
      <c r="A2564" s="587" t="s">
        <v>197</v>
      </c>
      <c r="B2564" s="587" t="s">
        <v>197</v>
      </c>
      <c r="C2564" s="587" t="s">
        <v>785</v>
      </c>
      <c r="D2564" s="588">
        <v>2019</v>
      </c>
      <c r="E2564" s="587" t="s">
        <v>775</v>
      </c>
      <c r="F2564" s="588">
        <v>2</v>
      </c>
      <c r="G2564" s="588">
        <v>0</v>
      </c>
      <c r="H2564" s="588">
        <v>0</v>
      </c>
      <c r="I2564" s="588">
        <v>0</v>
      </c>
      <c r="J2564" s="588">
        <v>2</v>
      </c>
      <c r="K2564" s="588">
        <v>0</v>
      </c>
      <c r="L2564" s="588">
        <v>0</v>
      </c>
      <c r="M2564" s="588">
        <v>0</v>
      </c>
      <c r="N2564" s="588">
        <v>2</v>
      </c>
      <c r="O2564" s="588">
        <v>0</v>
      </c>
      <c r="P2564" s="588">
        <v>4</v>
      </c>
      <c r="Q2564" s="588">
        <v>0</v>
      </c>
      <c r="R2564" s="588">
        <v>10</v>
      </c>
      <c r="S2564" s="588">
        <v>0</v>
      </c>
      <c r="T2564" s="588">
        <v>2019</v>
      </c>
      <c r="U2564" s="588">
        <v>2014</v>
      </c>
      <c r="V2564" s="589"/>
      <c r="W2564" s="589"/>
      <c r="X2564" s="589"/>
      <c r="Y2564" s="589"/>
      <c r="Z2564" s="589"/>
      <c r="AA2564" s="589"/>
      <c r="AB2564" s="589"/>
      <c r="AC2564" s="589"/>
      <c r="AD2564" s="589"/>
      <c r="AE2564" s="589"/>
      <c r="AF2564" s="589"/>
      <c r="AG2564" s="589"/>
      <c r="AH2564" s="589"/>
      <c r="AI2564" s="589"/>
      <c r="AJ2564" s="589"/>
      <c r="AK2564" s="589"/>
      <c r="AL2564" s="589"/>
      <c r="AM2564" s="589"/>
      <c r="AN2564" s="589"/>
      <c r="AO2564" s="589"/>
      <c r="AP2564" s="589"/>
      <c r="AQ2564" s="589"/>
      <c r="AR2564" s="589"/>
      <c r="AS2564" s="589"/>
    </row>
    <row r="2565" spans="1:45" ht="15">
      <c r="A2565" s="590" t="s">
        <v>197</v>
      </c>
      <c r="B2565" s="591" t="s">
        <v>197</v>
      </c>
      <c r="C2565" s="591" t="s">
        <v>969</v>
      </c>
      <c r="D2565" s="592">
        <v>2019</v>
      </c>
      <c r="E2565" s="591" t="s">
        <v>775</v>
      </c>
      <c r="F2565" s="592">
        <v>0</v>
      </c>
      <c r="G2565" s="592">
        <v>0</v>
      </c>
      <c r="H2565" s="592">
        <v>0</v>
      </c>
      <c r="I2565" s="592">
        <v>0</v>
      </c>
      <c r="J2565" s="592">
        <v>0</v>
      </c>
      <c r="K2565" s="592">
        <v>0</v>
      </c>
      <c r="L2565" s="592">
        <v>0</v>
      </c>
      <c r="M2565" s="592">
        <v>0</v>
      </c>
      <c r="N2565" s="593">
        <v>0</v>
      </c>
      <c r="O2565" s="593">
        <v>0</v>
      </c>
      <c r="P2565" s="593">
        <v>0</v>
      </c>
      <c r="Q2565" s="593">
        <v>0</v>
      </c>
      <c r="R2565" s="593">
        <v>0</v>
      </c>
      <c r="S2565" s="593">
        <v>0</v>
      </c>
      <c r="T2565" s="593">
        <v>2019</v>
      </c>
      <c r="U2565" s="593">
        <v>2014</v>
      </c>
      <c r="V2565" s="589"/>
      <c r="W2565" s="589"/>
      <c r="X2565" s="589"/>
      <c r="Y2565" s="589"/>
      <c r="Z2565" s="589"/>
      <c r="AA2565" s="589"/>
      <c r="AB2565" s="589"/>
      <c r="AC2565" s="589"/>
      <c r="AD2565" s="589"/>
      <c r="AE2565" s="589"/>
      <c r="AF2565" s="589"/>
      <c r="AG2565" s="589"/>
      <c r="AH2565" s="589"/>
      <c r="AI2565" s="589"/>
      <c r="AJ2565" s="589"/>
      <c r="AK2565" s="589"/>
      <c r="AL2565" s="589"/>
      <c r="AM2565" s="589"/>
      <c r="AN2565" s="589"/>
      <c r="AO2565" s="589"/>
      <c r="AP2565" s="589"/>
      <c r="AQ2565" s="589"/>
      <c r="AR2565" s="589"/>
      <c r="AS2565" s="589"/>
    </row>
    <row r="2566" spans="1:45" ht="15">
      <c r="A2566" s="587" t="s">
        <v>197</v>
      </c>
      <c r="B2566" s="587" t="s">
        <v>718</v>
      </c>
      <c r="C2566" s="587" t="s">
        <v>785</v>
      </c>
      <c r="D2566" s="588">
        <v>2019</v>
      </c>
      <c r="E2566" s="587" t="s">
        <v>775</v>
      </c>
      <c r="F2566" s="588">
        <v>112</v>
      </c>
      <c r="G2566" s="588">
        <v>5</v>
      </c>
      <c r="H2566" s="588">
        <v>0</v>
      </c>
      <c r="I2566" s="588">
        <v>5</v>
      </c>
      <c r="J2566" s="588">
        <v>76</v>
      </c>
      <c r="K2566" s="588">
        <v>23</v>
      </c>
      <c r="L2566" s="588">
        <v>0</v>
      </c>
      <c r="M2566" s="588">
        <v>23</v>
      </c>
      <c r="N2566" s="588">
        <v>89</v>
      </c>
      <c r="O2566" s="588">
        <v>12</v>
      </c>
      <c r="P2566" s="588">
        <v>209</v>
      </c>
      <c r="Q2566" s="588">
        <v>47</v>
      </c>
      <c r="R2566" s="588">
        <v>486</v>
      </c>
      <c r="S2566" s="588">
        <v>87</v>
      </c>
      <c r="T2566" s="588">
        <v>2019</v>
      </c>
      <c r="U2566" s="588">
        <v>2014</v>
      </c>
      <c r="V2566" s="589"/>
      <c r="W2566" s="589"/>
      <c r="X2566" s="589"/>
      <c r="Y2566" s="589"/>
      <c r="Z2566" s="589"/>
      <c r="AA2566" s="589"/>
      <c r="AB2566" s="589"/>
      <c r="AC2566" s="589"/>
      <c r="AD2566" s="589"/>
      <c r="AE2566" s="589"/>
      <c r="AF2566" s="589"/>
      <c r="AG2566" s="589"/>
      <c r="AH2566" s="589"/>
      <c r="AI2566" s="589"/>
      <c r="AJ2566" s="589"/>
      <c r="AK2566" s="589"/>
      <c r="AL2566" s="589"/>
      <c r="AM2566" s="589"/>
      <c r="AN2566" s="589"/>
      <c r="AO2566" s="589"/>
      <c r="AP2566" s="589"/>
      <c r="AQ2566" s="589"/>
      <c r="AR2566" s="589"/>
      <c r="AS2566" s="589"/>
    </row>
    <row r="2567" spans="1:45" ht="15">
      <c r="A2567" s="590" t="s">
        <v>197</v>
      </c>
      <c r="B2567" s="591" t="s">
        <v>718</v>
      </c>
      <c r="C2567" s="591" t="s">
        <v>969</v>
      </c>
      <c r="D2567" s="592">
        <v>2019</v>
      </c>
      <c r="E2567" s="591" t="s">
        <v>775</v>
      </c>
      <c r="F2567" s="592">
        <v>0</v>
      </c>
      <c r="G2567" s="592">
        <v>5</v>
      </c>
      <c r="H2567" s="592">
        <v>0</v>
      </c>
      <c r="I2567" s="592">
        <v>5</v>
      </c>
      <c r="J2567" s="592">
        <v>0</v>
      </c>
      <c r="K2567" s="592">
        <v>23</v>
      </c>
      <c r="L2567" s="592">
        <v>0</v>
      </c>
      <c r="M2567" s="592">
        <v>23</v>
      </c>
      <c r="N2567" s="593">
        <v>0</v>
      </c>
      <c r="O2567" s="593">
        <v>12</v>
      </c>
      <c r="P2567" s="593">
        <v>0</v>
      </c>
      <c r="Q2567" s="593">
        <v>47</v>
      </c>
      <c r="R2567" s="593">
        <v>0</v>
      </c>
      <c r="S2567" s="593">
        <v>87</v>
      </c>
      <c r="T2567" s="593">
        <v>2019</v>
      </c>
      <c r="U2567" s="593">
        <v>2014</v>
      </c>
      <c r="V2567" s="589"/>
      <c r="W2567" s="589"/>
      <c r="X2567" s="589"/>
      <c r="Y2567" s="589"/>
      <c r="Z2567" s="589"/>
      <c r="AA2567" s="589"/>
      <c r="AB2567" s="589"/>
      <c r="AC2567" s="589"/>
      <c r="AD2567" s="589"/>
      <c r="AE2567" s="589"/>
      <c r="AF2567" s="589"/>
      <c r="AG2567" s="589"/>
      <c r="AH2567" s="589"/>
      <c r="AI2567" s="589"/>
      <c r="AJ2567" s="589"/>
      <c r="AK2567" s="589"/>
      <c r="AL2567" s="589"/>
      <c r="AM2567" s="589"/>
      <c r="AN2567" s="589"/>
      <c r="AO2567" s="589"/>
      <c r="AP2567" s="589"/>
      <c r="AQ2567" s="589"/>
      <c r="AR2567" s="589"/>
      <c r="AS2567" s="589"/>
    </row>
    <row r="2568" spans="1:45" ht="15">
      <c r="A2568" s="587" t="s">
        <v>173</v>
      </c>
      <c r="B2568" s="587" t="s">
        <v>554</v>
      </c>
      <c r="C2568" s="587" t="s">
        <v>813</v>
      </c>
      <c r="D2568" s="588">
        <v>2019</v>
      </c>
      <c r="E2568" s="587" t="s">
        <v>775</v>
      </c>
      <c r="F2568" s="588">
        <v>375</v>
      </c>
      <c r="G2568" s="588">
        <v>0</v>
      </c>
      <c r="H2568" s="588">
        <v>0</v>
      </c>
      <c r="I2568" s="588">
        <v>0</v>
      </c>
      <c r="J2568" s="588">
        <v>251</v>
      </c>
      <c r="K2568" s="588">
        <v>0</v>
      </c>
      <c r="L2568" s="588">
        <v>0</v>
      </c>
      <c r="M2568" s="588">
        <v>0</v>
      </c>
      <c r="N2568" s="588">
        <v>271</v>
      </c>
      <c r="O2568" s="588">
        <v>0</v>
      </c>
      <c r="P2568" s="588">
        <v>596</v>
      </c>
      <c r="Q2568" s="588">
        <v>209</v>
      </c>
      <c r="R2568" s="588">
        <v>1493</v>
      </c>
      <c r="S2568" s="588">
        <v>209</v>
      </c>
      <c r="T2568" s="588">
        <v>2019</v>
      </c>
      <c r="U2568" s="588">
        <v>2014</v>
      </c>
      <c r="V2568" s="589"/>
      <c r="W2568" s="589"/>
      <c r="X2568" s="589"/>
      <c r="Y2568" s="589"/>
      <c r="Z2568" s="589"/>
      <c r="AA2568" s="589"/>
      <c r="AB2568" s="589"/>
      <c r="AC2568" s="589"/>
      <c r="AD2568" s="589"/>
      <c r="AE2568" s="589"/>
      <c r="AF2568" s="589"/>
      <c r="AG2568" s="589"/>
      <c r="AH2568" s="589"/>
      <c r="AI2568" s="589"/>
      <c r="AJ2568" s="589"/>
      <c r="AK2568" s="589"/>
      <c r="AL2568" s="589"/>
      <c r="AM2568" s="589"/>
      <c r="AN2568" s="589"/>
      <c r="AO2568" s="589"/>
      <c r="AP2568" s="589"/>
      <c r="AQ2568" s="589"/>
      <c r="AR2568" s="589"/>
      <c r="AS2568" s="589"/>
    </row>
    <row r="2569" spans="1:45" ht="15">
      <c r="A2569" s="590" t="s">
        <v>153</v>
      </c>
      <c r="B2569" s="591" t="s">
        <v>426</v>
      </c>
      <c r="C2569" s="591" t="s">
        <v>813</v>
      </c>
      <c r="D2569" s="592">
        <v>2019</v>
      </c>
      <c r="E2569" s="591" t="s">
        <v>775</v>
      </c>
      <c r="F2569" s="592">
        <v>159</v>
      </c>
      <c r="G2569" s="592">
        <v>33</v>
      </c>
      <c r="H2569" s="592">
        <v>0</v>
      </c>
      <c r="I2569" s="592">
        <v>33</v>
      </c>
      <c r="J2569" s="592">
        <v>93</v>
      </c>
      <c r="K2569" s="592">
        <v>0</v>
      </c>
      <c r="L2569" s="592">
        <v>0</v>
      </c>
      <c r="M2569" s="592">
        <v>0</v>
      </c>
      <c r="N2569" s="593">
        <v>99</v>
      </c>
      <c r="O2569" s="593">
        <v>0</v>
      </c>
      <c r="P2569" s="593">
        <v>252</v>
      </c>
      <c r="Q2569" s="593">
        <v>42</v>
      </c>
      <c r="R2569" s="593">
        <v>603</v>
      </c>
      <c r="S2569" s="593">
        <v>75</v>
      </c>
      <c r="T2569" s="593">
        <v>2019</v>
      </c>
      <c r="U2569" s="593">
        <v>2014</v>
      </c>
      <c r="V2569" s="589"/>
      <c r="W2569" s="589"/>
      <c r="X2569" s="589"/>
      <c r="Y2569" s="589"/>
      <c r="Z2569" s="589"/>
      <c r="AA2569" s="589"/>
      <c r="AB2569" s="589"/>
      <c r="AC2569" s="589"/>
      <c r="AD2569" s="589"/>
      <c r="AE2569" s="589"/>
      <c r="AF2569" s="589"/>
      <c r="AG2569" s="589"/>
      <c r="AH2569" s="589"/>
      <c r="AI2569" s="589"/>
      <c r="AJ2569" s="589"/>
      <c r="AK2569" s="589"/>
      <c r="AL2569" s="589"/>
      <c r="AM2569" s="589"/>
      <c r="AN2569" s="589"/>
      <c r="AO2569" s="589"/>
      <c r="AP2569" s="589"/>
      <c r="AQ2569" s="589"/>
      <c r="AR2569" s="589"/>
      <c r="AS2569" s="589"/>
    </row>
    <row r="2570" spans="1:45" ht="15">
      <c r="A2570" s="587" t="s">
        <v>201</v>
      </c>
      <c r="B2570" s="587" t="s">
        <v>739</v>
      </c>
      <c r="C2570" s="587" t="s">
        <v>813</v>
      </c>
      <c r="D2570" s="588">
        <v>2019</v>
      </c>
      <c r="E2570" s="587" t="s">
        <v>775</v>
      </c>
      <c r="F2570" s="588">
        <v>47</v>
      </c>
      <c r="G2570" s="588">
        <v>0</v>
      </c>
      <c r="H2570" s="588">
        <v>0</v>
      </c>
      <c r="I2570" s="588">
        <v>0</v>
      </c>
      <c r="J2570" s="588">
        <v>32</v>
      </c>
      <c r="K2570" s="588">
        <v>0</v>
      </c>
      <c r="L2570" s="588">
        <v>0</v>
      </c>
      <c r="M2570" s="588">
        <v>0</v>
      </c>
      <c r="N2570" s="588">
        <v>36</v>
      </c>
      <c r="O2570" s="588">
        <v>0</v>
      </c>
      <c r="P2570" s="588">
        <v>77</v>
      </c>
      <c r="Q2570" s="588">
        <v>67</v>
      </c>
      <c r="R2570" s="588">
        <v>192</v>
      </c>
      <c r="S2570" s="588">
        <v>67</v>
      </c>
      <c r="T2570" s="588">
        <v>2019</v>
      </c>
      <c r="U2570" s="588">
        <v>2014</v>
      </c>
      <c r="V2570" s="589"/>
      <c r="W2570" s="589"/>
      <c r="X2570" s="589"/>
      <c r="Y2570" s="589"/>
      <c r="Z2570" s="589"/>
      <c r="AA2570" s="589"/>
      <c r="AB2570" s="589"/>
      <c r="AC2570" s="589"/>
      <c r="AD2570" s="589"/>
      <c r="AE2570" s="589"/>
      <c r="AF2570" s="589"/>
      <c r="AG2570" s="589"/>
      <c r="AH2570" s="589"/>
      <c r="AI2570" s="589"/>
      <c r="AJ2570" s="589"/>
      <c r="AK2570" s="589"/>
      <c r="AL2570" s="589"/>
      <c r="AM2570" s="589"/>
      <c r="AN2570" s="589"/>
      <c r="AO2570" s="589"/>
      <c r="AP2570" s="589"/>
      <c r="AQ2570" s="589"/>
      <c r="AR2570" s="589"/>
      <c r="AS2570" s="589"/>
    </row>
    <row r="2571" spans="1:45" ht="15">
      <c r="A2571" s="590" t="s">
        <v>153</v>
      </c>
      <c r="B2571" s="591" t="s">
        <v>427</v>
      </c>
      <c r="C2571" s="591" t="s">
        <v>813</v>
      </c>
      <c r="D2571" s="592">
        <v>2019</v>
      </c>
      <c r="E2571" s="591" t="s">
        <v>775</v>
      </c>
      <c r="F2571" s="592">
        <v>380</v>
      </c>
      <c r="G2571" s="592">
        <v>0</v>
      </c>
      <c r="H2571" s="592">
        <v>0</v>
      </c>
      <c r="I2571" s="592">
        <v>0</v>
      </c>
      <c r="J2571" s="592">
        <v>227</v>
      </c>
      <c r="K2571" s="592">
        <v>0</v>
      </c>
      <c r="L2571" s="592">
        <v>0</v>
      </c>
      <c r="M2571" s="592">
        <v>0</v>
      </c>
      <c r="N2571" s="593">
        <v>243</v>
      </c>
      <c r="O2571" s="593">
        <v>0</v>
      </c>
      <c r="P2571" s="593">
        <v>600</v>
      </c>
      <c r="Q2571" s="593">
        <v>65</v>
      </c>
      <c r="R2571" s="593">
        <v>1450</v>
      </c>
      <c r="S2571" s="593">
        <v>65</v>
      </c>
      <c r="T2571" s="593">
        <v>2019</v>
      </c>
      <c r="U2571" s="593">
        <v>2014</v>
      </c>
      <c r="V2571" s="589"/>
      <c r="W2571" s="589"/>
      <c r="X2571" s="589"/>
      <c r="Y2571" s="589"/>
      <c r="Z2571" s="589"/>
      <c r="AA2571" s="589"/>
      <c r="AB2571" s="589"/>
      <c r="AC2571" s="589"/>
      <c r="AD2571" s="589"/>
      <c r="AE2571" s="589"/>
      <c r="AF2571" s="589"/>
      <c r="AG2571" s="589"/>
      <c r="AH2571" s="589"/>
      <c r="AI2571" s="589"/>
      <c r="AJ2571" s="589"/>
      <c r="AK2571" s="589"/>
      <c r="AL2571" s="589"/>
      <c r="AM2571" s="589"/>
      <c r="AN2571" s="589"/>
      <c r="AO2571" s="589"/>
      <c r="AP2571" s="589"/>
      <c r="AQ2571" s="589"/>
      <c r="AR2571" s="589"/>
      <c r="AS2571" s="589"/>
    </row>
    <row r="2572" spans="1:45" ht="15">
      <c r="A2572" s="587" t="s">
        <v>182</v>
      </c>
      <c r="B2572" s="587" t="s">
        <v>615</v>
      </c>
      <c r="C2572" s="587" t="s">
        <v>811</v>
      </c>
      <c r="D2572" s="588">
        <v>2019</v>
      </c>
      <c r="E2572" s="587" t="s">
        <v>775</v>
      </c>
      <c r="F2572" s="588">
        <v>980</v>
      </c>
      <c r="G2572" s="588">
        <v>0</v>
      </c>
      <c r="H2572" s="588">
        <v>0</v>
      </c>
      <c r="I2572" s="588">
        <v>0</v>
      </c>
      <c r="J2572" s="588">
        <v>705</v>
      </c>
      <c r="K2572" s="588">
        <v>0</v>
      </c>
      <c r="L2572" s="588">
        <v>0</v>
      </c>
      <c r="M2572" s="588">
        <v>0</v>
      </c>
      <c r="N2572" s="588">
        <v>828</v>
      </c>
      <c r="O2572" s="588">
        <v>40</v>
      </c>
      <c r="P2572" s="588">
        <v>2463</v>
      </c>
      <c r="Q2572" s="588">
        <v>748</v>
      </c>
      <c r="R2572" s="588">
        <v>4976</v>
      </c>
      <c r="S2572" s="588">
        <v>788</v>
      </c>
      <c r="T2572" s="588">
        <v>2019</v>
      </c>
      <c r="U2572" s="588">
        <v>2016</v>
      </c>
      <c r="V2572" s="589"/>
      <c r="W2572" s="589"/>
      <c r="X2572" s="589"/>
      <c r="Y2572" s="589"/>
      <c r="Z2572" s="589"/>
      <c r="AA2572" s="589"/>
      <c r="AB2572" s="589"/>
      <c r="AC2572" s="589"/>
      <c r="AD2572" s="589"/>
      <c r="AE2572" s="589"/>
      <c r="AF2572" s="589"/>
      <c r="AG2572" s="589"/>
      <c r="AH2572" s="589"/>
      <c r="AI2572" s="589"/>
      <c r="AJ2572" s="589"/>
      <c r="AK2572" s="589"/>
      <c r="AL2572" s="589"/>
      <c r="AM2572" s="589"/>
      <c r="AN2572" s="589"/>
      <c r="AO2572" s="589"/>
      <c r="AP2572" s="589"/>
      <c r="AQ2572" s="589"/>
      <c r="AR2572" s="589"/>
      <c r="AS2572" s="589"/>
    </row>
    <row r="2573" spans="1:45" ht="15">
      <c r="A2573" s="590" t="s">
        <v>145</v>
      </c>
      <c r="B2573" s="591" t="s">
        <v>314</v>
      </c>
      <c r="C2573" s="591" t="s">
        <v>785</v>
      </c>
      <c r="D2573" s="592">
        <v>2019</v>
      </c>
      <c r="E2573" s="591" t="s">
        <v>775</v>
      </c>
      <c r="F2573" s="592">
        <v>1</v>
      </c>
      <c r="G2573" s="592">
        <v>0</v>
      </c>
      <c r="H2573" s="592">
        <v>0</v>
      </c>
      <c r="I2573" s="592">
        <v>0</v>
      </c>
      <c r="J2573" s="592">
        <v>1</v>
      </c>
      <c r="K2573" s="592">
        <v>0</v>
      </c>
      <c r="L2573" s="592">
        <v>0</v>
      </c>
      <c r="M2573" s="592">
        <v>0</v>
      </c>
      <c r="N2573" s="593">
        <v>1</v>
      </c>
      <c r="O2573" s="593">
        <v>0</v>
      </c>
      <c r="P2573" s="593">
        <v>2</v>
      </c>
      <c r="Q2573" s="593">
        <v>1</v>
      </c>
      <c r="R2573" s="593">
        <v>5</v>
      </c>
      <c r="S2573" s="593">
        <v>1</v>
      </c>
      <c r="T2573" s="593">
        <v>2019</v>
      </c>
      <c r="U2573" s="593">
        <v>2014</v>
      </c>
      <c r="V2573" s="589"/>
      <c r="W2573" s="589"/>
      <c r="X2573" s="589"/>
      <c r="Y2573" s="589"/>
      <c r="Z2573" s="589"/>
      <c r="AA2573" s="589"/>
      <c r="AB2573" s="589"/>
      <c r="AC2573" s="589"/>
      <c r="AD2573" s="589"/>
      <c r="AE2573" s="589"/>
      <c r="AF2573" s="589"/>
      <c r="AG2573" s="589"/>
      <c r="AH2573" s="589"/>
      <c r="AI2573" s="589"/>
      <c r="AJ2573" s="589"/>
      <c r="AK2573" s="589"/>
      <c r="AL2573" s="589"/>
      <c r="AM2573" s="589"/>
      <c r="AN2573" s="589"/>
      <c r="AO2573" s="589"/>
      <c r="AP2573" s="589"/>
      <c r="AQ2573" s="589"/>
      <c r="AR2573" s="589"/>
      <c r="AS2573" s="589"/>
    </row>
    <row r="2574" spans="1:45" ht="15">
      <c r="A2574" s="587" t="s">
        <v>145</v>
      </c>
      <c r="B2574" s="587" t="s">
        <v>314</v>
      </c>
      <c r="C2574" s="587" t="s">
        <v>971</v>
      </c>
      <c r="D2574" s="588">
        <v>2019</v>
      </c>
      <c r="E2574" s="587" t="s">
        <v>775</v>
      </c>
      <c r="F2574" s="588">
        <v>0</v>
      </c>
      <c r="G2574" s="588">
        <v>0</v>
      </c>
      <c r="H2574" s="588">
        <v>0</v>
      </c>
      <c r="I2574" s="588">
        <v>0</v>
      </c>
      <c r="J2574" s="588">
        <v>0</v>
      </c>
      <c r="K2574" s="588">
        <v>0</v>
      </c>
      <c r="L2574" s="588">
        <v>0</v>
      </c>
      <c r="M2574" s="588">
        <v>0</v>
      </c>
      <c r="N2574" s="588">
        <v>0</v>
      </c>
      <c r="O2574" s="588">
        <v>0</v>
      </c>
      <c r="P2574" s="588">
        <v>0</v>
      </c>
      <c r="Q2574" s="588">
        <v>1</v>
      </c>
      <c r="R2574" s="588">
        <v>0</v>
      </c>
      <c r="S2574" s="588">
        <v>1</v>
      </c>
      <c r="T2574" s="588">
        <v>2019</v>
      </c>
      <c r="U2574" s="588">
        <v>2014</v>
      </c>
      <c r="V2574" s="589"/>
      <c r="W2574" s="589"/>
      <c r="X2574" s="589"/>
      <c r="Y2574" s="589"/>
      <c r="Z2574" s="589"/>
      <c r="AA2574" s="589"/>
      <c r="AB2574" s="589"/>
      <c r="AC2574" s="589"/>
      <c r="AD2574" s="589"/>
      <c r="AE2574" s="589"/>
      <c r="AF2574" s="589"/>
      <c r="AG2574" s="589"/>
      <c r="AH2574" s="589"/>
      <c r="AI2574" s="589"/>
      <c r="AJ2574" s="589"/>
      <c r="AK2574" s="589"/>
      <c r="AL2574" s="589"/>
      <c r="AM2574" s="589"/>
      <c r="AN2574" s="589"/>
      <c r="AO2574" s="589"/>
      <c r="AP2574" s="589"/>
      <c r="AQ2574" s="589"/>
      <c r="AR2574" s="589"/>
      <c r="AS2574" s="589"/>
    </row>
    <row r="2575" spans="1:45" ht="15">
      <c r="A2575" s="590" t="s">
        <v>198</v>
      </c>
      <c r="B2575" s="591" t="s">
        <v>719</v>
      </c>
      <c r="C2575" s="591" t="s">
        <v>785</v>
      </c>
      <c r="D2575" s="592">
        <v>2019</v>
      </c>
      <c r="E2575" s="591" t="s">
        <v>775</v>
      </c>
      <c r="F2575" s="592">
        <v>2</v>
      </c>
      <c r="G2575" s="592">
        <v>0</v>
      </c>
      <c r="H2575" s="592">
        <v>0</v>
      </c>
      <c r="I2575" s="592">
        <v>0</v>
      </c>
      <c r="J2575" s="592">
        <v>2</v>
      </c>
      <c r="K2575" s="592">
        <v>0</v>
      </c>
      <c r="L2575" s="592">
        <v>0</v>
      </c>
      <c r="M2575" s="592">
        <v>0</v>
      </c>
      <c r="N2575" s="593">
        <v>2</v>
      </c>
      <c r="O2575" s="593">
        <v>0</v>
      </c>
      <c r="P2575" s="593">
        <v>4</v>
      </c>
      <c r="Q2575" s="593">
        <v>0</v>
      </c>
      <c r="R2575" s="593">
        <v>10</v>
      </c>
      <c r="S2575" s="593">
        <v>0</v>
      </c>
      <c r="T2575" s="593">
        <v>2019</v>
      </c>
      <c r="U2575" s="593">
        <v>2014</v>
      </c>
      <c r="V2575" s="589"/>
      <c r="W2575" s="589"/>
      <c r="X2575" s="589"/>
      <c r="Y2575" s="589"/>
      <c r="Z2575" s="589"/>
      <c r="AA2575" s="589"/>
      <c r="AB2575" s="589"/>
      <c r="AC2575" s="589"/>
      <c r="AD2575" s="589"/>
      <c r="AE2575" s="589"/>
      <c r="AF2575" s="589"/>
      <c r="AG2575" s="589"/>
      <c r="AH2575" s="589"/>
      <c r="AI2575" s="589"/>
      <c r="AJ2575" s="589"/>
      <c r="AK2575" s="589"/>
      <c r="AL2575" s="589"/>
      <c r="AM2575" s="589"/>
      <c r="AN2575" s="589"/>
      <c r="AO2575" s="589"/>
      <c r="AP2575" s="589"/>
      <c r="AQ2575" s="589"/>
      <c r="AR2575" s="589"/>
      <c r="AS2575" s="589"/>
    </row>
    <row r="2576" spans="1:45" ht="15">
      <c r="A2576" s="587" t="s">
        <v>198</v>
      </c>
      <c r="B2576" s="587" t="s">
        <v>719</v>
      </c>
      <c r="C2576" s="587" t="s">
        <v>969</v>
      </c>
      <c r="D2576" s="588">
        <v>2019</v>
      </c>
      <c r="E2576" s="587" t="s">
        <v>775</v>
      </c>
      <c r="F2576" s="588">
        <v>0</v>
      </c>
      <c r="G2576" s="588">
        <v>0</v>
      </c>
      <c r="H2576" s="588">
        <v>0</v>
      </c>
      <c r="I2576" s="588">
        <v>0</v>
      </c>
      <c r="J2576" s="588">
        <v>0</v>
      </c>
      <c r="K2576" s="588">
        <v>0</v>
      </c>
      <c r="L2576" s="588">
        <v>0</v>
      </c>
      <c r="M2576" s="588">
        <v>0</v>
      </c>
      <c r="N2576" s="588">
        <v>0</v>
      </c>
      <c r="O2576" s="588">
        <v>0</v>
      </c>
      <c r="P2576" s="588">
        <v>0</v>
      </c>
      <c r="Q2576" s="588">
        <v>0</v>
      </c>
      <c r="R2576" s="588">
        <v>0</v>
      </c>
      <c r="S2576" s="588">
        <v>0</v>
      </c>
      <c r="T2576" s="588">
        <v>2019</v>
      </c>
      <c r="U2576" s="588">
        <v>2014</v>
      </c>
      <c r="V2576" s="589"/>
      <c r="W2576" s="589"/>
      <c r="X2576" s="589"/>
      <c r="Y2576" s="589"/>
      <c r="Z2576" s="589"/>
      <c r="AA2576" s="589"/>
      <c r="AB2576" s="589"/>
      <c r="AC2576" s="589"/>
      <c r="AD2576" s="589"/>
      <c r="AE2576" s="589"/>
      <c r="AF2576" s="589"/>
      <c r="AG2576" s="589"/>
      <c r="AH2576" s="589"/>
      <c r="AI2576" s="589"/>
      <c r="AJ2576" s="589"/>
      <c r="AK2576" s="589"/>
      <c r="AL2576" s="589"/>
      <c r="AM2576" s="589"/>
      <c r="AN2576" s="589"/>
      <c r="AO2576" s="589"/>
      <c r="AP2576" s="589"/>
      <c r="AQ2576" s="589"/>
      <c r="AR2576" s="589"/>
      <c r="AS2576" s="589"/>
    </row>
    <row r="2577" spans="1:45" ht="15">
      <c r="A2577" s="590" t="s">
        <v>168</v>
      </c>
      <c r="B2577" s="591" t="s">
        <v>484</v>
      </c>
      <c r="C2577" s="591" t="s">
        <v>972</v>
      </c>
      <c r="D2577" s="592">
        <v>2019</v>
      </c>
      <c r="E2577" s="591" t="s">
        <v>775</v>
      </c>
      <c r="F2577" s="592">
        <v>0</v>
      </c>
      <c r="G2577" s="592">
        <v>64</v>
      </c>
      <c r="H2577" s="592">
        <v>64</v>
      </c>
      <c r="I2577" s="592">
        <v>0</v>
      </c>
      <c r="J2577" s="592">
        <v>0</v>
      </c>
      <c r="K2577" s="592">
        <v>16</v>
      </c>
      <c r="L2577" s="592">
        <v>15</v>
      </c>
      <c r="M2577" s="592">
        <v>1</v>
      </c>
      <c r="N2577" s="593">
        <v>0</v>
      </c>
      <c r="O2577" s="593">
        <v>0</v>
      </c>
      <c r="P2577" s="593">
        <v>0</v>
      </c>
      <c r="Q2577" s="593">
        <v>99</v>
      </c>
      <c r="R2577" s="593">
        <v>0</v>
      </c>
      <c r="S2577" s="593">
        <v>179</v>
      </c>
      <c r="T2577" s="593">
        <v>2019</v>
      </c>
      <c r="U2577" s="593">
        <v>2014</v>
      </c>
      <c r="V2577" s="589"/>
      <c r="W2577" s="589"/>
      <c r="X2577" s="589"/>
      <c r="Y2577" s="589"/>
      <c r="Z2577" s="589"/>
      <c r="AA2577" s="589"/>
      <c r="AB2577" s="589"/>
      <c r="AC2577" s="589"/>
      <c r="AD2577" s="589"/>
      <c r="AE2577" s="589"/>
      <c r="AF2577" s="589"/>
      <c r="AG2577" s="589"/>
      <c r="AH2577" s="589"/>
      <c r="AI2577" s="589"/>
      <c r="AJ2577" s="589"/>
      <c r="AK2577" s="589"/>
      <c r="AL2577" s="589"/>
      <c r="AM2577" s="589"/>
      <c r="AN2577" s="589"/>
      <c r="AO2577" s="589"/>
      <c r="AP2577" s="589"/>
      <c r="AQ2577" s="589"/>
      <c r="AR2577" s="589"/>
      <c r="AS2577" s="589"/>
    </row>
    <row r="2578" spans="1:45" ht="15">
      <c r="A2578" s="587" t="s">
        <v>168</v>
      </c>
      <c r="B2578" s="587" t="s">
        <v>484</v>
      </c>
      <c r="C2578" s="587" t="s">
        <v>785</v>
      </c>
      <c r="D2578" s="588">
        <v>2019</v>
      </c>
      <c r="E2578" s="587" t="s">
        <v>775</v>
      </c>
      <c r="F2578" s="588">
        <v>108</v>
      </c>
      <c r="G2578" s="588">
        <v>64</v>
      </c>
      <c r="H2578" s="588">
        <v>64</v>
      </c>
      <c r="I2578" s="588">
        <v>0</v>
      </c>
      <c r="J2578" s="588">
        <v>75</v>
      </c>
      <c r="K2578" s="588">
        <v>16</v>
      </c>
      <c r="L2578" s="588">
        <v>15</v>
      </c>
      <c r="M2578" s="588">
        <v>1</v>
      </c>
      <c r="N2578" s="588">
        <v>78</v>
      </c>
      <c r="O2578" s="588">
        <v>0</v>
      </c>
      <c r="P2578" s="588">
        <v>199</v>
      </c>
      <c r="Q2578" s="588">
        <v>99</v>
      </c>
      <c r="R2578" s="588">
        <v>460</v>
      </c>
      <c r="S2578" s="588">
        <v>179</v>
      </c>
      <c r="T2578" s="588">
        <v>2019</v>
      </c>
      <c r="U2578" s="588">
        <v>2014</v>
      </c>
      <c r="V2578" s="589"/>
      <c r="W2578" s="589"/>
      <c r="X2578" s="589"/>
      <c r="Y2578" s="589"/>
      <c r="Z2578" s="589"/>
      <c r="AA2578" s="589"/>
      <c r="AB2578" s="589"/>
      <c r="AC2578" s="589"/>
      <c r="AD2578" s="589"/>
      <c r="AE2578" s="589"/>
      <c r="AF2578" s="589"/>
      <c r="AG2578" s="589"/>
      <c r="AH2578" s="589"/>
      <c r="AI2578" s="589"/>
      <c r="AJ2578" s="589"/>
      <c r="AK2578" s="589"/>
      <c r="AL2578" s="589"/>
      <c r="AM2578" s="589"/>
      <c r="AN2578" s="589"/>
      <c r="AO2578" s="589"/>
      <c r="AP2578" s="589"/>
      <c r="AQ2578" s="589"/>
      <c r="AR2578" s="589"/>
      <c r="AS2578" s="589"/>
    </row>
    <row r="2579" spans="1:45" ht="15">
      <c r="A2579" s="590" t="s">
        <v>199</v>
      </c>
      <c r="B2579" s="591" t="s">
        <v>199</v>
      </c>
      <c r="C2579" s="591" t="s">
        <v>811</v>
      </c>
      <c r="D2579" s="592">
        <v>2019</v>
      </c>
      <c r="E2579" s="591" t="s">
        <v>775</v>
      </c>
      <c r="F2579" s="592">
        <v>920</v>
      </c>
      <c r="G2579" s="592">
        <v>0</v>
      </c>
      <c r="H2579" s="592">
        <v>0</v>
      </c>
      <c r="I2579" s="592">
        <v>0</v>
      </c>
      <c r="J2579" s="592">
        <v>609</v>
      </c>
      <c r="K2579" s="592">
        <v>0</v>
      </c>
      <c r="L2579" s="592">
        <v>0</v>
      </c>
      <c r="M2579" s="592">
        <v>0</v>
      </c>
      <c r="N2579" s="593">
        <v>613</v>
      </c>
      <c r="O2579" s="593">
        <v>193</v>
      </c>
      <c r="P2579" s="593">
        <v>1452</v>
      </c>
      <c r="Q2579" s="593">
        <v>439</v>
      </c>
      <c r="R2579" s="593">
        <v>3594</v>
      </c>
      <c r="S2579" s="593">
        <v>632</v>
      </c>
      <c r="T2579" s="593">
        <v>2019</v>
      </c>
      <c r="U2579" s="593">
        <v>2016</v>
      </c>
      <c r="V2579" s="589"/>
      <c r="W2579" s="589"/>
      <c r="X2579" s="589"/>
      <c r="Y2579" s="589"/>
      <c r="Z2579" s="589"/>
      <c r="AA2579" s="589"/>
      <c r="AB2579" s="589"/>
      <c r="AC2579" s="589"/>
      <c r="AD2579" s="589"/>
      <c r="AE2579" s="589"/>
      <c r="AF2579" s="589"/>
      <c r="AG2579" s="589"/>
      <c r="AH2579" s="589"/>
      <c r="AI2579" s="589"/>
      <c r="AJ2579" s="589"/>
      <c r="AK2579" s="589"/>
      <c r="AL2579" s="589"/>
      <c r="AM2579" s="589"/>
      <c r="AN2579" s="589"/>
      <c r="AO2579" s="589"/>
      <c r="AP2579" s="589"/>
      <c r="AQ2579" s="589"/>
      <c r="AR2579" s="589"/>
      <c r="AS2579" s="589"/>
    </row>
    <row r="2580" spans="1:45" ht="15">
      <c r="A2580" s="587" t="s">
        <v>199</v>
      </c>
      <c r="B2580" s="587" t="s">
        <v>725</v>
      </c>
      <c r="C2580" s="587" t="s">
        <v>811</v>
      </c>
      <c r="D2580" s="588">
        <v>2019</v>
      </c>
      <c r="E2580" s="587" t="s">
        <v>775</v>
      </c>
      <c r="F2580" s="588">
        <v>1477</v>
      </c>
      <c r="G2580" s="588">
        <v>43</v>
      </c>
      <c r="H2580" s="588">
        <v>0</v>
      </c>
      <c r="I2580" s="588">
        <v>43</v>
      </c>
      <c r="J2580" s="588">
        <v>1065</v>
      </c>
      <c r="K2580" s="588">
        <v>111</v>
      </c>
      <c r="L2580" s="588">
        <v>0</v>
      </c>
      <c r="M2580" s="588">
        <v>111</v>
      </c>
      <c r="N2580" s="588">
        <v>1169</v>
      </c>
      <c r="O2580" s="588">
        <v>35</v>
      </c>
      <c r="P2580" s="588">
        <v>3370</v>
      </c>
      <c r="Q2580" s="588">
        <v>36</v>
      </c>
      <c r="R2580" s="588">
        <v>7081</v>
      </c>
      <c r="S2580" s="588">
        <v>225</v>
      </c>
      <c r="T2580" s="588">
        <v>2019</v>
      </c>
      <c r="U2580" s="588">
        <v>2016</v>
      </c>
      <c r="V2580" s="589"/>
      <c r="W2580" s="589"/>
      <c r="X2580" s="589"/>
      <c r="Y2580" s="589"/>
      <c r="Z2580" s="589"/>
      <c r="AA2580" s="589"/>
      <c r="AB2580" s="589"/>
      <c r="AC2580" s="589"/>
      <c r="AD2580" s="589"/>
      <c r="AE2580" s="589"/>
      <c r="AF2580" s="589"/>
      <c r="AG2580" s="589"/>
      <c r="AH2580" s="589"/>
      <c r="AI2580" s="589"/>
      <c r="AJ2580" s="589"/>
      <c r="AK2580" s="589"/>
      <c r="AL2580" s="589"/>
      <c r="AM2580" s="589"/>
      <c r="AN2580" s="589"/>
      <c r="AO2580" s="589"/>
      <c r="AP2580" s="589"/>
      <c r="AQ2580" s="589"/>
      <c r="AR2580" s="589"/>
      <c r="AS2580" s="589"/>
    </row>
    <row r="2581" spans="1:45" ht="15">
      <c r="A2581" s="590" t="s">
        <v>191</v>
      </c>
      <c r="B2581" s="591" t="s">
        <v>683</v>
      </c>
      <c r="C2581" s="591" t="s">
        <v>785</v>
      </c>
      <c r="D2581" s="592">
        <v>2019</v>
      </c>
      <c r="E2581" s="591" t="s">
        <v>775</v>
      </c>
      <c r="F2581" s="592">
        <v>3</v>
      </c>
      <c r="G2581" s="592">
        <v>0</v>
      </c>
      <c r="H2581" s="592">
        <v>0</v>
      </c>
      <c r="I2581" s="592">
        <v>0</v>
      </c>
      <c r="J2581" s="592">
        <v>2</v>
      </c>
      <c r="K2581" s="592">
        <v>0</v>
      </c>
      <c r="L2581" s="592">
        <v>0</v>
      </c>
      <c r="M2581" s="592">
        <v>0</v>
      </c>
      <c r="N2581" s="593">
        <v>2</v>
      </c>
      <c r="O2581" s="593">
        <v>0</v>
      </c>
      <c r="P2581" s="593">
        <v>6</v>
      </c>
      <c r="Q2581" s="593">
        <v>0</v>
      </c>
      <c r="R2581" s="593">
        <v>13</v>
      </c>
      <c r="S2581" s="593">
        <v>0</v>
      </c>
      <c r="T2581" s="593">
        <v>2019</v>
      </c>
      <c r="U2581" s="593">
        <v>2014</v>
      </c>
      <c r="V2581" s="589"/>
      <c r="W2581" s="589"/>
      <c r="X2581" s="589"/>
      <c r="Y2581" s="589"/>
      <c r="Z2581" s="589"/>
      <c r="AA2581" s="589"/>
      <c r="AB2581" s="589"/>
      <c r="AC2581" s="589"/>
      <c r="AD2581" s="589"/>
      <c r="AE2581" s="589"/>
      <c r="AF2581" s="589"/>
      <c r="AG2581" s="589"/>
      <c r="AH2581" s="589"/>
      <c r="AI2581" s="589"/>
      <c r="AJ2581" s="589"/>
      <c r="AK2581" s="589"/>
      <c r="AL2581" s="589"/>
      <c r="AM2581" s="589"/>
      <c r="AN2581" s="589"/>
      <c r="AO2581" s="589"/>
      <c r="AP2581" s="589"/>
      <c r="AQ2581" s="589"/>
      <c r="AR2581" s="589"/>
      <c r="AS2581" s="589"/>
    </row>
    <row r="2582" spans="1:45" ht="15">
      <c r="A2582" s="587" t="s">
        <v>200</v>
      </c>
      <c r="B2582" s="587" t="s">
        <v>729</v>
      </c>
      <c r="C2582" s="587" t="s">
        <v>785</v>
      </c>
      <c r="D2582" s="588">
        <v>2019</v>
      </c>
      <c r="E2582" s="587" t="s">
        <v>775</v>
      </c>
      <c r="F2582" s="588">
        <v>102</v>
      </c>
      <c r="G2582" s="588">
        <v>0</v>
      </c>
      <c r="H2582" s="588">
        <v>0</v>
      </c>
      <c r="I2582" s="588">
        <v>0</v>
      </c>
      <c r="J2582" s="588">
        <v>74</v>
      </c>
      <c r="K2582" s="588">
        <v>0</v>
      </c>
      <c r="L2582" s="588">
        <v>0</v>
      </c>
      <c r="M2582" s="588">
        <v>0</v>
      </c>
      <c r="N2582" s="588">
        <v>81</v>
      </c>
      <c r="O2582" s="588">
        <v>0</v>
      </c>
      <c r="P2582" s="588">
        <v>193</v>
      </c>
      <c r="Q2582" s="588">
        <v>17</v>
      </c>
      <c r="R2582" s="588">
        <v>450</v>
      </c>
      <c r="S2582" s="588">
        <v>17</v>
      </c>
      <c r="T2582" s="588">
        <v>2019</v>
      </c>
      <c r="U2582" s="588">
        <v>2014</v>
      </c>
      <c r="V2582" s="589"/>
      <c r="W2582" s="589"/>
      <c r="X2582" s="589"/>
      <c r="Y2582" s="589"/>
      <c r="Z2582" s="589"/>
      <c r="AA2582" s="589"/>
      <c r="AB2582" s="589"/>
      <c r="AC2582" s="589"/>
      <c r="AD2582" s="589"/>
      <c r="AE2582" s="589"/>
      <c r="AF2582" s="589"/>
      <c r="AG2582" s="589"/>
      <c r="AH2582" s="589"/>
      <c r="AI2582" s="589"/>
      <c r="AJ2582" s="589"/>
      <c r="AK2582" s="589"/>
      <c r="AL2582" s="589"/>
      <c r="AM2582" s="589"/>
      <c r="AN2582" s="589"/>
      <c r="AO2582" s="589"/>
      <c r="AP2582" s="589"/>
      <c r="AQ2582" s="589"/>
      <c r="AR2582" s="589"/>
      <c r="AS2582" s="589"/>
    </row>
    <row r="2583" spans="1:45" ht="15">
      <c r="A2583" s="590" t="s">
        <v>200</v>
      </c>
      <c r="B2583" s="591" t="s">
        <v>729</v>
      </c>
      <c r="C2583" s="591" t="s">
        <v>969</v>
      </c>
      <c r="D2583" s="592">
        <v>2019</v>
      </c>
      <c r="E2583" s="591" t="s">
        <v>775</v>
      </c>
      <c r="F2583" s="592">
        <v>0</v>
      </c>
      <c r="G2583" s="592">
        <v>0</v>
      </c>
      <c r="H2583" s="592">
        <v>0</v>
      </c>
      <c r="I2583" s="592">
        <v>0</v>
      </c>
      <c r="J2583" s="592">
        <v>0</v>
      </c>
      <c r="K2583" s="592">
        <v>0</v>
      </c>
      <c r="L2583" s="592">
        <v>0</v>
      </c>
      <c r="M2583" s="592">
        <v>0</v>
      </c>
      <c r="N2583" s="593">
        <v>0</v>
      </c>
      <c r="O2583" s="593">
        <v>0</v>
      </c>
      <c r="P2583" s="593">
        <v>0</v>
      </c>
      <c r="Q2583" s="593">
        <v>17</v>
      </c>
      <c r="R2583" s="593">
        <v>0</v>
      </c>
      <c r="S2583" s="593">
        <v>17</v>
      </c>
      <c r="T2583" s="593">
        <v>2019</v>
      </c>
      <c r="U2583" s="593">
        <v>2014</v>
      </c>
      <c r="V2583" s="589"/>
      <c r="W2583" s="589"/>
      <c r="X2583" s="589"/>
      <c r="Y2583" s="589"/>
      <c r="Z2583" s="589"/>
      <c r="AA2583" s="589"/>
      <c r="AB2583" s="589"/>
      <c r="AC2583" s="589"/>
      <c r="AD2583" s="589"/>
      <c r="AE2583" s="589"/>
      <c r="AF2583" s="589"/>
      <c r="AG2583" s="589"/>
      <c r="AH2583" s="589"/>
      <c r="AI2583" s="589"/>
      <c r="AJ2583" s="589"/>
      <c r="AK2583" s="589"/>
      <c r="AL2583" s="589"/>
      <c r="AM2583" s="589"/>
      <c r="AN2583" s="589"/>
      <c r="AO2583" s="589"/>
      <c r="AP2583" s="589"/>
      <c r="AQ2583" s="589"/>
      <c r="AR2583" s="589"/>
      <c r="AS2583" s="589"/>
    </row>
    <row r="2584" spans="1:45" ht="15">
      <c r="A2584" s="587" t="s">
        <v>195</v>
      </c>
      <c r="B2584" s="587" t="s">
        <v>711</v>
      </c>
      <c r="C2584" s="587" t="s">
        <v>811</v>
      </c>
      <c r="D2584" s="588">
        <v>2019</v>
      </c>
      <c r="E2584" s="587" t="s">
        <v>775</v>
      </c>
      <c r="F2584" s="588">
        <v>877</v>
      </c>
      <c r="G2584" s="588">
        <v>16</v>
      </c>
      <c r="H2584" s="588">
        <v>16</v>
      </c>
      <c r="I2584" s="588">
        <v>0</v>
      </c>
      <c r="J2584" s="588">
        <v>562</v>
      </c>
      <c r="K2584" s="588">
        <v>114</v>
      </c>
      <c r="L2584" s="588">
        <v>45</v>
      </c>
      <c r="M2584" s="588">
        <v>69</v>
      </c>
      <c r="N2584" s="588">
        <v>627</v>
      </c>
      <c r="O2584" s="588">
        <v>6</v>
      </c>
      <c r="P2584" s="588">
        <v>1552</v>
      </c>
      <c r="Q2584" s="588">
        <v>95</v>
      </c>
      <c r="R2584" s="588">
        <v>3618</v>
      </c>
      <c r="S2584" s="588">
        <v>231</v>
      </c>
      <c r="T2584" s="588">
        <v>2019</v>
      </c>
      <c r="U2584" s="588">
        <v>2016</v>
      </c>
      <c r="V2584" s="589"/>
      <c r="W2584" s="589"/>
      <c r="X2584" s="589"/>
      <c r="Y2584" s="589"/>
      <c r="Z2584" s="589"/>
      <c r="AA2584" s="589"/>
      <c r="AB2584" s="589"/>
      <c r="AC2584" s="589"/>
      <c r="AD2584" s="589"/>
      <c r="AE2584" s="589"/>
      <c r="AF2584" s="589"/>
      <c r="AG2584" s="589"/>
      <c r="AH2584" s="589"/>
      <c r="AI2584" s="589"/>
      <c r="AJ2584" s="589"/>
      <c r="AK2584" s="589"/>
      <c r="AL2584" s="589"/>
      <c r="AM2584" s="589"/>
      <c r="AN2584" s="589"/>
      <c r="AO2584" s="589"/>
      <c r="AP2584" s="589"/>
      <c r="AQ2584" s="589"/>
      <c r="AR2584" s="589"/>
      <c r="AS2584" s="589"/>
    </row>
    <row r="2585" spans="1:45" ht="15">
      <c r="A2585" s="590" t="s">
        <v>169</v>
      </c>
      <c r="B2585" s="591" t="s">
        <v>515</v>
      </c>
      <c r="C2585" s="591" t="s">
        <v>813</v>
      </c>
      <c r="D2585" s="592">
        <v>2019</v>
      </c>
      <c r="E2585" s="591" t="s">
        <v>775</v>
      </c>
      <c r="F2585" s="592">
        <v>283</v>
      </c>
      <c r="G2585" s="592">
        <v>0</v>
      </c>
      <c r="H2585" s="592">
        <v>0</v>
      </c>
      <c r="I2585" s="592">
        <v>0</v>
      </c>
      <c r="J2585" s="592">
        <v>195</v>
      </c>
      <c r="K2585" s="592">
        <v>0</v>
      </c>
      <c r="L2585" s="592">
        <v>0</v>
      </c>
      <c r="M2585" s="592">
        <v>0</v>
      </c>
      <c r="N2585" s="593">
        <v>224</v>
      </c>
      <c r="O2585" s="593">
        <v>5</v>
      </c>
      <c r="P2585" s="593">
        <v>525</v>
      </c>
      <c r="Q2585" s="593">
        <v>257</v>
      </c>
      <c r="R2585" s="593">
        <v>1227</v>
      </c>
      <c r="S2585" s="593">
        <v>262</v>
      </c>
      <c r="T2585" s="593">
        <v>2019</v>
      </c>
      <c r="U2585" s="593">
        <v>2014</v>
      </c>
      <c r="V2585" s="589"/>
      <c r="W2585" s="589"/>
      <c r="X2585" s="589"/>
      <c r="Y2585" s="589"/>
      <c r="Z2585" s="589"/>
      <c r="AA2585" s="589"/>
      <c r="AB2585" s="589"/>
      <c r="AC2585" s="589"/>
      <c r="AD2585" s="589"/>
      <c r="AE2585" s="589"/>
      <c r="AF2585" s="589"/>
      <c r="AG2585" s="589"/>
      <c r="AH2585" s="589"/>
      <c r="AI2585" s="589"/>
      <c r="AJ2585" s="589"/>
      <c r="AK2585" s="589"/>
      <c r="AL2585" s="589"/>
      <c r="AM2585" s="589"/>
      <c r="AN2585" s="589"/>
      <c r="AO2585" s="589"/>
      <c r="AP2585" s="589"/>
      <c r="AQ2585" s="589"/>
      <c r="AR2585" s="589"/>
      <c r="AS2585" s="589"/>
    </row>
    <row r="2586" spans="1:45" ht="15">
      <c r="A2586" s="587" t="s">
        <v>169</v>
      </c>
      <c r="B2586" s="587" t="s">
        <v>515</v>
      </c>
      <c r="C2586" s="587" t="s">
        <v>813</v>
      </c>
      <c r="D2586" s="588">
        <v>2019</v>
      </c>
      <c r="E2586" s="587" t="s">
        <v>775</v>
      </c>
      <c r="F2586" s="588">
        <v>283</v>
      </c>
      <c r="G2586" s="588">
        <v>0</v>
      </c>
      <c r="H2586" s="588">
        <v>0</v>
      </c>
      <c r="I2586" s="588">
        <v>0</v>
      </c>
      <c r="J2586" s="588">
        <v>195</v>
      </c>
      <c r="K2586" s="588">
        <v>0</v>
      </c>
      <c r="L2586" s="588">
        <v>0</v>
      </c>
      <c r="M2586" s="588">
        <v>0</v>
      </c>
      <c r="N2586" s="588">
        <v>224</v>
      </c>
      <c r="O2586" s="588">
        <v>5</v>
      </c>
      <c r="P2586" s="588">
        <v>525</v>
      </c>
      <c r="Q2586" s="588">
        <v>257</v>
      </c>
      <c r="R2586" s="588">
        <v>1227</v>
      </c>
      <c r="S2586" s="588">
        <v>262</v>
      </c>
      <c r="T2586" s="588">
        <v>2019</v>
      </c>
      <c r="U2586" s="588">
        <v>2014</v>
      </c>
      <c r="V2586" s="589"/>
      <c r="W2586" s="589"/>
      <c r="X2586" s="589"/>
      <c r="Y2586" s="589"/>
      <c r="Z2586" s="589"/>
      <c r="AA2586" s="589"/>
      <c r="AB2586" s="589"/>
      <c r="AC2586" s="589"/>
      <c r="AD2586" s="589"/>
      <c r="AE2586" s="589"/>
      <c r="AF2586" s="589"/>
      <c r="AG2586" s="589"/>
      <c r="AH2586" s="589"/>
      <c r="AI2586" s="589"/>
      <c r="AJ2586" s="589"/>
      <c r="AK2586" s="589"/>
      <c r="AL2586" s="589"/>
      <c r="AM2586" s="589"/>
      <c r="AN2586" s="589"/>
      <c r="AO2586" s="589"/>
      <c r="AP2586" s="589"/>
      <c r="AQ2586" s="589"/>
      <c r="AR2586" s="589"/>
      <c r="AS2586" s="589"/>
    </row>
    <row r="2587" spans="1:45" ht="15">
      <c r="A2587" s="590" t="s">
        <v>178</v>
      </c>
      <c r="B2587" s="591" t="s">
        <v>585</v>
      </c>
      <c r="C2587" s="591" t="s">
        <v>813</v>
      </c>
      <c r="D2587" s="592">
        <v>2019</v>
      </c>
      <c r="E2587" s="591" t="s">
        <v>775</v>
      </c>
      <c r="F2587" s="592">
        <v>103</v>
      </c>
      <c r="G2587" s="592">
        <v>0</v>
      </c>
      <c r="H2587" s="592">
        <v>0</v>
      </c>
      <c r="I2587" s="592">
        <v>0</v>
      </c>
      <c r="J2587" s="592">
        <v>72</v>
      </c>
      <c r="K2587" s="592">
        <v>0</v>
      </c>
      <c r="L2587" s="592">
        <v>0</v>
      </c>
      <c r="M2587" s="592">
        <v>0</v>
      </c>
      <c r="N2587" s="593">
        <v>84</v>
      </c>
      <c r="O2587" s="593">
        <v>5</v>
      </c>
      <c r="P2587" s="593">
        <v>195</v>
      </c>
      <c r="Q2587" s="593">
        <v>0</v>
      </c>
      <c r="R2587" s="593">
        <v>454</v>
      </c>
      <c r="S2587" s="593">
        <v>5</v>
      </c>
      <c r="T2587" s="593">
        <v>2019</v>
      </c>
      <c r="U2587" s="593">
        <v>2014</v>
      </c>
      <c r="V2587" s="589"/>
      <c r="W2587" s="589"/>
      <c r="X2587" s="589"/>
      <c r="Y2587" s="589"/>
      <c r="Z2587" s="589"/>
      <c r="AA2587" s="589"/>
      <c r="AB2587" s="589"/>
      <c r="AC2587" s="589"/>
      <c r="AD2587" s="589"/>
      <c r="AE2587" s="589"/>
      <c r="AF2587" s="589"/>
      <c r="AG2587" s="589"/>
      <c r="AH2587" s="589"/>
      <c r="AI2587" s="589"/>
      <c r="AJ2587" s="589"/>
      <c r="AK2587" s="589"/>
      <c r="AL2587" s="589"/>
      <c r="AM2587" s="589"/>
      <c r="AN2587" s="589"/>
      <c r="AO2587" s="589"/>
      <c r="AP2587" s="589"/>
      <c r="AQ2587" s="589"/>
      <c r="AR2587" s="589"/>
      <c r="AS2587" s="589"/>
    </row>
    <row r="2588" spans="1:45" ht="15">
      <c r="A2588" s="587" t="s">
        <v>178</v>
      </c>
      <c r="B2588" s="587" t="s">
        <v>585</v>
      </c>
      <c r="C2588" s="587" t="s">
        <v>813</v>
      </c>
      <c r="D2588" s="588">
        <v>2019</v>
      </c>
      <c r="E2588" s="587" t="s">
        <v>775</v>
      </c>
      <c r="F2588" s="588">
        <v>103</v>
      </c>
      <c r="G2588" s="588">
        <v>0</v>
      </c>
      <c r="H2588" s="588">
        <v>0</v>
      </c>
      <c r="I2588" s="588">
        <v>0</v>
      </c>
      <c r="J2588" s="588">
        <v>72</v>
      </c>
      <c r="K2588" s="588">
        <v>0</v>
      </c>
      <c r="L2588" s="588">
        <v>0</v>
      </c>
      <c r="M2588" s="588">
        <v>0</v>
      </c>
      <c r="N2588" s="588">
        <v>84</v>
      </c>
      <c r="O2588" s="588">
        <v>5</v>
      </c>
      <c r="P2588" s="588">
        <v>195</v>
      </c>
      <c r="Q2588" s="588">
        <v>0</v>
      </c>
      <c r="R2588" s="588">
        <v>454</v>
      </c>
      <c r="S2588" s="588">
        <v>5</v>
      </c>
      <c r="T2588" s="588">
        <v>2019</v>
      </c>
      <c r="U2588" s="588">
        <v>2014</v>
      </c>
      <c r="V2588" s="589"/>
      <c r="W2588" s="589"/>
      <c r="X2588" s="589"/>
      <c r="Y2588" s="589"/>
      <c r="Z2588" s="589"/>
      <c r="AA2588" s="589"/>
      <c r="AB2588" s="589"/>
      <c r="AC2588" s="589"/>
      <c r="AD2588" s="589"/>
      <c r="AE2588" s="589"/>
      <c r="AF2588" s="589"/>
      <c r="AG2588" s="589"/>
      <c r="AH2588" s="589"/>
      <c r="AI2588" s="589"/>
      <c r="AJ2588" s="589"/>
      <c r="AK2588" s="589"/>
      <c r="AL2588" s="589"/>
      <c r="AM2588" s="589"/>
      <c r="AN2588" s="589"/>
      <c r="AO2588" s="589"/>
      <c r="AP2588" s="589"/>
      <c r="AQ2588" s="589"/>
      <c r="AR2588" s="589"/>
      <c r="AS2588" s="589"/>
    </row>
    <row r="2589" spans="1:45" ht="15">
      <c r="A2589" s="590" t="s">
        <v>159</v>
      </c>
      <c r="B2589" s="591" t="s">
        <v>452</v>
      </c>
      <c r="C2589" s="591" t="s">
        <v>972</v>
      </c>
      <c r="D2589" s="592">
        <v>2019</v>
      </c>
      <c r="E2589" s="591" t="s">
        <v>775</v>
      </c>
      <c r="F2589" s="592">
        <v>0</v>
      </c>
      <c r="G2589" s="592">
        <v>0</v>
      </c>
      <c r="H2589" s="592">
        <v>0</v>
      </c>
      <c r="I2589" s="592">
        <v>0</v>
      </c>
      <c r="J2589" s="592">
        <v>0</v>
      </c>
      <c r="K2589" s="592">
        <v>2</v>
      </c>
      <c r="L2589" s="592">
        <v>0</v>
      </c>
      <c r="M2589" s="592">
        <v>2</v>
      </c>
      <c r="N2589" s="593">
        <v>0</v>
      </c>
      <c r="O2589" s="593">
        <v>3</v>
      </c>
      <c r="P2589" s="593">
        <v>0</v>
      </c>
      <c r="Q2589" s="593">
        <v>3</v>
      </c>
      <c r="R2589" s="593">
        <v>0</v>
      </c>
      <c r="S2589" s="593">
        <v>8</v>
      </c>
      <c r="T2589" s="593">
        <v>2019</v>
      </c>
      <c r="U2589" s="593">
        <v>2014</v>
      </c>
      <c r="V2589" s="589"/>
      <c r="W2589" s="589"/>
      <c r="X2589" s="589"/>
      <c r="Y2589" s="589"/>
      <c r="Z2589" s="589"/>
      <c r="AA2589" s="589"/>
      <c r="AB2589" s="589"/>
      <c r="AC2589" s="589"/>
      <c r="AD2589" s="589"/>
      <c r="AE2589" s="589"/>
      <c r="AF2589" s="589"/>
      <c r="AG2589" s="589"/>
      <c r="AH2589" s="589"/>
      <c r="AI2589" s="589"/>
      <c r="AJ2589" s="589"/>
      <c r="AK2589" s="589"/>
      <c r="AL2589" s="589"/>
      <c r="AM2589" s="589"/>
      <c r="AN2589" s="589"/>
      <c r="AO2589" s="589"/>
      <c r="AP2589" s="589"/>
      <c r="AQ2589" s="589"/>
      <c r="AR2589" s="589"/>
      <c r="AS2589" s="589"/>
    </row>
    <row r="2590" spans="1:45" ht="15">
      <c r="A2590" s="587" t="s">
        <v>159</v>
      </c>
      <c r="B2590" s="587" t="s">
        <v>452</v>
      </c>
      <c r="C2590" s="587" t="s">
        <v>785</v>
      </c>
      <c r="D2590" s="588">
        <v>2019</v>
      </c>
      <c r="E2590" s="587" t="s">
        <v>775</v>
      </c>
      <c r="F2590" s="588">
        <v>11</v>
      </c>
      <c r="G2590" s="588">
        <v>0</v>
      </c>
      <c r="H2590" s="588">
        <v>0</v>
      </c>
      <c r="I2590" s="588">
        <v>0</v>
      </c>
      <c r="J2590" s="588">
        <v>7</v>
      </c>
      <c r="K2590" s="588">
        <v>2</v>
      </c>
      <c r="L2590" s="588">
        <v>0</v>
      </c>
      <c r="M2590" s="588">
        <v>2</v>
      </c>
      <c r="N2590" s="588">
        <v>7</v>
      </c>
      <c r="O2590" s="588">
        <v>3</v>
      </c>
      <c r="P2590" s="588">
        <v>20</v>
      </c>
      <c r="Q2590" s="588">
        <v>3</v>
      </c>
      <c r="R2590" s="588">
        <v>45</v>
      </c>
      <c r="S2590" s="588">
        <v>8</v>
      </c>
      <c r="T2590" s="588">
        <v>2019</v>
      </c>
      <c r="U2590" s="588">
        <v>2014</v>
      </c>
      <c r="V2590" s="589"/>
      <c r="W2590" s="589"/>
      <c r="X2590" s="589"/>
      <c r="Y2590" s="589"/>
      <c r="Z2590" s="589"/>
      <c r="AA2590" s="589"/>
      <c r="AB2590" s="589"/>
      <c r="AC2590" s="589"/>
      <c r="AD2590" s="589"/>
      <c r="AE2590" s="589"/>
      <c r="AF2590" s="589"/>
      <c r="AG2590" s="589"/>
      <c r="AH2590" s="589"/>
      <c r="AI2590" s="589"/>
      <c r="AJ2590" s="589"/>
      <c r="AK2590" s="589"/>
      <c r="AL2590" s="589"/>
      <c r="AM2590" s="589"/>
      <c r="AN2590" s="589"/>
      <c r="AO2590" s="589"/>
      <c r="AP2590" s="589"/>
      <c r="AQ2590" s="589"/>
      <c r="AR2590" s="589"/>
      <c r="AS2590" s="589"/>
    </row>
    <row r="2591" spans="1:45" ht="15">
      <c r="A2591" s="590" t="s">
        <v>159</v>
      </c>
      <c r="B2591" s="591" t="s">
        <v>452</v>
      </c>
      <c r="C2591" s="591" t="s">
        <v>972</v>
      </c>
      <c r="D2591" s="592">
        <v>2019</v>
      </c>
      <c r="E2591" s="591" t="s">
        <v>775</v>
      </c>
      <c r="F2591" s="592">
        <v>0</v>
      </c>
      <c r="G2591" s="592">
        <v>0</v>
      </c>
      <c r="H2591" s="592">
        <v>0</v>
      </c>
      <c r="I2591" s="592">
        <v>0</v>
      </c>
      <c r="J2591" s="592">
        <v>0</v>
      </c>
      <c r="K2591" s="592">
        <v>2</v>
      </c>
      <c r="L2591" s="592">
        <v>0</v>
      </c>
      <c r="M2591" s="592">
        <v>2</v>
      </c>
      <c r="N2591" s="593">
        <v>0</v>
      </c>
      <c r="O2591" s="593">
        <v>3</v>
      </c>
      <c r="P2591" s="593">
        <v>0</v>
      </c>
      <c r="Q2591" s="593">
        <v>3</v>
      </c>
      <c r="R2591" s="593">
        <v>0</v>
      </c>
      <c r="S2591" s="593">
        <v>8</v>
      </c>
      <c r="T2591" s="593">
        <v>2019</v>
      </c>
      <c r="U2591" s="593">
        <v>2014</v>
      </c>
      <c r="V2591" s="589"/>
      <c r="W2591" s="589"/>
      <c r="X2591" s="589"/>
      <c r="Y2591" s="589"/>
      <c r="Z2591" s="589"/>
      <c r="AA2591" s="589"/>
      <c r="AB2591" s="589"/>
      <c r="AC2591" s="589"/>
      <c r="AD2591" s="589"/>
      <c r="AE2591" s="589"/>
      <c r="AF2591" s="589"/>
      <c r="AG2591" s="589"/>
      <c r="AH2591" s="589"/>
      <c r="AI2591" s="589"/>
      <c r="AJ2591" s="589"/>
      <c r="AK2591" s="589"/>
      <c r="AL2591" s="589"/>
      <c r="AM2591" s="589"/>
      <c r="AN2591" s="589"/>
      <c r="AO2591" s="589"/>
      <c r="AP2591" s="589"/>
      <c r="AQ2591" s="589"/>
      <c r="AR2591" s="589"/>
      <c r="AS2591" s="589"/>
    </row>
    <row r="2592" spans="1:45" ht="15">
      <c r="A2592" s="587" t="s">
        <v>159</v>
      </c>
      <c r="B2592" s="587" t="s">
        <v>452</v>
      </c>
      <c r="C2592" s="587" t="s">
        <v>785</v>
      </c>
      <c r="D2592" s="588">
        <v>2019</v>
      </c>
      <c r="E2592" s="587" t="s">
        <v>775</v>
      </c>
      <c r="F2592" s="588">
        <v>11</v>
      </c>
      <c r="G2592" s="588">
        <v>0</v>
      </c>
      <c r="H2592" s="588">
        <v>0</v>
      </c>
      <c r="I2592" s="588">
        <v>0</v>
      </c>
      <c r="J2592" s="588">
        <v>7</v>
      </c>
      <c r="K2592" s="588">
        <v>2</v>
      </c>
      <c r="L2592" s="588">
        <v>0</v>
      </c>
      <c r="M2592" s="588">
        <v>2</v>
      </c>
      <c r="N2592" s="588">
        <v>7</v>
      </c>
      <c r="O2592" s="588">
        <v>3</v>
      </c>
      <c r="P2592" s="588">
        <v>20</v>
      </c>
      <c r="Q2592" s="588">
        <v>3</v>
      </c>
      <c r="R2592" s="588">
        <v>45</v>
      </c>
      <c r="S2592" s="588">
        <v>8</v>
      </c>
      <c r="T2592" s="588">
        <v>2019</v>
      </c>
      <c r="U2592" s="588">
        <v>2014</v>
      </c>
      <c r="V2592" s="589"/>
      <c r="W2592" s="589"/>
      <c r="X2592" s="589"/>
      <c r="Y2592" s="589"/>
      <c r="Z2592" s="589"/>
      <c r="AA2592" s="589"/>
      <c r="AB2592" s="589"/>
      <c r="AC2592" s="589"/>
      <c r="AD2592" s="589"/>
      <c r="AE2592" s="589"/>
      <c r="AF2592" s="589"/>
      <c r="AG2592" s="589"/>
      <c r="AH2592" s="589"/>
      <c r="AI2592" s="589"/>
      <c r="AJ2592" s="589"/>
      <c r="AK2592" s="589"/>
      <c r="AL2592" s="589"/>
      <c r="AM2592" s="589"/>
      <c r="AN2592" s="589"/>
      <c r="AO2592" s="589"/>
      <c r="AP2592" s="589"/>
      <c r="AQ2592" s="589"/>
      <c r="AR2592" s="589"/>
      <c r="AS2592" s="589"/>
    </row>
    <row r="2593" spans="1:45" ht="15">
      <c r="A2593" s="590" t="s">
        <v>125</v>
      </c>
      <c r="B2593" s="591" t="s">
        <v>246</v>
      </c>
      <c r="C2593" s="591" t="s">
        <v>782</v>
      </c>
      <c r="D2593" s="592">
        <v>2019</v>
      </c>
      <c r="E2593" s="591" t="s">
        <v>775</v>
      </c>
      <c r="F2593" s="592">
        <v>317</v>
      </c>
      <c r="G2593" s="592">
        <v>0</v>
      </c>
      <c r="H2593" s="592">
        <v>0</v>
      </c>
      <c r="I2593" s="592">
        <v>0</v>
      </c>
      <c r="J2593" s="592">
        <v>180</v>
      </c>
      <c r="K2593" s="592">
        <v>0</v>
      </c>
      <c r="L2593" s="592">
        <v>0</v>
      </c>
      <c r="M2593" s="592">
        <v>0</v>
      </c>
      <c r="N2593" s="593">
        <v>192</v>
      </c>
      <c r="O2593" s="593">
        <v>12</v>
      </c>
      <c r="P2593" s="593">
        <v>417</v>
      </c>
      <c r="Q2593" s="593">
        <v>8</v>
      </c>
      <c r="R2593" s="593">
        <v>1106</v>
      </c>
      <c r="S2593" s="593">
        <v>20</v>
      </c>
      <c r="T2593" s="593">
        <v>2019</v>
      </c>
      <c r="U2593" s="593">
        <v>2015</v>
      </c>
      <c r="V2593" s="589"/>
      <c r="W2593" s="589"/>
      <c r="X2593" s="589"/>
      <c r="Y2593" s="589"/>
      <c r="Z2593" s="589"/>
      <c r="AA2593" s="589"/>
      <c r="AB2593" s="589"/>
      <c r="AC2593" s="589"/>
      <c r="AD2593" s="589"/>
      <c r="AE2593" s="589"/>
      <c r="AF2593" s="589"/>
      <c r="AG2593" s="589"/>
      <c r="AH2593" s="589"/>
      <c r="AI2593" s="589"/>
      <c r="AJ2593" s="589"/>
      <c r="AK2593" s="589"/>
      <c r="AL2593" s="589"/>
      <c r="AM2593" s="589"/>
      <c r="AN2593" s="589"/>
      <c r="AO2593" s="589"/>
      <c r="AP2593" s="589"/>
      <c r="AQ2593" s="589"/>
      <c r="AR2593" s="589"/>
      <c r="AS2593" s="589"/>
    </row>
    <row r="2594" spans="1:45" ht="15">
      <c r="A2594" s="587" t="s">
        <v>125</v>
      </c>
      <c r="B2594" s="587" t="s">
        <v>246</v>
      </c>
      <c r="C2594" s="587" t="s">
        <v>782</v>
      </c>
      <c r="D2594" s="588">
        <v>2019</v>
      </c>
      <c r="E2594" s="587" t="s">
        <v>775</v>
      </c>
      <c r="F2594" s="588">
        <v>317</v>
      </c>
      <c r="G2594" s="588">
        <v>0</v>
      </c>
      <c r="H2594" s="588">
        <v>0</v>
      </c>
      <c r="I2594" s="588">
        <v>0</v>
      </c>
      <c r="J2594" s="588">
        <v>180</v>
      </c>
      <c r="K2594" s="588">
        <v>0</v>
      </c>
      <c r="L2594" s="588">
        <v>0</v>
      </c>
      <c r="M2594" s="588">
        <v>0</v>
      </c>
      <c r="N2594" s="588">
        <v>192</v>
      </c>
      <c r="O2594" s="588">
        <v>12</v>
      </c>
      <c r="P2594" s="588">
        <v>417</v>
      </c>
      <c r="Q2594" s="588">
        <v>8</v>
      </c>
      <c r="R2594" s="588">
        <v>1106</v>
      </c>
      <c r="S2594" s="588">
        <v>20</v>
      </c>
      <c r="T2594" s="588">
        <v>2019</v>
      </c>
      <c r="U2594" s="588">
        <v>2015</v>
      </c>
      <c r="V2594" s="589"/>
      <c r="W2594" s="589"/>
      <c r="X2594" s="589"/>
      <c r="Y2594" s="589"/>
      <c r="Z2594" s="589"/>
      <c r="AA2594" s="589"/>
      <c r="AB2594" s="589"/>
      <c r="AC2594" s="589"/>
      <c r="AD2594" s="589"/>
      <c r="AE2594" s="589"/>
      <c r="AF2594" s="589"/>
      <c r="AG2594" s="589"/>
      <c r="AH2594" s="589"/>
      <c r="AI2594" s="589"/>
      <c r="AJ2594" s="589"/>
      <c r="AK2594" s="589"/>
      <c r="AL2594" s="589"/>
      <c r="AM2594" s="589"/>
      <c r="AN2594" s="589"/>
      <c r="AO2594" s="589"/>
      <c r="AP2594" s="589"/>
      <c r="AQ2594" s="589"/>
      <c r="AR2594" s="589"/>
      <c r="AS2594" s="589"/>
    </row>
    <row r="2595" spans="1:45" ht="15">
      <c r="A2595" s="590" t="s">
        <v>178</v>
      </c>
      <c r="B2595" s="591" t="s">
        <v>586</v>
      </c>
      <c r="C2595" s="591" t="s">
        <v>813</v>
      </c>
      <c r="D2595" s="592">
        <v>2019</v>
      </c>
      <c r="E2595" s="591" t="s">
        <v>775</v>
      </c>
      <c r="F2595" s="592">
        <v>382</v>
      </c>
      <c r="G2595" s="592">
        <v>0</v>
      </c>
      <c r="H2595" s="592">
        <v>0</v>
      </c>
      <c r="I2595" s="592">
        <v>0</v>
      </c>
      <c r="J2595" s="592">
        <v>260</v>
      </c>
      <c r="K2595" s="592">
        <v>0</v>
      </c>
      <c r="L2595" s="592">
        <v>0</v>
      </c>
      <c r="M2595" s="592">
        <v>0</v>
      </c>
      <c r="N2595" s="593">
        <v>294</v>
      </c>
      <c r="O2595" s="593">
        <v>14</v>
      </c>
      <c r="P2595" s="593">
        <v>653</v>
      </c>
      <c r="Q2595" s="593">
        <v>511</v>
      </c>
      <c r="R2595" s="593">
        <v>1589</v>
      </c>
      <c r="S2595" s="593">
        <v>525</v>
      </c>
      <c r="T2595" s="593">
        <v>2019</v>
      </c>
      <c r="U2595" s="593">
        <v>2014</v>
      </c>
      <c r="V2595" s="589"/>
      <c r="W2595" s="589"/>
      <c r="X2595" s="589"/>
      <c r="Y2595" s="589"/>
      <c r="Z2595" s="589"/>
      <c r="AA2595" s="589"/>
      <c r="AB2595" s="589"/>
      <c r="AC2595" s="589"/>
      <c r="AD2595" s="589"/>
      <c r="AE2595" s="589"/>
      <c r="AF2595" s="589"/>
      <c r="AG2595" s="589"/>
      <c r="AH2595" s="589"/>
      <c r="AI2595" s="589"/>
      <c r="AJ2595" s="589"/>
      <c r="AK2595" s="589"/>
      <c r="AL2595" s="589"/>
      <c r="AM2595" s="589"/>
      <c r="AN2595" s="589"/>
      <c r="AO2595" s="589"/>
      <c r="AP2595" s="589"/>
      <c r="AQ2595" s="589"/>
      <c r="AR2595" s="589"/>
      <c r="AS2595" s="589"/>
    </row>
    <row r="2596" spans="1:45" ht="15">
      <c r="A2596" s="587" t="s">
        <v>178</v>
      </c>
      <c r="B2596" s="587" t="s">
        <v>586</v>
      </c>
      <c r="C2596" s="587" t="s">
        <v>813</v>
      </c>
      <c r="D2596" s="588">
        <v>2019</v>
      </c>
      <c r="E2596" s="587" t="s">
        <v>775</v>
      </c>
      <c r="F2596" s="588">
        <v>382</v>
      </c>
      <c r="G2596" s="588">
        <v>0</v>
      </c>
      <c r="H2596" s="588">
        <v>0</v>
      </c>
      <c r="I2596" s="588">
        <v>0</v>
      </c>
      <c r="J2596" s="588">
        <v>260</v>
      </c>
      <c r="K2596" s="588">
        <v>0</v>
      </c>
      <c r="L2596" s="588">
        <v>0</v>
      </c>
      <c r="M2596" s="588">
        <v>0</v>
      </c>
      <c r="N2596" s="588">
        <v>294</v>
      </c>
      <c r="O2596" s="588">
        <v>14</v>
      </c>
      <c r="P2596" s="588">
        <v>653</v>
      </c>
      <c r="Q2596" s="588">
        <v>511</v>
      </c>
      <c r="R2596" s="588">
        <v>1589</v>
      </c>
      <c r="S2596" s="588">
        <v>525</v>
      </c>
      <c r="T2596" s="588">
        <v>2019</v>
      </c>
      <c r="U2596" s="588">
        <v>2014</v>
      </c>
      <c r="V2596" s="589"/>
      <c r="W2596" s="589"/>
      <c r="X2596" s="589"/>
      <c r="Y2596" s="589"/>
      <c r="Z2596" s="589"/>
      <c r="AA2596" s="589"/>
      <c r="AB2596" s="589"/>
      <c r="AC2596" s="589"/>
      <c r="AD2596" s="589"/>
      <c r="AE2596" s="589"/>
      <c r="AF2596" s="589"/>
      <c r="AG2596" s="589"/>
      <c r="AH2596" s="589"/>
      <c r="AI2596" s="589"/>
      <c r="AJ2596" s="589"/>
      <c r="AK2596" s="589"/>
      <c r="AL2596" s="589"/>
      <c r="AM2596" s="589"/>
      <c r="AN2596" s="589"/>
      <c r="AO2596" s="589"/>
      <c r="AP2596" s="589"/>
      <c r="AQ2596" s="589"/>
      <c r="AR2596" s="589"/>
      <c r="AS2596" s="589"/>
    </row>
    <row r="2597" spans="1:45" ht="15">
      <c r="A2597" s="590" t="s">
        <v>192</v>
      </c>
      <c r="B2597" s="591" t="s">
        <v>692</v>
      </c>
      <c r="C2597" s="591" t="s">
        <v>782</v>
      </c>
      <c r="D2597" s="592">
        <v>2019</v>
      </c>
      <c r="E2597" s="591" t="s">
        <v>775</v>
      </c>
      <c r="F2597" s="592">
        <v>287</v>
      </c>
      <c r="G2597" s="592">
        <v>0</v>
      </c>
      <c r="H2597" s="592">
        <v>0</v>
      </c>
      <c r="I2597" s="592">
        <v>0</v>
      </c>
      <c r="J2597" s="592">
        <v>134</v>
      </c>
      <c r="K2597" s="592">
        <v>3</v>
      </c>
      <c r="L2597" s="592">
        <v>0</v>
      </c>
      <c r="M2597" s="592">
        <v>3</v>
      </c>
      <c r="N2597" s="593">
        <v>173</v>
      </c>
      <c r="O2597" s="593">
        <v>0</v>
      </c>
      <c r="P2597" s="593">
        <v>490</v>
      </c>
      <c r="Q2597" s="593">
        <v>378</v>
      </c>
      <c r="R2597" s="593">
        <v>1084</v>
      </c>
      <c r="S2597" s="593">
        <v>381</v>
      </c>
      <c r="T2597" s="593">
        <v>2019</v>
      </c>
      <c r="U2597" s="593">
        <v>2015</v>
      </c>
      <c r="V2597" s="589"/>
      <c r="W2597" s="589"/>
      <c r="X2597" s="589"/>
      <c r="Y2597" s="589"/>
      <c r="Z2597" s="589"/>
      <c r="AA2597" s="589"/>
      <c r="AB2597" s="589"/>
      <c r="AC2597" s="589"/>
      <c r="AD2597" s="589"/>
      <c r="AE2597" s="589"/>
      <c r="AF2597" s="589"/>
      <c r="AG2597" s="589"/>
      <c r="AH2597" s="589"/>
      <c r="AI2597" s="589"/>
      <c r="AJ2597" s="589"/>
      <c r="AK2597" s="589"/>
      <c r="AL2597" s="589"/>
      <c r="AM2597" s="589"/>
      <c r="AN2597" s="589"/>
      <c r="AO2597" s="589"/>
      <c r="AP2597" s="589"/>
      <c r="AQ2597" s="589"/>
      <c r="AR2597" s="589"/>
      <c r="AS2597" s="589"/>
    </row>
    <row r="2598" spans="1:45" ht="15">
      <c r="A2598" s="587" t="s">
        <v>192</v>
      </c>
      <c r="B2598" s="587" t="s">
        <v>692</v>
      </c>
      <c r="C2598" s="587" t="s">
        <v>782</v>
      </c>
      <c r="D2598" s="588">
        <v>2019</v>
      </c>
      <c r="E2598" s="587" t="s">
        <v>775</v>
      </c>
      <c r="F2598" s="588">
        <v>287</v>
      </c>
      <c r="G2598" s="588">
        <v>0</v>
      </c>
      <c r="H2598" s="588">
        <v>0</v>
      </c>
      <c r="I2598" s="588">
        <v>0</v>
      </c>
      <c r="J2598" s="588">
        <v>134</v>
      </c>
      <c r="K2598" s="588">
        <v>3</v>
      </c>
      <c r="L2598" s="588">
        <v>0</v>
      </c>
      <c r="M2598" s="588">
        <v>3</v>
      </c>
      <c r="N2598" s="588">
        <v>173</v>
      </c>
      <c r="O2598" s="588">
        <v>0</v>
      </c>
      <c r="P2598" s="588">
        <v>490</v>
      </c>
      <c r="Q2598" s="588">
        <v>378</v>
      </c>
      <c r="R2598" s="588">
        <v>1084</v>
      </c>
      <c r="S2598" s="588">
        <v>381</v>
      </c>
      <c r="T2598" s="588">
        <v>2019</v>
      </c>
      <c r="U2598" s="588">
        <v>2015</v>
      </c>
      <c r="V2598" s="589"/>
      <c r="W2598" s="589"/>
      <c r="X2598" s="589"/>
      <c r="Y2598" s="589"/>
      <c r="Z2598" s="589"/>
      <c r="AA2598" s="589"/>
      <c r="AB2598" s="589"/>
      <c r="AC2598" s="589"/>
      <c r="AD2598" s="589"/>
      <c r="AE2598" s="589"/>
      <c r="AF2598" s="589"/>
      <c r="AG2598" s="589"/>
      <c r="AH2598" s="589"/>
      <c r="AI2598" s="589"/>
      <c r="AJ2598" s="589"/>
      <c r="AK2598" s="589"/>
      <c r="AL2598" s="589"/>
      <c r="AM2598" s="589"/>
      <c r="AN2598" s="589"/>
      <c r="AO2598" s="589"/>
      <c r="AP2598" s="589"/>
      <c r="AQ2598" s="589"/>
      <c r="AR2598" s="589"/>
      <c r="AS2598" s="589"/>
    </row>
    <row r="2599" spans="1:45" ht="15">
      <c r="A2599" s="590" t="s">
        <v>192</v>
      </c>
      <c r="B2599" s="591" t="s">
        <v>693</v>
      </c>
      <c r="C2599" s="591" t="s">
        <v>782</v>
      </c>
      <c r="D2599" s="592">
        <v>2019</v>
      </c>
      <c r="E2599" s="591" t="s">
        <v>775</v>
      </c>
      <c r="F2599" s="592">
        <v>283</v>
      </c>
      <c r="G2599" s="592">
        <v>0</v>
      </c>
      <c r="H2599" s="592">
        <v>0</v>
      </c>
      <c r="I2599" s="592">
        <v>0</v>
      </c>
      <c r="J2599" s="592">
        <v>178</v>
      </c>
      <c r="K2599" s="592">
        <v>0</v>
      </c>
      <c r="L2599" s="592">
        <v>0</v>
      </c>
      <c r="M2599" s="592">
        <v>0</v>
      </c>
      <c r="N2599" s="593">
        <v>211</v>
      </c>
      <c r="O2599" s="593">
        <v>0</v>
      </c>
      <c r="P2599" s="593">
        <v>690</v>
      </c>
      <c r="Q2599" s="593">
        <v>64</v>
      </c>
      <c r="R2599" s="593">
        <v>1362</v>
      </c>
      <c r="S2599" s="593">
        <v>64</v>
      </c>
      <c r="T2599" s="593">
        <v>2019</v>
      </c>
      <c r="U2599" s="593">
        <v>2015</v>
      </c>
      <c r="V2599" s="589"/>
      <c r="W2599" s="589"/>
      <c r="X2599" s="589"/>
      <c r="Y2599" s="589"/>
      <c r="Z2599" s="589"/>
      <c r="AA2599" s="589"/>
      <c r="AB2599" s="589"/>
      <c r="AC2599" s="589"/>
      <c r="AD2599" s="589"/>
      <c r="AE2599" s="589"/>
      <c r="AF2599" s="589"/>
      <c r="AG2599" s="589"/>
      <c r="AH2599" s="589"/>
      <c r="AI2599" s="589"/>
      <c r="AJ2599" s="589"/>
      <c r="AK2599" s="589"/>
      <c r="AL2599" s="589"/>
      <c r="AM2599" s="589"/>
      <c r="AN2599" s="589"/>
      <c r="AO2599" s="589"/>
      <c r="AP2599" s="589"/>
      <c r="AQ2599" s="589"/>
      <c r="AR2599" s="589"/>
      <c r="AS2599" s="589"/>
    </row>
    <row r="2600" spans="1:45" ht="15">
      <c r="A2600" s="587" t="s">
        <v>192</v>
      </c>
      <c r="B2600" s="587" t="s">
        <v>693</v>
      </c>
      <c r="C2600" s="587" t="s">
        <v>782</v>
      </c>
      <c r="D2600" s="588">
        <v>2019</v>
      </c>
      <c r="E2600" s="587" t="s">
        <v>775</v>
      </c>
      <c r="F2600" s="588">
        <v>283</v>
      </c>
      <c r="G2600" s="588">
        <v>0</v>
      </c>
      <c r="H2600" s="588">
        <v>0</v>
      </c>
      <c r="I2600" s="588">
        <v>0</v>
      </c>
      <c r="J2600" s="588">
        <v>178</v>
      </c>
      <c r="K2600" s="588">
        <v>0</v>
      </c>
      <c r="L2600" s="588">
        <v>0</v>
      </c>
      <c r="M2600" s="588">
        <v>0</v>
      </c>
      <c r="N2600" s="588">
        <v>211</v>
      </c>
      <c r="O2600" s="588">
        <v>0</v>
      </c>
      <c r="P2600" s="588">
        <v>690</v>
      </c>
      <c r="Q2600" s="588">
        <v>64</v>
      </c>
      <c r="R2600" s="588">
        <v>1362</v>
      </c>
      <c r="S2600" s="588">
        <v>64</v>
      </c>
      <c r="T2600" s="588">
        <v>2019</v>
      </c>
      <c r="U2600" s="588">
        <v>2015</v>
      </c>
      <c r="V2600" s="589"/>
      <c r="W2600" s="589"/>
      <c r="X2600" s="589"/>
      <c r="Y2600" s="589"/>
      <c r="Z2600" s="589"/>
      <c r="AA2600" s="589"/>
      <c r="AB2600" s="589"/>
      <c r="AC2600" s="589"/>
      <c r="AD2600" s="589"/>
      <c r="AE2600" s="589"/>
      <c r="AF2600" s="589"/>
      <c r="AG2600" s="589"/>
      <c r="AH2600" s="589"/>
      <c r="AI2600" s="589"/>
      <c r="AJ2600" s="589"/>
      <c r="AK2600" s="589"/>
      <c r="AL2600" s="589"/>
      <c r="AM2600" s="589"/>
      <c r="AN2600" s="589"/>
      <c r="AO2600" s="589"/>
      <c r="AP2600" s="589"/>
      <c r="AQ2600" s="589"/>
      <c r="AR2600" s="589"/>
      <c r="AS2600" s="589"/>
    </row>
    <row r="2601" spans="1:45" ht="15">
      <c r="A2601" s="590" t="s">
        <v>201</v>
      </c>
      <c r="B2601" s="591" t="s">
        <v>740</v>
      </c>
      <c r="C2601" s="591" t="s">
        <v>813</v>
      </c>
      <c r="D2601" s="592">
        <v>2019</v>
      </c>
      <c r="E2601" s="591" t="s">
        <v>775</v>
      </c>
      <c r="F2601" s="592">
        <v>246</v>
      </c>
      <c r="G2601" s="592">
        <v>11</v>
      </c>
      <c r="H2601" s="592">
        <v>0</v>
      </c>
      <c r="I2601" s="592">
        <v>11</v>
      </c>
      <c r="J2601" s="592">
        <v>168</v>
      </c>
      <c r="K2601" s="592">
        <v>30</v>
      </c>
      <c r="L2601" s="592">
        <v>0</v>
      </c>
      <c r="M2601" s="592">
        <v>30</v>
      </c>
      <c r="N2601" s="593">
        <v>189</v>
      </c>
      <c r="O2601" s="593">
        <v>28</v>
      </c>
      <c r="P2601" s="593">
        <v>412</v>
      </c>
      <c r="Q2601" s="593">
        <v>39</v>
      </c>
      <c r="R2601" s="593">
        <v>1015</v>
      </c>
      <c r="S2601" s="593">
        <v>108</v>
      </c>
      <c r="T2601" s="593">
        <v>2019</v>
      </c>
      <c r="U2601" s="593">
        <v>2014</v>
      </c>
      <c r="V2601" s="589"/>
      <c r="W2601" s="589"/>
      <c r="X2601" s="589"/>
      <c r="Y2601" s="589"/>
      <c r="Z2601" s="589"/>
      <c r="AA2601" s="589"/>
      <c r="AB2601" s="589"/>
      <c r="AC2601" s="589"/>
      <c r="AD2601" s="589"/>
      <c r="AE2601" s="589"/>
      <c r="AF2601" s="589"/>
      <c r="AG2601" s="589"/>
      <c r="AH2601" s="589"/>
      <c r="AI2601" s="589"/>
      <c r="AJ2601" s="589"/>
      <c r="AK2601" s="589"/>
      <c r="AL2601" s="589"/>
      <c r="AM2601" s="589"/>
      <c r="AN2601" s="589"/>
      <c r="AO2601" s="589"/>
      <c r="AP2601" s="589"/>
      <c r="AQ2601" s="589"/>
      <c r="AR2601" s="589"/>
      <c r="AS2601" s="589"/>
    </row>
    <row r="2602" spans="1:45" ht="15">
      <c r="A2602" s="587" t="s">
        <v>201</v>
      </c>
      <c r="B2602" s="587" t="s">
        <v>740</v>
      </c>
      <c r="C2602" s="587" t="s">
        <v>813</v>
      </c>
      <c r="D2602" s="588">
        <v>2019</v>
      </c>
      <c r="E2602" s="587" t="s">
        <v>775</v>
      </c>
      <c r="F2602" s="588">
        <v>246</v>
      </c>
      <c r="G2602" s="588">
        <v>11</v>
      </c>
      <c r="H2602" s="588">
        <v>0</v>
      </c>
      <c r="I2602" s="588">
        <v>11</v>
      </c>
      <c r="J2602" s="588">
        <v>168</v>
      </c>
      <c r="K2602" s="588">
        <v>30</v>
      </c>
      <c r="L2602" s="588">
        <v>0</v>
      </c>
      <c r="M2602" s="588">
        <v>30</v>
      </c>
      <c r="N2602" s="588">
        <v>189</v>
      </c>
      <c r="O2602" s="588">
        <v>28</v>
      </c>
      <c r="P2602" s="588">
        <v>412</v>
      </c>
      <c r="Q2602" s="588">
        <v>39</v>
      </c>
      <c r="R2602" s="588">
        <v>1015</v>
      </c>
      <c r="S2602" s="588">
        <v>108</v>
      </c>
      <c r="T2602" s="588">
        <v>2019</v>
      </c>
      <c r="U2602" s="588">
        <v>2014</v>
      </c>
      <c r="V2602" s="589"/>
      <c r="W2602" s="589"/>
      <c r="X2602" s="589"/>
      <c r="Y2602" s="589"/>
      <c r="Z2602" s="589"/>
      <c r="AA2602" s="589"/>
      <c r="AB2602" s="589"/>
      <c r="AC2602" s="589"/>
      <c r="AD2602" s="589"/>
      <c r="AE2602" s="589"/>
      <c r="AF2602" s="589"/>
      <c r="AG2602" s="589"/>
      <c r="AH2602" s="589"/>
      <c r="AI2602" s="589"/>
      <c r="AJ2602" s="589"/>
      <c r="AK2602" s="589"/>
      <c r="AL2602" s="589"/>
      <c r="AM2602" s="589"/>
      <c r="AN2602" s="589"/>
      <c r="AO2602" s="589"/>
      <c r="AP2602" s="589"/>
      <c r="AQ2602" s="589"/>
      <c r="AR2602" s="589"/>
      <c r="AS2602" s="589"/>
    </row>
    <row r="2603" spans="1:45" ht="15">
      <c r="A2603" s="590" t="s">
        <v>153</v>
      </c>
      <c r="B2603" s="591" t="s">
        <v>428</v>
      </c>
      <c r="C2603" s="591" t="s">
        <v>813</v>
      </c>
      <c r="D2603" s="592">
        <v>2019</v>
      </c>
      <c r="E2603" s="591" t="s">
        <v>775</v>
      </c>
      <c r="F2603" s="592">
        <v>1</v>
      </c>
      <c r="G2603" s="592">
        <v>0</v>
      </c>
      <c r="H2603" s="592">
        <v>0</v>
      </c>
      <c r="I2603" s="592">
        <v>0</v>
      </c>
      <c r="J2603" s="592">
        <v>1</v>
      </c>
      <c r="K2603" s="592">
        <v>0</v>
      </c>
      <c r="L2603" s="592">
        <v>0</v>
      </c>
      <c r="M2603" s="592">
        <v>0</v>
      </c>
      <c r="N2603" s="593">
        <v>0</v>
      </c>
      <c r="O2603" s="593">
        <v>0</v>
      </c>
      <c r="P2603" s="593">
        <v>0</v>
      </c>
      <c r="Q2603" s="593">
        <v>0</v>
      </c>
      <c r="R2603" s="593">
        <v>2</v>
      </c>
      <c r="S2603" s="593">
        <v>0</v>
      </c>
      <c r="T2603" s="593">
        <v>2019</v>
      </c>
      <c r="U2603" s="593">
        <v>2014</v>
      </c>
      <c r="V2603" s="589"/>
      <c r="W2603" s="589"/>
      <c r="X2603" s="589"/>
      <c r="Y2603" s="589"/>
      <c r="Z2603" s="589"/>
      <c r="AA2603" s="589"/>
      <c r="AB2603" s="589"/>
      <c r="AC2603" s="589"/>
      <c r="AD2603" s="589"/>
      <c r="AE2603" s="589"/>
      <c r="AF2603" s="589"/>
      <c r="AG2603" s="589"/>
      <c r="AH2603" s="589"/>
      <c r="AI2603" s="589"/>
      <c r="AJ2603" s="589"/>
      <c r="AK2603" s="589"/>
      <c r="AL2603" s="589"/>
      <c r="AM2603" s="589"/>
      <c r="AN2603" s="589"/>
      <c r="AO2603" s="589"/>
      <c r="AP2603" s="589"/>
      <c r="AQ2603" s="589"/>
      <c r="AR2603" s="589"/>
      <c r="AS2603" s="589"/>
    </row>
    <row r="2604" spans="1:45" ht="15">
      <c r="A2604" s="587" t="s">
        <v>153</v>
      </c>
      <c r="B2604" s="587" t="s">
        <v>428</v>
      </c>
      <c r="C2604" s="587" t="s">
        <v>813</v>
      </c>
      <c r="D2604" s="588">
        <v>2019</v>
      </c>
      <c r="E2604" s="587" t="s">
        <v>775</v>
      </c>
      <c r="F2604" s="588">
        <v>1</v>
      </c>
      <c r="G2604" s="588">
        <v>0</v>
      </c>
      <c r="H2604" s="588">
        <v>0</v>
      </c>
      <c r="I2604" s="588">
        <v>0</v>
      </c>
      <c r="J2604" s="588">
        <v>1</v>
      </c>
      <c r="K2604" s="588">
        <v>0</v>
      </c>
      <c r="L2604" s="588">
        <v>0</v>
      </c>
      <c r="M2604" s="588">
        <v>0</v>
      </c>
      <c r="N2604" s="588">
        <v>0</v>
      </c>
      <c r="O2604" s="588">
        <v>0</v>
      </c>
      <c r="P2604" s="588">
        <v>0</v>
      </c>
      <c r="Q2604" s="588">
        <v>0</v>
      </c>
      <c r="R2604" s="588">
        <v>2</v>
      </c>
      <c r="S2604" s="588">
        <v>0</v>
      </c>
      <c r="T2604" s="588">
        <v>2019</v>
      </c>
      <c r="U2604" s="588">
        <v>2014</v>
      </c>
      <c r="V2604" s="589"/>
      <c r="W2604" s="589"/>
      <c r="X2604" s="589"/>
      <c r="Y2604" s="589"/>
      <c r="Z2604" s="589"/>
      <c r="AA2604" s="589"/>
      <c r="AB2604" s="589"/>
      <c r="AC2604" s="589"/>
      <c r="AD2604" s="589"/>
      <c r="AE2604" s="589"/>
      <c r="AF2604" s="589"/>
      <c r="AG2604" s="589"/>
      <c r="AH2604" s="589"/>
      <c r="AI2604" s="589"/>
      <c r="AJ2604" s="589"/>
      <c r="AK2604" s="589"/>
      <c r="AL2604" s="589"/>
      <c r="AM2604" s="589"/>
      <c r="AN2604" s="589"/>
      <c r="AO2604" s="589"/>
      <c r="AP2604" s="589"/>
      <c r="AQ2604" s="589"/>
      <c r="AR2604" s="589"/>
      <c r="AS2604" s="589"/>
    </row>
    <row r="2605" spans="1:45" ht="15">
      <c r="A2605" s="590" t="s">
        <v>178</v>
      </c>
      <c r="B2605" s="591" t="s">
        <v>587</v>
      </c>
      <c r="C2605" s="591" t="s">
        <v>813</v>
      </c>
      <c r="D2605" s="592">
        <v>2019</v>
      </c>
      <c r="E2605" s="591" t="s">
        <v>775</v>
      </c>
      <c r="F2605" s="592">
        <v>1698</v>
      </c>
      <c r="G2605" s="592">
        <v>7</v>
      </c>
      <c r="H2605" s="592">
        <v>0</v>
      </c>
      <c r="I2605" s="592">
        <v>7</v>
      </c>
      <c r="J2605" s="592">
        <v>1207</v>
      </c>
      <c r="K2605" s="592">
        <v>0</v>
      </c>
      <c r="L2605" s="592">
        <v>0</v>
      </c>
      <c r="M2605" s="592">
        <v>0</v>
      </c>
      <c r="N2605" s="593">
        <v>1342</v>
      </c>
      <c r="O2605" s="593">
        <v>144</v>
      </c>
      <c r="P2605" s="593">
        <v>3124</v>
      </c>
      <c r="Q2605" s="593">
        <v>288</v>
      </c>
      <c r="R2605" s="593">
        <v>7371</v>
      </c>
      <c r="S2605" s="593">
        <v>439</v>
      </c>
      <c r="T2605" s="593">
        <v>2019</v>
      </c>
      <c r="U2605" s="593">
        <v>2014</v>
      </c>
      <c r="V2605" s="589"/>
      <c r="W2605" s="589"/>
      <c r="X2605" s="589"/>
      <c r="Y2605" s="589"/>
      <c r="Z2605" s="589"/>
      <c r="AA2605" s="589"/>
      <c r="AB2605" s="589"/>
      <c r="AC2605" s="589"/>
      <c r="AD2605" s="589"/>
      <c r="AE2605" s="589"/>
      <c r="AF2605" s="589"/>
      <c r="AG2605" s="589"/>
      <c r="AH2605" s="589"/>
      <c r="AI2605" s="589"/>
      <c r="AJ2605" s="589"/>
      <c r="AK2605" s="589"/>
      <c r="AL2605" s="589"/>
      <c r="AM2605" s="589"/>
      <c r="AN2605" s="589"/>
      <c r="AO2605" s="589"/>
      <c r="AP2605" s="589"/>
      <c r="AQ2605" s="589"/>
      <c r="AR2605" s="589"/>
      <c r="AS2605" s="589"/>
    </row>
    <row r="2606" spans="1:45" ht="15">
      <c r="A2606" s="587" t="s">
        <v>178</v>
      </c>
      <c r="B2606" s="587" t="s">
        <v>587</v>
      </c>
      <c r="C2606" s="587" t="s">
        <v>813</v>
      </c>
      <c r="D2606" s="588">
        <v>2019</v>
      </c>
      <c r="E2606" s="587" t="s">
        <v>775</v>
      </c>
      <c r="F2606" s="588">
        <v>1698</v>
      </c>
      <c r="G2606" s="588">
        <v>7</v>
      </c>
      <c r="H2606" s="588">
        <v>0</v>
      </c>
      <c r="I2606" s="588">
        <v>7</v>
      </c>
      <c r="J2606" s="588">
        <v>1207</v>
      </c>
      <c r="K2606" s="588">
        <v>0</v>
      </c>
      <c r="L2606" s="588">
        <v>0</v>
      </c>
      <c r="M2606" s="588">
        <v>0</v>
      </c>
      <c r="N2606" s="588">
        <v>1342</v>
      </c>
      <c r="O2606" s="588">
        <v>144</v>
      </c>
      <c r="P2606" s="588">
        <v>3124</v>
      </c>
      <c r="Q2606" s="588">
        <v>288</v>
      </c>
      <c r="R2606" s="588">
        <v>7371</v>
      </c>
      <c r="S2606" s="588">
        <v>439</v>
      </c>
      <c r="T2606" s="588">
        <v>2019</v>
      </c>
      <c r="U2606" s="588">
        <v>2014</v>
      </c>
      <c r="V2606" s="589"/>
      <c r="W2606" s="589"/>
      <c r="X2606" s="589"/>
      <c r="Y2606" s="589"/>
      <c r="Z2606" s="589"/>
      <c r="AA2606" s="589"/>
      <c r="AB2606" s="589"/>
      <c r="AC2606" s="589"/>
      <c r="AD2606" s="589"/>
      <c r="AE2606" s="589"/>
      <c r="AF2606" s="589"/>
      <c r="AG2606" s="589"/>
      <c r="AH2606" s="589"/>
      <c r="AI2606" s="589"/>
      <c r="AJ2606" s="589"/>
      <c r="AK2606" s="589"/>
      <c r="AL2606" s="589"/>
      <c r="AM2606" s="589"/>
      <c r="AN2606" s="589"/>
      <c r="AO2606" s="589"/>
      <c r="AP2606" s="589"/>
      <c r="AQ2606" s="589"/>
      <c r="AR2606" s="589"/>
      <c r="AS2606" s="589"/>
    </row>
    <row r="2607" spans="1:45" ht="15">
      <c r="A2607" s="590" t="s">
        <v>169</v>
      </c>
      <c r="B2607" s="591" t="s">
        <v>516</v>
      </c>
      <c r="C2607" s="591" t="s">
        <v>813</v>
      </c>
      <c r="D2607" s="592">
        <v>2019</v>
      </c>
      <c r="E2607" s="591" t="s">
        <v>775</v>
      </c>
      <c r="F2607" s="592">
        <v>3</v>
      </c>
      <c r="G2607" s="592">
        <v>0</v>
      </c>
      <c r="H2607" s="592">
        <v>0</v>
      </c>
      <c r="I2607" s="592">
        <v>0</v>
      </c>
      <c r="J2607" s="592">
        <v>2</v>
      </c>
      <c r="K2607" s="592">
        <v>0</v>
      </c>
      <c r="L2607" s="592">
        <v>0</v>
      </c>
      <c r="M2607" s="592">
        <v>0</v>
      </c>
      <c r="N2607" s="593">
        <v>3</v>
      </c>
      <c r="O2607" s="593">
        <v>2</v>
      </c>
      <c r="P2607" s="593">
        <v>6</v>
      </c>
      <c r="Q2607" s="593">
        <v>3</v>
      </c>
      <c r="R2607" s="593">
        <v>14</v>
      </c>
      <c r="S2607" s="593">
        <v>5</v>
      </c>
      <c r="T2607" s="593">
        <v>2019</v>
      </c>
      <c r="U2607" s="593">
        <v>2014</v>
      </c>
      <c r="V2607" s="589"/>
      <c r="W2607" s="589"/>
      <c r="X2607" s="589"/>
      <c r="Y2607" s="589"/>
      <c r="Z2607" s="589"/>
      <c r="AA2607" s="589"/>
      <c r="AB2607" s="589"/>
      <c r="AC2607" s="589"/>
      <c r="AD2607" s="589"/>
      <c r="AE2607" s="589"/>
      <c r="AF2607" s="589"/>
      <c r="AG2607" s="589"/>
      <c r="AH2607" s="589"/>
      <c r="AI2607" s="589"/>
      <c r="AJ2607" s="589"/>
      <c r="AK2607" s="589"/>
      <c r="AL2607" s="589"/>
      <c r="AM2607" s="589"/>
      <c r="AN2607" s="589"/>
      <c r="AO2607" s="589"/>
      <c r="AP2607" s="589"/>
      <c r="AQ2607" s="589"/>
      <c r="AR2607" s="589"/>
      <c r="AS2607" s="589"/>
    </row>
    <row r="2608" spans="1:45" ht="15">
      <c r="A2608" s="587" t="s">
        <v>169</v>
      </c>
      <c r="B2608" s="587" t="s">
        <v>516</v>
      </c>
      <c r="C2608" s="587" t="s">
        <v>813</v>
      </c>
      <c r="D2608" s="588">
        <v>2019</v>
      </c>
      <c r="E2608" s="587" t="s">
        <v>775</v>
      </c>
      <c r="F2608" s="588">
        <v>3</v>
      </c>
      <c r="G2608" s="588">
        <v>0</v>
      </c>
      <c r="H2608" s="588">
        <v>0</v>
      </c>
      <c r="I2608" s="588">
        <v>0</v>
      </c>
      <c r="J2608" s="588">
        <v>2</v>
      </c>
      <c r="K2608" s="588">
        <v>0</v>
      </c>
      <c r="L2608" s="588">
        <v>0</v>
      </c>
      <c r="M2608" s="588">
        <v>0</v>
      </c>
      <c r="N2608" s="588">
        <v>3</v>
      </c>
      <c r="O2608" s="588">
        <v>2</v>
      </c>
      <c r="P2608" s="588">
        <v>6</v>
      </c>
      <c r="Q2608" s="588">
        <v>3</v>
      </c>
      <c r="R2608" s="588">
        <v>14</v>
      </c>
      <c r="S2608" s="588">
        <v>5</v>
      </c>
      <c r="T2608" s="588">
        <v>2019</v>
      </c>
      <c r="U2608" s="588">
        <v>2014</v>
      </c>
      <c r="V2608" s="589"/>
      <c r="W2608" s="589"/>
      <c r="X2608" s="589"/>
      <c r="Y2608" s="589"/>
      <c r="Z2608" s="589"/>
      <c r="AA2608" s="589"/>
      <c r="AB2608" s="589"/>
      <c r="AC2608" s="589"/>
      <c r="AD2608" s="589"/>
      <c r="AE2608" s="589"/>
      <c r="AF2608" s="589"/>
      <c r="AG2608" s="589"/>
      <c r="AH2608" s="589"/>
      <c r="AI2608" s="589"/>
      <c r="AJ2608" s="589"/>
      <c r="AK2608" s="589"/>
      <c r="AL2608" s="589"/>
      <c r="AM2608" s="589"/>
      <c r="AN2608" s="589"/>
      <c r="AO2608" s="589"/>
      <c r="AP2608" s="589"/>
      <c r="AQ2608" s="589"/>
      <c r="AR2608" s="589"/>
      <c r="AS2608" s="589"/>
    </row>
    <row r="2609" spans="1:45" ht="15">
      <c r="A2609" s="590" t="s">
        <v>199</v>
      </c>
      <c r="B2609" s="591" t="s">
        <v>726</v>
      </c>
      <c r="C2609" s="591" t="s">
        <v>811</v>
      </c>
      <c r="D2609" s="592">
        <v>2019</v>
      </c>
      <c r="E2609" s="591" t="s">
        <v>775</v>
      </c>
      <c r="F2609" s="592">
        <v>2616</v>
      </c>
      <c r="G2609" s="592">
        <v>20</v>
      </c>
      <c r="H2609" s="592">
        <v>0</v>
      </c>
      <c r="I2609" s="592">
        <v>20</v>
      </c>
      <c r="J2609" s="592">
        <v>1931</v>
      </c>
      <c r="K2609" s="592">
        <v>46</v>
      </c>
      <c r="L2609" s="592">
        <v>0</v>
      </c>
      <c r="M2609" s="592">
        <v>46</v>
      </c>
      <c r="N2609" s="593">
        <v>1802</v>
      </c>
      <c r="O2609" s="593">
        <v>463</v>
      </c>
      <c r="P2609" s="593">
        <v>3672</v>
      </c>
      <c r="Q2609" s="593">
        <v>169</v>
      </c>
      <c r="R2609" s="593">
        <v>10021</v>
      </c>
      <c r="S2609" s="593">
        <v>698</v>
      </c>
      <c r="T2609" s="593">
        <v>2019</v>
      </c>
      <c r="U2609" s="593">
        <v>2016</v>
      </c>
      <c r="V2609" s="589"/>
      <c r="W2609" s="589"/>
      <c r="X2609" s="589"/>
      <c r="Y2609" s="589"/>
      <c r="Z2609" s="589"/>
      <c r="AA2609" s="589"/>
      <c r="AB2609" s="589"/>
      <c r="AC2609" s="589"/>
      <c r="AD2609" s="589"/>
      <c r="AE2609" s="589"/>
      <c r="AF2609" s="589"/>
      <c r="AG2609" s="589"/>
      <c r="AH2609" s="589"/>
      <c r="AI2609" s="589"/>
      <c r="AJ2609" s="589"/>
      <c r="AK2609" s="589"/>
      <c r="AL2609" s="589"/>
      <c r="AM2609" s="589"/>
      <c r="AN2609" s="589"/>
      <c r="AO2609" s="589"/>
      <c r="AP2609" s="589"/>
      <c r="AQ2609" s="589"/>
      <c r="AR2609" s="589"/>
      <c r="AS2609" s="589"/>
    </row>
    <row r="2610" spans="1:45" ht="15">
      <c r="A2610" s="587" t="s">
        <v>199</v>
      </c>
      <c r="B2610" s="587" t="s">
        <v>726</v>
      </c>
      <c r="C2610" s="587" t="s">
        <v>811</v>
      </c>
      <c r="D2610" s="588">
        <v>2019</v>
      </c>
      <c r="E2610" s="587" t="s">
        <v>775</v>
      </c>
      <c r="F2610" s="588">
        <v>2616</v>
      </c>
      <c r="G2610" s="588">
        <v>20</v>
      </c>
      <c r="H2610" s="588">
        <v>0</v>
      </c>
      <c r="I2610" s="588">
        <v>20</v>
      </c>
      <c r="J2610" s="588">
        <v>1931</v>
      </c>
      <c r="K2610" s="588">
        <v>46</v>
      </c>
      <c r="L2610" s="588">
        <v>0</v>
      </c>
      <c r="M2610" s="588">
        <v>46</v>
      </c>
      <c r="N2610" s="588">
        <v>1802</v>
      </c>
      <c r="O2610" s="588">
        <v>463</v>
      </c>
      <c r="P2610" s="588">
        <v>3672</v>
      </c>
      <c r="Q2610" s="588">
        <v>169</v>
      </c>
      <c r="R2610" s="588">
        <v>10021</v>
      </c>
      <c r="S2610" s="588">
        <v>698</v>
      </c>
      <c r="T2610" s="588">
        <v>2019</v>
      </c>
      <c r="U2610" s="588">
        <v>2016</v>
      </c>
      <c r="V2610" s="589"/>
      <c r="W2610" s="589"/>
      <c r="X2610" s="589"/>
      <c r="Y2610" s="589"/>
      <c r="Z2610" s="589"/>
      <c r="AA2610" s="589"/>
      <c r="AB2610" s="589"/>
      <c r="AC2610" s="589"/>
      <c r="AD2610" s="589"/>
      <c r="AE2610" s="589"/>
      <c r="AF2610" s="589"/>
      <c r="AG2610" s="589"/>
      <c r="AH2610" s="589"/>
      <c r="AI2610" s="589"/>
      <c r="AJ2610" s="589"/>
      <c r="AK2610" s="589"/>
      <c r="AL2610" s="589"/>
      <c r="AM2610" s="589"/>
      <c r="AN2610" s="589"/>
      <c r="AO2610" s="589"/>
      <c r="AP2610" s="589"/>
      <c r="AQ2610" s="589"/>
      <c r="AR2610" s="589"/>
      <c r="AS2610" s="589"/>
    </row>
    <row r="2611" spans="1:45" ht="15">
      <c r="A2611" s="590" t="s">
        <v>179</v>
      </c>
      <c r="B2611" s="591" t="s">
        <v>607</v>
      </c>
      <c r="C2611" s="591" t="s">
        <v>856</v>
      </c>
      <c r="D2611" s="592">
        <v>2019</v>
      </c>
      <c r="E2611" s="591" t="s">
        <v>775</v>
      </c>
      <c r="F2611" s="592">
        <v>343</v>
      </c>
      <c r="G2611" s="592">
        <v>60</v>
      </c>
      <c r="H2611" s="592">
        <v>60</v>
      </c>
      <c r="I2611" s="592">
        <v>0</v>
      </c>
      <c r="J2611" s="592">
        <v>260</v>
      </c>
      <c r="K2611" s="592">
        <v>31</v>
      </c>
      <c r="L2611" s="592">
        <v>31</v>
      </c>
      <c r="M2611" s="592">
        <v>0</v>
      </c>
      <c r="N2611" s="593">
        <v>241</v>
      </c>
      <c r="O2611" s="593">
        <v>0</v>
      </c>
      <c r="P2611" s="593">
        <v>530</v>
      </c>
      <c r="Q2611" s="593">
        <v>307</v>
      </c>
      <c r="R2611" s="593">
        <v>1374</v>
      </c>
      <c r="S2611" s="593">
        <v>398</v>
      </c>
      <c r="T2611" s="593">
        <v>2019</v>
      </c>
      <c r="U2611" s="593">
        <v>2013</v>
      </c>
      <c r="V2611" s="589"/>
      <c r="W2611" s="589"/>
      <c r="X2611" s="589"/>
      <c r="Y2611" s="589"/>
      <c r="Z2611" s="589"/>
      <c r="AA2611" s="589"/>
      <c r="AB2611" s="589"/>
      <c r="AC2611" s="589"/>
      <c r="AD2611" s="589"/>
      <c r="AE2611" s="589"/>
      <c r="AF2611" s="589"/>
      <c r="AG2611" s="589"/>
      <c r="AH2611" s="589"/>
      <c r="AI2611" s="589"/>
      <c r="AJ2611" s="589"/>
      <c r="AK2611" s="589"/>
      <c r="AL2611" s="589"/>
      <c r="AM2611" s="589"/>
      <c r="AN2611" s="589"/>
      <c r="AO2611" s="589"/>
      <c r="AP2611" s="589"/>
      <c r="AQ2611" s="589"/>
      <c r="AR2611" s="589"/>
      <c r="AS2611" s="589"/>
    </row>
    <row r="2612" spans="1:45" ht="15">
      <c r="A2612" s="587" t="s">
        <v>179</v>
      </c>
      <c r="B2612" s="587" t="s">
        <v>607</v>
      </c>
      <c r="C2612" s="587" t="s">
        <v>856</v>
      </c>
      <c r="D2612" s="588">
        <v>2019</v>
      </c>
      <c r="E2612" s="587" t="s">
        <v>775</v>
      </c>
      <c r="F2612" s="588">
        <v>343</v>
      </c>
      <c r="G2612" s="588">
        <v>60</v>
      </c>
      <c r="H2612" s="588">
        <v>60</v>
      </c>
      <c r="I2612" s="588">
        <v>0</v>
      </c>
      <c r="J2612" s="588">
        <v>260</v>
      </c>
      <c r="K2612" s="588">
        <v>31</v>
      </c>
      <c r="L2612" s="588">
        <v>31</v>
      </c>
      <c r="M2612" s="588">
        <v>0</v>
      </c>
      <c r="N2612" s="588">
        <v>241</v>
      </c>
      <c r="O2612" s="588">
        <v>0</v>
      </c>
      <c r="P2612" s="588">
        <v>530</v>
      </c>
      <c r="Q2612" s="588">
        <v>307</v>
      </c>
      <c r="R2612" s="588">
        <v>1374</v>
      </c>
      <c r="S2612" s="588">
        <v>398</v>
      </c>
      <c r="T2612" s="588">
        <v>2019</v>
      </c>
      <c r="U2612" s="588">
        <v>2013</v>
      </c>
      <c r="V2612" s="589"/>
      <c r="W2612" s="589"/>
      <c r="X2612" s="589"/>
      <c r="Y2612" s="589"/>
      <c r="Z2612" s="589"/>
      <c r="AA2612" s="589"/>
      <c r="AB2612" s="589"/>
      <c r="AC2612" s="589"/>
      <c r="AD2612" s="589"/>
      <c r="AE2612" s="589"/>
      <c r="AF2612" s="589"/>
      <c r="AG2612" s="589"/>
      <c r="AH2612" s="589"/>
      <c r="AI2612" s="589"/>
      <c r="AJ2612" s="589"/>
      <c r="AK2612" s="589"/>
      <c r="AL2612" s="589"/>
      <c r="AM2612" s="589"/>
      <c r="AN2612" s="589"/>
      <c r="AO2612" s="589"/>
      <c r="AP2612" s="589"/>
      <c r="AQ2612" s="589"/>
      <c r="AR2612" s="589"/>
      <c r="AS2612" s="589"/>
    </row>
    <row r="2613" spans="1:45" ht="15">
      <c r="A2613" s="590" t="s">
        <v>153</v>
      </c>
      <c r="B2613" s="591" t="s">
        <v>429</v>
      </c>
      <c r="C2613" s="591" t="s">
        <v>813</v>
      </c>
      <c r="D2613" s="592">
        <v>2019</v>
      </c>
      <c r="E2613" s="591" t="s">
        <v>775</v>
      </c>
      <c r="F2613" s="592">
        <v>246</v>
      </c>
      <c r="G2613" s="592">
        <v>0</v>
      </c>
      <c r="H2613" s="592">
        <v>0</v>
      </c>
      <c r="I2613" s="592">
        <v>0</v>
      </c>
      <c r="J2613" s="592">
        <v>144</v>
      </c>
      <c r="K2613" s="592">
        <v>0</v>
      </c>
      <c r="L2613" s="592">
        <v>0</v>
      </c>
      <c r="M2613" s="592">
        <v>0</v>
      </c>
      <c r="N2613" s="593">
        <v>155</v>
      </c>
      <c r="O2613" s="593">
        <v>0</v>
      </c>
      <c r="P2613" s="593">
        <v>363</v>
      </c>
      <c r="Q2613" s="593">
        <v>19</v>
      </c>
      <c r="R2613" s="593">
        <v>908</v>
      </c>
      <c r="S2613" s="593">
        <v>19</v>
      </c>
      <c r="T2613" s="593">
        <v>2019</v>
      </c>
      <c r="U2613" s="593">
        <v>2014</v>
      </c>
      <c r="V2613" s="589"/>
      <c r="W2613" s="589"/>
      <c r="X2613" s="589"/>
      <c r="Y2613" s="589"/>
      <c r="Z2613" s="589"/>
      <c r="AA2613" s="589"/>
      <c r="AB2613" s="589"/>
      <c r="AC2613" s="589"/>
      <c r="AD2613" s="589"/>
      <c r="AE2613" s="589"/>
      <c r="AF2613" s="589"/>
      <c r="AG2613" s="589"/>
      <c r="AH2613" s="589"/>
      <c r="AI2613" s="589"/>
      <c r="AJ2613" s="589"/>
      <c r="AK2613" s="589"/>
      <c r="AL2613" s="589"/>
      <c r="AM2613" s="589"/>
      <c r="AN2613" s="589"/>
      <c r="AO2613" s="589"/>
      <c r="AP2613" s="589"/>
      <c r="AQ2613" s="589"/>
      <c r="AR2613" s="589"/>
      <c r="AS2613" s="589"/>
    </row>
    <row r="2614" spans="1:45" ht="15">
      <c r="A2614" s="587" t="s">
        <v>153</v>
      </c>
      <c r="B2614" s="587" t="s">
        <v>429</v>
      </c>
      <c r="C2614" s="587" t="s">
        <v>813</v>
      </c>
      <c r="D2614" s="588">
        <v>2019</v>
      </c>
      <c r="E2614" s="587" t="s">
        <v>775</v>
      </c>
      <c r="F2614" s="588">
        <v>246</v>
      </c>
      <c r="G2614" s="588">
        <v>0</v>
      </c>
      <c r="H2614" s="588">
        <v>0</v>
      </c>
      <c r="I2614" s="588">
        <v>0</v>
      </c>
      <c r="J2614" s="588">
        <v>144</v>
      </c>
      <c r="K2614" s="588">
        <v>0</v>
      </c>
      <c r="L2614" s="588">
        <v>0</v>
      </c>
      <c r="M2614" s="588">
        <v>0</v>
      </c>
      <c r="N2614" s="588">
        <v>155</v>
      </c>
      <c r="O2614" s="588">
        <v>0</v>
      </c>
      <c r="P2614" s="588">
        <v>363</v>
      </c>
      <c r="Q2614" s="588">
        <v>19</v>
      </c>
      <c r="R2614" s="588">
        <v>908</v>
      </c>
      <c r="S2614" s="588">
        <v>19</v>
      </c>
      <c r="T2614" s="588">
        <v>2019</v>
      </c>
      <c r="U2614" s="588">
        <v>2014</v>
      </c>
      <c r="V2614" s="589"/>
      <c r="W2614" s="589"/>
      <c r="X2614" s="589"/>
      <c r="Y2614" s="589"/>
      <c r="Z2614" s="589"/>
      <c r="AA2614" s="589"/>
      <c r="AB2614" s="589"/>
      <c r="AC2614" s="589"/>
      <c r="AD2614" s="589"/>
      <c r="AE2614" s="589"/>
      <c r="AF2614" s="589"/>
      <c r="AG2614" s="589"/>
      <c r="AH2614" s="589"/>
      <c r="AI2614" s="589"/>
      <c r="AJ2614" s="589"/>
      <c r="AK2614" s="589"/>
      <c r="AL2614" s="589"/>
      <c r="AM2614" s="589"/>
      <c r="AN2614" s="589"/>
      <c r="AO2614" s="589"/>
      <c r="AP2614" s="589"/>
      <c r="AQ2614" s="589"/>
      <c r="AR2614" s="589"/>
      <c r="AS2614" s="589"/>
    </row>
    <row r="2615" spans="1:45" ht="15">
      <c r="A2615" s="590" t="s">
        <v>136</v>
      </c>
      <c r="B2615" s="591" t="s">
        <v>284</v>
      </c>
      <c r="C2615" s="591" t="s">
        <v>782</v>
      </c>
      <c r="D2615" s="592">
        <v>2019</v>
      </c>
      <c r="E2615" s="591" t="s">
        <v>775</v>
      </c>
      <c r="F2615" s="592">
        <v>604</v>
      </c>
      <c r="G2615" s="592">
        <v>0</v>
      </c>
      <c r="H2615" s="592">
        <v>0</v>
      </c>
      <c r="I2615" s="592">
        <v>0</v>
      </c>
      <c r="J2615" s="592">
        <v>355</v>
      </c>
      <c r="K2615" s="592">
        <v>0</v>
      </c>
      <c r="L2615" s="592">
        <v>0</v>
      </c>
      <c r="M2615" s="592">
        <v>0</v>
      </c>
      <c r="N2615" s="593">
        <v>381</v>
      </c>
      <c r="O2615" s="593">
        <v>9</v>
      </c>
      <c r="P2615" s="593">
        <v>895</v>
      </c>
      <c r="Q2615" s="593">
        <v>368</v>
      </c>
      <c r="R2615" s="593">
        <v>2235</v>
      </c>
      <c r="S2615" s="593">
        <v>377</v>
      </c>
      <c r="T2615" s="593">
        <v>2019</v>
      </c>
      <c r="U2615" s="593">
        <v>2015</v>
      </c>
      <c r="V2615" s="589"/>
      <c r="W2615" s="589"/>
      <c r="X2615" s="589"/>
      <c r="Y2615" s="589"/>
      <c r="Z2615" s="589"/>
      <c r="AA2615" s="589"/>
      <c r="AB2615" s="589"/>
      <c r="AC2615" s="589"/>
      <c r="AD2615" s="589"/>
      <c r="AE2615" s="589"/>
      <c r="AF2615" s="589"/>
      <c r="AG2615" s="589"/>
      <c r="AH2615" s="589"/>
      <c r="AI2615" s="589"/>
      <c r="AJ2615" s="589"/>
      <c r="AK2615" s="589"/>
      <c r="AL2615" s="589"/>
      <c r="AM2615" s="589"/>
      <c r="AN2615" s="589"/>
      <c r="AO2615" s="589"/>
      <c r="AP2615" s="589"/>
      <c r="AQ2615" s="589"/>
      <c r="AR2615" s="589"/>
      <c r="AS2615" s="589"/>
    </row>
    <row r="2616" spans="1:45" ht="15">
      <c r="A2616" s="587" t="s">
        <v>136</v>
      </c>
      <c r="B2616" s="587" t="s">
        <v>284</v>
      </c>
      <c r="C2616" s="587" t="s">
        <v>782</v>
      </c>
      <c r="D2616" s="588">
        <v>2019</v>
      </c>
      <c r="E2616" s="587" t="s">
        <v>775</v>
      </c>
      <c r="F2616" s="588">
        <v>604</v>
      </c>
      <c r="G2616" s="588">
        <v>0</v>
      </c>
      <c r="H2616" s="588">
        <v>0</v>
      </c>
      <c r="I2616" s="588">
        <v>0</v>
      </c>
      <c r="J2616" s="588">
        <v>355</v>
      </c>
      <c r="K2616" s="588">
        <v>0</v>
      </c>
      <c r="L2616" s="588">
        <v>0</v>
      </c>
      <c r="M2616" s="588">
        <v>0</v>
      </c>
      <c r="N2616" s="588">
        <v>381</v>
      </c>
      <c r="O2616" s="588">
        <v>9</v>
      </c>
      <c r="P2616" s="588">
        <v>895</v>
      </c>
      <c r="Q2616" s="588">
        <v>368</v>
      </c>
      <c r="R2616" s="588">
        <v>2235</v>
      </c>
      <c r="S2616" s="588">
        <v>377</v>
      </c>
      <c r="T2616" s="588">
        <v>2019</v>
      </c>
      <c r="U2616" s="588">
        <v>2015</v>
      </c>
      <c r="V2616" s="589"/>
      <c r="W2616" s="589"/>
      <c r="X2616" s="589"/>
      <c r="Y2616" s="589"/>
      <c r="Z2616" s="589"/>
      <c r="AA2616" s="589"/>
      <c r="AB2616" s="589"/>
      <c r="AC2616" s="589"/>
      <c r="AD2616" s="589"/>
      <c r="AE2616" s="589"/>
      <c r="AF2616" s="589"/>
      <c r="AG2616" s="589"/>
      <c r="AH2616" s="589"/>
      <c r="AI2616" s="589"/>
      <c r="AJ2616" s="589"/>
      <c r="AK2616" s="589"/>
      <c r="AL2616" s="589"/>
      <c r="AM2616" s="589"/>
      <c r="AN2616" s="589"/>
      <c r="AO2616" s="589"/>
      <c r="AP2616" s="589"/>
      <c r="AQ2616" s="589"/>
      <c r="AR2616" s="589"/>
      <c r="AS2616" s="589"/>
    </row>
    <row r="2617" spans="1:45" ht="15">
      <c r="A2617" s="590" t="s">
        <v>148</v>
      </c>
      <c r="B2617" s="591" t="s">
        <v>335</v>
      </c>
      <c r="C2617" s="591" t="s">
        <v>811</v>
      </c>
      <c r="D2617" s="592">
        <v>2019</v>
      </c>
      <c r="E2617" s="591" t="s">
        <v>775</v>
      </c>
      <c r="F2617" s="592">
        <v>350</v>
      </c>
      <c r="G2617" s="592">
        <v>0</v>
      </c>
      <c r="H2617" s="592">
        <v>0</v>
      </c>
      <c r="I2617" s="592">
        <v>0</v>
      </c>
      <c r="J2617" s="592">
        <v>275</v>
      </c>
      <c r="K2617" s="592">
        <v>24</v>
      </c>
      <c r="L2617" s="592">
        <v>0</v>
      </c>
      <c r="M2617" s="592">
        <v>24</v>
      </c>
      <c r="N2617" s="593">
        <v>280</v>
      </c>
      <c r="O2617" s="593">
        <v>8</v>
      </c>
      <c r="P2617" s="593">
        <v>521</v>
      </c>
      <c r="Q2617" s="593">
        <v>50</v>
      </c>
      <c r="R2617" s="593">
        <v>1426</v>
      </c>
      <c r="S2617" s="593">
        <v>82</v>
      </c>
      <c r="T2617" s="593">
        <v>2019</v>
      </c>
      <c r="U2617" s="593">
        <v>2016</v>
      </c>
      <c r="V2617" s="589"/>
      <c r="W2617" s="589"/>
      <c r="X2617" s="589"/>
      <c r="Y2617" s="589"/>
      <c r="Z2617" s="589"/>
      <c r="AA2617" s="589"/>
      <c r="AB2617" s="589"/>
      <c r="AC2617" s="589"/>
      <c r="AD2617" s="589"/>
      <c r="AE2617" s="589"/>
      <c r="AF2617" s="589"/>
      <c r="AG2617" s="589"/>
      <c r="AH2617" s="589"/>
      <c r="AI2617" s="589"/>
      <c r="AJ2617" s="589"/>
      <c r="AK2617" s="589"/>
      <c r="AL2617" s="589"/>
      <c r="AM2617" s="589"/>
      <c r="AN2617" s="589"/>
      <c r="AO2617" s="589"/>
      <c r="AP2617" s="589"/>
      <c r="AQ2617" s="589"/>
      <c r="AR2617" s="589"/>
      <c r="AS2617" s="589"/>
    </row>
    <row r="2618" spans="1:45" ht="15">
      <c r="A2618" s="587" t="s">
        <v>148</v>
      </c>
      <c r="B2618" s="587" t="s">
        <v>335</v>
      </c>
      <c r="C2618" s="587" t="s">
        <v>811</v>
      </c>
      <c r="D2618" s="588">
        <v>2019</v>
      </c>
      <c r="E2618" s="587" t="s">
        <v>775</v>
      </c>
      <c r="F2618" s="588">
        <v>350</v>
      </c>
      <c r="G2618" s="588">
        <v>0</v>
      </c>
      <c r="H2618" s="588">
        <v>0</v>
      </c>
      <c r="I2618" s="588">
        <v>0</v>
      </c>
      <c r="J2618" s="588">
        <v>275</v>
      </c>
      <c r="K2618" s="588">
        <v>24</v>
      </c>
      <c r="L2618" s="588">
        <v>0</v>
      </c>
      <c r="M2618" s="588">
        <v>24</v>
      </c>
      <c r="N2618" s="588">
        <v>280</v>
      </c>
      <c r="O2618" s="588">
        <v>8</v>
      </c>
      <c r="P2618" s="588">
        <v>521</v>
      </c>
      <c r="Q2618" s="588">
        <v>50</v>
      </c>
      <c r="R2618" s="588">
        <v>1426</v>
      </c>
      <c r="S2618" s="588">
        <v>82</v>
      </c>
      <c r="T2618" s="588">
        <v>2019</v>
      </c>
      <c r="U2618" s="588">
        <v>2016</v>
      </c>
      <c r="V2618" s="589"/>
      <c r="W2618" s="589"/>
      <c r="X2618" s="589"/>
      <c r="Y2618" s="589"/>
      <c r="Z2618" s="589"/>
      <c r="AA2618" s="589"/>
      <c r="AB2618" s="589"/>
      <c r="AC2618" s="589"/>
      <c r="AD2618" s="589"/>
      <c r="AE2618" s="589"/>
      <c r="AF2618" s="589"/>
      <c r="AG2618" s="589"/>
      <c r="AH2618" s="589"/>
      <c r="AI2618" s="589"/>
      <c r="AJ2618" s="589"/>
      <c r="AK2618" s="589"/>
      <c r="AL2618" s="589"/>
      <c r="AM2618" s="589"/>
      <c r="AN2618" s="589"/>
      <c r="AO2618" s="589"/>
      <c r="AP2618" s="589"/>
      <c r="AQ2618" s="589"/>
      <c r="AR2618" s="589"/>
      <c r="AS2618" s="589"/>
    </row>
    <row r="2619" spans="1:45" ht="15">
      <c r="A2619" s="590" t="s">
        <v>195</v>
      </c>
      <c r="B2619" s="591" t="s">
        <v>712</v>
      </c>
      <c r="C2619" s="591" t="s">
        <v>811</v>
      </c>
      <c r="D2619" s="592">
        <v>2019</v>
      </c>
      <c r="E2619" s="591" t="s">
        <v>775</v>
      </c>
      <c r="F2619" s="592">
        <v>131</v>
      </c>
      <c r="G2619" s="592">
        <v>0</v>
      </c>
      <c r="H2619" s="592">
        <v>0</v>
      </c>
      <c r="I2619" s="592">
        <v>0</v>
      </c>
      <c r="J2619" s="592">
        <v>84</v>
      </c>
      <c r="K2619" s="592">
        <v>0</v>
      </c>
      <c r="L2619" s="592">
        <v>0</v>
      </c>
      <c r="M2619" s="592">
        <v>0</v>
      </c>
      <c r="N2619" s="593">
        <v>89</v>
      </c>
      <c r="O2619" s="593">
        <v>0</v>
      </c>
      <c r="P2619" s="593">
        <v>221</v>
      </c>
      <c r="Q2619" s="593">
        <v>21</v>
      </c>
      <c r="R2619" s="593">
        <v>525</v>
      </c>
      <c r="S2619" s="593">
        <v>21</v>
      </c>
      <c r="T2619" s="593">
        <v>2019</v>
      </c>
      <c r="U2619" s="593">
        <v>2016</v>
      </c>
      <c r="V2619" s="589"/>
      <c r="W2619" s="589"/>
      <c r="X2619" s="589"/>
      <c r="Y2619" s="589"/>
      <c r="Z2619" s="589"/>
      <c r="AA2619" s="589"/>
      <c r="AB2619" s="589"/>
      <c r="AC2619" s="589"/>
      <c r="AD2619" s="589"/>
      <c r="AE2619" s="589"/>
      <c r="AF2619" s="589"/>
      <c r="AG2619" s="589"/>
      <c r="AH2619" s="589"/>
      <c r="AI2619" s="589"/>
      <c r="AJ2619" s="589"/>
      <c r="AK2619" s="589"/>
      <c r="AL2619" s="589"/>
      <c r="AM2619" s="589"/>
      <c r="AN2619" s="589"/>
      <c r="AO2619" s="589"/>
      <c r="AP2619" s="589"/>
      <c r="AQ2619" s="589"/>
      <c r="AR2619" s="589"/>
      <c r="AS2619" s="589"/>
    </row>
    <row r="2620" spans="1:45" ht="15">
      <c r="A2620" s="587" t="s">
        <v>195</v>
      </c>
      <c r="B2620" s="587" t="s">
        <v>712</v>
      </c>
      <c r="C2620" s="587" t="s">
        <v>811</v>
      </c>
      <c r="D2620" s="588">
        <v>2019</v>
      </c>
      <c r="E2620" s="587" t="s">
        <v>775</v>
      </c>
      <c r="F2620" s="588">
        <v>131</v>
      </c>
      <c r="G2620" s="588">
        <v>0</v>
      </c>
      <c r="H2620" s="588">
        <v>0</v>
      </c>
      <c r="I2620" s="588">
        <v>0</v>
      </c>
      <c r="J2620" s="588">
        <v>84</v>
      </c>
      <c r="K2620" s="588">
        <v>0</v>
      </c>
      <c r="L2620" s="588">
        <v>0</v>
      </c>
      <c r="M2620" s="588">
        <v>0</v>
      </c>
      <c r="N2620" s="588">
        <v>89</v>
      </c>
      <c r="O2620" s="588">
        <v>0</v>
      </c>
      <c r="P2620" s="588">
        <v>221</v>
      </c>
      <c r="Q2620" s="588">
        <v>21</v>
      </c>
      <c r="R2620" s="588">
        <v>525</v>
      </c>
      <c r="S2620" s="588">
        <v>21</v>
      </c>
      <c r="T2620" s="588">
        <v>2019</v>
      </c>
      <c r="U2620" s="588">
        <v>2016</v>
      </c>
      <c r="V2620" s="589"/>
      <c r="W2620" s="589"/>
      <c r="X2620" s="589"/>
      <c r="Y2620" s="589"/>
      <c r="Z2620" s="589"/>
      <c r="AA2620" s="589"/>
      <c r="AB2620" s="589"/>
      <c r="AC2620" s="589"/>
      <c r="AD2620" s="589"/>
      <c r="AE2620" s="589"/>
      <c r="AF2620" s="589"/>
      <c r="AG2620" s="589"/>
      <c r="AH2620" s="589"/>
      <c r="AI2620" s="589"/>
      <c r="AJ2620" s="589"/>
      <c r="AK2620" s="589"/>
      <c r="AL2620" s="589"/>
      <c r="AM2620" s="589"/>
      <c r="AN2620" s="589"/>
      <c r="AO2620" s="589"/>
      <c r="AP2620" s="589"/>
      <c r="AQ2620" s="589"/>
      <c r="AR2620" s="589"/>
      <c r="AS2620" s="589"/>
    </row>
    <row r="2621" spans="1:45" ht="15">
      <c r="A2621" s="590" t="s">
        <v>188</v>
      </c>
      <c r="B2621" s="591" t="s">
        <v>669</v>
      </c>
      <c r="C2621" s="591" t="s">
        <v>811</v>
      </c>
      <c r="D2621" s="592">
        <v>2019</v>
      </c>
      <c r="E2621" s="591" t="s">
        <v>775</v>
      </c>
      <c r="F2621" s="592">
        <v>169</v>
      </c>
      <c r="G2621" s="592">
        <v>0</v>
      </c>
      <c r="H2621" s="592">
        <v>0</v>
      </c>
      <c r="I2621" s="592">
        <v>0</v>
      </c>
      <c r="J2621" s="592">
        <v>110</v>
      </c>
      <c r="K2621" s="592">
        <v>1</v>
      </c>
      <c r="L2621" s="592">
        <v>1</v>
      </c>
      <c r="M2621" s="592">
        <v>0</v>
      </c>
      <c r="N2621" s="593">
        <v>128</v>
      </c>
      <c r="O2621" s="593">
        <v>1</v>
      </c>
      <c r="P2621" s="593">
        <v>293</v>
      </c>
      <c r="Q2621" s="593">
        <v>25</v>
      </c>
      <c r="R2621" s="593">
        <v>700</v>
      </c>
      <c r="S2621" s="593">
        <v>27</v>
      </c>
      <c r="T2621" s="593">
        <v>2019</v>
      </c>
      <c r="U2621" s="593">
        <v>2016</v>
      </c>
      <c r="V2621" s="589"/>
      <c r="W2621" s="589"/>
      <c r="X2621" s="589"/>
      <c r="Y2621" s="589"/>
      <c r="Z2621" s="589"/>
      <c r="AA2621" s="589"/>
      <c r="AB2621" s="589"/>
      <c r="AC2621" s="589"/>
      <c r="AD2621" s="589"/>
      <c r="AE2621" s="589"/>
      <c r="AF2621" s="589"/>
      <c r="AG2621" s="589"/>
      <c r="AH2621" s="589"/>
      <c r="AI2621" s="589"/>
      <c r="AJ2621" s="589"/>
      <c r="AK2621" s="589"/>
      <c r="AL2621" s="589"/>
      <c r="AM2621" s="589"/>
      <c r="AN2621" s="589"/>
      <c r="AO2621" s="589"/>
      <c r="AP2621" s="589"/>
      <c r="AQ2621" s="589"/>
      <c r="AR2621" s="589"/>
      <c r="AS2621" s="589"/>
    </row>
    <row r="2622" spans="1:45" ht="15">
      <c r="A2622" s="587" t="s">
        <v>188</v>
      </c>
      <c r="B2622" s="587" t="s">
        <v>669</v>
      </c>
      <c r="C2622" s="587" t="s">
        <v>811</v>
      </c>
      <c r="D2622" s="588">
        <v>2019</v>
      </c>
      <c r="E2622" s="587" t="s">
        <v>775</v>
      </c>
      <c r="F2622" s="588">
        <v>169</v>
      </c>
      <c r="G2622" s="588">
        <v>0</v>
      </c>
      <c r="H2622" s="588">
        <v>0</v>
      </c>
      <c r="I2622" s="588">
        <v>0</v>
      </c>
      <c r="J2622" s="588">
        <v>110</v>
      </c>
      <c r="K2622" s="588">
        <v>1</v>
      </c>
      <c r="L2622" s="588">
        <v>1</v>
      </c>
      <c r="M2622" s="588">
        <v>0</v>
      </c>
      <c r="N2622" s="588">
        <v>128</v>
      </c>
      <c r="O2622" s="588">
        <v>1</v>
      </c>
      <c r="P2622" s="588">
        <v>293</v>
      </c>
      <c r="Q2622" s="588">
        <v>25</v>
      </c>
      <c r="R2622" s="588">
        <v>700</v>
      </c>
      <c r="S2622" s="588">
        <v>27</v>
      </c>
      <c r="T2622" s="588">
        <v>2019</v>
      </c>
      <c r="U2622" s="588">
        <v>2016</v>
      </c>
      <c r="V2622" s="589"/>
      <c r="W2622" s="589"/>
      <c r="X2622" s="589"/>
      <c r="Y2622" s="589"/>
      <c r="Z2622" s="589"/>
      <c r="AA2622" s="589"/>
      <c r="AB2622" s="589"/>
      <c r="AC2622" s="589"/>
      <c r="AD2622" s="589"/>
      <c r="AE2622" s="589"/>
      <c r="AF2622" s="589"/>
      <c r="AG2622" s="589"/>
      <c r="AH2622" s="589"/>
      <c r="AI2622" s="589"/>
      <c r="AJ2622" s="589"/>
      <c r="AK2622" s="589"/>
      <c r="AL2622" s="589"/>
      <c r="AM2622" s="589"/>
      <c r="AN2622" s="589"/>
      <c r="AO2622" s="589"/>
      <c r="AP2622" s="589"/>
      <c r="AQ2622" s="589"/>
      <c r="AR2622" s="589"/>
      <c r="AS2622" s="589"/>
    </row>
    <row r="2623" spans="1:45" ht="15">
      <c r="A2623" s="590" t="s">
        <v>191</v>
      </c>
      <c r="B2623" s="591" t="s">
        <v>684</v>
      </c>
      <c r="C2623" s="591" t="s">
        <v>785</v>
      </c>
      <c r="D2623" s="592">
        <v>2019</v>
      </c>
      <c r="E2623" s="591" t="s">
        <v>775</v>
      </c>
      <c r="F2623" s="592">
        <v>10</v>
      </c>
      <c r="G2623" s="592">
        <v>0</v>
      </c>
      <c r="H2623" s="592">
        <v>0</v>
      </c>
      <c r="I2623" s="592">
        <v>0</v>
      </c>
      <c r="J2623" s="592">
        <v>6</v>
      </c>
      <c r="K2623" s="592">
        <v>0</v>
      </c>
      <c r="L2623" s="592">
        <v>0</v>
      </c>
      <c r="M2623" s="592">
        <v>0</v>
      </c>
      <c r="N2623" s="593">
        <v>6</v>
      </c>
      <c r="O2623" s="593">
        <v>0</v>
      </c>
      <c r="P2623" s="593">
        <v>16</v>
      </c>
      <c r="Q2623" s="593">
        <v>4</v>
      </c>
      <c r="R2623" s="593">
        <v>38</v>
      </c>
      <c r="S2623" s="593">
        <v>4</v>
      </c>
      <c r="T2623" s="593">
        <v>2019</v>
      </c>
      <c r="U2623" s="593">
        <v>2014</v>
      </c>
      <c r="V2623" s="589"/>
      <c r="W2623" s="589"/>
      <c r="X2623" s="589"/>
      <c r="Y2623" s="589"/>
      <c r="Z2623" s="589"/>
      <c r="AA2623" s="589"/>
      <c r="AB2623" s="589"/>
      <c r="AC2623" s="589"/>
      <c r="AD2623" s="589"/>
      <c r="AE2623" s="589"/>
      <c r="AF2623" s="589"/>
      <c r="AG2623" s="589"/>
      <c r="AH2623" s="589"/>
      <c r="AI2623" s="589"/>
      <c r="AJ2623" s="589"/>
      <c r="AK2623" s="589"/>
      <c r="AL2623" s="589"/>
      <c r="AM2623" s="589"/>
      <c r="AN2623" s="589"/>
      <c r="AO2623" s="589"/>
      <c r="AP2623" s="589"/>
      <c r="AQ2623" s="589"/>
      <c r="AR2623" s="589"/>
      <c r="AS2623" s="589"/>
    </row>
    <row r="2624" spans="1:45" ht="15">
      <c r="A2624" s="587" t="s">
        <v>191</v>
      </c>
      <c r="B2624" s="587" t="s">
        <v>684</v>
      </c>
      <c r="C2624" s="587" t="s">
        <v>785</v>
      </c>
      <c r="D2624" s="588">
        <v>2019</v>
      </c>
      <c r="E2624" s="587" t="s">
        <v>775</v>
      </c>
      <c r="F2624" s="588">
        <v>10</v>
      </c>
      <c r="G2624" s="588">
        <v>0</v>
      </c>
      <c r="H2624" s="588">
        <v>0</v>
      </c>
      <c r="I2624" s="588">
        <v>0</v>
      </c>
      <c r="J2624" s="588">
        <v>6</v>
      </c>
      <c r="K2624" s="588">
        <v>0</v>
      </c>
      <c r="L2624" s="588">
        <v>0</v>
      </c>
      <c r="M2624" s="588">
        <v>0</v>
      </c>
      <c r="N2624" s="588">
        <v>6</v>
      </c>
      <c r="O2624" s="588">
        <v>0</v>
      </c>
      <c r="P2624" s="588">
        <v>16</v>
      </c>
      <c r="Q2624" s="588">
        <v>4</v>
      </c>
      <c r="R2624" s="588">
        <v>38</v>
      </c>
      <c r="S2624" s="588">
        <v>4</v>
      </c>
      <c r="T2624" s="588">
        <v>2019</v>
      </c>
      <c r="U2624" s="588">
        <v>2014</v>
      </c>
      <c r="V2624" s="589"/>
      <c r="W2624" s="589"/>
      <c r="X2624" s="589"/>
      <c r="Y2624" s="589"/>
      <c r="Z2624" s="589"/>
      <c r="AA2624" s="589"/>
      <c r="AB2624" s="589"/>
      <c r="AC2624" s="589"/>
      <c r="AD2624" s="589"/>
      <c r="AE2624" s="589"/>
      <c r="AF2624" s="589"/>
      <c r="AG2624" s="589"/>
      <c r="AH2624" s="589"/>
      <c r="AI2624" s="589"/>
      <c r="AJ2624" s="589"/>
      <c r="AK2624" s="589"/>
      <c r="AL2624" s="589"/>
      <c r="AM2624" s="589"/>
      <c r="AN2624" s="589"/>
      <c r="AO2624" s="589"/>
      <c r="AP2624" s="589"/>
      <c r="AQ2624" s="589"/>
      <c r="AR2624" s="589"/>
      <c r="AS2624" s="589"/>
    </row>
    <row r="2625" spans="1:45" ht="15">
      <c r="A2625" s="590" t="s">
        <v>153</v>
      </c>
      <c r="B2625" s="591" t="s">
        <v>430</v>
      </c>
      <c r="C2625" s="591" t="s">
        <v>813</v>
      </c>
      <c r="D2625" s="592">
        <v>2019</v>
      </c>
      <c r="E2625" s="591" t="s">
        <v>775</v>
      </c>
      <c r="F2625" s="592">
        <v>217</v>
      </c>
      <c r="G2625" s="592">
        <v>0</v>
      </c>
      <c r="H2625" s="592">
        <v>0</v>
      </c>
      <c r="I2625" s="592">
        <v>0</v>
      </c>
      <c r="J2625" s="592">
        <v>129</v>
      </c>
      <c r="K2625" s="592">
        <v>0</v>
      </c>
      <c r="L2625" s="592">
        <v>0</v>
      </c>
      <c r="M2625" s="592">
        <v>0</v>
      </c>
      <c r="N2625" s="593">
        <v>138</v>
      </c>
      <c r="O2625" s="593">
        <v>0</v>
      </c>
      <c r="P2625" s="593">
        <v>347</v>
      </c>
      <c r="Q2625" s="593">
        <v>48</v>
      </c>
      <c r="R2625" s="593">
        <v>831</v>
      </c>
      <c r="S2625" s="593">
        <v>48</v>
      </c>
      <c r="T2625" s="593">
        <v>2019</v>
      </c>
      <c r="U2625" s="593">
        <v>2014</v>
      </c>
      <c r="V2625" s="589"/>
      <c r="W2625" s="589"/>
      <c r="X2625" s="589"/>
      <c r="Y2625" s="589"/>
      <c r="Z2625" s="589"/>
      <c r="AA2625" s="589"/>
      <c r="AB2625" s="589"/>
      <c r="AC2625" s="589"/>
      <c r="AD2625" s="589"/>
      <c r="AE2625" s="589"/>
      <c r="AF2625" s="589"/>
      <c r="AG2625" s="589"/>
      <c r="AH2625" s="589"/>
      <c r="AI2625" s="589"/>
      <c r="AJ2625" s="589"/>
      <c r="AK2625" s="589"/>
      <c r="AL2625" s="589"/>
      <c r="AM2625" s="589"/>
      <c r="AN2625" s="589"/>
      <c r="AO2625" s="589"/>
      <c r="AP2625" s="589"/>
      <c r="AQ2625" s="589"/>
      <c r="AR2625" s="589"/>
      <c r="AS2625" s="589"/>
    </row>
    <row r="2626" spans="1:45" ht="15">
      <c r="A2626" s="587" t="s">
        <v>153</v>
      </c>
      <c r="B2626" s="587" t="s">
        <v>430</v>
      </c>
      <c r="C2626" s="587" t="s">
        <v>813</v>
      </c>
      <c r="D2626" s="588">
        <v>2019</v>
      </c>
      <c r="E2626" s="587" t="s">
        <v>775</v>
      </c>
      <c r="F2626" s="588">
        <v>217</v>
      </c>
      <c r="G2626" s="588">
        <v>0</v>
      </c>
      <c r="H2626" s="588">
        <v>0</v>
      </c>
      <c r="I2626" s="588">
        <v>0</v>
      </c>
      <c r="J2626" s="588">
        <v>129</v>
      </c>
      <c r="K2626" s="588">
        <v>0</v>
      </c>
      <c r="L2626" s="588">
        <v>0</v>
      </c>
      <c r="M2626" s="588">
        <v>0</v>
      </c>
      <c r="N2626" s="588">
        <v>138</v>
      </c>
      <c r="O2626" s="588">
        <v>0</v>
      </c>
      <c r="P2626" s="588">
        <v>347</v>
      </c>
      <c r="Q2626" s="588">
        <v>48</v>
      </c>
      <c r="R2626" s="588">
        <v>831</v>
      </c>
      <c r="S2626" s="588">
        <v>48</v>
      </c>
      <c r="T2626" s="588">
        <v>2019</v>
      </c>
      <c r="U2626" s="588">
        <v>2014</v>
      </c>
      <c r="V2626" s="589"/>
      <c r="W2626" s="589"/>
      <c r="X2626" s="589"/>
      <c r="Y2626" s="589"/>
      <c r="Z2626" s="589"/>
      <c r="AA2626" s="589"/>
      <c r="AB2626" s="589"/>
      <c r="AC2626" s="589"/>
      <c r="AD2626" s="589"/>
      <c r="AE2626" s="589"/>
      <c r="AF2626" s="589"/>
      <c r="AG2626" s="589"/>
      <c r="AH2626" s="589"/>
      <c r="AI2626" s="589"/>
      <c r="AJ2626" s="589"/>
      <c r="AK2626" s="589"/>
      <c r="AL2626" s="589"/>
      <c r="AM2626" s="589"/>
      <c r="AN2626" s="589"/>
      <c r="AO2626" s="589"/>
      <c r="AP2626" s="589"/>
      <c r="AQ2626" s="589"/>
      <c r="AR2626" s="589"/>
      <c r="AS2626" s="589"/>
    </row>
    <row r="2627" spans="1:45" ht="15">
      <c r="A2627" s="590" t="s">
        <v>153</v>
      </c>
      <c r="B2627" s="591" t="s">
        <v>431</v>
      </c>
      <c r="C2627" s="591" t="s">
        <v>813</v>
      </c>
      <c r="D2627" s="592">
        <v>2019</v>
      </c>
      <c r="E2627" s="591" t="s">
        <v>775</v>
      </c>
      <c r="F2627" s="592">
        <v>19</v>
      </c>
      <c r="G2627" s="592">
        <v>0</v>
      </c>
      <c r="H2627" s="592">
        <v>0</v>
      </c>
      <c r="I2627" s="592">
        <v>0</v>
      </c>
      <c r="J2627" s="592">
        <v>12</v>
      </c>
      <c r="K2627" s="592">
        <v>0</v>
      </c>
      <c r="L2627" s="592">
        <v>0</v>
      </c>
      <c r="M2627" s="592">
        <v>0</v>
      </c>
      <c r="N2627" s="593">
        <v>13</v>
      </c>
      <c r="O2627" s="593">
        <v>0</v>
      </c>
      <c r="P2627" s="593">
        <v>33</v>
      </c>
      <c r="Q2627" s="593">
        <v>9</v>
      </c>
      <c r="R2627" s="593">
        <v>77</v>
      </c>
      <c r="S2627" s="593">
        <v>9</v>
      </c>
      <c r="T2627" s="593">
        <v>2019</v>
      </c>
      <c r="U2627" s="593">
        <v>2014</v>
      </c>
      <c r="V2627" s="589"/>
      <c r="W2627" s="589"/>
      <c r="X2627" s="589"/>
      <c r="Y2627" s="589"/>
      <c r="Z2627" s="589"/>
      <c r="AA2627" s="589"/>
      <c r="AB2627" s="589"/>
      <c r="AC2627" s="589"/>
      <c r="AD2627" s="589"/>
      <c r="AE2627" s="589"/>
      <c r="AF2627" s="589"/>
      <c r="AG2627" s="589"/>
      <c r="AH2627" s="589"/>
      <c r="AI2627" s="589"/>
      <c r="AJ2627" s="589"/>
      <c r="AK2627" s="589"/>
      <c r="AL2627" s="589"/>
      <c r="AM2627" s="589"/>
      <c r="AN2627" s="589"/>
      <c r="AO2627" s="589"/>
      <c r="AP2627" s="589"/>
      <c r="AQ2627" s="589"/>
      <c r="AR2627" s="589"/>
      <c r="AS2627" s="589"/>
    </row>
    <row r="2628" spans="1:45" ht="15">
      <c r="A2628" s="587" t="s">
        <v>153</v>
      </c>
      <c r="B2628" s="587" t="s">
        <v>431</v>
      </c>
      <c r="C2628" s="587" t="s">
        <v>813</v>
      </c>
      <c r="D2628" s="588">
        <v>2019</v>
      </c>
      <c r="E2628" s="587" t="s">
        <v>775</v>
      </c>
      <c r="F2628" s="588">
        <v>19</v>
      </c>
      <c r="G2628" s="588">
        <v>0</v>
      </c>
      <c r="H2628" s="588">
        <v>0</v>
      </c>
      <c r="I2628" s="588">
        <v>0</v>
      </c>
      <c r="J2628" s="588">
        <v>12</v>
      </c>
      <c r="K2628" s="588">
        <v>0</v>
      </c>
      <c r="L2628" s="588">
        <v>0</v>
      </c>
      <c r="M2628" s="588">
        <v>0</v>
      </c>
      <c r="N2628" s="588">
        <v>13</v>
      </c>
      <c r="O2628" s="588">
        <v>0</v>
      </c>
      <c r="P2628" s="588">
        <v>33</v>
      </c>
      <c r="Q2628" s="588">
        <v>9</v>
      </c>
      <c r="R2628" s="588">
        <v>77</v>
      </c>
      <c r="S2628" s="588">
        <v>9</v>
      </c>
      <c r="T2628" s="588">
        <v>2019</v>
      </c>
      <c r="U2628" s="588">
        <v>2014</v>
      </c>
      <c r="V2628" s="589"/>
      <c r="W2628" s="589"/>
      <c r="X2628" s="589"/>
      <c r="Y2628" s="589"/>
      <c r="Z2628" s="589"/>
      <c r="AA2628" s="589"/>
      <c r="AB2628" s="589"/>
      <c r="AC2628" s="589"/>
      <c r="AD2628" s="589"/>
      <c r="AE2628" s="589"/>
      <c r="AF2628" s="589"/>
      <c r="AG2628" s="589"/>
      <c r="AH2628" s="589"/>
      <c r="AI2628" s="589"/>
      <c r="AJ2628" s="589"/>
      <c r="AK2628" s="589"/>
      <c r="AL2628" s="589"/>
      <c r="AM2628" s="589"/>
      <c r="AN2628" s="589"/>
      <c r="AO2628" s="589"/>
      <c r="AP2628" s="589"/>
      <c r="AQ2628" s="589"/>
      <c r="AR2628" s="589"/>
      <c r="AS2628" s="589"/>
    </row>
    <row r="2629" spans="1:45" ht="15">
      <c r="A2629" s="590" t="s">
        <v>202</v>
      </c>
      <c r="B2629" s="591" t="s">
        <v>742</v>
      </c>
      <c r="C2629" s="591" t="s">
        <v>801</v>
      </c>
      <c r="D2629" s="592">
        <v>2019</v>
      </c>
      <c r="E2629" s="591" t="s">
        <v>775</v>
      </c>
      <c r="F2629" s="592">
        <v>1316</v>
      </c>
      <c r="G2629" s="592">
        <v>0</v>
      </c>
      <c r="H2629" s="592">
        <v>0</v>
      </c>
      <c r="I2629" s="592">
        <v>0</v>
      </c>
      <c r="J2629" s="592">
        <v>923</v>
      </c>
      <c r="K2629" s="592">
        <v>0</v>
      </c>
      <c r="L2629" s="592">
        <v>0</v>
      </c>
      <c r="M2629" s="592">
        <v>0</v>
      </c>
      <c r="N2629" s="593">
        <v>1111</v>
      </c>
      <c r="O2629" s="593">
        <v>59</v>
      </c>
      <c r="P2629" s="593">
        <v>2627</v>
      </c>
      <c r="Q2629" s="593">
        <v>260</v>
      </c>
      <c r="R2629" s="593">
        <v>5977</v>
      </c>
      <c r="S2629" s="593">
        <v>319</v>
      </c>
      <c r="T2629" s="593">
        <v>2019</v>
      </c>
      <c r="U2629" s="593">
        <v>2014</v>
      </c>
      <c r="V2629" s="589"/>
      <c r="W2629" s="589"/>
      <c r="X2629" s="589"/>
      <c r="Y2629" s="589"/>
      <c r="Z2629" s="589"/>
      <c r="AA2629" s="589"/>
      <c r="AB2629" s="589"/>
      <c r="AC2629" s="589"/>
      <c r="AD2629" s="589"/>
      <c r="AE2629" s="589"/>
      <c r="AF2629" s="589"/>
      <c r="AG2629" s="589"/>
      <c r="AH2629" s="589"/>
      <c r="AI2629" s="589"/>
      <c r="AJ2629" s="589"/>
      <c r="AK2629" s="589"/>
      <c r="AL2629" s="589"/>
      <c r="AM2629" s="589"/>
      <c r="AN2629" s="589"/>
      <c r="AO2629" s="589"/>
      <c r="AP2629" s="589"/>
      <c r="AQ2629" s="589"/>
      <c r="AR2629" s="589"/>
      <c r="AS2629" s="589"/>
    </row>
    <row r="2630" spans="1:45" ht="15">
      <c r="A2630" s="587" t="s">
        <v>202</v>
      </c>
      <c r="B2630" s="587" t="s">
        <v>742</v>
      </c>
      <c r="C2630" s="587" t="s">
        <v>801</v>
      </c>
      <c r="D2630" s="588">
        <v>2019</v>
      </c>
      <c r="E2630" s="587" t="s">
        <v>775</v>
      </c>
      <c r="F2630" s="588">
        <v>1316</v>
      </c>
      <c r="G2630" s="588">
        <v>0</v>
      </c>
      <c r="H2630" s="588">
        <v>0</v>
      </c>
      <c r="I2630" s="588">
        <v>0</v>
      </c>
      <c r="J2630" s="588">
        <v>923</v>
      </c>
      <c r="K2630" s="588">
        <v>0</v>
      </c>
      <c r="L2630" s="588">
        <v>0</v>
      </c>
      <c r="M2630" s="588">
        <v>0</v>
      </c>
      <c r="N2630" s="588">
        <v>1111</v>
      </c>
      <c r="O2630" s="588">
        <v>59</v>
      </c>
      <c r="P2630" s="588">
        <v>2627</v>
      </c>
      <c r="Q2630" s="588">
        <v>260</v>
      </c>
      <c r="R2630" s="588">
        <v>5977</v>
      </c>
      <c r="S2630" s="588">
        <v>319</v>
      </c>
      <c r="T2630" s="588">
        <v>2019</v>
      </c>
      <c r="U2630" s="588">
        <v>2014</v>
      </c>
      <c r="V2630" s="589"/>
      <c r="W2630" s="589"/>
      <c r="X2630" s="589"/>
      <c r="Y2630" s="589"/>
      <c r="Z2630" s="589"/>
      <c r="AA2630" s="589"/>
      <c r="AB2630" s="589"/>
      <c r="AC2630" s="589"/>
      <c r="AD2630" s="589"/>
      <c r="AE2630" s="589"/>
      <c r="AF2630" s="589"/>
      <c r="AG2630" s="589"/>
      <c r="AH2630" s="589"/>
      <c r="AI2630" s="589"/>
      <c r="AJ2630" s="589"/>
      <c r="AK2630" s="589"/>
      <c r="AL2630" s="589"/>
      <c r="AM2630" s="589"/>
      <c r="AN2630" s="589"/>
      <c r="AO2630" s="589"/>
      <c r="AP2630" s="589"/>
      <c r="AQ2630" s="589"/>
      <c r="AR2630" s="589"/>
      <c r="AS2630" s="589"/>
    </row>
    <row r="2631" spans="1:45" ht="15">
      <c r="A2631" s="590" t="s">
        <v>153</v>
      </c>
      <c r="B2631" s="591" t="s">
        <v>432</v>
      </c>
      <c r="C2631" s="591" t="s">
        <v>813</v>
      </c>
      <c r="D2631" s="592">
        <v>2019</v>
      </c>
      <c r="E2631" s="591" t="s">
        <v>775</v>
      </c>
      <c r="F2631" s="592">
        <v>12</v>
      </c>
      <c r="G2631" s="592">
        <v>0</v>
      </c>
      <c r="H2631" s="592">
        <v>0</v>
      </c>
      <c r="I2631" s="592">
        <v>0</v>
      </c>
      <c r="J2631" s="592">
        <v>7</v>
      </c>
      <c r="K2631" s="592">
        <v>0</v>
      </c>
      <c r="L2631" s="592">
        <v>0</v>
      </c>
      <c r="M2631" s="592">
        <v>0</v>
      </c>
      <c r="N2631" s="593">
        <v>8</v>
      </c>
      <c r="O2631" s="593">
        <v>0</v>
      </c>
      <c r="P2631" s="593">
        <v>18</v>
      </c>
      <c r="Q2631" s="593">
        <v>0</v>
      </c>
      <c r="R2631" s="593">
        <v>45</v>
      </c>
      <c r="S2631" s="593">
        <v>0</v>
      </c>
      <c r="T2631" s="593">
        <v>2019</v>
      </c>
      <c r="U2631" s="593">
        <v>2014</v>
      </c>
      <c r="V2631" s="589"/>
      <c r="W2631" s="589"/>
      <c r="X2631" s="589"/>
      <c r="Y2631" s="589"/>
      <c r="Z2631" s="589"/>
      <c r="AA2631" s="589"/>
      <c r="AB2631" s="589"/>
      <c r="AC2631" s="589"/>
      <c r="AD2631" s="589"/>
      <c r="AE2631" s="589"/>
      <c r="AF2631" s="589"/>
      <c r="AG2631" s="589"/>
      <c r="AH2631" s="589"/>
      <c r="AI2631" s="589"/>
      <c r="AJ2631" s="589"/>
      <c r="AK2631" s="589"/>
      <c r="AL2631" s="589"/>
      <c r="AM2631" s="589"/>
      <c r="AN2631" s="589"/>
      <c r="AO2631" s="589"/>
      <c r="AP2631" s="589"/>
      <c r="AQ2631" s="589"/>
      <c r="AR2631" s="589"/>
      <c r="AS2631" s="589"/>
    </row>
    <row r="2632" spans="1:45" ht="15">
      <c r="A2632" s="587" t="s">
        <v>153</v>
      </c>
      <c r="B2632" s="587" t="s">
        <v>432</v>
      </c>
      <c r="C2632" s="587" t="s">
        <v>813</v>
      </c>
      <c r="D2632" s="588">
        <v>2019</v>
      </c>
      <c r="E2632" s="587" t="s">
        <v>775</v>
      </c>
      <c r="F2632" s="588">
        <v>12</v>
      </c>
      <c r="G2632" s="588">
        <v>0</v>
      </c>
      <c r="H2632" s="588">
        <v>0</v>
      </c>
      <c r="I2632" s="588">
        <v>0</v>
      </c>
      <c r="J2632" s="588">
        <v>7</v>
      </c>
      <c r="K2632" s="588">
        <v>0</v>
      </c>
      <c r="L2632" s="588">
        <v>0</v>
      </c>
      <c r="M2632" s="588">
        <v>0</v>
      </c>
      <c r="N2632" s="588">
        <v>8</v>
      </c>
      <c r="O2632" s="588">
        <v>0</v>
      </c>
      <c r="P2632" s="588">
        <v>18</v>
      </c>
      <c r="Q2632" s="588">
        <v>0</v>
      </c>
      <c r="R2632" s="588">
        <v>45</v>
      </c>
      <c r="S2632" s="588">
        <v>0</v>
      </c>
      <c r="T2632" s="588">
        <v>2019</v>
      </c>
      <c r="U2632" s="588">
        <v>2014</v>
      </c>
      <c r="V2632" s="589"/>
      <c r="W2632" s="589"/>
      <c r="X2632" s="589"/>
      <c r="Y2632" s="589"/>
      <c r="Z2632" s="589"/>
      <c r="AA2632" s="589"/>
      <c r="AB2632" s="589"/>
      <c r="AC2632" s="589"/>
      <c r="AD2632" s="589"/>
      <c r="AE2632" s="589"/>
      <c r="AF2632" s="589"/>
      <c r="AG2632" s="589"/>
      <c r="AH2632" s="589"/>
      <c r="AI2632" s="589"/>
      <c r="AJ2632" s="589"/>
      <c r="AK2632" s="589"/>
      <c r="AL2632" s="589"/>
      <c r="AM2632" s="589"/>
      <c r="AN2632" s="589"/>
      <c r="AO2632" s="589"/>
      <c r="AP2632" s="589"/>
      <c r="AQ2632" s="589"/>
      <c r="AR2632" s="589"/>
      <c r="AS2632" s="589"/>
    </row>
    <row r="2633" spans="1:45" ht="15">
      <c r="A2633" s="590" t="s">
        <v>169</v>
      </c>
      <c r="B2633" s="591" t="s">
        <v>517</v>
      </c>
      <c r="C2633" s="591" t="s">
        <v>813</v>
      </c>
      <c r="D2633" s="592">
        <v>2019</v>
      </c>
      <c r="E2633" s="591" t="s">
        <v>775</v>
      </c>
      <c r="F2633" s="592">
        <v>1</v>
      </c>
      <c r="G2633" s="592">
        <v>36</v>
      </c>
      <c r="H2633" s="592">
        <v>36</v>
      </c>
      <c r="I2633" s="592">
        <v>0</v>
      </c>
      <c r="J2633" s="592">
        <v>1</v>
      </c>
      <c r="K2633" s="592">
        <v>28</v>
      </c>
      <c r="L2633" s="592">
        <v>28</v>
      </c>
      <c r="M2633" s="592">
        <v>0</v>
      </c>
      <c r="N2633" s="593">
        <v>0</v>
      </c>
      <c r="O2633" s="593">
        <v>1</v>
      </c>
      <c r="P2633" s="593">
        <v>0</v>
      </c>
      <c r="Q2633" s="593">
        <v>29</v>
      </c>
      <c r="R2633" s="593">
        <v>2</v>
      </c>
      <c r="S2633" s="593">
        <v>94</v>
      </c>
      <c r="T2633" s="593">
        <v>2019</v>
      </c>
      <c r="U2633" s="593">
        <v>2014</v>
      </c>
      <c r="V2633" s="589"/>
      <c r="W2633" s="589"/>
      <c r="X2633" s="589"/>
      <c r="Y2633" s="589"/>
      <c r="Z2633" s="589"/>
      <c r="AA2633" s="589"/>
      <c r="AB2633" s="589"/>
      <c r="AC2633" s="589"/>
      <c r="AD2633" s="589"/>
      <c r="AE2633" s="589"/>
      <c r="AF2633" s="589"/>
      <c r="AG2633" s="589"/>
      <c r="AH2633" s="589"/>
      <c r="AI2633" s="589"/>
      <c r="AJ2633" s="589"/>
      <c r="AK2633" s="589"/>
      <c r="AL2633" s="589"/>
      <c r="AM2633" s="589"/>
      <c r="AN2633" s="589"/>
      <c r="AO2633" s="589"/>
      <c r="AP2633" s="589"/>
      <c r="AQ2633" s="589"/>
      <c r="AR2633" s="589"/>
      <c r="AS2633" s="589"/>
    </row>
    <row r="2634" spans="1:45" ht="15">
      <c r="A2634" s="587" t="s">
        <v>169</v>
      </c>
      <c r="B2634" s="587" t="s">
        <v>517</v>
      </c>
      <c r="C2634" s="587" t="s">
        <v>813</v>
      </c>
      <c r="D2634" s="588">
        <v>2019</v>
      </c>
      <c r="E2634" s="587" t="s">
        <v>775</v>
      </c>
      <c r="F2634" s="588">
        <v>1</v>
      </c>
      <c r="G2634" s="588">
        <v>36</v>
      </c>
      <c r="H2634" s="588">
        <v>36</v>
      </c>
      <c r="I2634" s="588">
        <v>0</v>
      </c>
      <c r="J2634" s="588">
        <v>1</v>
      </c>
      <c r="K2634" s="588">
        <v>28</v>
      </c>
      <c r="L2634" s="588">
        <v>28</v>
      </c>
      <c r="M2634" s="588">
        <v>0</v>
      </c>
      <c r="N2634" s="588">
        <v>0</v>
      </c>
      <c r="O2634" s="588">
        <v>1</v>
      </c>
      <c r="P2634" s="588">
        <v>0</v>
      </c>
      <c r="Q2634" s="588">
        <v>29</v>
      </c>
      <c r="R2634" s="588">
        <v>2</v>
      </c>
      <c r="S2634" s="588">
        <v>94</v>
      </c>
      <c r="T2634" s="588">
        <v>2019</v>
      </c>
      <c r="U2634" s="588">
        <v>2014</v>
      </c>
      <c r="V2634" s="589"/>
      <c r="W2634" s="589"/>
      <c r="X2634" s="589"/>
      <c r="Y2634" s="589"/>
      <c r="Z2634" s="589"/>
      <c r="AA2634" s="589"/>
      <c r="AB2634" s="589"/>
      <c r="AC2634" s="589"/>
      <c r="AD2634" s="589"/>
      <c r="AE2634" s="589"/>
      <c r="AF2634" s="589"/>
      <c r="AG2634" s="589"/>
      <c r="AH2634" s="589"/>
      <c r="AI2634" s="589"/>
      <c r="AJ2634" s="589"/>
      <c r="AK2634" s="589"/>
      <c r="AL2634" s="589"/>
      <c r="AM2634" s="589"/>
      <c r="AN2634" s="589"/>
      <c r="AO2634" s="589"/>
      <c r="AP2634" s="589"/>
      <c r="AQ2634" s="589"/>
      <c r="AR2634" s="589"/>
      <c r="AS2634" s="589"/>
    </row>
    <row r="2635" spans="1:45" ht="15">
      <c r="A2635" s="590" t="s">
        <v>204</v>
      </c>
      <c r="B2635" s="591" t="s">
        <v>747</v>
      </c>
      <c r="C2635" s="591" t="s">
        <v>801</v>
      </c>
      <c r="D2635" s="592">
        <v>2019</v>
      </c>
      <c r="E2635" s="591" t="s">
        <v>775</v>
      </c>
      <c r="F2635" s="592">
        <v>109</v>
      </c>
      <c r="G2635" s="592">
        <v>0</v>
      </c>
      <c r="H2635" s="592">
        <v>0</v>
      </c>
      <c r="I2635" s="592">
        <v>0</v>
      </c>
      <c r="J2635" s="592">
        <v>76</v>
      </c>
      <c r="K2635" s="592">
        <v>0</v>
      </c>
      <c r="L2635" s="592">
        <v>0</v>
      </c>
      <c r="M2635" s="592">
        <v>0</v>
      </c>
      <c r="N2635" s="593">
        <v>90</v>
      </c>
      <c r="O2635" s="593">
        <v>0</v>
      </c>
      <c r="P2635" s="593">
        <v>208</v>
      </c>
      <c r="Q2635" s="593">
        <v>0</v>
      </c>
      <c r="R2635" s="593">
        <v>483</v>
      </c>
      <c r="S2635" s="593">
        <v>0</v>
      </c>
      <c r="T2635" s="593">
        <v>2019</v>
      </c>
      <c r="U2635" s="593">
        <v>2014</v>
      </c>
      <c r="V2635" s="589"/>
      <c r="W2635" s="589"/>
      <c r="X2635" s="589"/>
      <c r="Y2635" s="589"/>
      <c r="Z2635" s="589"/>
      <c r="AA2635" s="589"/>
      <c r="AB2635" s="589"/>
      <c r="AC2635" s="589"/>
      <c r="AD2635" s="589"/>
      <c r="AE2635" s="589"/>
      <c r="AF2635" s="589"/>
      <c r="AG2635" s="589"/>
      <c r="AH2635" s="589"/>
      <c r="AI2635" s="589"/>
      <c r="AJ2635" s="589"/>
      <c r="AK2635" s="589"/>
      <c r="AL2635" s="589"/>
      <c r="AM2635" s="589"/>
      <c r="AN2635" s="589"/>
      <c r="AO2635" s="589"/>
      <c r="AP2635" s="589"/>
      <c r="AQ2635" s="589"/>
      <c r="AR2635" s="589"/>
      <c r="AS2635" s="589"/>
    </row>
    <row r="2636" spans="1:45" ht="15">
      <c r="A2636" s="587" t="s">
        <v>204</v>
      </c>
      <c r="B2636" s="587" t="s">
        <v>747</v>
      </c>
      <c r="C2636" s="587" t="s">
        <v>801</v>
      </c>
      <c r="D2636" s="588">
        <v>2019</v>
      </c>
      <c r="E2636" s="587" t="s">
        <v>775</v>
      </c>
      <c r="F2636" s="588">
        <v>109</v>
      </c>
      <c r="G2636" s="588">
        <v>0</v>
      </c>
      <c r="H2636" s="588">
        <v>0</v>
      </c>
      <c r="I2636" s="588">
        <v>0</v>
      </c>
      <c r="J2636" s="588">
        <v>76</v>
      </c>
      <c r="K2636" s="588">
        <v>0</v>
      </c>
      <c r="L2636" s="588">
        <v>0</v>
      </c>
      <c r="M2636" s="588">
        <v>0</v>
      </c>
      <c r="N2636" s="588">
        <v>90</v>
      </c>
      <c r="O2636" s="588">
        <v>0</v>
      </c>
      <c r="P2636" s="588">
        <v>208</v>
      </c>
      <c r="Q2636" s="588">
        <v>0</v>
      </c>
      <c r="R2636" s="588">
        <v>483</v>
      </c>
      <c r="S2636" s="588">
        <v>0</v>
      </c>
      <c r="T2636" s="588">
        <v>2019</v>
      </c>
      <c r="U2636" s="588">
        <v>2014</v>
      </c>
      <c r="V2636" s="589"/>
      <c r="W2636" s="589"/>
      <c r="X2636" s="589"/>
      <c r="Y2636" s="589"/>
      <c r="Z2636" s="589"/>
      <c r="AA2636" s="589"/>
      <c r="AB2636" s="589"/>
      <c r="AC2636" s="589"/>
      <c r="AD2636" s="589"/>
      <c r="AE2636" s="589"/>
      <c r="AF2636" s="589"/>
      <c r="AG2636" s="589"/>
      <c r="AH2636" s="589"/>
      <c r="AI2636" s="589"/>
      <c r="AJ2636" s="589"/>
      <c r="AK2636" s="589"/>
      <c r="AL2636" s="589"/>
      <c r="AM2636" s="589"/>
      <c r="AN2636" s="589"/>
      <c r="AO2636" s="589"/>
      <c r="AP2636" s="589"/>
      <c r="AQ2636" s="589"/>
      <c r="AR2636" s="589"/>
      <c r="AS2636" s="589"/>
    </row>
    <row r="2637" spans="1:45" ht="15">
      <c r="A2637" s="590" t="s">
        <v>173</v>
      </c>
      <c r="B2637" s="591" t="s">
        <v>555</v>
      </c>
      <c r="C2637" s="591" t="s">
        <v>813</v>
      </c>
      <c r="D2637" s="592">
        <v>2019</v>
      </c>
      <c r="E2637" s="591" t="s">
        <v>775</v>
      </c>
      <c r="F2637" s="592">
        <v>621</v>
      </c>
      <c r="G2637" s="592">
        <v>0</v>
      </c>
      <c r="H2637" s="592">
        <v>0</v>
      </c>
      <c r="I2637" s="592">
        <v>0</v>
      </c>
      <c r="J2637" s="592">
        <v>415</v>
      </c>
      <c r="K2637" s="592">
        <v>2</v>
      </c>
      <c r="L2637" s="592">
        <v>0</v>
      </c>
      <c r="M2637" s="592">
        <v>2</v>
      </c>
      <c r="N2637" s="593">
        <v>461</v>
      </c>
      <c r="O2637" s="593">
        <v>28</v>
      </c>
      <c r="P2637" s="593">
        <v>1038</v>
      </c>
      <c r="Q2637" s="593">
        <v>7</v>
      </c>
      <c r="R2637" s="593">
        <v>2535</v>
      </c>
      <c r="S2637" s="593">
        <v>37</v>
      </c>
      <c r="T2637" s="593">
        <v>2019</v>
      </c>
      <c r="U2637" s="593">
        <v>2014</v>
      </c>
      <c r="V2637" s="589"/>
      <c r="W2637" s="589"/>
      <c r="X2637" s="589"/>
      <c r="Y2637" s="589"/>
      <c r="Z2637" s="589"/>
      <c r="AA2637" s="589"/>
      <c r="AB2637" s="589"/>
      <c r="AC2637" s="589"/>
      <c r="AD2637" s="589"/>
      <c r="AE2637" s="589"/>
      <c r="AF2637" s="589"/>
      <c r="AG2637" s="589"/>
      <c r="AH2637" s="589"/>
      <c r="AI2637" s="589"/>
      <c r="AJ2637" s="589"/>
      <c r="AK2637" s="589"/>
      <c r="AL2637" s="589"/>
      <c r="AM2637" s="589"/>
      <c r="AN2637" s="589"/>
      <c r="AO2637" s="589"/>
      <c r="AP2637" s="589"/>
      <c r="AQ2637" s="589"/>
      <c r="AR2637" s="589"/>
      <c r="AS2637" s="589"/>
    </row>
    <row r="2638" spans="1:45" ht="15">
      <c r="A2638" s="587" t="s">
        <v>173</v>
      </c>
      <c r="B2638" s="587" t="s">
        <v>555</v>
      </c>
      <c r="C2638" s="587" t="s">
        <v>813</v>
      </c>
      <c r="D2638" s="588">
        <v>2019</v>
      </c>
      <c r="E2638" s="587" t="s">
        <v>775</v>
      </c>
      <c r="F2638" s="588">
        <v>621</v>
      </c>
      <c r="G2638" s="588">
        <v>0</v>
      </c>
      <c r="H2638" s="588">
        <v>0</v>
      </c>
      <c r="I2638" s="588">
        <v>0</v>
      </c>
      <c r="J2638" s="588">
        <v>415</v>
      </c>
      <c r="K2638" s="588">
        <v>2</v>
      </c>
      <c r="L2638" s="588">
        <v>0</v>
      </c>
      <c r="M2638" s="588">
        <v>2</v>
      </c>
      <c r="N2638" s="588">
        <v>461</v>
      </c>
      <c r="O2638" s="588">
        <v>28</v>
      </c>
      <c r="P2638" s="588">
        <v>1038</v>
      </c>
      <c r="Q2638" s="588">
        <v>7</v>
      </c>
      <c r="R2638" s="588">
        <v>2535</v>
      </c>
      <c r="S2638" s="588">
        <v>37</v>
      </c>
      <c r="T2638" s="588">
        <v>2019</v>
      </c>
      <c r="U2638" s="588">
        <v>2014</v>
      </c>
      <c r="V2638" s="589"/>
      <c r="W2638" s="589"/>
      <c r="X2638" s="589"/>
      <c r="Y2638" s="589"/>
      <c r="Z2638" s="589"/>
      <c r="AA2638" s="589"/>
      <c r="AB2638" s="589"/>
      <c r="AC2638" s="589"/>
      <c r="AD2638" s="589"/>
      <c r="AE2638" s="589"/>
      <c r="AF2638" s="589"/>
      <c r="AG2638" s="589"/>
      <c r="AH2638" s="589"/>
      <c r="AI2638" s="589"/>
      <c r="AJ2638" s="589"/>
      <c r="AK2638" s="589"/>
      <c r="AL2638" s="589"/>
      <c r="AM2638" s="589"/>
      <c r="AN2638" s="589"/>
      <c r="AO2638" s="589"/>
      <c r="AP2638" s="589"/>
      <c r="AQ2638" s="589"/>
      <c r="AR2638" s="589"/>
      <c r="AS2638" s="589"/>
    </row>
    <row r="2639" spans="1:45" ht="15">
      <c r="A2639" s="590" t="s">
        <v>135</v>
      </c>
      <c r="B2639" s="591" t="s">
        <v>264</v>
      </c>
      <c r="C2639" s="591" t="s">
        <v>785</v>
      </c>
      <c r="D2639" s="592">
        <v>2019</v>
      </c>
      <c r="E2639" s="591" t="s">
        <v>775</v>
      </c>
      <c r="F2639" s="592">
        <v>69</v>
      </c>
      <c r="G2639" s="592">
        <v>0</v>
      </c>
      <c r="H2639" s="592">
        <v>0</v>
      </c>
      <c r="I2639" s="592">
        <v>0</v>
      </c>
      <c r="J2639" s="592">
        <v>50</v>
      </c>
      <c r="K2639" s="592">
        <v>0</v>
      </c>
      <c r="L2639" s="592">
        <v>0</v>
      </c>
      <c r="M2639" s="592">
        <v>0</v>
      </c>
      <c r="N2639" s="593">
        <v>58</v>
      </c>
      <c r="O2639" s="593">
        <v>0</v>
      </c>
      <c r="P2639" s="593">
        <v>130</v>
      </c>
      <c r="Q2639" s="593">
        <v>0</v>
      </c>
      <c r="R2639" s="593">
        <v>307</v>
      </c>
      <c r="S2639" s="593">
        <v>0</v>
      </c>
      <c r="T2639" s="593">
        <v>2019</v>
      </c>
      <c r="U2639" s="593">
        <v>2014</v>
      </c>
      <c r="V2639" s="589"/>
      <c r="W2639" s="589"/>
      <c r="X2639" s="589"/>
      <c r="Y2639" s="589"/>
      <c r="Z2639" s="589"/>
      <c r="AA2639" s="589"/>
      <c r="AB2639" s="589"/>
      <c r="AC2639" s="589"/>
      <c r="AD2639" s="589"/>
      <c r="AE2639" s="589"/>
      <c r="AF2639" s="589"/>
      <c r="AG2639" s="589"/>
      <c r="AH2639" s="589"/>
      <c r="AI2639" s="589"/>
      <c r="AJ2639" s="589"/>
      <c r="AK2639" s="589"/>
      <c r="AL2639" s="589"/>
      <c r="AM2639" s="589"/>
      <c r="AN2639" s="589"/>
      <c r="AO2639" s="589"/>
      <c r="AP2639" s="589"/>
      <c r="AQ2639" s="589"/>
      <c r="AR2639" s="589"/>
      <c r="AS2639" s="589"/>
    </row>
    <row r="2640" spans="1:45" ht="15">
      <c r="A2640" s="587" t="s">
        <v>135</v>
      </c>
      <c r="B2640" s="587" t="s">
        <v>264</v>
      </c>
      <c r="C2640" s="587" t="s">
        <v>785</v>
      </c>
      <c r="D2640" s="588">
        <v>2019</v>
      </c>
      <c r="E2640" s="587" t="s">
        <v>775</v>
      </c>
      <c r="F2640" s="588">
        <v>69</v>
      </c>
      <c r="G2640" s="588">
        <v>0</v>
      </c>
      <c r="H2640" s="588">
        <v>0</v>
      </c>
      <c r="I2640" s="588">
        <v>0</v>
      </c>
      <c r="J2640" s="588">
        <v>50</v>
      </c>
      <c r="K2640" s="588">
        <v>0</v>
      </c>
      <c r="L2640" s="588">
        <v>0</v>
      </c>
      <c r="M2640" s="588">
        <v>0</v>
      </c>
      <c r="N2640" s="588">
        <v>58</v>
      </c>
      <c r="O2640" s="588">
        <v>0</v>
      </c>
      <c r="P2640" s="588">
        <v>130</v>
      </c>
      <c r="Q2640" s="588">
        <v>0</v>
      </c>
      <c r="R2640" s="588">
        <v>307</v>
      </c>
      <c r="S2640" s="588">
        <v>0</v>
      </c>
      <c r="T2640" s="588">
        <v>2019</v>
      </c>
      <c r="U2640" s="588">
        <v>2014</v>
      </c>
      <c r="V2640" s="589"/>
      <c r="W2640" s="589"/>
      <c r="X2640" s="589"/>
      <c r="Y2640" s="589"/>
      <c r="Z2640" s="589"/>
      <c r="AA2640" s="589"/>
      <c r="AB2640" s="589"/>
      <c r="AC2640" s="589"/>
      <c r="AD2640" s="589"/>
      <c r="AE2640" s="589"/>
      <c r="AF2640" s="589"/>
      <c r="AG2640" s="589"/>
      <c r="AH2640" s="589"/>
      <c r="AI2640" s="589"/>
      <c r="AJ2640" s="589"/>
      <c r="AK2640" s="589"/>
      <c r="AL2640" s="589"/>
      <c r="AM2640" s="589"/>
      <c r="AN2640" s="589"/>
      <c r="AO2640" s="589"/>
      <c r="AP2640" s="589"/>
      <c r="AQ2640" s="589"/>
      <c r="AR2640" s="589"/>
      <c r="AS2640" s="589"/>
    </row>
    <row r="2641" spans="1:45" ht="15">
      <c r="A2641" s="590" t="s">
        <v>159</v>
      </c>
      <c r="B2641" s="591" t="s">
        <v>453</v>
      </c>
      <c r="C2641" s="591" t="s">
        <v>972</v>
      </c>
      <c r="D2641" s="592">
        <v>2019</v>
      </c>
      <c r="E2641" s="591" t="s">
        <v>775</v>
      </c>
      <c r="F2641" s="592">
        <v>0</v>
      </c>
      <c r="G2641" s="592">
        <v>0</v>
      </c>
      <c r="H2641" s="592">
        <v>0</v>
      </c>
      <c r="I2641" s="592">
        <v>0</v>
      </c>
      <c r="J2641" s="592">
        <v>0</v>
      </c>
      <c r="K2641" s="592">
        <v>2</v>
      </c>
      <c r="L2641" s="592">
        <v>0</v>
      </c>
      <c r="M2641" s="592">
        <v>2</v>
      </c>
      <c r="N2641" s="593">
        <v>0</v>
      </c>
      <c r="O2641" s="593">
        <v>4</v>
      </c>
      <c r="P2641" s="593">
        <v>0</v>
      </c>
      <c r="Q2641" s="593">
        <v>0</v>
      </c>
      <c r="R2641" s="593">
        <v>0</v>
      </c>
      <c r="S2641" s="593">
        <v>6</v>
      </c>
      <c r="T2641" s="593">
        <v>2019</v>
      </c>
      <c r="U2641" s="593">
        <v>2014</v>
      </c>
      <c r="V2641" s="589"/>
      <c r="W2641" s="589"/>
      <c r="X2641" s="589"/>
      <c r="Y2641" s="589"/>
      <c r="Z2641" s="589"/>
      <c r="AA2641" s="589"/>
      <c r="AB2641" s="589"/>
      <c r="AC2641" s="589"/>
      <c r="AD2641" s="589"/>
      <c r="AE2641" s="589"/>
      <c r="AF2641" s="589"/>
      <c r="AG2641" s="589"/>
      <c r="AH2641" s="589"/>
      <c r="AI2641" s="589"/>
      <c r="AJ2641" s="589"/>
      <c r="AK2641" s="589"/>
      <c r="AL2641" s="589"/>
      <c r="AM2641" s="589"/>
      <c r="AN2641" s="589"/>
      <c r="AO2641" s="589"/>
      <c r="AP2641" s="589"/>
      <c r="AQ2641" s="589"/>
      <c r="AR2641" s="589"/>
      <c r="AS2641" s="589"/>
    </row>
    <row r="2642" spans="1:45" ht="15">
      <c r="A2642" s="587" t="s">
        <v>159</v>
      </c>
      <c r="B2642" s="587" t="s">
        <v>453</v>
      </c>
      <c r="C2642" s="587" t="s">
        <v>785</v>
      </c>
      <c r="D2642" s="588">
        <v>2019</v>
      </c>
      <c r="E2642" s="587" t="s">
        <v>775</v>
      </c>
      <c r="F2642" s="588">
        <v>3</v>
      </c>
      <c r="G2642" s="588">
        <v>0</v>
      </c>
      <c r="H2642" s="588">
        <v>0</v>
      </c>
      <c r="I2642" s="588">
        <v>0</v>
      </c>
      <c r="J2642" s="588">
        <v>2</v>
      </c>
      <c r="K2642" s="588">
        <v>2</v>
      </c>
      <c r="L2642" s="588">
        <v>0</v>
      </c>
      <c r="M2642" s="588">
        <v>2</v>
      </c>
      <c r="N2642" s="588">
        <v>2</v>
      </c>
      <c r="O2642" s="588">
        <v>4</v>
      </c>
      <c r="P2642" s="588">
        <v>6</v>
      </c>
      <c r="Q2642" s="588">
        <v>0</v>
      </c>
      <c r="R2642" s="588">
        <v>13</v>
      </c>
      <c r="S2642" s="588">
        <v>6</v>
      </c>
      <c r="T2642" s="588">
        <v>2019</v>
      </c>
      <c r="U2642" s="588">
        <v>2014</v>
      </c>
      <c r="V2642" s="589"/>
      <c r="W2642" s="589"/>
      <c r="X2642" s="589"/>
      <c r="Y2642" s="589"/>
      <c r="Z2642" s="589"/>
      <c r="AA2642" s="589"/>
      <c r="AB2642" s="589"/>
      <c r="AC2642" s="589"/>
      <c r="AD2642" s="589"/>
      <c r="AE2642" s="589"/>
      <c r="AF2642" s="589"/>
      <c r="AG2642" s="589"/>
      <c r="AH2642" s="589"/>
      <c r="AI2642" s="589"/>
      <c r="AJ2642" s="589"/>
      <c r="AK2642" s="589"/>
      <c r="AL2642" s="589"/>
      <c r="AM2642" s="589"/>
      <c r="AN2642" s="589"/>
      <c r="AO2642" s="589"/>
      <c r="AP2642" s="589"/>
      <c r="AQ2642" s="589"/>
      <c r="AR2642" s="589"/>
      <c r="AS2642" s="589"/>
    </row>
    <row r="2643" spans="1:45" ht="15">
      <c r="A2643" s="590" t="s">
        <v>159</v>
      </c>
      <c r="B2643" s="591" t="s">
        <v>453</v>
      </c>
      <c r="C2643" s="591" t="s">
        <v>972</v>
      </c>
      <c r="D2643" s="592">
        <v>2019</v>
      </c>
      <c r="E2643" s="591" t="s">
        <v>775</v>
      </c>
      <c r="F2643" s="592">
        <v>0</v>
      </c>
      <c r="G2643" s="592">
        <v>0</v>
      </c>
      <c r="H2643" s="592">
        <v>0</v>
      </c>
      <c r="I2643" s="592">
        <v>0</v>
      </c>
      <c r="J2643" s="592">
        <v>0</v>
      </c>
      <c r="K2643" s="592">
        <v>2</v>
      </c>
      <c r="L2643" s="592">
        <v>0</v>
      </c>
      <c r="M2643" s="592">
        <v>2</v>
      </c>
      <c r="N2643" s="593">
        <v>0</v>
      </c>
      <c r="O2643" s="593">
        <v>4</v>
      </c>
      <c r="P2643" s="593">
        <v>0</v>
      </c>
      <c r="Q2643" s="593">
        <v>0</v>
      </c>
      <c r="R2643" s="593">
        <v>0</v>
      </c>
      <c r="S2643" s="593">
        <v>6</v>
      </c>
      <c r="T2643" s="593">
        <v>2019</v>
      </c>
      <c r="U2643" s="593">
        <v>2014</v>
      </c>
      <c r="V2643" s="589"/>
      <c r="W2643" s="589"/>
      <c r="X2643" s="589"/>
      <c r="Y2643" s="589"/>
      <c r="Z2643" s="589"/>
      <c r="AA2643" s="589"/>
      <c r="AB2643" s="589"/>
      <c r="AC2643" s="589"/>
      <c r="AD2643" s="589"/>
      <c r="AE2643" s="589"/>
      <c r="AF2643" s="589"/>
      <c r="AG2643" s="589"/>
      <c r="AH2643" s="589"/>
      <c r="AI2643" s="589"/>
      <c r="AJ2643" s="589"/>
      <c r="AK2643" s="589"/>
      <c r="AL2643" s="589"/>
      <c r="AM2643" s="589"/>
      <c r="AN2643" s="589"/>
      <c r="AO2643" s="589"/>
      <c r="AP2643" s="589"/>
      <c r="AQ2643" s="589"/>
      <c r="AR2643" s="589"/>
      <c r="AS2643" s="589"/>
    </row>
    <row r="2644" spans="1:45" ht="15">
      <c r="A2644" s="587" t="s">
        <v>159</v>
      </c>
      <c r="B2644" s="587" t="s">
        <v>453</v>
      </c>
      <c r="C2644" s="587" t="s">
        <v>785</v>
      </c>
      <c r="D2644" s="588">
        <v>2019</v>
      </c>
      <c r="E2644" s="587" t="s">
        <v>775</v>
      </c>
      <c r="F2644" s="588">
        <v>3</v>
      </c>
      <c r="G2644" s="588">
        <v>0</v>
      </c>
      <c r="H2644" s="588">
        <v>0</v>
      </c>
      <c r="I2644" s="588">
        <v>0</v>
      </c>
      <c r="J2644" s="588">
        <v>2</v>
      </c>
      <c r="K2644" s="588">
        <v>2</v>
      </c>
      <c r="L2644" s="588">
        <v>0</v>
      </c>
      <c r="M2644" s="588">
        <v>2</v>
      </c>
      <c r="N2644" s="588">
        <v>2</v>
      </c>
      <c r="O2644" s="588">
        <v>4</v>
      </c>
      <c r="P2644" s="588">
        <v>6</v>
      </c>
      <c r="Q2644" s="588">
        <v>0</v>
      </c>
      <c r="R2644" s="588">
        <v>13</v>
      </c>
      <c r="S2644" s="588">
        <v>6</v>
      </c>
      <c r="T2644" s="588">
        <v>2019</v>
      </c>
      <c r="U2644" s="588">
        <v>2014</v>
      </c>
      <c r="V2644" s="589"/>
      <c r="W2644" s="589"/>
      <c r="X2644" s="589"/>
      <c r="Y2644" s="589"/>
      <c r="Z2644" s="589"/>
      <c r="AA2644" s="589"/>
      <c r="AB2644" s="589"/>
      <c r="AC2644" s="589"/>
      <c r="AD2644" s="589"/>
      <c r="AE2644" s="589"/>
      <c r="AF2644" s="589"/>
      <c r="AG2644" s="589"/>
      <c r="AH2644" s="589"/>
      <c r="AI2644" s="589"/>
      <c r="AJ2644" s="589"/>
      <c r="AK2644" s="589"/>
      <c r="AL2644" s="589"/>
      <c r="AM2644" s="589"/>
      <c r="AN2644" s="589"/>
      <c r="AO2644" s="589"/>
      <c r="AP2644" s="589"/>
      <c r="AQ2644" s="589"/>
      <c r="AR2644" s="589"/>
      <c r="AS2644" s="589"/>
    </row>
    <row r="2645" spans="1:45" ht="15">
      <c r="A2645" s="590" t="s">
        <v>144</v>
      </c>
      <c r="B2645" s="591" t="s">
        <v>306</v>
      </c>
      <c r="C2645" s="591" t="s">
        <v>785</v>
      </c>
      <c r="D2645" s="592">
        <v>2019</v>
      </c>
      <c r="E2645" s="591" t="s">
        <v>775</v>
      </c>
      <c r="F2645" s="592">
        <v>15</v>
      </c>
      <c r="G2645" s="592">
        <v>0</v>
      </c>
      <c r="H2645" s="592">
        <v>0</v>
      </c>
      <c r="I2645" s="592">
        <v>0</v>
      </c>
      <c r="J2645" s="592">
        <v>11</v>
      </c>
      <c r="K2645" s="592">
        <v>2</v>
      </c>
      <c r="L2645" s="592">
        <v>0</v>
      </c>
      <c r="M2645" s="592">
        <v>2</v>
      </c>
      <c r="N2645" s="593">
        <v>11</v>
      </c>
      <c r="O2645" s="593">
        <v>0</v>
      </c>
      <c r="P2645" s="593">
        <v>26</v>
      </c>
      <c r="Q2645" s="593">
        <v>3</v>
      </c>
      <c r="R2645" s="593">
        <v>63</v>
      </c>
      <c r="S2645" s="593">
        <v>5</v>
      </c>
      <c r="T2645" s="593">
        <v>2019</v>
      </c>
      <c r="U2645" s="593">
        <v>2014</v>
      </c>
      <c r="V2645" s="589"/>
      <c r="W2645" s="589"/>
      <c r="X2645" s="589"/>
      <c r="Y2645" s="589"/>
      <c r="Z2645" s="589"/>
      <c r="AA2645" s="589"/>
      <c r="AB2645" s="589"/>
      <c r="AC2645" s="589"/>
      <c r="AD2645" s="589"/>
      <c r="AE2645" s="589"/>
      <c r="AF2645" s="589"/>
      <c r="AG2645" s="589"/>
      <c r="AH2645" s="589"/>
      <c r="AI2645" s="589"/>
      <c r="AJ2645" s="589"/>
      <c r="AK2645" s="589"/>
      <c r="AL2645" s="589"/>
      <c r="AM2645" s="589"/>
      <c r="AN2645" s="589"/>
      <c r="AO2645" s="589"/>
      <c r="AP2645" s="589"/>
      <c r="AQ2645" s="589"/>
      <c r="AR2645" s="589"/>
      <c r="AS2645" s="589"/>
    </row>
    <row r="2646" spans="1:45" ht="15">
      <c r="A2646" s="587" t="s">
        <v>144</v>
      </c>
      <c r="B2646" s="587" t="s">
        <v>306</v>
      </c>
      <c r="C2646" s="587" t="s">
        <v>785</v>
      </c>
      <c r="D2646" s="588">
        <v>2019</v>
      </c>
      <c r="E2646" s="587" t="s">
        <v>775</v>
      </c>
      <c r="F2646" s="588">
        <v>15</v>
      </c>
      <c r="G2646" s="588">
        <v>0</v>
      </c>
      <c r="H2646" s="588">
        <v>0</v>
      </c>
      <c r="I2646" s="588">
        <v>0</v>
      </c>
      <c r="J2646" s="588">
        <v>11</v>
      </c>
      <c r="K2646" s="588">
        <v>2</v>
      </c>
      <c r="L2646" s="588">
        <v>0</v>
      </c>
      <c r="M2646" s="588">
        <v>2</v>
      </c>
      <c r="N2646" s="588">
        <v>11</v>
      </c>
      <c r="O2646" s="588">
        <v>0</v>
      </c>
      <c r="P2646" s="588">
        <v>26</v>
      </c>
      <c r="Q2646" s="588">
        <v>3</v>
      </c>
      <c r="R2646" s="588">
        <v>63</v>
      </c>
      <c r="S2646" s="588">
        <v>5</v>
      </c>
      <c r="T2646" s="588">
        <v>2019</v>
      </c>
      <c r="U2646" s="588">
        <v>2014</v>
      </c>
      <c r="V2646" s="589"/>
      <c r="W2646" s="589"/>
      <c r="X2646" s="589"/>
      <c r="Y2646" s="589"/>
      <c r="Z2646" s="589"/>
      <c r="AA2646" s="589"/>
      <c r="AB2646" s="589"/>
      <c r="AC2646" s="589"/>
      <c r="AD2646" s="589"/>
      <c r="AE2646" s="589"/>
      <c r="AF2646" s="589"/>
      <c r="AG2646" s="589"/>
      <c r="AH2646" s="589"/>
      <c r="AI2646" s="589"/>
      <c r="AJ2646" s="589"/>
      <c r="AK2646" s="589"/>
      <c r="AL2646" s="589"/>
      <c r="AM2646" s="589"/>
      <c r="AN2646" s="589"/>
      <c r="AO2646" s="589"/>
      <c r="AP2646" s="589"/>
      <c r="AQ2646" s="589"/>
      <c r="AR2646" s="589"/>
      <c r="AS2646" s="589"/>
    </row>
    <row r="2647" spans="1:45" ht="15">
      <c r="A2647" s="590" t="s">
        <v>193</v>
      </c>
      <c r="B2647" s="591" t="s">
        <v>702</v>
      </c>
      <c r="C2647" s="591" t="s">
        <v>782</v>
      </c>
      <c r="D2647" s="592">
        <v>2019</v>
      </c>
      <c r="E2647" s="591" t="s">
        <v>775</v>
      </c>
      <c r="F2647" s="592">
        <v>120</v>
      </c>
      <c r="G2647" s="592">
        <v>30</v>
      </c>
      <c r="H2647" s="592">
        <v>30</v>
      </c>
      <c r="I2647" s="592">
        <v>0</v>
      </c>
      <c r="J2647" s="592">
        <v>65</v>
      </c>
      <c r="K2647" s="592">
        <v>29</v>
      </c>
      <c r="L2647" s="592">
        <v>29</v>
      </c>
      <c r="M2647" s="592">
        <v>0</v>
      </c>
      <c r="N2647" s="593">
        <v>67</v>
      </c>
      <c r="O2647" s="593">
        <v>1</v>
      </c>
      <c r="P2647" s="593">
        <v>188</v>
      </c>
      <c r="Q2647" s="593">
        <v>23</v>
      </c>
      <c r="R2647" s="593">
        <v>440</v>
      </c>
      <c r="S2647" s="593">
        <v>83</v>
      </c>
      <c r="T2647" s="593">
        <v>2019</v>
      </c>
      <c r="U2647" s="593">
        <v>2015</v>
      </c>
      <c r="V2647" s="589"/>
      <c r="W2647" s="589"/>
      <c r="X2647" s="589"/>
      <c r="Y2647" s="589"/>
      <c r="Z2647" s="589"/>
      <c r="AA2647" s="589"/>
      <c r="AB2647" s="589"/>
      <c r="AC2647" s="589"/>
      <c r="AD2647" s="589"/>
      <c r="AE2647" s="589"/>
      <c r="AF2647" s="589"/>
      <c r="AG2647" s="589"/>
      <c r="AH2647" s="589"/>
      <c r="AI2647" s="589"/>
      <c r="AJ2647" s="589"/>
      <c r="AK2647" s="589"/>
      <c r="AL2647" s="589"/>
      <c r="AM2647" s="589"/>
      <c r="AN2647" s="589"/>
      <c r="AO2647" s="589"/>
      <c r="AP2647" s="589"/>
      <c r="AQ2647" s="589"/>
      <c r="AR2647" s="589"/>
      <c r="AS2647" s="589"/>
    </row>
    <row r="2648" spans="1:45" ht="15">
      <c r="A2648" s="587" t="s">
        <v>193</v>
      </c>
      <c r="B2648" s="587" t="s">
        <v>702</v>
      </c>
      <c r="C2648" s="587" t="s">
        <v>782</v>
      </c>
      <c r="D2648" s="588">
        <v>2019</v>
      </c>
      <c r="E2648" s="587" t="s">
        <v>775</v>
      </c>
      <c r="F2648" s="588">
        <v>120</v>
      </c>
      <c r="G2648" s="588">
        <v>30</v>
      </c>
      <c r="H2648" s="588">
        <v>30</v>
      </c>
      <c r="I2648" s="588">
        <v>0</v>
      </c>
      <c r="J2648" s="588">
        <v>65</v>
      </c>
      <c r="K2648" s="588">
        <v>29</v>
      </c>
      <c r="L2648" s="588">
        <v>29</v>
      </c>
      <c r="M2648" s="588">
        <v>0</v>
      </c>
      <c r="N2648" s="588">
        <v>67</v>
      </c>
      <c r="O2648" s="588">
        <v>1</v>
      </c>
      <c r="P2648" s="588">
        <v>188</v>
      </c>
      <c r="Q2648" s="588">
        <v>23</v>
      </c>
      <c r="R2648" s="588">
        <v>440</v>
      </c>
      <c r="S2648" s="588">
        <v>83</v>
      </c>
      <c r="T2648" s="588">
        <v>2019</v>
      </c>
      <c r="U2648" s="588">
        <v>2015</v>
      </c>
      <c r="V2648" s="589"/>
      <c r="W2648" s="589"/>
      <c r="X2648" s="589"/>
      <c r="Y2648" s="589"/>
      <c r="Z2648" s="589"/>
      <c r="AA2648" s="589"/>
      <c r="AB2648" s="589"/>
      <c r="AC2648" s="589"/>
      <c r="AD2648" s="589"/>
      <c r="AE2648" s="589"/>
      <c r="AF2648" s="589"/>
      <c r="AG2648" s="589"/>
      <c r="AH2648" s="589"/>
      <c r="AI2648" s="589"/>
      <c r="AJ2648" s="589"/>
      <c r="AK2648" s="589"/>
      <c r="AL2648" s="589"/>
      <c r="AM2648" s="589"/>
      <c r="AN2648" s="589"/>
      <c r="AO2648" s="589"/>
      <c r="AP2648" s="589"/>
      <c r="AQ2648" s="589"/>
      <c r="AR2648" s="589"/>
      <c r="AS2648" s="589"/>
    </row>
    <row r="2649" spans="1:45" ht="15">
      <c r="A2649" s="590" t="s">
        <v>202</v>
      </c>
      <c r="B2649" s="591" t="s">
        <v>743</v>
      </c>
      <c r="C2649" s="591" t="s">
        <v>801</v>
      </c>
      <c r="D2649" s="592">
        <v>2019</v>
      </c>
      <c r="E2649" s="591" t="s">
        <v>775</v>
      </c>
      <c r="F2649" s="592">
        <v>76</v>
      </c>
      <c r="G2649" s="592">
        <v>47</v>
      </c>
      <c r="H2649" s="592">
        <v>47</v>
      </c>
      <c r="I2649" s="592">
        <v>0</v>
      </c>
      <c r="J2649" s="592">
        <v>54</v>
      </c>
      <c r="K2649" s="592">
        <v>15</v>
      </c>
      <c r="L2649" s="592">
        <v>15</v>
      </c>
      <c r="M2649" s="592">
        <v>0</v>
      </c>
      <c r="N2649" s="593">
        <v>59</v>
      </c>
      <c r="O2649" s="593">
        <v>2</v>
      </c>
      <c r="P2649" s="593">
        <v>130</v>
      </c>
      <c r="Q2649" s="593">
        <v>69</v>
      </c>
      <c r="R2649" s="593">
        <v>319</v>
      </c>
      <c r="S2649" s="593">
        <v>133</v>
      </c>
      <c r="T2649" s="593">
        <v>2019</v>
      </c>
      <c r="U2649" s="593">
        <v>2014</v>
      </c>
      <c r="V2649" s="589"/>
      <c r="W2649" s="589"/>
      <c r="X2649" s="589"/>
      <c r="Y2649" s="589"/>
      <c r="Z2649" s="589"/>
      <c r="AA2649" s="589"/>
      <c r="AB2649" s="589"/>
      <c r="AC2649" s="589"/>
      <c r="AD2649" s="589"/>
      <c r="AE2649" s="589"/>
      <c r="AF2649" s="589"/>
      <c r="AG2649" s="589"/>
      <c r="AH2649" s="589"/>
      <c r="AI2649" s="589"/>
      <c r="AJ2649" s="589"/>
      <c r="AK2649" s="589"/>
      <c r="AL2649" s="589"/>
      <c r="AM2649" s="589"/>
      <c r="AN2649" s="589"/>
      <c r="AO2649" s="589"/>
      <c r="AP2649" s="589"/>
      <c r="AQ2649" s="589"/>
      <c r="AR2649" s="589"/>
      <c r="AS2649" s="589"/>
    </row>
    <row r="2650" spans="1:45" ht="15">
      <c r="A2650" s="587" t="s">
        <v>202</v>
      </c>
      <c r="B2650" s="587" t="s">
        <v>743</v>
      </c>
      <c r="C2650" s="587" t="s">
        <v>801</v>
      </c>
      <c r="D2650" s="588">
        <v>2019</v>
      </c>
      <c r="E2650" s="587" t="s">
        <v>775</v>
      </c>
      <c r="F2650" s="588">
        <v>76</v>
      </c>
      <c r="G2650" s="588">
        <v>47</v>
      </c>
      <c r="H2650" s="588">
        <v>47</v>
      </c>
      <c r="I2650" s="588">
        <v>0</v>
      </c>
      <c r="J2650" s="588">
        <v>54</v>
      </c>
      <c r="K2650" s="588">
        <v>15</v>
      </c>
      <c r="L2650" s="588">
        <v>15</v>
      </c>
      <c r="M2650" s="588">
        <v>0</v>
      </c>
      <c r="N2650" s="588">
        <v>59</v>
      </c>
      <c r="O2650" s="588">
        <v>2</v>
      </c>
      <c r="P2650" s="588">
        <v>130</v>
      </c>
      <c r="Q2650" s="588">
        <v>69</v>
      </c>
      <c r="R2650" s="588">
        <v>319</v>
      </c>
      <c r="S2650" s="588">
        <v>133</v>
      </c>
      <c r="T2650" s="588">
        <v>2019</v>
      </c>
      <c r="U2650" s="588">
        <v>2014</v>
      </c>
      <c r="V2650" s="589"/>
      <c r="W2650" s="589"/>
      <c r="X2650" s="589"/>
      <c r="Y2650" s="589"/>
      <c r="Z2650" s="589"/>
      <c r="AA2650" s="589"/>
      <c r="AB2650" s="589"/>
      <c r="AC2650" s="589"/>
      <c r="AD2650" s="589"/>
      <c r="AE2650" s="589"/>
      <c r="AF2650" s="589"/>
      <c r="AG2650" s="589"/>
      <c r="AH2650" s="589"/>
      <c r="AI2650" s="589"/>
      <c r="AJ2650" s="589"/>
      <c r="AK2650" s="589"/>
      <c r="AL2650" s="589"/>
      <c r="AM2650" s="589"/>
      <c r="AN2650" s="589"/>
      <c r="AO2650" s="589"/>
      <c r="AP2650" s="589"/>
      <c r="AQ2650" s="589"/>
      <c r="AR2650" s="589"/>
      <c r="AS2650" s="589"/>
    </row>
    <row r="2651" spans="1:45" ht="15">
      <c r="A2651" s="590" t="s">
        <v>199</v>
      </c>
      <c r="B2651" s="591" t="s">
        <v>727</v>
      </c>
      <c r="C2651" s="591" t="s">
        <v>811</v>
      </c>
      <c r="D2651" s="592">
        <v>2019</v>
      </c>
      <c r="E2651" s="591" t="s">
        <v>775</v>
      </c>
      <c r="F2651" s="592">
        <v>71</v>
      </c>
      <c r="G2651" s="592">
        <v>0</v>
      </c>
      <c r="H2651" s="592">
        <v>0</v>
      </c>
      <c r="I2651" s="592">
        <v>0</v>
      </c>
      <c r="J2651" s="592">
        <v>41</v>
      </c>
      <c r="K2651" s="592">
        <v>37</v>
      </c>
      <c r="L2651" s="592">
        <v>0</v>
      </c>
      <c r="M2651" s="592">
        <v>37</v>
      </c>
      <c r="N2651" s="593">
        <v>69</v>
      </c>
      <c r="O2651" s="593">
        <v>17</v>
      </c>
      <c r="P2651" s="593">
        <v>191</v>
      </c>
      <c r="Q2651" s="593">
        <v>0</v>
      </c>
      <c r="R2651" s="593">
        <v>372</v>
      </c>
      <c r="S2651" s="593">
        <v>54</v>
      </c>
      <c r="T2651" s="593">
        <v>2019</v>
      </c>
      <c r="U2651" s="593">
        <v>2016</v>
      </c>
      <c r="V2651" s="589"/>
      <c r="W2651" s="589"/>
      <c r="X2651" s="589"/>
      <c r="Y2651" s="589"/>
      <c r="Z2651" s="589"/>
      <c r="AA2651" s="589"/>
      <c r="AB2651" s="589"/>
      <c r="AC2651" s="589"/>
      <c r="AD2651" s="589"/>
      <c r="AE2651" s="589"/>
      <c r="AF2651" s="589"/>
      <c r="AG2651" s="589"/>
      <c r="AH2651" s="589"/>
      <c r="AI2651" s="589"/>
      <c r="AJ2651" s="589"/>
      <c r="AK2651" s="589"/>
      <c r="AL2651" s="589"/>
      <c r="AM2651" s="589"/>
      <c r="AN2651" s="589"/>
      <c r="AO2651" s="589"/>
      <c r="AP2651" s="589"/>
      <c r="AQ2651" s="589"/>
      <c r="AR2651" s="589"/>
      <c r="AS2651" s="589"/>
    </row>
    <row r="2652" spans="1:45" ht="15">
      <c r="A2652" s="587" t="s">
        <v>199</v>
      </c>
      <c r="B2652" s="587" t="s">
        <v>727</v>
      </c>
      <c r="C2652" s="587" t="s">
        <v>811</v>
      </c>
      <c r="D2652" s="588">
        <v>2019</v>
      </c>
      <c r="E2652" s="587" t="s">
        <v>775</v>
      </c>
      <c r="F2652" s="588">
        <v>71</v>
      </c>
      <c r="G2652" s="588">
        <v>0</v>
      </c>
      <c r="H2652" s="588">
        <v>0</v>
      </c>
      <c r="I2652" s="588">
        <v>0</v>
      </c>
      <c r="J2652" s="588">
        <v>41</v>
      </c>
      <c r="K2652" s="588">
        <v>37</v>
      </c>
      <c r="L2652" s="588">
        <v>0</v>
      </c>
      <c r="M2652" s="588">
        <v>37</v>
      </c>
      <c r="N2652" s="588">
        <v>69</v>
      </c>
      <c r="O2652" s="588">
        <v>17</v>
      </c>
      <c r="P2652" s="588">
        <v>191</v>
      </c>
      <c r="Q2652" s="588">
        <v>0</v>
      </c>
      <c r="R2652" s="588">
        <v>372</v>
      </c>
      <c r="S2652" s="588">
        <v>54</v>
      </c>
      <c r="T2652" s="588">
        <v>2019</v>
      </c>
      <c r="U2652" s="588">
        <v>2016</v>
      </c>
      <c r="V2652" s="589"/>
      <c r="W2652" s="589"/>
      <c r="X2652" s="589"/>
      <c r="Y2652" s="589"/>
      <c r="Z2652" s="589"/>
      <c r="AA2652" s="589"/>
      <c r="AB2652" s="589"/>
      <c r="AC2652" s="589"/>
      <c r="AD2652" s="589"/>
      <c r="AE2652" s="589"/>
      <c r="AF2652" s="589"/>
      <c r="AG2652" s="589"/>
      <c r="AH2652" s="589"/>
      <c r="AI2652" s="589"/>
      <c r="AJ2652" s="589"/>
      <c r="AK2652" s="589"/>
      <c r="AL2652" s="589"/>
      <c r="AM2652" s="589"/>
      <c r="AN2652" s="589"/>
      <c r="AO2652" s="589"/>
      <c r="AP2652" s="589"/>
      <c r="AQ2652" s="589"/>
      <c r="AR2652" s="589"/>
      <c r="AS2652" s="589"/>
    </row>
    <row r="2653" spans="1:45" ht="15">
      <c r="A2653" s="590" t="s">
        <v>202</v>
      </c>
      <c r="B2653" s="591" t="s">
        <v>744</v>
      </c>
      <c r="C2653" s="591" t="s">
        <v>801</v>
      </c>
      <c r="D2653" s="592">
        <v>2019</v>
      </c>
      <c r="E2653" s="591" t="s">
        <v>775</v>
      </c>
      <c r="F2653" s="592">
        <v>390</v>
      </c>
      <c r="G2653" s="592">
        <v>0</v>
      </c>
      <c r="H2653" s="592">
        <v>0</v>
      </c>
      <c r="I2653" s="592">
        <v>0</v>
      </c>
      <c r="J2653" s="592">
        <v>274</v>
      </c>
      <c r="K2653" s="592">
        <v>0</v>
      </c>
      <c r="L2653" s="592">
        <v>0</v>
      </c>
      <c r="M2653" s="592">
        <v>0</v>
      </c>
      <c r="N2653" s="593">
        <v>349</v>
      </c>
      <c r="O2653" s="593">
        <v>3</v>
      </c>
      <c r="P2653" s="593">
        <v>864</v>
      </c>
      <c r="Q2653" s="593">
        <v>14</v>
      </c>
      <c r="R2653" s="593">
        <v>1877</v>
      </c>
      <c r="S2653" s="593">
        <v>17</v>
      </c>
      <c r="T2653" s="593">
        <v>2019</v>
      </c>
      <c r="U2653" s="593">
        <v>2014</v>
      </c>
      <c r="V2653" s="589"/>
      <c r="W2653" s="589"/>
      <c r="X2653" s="589"/>
      <c r="Y2653" s="589"/>
      <c r="Z2653" s="589"/>
      <c r="AA2653" s="589"/>
      <c r="AB2653" s="589"/>
      <c r="AC2653" s="589"/>
      <c r="AD2653" s="589"/>
      <c r="AE2653" s="589"/>
      <c r="AF2653" s="589"/>
      <c r="AG2653" s="589"/>
      <c r="AH2653" s="589"/>
      <c r="AI2653" s="589"/>
      <c r="AJ2653" s="589"/>
      <c r="AK2653" s="589"/>
      <c r="AL2653" s="589"/>
      <c r="AM2653" s="589"/>
      <c r="AN2653" s="589"/>
      <c r="AO2653" s="589"/>
      <c r="AP2653" s="589"/>
      <c r="AQ2653" s="589"/>
      <c r="AR2653" s="589"/>
      <c r="AS2653" s="589"/>
    </row>
    <row r="2654" spans="1:45" ht="15">
      <c r="A2654" s="587" t="s">
        <v>202</v>
      </c>
      <c r="B2654" s="587" t="s">
        <v>744</v>
      </c>
      <c r="C2654" s="587" t="s">
        <v>801</v>
      </c>
      <c r="D2654" s="588">
        <v>2019</v>
      </c>
      <c r="E2654" s="587" t="s">
        <v>775</v>
      </c>
      <c r="F2654" s="588">
        <v>390</v>
      </c>
      <c r="G2654" s="588">
        <v>0</v>
      </c>
      <c r="H2654" s="588">
        <v>0</v>
      </c>
      <c r="I2654" s="588">
        <v>0</v>
      </c>
      <c r="J2654" s="588">
        <v>274</v>
      </c>
      <c r="K2654" s="588">
        <v>0</v>
      </c>
      <c r="L2654" s="588">
        <v>0</v>
      </c>
      <c r="M2654" s="588">
        <v>0</v>
      </c>
      <c r="N2654" s="588">
        <v>349</v>
      </c>
      <c r="O2654" s="588">
        <v>3</v>
      </c>
      <c r="P2654" s="588">
        <v>864</v>
      </c>
      <c r="Q2654" s="588">
        <v>14</v>
      </c>
      <c r="R2654" s="588">
        <v>1877</v>
      </c>
      <c r="S2654" s="588">
        <v>17</v>
      </c>
      <c r="T2654" s="588">
        <v>2019</v>
      </c>
      <c r="U2654" s="588">
        <v>2014</v>
      </c>
      <c r="V2654" s="589"/>
      <c r="W2654" s="589"/>
      <c r="X2654" s="589"/>
      <c r="Y2654" s="589"/>
      <c r="Z2654" s="589"/>
      <c r="AA2654" s="589"/>
      <c r="AB2654" s="589"/>
      <c r="AC2654" s="589"/>
      <c r="AD2654" s="589"/>
      <c r="AE2654" s="589"/>
      <c r="AF2654" s="589"/>
      <c r="AG2654" s="589"/>
      <c r="AH2654" s="589"/>
      <c r="AI2654" s="589"/>
      <c r="AJ2654" s="589"/>
      <c r="AK2654" s="589"/>
      <c r="AL2654" s="589"/>
      <c r="AM2654" s="589"/>
      <c r="AN2654" s="589"/>
      <c r="AO2654" s="589"/>
      <c r="AP2654" s="589"/>
      <c r="AQ2654" s="589"/>
      <c r="AR2654" s="589"/>
      <c r="AS2654" s="589"/>
    </row>
    <row r="2655" spans="1:45" ht="15">
      <c r="A2655" s="590" t="s">
        <v>184</v>
      </c>
      <c r="B2655" s="591" t="s">
        <v>642</v>
      </c>
      <c r="C2655" s="591" t="s">
        <v>782</v>
      </c>
      <c r="D2655" s="592">
        <v>2019</v>
      </c>
      <c r="E2655" s="591" t="s">
        <v>775</v>
      </c>
      <c r="F2655" s="592">
        <v>23</v>
      </c>
      <c r="G2655" s="592">
        <v>11</v>
      </c>
      <c r="H2655" s="592">
        <v>0</v>
      </c>
      <c r="I2655" s="592">
        <v>11</v>
      </c>
      <c r="J2655" s="592">
        <v>13</v>
      </c>
      <c r="K2655" s="592">
        <v>2</v>
      </c>
      <c r="L2655" s="592">
        <v>0</v>
      </c>
      <c r="M2655" s="592">
        <v>2</v>
      </c>
      <c r="N2655" s="593">
        <v>15</v>
      </c>
      <c r="O2655" s="593">
        <v>2</v>
      </c>
      <c r="P2655" s="593">
        <v>11</v>
      </c>
      <c r="Q2655" s="593">
        <v>12</v>
      </c>
      <c r="R2655" s="593">
        <v>62</v>
      </c>
      <c r="S2655" s="593">
        <v>27</v>
      </c>
      <c r="T2655" s="593">
        <v>2019</v>
      </c>
      <c r="U2655" s="593">
        <v>2015</v>
      </c>
      <c r="V2655" s="589"/>
      <c r="W2655" s="589"/>
      <c r="X2655" s="589"/>
      <c r="Y2655" s="589"/>
      <c r="Z2655" s="589"/>
      <c r="AA2655" s="589"/>
      <c r="AB2655" s="589"/>
      <c r="AC2655" s="589"/>
      <c r="AD2655" s="589"/>
      <c r="AE2655" s="589"/>
      <c r="AF2655" s="589"/>
      <c r="AG2655" s="589"/>
      <c r="AH2655" s="589"/>
      <c r="AI2655" s="589"/>
      <c r="AJ2655" s="589"/>
      <c r="AK2655" s="589"/>
      <c r="AL2655" s="589"/>
      <c r="AM2655" s="589"/>
      <c r="AN2655" s="589"/>
      <c r="AO2655" s="589"/>
      <c r="AP2655" s="589"/>
      <c r="AQ2655" s="589"/>
      <c r="AR2655" s="589"/>
      <c r="AS2655" s="589"/>
    </row>
    <row r="2656" spans="1:45" ht="15">
      <c r="A2656" s="587" t="s">
        <v>184</v>
      </c>
      <c r="B2656" s="587" t="s">
        <v>642</v>
      </c>
      <c r="C2656" s="587" t="s">
        <v>782</v>
      </c>
      <c r="D2656" s="588">
        <v>2019</v>
      </c>
      <c r="E2656" s="587" t="s">
        <v>775</v>
      </c>
      <c r="F2656" s="588">
        <v>23</v>
      </c>
      <c r="G2656" s="588">
        <v>11</v>
      </c>
      <c r="H2656" s="588">
        <v>0</v>
      </c>
      <c r="I2656" s="588">
        <v>11</v>
      </c>
      <c r="J2656" s="588">
        <v>13</v>
      </c>
      <c r="K2656" s="588">
        <v>2</v>
      </c>
      <c r="L2656" s="588">
        <v>0</v>
      </c>
      <c r="M2656" s="588">
        <v>2</v>
      </c>
      <c r="N2656" s="588">
        <v>15</v>
      </c>
      <c r="O2656" s="588">
        <v>2</v>
      </c>
      <c r="P2656" s="588">
        <v>11</v>
      </c>
      <c r="Q2656" s="588">
        <v>12</v>
      </c>
      <c r="R2656" s="588">
        <v>62</v>
      </c>
      <c r="S2656" s="588">
        <v>27</v>
      </c>
      <c r="T2656" s="588">
        <v>2019</v>
      </c>
      <c r="U2656" s="588">
        <v>2015</v>
      </c>
      <c r="V2656" s="589"/>
      <c r="W2656" s="589"/>
      <c r="X2656" s="589"/>
      <c r="Y2656" s="589"/>
      <c r="Z2656" s="589"/>
      <c r="AA2656" s="589"/>
      <c r="AB2656" s="589"/>
      <c r="AC2656" s="589"/>
      <c r="AD2656" s="589"/>
      <c r="AE2656" s="589"/>
      <c r="AF2656" s="589"/>
      <c r="AG2656" s="589"/>
      <c r="AH2656" s="589"/>
      <c r="AI2656" s="589"/>
      <c r="AJ2656" s="589"/>
      <c r="AK2656" s="589"/>
      <c r="AL2656" s="589"/>
      <c r="AM2656" s="589"/>
      <c r="AN2656" s="589"/>
      <c r="AO2656" s="589"/>
      <c r="AP2656" s="589"/>
      <c r="AQ2656" s="589"/>
      <c r="AR2656" s="589"/>
      <c r="AS2656" s="589"/>
    </row>
    <row r="2657" spans="1:45" ht="15">
      <c r="A2657" s="590" t="s">
        <v>202</v>
      </c>
      <c r="B2657" s="591" t="s">
        <v>745</v>
      </c>
      <c r="C2657" s="591" t="s">
        <v>801</v>
      </c>
      <c r="D2657" s="592">
        <v>2019</v>
      </c>
      <c r="E2657" s="591" t="s">
        <v>775</v>
      </c>
      <c r="F2657" s="592">
        <v>427</v>
      </c>
      <c r="G2657" s="592">
        <v>3</v>
      </c>
      <c r="H2657" s="592">
        <v>0</v>
      </c>
      <c r="I2657" s="592">
        <v>3</v>
      </c>
      <c r="J2657" s="592">
        <v>299</v>
      </c>
      <c r="K2657" s="592">
        <v>7</v>
      </c>
      <c r="L2657" s="592">
        <v>0</v>
      </c>
      <c r="M2657" s="592">
        <v>7</v>
      </c>
      <c r="N2657" s="593">
        <v>351</v>
      </c>
      <c r="O2657" s="593">
        <v>0</v>
      </c>
      <c r="P2657" s="593">
        <v>813</v>
      </c>
      <c r="Q2657" s="593">
        <v>0</v>
      </c>
      <c r="R2657" s="593">
        <v>1890</v>
      </c>
      <c r="S2657" s="593">
        <v>10</v>
      </c>
      <c r="T2657" s="593">
        <v>2019</v>
      </c>
      <c r="U2657" s="593">
        <v>2014</v>
      </c>
      <c r="V2657" s="589"/>
      <c r="W2657" s="589"/>
      <c r="X2657" s="589"/>
      <c r="Y2657" s="589"/>
      <c r="Z2657" s="589"/>
      <c r="AA2657" s="589"/>
      <c r="AB2657" s="589"/>
      <c r="AC2657" s="589"/>
      <c r="AD2657" s="589"/>
      <c r="AE2657" s="589"/>
      <c r="AF2657" s="589"/>
      <c r="AG2657" s="589"/>
      <c r="AH2657" s="589"/>
      <c r="AI2657" s="589"/>
      <c r="AJ2657" s="589"/>
      <c r="AK2657" s="589"/>
      <c r="AL2657" s="589"/>
      <c r="AM2657" s="589"/>
      <c r="AN2657" s="589"/>
      <c r="AO2657" s="589"/>
      <c r="AP2657" s="589"/>
      <c r="AQ2657" s="589"/>
      <c r="AR2657" s="589"/>
      <c r="AS2657" s="589"/>
    </row>
    <row r="2658" spans="1:45" ht="15">
      <c r="A2658" s="587" t="s">
        <v>202</v>
      </c>
      <c r="B2658" s="587" t="s">
        <v>745</v>
      </c>
      <c r="C2658" s="587" t="s">
        <v>801</v>
      </c>
      <c r="D2658" s="588">
        <v>2019</v>
      </c>
      <c r="E2658" s="587" t="s">
        <v>775</v>
      </c>
      <c r="F2658" s="588">
        <v>427</v>
      </c>
      <c r="G2658" s="588">
        <v>3</v>
      </c>
      <c r="H2658" s="588">
        <v>0</v>
      </c>
      <c r="I2658" s="588">
        <v>3</v>
      </c>
      <c r="J2658" s="588">
        <v>299</v>
      </c>
      <c r="K2658" s="588">
        <v>7</v>
      </c>
      <c r="L2658" s="588">
        <v>0</v>
      </c>
      <c r="M2658" s="588">
        <v>7</v>
      </c>
      <c r="N2658" s="588">
        <v>351</v>
      </c>
      <c r="O2658" s="588">
        <v>0</v>
      </c>
      <c r="P2658" s="588">
        <v>813</v>
      </c>
      <c r="Q2658" s="588">
        <v>0</v>
      </c>
      <c r="R2658" s="588">
        <v>1890</v>
      </c>
      <c r="S2658" s="588">
        <v>10</v>
      </c>
      <c r="T2658" s="588">
        <v>2019</v>
      </c>
      <c r="U2658" s="588">
        <v>2014</v>
      </c>
      <c r="V2658" s="589"/>
      <c r="W2658" s="589"/>
      <c r="X2658" s="589"/>
      <c r="Y2658" s="589"/>
      <c r="Z2658" s="589"/>
      <c r="AA2658" s="589"/>
      <c r="AB2658" s="589"/>
      <c r="AC2658" s="589"/>
      <c r="AD2658" s="589"/>
      <c r="AE2658" s="589"/>
      <c r="AF2658" s="589"/>
      <c r="AG2658" s="589"/>
      <c r="AH2658" s="589"/>
      <c r="AI2658" s="589"/>
      <c r="AJ2658" s="589"/>
      <c r="AK2658" s="589"/>
      <c r="AL2658" s="589"/>
      <c r="AM2658" s="589"/>
      <c r="AN2658" s="589"/>
      <c r="AO2658" s="589"/>
      <c r="AP2658" s="589"/>
      <c r="AQ2658" s="589"/>
      <c r="AR2658" s="589"/>
      <c r="AS2658" s="589"/>
    </row>
    <row r="2659" spans="1:45" ht="15">
      <c r="A2659" s="590" t="s">
        <v>169</v>
      </c>
      <c r="B2659" s="591" t="s">
        <v>518</v>
      </c>
      <c r="C2659" s="591" t="s">
        <v>813</v>
      </c>
      <c r="D2659" s="592">
        <v>2019</v>
      </c>
      <c r="E2659" s="591" t="s">
        <v>775</v>
      </c>
      <c r="F2659" s="592">
        <v>160</v>
      </c>
      <c r="G2659" s="592">
        <v>3</v>
      </c>
      <c r="H2659" s="592">
        <v>0</v>
      </c>
      <c r="I2659" s="592">
        <v>3</v>
      </c>
      <c r="J2659" s="592">
        <v>113</v>
      </c>
      <c r="K2659" s="592">
        <v>0</v>
      </c>
      <c r="L2659" s="592">
        <v>0</v>
      </c>
      <c r="M2659" s="592">
        <v>0</v>
      </c>
      <c r="N2659" s="593">
        <v>126</v>
      </c>
      <c r="O2659" s="593">
        <v>0</v>
      </c>
      <c r="P2659" s="593">
        <v>270</v>
      </c>
      <c r="Q2659" s="593">
        <v>77</v>
      </c>
      <c r="R2659" s="593">
        <v>669</v>
      </c>
      <c r="S2659" s="593">
        <v>80</v>
      </c>
      <c r="T2659" s="593">
        <v>2019</v>
      </c>
      <c r="U2659" s="593">
        <v>2014</v>
      </c>
      <c r="V2659" s="589"/>
      <c r="W2659" s="589"/>
      <c r="X2659" s="589"/>
      <c r="Y2659" s="589"/>
      <c r="Z2659" s="589"/>
      <c r="AA2659" s="589"/>
      <c r="AB2659" s="589"/>
      <c r="AC2659" s="589"/>
      <c r="AD2659" s="589"/>
      <c r="AE2659" s="589"/>
      <c r="AF2659" s="589"/>
      <c r="AG2659" s="589"/>
      <c r="AH2659" s="589"/>
      <c r="AI2659" s="589"/>
      <c r="AJ2659" s="589"/>
      <c r="AK2659" s="589"/>
      <c r="AL2659" s="589"/>
      <c r="AM2659" s="589"/>
      <c r="AN2659" s="589"/>
      <c r="AO2659" s="589"/>
      <c r="AP2659" s="589"/>
      <c r="AQ2659" s="589"/>
      <c r="AR2659" s="589"/>
      <c r="AS2659" s="589"/>
    </row>
    <row r="2660" spans="1:45" ht="15">
      <c r="A2660" s="587" t="s">
        <v>169</v>
      </c>
      <c r="B2660" s="587" t="s">
        <v>518</v>
      </c>
      <c r="C2660" s="587" t="s">
        <v>813</v>
      </c>
      <c r="D2660" s="588">
        <v>2019</v>
      </c>
      <c r="E2660" s="587" t="s">
        <v>775</v>
      </c>
      <c r="F2660" s="588">
        <v>160</v>
      </c>
      <c r="G2660" s="588">
        <v>3</v>
      </c>
      <c r="H2660" s="588">
        <v>0</v>
      </c>
      <c r="I2660" s="588">
        <v>3</v>
      </c>
      <c r="J2660" s="588">
        <v>113</v>
      </c>
      <c r="K2660" s="588">
        <v>0</v>
      </c>
      <c r="L2660" s="588">
        <v>0</v>
      </c>
      <c r="M2660" s="588">
        <v>0</v>
      </c>
      <c r="N2660" s="588">
        <v>126</v>
      </c>
      <c r="O2660" s="588">
        <v>0</v>
      </c>
      <c r="P2660" s="588">
        <v>270</v>
      </c>
      <c r="Q2660" s="588">
        <v>77</v>
      </c>
      <c r="R2660" s="588">
        <v>669</v>
      </c>
      <c r="S2660" s="588">
        <v>80</v>
      </c>
      <c r="T2660" s="588">
        <v>2019</v>
      </c>
      <c r="U2660" s="588">
        <v>2014</v>
      </c>
      <c r="V2660" s="589"/>
      <c r="W2660" s="589"/>
      <c r="X2660" s="589"/>
      <c r="Y2660" s="589"/>
      <c r="Z2660" s="589"/>
      <c r="AA2660" s="589"/>
      <c r="AB2660" s="589"/>
      <c r="AC2660" s="589"/>
      <c r="AD2660" s="589"/>
      <c r="AE2660" s="589"/>
      <c r="AF2660" s="589"/>
      <c r="AG2660" s="589"/>
      <c r="AH2660" s="589"/>
      <c r="AI2660" s="589"/>
      <c r="AJ2660" s="589"/>
      <c r="AK2660" s="589"/>
      <c r="AL2660" s="589"/>
      <c r="AM2660" s="589"/>
      <c r="AN2660" s="589"/>
      <c r="AO2660" s="589"/>
      <c r="AP2660" s="589"/>
      <c r="AQ2660" s="589"/>
      <c r="AR2660" s="589"/>
      <c r="AS2660" s="589"/>
    </row>
    <row r="2661" spans="1:45" ht="15">
      <c r="A2661" s="590" t="s">
        <v>166</v>
      </c>
      <c r="B2661" s="591" t="s">
        <v>480</v>
      </c>
      <c r="C2661" s="591" t="s">
        <v>782</v>
      </c>
      <c r="D2661" s="592">
        <v>2019</v>
      </c>
      <c r="E2661" s="591" t="s">
        <v>775</v>
      </c>
      <c r="F2661" s="592">
        <v>4</v>
      </c>
      <c r="G2661" s="592">
        <v>0</v>
      </c>
      <c r="H2661" s="592">
        <v>0</v>
      </c>
      <c r="I2661" s="592">
        <v>0</v>
      </c>
      <c r="J2661" s="592">
        <v>2</v>
      </c>
      <c r="K2661" s="592">
        <v>0</v>
      </c>
      <c r="L2661" s="592">
        <v>0</v>
      </c>
      <c r="M2661" s="592">
        <v>0</v>
      </c>
      <c r="N2661" s="593">
        <v>3</v>
      </c>
      <c r="O2661" s="593">
        <v>0</v>
      </c>
      <c r="P2661" s="593">
        <v>8</v>
      </c>
      <c r="Q2661" s="593">
        <v>0</v>
      </c>
      <c r="R2661" s="593">
        <v>17</v>
      </c>
      <c r="S2661" s="593">
        <v>0</v>
      </c>
      <c r="T2661" s="593">
        <v>2019</v>
      </c>
      <c r="U2661" s="593">
        <v>2015</v>
      </c>
      <c r="V2661" s="589"/>
      <c r="W2661" s="589"/>
      <c r="X2661" s="589"/>
      <c r="Y2661" s="589"/>
      <c r="Z2661" s="589"/>
      <c r="AA2661" s="589"/>
      <c r="AB2661" s="589"/>
      <c r="AC2661" s="589"/>
      <c r="AD2661" s="589"/>
      <c r="AE2661" s="589"/>
      <c r="AF2661" s="589"/>
      <c r="AG2661" s="589"/>
      <c r="AH2661" s="589"/>
      <c r="AI2661" s="589"/>
      <c r="AJ2661" s="589"/>
      <c r="AK2661" s="589"/>
      <c r="AL2661" s="589"/>
      <c r="AM2661" s="589"/>
      <c r="AN2661" s="589"/>
      <c r="AO2661" s="589"/>
      <c r="AP2661" s="589"/>
      <c r="AQ2661" s="589"/>
      <c r="AR2661" s="589"/>
      <c r="AS2661" s="589"/>
    </row>
    <row r="2662" spans="1:45" ht="15">
      <c r="A2662" s="587" t="s">
        <v>166</v>
      </c>
      <c r="B2662" s="587" t="s">
        <v>480</v>
      </c>
      <c r="C2662" s="587" t="s">
        <v>782</v>
      </c>
      <c r="D2662" s="588">
        <v>2019</v>
      </c>
      <c r="E2662" s="587" t="s">
        <v>775</v>
      </c>
      <c r="F2662" s="588">
        <v>4</v>
      </c>
      <c r="G2662" s="588">
        <v>0</v>
      </c>
      <c r="H2662" s="588">
        <v>0</v>
      </c>
      <c r="I2662" s="588">
        <v>0</v>
      </c>
      <c r="J2662" s="588">
        <v>2</v>
      </c>
      <c r="K2662" s="588">
        <v>0</v>
      </c>
      <c r="L2662" s="588">
        <v>0</v>
      </c>
      <c r="M2662" s="588">
        <v>0</v>
      </c>
      <c r="N2662" s="588">
        <v>3</v>
      </c>
      <c r="O2662" s="588">
        <v>0</v>
      </c>
      <c r="P2662" s="588">
        <v>8</v>
      </c>
      <c r="Q2662" s="588">
        <v>0</v>
      </c>
      <c r="R2662" s="588">
        <v>17</v>
      </c>
      <c r="S2662" s="588">
        <v>0</v>
      </c>
      <c r="T2662" s="588">
        <v>2019</v>
      </c>
      <c r="U2662" s="588">
        <v>2015</v>
      </c>
      <c r="V2662" s="589"/>
      <c r="W2662" s="589"/>
      <c r="X2662" s="589"/>
      <c r="Y2662" s="589"/>
      <c r="Z2662" s="589"/>
      <c r="AA2662" s="589"/>
      <c r="AB2662" s="589"/>
      <c r="AC2662" s="589"/>
      <c r="AD2662" s="589"/>
      <c r="AE2662" s="589"/>
      <c r="AF2662" s="589"/>
      <c r="AG2662" s="589"/>
      <c r="AH2662" s="589"/>
      <c r="AI2662" s="589"/>
      <c r="AJ2662" s="589"/>
      <c r="AK2662" s="589"/>
      <c r="AL2662" s="589"/>
      <c r="AM2662" s="589"/>
      <c r="AN2662" s="589"/>
      <c r="AO2662" s="589"/>
      <c r="AP2662" s="589"/>
      <c r="AQ2662" s="589"/>
      <c r="AR2662" s="589"/>
      <c r="AS2662" s="589"/>
    </row>
    <row r="2663" spans="1:45" ht="15">
      <c r="A2663" s="590" t="s">
        <v>191</v>
      </c>
      <c r="B2663" s="591" t="s">
        <v>685</v>
      </c>
      <c r="C2663" s="591" t="s">
        <v>785</v>
      </c>
      <c r="D2663" s="592">
        <v>2019</v>
      </c>
      <c r="E2663" s="591" t="s">
        <v>775</v>
      </c>
      <c r="F2663" s="592">
        <v>25</v>
      </c>
      <c r="G2663" s="592">
        <v>0</v>
      </c>
      <c r="H2663" s="592">
        <v>0</v>
      </c>
      <c r="I2663" s="592">
        <v>0</v>
      </c>
      <c r="J2663" s="592">
        <v>17</v>
      </c>
      <c r="K2663" s="592">
        <v>0</v>
      </c>
      <c r="L2663" s="592">
        <v>0</v>
      </c>
      <c r="M2663" s="592">
        <v>0</v>
      </c>
      <c r="N2663" s="593">
        <v>18</v>
      </c>
      <c r="O2663" s="593">
        <v>0</v>
      </c>
      <c r="P2663" s="593">
        <v>43</v>
      </c>
      <c r="Q2663" s="593">
        <v>0</v>
      </c>
      <c r="R2663" s="593">
        <v>103</v>
      </c>
      <c r="S2663" s="593">
        <v>0</v>
      </c>
      <c r="T2663" s="593">
        <v>2019</v>
      </c>
      <c r="U2663" s="593">
        <v>2014</v>
      </c>
      <c r="V2663" s="589"/>
      <c r="W2663" s="589"/>
      <c r="X2663" s="589"/>
      <c r="Y2663" s="589"/>
      <c r="Z2663" s="589"/>
      <c r="AA2663" s="589"/>
      <c r="AB2663" s="589"/>
      <c r="AC2663" s="589"/>
      <c r="AD2663" s="589"/>
      <c r="AE2663" s="589"/>
      <c r="AF2663" s="589"/>
      <c r="AG2663" s="589"/>
      <c r="AH2663" s="589"/>
      <c r="AI2663" s="589"/>
      <c r="AJ2663" s="589"/>
      <c r="AK2663" s="589"/>
      <c r="AL2663" s="589"/>
      <c r="AM2663" s="589"/>
      <c r="AN2663" s="589"/>
      <c r="AO2663" s="589"/>
      <c r="AP2663" s="589"/>
      <c r="AQ2663" s="589"/>
      <c r="AR2663" s="589"/>
      <c r="AS2663" s="589"/>
    </row>
    <row r="2664" spans="1:45" ht="15">
      <c r="A2664" s="587" t="s">
        <v>191</v>
      </c>
      <c r="B2664" s="587" t="s">
        <v>685</v>
      </c>
      <c r="C2664" s="587" t="s">
        <v>785</v>
      </c>
      <c r="D2664" s="588">
        <v>2019</v>
      </c>
      <c r="E2664" s="587" t="s">
        <v>775</v>
      </c>
      <c r="F2664" s="588">
        <v>25</v>
      </c>
      <c r="G2664" s="588">
        <v>0</v>
      </c>
      <c r="H2664" s="588">
        <v>0</v>
      </c>
      <c r="I2664" s="588">
        <v>0</v>
      </c>
      <c r="J2664" s="588">
        <v>17</v>
      </c>
      <c r="K2664" s="588">
        <v>0</v>
      </c>
      <c r="L2664" s="588">
        <v>0</v>
      </c>
      <c r="M2664" s="588">
        <v>0</v>
      </c>
      <c r="N2664" s="588">
        <v>18</v>
      </c>
      <c r="O2664" s="588">
        <v>0</v>
      </c>
      <c r="P2664" s="588">
        <v>43</v>
      </c>
      <c r="Q2664" s="588">
        <v>0</v>
      </c>
      <c r="R2664" s="588">
        <v>103</v>
      </c>
      <c r="S2664" s="588">
        <v>0</v>
      </c>
      <c r="T2664" s="588">
        <v>2019</v>
      </c>
      <c r="U2664" s="588">
        <v>2014</v>
      </c>
      <c r="V2664" s="589"/>
      <c r="W2664" s="589"/>
      <c r="X2664" s="589"/>
      <c r="Y2664" s="589"/>
      <c r="Z2664" s="589"/>
      <c r="AA2664" s="589"/>
      <c r="AB2664" s="589"/>
      <c r="AC2664" s="589"/>
      <c r="AD2664" s="589"/>
      <c r="AE2664" s="589"/>
      <c r="AF2664" s="589"/>
      <c r="AG2664" s="589"/>
      <c r="AH2664" s="589"/>
      <c r="AI2664" s="589"/>
      <c r="AJ2664" s="589"/>
      <c r="AK2664" s="589"/>
      <c r="AL2664" s="589"/>
      <c r="AM2664" s="589"/>
      <c r="AN2664" s="589"/>
      <c r="AO2664" s="589"/>
      <c r="AP2664" s="589"/>
      <c r="AQ2664" s="589"/>
      <c r="AR2664" s="589"/>
      <c r="AS2664" s="589"/>
    </row>
    <row r="2665" spans="1:45" ht="15">
      <c r="A2665" s="590" t="s">
        <v>196</v>
      </c>
      <c r="B2665" s="591" t="s">
        <v>715</v>
      </c>
      <c r="C2665" s="591" t="s">
        <v>801</v>
      </c>
      <c r="D2665" s="592">
        <v>2019</v>
      </c>
      <c r="E2665" s="591" t="s">
        <v>775</v>
      </c>
      <c r="F2665" s="592">
        <v>624</v>
      </c>
      <c r="G2665" s="592">
        <v>0</v>
      </c>
      <c r="H2665" s="592">
        <v>0</v>
      </c>
      <c r="I2665" s="592">
        <v>0</v>
      </c>
      <c r="J2665" s="592">
        <v>437</v>
      </c>
      <c r="K2665" s="592">
        <v>0</v>
      </c>
      <c r="L2665" s="592">
        <v>0</v>
      </c>
      <c r="M2665" s="592">
        <v>0</v>
      </c>
      <c r="N2665" s="593">
        <v>498</v>
      </c>
      <c r="O2665" s="593">
        <v>0</v>
      </c>
      <c r="P2665" s="593">
        <v>1120</v>
      </c>
      <c r="Q2665" s="593">
        <v>0</v>
      </c>
      <c r="R2665" s="593">
        <v>2679</v>
      </c>
      <c r="S2665" s="593">
        <v>0</v>
      </c>
      <c r="T2665" s="593">
        <v>2019</v>
      </c>
      <c r="U2665" s="593">
        <v>2014</v>
      </c>
      <c r="V2665" s="589"/>
      <c r="W2665" s="589"/>
      <c r="X2665" s="589"/>
      <c r="Y2665" s="589"/>
      <c r="Z2665" s="589"/>
      <c r="AA2665" s="589"/>
      <c r="AB2665" s="589"/>
      <c r="AC2665" s="589"/>
      <c r="AD2665" s="589"/>
      <c r="AE2665" s="589"/>
      <c r="AF2665" s="589"/>
      <c r="AG2665" s="589"/>
      <c r="AH2665" s="589"/>
      <c r="AI2665" s="589"/>
      <c r="AJ2665" s="589"/>
      <c r="AK2665" s="589"/>
      <c r="AL2665" s="589"/>
      <c r="AM2665" s="589"/>
      <c r="AN2665" s="589"/>
      <c r="AO2665" s="589"/>
      <c r="AP2665" s="589"/>
      <c r="AQ2665" s="589"/>
      <c r="AR2665" s="589"/>
      <c r="AS2665" s="589"/>
    </row>
    <row r="2666" spans="1:45" ht="15">
      <c r="A2666" s="587" t="s">
        <v>196</v>
      </c>
      <c r="B2666" s="587" t="s">
        <v>715</v>
      </c>
      <c r="C2666" s="587" t="s">
        <v>801</v>
      </c>
      <c r="D2666" s="588">
        <v>2019</v>
      </c>
      <c r="E2666" s="587" t="s">
        <v>775</v>
      </c>
      <c r="F2666" s="588">
        <v>624</v>
      </c>
      <c r="G2666" s="588">
        <v>0</v>
      </c>
      <c r="H2666" s="588">
        <v>0</v>
      </c>
      <c r="I2666" s="588">
        <v>0</v>
      </c>
      <c r="J2666" s="588">
        <v>437</v>
      </c>
      <c r="K2666" s="588">
        <v>0</v>
      </c>
      <c r="L2666" s="588">
        <v>0</v>
      </c>
      <c r="M2666" s="588">
        <v>0</v>
      </c>
      <c r="N2666" s="588">
        <v>498</v>
      </c>
      <c r="O2666" s="588">
        <v>0</v>
      </c>
      <c r="P2666" s="588">
        <v>1120</v>
      </c>
      <c r="Q2666" s="588">
        <v>0</v>
      </c>
      <c r="R2666" s="588">
        <v>2679</v>
      </c>
      <c r="S2666" s="588">
        <v>0</v>
      </c>
      <c r="T2666" s="588">
        <v>2019</v>
      </c>
      <c r="U2666" s="588">
        <v>2014</v>
      </c>
      <c r="V2666" s="589"/>
      <c r="W2666" s="589"/>
      <c r="X2666" s="589"/>
      <c r="Y2666" s="589"/>
      <c r="Z2666" s="589"/>
      <c r="AA2666" s="589"/>
      <c r="AB2666" s="589"/>
      <c r="AC2666" s="589"/>
      <c r="AD2666" s="589"/>
      <c r="AE2666" s="589"/>
      <c r="AF2666" s="589"/>
      <c r="AG2666" s="589"/>
      <c r="AH2666" s="589"/>
      <c r="AI2666" s="589"/>
      <c r="AJ2666" s="589"/>
      <c r="AK2666" s="589"/>
      <c r="AL2666" s="589"/>
      <c r="AM2666" s="589"/>
      <c r="AN2666" s="589"/>
      <c r="AO2666" s="589"/>
      <c r="AP2666" s="589"/>
      <c r="AQ2666" s="589"/>
      <c r="AR2666" s="589"/>
      <c r="AS2666" s="589"/>
    </row>
    <row r="2667" spans="1:45" ht="15">
      <c r="A2667" s="590" t="s">
        <v>204</v>
      </c>
      <c r="B2667" s="591" t="s">
        <v>748</v>
      </c>
      <c r="C2667" s="591" t="s">
        <v>801</v>
      </c>
      <c r="D2667" s="592">
        <v>2019</v>
      </c>
      <c r="E2667" s="591" t="s">
        <v>775</v>
      </c>
      <c r="F2667" s="592">
        <v>1036</v>
      </c>
      <c r="G2667" s="592">
        <v>14</v>
      </c>
      <c r="H2667" s="592">
        <v>14</v>
      </c>
      <c r="I2667" s="592">
        <v>0</v>
      </c>
      <c r="J2667" s="592">
        <v>727</v>
      </c>
      <c r="K2667" s="592">
        <v>0</v>
      </c>
      <c r="L2667" s="592">
        <v>0</v>
      </c>
      <c r="M2667" s="592">
        <v>0</v>
      </c>
      <c r="N2667" s="593">
        <v>870</v>
      </c>
      <c r="O2667" s="593">
        <v>0</v>
      </c>
      <c r="P2667" s="593">
        <v>2043</v>
      </c>
      <c r="Q2667" s="593">
        <v>689</v>
      </c>
      <c r="R2667" s="593">
        <v>4676</v>
      </c>
      <c r="S2667" s="593">
        <v>703</v>
      </c>
      <c r="T2667" s="593">
        <v>2019</v>
      </c>
      <c r="U2667" s="593">
        <v>2014</v>
      </c>
      <c r="V2667" s="589"/>
      <c r="W2667" s="589"/>
      <c r="X2667" s="589"/>
      <c r="Y2667" s="589"/>
      <c r="Z2667" s="589"/>
      <c r="AA2667" s="589"/>
      <c r="AB2667" s="589"/>
      <c r="AC2667" s="589"/>
      <c r="AD2667" s="589"/>
      <c r="AE2667" s="589"/>
      <c r="AF2667" s="589"/>
      <c r="AG2667" s="589"/>
      <c r="AH2667" s="589"/>
      <c r="AI2667" s="589"/>
      <c r="AJ2667" s="589"/>
      <c r="AK2667" s="589"/>
      <c r="AL2667" s="589"/>
      <c r="AM2667" s="589"/>
      <c r="AN2667" s="589"/>
      <c r="AO2667" s="589"/>
      <c r="AP2667" s="589"/>
      <c r="AQ2667" s="589"/>
      <c r="AR2667" s="589"/>
      <c r="AS2667" s="589"/>
    </row>
    <row r="2668" spans="1:45" ht="15">
      <c r="A2668" s="587" t="s">
        <v>204</v>
      </c>
      <c r="B2668" s="587" t="s">
        <v>748</v>
      </c>
      <c r="C2668" s="587" t="s">
        <v>801</v>
      </c>
      <c r="D2668" s="588">
        <v>2019</v>
      </c>
      <c r="E2668" s="587" t="s">
        <v>775</v>
      </c>
      <c r="F2668" s="588">
        <v>1036</v>
      </c>
      <c r="G2668" s="588">
        <v>14</v>
      </c>
      <c r="H2668" s="588">
        <v>14</v>
      </c>
      <c r="I2668" s="588">
        <v>0</v>
      </c>
      <c r="J2668" s="588">
        <v>727</v>
      </c>
      <c r="K2668" s="588">
        <v>0</v>
      </c>
      <c r="L2668" s="588">
        <v>0</v>
      </c>
      <c r="M2668" s="588">
        <v>0</v>
      </c>
      <c r="N2668" s="588">
        <v>870</v>
      </c>
      <c r="O2668" s="588">
        <v>0</v>
      </c>
      <c r="P2668" s="588">
        <v>2043</v>
      </c>
      <c r="Q2668" s="588">
        <v>689</v>
      </c>
      <c r="R2668" s="588">
        <v>4676</v>
      </c>
      <c r="S2668" s="588">
        <v>703</v>
      </c>
      <c r="T2668" s="588">
        <v>2019</v>
      </c>
      <c r="U2668" s="588">
        <v>2014</v>
      </c>
      <c r="V2668" s="589"/>
      <c r="W2668" s="589"/>
      <c r="X2668" s="589"/>
      <c r="Y2668" s="589"/>
      <c r="Z2668" s="589"/>
      <c r="AA2668" s="589"/>
      <c r="AB2668" s="589"/>
      <c r="AC2668" s="589"/>
      <c r="AD2668" s="589"/>
      <c r="AE2668" s="589"/>
      <c r="AF2668" s="589"/>
      <c r="AG2668" s="589"/>
      <c r="AH2668" s="589"/>
      <c r="AI2668" s="589"/>
      <c r="AJ2668" s="589"/>
      <c r="AK2668" s="589"/>
      <c r="AL2668" s="589"/>
      <c r="AM2668" s="589"/>
      <c r="AN2668" s="589"/>
      <c r="AO2668" s="589"/>
      <c r="AP2668" s="589"/>
      <c r="AQ2668" s="589"/>
      <c r="AR2668" s="589"/>
      <c r="AS2668" s="589"/>
    </row>
    <row r="2669" spans="1:45" ht="15">
      <c r="A2669" s="590" t="s">
        <v>178</v>
      </c>
      <c r="B2669" s="591" t="s">
        <v>588</v>
      </c>
      <c r="C2669" s="591" t="s">
        <v>813</v>
      </c>
      <c r="D2669" s="592">
        <v>2019</v>
      </c>
      <c r="E2669" s="591" t="s">
        <v>775</v>
      </c>
      <c r="F2669" s="592">
        <v>376</v>
      </c>
      <c r="G2669" s="592">
        <v>0</v>
      </c>
      <c r="H2669" s="592">
        <v>0</v>
      </c>
      <c r="I2669" s="592">
        <v>0</v>
      </c>
      <c r="J2669" s="592">
        <v>261</v>
      </c>
      <c r="K2669" s="592">
        <v>5</v>
      </c>
      <c r="L2669" s="592">
        <v>0</v>
      </c>
      <c r="M2669" s="592">
        <v>5</v>
      </c>
      <c r="N2669" s="593">
        <v>299</v>
      </c>
      <c r="O2669" s="593">
        <v>0</v>
      </c>
      <c r="P2669" s="593">
        <v>669</v>
      </c>
      <c r="Q2669" s="593">
        <v>33</v>
      </c>
      <c r="R2669" s="593">
        <v>1605</v>
      </c>
      <c r="S2669" s="593">
        <v>38</v>
      </c>
      <c r="T2669" s="593">
        <v>2019</v>
      </c>
      <c r="U2669" s="593">
        <v>2014</v>
      </c>
      <c r="V2669" s="589"/>
      <c r="W2669" s="589"/>
      <c r="X2669" s="589"/>
      <c r="Y2669" s="589"/>
      <c r="Z2669" s="589"/>
      <c r="AA2669" s="589"/>
      <c r="AB2669" s="589"/>
      <c r="AC2669" s="589"/>
      <c r="AD2669" s="589"/>
      <c r="AE2669" s="589"/>
      <c r="AF2669" s="589"/>
      <c r="AG2669" s="589"/>
      <c r="AH2669" s="589"/>
      <c r="AI2669" s="589"/>
      <c r="AJ2669" s="589"/>
      <c r="AK2669" s="589"/>
      <c r="AL2669" s="589"/>
      <c r="AM2669" s="589"/>
      <c r="AN2669" s="589"/>
      <c r="AO2669" s="589"/>
      <c r="AP2669" s="589"/>
      <c r="AQ2669" s="589"/>
      <c r="AR2669" s="589"/>
      <c r="AS2669" s="589"/>
    </row>
    <row r="2670" spans="1:45" ht="15">
      <c r="A2670" s="587" t="s">
        <v>178</v>
      </c>
      <c r="B2670" s="587" t="s">
        <v>588</v>
      </c>
      <c r="C2670" s="587" t="s">
        <v>813</v>
      </c>
      <c r="D2670" s="588">
        <v>2019</v>
      </c>
      <c r="E2670" s="587" t="s">
        <v>775</v>
      </c>
      <c r="F2670" s="588">
        <v>376</v>
      </c>
      <c r="G2670" s="588">
        <v>0</v>
      </c>
      <c r="H2670" s="588">
        <v>0</v>
      </c>
      <c r="I2670" s="588">
        <v>0</v>
      </c>
      <c r="J2670" s="588">
        <v>261</v>
      </c>
      <c r="K2670" s="588">
        <v>5</v>
      </c>
      <c r="L2670" s="588">
        <v>0</v>
      </c>
      <c r="M2670" s="588">
        <v>5</v>
      </c>
      <c r="N2670" s="588">
        <v>299</v>
      </c>
      <c r="O2670" s="588">
        <v>0</v>
      </c>
      <c r="P2670" s="588">
        <v>669</v>
      </c>
      <c r="Q2670" s="588">
        <v>33</v>
      </c>
      <c r="R2670" s="588">
        <v>1605</v>
      </c>
      <c r="S2670" s="588">
        <v>38</v>
      </c>
      <c r="T2670" s="588">
        <v>2019</v>
      </c>
      <c r="U2670" s="588">
        <v>2014</v>
      </c>
      <c r="V2670" s="589"/>
      <c r="W2670" s="589"/>
      <c r="X2670" s="589"/>
      <c r="Y2670" s="589"/>
      <c r="Z2670" s="589"/>
      <c r="AA2670" s="589"/>
      <c r="AB2670" s="589"/>
      <c r="AC2670" s="589"/>
      <c r="AD2670" s="589"/>
      <c r="AE2670" s="589"/>
      <c r="AF2670" s="589"/>
      <c r="AG2670" s="589"/>
      <c r="AH2670" s="589"/>
      <c r="AI2670" s="589"/>
      <c r="AJ2670" s="589"/>
      <c r="AK2670" s="589"/>
      <c r="AL2670" s="589"/>
      <c r="AM2670" s="589"/>
      <c r="AN2670" s="589"/>
      <c r="AO2670" s="589"/>
      <c r="AP2670" s="589"/>
      <c r="AQ2670" s="589"/>
      <c r="AR2670" s="589"/>
      <c r="AS2670" s="589"/>
    </row>
    <row r="2671" spans="1:45" ht="15">
      <c r="A2671" s="590" t="s">
        <v>178</v>
      </c>
      <c r="B2671" s="591" t="s">
        <v>589</v>
      </c>
      <c r="C2671" s="591" t="s">
        <v>813</v>
      </c>
      <c r="D2671" s="592">
        <v>2019</v>
      </c>
      <c r="E2671" s="591" t="s">
        <v>775</v>
      </c>
      <c r="F2671" s="592">
        <v>209</v>
      </c>
      <c r="G2671" s="592">
        <v>0</v>
      </c>
      <c r="H2671" s="592">
        <v>0</v>
      </c>
      <c r="I2671" s="592">
        <v>0</v>
      </c>
      <c r="J2671" s="592">
        <v>149</v>
      </c>
      <c r="K2671" s="592">
        <v>0</v>
      </c>
      <c r="L2671" s="592">
        <v>0</v>
      </c>
      <c r="M2671" s="592">
        <v>0</v>
      </c>
      <c r="N2671" s="593">
        <v>172</v>
      </c>
      <c r="O2671" s="593">
        <v>0</v>
      </c>
      <c r="P2671" s="593">
        <v>400</v>
      </c>
      <c r="Q2671" s="593">
        <v>21</v>
      </c>
      <c r="R2671" s="593">
        <v>930</v>
      </c>
      <c r="S2671" s="593">
        <v>21</v>
      </c>
      <c r="T2671" s="593">
        <v>2019</v>
      </c>
      <c r="U2671" s="593">
        <v>2014</v>
      </c>
      <c r="V2671" s="589"/>
      <c r="W2671" s="589"/>
      <c r="X2671" s="589"/>
      <c r="Y2671" s="589"/>
      <c r="Z2671" s="589"/>
      <c r="AA2671" s="589"/>
      <c r="AB2671" s="589"/>
      <c r="AC2671" s="589"/>
      <c r="AD2671" s="589"/>
      <c r="AE2671" s="589"/>
      <c r="AF2671" s="589"/>
      <c r="AG2671" s="589"/>
      <c r="AH2671" s="589"/>
      <c r="AI2671" s="589"/>
      <c r="AJ2671" s="589"/>
      <c r="AK2671" s="589"/>
      <c r="AL2671" s="589"/>
      <c r="AM2671" s="589"/>
      <c r="AN2671" s="589"/>
      <c r="AO2671" s="589"/>
      <c r="AP2671" s="589"/>
      <c r="AQ2671" s="589"/>
      <c r="AR2671" s="589"/>
      <c r="AS2671" s="589"/>
    </row>
    <row r="2672" spans="1:45" ht="15">
      <c r="A2672" s="587" t="s">
        <v>178</v>
      </c>
      <c r="B2672" s="587" t="s">
        <v>589</v>
      </c>
      <c r="C2672" s="587" t="s">
        <v>813</v>
      </c>
      <c r="D2672" s="588">
        <v>2019</v>
      </c>
      <c r="E2672" s="587" t="s">
        <v>775</v>
      </c>
      <c r="F2672" s="588">
        <v>209</v>
      </c>
      <c r="G2672" s="588">
        <v>0</v>
      </c>
      <c r="H2672" s="588">
        <v>0</v>
      </c>
      <c r="I2672" s="588">
        <v>0</v>
      </c>
      <c r="J2672" s="588">
        <v>149</v>
      </c>
      <c r="K2672" s="588">
        <v>0</v>
      </c>
      <c r="L2672" s="588">
        <v>0</v>
      </c>
      <c r="M2672" s="588">
        <v>0</v>
      </c>
      <c r="N2672" s="588">
        <v>172</v>
      </c>
      <c r="O2672" s="588">
        <v>0</v>
      </c>
      <c r="P2672" s="588">
        <v>400</v>
      </c>
      <c r="Q2672" s="588">
        <v>21</v>
      </c>
      <c r="R2672" s="588">
        <v>930</v>
      </c>
      <c r="S2672" s="588">
        <v>21</v>
      </c>
      <c r="T2672" s="588">
        <v>2019</v>
      </c>
      <c r="U2672" s="588">
        <v>2014</v>
      </c>
      <c r="V2672" s="589"/>
      <c r="W2672" s="589"/>
      <c r="X2672" s="589"/>
      <c r="Y2672" s="589"/>
      <c r="Z2672" s="589"/>
      <c r="AA2672" s="589"/>
      <c r="AB2672" s="589"/>
      <c r="AC2672" s="589"/>
      <c r="AD2672" s="589"/>
      <c r="AE2672" s="589"/>
      <c r="AF2672" s="589"/>
      <c r="AG2672" s="589"/>
      <c r="AH2672" s="589"/>
      <c r="AI2672" s="589"/>
      <c r="AJ2672" s="589"/>
      <c r="AK2672" s="589"/>
      <c r="AL2672" s="589"/>
      <c r="AM2672" s="589"/>
      <c r="AN2672" s="589"/>
      <c r="AO2672" s="589"/>
      <c r="AP2672" s="589"/>
      <c r="AQ2672" s="589"/>
      <c r="AR2672" s="589"/>
      <c r="AS2672" s="58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DEBF7"/>
    <outlinePr summaryBelow="0" summaryRight="0"/>
    <pageSetUpPr fitToPage="1"/>
  </sheetPr>
  <dimension ref="A1:R1002"/>
  <sheetViews>
    <sheetView workbookViewId="0"/>
  </sheetViews>
  <sheetFormatPr defaultColWidth="14.42578125" defaultRowHeight="15.75" customHeight="1"/>
  <cols>
    <col min="1" max="1" width="20.140625" customWidth="1"/>
    <col min="2" max="2" width="23.5703125" customWidth="1"/>
    <col min="3" max="3" width="31.42578125" customWidth="1"/>
    <col min="4" max="4" width="24.28515625" customWidth="1"/>
    <col min="5" max="6" width="27.5703125" customWidth="1"/>
    <col min="7" max="7" width="26.140625" customWidth="1"/>
    <col min="8" max="8" width="24.140625" customWidth="1"/>
    <col min="12" max="12" width="22" customWidth="1"/>
    <col min="13" max="13" width="23.42578125" customWidth="1"/>
    <col min="14" max="14" width="2.28515625" customWidth="1"/>
    <col min="15" max="15" width="26.5703125" customWidth="1"/>
    <col min="16" max="16" width="26.7109375" customWidth="1"/>
  </cols>
  <sheetData>
    <row r="1" spans="1:18" ht="15.75" customHeight="1">
      <c r="A1" s="594"/>
      <c r="B1" s="595" t="s">
        <v>973</v>
      </c>
      <c r="C1" s="531"/>
      <c r="D1" s="531"/>
      <c r="E1" s="531"/>
      <c r="F1" s="531"/>
      <c r="G1" s="531"/>
      <c r="H1" s="531"/>
      <c r="I1" s="531"/>
      <c r="J1" s="531"/>
      <c r="K1" s="531"/>
      <c r="L1" s="596"/>
      <c r="M1" s="596"/>
      <c r="O1" s="85"/>
      <c r="P1" s="85"/>
    </row>
    <row r="2" spans="1:18" ht="15.75" customHeight="1">
      <c r="A2" s="597"/>
      <c r="B2" s="531"/>
      <c r="C2" s="531"/>
      <c r="D2" s="531"/>
      <c r="E2" s="531"/>
      <c r="F2" s="531"/>
      <c r="G2" s="531"/>
      <c r="H2" s="531"/>
      <c r="I2" s="531"/>
      <c r="J2" s="531"/>
      <c r="K2" s="531"/>
      <c r="L2" s="598"/>
      <c r="M2" s="598"/>
      <c r="N2" s="81"/>
      <c r="O2" s="180"/>
      <c r="P2" s="180"/>
      <c r="Q2" s="81"/>
      <c r="R2" s="81"/>
    </row>
    <row r="3" spans="1:18" ht="15.75" customHeight="1">
      <c r="A3" s="715" t="s">
        <v>974</v>
      </c>
      <c r="B3" s="712"/>
      <c r="C3" s="712"/>
      <c r="D3" s="712"/>
      <c r="E3" s="712"/>
      <c r="F3" s="712"/>
      <c r="G3" s="712"/>
      <c r="H3" s="712"/>
      <c r="I3" s="712"/>
      <c r="J3" s="712"/>
      <c r="K3" s="712"/>
      <c r="L3" s="60"/>
      <c r="M3" s="60"/>
      <c r="N3" s="27"/>
      <c r="O3" s="56"/>
      <c r="P3" s="56"/>
      <c r="Q3" s="27"/>
      <c r="R3" s="27"/>
    </row>
    <row r="4" spans="1:18">
      <c r="A4" s="599"/>
      <c r="B4" s="600"/>
      <c r="C4" s="600"/>
      <c r="D4" s="601"/>
      <c r="E4" s="601"/>
      <c r="F4" s="601"/>
      <c r="G4" s="601"/>
      <c r="H4" s="602"/>
      <c r="K4" s="100"/>
      <c r="L4" s="596"/>
      <c r="M4" s="596"/>
      <c r="O4" s="85"/>
      <c r="P4" s="85"/>
    </row>
    <row r="5" spans="1:18" ht="15.75" customHeight="1">
      <c r="A5" s="599"/>
      <c r="B5" s="716" t="s">
        <v>975</v>
      </c>
      <c r="C5" s="688"/>
      <c r="D5" s="717" t="s">
        <v>976</v>
      </c>
      <c r="E5" s="712"/>
      <c r="F5" s="712"/>
      <c r="G5" s="712"/>
      <c r="H5" s="693"/>
      <c r="K5" s="603" t="s">
        <v>977</v>
      </c>
      <c r="L5" s="604" t="s">
        <v>978</v>
      </c>
      <c r="M5" s="604" t="s">
        <v>979</v>
      </c>
      <c r="N5" s="605"/>
      <c r="O5" s="603" t="s">
        <v>980</v>
      </c>
      <c r="P5" s="603" t="s">
        <v>981</v>
      </c>
    </row>
    <row r="6" spans="1:18">
      <c r="A6" s="599"/>
      <c r="B6" s="606"/>
      <c r="C6" s="607"/>
      <c r="D6" s="608" t="s">
        <v>104</v>
      </c>
      <c r="E6" s="608" t="s">
        <v>105</v>
      </c>
      <c r="F6" s="608" t="s">
        <v>106</v>
      </c>
      <c r="G6" s="608" t="s">
        <v>107</v>
      </c>
      <c r="H6" s="609" t="s">
        <v>783</v>
      </c>
      <c r="J6" s="24" t="s">
        <v>55</v>
      </c>
      <c r="K6" s="95">
        <v>8</v>
      </c>
      <c r="L6" s="610">
        <v>161980</v>
      </c>
      <c r="M6" s="596">
        <f t="shared" ref="M6:M44" si="0">L6/K6</f>
        <v>20247.5</v>
      </c>
      <c r="O6" s="596">
        <f>D9+E9</f>
        <v>64150</v>
      </c>
      <c r="P6" s="611">
        <f t="shared" ref="P6:P44" si="1">O6/K6</f>
        <v>8018.75</v>
      </c>
    </row>
    <row r="7" spans="1:18">
      <c r="A7" s="718" t="s">
        <v>982</v>
      </c>
      <c r="B7" s="688"/>
      <c r="C7" s="606"/>
      <c r="D7" s="613">
        <v>276837</v>
      </c>
      <c r="E7" s="613">
        <v>184553</v>
      </c>
      <c r="F7" s="613">
        <v>203948</v>
      </c>
      <c r="G7" s="613">
        <v>485143</v>
      </c>
      <c r="H7" s="613">
        <v>1150481</v>
      </c>
      <c r="J7" s="24" t="s">
        <v>48</v>
      </c>
      <c r="K7" s="95">
        <v>8</v>
      </c>
      <c r="L7" s="610">
        <v>405663</v>
      </c>
      <c r="M7" s="596">
        <f t="shared" si="0"/>
        <v>50707.875</v>
      </c>
      <c r="O7" s="596">
        <f>D30+E30</f>
        <v>162945</v>
      </c>
      <c r="P7" s="611">
        <f t="shared" si="1"/>
        <v>20368.125</v>
      </c>
    </row>
    <row r="8" spans="1:18">
      <c r="A8" s="614"/>
      <c r="B8" s="615" t="s">
        <v>983</v>
      </c>
      <c r="C8" s="612" t="s">
        <v>984</v>
      </c>
      <c r="D8" s="616"/>
      <c r="E8" s="616"/>
      <c r="F8" s="616"/>
      <c r="G8" s="616"/>
      <c r="H8" s="616"/>
      <c r="J8" s="24" t="s">
        <v>41</v>
      </c>
      <c r="K8" s="95">
        <v>8</v>
      </c>
      <c r="L8" s="610">
        <v>187990</v>
      </c>
      <c r="M8" s="596">
        <f t="shared" si="0"/>
        <v>23498.75</v>
      </c>
      <c r="O8" s="596">
        <f>D240+E240</f>
        <v>75620</v>
      </c>
      <c r="P8" s="611">
        <f t="shared" si="1"/>
        <v>9452.5</v>
      </c>
    </row>
    <row r="9" spans="1:18" ht="15.75" customHeight="1">
      <c r="A9" s="599"/>
      <c r="B9" s="617" t="s">
        <v>55</v>
      </c>
      <c r="C9" s="607"/>
      <c r="D9" s="618">
        <v>36450</v>
      </c>
      <c r="E9" s="618">
        <v>27700</v>
      </c>
      <c r="F9" s="618">
        <v>30610</v>
      </c>
      <c r="G9" s="618">
        <v>67220</v>
      </c>
      <c r="H9" s="618">
        <v>161980</v>
      </c>
      <c r="J9" s="24" t="s">
        <v>62</v>
      </c>
      <c r="K9" s="95">
        <v>8</v>
      </c>
      <c r="L9" s="610">
        <v>104970</v>
      </c>
      <c r="M9" s="596">
        <f t="shared" si="0"/>
        <v>13121.25</v>
      </c>
      <c r="O9" s="596">
        <f>D367+E367</f>
        <v>41780</v>
      </c>
      <c r="P9" s="611">
        <f t="shared" si="1"/>
        <v>5222.5</v>
      </c>
    </row>
    <row r="10" spans="1:18">
      <c r="A10" s="619" t="s">
        <v>36</v>
      </c>
      <c r="B10" s="606"/>
      <c r="C10" s="620"/>
      <c r="D10" s="621"/>
      <c r="E10" s="621"/>
      <c r="F10" s="621"/>
      <c r="G10" s="621"/>
      <c r="H10" s="621"/>
      <c r="J10" s="24" t="s">
        <v>985</v>
      </c>
      <c r="K10" s="95">
        <v>8</v>
      </c>
      <c r="L10" s="610">
        <v>10430</v>
      </c>
      <c r="M10" s="596">
        <f t="shared" si="0"/>
        <v>1303.75</v>
      </c>
      <c r="O10" s="596">
        <f>D409+E409</f>
        <v>4156</v>
      </c>
      <c r="P10" s="611">
        <f t="shared" si="1"/>
        <v>519.5</v>
      </c>
    </row>
    <row r="11" spans="1:18">
      <c r="A11" s="567">
        <v>1</v>
      </c>
      <c r="B11" s="270" t="s">
        <v>36</v>
      </c>
      <c r="C11" s="270" t="s">
        <v>986</v>
      </c>
      <c r="D11" s="622">
        <v>912</v>
      </c>
      <c r="E11" s="622">
        <v>693</v>
      </c>
      <c r="F11" s="623">
        <v>1062</v>
      </c>
      <c r="G11" s="623">
        <v>2332</v>
      </c>
      <c r="H11" s="624">
        <v>4999</v>
      </c>
      <c r="J11" s="24" t="s">
        <v>987</v>
      </c>
      <c r="K11" s="95">
        <v>8</v>
      </c>
      <c r="L11" s="610">
        <v>2194</v>
      </c>
      <c r="M11" s="596">
        <f t="shared" si="0"/>
        <v>274.25</v>
      </c>
      <c r="O11" s="100">
        <f>D432+E432</f>
        <v>835</v>
      </c>
      <c r="P11" s="611">
        <f t="shared" si="1"/>
        <v>104.375</v>
      </c>
    </row>
    <row r="12" spans="1:18">
      <c r="A12" s="567">
        <v>2</v>
      </c>
      <c r="B12" s="270" t="s">
        <v>36</v>
      </c>
      <c r="C12" s="270" t="s">
        <v>988</v>
      </c>
      <c r="D12" s="623">
        <v>3209</v>
      </c>
      <c r="E12" s="623">
        <v>2439</v>
      </c>
      <c r="F12" s="623">
        <v>2257</v>
      </c>
      <c r="G12" s="623">
        <v>4956</v>
      </c>
      <c r="H12" s="624">
        <v>12861</v>
      </c>
      <c r="J12" s="24" t="s">
        <v>989</v>
      </c>
      <c r="K12" s="95">
        <v>8</v>
      </c>
      <c r="L12" s="610">
        <v>41470</v>
      </c>
      <c r="M12" s="596">
        <f t="shared" si="0"/>
        <v>5183.75</v>
      </c>
      <c r="O12" s="596">
        <f>D436+E436</f>
        <v>17005</v>
      </c>
      <c r="P12" s="611">
        <f t="shared" si="1"/>
        <v>2125.625</v>
      </c>
    </row>
    <row r="13" spans="1:18">
      <c r="A13" s="567">
        <v>3</v>
      </c>
      <c r="B13" s="270" t="s">
        <v>36</v>
      </c>
      <c r="C13" s="270" t="s">
        <v>990</v>
      </c>
      <c r="D13" s="622">
        <v>13</v>
      </c>
      <c r="E13" s="622">
        <v>9</v>
      </c>
      <c r="F13" s="622">
        <v>9</v>
      </c>
      <c r="G13" s="622">
        <v>19</v>
      </c>
      <c r="H13" s="625">
        <v>50</v>
      </c>
      <c r="J13" s="24" t="s">
        <v>991</v>
      </c>
      <c r="K13" s="95">
        <v>8</v>
      </c>
      <c r="L13" s="610">
        <v>67673</v>
      </c>
      <c r="M13" s="596">
        <f t="shared" si="0"/>
        <v>8459.125</v>
      </c>
      <c r="O13" s="596">
        <f>D453+E453</f>
        <v>27405</v>
      </c>
      <c r="P13" s="611">
        <f t="shared" si="1"/>
        <v>3425.625</v>
      </c>
    </row>
    <row r="14" spans="1:18">
      <c r="A14" s="567">
        <v>4</v>
      </c>
      <c r="B14" s="270" t="s">
        <v>36</v>
      </c>
      <c r="C14" s="270" t="s">
        <v>992</v>
      </c>
      <c r="D14" s="622">
        <v>7</v>
      </c>
      <c r="E14" s="622">
        <v>5</v>
      </c>
      <c r="F14" s="622">
        <v>15</v>
      </c>
      <c r="G14" s="622">
        <v>34</v>
      </c>
      <c r="H14" s="625">
        <v>61</v>
      </c>
      <c r="J14" s="24" t="s">
        <v>993</v>
      </c>
      <c r="K14" s="95">
        <v>8</v>
      </c>
      <c r="L14" s="610">
        <v>10320</v>
      </c>
      <c r="M14" s="596">
        <f t="shared" si="0"/>
        <v>1290</v>
      </c>
      <c r="O14" s="596">
        <f>D466+E466</f>
        <v>4215</v>
      </c>
      <c r="P14" s="611">
        <f t="shared" si="1"/>
        <v>526.875</v>
      </c>
    </row>
    <row r="15" spans="1:18">
      <c r="A15" s="567">
        <v>5</v>
      </c>
      <c r="B15" s="270" t="s">
        <v>36</v>
      </c>
      <c r="C15" s="270" t="s">
        <v>994</v>
      </c>
      <c r="D15" s="623">
        <v>1448</v>
      </c>
      <c r="E15" s="623">
        <v>1101</v>
      </c>
      <c r="F15" s="623">
        <v>1019</v>
      </c>
      <c r="G15" s="623">
        <v>2237</v>
      </c>
      <c r="H15" s="624">
        <v>5805</v>
      </c>
      <c r="J15" s="24" t="s">
        <v>995</v>
      </c>
      <c r="K15" s="95">
        <v>5</v>
      </c>
      <c r="L15" s="610">
        <v>2060</v>
      </c>
      <c r="M15" s="596">
        <f t="shared" si="0"/>
        <v>412</v>
      </c>
      <c r="O15" s="100">
        <f>D473+E473</f>
        <v>820</v>
      </c>
      <c r="P15" s="611">
        <f t="shared" si="1"/>
        <v>164</v>
      </c>
    </row>
    <row r="16" spans="1:18">
      <c r="A16" s="567">
        <v>6</v>
      </c>
      <c r="B16" s="270" t="s">
        <v>36</v>
      </c>
      <c r="C16" s="270" t="s">
        <v>996</v>
      </c>
      <c r="D16" s="622">
        <v>587</v>
      </c>
      <c r="E16" s="622">
        <v>446</v>
      </c>
      <c r="F16" s="622">
        <v>413</v>
      </c>
      <c r="G16" s="622">
        <v>907</v>
      </c>
      <c r="H16" s="624">
        <v>2353</v>
      </c>
      <c r="J16" s="24" t="s">
        <v>997</v>
      </c>
      <c r="K16" s="95">
        <v>8</v>
      </c>
      <c r="L16" s="610">
        <v>10220</v>
      </c>
      <c r="M16" s="596">
        <f t="shared" si="0"/>
        <v>1277.5</v>
      </c>
      <c r="O16" s="596">
        <f>D482+E482</f>
        <v>4055</v>
      </c>
      <c r="P16" s="611">
        <f t="shared" si="1"/>
        <v>506.875</v>
      </c>
    </row>
    <row r="17" spans="1:16">
      <c r="A17" s="567">
        <v>7</v>
      </c>
      <c r="B17" s="270" t="s">
        <v>36</v>
      </c>
      <c r="C17" s="270" t="s">
        <v>998</v>
      </c>
      <c r="D17" s="623">
        <v>1042</v>
      </c>
      <c r="E17" s="622">
        <v>791</v>
      </c>
      <c r="F17" s="622">
        <v>733</v>
      </c>
      <c r="G17" s="623">
        <v>1609</v>
      </c>
      <c r="H17" s="624">
        <v>4175</v>
      </c>
      <c r="J17" s="24" t="s">
        <v>999</v>
      </c>
      <c r="K17" s="95">
        <v>8</v>
      </c>
      <c r="L17" s="610">
        <v>2070</v>
      </c>
      <c r="M17" s="596">
        <f t="shared" si="0"/>
        <v>258.75</v>
      </c>
      <c r="O17" s="100">
        <f>D488+E488</f>
        <v>830</v>
      </c>
      <c r="P17" s="611">
        <f t="shared" si="1"/>
        <v>103.75</v>
      </c>
    </row>
    <row r="18" spans="1:16">
      <c r="A18" s="567">
        <v>8</v>
      </c>
      <c r="B18" s="270" t="s">
        <v>36</v>
      </c>
      <c r="C18" s="270" t="s">
        <v>1000</v>
      </c>
      <c r="D18" s="622">
        <v>63</v>
      </c>
      <c r="E18" s="622">
        <v>48</v>
      </c>
      <c r="F18" s="622">
        <v>45</v>
      </c>
      <c r="G18" s="622">
        <v>98</v>
      </c>
      <c r="H18" s="625">
        <v>254</v>
      </c>
      <c r="J18" s="24" t="s">
        <v>1001</v>
      </c>
      <c r="K18" s="95">
        <v>5</v>
      </c>
      <c r="L18" s="610">
        <v>250</v>
      </c>
      <c r="M18" s="596">
        <f t="shared" si="0"/>
        <v>50</v>
      </c>
      <c r="O18" s="100">
        <f>D492+E492</f>
        <v>100</v>
      </c>
      <c r="P18" s="611">
        <f t="shared" si="1"/>
        <v>20</v>
      </c>
    </row>
    <row r="19" spans="1:16">
      <c r="A19" s="567">
        <v>9</v>
      </c>
      <c r="B19" s="270" t="s">
        <v>36</v>
      </c>
      <c r="C19" s="270" t="s">
        <v>1002</v>
      </c>
      <c r="D19" s="622">
        <v>430</v>
      </c>
      <c r="E19" s="622">
        <v>326</v>
      </c>
      <c r="F19" s="622">
        <v>302</v>
      </c>
      <c r="G19" s="622">
        <v>664</v>
      </c>
      <c r="H19" s="624">
        <v>1722</v>
      </c>
      <c r="J19" s="24" t="s">
        <v>1003</v>
      </c>
      <c r="K19" s="95">
        <v>8</v>
      </c>
      <c r="L19" s="610">
        <v>15850</v>
      </c>
      <c r="M19" s="596">
        <f t="shared" si="0"/>
        <v>1981.25</v>
      </c>
      <c r="O19" s="596">
        <f>D498+E498</f>
        <v>6590</v>
      </c>
      <c r="P19" s="611">
        <f t="shared" si="1"/>
        <v>823.75</v>
      </c>
    </row>
    <row r="20" spans="1:16">
      <c r="A20" s="567">
        <v>10</v>
      </c>
      <c r="B20" s="270" t="s">
        <v>36</v>
      </c>
      <c r="C20" s="270" t="s">
        <v>1004</v>
      </c>
      <c r="D20" s="622">
        <v>77</v>
      </c>
      <c r="E20" s="622">
        <v>59</v>
      </c>
      <c r="F20" s="622">
        <v>54</v>
      </c>
      <c r="G20" s="622">
        <v>119</v>
      </c>
      <c r="H20" s="625">
        <v>309</v>
      </c>
      <c r="J20" s="24" t="s">
        <v>1005</v>
      </c>
      <c r="K20" s="95">
        <v>8</v>
      </c>
      <c r="L20" s="610">
        <v>40360</v>
      </c>
      <c r="M20" s="596">
        <f t="shared" si="0"/>
        <v>5045</v>
      </c>
      <c r="O20" s="596">
        <f>D506+E506</f>
        <v>15985</v>
      </c>
      <c r="P20" s="611">
        <f t="shared" si="1"/>
        <v>1998.125</v>
      </c>
    </row>
    <row r="21" spans="1:16">
      <c r="A21" s="567">
        <v>11</v>
      </c>
      <c r="B21" s="270" t="s">
        <v>36</v>
      </c>
      <c r="C21" s="270" t="s">
        <v>1006</v>
      </c>
      <c r="D21" s="622">
        <v>465</v>
      </c>
      <c r="E21" s="622">
        <v>353</v>
      </c>
      <c r="F21" s="622">
        <v>327</v>
      </c>
      <c r="G21" s="622">
        <v>718</v>
      </c>
      <c r="H21" s="624">
        <v>1863</v>
      </c>
      <c r="J21" s="24" t="s">
        <v>1007</v>
      </c>
      <c r="K21" s="95">
        <v>5</v>
      </c>
      <c r="L21" s="610">
        <v>4091</v>
      </c>
      <c r="M21" s="596">
        <f t="shared" si="0"/>
        <v>818.2</v>
      </c>
      <c r="O21" s="596">
        <f>D515+E515</f>
        <v>1661</v>
      </c>
      <c r="P21" s="611">
        <f t="shared" si="1"/>
        <v>332.2</v>
      </c>
    </row>
    <row r="22" spans="1:16">
      <c r="A22" s="567">
        <v>12</v>
      </c>
      <c r="B22" s="270" t="s">
        <v>36</v>
      </c>
      <c r="C22" s="270" t="s">
        <v>1008</v>
      </c>
      <c r="D22" s="623">
        <v>1549</v>
      </c>
      <c r="E22" s="623">
        <v>1178</v>
      </c>
      <c r="F22" s="623">
        <v>1090</v>
      </c>
      <c r="G22" s="623">
        <v>2393</v>
      </c>
      <c r="H22" s="624">
        <v>6210</v>
      </c>
      <c r="J22" s="24" t="s">
        <v>1009</v>
      </c>
      <c r="K22" s="95">
        <v>8</v>
      </c>
      <c r="L22" s="610">
        <v>11030</v>
      </c>
      <c r="M22" s="596">
        <f t="shared" si="0"/>
        <v>1378.75</v>
      </c>
      <c r="O22" s="596">
        <f>D524+E524</f>
        <v>4436</v>
      </c>
      <c r="P22" s="611">
        <f t="shared" si="1"/>
        <v>554.5</v>
      </c>
    </row>
    <row r="23" spans="1:16">
      <c r="A23" s="567">
        <v>13</v>
      </c>
      <c r="B23" s="270" t="s">
        <v>36</v>
      </c>
      <c r="C23" s="270" t="s">
        <v>1010</v>
      </c>
      <c r="D23" s="622">
        <v>201</v>
      </c>
      <c r="E23" s="622">
        <v>152</v>
      </c>
      <c r="F23" s="622">
        <v>282</v>
      </c>
      <c r="G23" s="622">
        <v>618</v>
      </c>
      <c r="H23" s="624">
        <v>1253</v>
      </c>
      <c r="J23" s="24" t="s">
        <v>1011</v>
      </c>
      <c r="K23" s="95">
        <v>8</v>
      </c>
      <c r="L23" s="610">
        <v>21330</v>
      </c>
      <c r="M23" s="596">
        <f t="shared" si="0"/>
        <v>2666.25</v>
      </c>
      <c r="O23" s="596">
        <f>D534+E534</f>
        <v>8575</v>
      </c>
      <c r="P23" s="611">
        <f t="shared" si="1"/>
        <v>1071.875</v>
      </c>
    </row>
    <row r="24" spans="1:16">
      <c r="A24" s="567">
        <v>14</v>
      </c>
      <c r="B24" s="270" t="s">
        <v>36</v>
      </c>
      <c r="C24" s="270" t="s">
        <v>36</v>
      </c>
      <c r="D24" s="623">
        <v>21977</v>
      </c>
      <c r="E24" s="623">
        <v>16703</v>
      </c>
      <c r="F24" s="623">
        <v>15462</v>
      </c>
      <c r="G24" s="623">
        <v>33954</v>
      </c>
      <c r="H24" s="624">
        <v>88096</v>
      </c>
      <c r="J24" s="24" t="s">
        <v>1012</v>
      </c>
      <c r="K24" s="95">
        <v>8</v>
      </c>
      <c r="L24" s="610">
        <v>26910</v>
      </c>
      <c r="M24" s="596">
        <f t="shared" si="0"/>
        <v>3363.75</v>
      </c>
      <c r="O24" s="596">
        <f>D545+E545</f>
        <v>10870</v>
      </c>
      <c r="P24" s="611">
        <f t="shared" si="1"/>
        <v>1358.75</v>
      </c>
    </row>
    <row r="25" spans="1:16">
      <c r="A25" s="567">
        <v>15</v>
      </c>
      <c r="B25" s="270" t="s">
        <v>36</v>
      </c>
      <c r="C25" s="270" t="s">
        <v>1013</v>
      </c>
      <c r="D25" s="623">
        <v>1043</v>
      </c>
      <c r="E25" s="622">
        <v>793</v>
      </c>
      <c r="F25" s="622">
        <v>734</v>
      </c>
      <c r="G25" s="623">
        <v>1613</v>
      </c>
      <c r="H25" s="624">
        <v>4183</v>
      </c>
      <c r="J25" s="24" t="s">
        <v>78</v>
      </c>
      <c r="K25" s="95">
        <v>5</v>
      </c>
      <c r="L25" s="610">
        <v>30</v>
      </c>
      <c r="M25" s="596">
        <f t="shared" si="0"/>
        <v>6</v>
      </c>
      <c r="O25" s="100">
        <f t="shared" ref="O25:O26" si="2">D557+E557</f>
        <v>13</v>
      </c>
      <c r="P25" s="611">
        <f t="shared" si="1"/>
        <v>2.6</v>
      </c>
    </row>
    <row r="26" spans="1:16">
      <c r="A26" s="567">
        <v>16</v>
      </c>
      <c r="B26" s="270" t="s">
        <v>36</v>
      </c>
      <c r="C26" s="270" t="s">
        <v>1014</v>
      </c>
      <c r="D26" s="622">
        <v>914</v>
      </c>
      <c r="E26" s="622">
        <v>694</v>
      </c>
      <c r="F26" s="622">
        <v>642</v>
      </c>
      <c r="G26" s="623">
        <v>1410</v>
      </c>
      <c r="H26" s="624">
        <v>3660</v>
      </c>
      <c r="J26" s="24" t="s">
        <v>90</v>
      </c>
      <c r="K26" s="95">
        <v>5</v>
      </c>
      <c r="L26" s="610">
        <v>100</v>
      </c>
      <c r="M26" s="596">
        <f t="shared" si="0"/>
        <v>20</v>
      </c>
      <c r="O26" s="100">
        <f t="shared" si="2"/>
        <v>38</v>
      </c>
      <c r="P26" s="611">
        <f t="shared" si="1"/>
        <v>7.6</v>
      </c>
    </row>
    <row r="27" spans="1:16">
      <c r="A27" s="567">
        <v>17</v>
      </c>
      <c r="B27" s="270" t="s">
        <v>36</v>
      </c>
      <c r="C27" s="270" t="s">
        <v>1015</v>
      </c>
      <c r="D27" s="622">
        <v>85</v>
      </c>
      <c r="E27" s="622">
        <v>65</v>
      </c>
      <c r="F27" s="622">
        <v>59</v>
      </c>
      <c r="G27" s="622">
        <v>131</v>
      </c>
      <c r="H27" s="625">
        <v>340</v>
      </c>
      <c r="J27" s="24" t="s">
        <v>70</v>
      </c>
      <c r="K27" s="95">
        <v>5</v>
      </c>
      <c r="L27" s="610">
        <v>1240</v>
      </c>
      <c r="M27" s="596">
        <f t="shared" si="0"/>
        <v>248</v>
      </c>
      <c r="O27" s="100">
        <f>D565+E565</f>
        <v>480</v>
      </c>
      <c r="P27" s="611">
        <f t="shared" si="1"/>
        <v>96</v>
      </c>
    </row>
    <row r="28" spans="1:16">
      <c r="A28" s="567">
        <v>18</v>
      </c>
      <c r="B28" s="270" t="s">
        <v>36</v>
      </c>
      <c r="C28" s="270" t="s">
        <v>1016</v>
      </c>
      <c r="D28" s="622">
        <v>343</v>
      </c>
      <c r="E28" s="622">
        <v>260</v>
      </c>
      <c r="F28" s="622">
        <v>241</v>
      </c>
      <c r="G28" s="622">
        <v>530</v>
      </c>
      <c r="H28" s="624">
        <v>1374</v>
      </c>
      <c r="J28" s="24" t="s">
        <v>81</v>
      </c>
      <c r="K28" s="95">
        <v>5</v>
      </c>
      <c r="L28" s="610">
        <v>1160</v>
      </c>
      <c r="M28" s="596">
        <f t="shared" si="0"/>
        <v>232</v>
      </c>
      <c r="O28" s="100">
        <f>D568+E568</f>
        <v>460</v>
      </c>
      <c r="P28" s="611">
        <f t="shared" si="1"/>
        <v>92</v>
      </c>
    </row>
    <row r="29" spans="1:16">
      <c r="A29" s="567">
        <v>19</v>
      </c>
      <c r="B29" s="270" t="s">
        <v>36</v>
      </c>
      <c r="C29" s="270" t="s">
        <v>1017</v>
      </c>
      <c r="D29" s="623">
        <v>2085</v>
      </c>
      <c r="E29" s="623">
        <v>1585</v>
      </c>
      <c r="F29" s="623">
        <v>5864</v>
      </c>
      <c r="G29" s="623">
        <v>12878</v>
      </c>
      <c r="H29" s="624">
        <v>22412</v>
      </c>
      <c r="J29" s="24" t="s">
        <v>74</v>
      </c>
      <c r="K29" s="95">
        <v>5</v>
      </c>
      <c r="L29" s="610">
        <v>310</v>
      </c>
      <c r="M29" s="596">
        <f t="shared" si="0"/>
        <v>62</v>
      </c>
      <c r="O29" s="100">
        <f>D572+E572</f>
        <v>130</v>
      </c>
      <c r="P29" s="611">
        <f t="shared" si="1"/>
        <v>26</v>
      </c>
    </row>
    <row r="30" spans="1:16" ht="15.75" customHeight="1">
      <c r="A30" s="599"/>
      <c r="B30" s="626" t="s">
        <v>48</v>
      </c>
      <c r="C30" s="627"/>
      <c r="D30" s="618">
        <v>98999</v>
      </c>
      <c r="E30" s="618">
        <v>63946</v>
      </c>
      <c r="F30" s="618">
        <v>71052</v>
      </c>
      <c r="G30" s="618">
        <v>171666</v>
      </c>
      <c r="H30" s="618">
        <v>405663</v>
      </c>
      <c r="J30" s="24" t="s">
        <v>95</v>
      </c>
      <c r="K30" s="95">
        <v>5</v>
      </c>
      <c r="L30" s="610">
        <v>260</v>
      </c>
      <c r="M30" s="596">
        <f t="shared" si="0"/>
        <v>52</v>
      </c>
      <c r="O30" s="100">
        <f>D575+E575</f>
        <v>100</v>
      </c>
      <c r="P30" s="611">
        <f t="shared" si="1"/>
        <v>20</v>
      </c>
    </row>
    <row r="31" spans="1:16" ht="15.75" customHeight="1">
      <c r="A31" s="599"/>
      <c r="B31" s="628"/>
      <c r="C31" s="629" t="s">
        <v>1018</v>
      </c>
      <c r="D31" s="630">
        <v>2561</v>
      </c>
      <c r="E31" s="630">
        <v>1552</v>
      </c>
      <c r="F31" s="630">
        <v>1545</v>
      </c>
      <c r="G31" s="630">
        <v>4419</v>
      </c>
      <c r="H31" s="630">
        <v>10077</v>
      </c>
      <c r="J31" s="24" t="s">
        <v>83</v>
      </c>
      <c r="K31" s="95">
        <v>5</v>
      </c>
      <c r="L31" s="610">
        <v>225</v>
      </c>
      <c r="M31" s="596">
        <f t="shared" si="0"/>
        <v>45</v>
      </c>
      <c r="O31" s="100">
        <f>D579+E579</f>
        <v>85</v>
      </c>
      <c r="P31" s="611">
        <f t="shared" si="1"/>
        <v>17</v>
      </c>
    </row>
    <row r="32" spans="1:16" ht="15.75" customHeight="1">
      <c r="A32" s="599"/>
      <c r="B32" s="628"/>
      <c r="C32" s="629" t="s">
        <v>1019</v>
      </c>
      <c r="D32" s="630">
        <v>45672</v>
      </c>
      <c r="E32" s="630">
        <v>27469</v>
      </c>
      <c r="F32" s="630">
        <v>30043</v>
      </c>
      <c r="G32" s="630">
        <v>76697</v>
      </c>
      <c r="H32" s="630">
        <v>179881</v>
      </c>
      <c r="J32" s="24" t="s">
        <v>87</v>
      </c>
      <c r="K32" s="95">
        <v>5</v>
      </c>
      <c r="L32" s="610">
        <v>70</v>
      </c>
      <c r="M32" s="596">
        <f t="shared" si="0"/>
        <v>14</v>
      </c>
      <c r="O32" s="100">
        <f>D582+E582</f>
        <v>27</v>
      </c>
      <c r="P32" s="611">
        <f t="shared" si="1"/>
        <v>5.4</v>
      </c>
    </row>
    <row r="33" spans="1:16" ht="15.75" customHeight="1">
      <c r="A33" s="599"/>
      <c r="B33" s="628"/>
      <c r="C33" s="629" t="s">
        <v>1020</v>
      </c>
      <c r="D33" s="630">
        <v>8734</v>
      </c>
      <c r="E33" s="630">
        <v>6246</v>
      </c>
      <c r="F33" s="630">
        <v>6971</v>
      </c>
      <c r="G33" s="630">
        <v>16015</v>
      </c>
      <c r="H33" s="630">
        <v>37966</v>
      </c>
      <c r="J33" s="24" t="s">
        <v>1021</v>
      </c>
      <c r="K33" s="95">
        <v>5</v>
      </c>
      <c r="L33" s="610">
        <v>12895</v>
      </c>
      <c r="M33" s="596">
        <f t="shared" si="0"/>
        <v>2579</v>
      </c>
      <c r="O33" s="596">
        <f>D585+E585</f>
        <v>5120</v>
      </c>
      <c r="P33" s="611">
        <f t="shared" si="1"/>
        <v>1024</v>
      </c>
    </row>
    <row r="34" spans="1:16" ht="15.75" customHeight="1">
      <c r="A34" s="599"/>
      <c r="B34" s="628"/>
      <c r="C34" s="629" t="s">
        <v>1022</v>
      </c>
      <c r="D34" s="630">
        <v>24117</v>
      </c>
      <c r="E34" s="630">
        <v>16319</v>
      </c>
      <c r="F34" s="630">
        <v>18459</v>
      </c>
      <c r="G34" s="630">
        <v>42479</v>
      </c>
      <c r="H34" s="630">
        <v>101374</v>
      </c>
      <c r="J34" s="24" t="s">
        <v>75</v>
      </c>
      <c r="K34" s="95">
        <v>5</v>
      </c>
      <c r="L34" s="610">
        <v>995</v>
      </c>
      <c r="M34" s="596">
        <f t="shared" si="0"/>
        <v>199</v>
      </c>
      <c r="O34" s="100">
        <f t="shared" ref="O34:O35" si="3">D589+E589</f>
        <v>395</v>
      </c>
      <c r="P34" s="611">
        <f t="shared" si="1"/>
        <v>79</v>
      </c>
    </row>
    <row r="35" spans="1:16" ht="15.75" customHeight="1">
      <c r="A35" s="599"/>
      <c r="B35" s="628"/>
      <c r="C35" s="629" t="s">
        <v>1023</v>
      </c>
      <c r="D35" s="630">
        <v>13399</v>
      </c>
      <c r="E35" s="630">
        <v>9265</v>
      </c>
      <c r="F35" s="630">
        <v>10490</v>
      </c>
      <c r="G35" s="630">
        <v>24053</v>
      </c>
      <c r="H35" s="630">
        <v>57207</v>
      </c>
      <c r="J35" s="24" t="s">
        <v>89</v>
      </c>
      <c r="K35" s="95">
        <v>5</v>
      </c>
      <c r="L35" s="610">
        <v>15</v>
      </c>
      <c r="M35" s="596">
        <f t="shared" si="0"/>
        <v>3</v>
      </c>
      <c r="O35" s="100">
        <f t="shared" si="3"/>
        <v>6</v>
      </c>
      <c r="P35" s="611">
        <f t="shared" si="1"/>
        <v>1.2</v>
      </c>
    </row>
    <row r="36" spans="1:16" ht="15.75" customHeight="1">
      <c r="A36" s="599"/>
      <c r="B36" s="631"/>
      <c r="C36" s="632" t="s">
        <v>1024</v>
      </c>
      <c r="D36" s="630">
        <v>4516</v>
      </c>
      <c r="E36" s="630">
        <v>3095</v>
      </c>
      <c r="F36" s="630">
        <v>3544</v>
      </c>
      <c r="G36" s="630">
        <v>8003</v>
      </c>
      <c r="H36" s="630">
        <v>19158</v>
      </c>
      <c r="J36" s="24" t="s">
        <v>94</v>
      </c>
      <c r="K36" s="95">
        <v>5</v>
      </c>
      <c r="L36" s="610">
        <v>120</v>
      </c>
      <c r="M36" s="596">
        <f t="shared" si="0"/>
        <v>24</v>
      </c>
      <c r="O36" s="100">
        <f>D593+E593</f>
        <v>47</v>
      </c>
      <c r="P36" s="611">
        <f t="shared" si="1"/>
        <v>9.4</v>
      </c>
    </row>
    <row r="37" spans="1:16">
      <c r="A37" s="599"/>
      <c r="B37" s="619" t="s">
        <v>58</v>
      </c>
      <c r="C37" s="620"/>
      <c r="D37" s="618">
        <v>2561</v>
      </c>
      <c r="E37" s="618">
        <v>1552</v>
      </c>
      <c r="F37" s="618">
        <v>1545</v>
      </c>
      <c r="G37" s="618">
        <v>4419</v>
      </c>
      <c r="H37" s="618">
        <v>10077</v>
      </c>
      <c r="J37" s="24" t="s">
        <v>64</v>
      </c>
      <c r="K37" s="95">
        <v>5</v>
      </c>
      <c r="L37" s="610">
        <v>1839</v>
      </c>
      <c r="M37" s="596">
        <f t="shared" si="0"/>
        <v>367.8</v>
      </c>
      <c r="O37" s="100">
        <f>D596+E596</f>
        <v>726</v>
      </c>
      <c r="P37" s="611">
        <f t="shared" si="1"/>
        <v>145.19999999999999</v>
      </c>
    </row>
    <row r="38" spans="1:16" ht="12.75">
      <c r="A38" s="567">
        <v>20</v>
      </c>
      <c r="B38" s="270" t="s">
        <v>58</v>
      </c>
      <c r="C38" s="270" t="s">
        <v>1025</v>
      </c>
      <c r="D38" s="622">
        <v>760</v>
      </c>
      <c r="E38" s="622">
        <v>470</v>
      </c>
      <c r="F38" s="622">
        <v>466</v>
      </c>
      <c r="G38" s="623">
        <v>1338</v>
      </c>
      <c r="H38" s="624">
        <v>3034</v>
      </c>
      <c r="J38" s="24" t="s">
        <v>96</v>
      </c>
      <c r="K38" s="95">
        <v>5</v>
      </c>
      <c r="L38" s="610">
        <v>70</v>
      </c>
      <c r="M38" s="596">
        <f t="shared" si="0"/>
        <v>14</v>
      </c>
      <c r="O38" s="100">
        <f>D601+E601</f>
        <v>25</v>
      </c>
      <c r="P38" s="611">
        <f t="shared" si="1"/>
        <v>5</v>
      </c>
    </row>
    <row r="39" spans="1:16" ht="12.75">
      <c r="A39" s="567">
        <v>21</v>
      </c>
      <c r="B39" s="270" t="s">
        <v>58</v>
      </c>
      <c r="C39" s="270" t="s">
        <v>1026</v>
      </c>
      <c r="D39" s="622">
        <v>817</v>
      </c>
      <c r="E39" s="622">
        <v>489</v>
      </c>
      <c r="F39" s="622">
        <v>490</v>
      </c>
      <c r="G39" s="623">
        <v>1428</v>
      </c>
      <c r="H39" s="624">
        <v>3224</v>
      </c>
      <c r="J39" s="24" t="s">
        <v>80</v>
      </c>
      <c r="K39" s="95">
        <v>5</v>
      </c>
      <c r="L39" s="610">
        <v>2200</v>
      </c>
      <c r="M39" s="596">
        <f t="shared" si="0"/>
        <v>440</v>
      </c>
      <c r="O39" s="100">
        <f>D604+E604</f>
        <v>880</v>
      </c>
      <c r="P39" s="611">
        <f t="shared" si="1"/>
        <v>176</v>
      </c>
    </row>
    <row r="40" spans="1:16" ht="12.75">
      <c r="A40" s="567">
        <v>22</v>
      </c>
      <c r="B40" s="270" t="s">
        <v>58</v>
      </c>
      <c r="C40" s="270" t="s">
        <v>1027</v>
      </c>
      <c r="D40" s="622">
        <v>37</v>
      </c>
      <c r="E40" s="622">
        <v>22</v>
      </c>
      <c r="F40" s="622">
        <v>22</v>
      </c>
      <c r="G40" s="622">
        <v>63</v>
      </c>
      <c r="H40" s="625">
        <v>144</v>
      </c>
      <c r="J40" s="24" t="s">
        <v>93</v>
      </c>
      <c r="K40" s="95">
        <v>5</v>
      </c>
      <c r="L40" s="610">
        <v>6</v>
      </c>
      <c r="M40" s="596">
        <f t="shared" si="0"/>
        <v>1.2</v>
      </c>
      <c r="O40" s="100">
        <f>D609+E609</f>
        <v>4</v>
      </c>
      <c r="P40" s="611">
        <f t="shared" si="1"/>
        <v>0.8</v>
      </c>
    </row>
    <row r="41" spans="1:16" ht="12.75">
      <c r="A41" s="567">
        <v>23</v>
      </c>
      <c r="B41" s="270" t="s">
        <v>58</v>
      </c>
      <c r="C41" s="270" t="s">
        <v>1028</v>
      </c>
      <c r="D41" s="622">
        <v>487</v>
      </c>
      <c r="E41" s="622">
        <v>300</v>
      </c>
      <c r="F41" s="622">
        <v>297</v>
      </c>
      <c r="G41" s="622">
        <v>840</v>
      </c>
      <c r="H41" s="624">
        <v>1924</v>
      </c>
      <c r="J41" s="24" t="s">
        <v>85</v>
      </c>
      <c r="K41" s="95">
        <v>5</v>
      </c>
      <c r="L41" s="610">
        <v>530</v>
      </c>
      <c r="M41" s="596">
        <f t="shared" si="0"/>
        <v>106</v>
      </c>
      <c r="O41" s="100">
        <f>D612+E612</f>
        <v>217</v>
      </c>
      <c r="P41" s="611">
        <f t="shared" si="1"/>
        <v>43.4</v>
      </c>
    </row>
    <row r="42" spans="1:16" ht="12.75">
      <c r="A42" s="567">
        <v>24</v>
      </c>
      <c r="B42" s="270" t="s">
        <v>58</v>
      </c>
      <c r="C42" s="270" t="s">
        <v>1029</v>
      </c>
      <c r="D42" s="622">
        <v>54</v>
      </c>
      <c r="E42" s="622">
        <v>31</v>
      </c>
      <c r="F42" s="622">
        <v>32</v>
      </c>
      <c r="G42" s="622">
        <v>92</v>
      </c>
      <c r="H42" s="625">
        <v>209</v>
      </c>
      <c r="J42" s="24" t="s">
        <v>71</v>
      </c>
      <c r="K42" s="95">
        <v>5</v>
      </c>
      <c r="L42" s="610">
        <v>995</v>
      </c>
      <c r="M42" s="596">
        <f t="shared" si="0"/>
        <v>199</v>
      </c>
      <c r="O42" s="100">
        <f>D623+E623</f>
        <v>385</v>
      </c>
      <c r="P42" s="611">
        <f t="shared" si="1"/>
        <v>77</v>
      </c>
    </row>
    <row r="43" spans="1:16" ht="12.75">
      <c r="A43" s="567">
        <v>25</v>
      </c>
      <c r="B43" s="270" t="s">
        <v>58</v>
      </c>
      <c r="C43" s="270" t="s">
        <v>58</v>
      </c>
      <c r="D43" s="622">
        <v>349</v>
      </c>
      <c r="E43" s="622">
        <v>205</v>
      </c>
      <c r="F43" s="622">
        <v>202</v>
      </c>
      <c r="G43" s="622">
        <v>553</v>
      </c>
      <c r="H43" s="624">
        <v>1309</v>
      </c>
      <c r="J43" s="24" t="s">
        <v>91</v>
      </c>
      <c r="K43" s="95">
        <v>5</v>
      </c>
      <c r="L43" s="610">
        <v>10</v>
      </c>
      <c r="M43" s="596">
        <f t="shared" si="0"/>
        <v>2</v>
      </c>
      <c r="O43" s="100">
        <f t="shared" ref="O43:O44" si="4">D628+E628</f>
        <v>4</v>
      </c>
      <c r="P43" s="611">
        <f t="shared" si="1"/>
        <v>0.8</v>
      </c>
    </row>
    <row r="44" spans="1:16" ht="12.75">
      <c r="A44" s="567">
        <v>26</v>
      </c>
      <c r="B44" s="270" t="s">
        <v>58</v>
      </c>
      <c r="C44" s="270" t="s">
        <v>1030</v>
      </c>
      <c r="D44" s="622">
        <v>57</v>
      </c>
      <c r="E44" s="622">
        <v>35</v>
      </c>
      <c r="F44" s="622">
        <v>36</v>
      </c>
      <c r="G44" s="622">
        <v>105</v>
      </c>
      <c r="H44" s="625">
        <v>233</v>
      </c>
      <c r="J44" s="24" t="s">
        <v>79</v>
      </c>
      <c r="K44" s="95">
        <v>5</v>
      </c>
      <c r="L44" s="633">
        <v>550</v>
      </c>
      <c r="M44" s="634">
        <f t="shared" si="0"/>
        <v>110</v>
      </c>
      <c r="O44" s="635">
        <f t="shared" si="4"/>
        <v>215</v>
      </c>
      <c r="P44" s="636">
        <f t="shared" si="1"/>
        <v>43</v>
      </c>
    </row>
    <row r="45" spans="1:16" ht="12.75">
      <c r="A45" s="567">
        <v>27</v>
      </c>
      <c r="B45" s="270" t="s">
        <v>58</v>
      </c>
      <c r="C45" s="270" t="s">
        <v>1017</v>
      </c>
      <c r="D45" s="623">
        <v>1633</v>
      </c>
      <c r="E45" s="623">
        <v>1001</v>
      </c>
      <c r="F45" s="623">
        <v>1001</v>
      </c>
      <c r="G45" s="623">
        <v>2839</v>
      </c>
      <c r="H45" s="624">
        <v>6474</v>
      </c>
      <c r="K45" s="100"/>
      <c r="L45" s="596"/>
      <c r="M45" s="596"/>
      <c r="O45" s="85"/>
      <c r="P45" s="85"/>
    </row>
    <row r="46" spans="1:16" ht="12.75">
      <c r="A46" s="599"/>
      <c r="B46" s="619" t="s">
        <v>35</v>
      </c>
      <c r="C46" s="620"/>
      <c r="D46" s="618">
        <v>45672</v>
      </c>
      <c r="E46" s="618">
        <v>27469</v>
      </c>
      <c r="F46" s="618">
        <v>30043</v>
      </c>
      <c r="G46" s="618">
        <v>76697</v>
      </c>
      <c r="H46" s="618">
        <v>179881</v>
      </c>
      <c r="K46" s="100"/>
      <c r="L46" s="596">
        <f>SUM(L4:L44)</f>
        <v>1150481</v>
      </c>
      <c r="M46" s="596">
        <f>SUM(M6:M44)</f>
        <v>146061.70000000001</v>
      </c>
      <c r="N46" s="596"/>
      <c r="O46" s="596">
        <f t="shared" ref="O46:P46" si="5">SUM(O6:O44)</f>
        <v>461390</v>
      </c>
      <c r="P46" s="596">
        <f t="shared" si="5"/>
        <v>58569.1</v>
      </c>
    </row>
    <row r="47" spans="1:16" ht="12.75">
      <c r="A47" s="567">
        <v>28</v>
      </c>
      <c r="B47" s="270" t="s">
        <v>35</v>
      </c>
      <c r="C47" s="270" t="s">
        <v>1031</v>
      </c>
      <c r="D47" s="622">
        <v>31</v>
      </c>
      <c r="E47" s="622">
        <v>19</v>
      </c>
      <c r="F47" s="622">
        <v>20</v>
      </c>
      <c r="G47" s="622">
        <v>45</v>
      </c>
      <c r="H47" s="625">
        <v>115</v>
      </c>
      <c r="K47" s="100"/>
      <c r="L47" s="596"/>
      <c r="M47" s="596"/>
      <c r="O47" s="85"/>
      <c r="P47" s="85"/>
    </row>
    <row r="48" spans="1:16" ht="12.75">
      <c r="A48" s="567">
        <v>29</v>
      </c>
      <c r="B48" s="270" t="s">
        <v>35</v>
      </c>
      <c r="C48" s="270" t="s">
        <v>1032</v>
      </c>
      <c r="D48" s="622">
        <v>380</v>
      </c>
      <c r="E48" s="622">
        <v>224</v>
      </c>
      <c r="F48" s="622">
        <v>246</v>
      </c>
      <c r="G48" s="622">
        <v>642</v>
      </c>
      <c r="H48" s="624">
        <v>1492</v>
      </c>
      <c r="K48" s="100"/>
      <c r="L48" s="596"/>
      <c r="M48" s="596"/>
      <c r="O48" s="85"/>
      <c r="P48" s="85"/>
    </row>
    <row r="49" spans="1:16" ht="12.75">
      <c r="A49" s="567">
        <v>30</v>
      </c>
      <c r="B49" s="270" t="s">
        <v>35</v>
      </c>
      <c r="C49" s="270" t="s">
        <v>1033</v>
      </c>
      <c r="D49" s="622">
        <v>276</v>
      </c>
      <c r="E49" s="622">
        <v>167</v>
      </c>
      <c r="F49" s="622">
        <v>177</v>
      </c>
      <c r="G49" s="622">
        <v>434</v>
      </c>
      <c r="H49" s="624">
        <v>1054</v>
      </c>
      <c r="K49" s="100"/>
      <c r="L49" s="596"/>
      <c r="M49" s="596"/>
      <c r="O49" s="85"/>
      <c r="P49" s="85"/>
    </row>
    <row r="50" spans="1:16" ht="12.75">
      <c r="A50" s="567">
        <v>31</v>
      </c>
      <c r="B50" s="270" t="s">
        <v>35</v>
      </c>
      <c r="C50" s="270" t="s">
        <v>1034</v>
      </c>
      <c r="D50" s="622">
        <v>31</v>
      </c>
      <c r="E50" s="622">
        <v>18</v>
      </c>
      <c r="F50" s="622">
        <v>20</v>
      </c>
      <c r="G50" s="622">
        <v>51</v>
      </c>
      <c r="H50" s="625">
        <v>120</v>
      </c>
      <c r="K50" s="100"/>
      <c r="L50" s="596"/>
      <c r="M50" s="596"/>
      <c r="O50" s="85"/>
      <c r="P50" s="85"/>
    </row>
    <row r="51" spans="1:16" ht="12.75">
      <c r="A51" s="567">
        <v>32</v>
      </c>
      <c r="B51" s="270" t="s">
        <v>35</v>
      </c>
      <c r="C51" s="270" t="s">
        <v>1035</v>
      </c>
      <c r="D51" s="622">
        <v>20</v>
      </c>
      <c r="E51" s="622">
        <v>12</v>
      </c>
      <c r="F51" s="622">
        <v>14</v>
      </c>
      <c r="G51" s="622">
        <v>34</v>
      </c>
      <c r="H51" s="625">
        <v>80</v>
      </c>
      <c r="K51" s="100"/>
      <c r="L51" s="596"/>
      <c r="M51" s="596"/>
      <c r="O51" s="85"/>
      <c r="P51" s="85"/>
    </row>
    <row r="52" spans="1:16" ht="12.75">
      <c r="A52" s="567">
        <v>33</v>
      </c>
      <c r="B52" s="270" t="s">
        <v>35</v>
      </c>
      <c r="C52" s="270" t="s">
        <v>1036</v>
      </c>
      <c r="D52" s="622">
        <v>198</v>
      </c>
      <c r="E52" s="622">
        <v>118</v>
      </c>
      <c r="F52" s="622">
        <v>127</v>
      </c>
      <c r="G52" s="622">
        <v>336</v>
      </c>
      <c r="H52" s="625">
        <v>779</v>
      </c>
      <c r="K52" s="100"/>
      <c r="L52" s="596"/>
      <c r="M52" s="596"/>
      <c r="O52" s="85"/>
      <c r="P52" s="85"/>
    </row>
    <row r="53" spans="1:16" ht="12.75">
      <c r="A53" s="567">
        <v>34</v>
      </c>
      <c r="B53" s="270" t="s">
        <v>35</v>
      </c>
      <c r="C53" s="270" t="s">
        <v>1037</v>
      </c>
      <c r="D53" s="622">
        <v>142</v>
      </c>
      <c r="E53" s="622">
        <v>83</v>
      </c>
      <c r="F53" s="622">
        <v>90</v>
      </c>
      <c r="G53" s="622">
        <v>242</v>
      </c>
      <c r="H53" s="625">
        <v>557</v>
      </c>
      <c r="K53" s="100"/>
      <c r="L53" s="596"/>
      <c r="M53" s="596"/>
      <c r="O53" s="85"/>
      <c r="P53" s="85"/>
    </row>
    <row r="54" spans="1:16" ht="12.75">
      <c r="A54" s="567">
        <v>35</v>
      </c>
      <c r="B54" s="270" t="s">
        <v>35</v>
      </c>
      <c r="C54" s="270" t="s">
        <v>1038</v>
      </c>
      <c r="D54" s="622">
        <v>11</v>
      </c>
      <c r="E54" s="622">
        <v>7</v>
      </c>
      <c r="F54" s="622">
        <v>8</v>
      </c>
      <c r="G54" s="622">
        <v>21</v>
      </c>
      <c r="H54" s="625">
        <v>47</v>
      </c>
      <c r="K54" s="100"/>
      <c r="L54" s="596"/>
      <c r="M54" s="596"/>
      <c r="O54" s="85"/>
      <c r="P54" s="85"/>
    </row>
    <row r="55" spans="1:16" ht="12.75">
      <c r="A55" s="567">
        <v>36</v>
      </c>
      <c r="B55" s="270" t="s">
        <v>35</v>
      </c>
      <c r="C55" s="270" t="s">
        <v>1039</v>
      </c>
      <c r="D55" s="622">
        <v>11</v>
      </c>
      <c r="E55" s="622">
        <v>7</v>
      </c>
      <c r="F55" s="622">
        <v>8</v>
      </c>
      <c r="G55" s="622">
        <v>20</v>
      </c>
      <c r="H55" s="625">
        <v>46</v>
      </c>
      <c r="K55" s="100"/>
      <c r="L55" s="596"/>
      <c r="M55" s="596"/>
      <c r="O55" s="85"/>
      <c r="P55" s="85"/>
    </row>
    <row r="56" spans="1:16" ht="12.75">
      <c r="A56" s="567">
        <v>37</v>
      </c>
      <c r="B56" s="270" t="s">
        <v>35</v>
      </c>
      <c r="C56" s="270" t="s">
        <v>1040</v>
      </c>
      <c r="D56" s="622">
        <v>1</v>
      </c>
      <c r="E56" s="622">
        <v>1</v>
      </c>
      <c r="F56" s="622" t="s">
        <v>1041</v>
      </c>
      <c r="G56" s="622" t="s">
        <v>1041</v>
      </c>
      <c r="H56" s="625">
        <v>2</v>
      </c>
      <c r="K56" s="100"/>
      <c r="L56" s="596"/>
      <c r="M56" s="596"/>
      <c r="O56" s="85"/>
      <c r="P56" s="85"/>
    </row>
    <row r="57" spans="1:16" ht="12.75">
      <c r="A57" s="567">
        <v>38</v>
      </c>
      <c r="B57" s="270" t="s">
        <v>35</v>
      </c>
      <c r="C57" s="270" t="s">
        <v>1042</v>
      </c>
      <c r="D57" s="622">
        <v>1</v>
      </c>
      <c r="E57" s="622">
        <v>1</v>
      </c>
      <c r="F57" s="622">
        <v>1</v>
      </c>
      <c r="G57" s="622" t="s">
        <v>1041</v>
      </c>
      <c r="H57" s="625">
        <v>3</v>
      </c>
      <c r="K57" s="100"/>
      <c r="L57" s="596"/>
      <c r="M57" s="596"/>
      <c r="O57" s="85"/>
      <c r="P57" s="85"/>
    </row>
    <row r="58" spans="1:16" ht="12.75">
      <c r="A58" s="567">
        <v>39</v>
      </c>
      <c r="B58" s="270" t="s">
        <v>35</v>
      </c>
      <c r="C58" s="270" t="s">
        <v>1043</v>
      </c>
      <c r="D58" s="622">
        <v>1</v>
      </c>
      <c r="E58" s="622">
        <v>1</v>
      </c>
      <c r="F58" s="622" t="s">
        <v>1041</v>
      </c>
      <c r="G58" s="622" t="s">
        <v>1041</v>
      </c>
      <c r="H58" s="625">
        <v>2</v>
      </c>
      <c r="K58" s="100"/>
      <c r="L58" s="596"/>
      <c r="M58" s="596"/>
      <c r="O58" s="85"/>
      <c r="P58" s="85"/>
    </row>
    <row r="59" spans="1:16" ht="12.75">
      <c r="A59" s="567">
        <v>40</v>
      </c>
      <c r="B59" s="270" t="s">
        <v>35</v>
      </c>
      <c r="C59" s="270" t="s">
        <v>1044</v>
      </c>
      <c r="D59" s="622">
        <v>694</v>
      </c>
      <c r="E59" s="622">
        <v>413</v>
      </c>
      <c r="F59" s="622">
        <v>443</v>
      </c>
      <c r="G59" s="623">
        <v>1134</v>
      </c>
      <c r="H59" s="624">
        <v>2684</v>
      </c>
      <c r="K59" s="100"/>
      <c r="L59" s="596"/>
      <c r="M59" s="596"/>
      <c r="O59" s="85"/>
      <c r="P59" s="85"/>
    </row>
    <row r="60" spans="1:16" ht="12.75">
      <c r="A60" s="567">
        <v>41</v>
      </c>
      <c r="B60" s="270" t="s">
        <v>35</v>
      </c>
      <c r="C60" s="270" t="s">
        <v>1045</v>
      </c>
      <c r="D60" s="622">
        <v>88</v>
      </c>
      <c r="E60" s="622">
        <v>54</v>
      </c>
      <c r="F60" s="622">
        <v>57</v>
      </c>
      <c r="G60" s="622">
        <v>131</v>
      </c>
      <c r="H60" s="625">
        <v>330</v>
      </c>
      <c r="K60" s="100"/>
      <c r="L60" s="596"/>
      <c r="M60" s="596"/>
      <c r="O60" s="85"/>
      <c r="P60" s="85"/>
    </row>
    <row r="61" spans="1:16" ht="12.75">
      <c r="A61" s="567">
        <v>42</v>
      </c>
      <c r="B61" s="270" t="s">
        <v>35</v>
      </c>
      <c r="C61" s="270" t="s">
        <v>1046</v>
      </c>
      <c r="D61" s="622">
        <v>447</v>
      </c>
      <c r="E61" s="622">
        <v>263</v>
      </c>
      <c r="F61" s="622">
        <v>280</v>
      </c>
      <c r="G61" s="622">
        <v>708</v>
      </c>
      <c r="H61" s="624">
        <v>1698</v>
      </c>
      <c r="K61" s="100"/>
      <c r="L61" s="596"/>
      <c r="M61" s="596"/>
      <c r="O61" s="85"/>
      <c r="P61" s="85"/>
    </row>
    <row r="62" spans="1:16" ht="12.75">
      <c r="A62" s="567">
        <v>43</v>
      </c>
      <c r="B62" s="270" t="s">
        <v>35</v>
      </c>
      <c r="C62" s="270" t="s">
        <v>1047</v>
      </c>
      <c r="D62" s="622">
        <v>23</v>
      </c>
      <c r="E62" s="622">
        <v>14</v>
      </c>
      <c r="F62" s="622">
        <v>14</v>
      </c>
      <c r="G62" s="622">
        <v>35</v>
      </c>
      <c r="H62" s="625">
        <v>86</v>
      </c>
      <c r="K62" s="100"/>
      <c r="L62" s="596"/>
      <c r="M62" s="596"/>
      <c r="O62" s="85"/>
      <c r="P62" s="85"/>
    </row>
    <row r="63" spans="1:16" ht="12.75">
      <c r="A63" s="567">
        <v>44</v>
      </c>
      <c r="B63" s="270" t="s">
        <v>35</v>
      </c>
      <c r="C63" s="270" t="s">
        <v>1048</v>
      </c>
      <c r="D63" s="622">
        <v>98</v>
      </c>
      <c r="E63" s="622">
        <v>59</v>
      </c>
      <c r="F63" s="622">
        <v>64</v>
      </c>
      <c r="G63" s="622">
        <v>152</v>
      </c>
      <c r="H63" s="625">
        <v>373</v>
      </c>
      <c r="K63" s="100"/>
      <c r="L63" s="596"/>
      <c r="M63" s="596"/>
      <c r="O63" s="85"/>
      <c r="P63" s="85"/>
    </row>
    <row r="64" spans="1:16" ht="12.75">
      <c r="A64" s="567">
        <v>45</v>
      </c>
      <c r="B64" s="270" t="s">
        <v>35</v>
      </c>
      <c r="C64" s="270" t="s">
        <v>1049</v>
      </c>
      <c r="D64" s="622">
        <v>12</v>
      </c>
      <c r="E64" s="622">
        <v>7</v>
      </c>
      <c r="F64" s="622">
        <v>7</v>
      </c>
      <c r="G64" s="622">
        <v>20</v>
      </c>
      <c r="H64" s="625">
        <v>46</v>
      </c>
      <c r="K64" s="100"/>
      <c r="L64" s="596"/>
      <c r="M64" s="596"/>
      <c r="O64" s="85"/>
      <c r="P64" s="85"/>
    </row>
    <row r="65" spans="1:16" ht="12.75">
      <c r="A65" s="567">
        <v>46</v>
      </c>
      <c r="B65" s="270" t="s">
        <v>35</v>
      </c>
      <c r="C65" s="270" t="s">
        <v>1050</v>
      </c>
      <c r="D65" s="622">
        <v>1</v>
      </c>
      <c r="E65" s="622">
        <v>1</v>
      </c>
      <c r="F65" s="622" t="s">
        <v>1041</v>
      </c>
      <c r="G65" s="622" t="s">
        <v>1041</v>
      </c>
      <c r="H65" s="625">
        <v>2</v>
      </c>
      <c r="K65" s="100"/>
      <c r="L65" s="596"/>
      <c r="M65" s="596"/>
      <c r="O65" s="85"/>
      <c r="P65" s="85"/>
    </row>
    <row r="66" spans="1:16" ht="12.75">
      <c r="A66" s="567">
        <v>47</v>
      </c>
      <c r="B66" s="270" t="s">
        <v>35</v>
      </c>
      <c r="C66" s="270" t="s">
        <v>1051</v>
      </c>
      <c r="D66" s="622">
        <v>60</v>
      </c>
      <c r="E66" s="622">
        <v>35</v>
      </c>
      <c r="F66" s="622">
        <v>38</v>
      </c>
      <c r="G66" s="622">
        <v>97</v>
      </c>
      <c r="H66" s="625">
        <v>230</v>
      </c>
      <c r="K66" s="100"/>
      <c r="L66" s="596"/>
      <c r="M66" s="596"/>
      <c r="O66" s="85"/>
      <c r="P66" s="85"/>
    </row>
    <row r="67" spans="1:16" ht="12.75">
      <c r="A67" s="567">
        <v>48</v>
      </c>
      <c r="B67" s="270" t="s">
        <v>35</v>
      </c>
      <c r="C67" s="270" t="s">
        <v>1052</v>
      </c>
      <c r="D67" s="622">
        <v>80</v>
      </c>
      <c r="E67" s="622">
        <v>46</v>
      </c>
      <c r="F67" s="622">
        <v>51</v>
      </c>
      <c r="G67" s="622">
        <v>141</v>
      </c>
      <c r="H67" s="625">
        <v>318</v>
      </c>
      <c r="K67" s="100"/>
      <c r="L67" s="596"/>
      <c r="M67" s="596"/>
      <c r="O67" s="85"/>
      <c r="P67" s="85"/>
    </row>
    <row r="68" spans="1:16" ht="12.75">
      <c r="A68" s="567">
        <v>49</v>
      </c>
      <c r="B68" s="270" t="s">
        <v>35</v>
      </c>
      <c r="C68" s="270" t="s">
        <v>1053</v>
      </c>
      <c r="D68" s="622">
        <v>48</v>
      </c>
      <c r="E68" s="622">
        <v>29</v>
      </c>
      <c r="F68" s="622">
        <v>31</v>
      </c>
      <c r="G68" s="622">
        <v>77</v>
      </c>
      <c r="H68" s="625">
        <v>185</v>
      </c>
      <c r="K68" s="100"/>
      <c r="L68" s="596"/>
      <c r="M68" s="596"/>
      <c r="O68" s="85"/>
      <c r="P68" s="85"/>
    </row>
    <row r="69" spans="1:16" ht="12.75">
      <c r="A69" s="567">
        <v>50</v>
      </c>
      <c r="B69" s="270" t="s">
        <v>35</v>
      </c>
      <c r="C69" s="270" t="s">
        <v>1054</v>
      </c>
      <c r="D69" s="622">
        <v>308</v>
      </c>
      <c r="E69" s="622">
        <v>182</v>
      </c>
      <c r="F69" s="622">
        <v>190</v>
      </c>
      <c r="G69" s="622">
        <v>466</v>
      </c>
      <c r="H69" s="624">
        <v>1146</v>
      </c>
      <c r="K69" s="100"/>
      <c r="L69" s="596"/>
      <c r="M69" s="596"/>
      <c r="O69" s="85"/>
      <c r="P69" s="85"/>
    </row>
    <row r="70" spans="1:16" ht="12.75">
      <c r="A70" s="567">
        <v>51</v>
      </c>
      <c r="B70" s="270" t="s">
        <v>35</v>
      </c>
      <c r="C70" s="270" t="s">
        <v>1055</v>
      </c>
      <c r="D70" s="622">
        <v>210</v>
      </c>
      <c r="E70" s="622">
        <v>123</v>
      </c>
      <c r="F70" s="622">
        <v>135</v>
      </c>
      <c r="G70" s="622">
        <v>346</v>
      </c>
      <c r="H70" s="625">
        <v>814</v>
      </c>
      <c r="K70" s="100"/>
      <c r="L70" s="596"/>
      <c r="M70" s="596"/>
      <c r="O70" s="85"/>
      <c r="P70" s="85"/>
    </row>
    <row r="71" spans="1:16" ht="12.75">
      <c r="A71" s="567">
        <v>52</v>
      </c>
      <c r="B71" s="270" t="s">
        <v>35</v>
      </c>
      <c r="C71" s="270" t="s">
        <v>1056</v>
      </c>
      <c r="D71" s="622">
        <v>87</v>
      </c>
      <c r="E71" s="622">
        <v>53</v>
      </c>
      <c r="F71" s="622">
        <v>55</v>
      </c>
      <c r="G71" s="622">
        <v>142</v>
      </c>
      <c r="H71" s="625">
        <v>337</v>
      </c>
      <c r="K71" s="100"/>
      <c r="L71" s="596"/>
      <c r="M71" s="596"/>
      <c r="O71" s="85"/>
      <c r="P71" s="85"/>
    </row>
    <row r="72" spans="1:16" ht="12.75">
      <c r="A72" s="567">
        <v>53</v>
      </c>
      <c r="B72" s="270" t="s">
        <v>35</v>
      </c>
      <c r="C72" s="270" t="s">
        <v>1057</v>
      </c>
      <c r="D72" s="622">
        <v>529</v>
      </c>
      <c r="E72" s="622">
        <v>315</v>
      </c>
      <c r="F72" s="622">
        <v>352</v>
      </c>
      <c r="G72" s="622">
        <v>946</v>
      </c>
      <c r="H72" s="624">
        <v>2142</v>
      </c>
      <c r="K72" s="100"/>
      <c r="L72" s="596"/>
      <c r="M72" s="596"/>
      <c r="O72" s="85"/>
      <c r="P72" s="85"/>
    </row>
    <row r="73" spans="1:16" ht="12.75">
      <c r="A73" s="567">
        <v>54</v>
      </c>
      <c r="B73" s="270" t="s">
        <v>35</v>
      </c>
      <c r="C73" s="270" t="s">
        <v>1058</v>
      </c>
      <c r="D73" s="622">
        <v>18</v>
      </c>
      <c r="E73" s="622">
        <v>11</v>
      </c>
      <c r="F73" s="622">
        <v>12</v>
      </c>
      <c r="G73" s="622">
        <v>28</v>
      </c>
      <c r="H73" s="625">
        <v>69</v>
      </c>
      <c r="K73" s="100"/>
      <c r="L73" s="596"/>
      <c r="M73" s="596"/>
      <c r="O73" s="85"/>
      <c r="P73" s="85"/>
    </row>
    <row r="74" spans="1:16" ht="12.75">
      <c r="A74" s="567">
        <v>55</v>
      </c>
      <c r="B74" s="270" t="s">
        <v>35</v>
      </c>
      <c r="C74" s="270" t="s">
        <v>1059</v>
      </c>
      <c r="D74" s="622">
        <v>98</v>
      </c>
      <c r="E74" s="622">
        <v>60</v>
      </c>
      <c r="F74" s="622">
        <v>66</v>
      </c>
      <c r="G74" s="622">
        <v>173</v>
      </c>
      <c r="H74" s="625">
        <v>397</v>
      </c>
      <c r="K74" s="100"/>
      <c r="L74" s="596"/>
      <c r="M74" s="596"/>
      <c r="O74" s="85"/>
      <c r="P74" s="85"/>
    </row>
    <row r="75" spans="1:16" ht="12.75">
      <c r="A75" s="567">
        <v>56</v>
      </c>
      <c r="B75" s="270" t="s">
        <v>35</v>
      </c>
      <c r="C75" s="270" t="s">
        <v>1060</v>
      </c>
      <c r="D75" s="622">
        <v>508</v>
      </c>
      <c r="E75" s="622">
        <v>310</v>
      </c>
      <c r="F75" s="622">
        <v>337</v>
      </c>
      <c r="G75" s="622">
        <v>862</v>
      </c>
      <c r="H75" s="624">
        <v>2017</v>
      </c>
      <c r="K75" s="100"/>
      <c r="L75" s="596"/>
      <c r="M75" s="596"/>
      <c r="O75" s="85"/>
      <c r="P75" s="85"/>
    </row>
    <row r="76" spans="1:16" ht="12.75">
      <c r="A76" s="567">
        <v>57</v>
      </c>
      <c r="B76" s="270" t="s">
        <v>35</v>
      </c>
      <c r="C76" s="270" t="s">
        <v>1061</v>
      </c>
      <c r="D76" s="622">
        <v>171</v>
      </c>
      <c r="E76" s="622">
        <v>100</v>
      </c>
      <c r="F76" s="622">
        <v>108</v>
      </c>
      <c r="G76" s="622">
        <v>267</v>
      </c>
      <c r="H76" s="625">
        <v>646</v>
      </c>
      <c r="K76" s="100"/>
      <c r="L76" s="596"/>
      <c r="M76" s="596"/>
      <c r="O76" s="85"/>
      <c r="P76" s="85"/>
    </row>
    <row r="77" spans="1:16" ht="12.75">
      <c r="A77" s="567">
        <v>58</v>
      </c>
      <c r="B77" s="270" t="s">
        <v>35</v>
      </c>
      <c r="C77" s="270" t="s">
        <v>1062</v>
      </c>
      <c r="D77" s="622">
        <v>32</v>
      </c>
      <c r="E77" s="622">
        <v>19</v>
      </c>
      <c r="F77" s="622">
        <v>21</v>
      </c>
      <c r="G77" s="622">
        <v>57</v>
      </c>
      <c r="H77" s="625">
        <v>129</v>
      </c>
      <c r="K77" s="100"/>
      <c r="L77" s="596"/>
      <c r="M77" s="596"/>
      <c r="O77" s="85"/>
      <c r="P77" s="85"/>
    </row>
    <row r="78" spans="1:16" ht="12.75">
      <c r="A78" s="567">
        <v>59</v>
      </c>
      <c r="B78" s="270" t="s">
        <v>35</v>
      </c>
      <c r="C78" s="270" t="s">
        <v>1063</v>
      </c>
      <c r="D78" s="622">
        <v>170</v>
      </c>
      <c r="E78" s="622">
        <v>101</v>
      </c>
      <c r="F78" s="622">
        <v>112</v>
      </c>
      <c r="G78" s="622">
        <v>300</v>
      </c>
      <c r="H78" s="625">
        <v>683</v>
      </c>
      <c r="K78" s="100"/>
      <c r="L78" s="596"/>
      <c r="M78" s="596"/>
      <c r="O78" s="85"/>
      <c r="P78" s="85"/>
    </row>
    <row r="79" spans="1:16" ht="12.75">
      <c r="A79" s="567">
        <v>60</v>
      </c>
      <c r="B79" s="270" t="s">
        <v>35</v>
      </c>
      <c r="C79" s="270" t="s">
        <v>1064</v>
      </c>
      <c r="D79" s="622">
        <v>1</v>
      </c>
      <c r="E79" s="622">
        <v>1</v>
      </c>
      <c r="F79" s="622" t="s">
        <v>1041</v>
      </c>
      <c r="G79" s="622" t="s">
        <v>1041</v>
      </c>
      <c r="H79" s="625">
        <v>2</v>
      </c>
      <c r="K79" s="100"/>
      <c r="L79" s="596"/>
      <c r="M79" s="596"/>
      <c r="O79" s="85"/>
      <c r="P79" s="85"/>
    </row>
    <row r="80" spans="1:16" ht="12.75">
      <c r="A80" s="567">
        <v>61</v>
      </c>
      <c r="B80" s="270" t="s">
        <v>35</v>
      </c>
      <c r="C80" s="270" t="s">
        <v>1065</v>
      </c>
      <c r="D80" s="622">
        <v>5</v>
      </c>
      <c r="E80" s="622">
        <v>3</v>
      </c>
      <c r="F80" s="622">
        <v>3</v>
      </c>
      <c r="G80" s="622">
        <v>7</v>
      </c>
      <c r="H80" s="625">
        <v>18</v>
      </c>
      <c r="K80" s="100"/>
      <c r="L80" s="596"/>
      <c r="M80" s="596"/>
      <c r="O80" s="85"/>
      <c r="P80" s="85"/>
    </row>
    <row r="81" spans="1:16" ht="12.75">
      <c r="A81" s="567">
        <v>62</v>
      </c>
      <c r="B81" s="270" t="s">
        <v>35</v>
      </c>
      <c r="C81" s="270" t="s">
        <v>1066</v>
      </c>
      <c r="D81" s="622">
        <v>216</v>
      </c>
      <c r="E81" s="622">
        <v>128</v>
      </c>
      <c r="F81" s="622">
        <v>149</v>
      </c>
      <c r="G81" s="622">
        <v>402</v>
      </c>
      <c r="H81" s="625">
        <v>895</v>
      </c>
      <c r="K81" s="100"/>
      <c r="L81" s="596"/>
      <c r="M81" s="596"/>
      <c r="O81" s="85"/>
      <c r="P81" s="85"/>
    </row>
    <row r="82" spans="1:16" ht="12.75">
      <c r="A82" s="567">
        <v>63</v>
      </c>
      <c r="B82" s="270" t="s">
        <v>35</v>
      </c>
      <c r="C82" s="270" t="s">
        <v>1067</v>
      </c>
      <c r="D82" s="622" t="s">
        <v>1041</v>
      </c>
      <c r="E82" s="622" t="s">
        <v>1041</v>
      </c>
      <c r="F82" s="622" t="s">
        <v>1041</v>
      </c>
      <c r="G82" s="622" t="s">
        <v>1041</v>
      </c>
      <c r="H82" s="625">
        <v>0</v>
      </c>
      <c r="K82" s="100"/>
      <c r="L82" s="596"/>
      <c r="M82" s="596"/>
      <c r="O82" s="85"/>
      <c r="P82" s="85"/>
    </row>
    <row r="83" spans="1:16" ht="12.75">
      <c r="A83" s="567">
        <v>64</v>
      </c>
      <c r="B83" s="270" t="s">
        <v>35</v>
      </c>
      <c r="C83" s="270" t="s">
        <v>1068</v>
      </c>
      <c r="D83" s="622">
        <v>250</v>
      </c>
      <c r="E83" s="622">
        <v>150</v>
      </c>
      <c r="F83" s="622">
        <v>167</v>
      </c>
      <c r="G83" s="622">
        <v>446</v>
      </c>
      <c r="H83" s="624">
        <v>1013</v>
      </c>
      <c r="K83" s="100"/>
      <c r="L83" s="596"/>
      <c r="M83" s="596"/>
      <c r="O83" s="85"/>
      <c r="P83" s="85"/>
    </row>
    <row r="84" spans="1:16" ht="12.75">
      <c r="A84" s="567">
        <v>65</v>
      </c>
      <c r="B84" s="270" t="s">
        <v>35</v>
      </c>
      <c r="C84" s="270" t="s">
        <v>1069</v>
      </c>
      <c r="D84" s="622">
        <v>4</v>
      </c>
      <c r="E84" s="622">
        <v>2</v>
      </c>
      <c r="F84" s="622">
        <v>2</v>
      </c>
      <c r="G84" s="622">
        <v>7</v>
      </c>
      <c r="H84" s="625">
        <v>15</v>
      </c>
      <c r="K84" s="100"/>
      <c r="L84" s="596"/>
      <c r="M84" s="596"/>
      <c r="O84" s="85"/>
      <c r="P84" s="85"/>
    </row>
    <row r="85" spans="1:16" ht="12.75">
      <c r="A85" s="567">
        <v>66</v>
      </c>
      <c r="B85" s="270" t="s">
        <v>35</v>
      </c>
      <c r="C85" s="270" t="s">
        <v>1070</v>
      </c>
      <c r="D85" s="622">
        <v>30</v>
      </c>
      <c r="E85" s="622">
        <v>18</v>
      </c>
      <c r="F85" s="622">
        <v>20</v>
      </c>
      <c r="G85" s="622">
        <v>44</v>
      </c>
      <c r="H85" s="625">
        <v>112</v>
      </c>
      <c r="K85" s="100"/>
      <c r="L85" s="596"/>
      <c r="M85" s="596"/>
      <c r="O85" s="85"/>
      <c r="P85" s="85"/>
    </row>
    <row r="86" spans="1:16" ht="12.75">
      <c r="A86" s="567">
        <v>67</v>
      </c>
      <c r="B86" s="270" t="s">
        <v>35</v>
      </c>
      <c r="C86" s="270" t="s">
        <v>1071</v>
      </c>
      <c r="D86" s="622">
        <v>32</v>
      </c>
      <c r="E86" s="622">
        <v>19</v>
      </c>
      <c r="F86" s="622">
        <v>21</v>
      </c>
      <c r="G86" s="622">
        <v>47</v>
      </c>
      <c r="H86" s="625">
        <v>119</v>
      </c>
      <c r="K86" s="100"/>
      <c r="L86" s="596"/>
      <c r="M86" s="596"/>
      <c r="O86" s="85"/>
      <c r="P86" s="85"/>
    </row>
    <row r="87" spans="1:16" ht="12.75">
      <c r="A87" s="567">
        <v>68</v>
      </c>
      <c r="B87" s="270" t="s">
        <v>35</v>
      </c>
      <c r="C87" s="270" t="s">
        <v>1072</v>
      </c>
      <c r="D87" s="622">
        <v>62</v>
      </c>
      <c r="E87" s="622">
        <v>37</v>
      </c>
      <c r="F87" s="622">
        <v>40</v>
      </c>
      <c r="G87" s="622">
        <v>96</v>
      </c>
      <c r="H87" s="625">
        <v>235</v>
      </c>
      <c r="K87" s="100"/>
      <c r="L87" s="596"/>
      <c r="M87" s="596"/>
      <c r="O87" s="85"/>
      <c r="P87" s="85"/>
    </row>
    <row r="88" spans="1:16" ht="12.75">
      <c r="A88" s="567">
        <v>69</v>
      </c>
      <c r="B88" s="270" t="s">
        <v>35</v>
      </c>
      <c r="C88" s="270" t="s">
        <v>1073</v>
      </c>
      <c r="D88" s="622">
        <v>208</v>
      </c>
      <c r="E88" s="622">
        <v>121</v>
      </c>
      <c r="F88" s="622">
        <v>135</v>
      </c>
      <c r="G88" s="622">
        <v>354</v>
      </c>
      <c r="H88" s="625">
        <v>818</v>
      </c>
      <c r="K88" s="100"/>
      <c r="L88" s="596"/>
      <c r="M88" s="596"/>
      <c r="O88" s="85"/>
      <c r="P88" s="85"/>
    </row>
    <row r="89" spans="1:16" ht="12.75">
      <c r="A89" s="567">
        <v>70</v>
      </c>
      <c r="B89" s="270" t="s">
        <v>35</v>
      </c>
      <c r="C89" s="270" t="s">
        <v>1074</v>
      </c>
      <c r="D89" s="622">
        <v>147</v>
      </c>
      <c r="E89" s="622">
        <v>88</v>
      </c>
      <c r="F89" s="622">
        <v>94</v>
      </c>
      <c r="G89" s="622">
        <v>233</v>
      </c>
      <c r="H89" s="625">
        <v>562</v>
      </c>
      <c r="K89" s="100"/>
      <c r="L89" s="596"/>
      <c r="M89" s="596"/>
      <c r="O89" s="85"/>
      <c r="P89" s="85"/>
    </row>
    <row r="90" spans="1:16" ht="12.75">
      <c r="A90" s="567">
        <v>71</v>
      </c>
      <c r="B90" s="270" t="s">
        <v>35</v>
      </c>
      <c r="C90" s="270" t="s">
        <v>1075</v>
      </c>
      <c r="D90" s="622">
        <v>107</v>
      </c>
      <c r="E90" s="622">
        <v>63</v>
      </c>
      <c r="F90" s="622">
        <v>67</v>
      </c>
      <c r="G90" s="622">
        <v>166</v>
      </c>
      <c r="H90" s="625">
        <v>403</v>
      </c>
      <c r="K90" s="100"/>
      <c r="L90" s="596"/>
      <c r="M90" s="596"/>
      <c r="O90" s="85"/>
      <c r="P90" s="85"/>
    </row>
    <row r="91" spans="1:16" ht="12.75">
      <c r="A91" s="567">
        <v>72</v>
      </c>
      <c r="B91" s="270" t="s">
        <v>35</v>
      </c>
      <c r="C91" s="270" t="s">
        <v>1076</v>
      </c>
      <c r="D91" s="622">
        <v>627</v>
      </c>
      <c r="E91" s="622">
        <v>384</v>
      </c>
      <c r="F91" s="622">
        <v>413</v>
      </c>
      <c r="G91" s="623">
        <v>1086</v>
      </c>
      <c r="H91" s="624">
        <v>2510</v>
      </c>
      <c r="K91" s="100"/>
      <c r="L91" s="596"/>
      <c r="M91" s="596"/>
      <c r="O91" s="85"/>
      <c r="P91" s="85"/>
    </row>
    <row r="92" spans="1:16" ht="12.75">
      <c r="A92" s="567">
        <v>73</v>
      </c>
      <c r="B92" s="270" t="s">
        <v>35</v>
      </c>
      <c r="C92" s="270" t="s">
        <v>1077</v>
      </c>
      <c r="D92" s="622">
        <v>96</v>
      </c>
      <c r="E92" s="622">
        <v>57</v>
      </c>
      <c r="F92" s="622">
        <v>62</v>
      </c>
      <c r="G92" s="622">
        <v>166</v>
      </c>
      <c r="H92" s="625">
        <v>381</v>
      </c>
      <c r="K92" s="100"/>
      <c r="L92" s="596"/>
      <c r="M92" s="596"/>
      <c r="O92" s="85"/>
      <c r="P92" s="85"/>
    </row>
    <row r="93" spans="1:16" ht="12.75">
      <c r="A93" s="567">
        <v>74</v>
      </c>
      <c r="B93" s="270" t="s">
        <v>35</v>
      </c>
      <c r="C93" s="270" t="s">
        <v>1078</v>
      </c>
      <c r="D93" s="622">
        <v>12</v>
      </c>
      <c r="E93" s="622">
        <v>7</v>
      </c>
      <c r="F93" s="622">
        <v>8</v>
      </c>
      <c r="G93" s="622">
        <v>20</v>
      </c>
      <c r="H93" s="625">
        <v>47</v>
      </c>
      <c r="K93" s="100"/>
      <c r="L93" s="596"/>
      <c r="M93" s="596"/>
      <c r="O93" s="85"/>
      <c r="P93" s="85"/>
    </row>
    <row r="94" spans="1:16" ht="12.75">
      <c r="A94" s="567">
        <v>75</v>
      </c>
      <c r="B94" s="270" t="s">
        <v>35</v>
      </c>
      <c r="C94" s="270" t="s">
        <v>1079</v>
      </c>
      <c r="D94" s="623">
        <v>1773</v>
      </c>
      <c r="E94" s="623">
        <v>1066</v>
      </c>
      <c r="F94" s="623">
        <v>1170</v>
      </c>
      <c r="G94" s="623">
        <v>3039</v>
      </c>
      <c r="H94" s="624">
        <v>7048</v>
      </c>
      <c r="K94" s="100"/>
      <c r="L94" s="596"/>
      <c r="M94" s="596"/>
      <c r="O94" s="85"/>
      <c r="P94" s="85"/>
    </row>
    <row r="95" spans="1:16" ht="12.75">
      <c r="A95" s="567">
        <v>76</v>
      </c>
      <c r="B95" s="270" t="s">
        <v>35</v>
      </c>
      <c r="C95" s="270" t="s">
        <v>35</v>
      </c>
      <c r="D95" s="623">
        <v>20427</v>
      </c>
      <c r="E95" s="623">
        <v>12435</v>
      </c>
      <c r="F95" s="623">
        <v>13728</v>
      </c>
      <c r="G95" s="623">
        <v>35412</v>
      </c>
      <c r="H95" s="624">
        <v>82002</v>
      </c>
      <c r="K95" s="100"/>
      <c r="L95" s="596"/>
      <c r="M95" s="596"/>
      <c r="O95" s="85"/>
      <c r="P95" s="85"/>
    </row>
    <row r="96" spans="1:16" ht="12.75">
      <c r="A96" s="567">
        <v>77</v>
      </c>
      <c r="B96" s="270" t="s">
        <v>35</v>
      </c>
      <c r="C96" s="270" t="s">
        <v>1080</v>
      </c>
      <c r="D96" s="622">
        <v>123</v>
      </c>
      <c r="E96" s="622">
        <v>72</v>
      </c>
      <c r="F96" s="622">
        <v>81</v>
      </c>
      <c r="G96" s="622">
        <v>218</v>
      </c>
      <c r="H96" s="625">
        <v>494</v>
      </c>
      <c r="K96" s="100"/>
      <c r="L96" s="596"/>
      <c r="M96" s="596"/>
      <c r="O96" s="85"/>
      <c r="P96" s="85"/>
    </row>
    <row r="97" spans="1:16" ht="12.75">
      <c r="A97" s="567">
        <v>78</v>
      </c>
      <c r="B97" s="270" t="s">
        <v>35</v>
      </c>
      <c r="C97" s="270" t="s">
        <v>1081</v>
      </c>
      <c r="D97" s="622">
        <v>1</v>
      </c>
      <c r="E97" s="622">
        <v>1</v>
      </c>
      <c r="F97" s="622" t="s">
        <v>1041</v>
      </c>
      <c r="G97" s="622" t="s">
        <v>1041</v>
      </c>
      <c r="H97" s="625">
        <v>2</v>
      </c>
      <c r="K97" s="100"/>
      <c r="L97" s="596"/>
      <c r="M97" s="596"/>
      <c r="O97" s="85"/>
      <c r="P97" s="85"/>
    </row>
    <row r="98" spans="1:16" ht="12.75">
      <c r="A98" s="567">
        <v>79</v>
      </c>
      <c r="B98" s="270" t="s">
        <v>35</v>
      </c>
      <c r="C98" s="270" t="s">
        <v>1082</v>
      </c>
      <c r="D98" s="622">
        <v>10</v>
      </c>
      <c r="E98" s="622">
        <v>6</v>
      </c>
      <c r="F98" s="622">
        <v>7</v>
      </c>
      <c r="G98" s="622">
        <v>15</v>
      </c>
      <c r="H98" s="625">
        <v>38</v>
      </c>
      <c r="K98" s="100"/>
      <c r="L98" s="596"/>
      <c r="M98" s="596"/>
      <c r="O98" s="85"/>
      <c r="P98" s="85"/>
    </row>
    <row r="99" spans="1:16" ht="12.75">
      <c r="A99" s="567">
        <v>80</v>
      </c>
      <c r="B99" s="270" t="s">
        <v>35</v>
      </c>
      <c r="C99" s="270" t="s">
        <v>1083</v>
      </c>
      <c r="D99" s="622">
        <v>13</v>
      </c>
      <c r="E99" s="622">
        <v>8</v>
      </c>
      <c r="F99" s="622">
        <v>9</v>
      </c>
      <c r="G99" s="622">
        <v>23</v>
      </c>
      <c r="H99" s="625">
        <v>53</v>
      </c>
      <c r="K99" s="100"/>
      <c r="L99" s="596"/>
      <c r="M99" s="596"/>
      <c r="O99" s="85"/>
      <c r="P99" s="85"/>
    </row>
    <row r="100" spans="1:16" ht="12.75">
      <c r="A100" s="567">
        <v>81</v>
      </c>
      <c r="B100" s="270" t="s">
        <v>35</v>
      </c>
      <c r="C100" s="270" t="s">
        <v>1084</v>
      </c>
      <c r="D100" s="622">
        <v>101</v>
      </c>
      <c r="E100" s="622">
        <v>61</v>
      </c>
      <c r="F100" s="622">
        <v>65</v>
      </c>
      <c r="G100" s="622">
        <v>162</v>
      </c>
      <c r="H100" s="625">
        <v>389</v>
      </c>
      <c r="K100" s="100"/>
      <c r="L100" s="596"/>
      <c r="M100" s="596"/>
      <c r="O100" s="85"/>
      <c r="P100" s="85"/>
    </row>
    <row r="101" spans="1:16" ht="12.75">
      <c r="A101" s="567">
        <v>82</v>
      </c>
      <c r="B101" s="270" t="s">
        <v>35</v>
      </c>
      <c r="C101" s="270" t="s">
        <v>1085</v>
      </c>
      <c r="D101" s="622">
        <v>269</v>
      </c>
      <c r="E101" s="622">
        <v>161</v>
      </c>
      <c r="F101" s="622">
        <v>175</v>
      </c>
      <c r="G101" s="622">
        <v>461</v>
      </c>
      <c r="H101" s="624">
        <v>1066</v>
      </c>
      <c r="K101" s="100"/>
      <c r="L101" s="596"/>
      <c r="M101" s="596"/>
      <c r="O101" s="85"/>
      <c r="P101" s="85"/>
    </row>
    <row r="102" spans="1:16" ht="12.75">
      <c r="A102" s="567">
        <v>83</v>
      </c>
      <c r="B102" s="270" t="s">
        <v>35</v>
      </c>
      <c r="C102" s="270" t="s">
        <v>1086</v>
      </c>
      <c r="D102" s="622">
        <v>205</v>
      </c>
      <c r="E102" s="622">
        <v>123</v>
      </c>
      <c r="F102" s="622">
        <v>137</v>
      </c>
      <c r="G102" s="622">
        <v>350</v>
      </c>
      <c r="H102" s="625">
        <v>815</v>
      </c>
      <c r="K102" s="100"/>
      <c r="L102" s="596"/>
      <c r="M102" s="596"/>
      <c r="O102" s="85"/>
      <c r="P102" s="85"/>
    </row>
    <row r="103" spans="1:16" ht="12.75">
      <c r="A103" s="567">
        <v>84</v>
      </c>
      <c r="B103" s="270" t="s">
        <v>35</v>
      </c>
      <c r="C103" s="270" t="s">
        <v>1087</v>
      </c>
      <c r="D103" s="622">
        <v>52</v>
      </c>
      <c r="E103" s="622">
        <v>31</v>
      </c>
      <c r="F103" s="622">
        <v>33</v>
      </c>
      <c r="G103" s="622">
        <v>85</v>
      </c>
      <c r="H103" s="625">
        <v>201</v>
      </c>
      <c r="K103" s="100"/>
      <c r="L103" s="596"/>
      <c r="M103" s="596"/>
      <c r="O103" s="85"/>
      <c r="P103" s="85"/>
    </row>
    <row r="104" spans="1:16" ht="12.75">
      <c r="A104" s="567">
        <v>85</v>
      </c>
      <c r="B104" s="270" t="s">
        <v>35</v>
      </c>
      <c r="C104" s="270" t="s">
        <v>1088</v>
      </c>
      <c r="D104" s="594">
        <v>1395</v>
      </c>
      <c r="E104" s="637">
        <v>827</v>
      </c>
      <c r="F104" s="637">
        <v>898</v>
      </c>
      <c r="G104" s="594">
        <v>2332</v>
      </c>
      <c r="H104" s="624">
        <v>5452</v>
      </c>
      <c r="K104" s="100"/>
      <c r="L104" s="596"/>
      <c r="M104" s="596"/>
      <c r="O104" s="85"/>
      <c r="P104" s="85"/>
    </row>
    <row r="105" spans="1:16" ht="12.75">
      <c r="A105" s="567">
        <v>86</v>
      </c>
      <c r="B105" s="270" t="s">
        <v>35</v>
      </c>
      <c r="C105" s="270" t="s">
        <v>1089</v>
      </c>
      <c r="D105" s="622">
        <v>4</v>
      </c>
      <c r="E105" s="622">
        <v>3</v>
      </c>
      <c r="F105" s="622">
        <v>3</v>
      </c>
      <c r="G105" s="622">
        <v>6</v>
      </c>
      <c r="H105" s="625">
        <v>16</v>
      </c>
      <c r="K105" s="100"/>
      <c r="L105" s="596"/>
      <c r="M105" s="596"/>
      <c r="O105" s="85"/>
      <c r="P105" s="85"/>
    </row>
    <row r="106" spans="1:16" ht="12.75">
      <c r="A106" s="567">
        <v>87</v>
      </c>
      <c r="B106" s="270" t="s">
        <v>35</v>
      </c>
      <c r="C106" s="270" t="s">
        <v>1090</v>
      </c>
      <c r="D106" s="622">
        <v>26</v>
      </c>
      <c r="E106" s="622">
        <v>16</v>
      </c>
      <c r="F106" s="622">
        <v>17</v>
      </c>
      <c r="G106" s="622">
        <v>46</v>
      </c>
      <c r="H106" s="625">
        <v>105</v>
      </c>
      <c r="K106" s="100"/>
      <c r="L106" s="596"/>
      <c r="M106" s="596"/>
      <c r="O106" s="85"/>
      <c r="P106" s="85"/>
    </row>
    <row r="107" spans="1:16" ht="12.75">
      <c r="A107" s="567">
        <v>88</v>
      </c>
      <c r="B107" s="270" t="s">
        <v>35</v>
      </c>
      <c r="C107" s="270" t="s">
        <v>1091</v>
      </c>
      <c r="D107" s="622">
        <v>340</v>
      </c>
      <c r="E107" s="622">
        <v>207</v>
      </c>
      <c r="F107" s="622">
        <v>224</v>
      </c>
      <c r="G107" s="622">
        <v>561</v>
      </c>
      <c r="H107" s="624">
        <v>1332</v>
      </c>
      <c r="K107" s="100"/>
      <c r="L107" s="596"/>
      <c r="M107" s="596"/>
      <c r="O107" s="85"/>
      <c r="P107" s="85"/>
    </row>
    <row r="108" spans="1:16" ht="12.75">
      <c r="A108" s="567">
        <v>89</v>
      </c>
      <c r="B108" s="270" t="s">
        <v>35</v>
      </c>
      <c r="C108" s="270" t="s">
        <v>1092</v>
      </c>
      <c r="D108" s="622">
        <v>217</v>
      </c>
      <c r="E108" s="622">
        <v>131</v>
      </c>
      <c r="F108" s="622">
        <v>140</v>
      </c>
      <c r="G108" s="622">
        <v>362</v>
      </c>
      <c r="H108" s="625">
        <v>850</v>
      </c>
      <c r="K108" s="100"/>
      <c r="L108" s="596"/>
      <c r="M108" s="596"/>
      <c r="O108" s="85"/>
      <c r="P108" s="85"/>
    </row>
    <row r="109" spans="1:16" ht="12.75">
      <c r="A109" s="567">
        <v>90</v>
      </c>
      <c r="B109" s="270" t="s">
        <v>35</v>
      </c>
      <c r="C109" s="270" t="s">
        <v>1093</v>
      </c>
      <c r="D109" s="622">
        <v>919</v>
      </c>
      <c r="E109" s="622">
        <v>543</v>
      </c>
      <c r="F109" s="622">
        <v>592</v>
      </c>
      <c r="G109" s="623">
        <v>1572</v>
      </c>
      <c r="H109" s="624">
        <v>3626</v>
      </c>
      <c r="K109" s="100"/>
      <c r="L109" s="596"/>
      <c r="M109" s="596"/>
      <c r="O109" s="85"/>
      <c r="P109" s="85"/>
    </row>
    <row r="110" spans="1:16" ht="12.75">
      <c r="A110" s="567">
        <v>91</v>
      </c>
      <c r="B110" s="270" t="s">
        <v>35</v>
      </c>
      <c r="C110" s="270" t="s">
        <v>1094</v>
      </c>
      <c r="D110" s="622">
        <v>8</v>
      </c>
      <c r="E110" s="622">
        <v>5</v>
      </c>
      <c r="F110" s="622">
        <v>5</v>
      </c>
      <c r="G110" s="622">
        <v>13</v>
      </c>
      <c r="H110" s="625">
        <v>31</v>
      </c>
      <c r="K110" s="100"/>
      <c r="L110" s="596"/>
      <c r="M110" s="596"/>
      <c r="O110" s="85"/>
      <c r="P110" s="85"/>
    </row>
    <row r="111" spans="1:16" ht="12.75">
      <c r="A111" s="567">
        <v>92</v>
      </c>
      <c r="B111" s="270" t="s">
        <v>35</v>
      </c>
      <c r="C111" s="270" t="s">
        <v>1095</v>
      </c>
      <c r="D111" s="622">
        <v>372</v>
      </c>
      <c r="E111" s="622">
        <v>223</v>
      </c>
      <c r="F111" s="622">
        <v>238</v>
      </c>
      <c r="G111" s="622">
        <v>564</v>
      </c>
      <c r="H111" s="624">
        <v>1397</v>
      </c>
      <c r="K111" s="100"/>
      <c r="L111" s="596"/>
      <c r="M111" s="596"/>
      <c r="O111" s="85"/>
      <c r="P111" s="85"/>
    </row>
    <row r="112" spans="1:16" ht="12.75">
      <c r="A112" s="567">
        <v>93</v>
      </c>
      <c r="B112" s="270" t="s">
        <v>35</v>
      </c>
      <c r="C112" s="270" t="s">
        <v>1096</v>
      </c>
      <c r="D112" s="622">
        <v>2</v>
      </c>
      <c r="E112" s="622">
        <v>1</v>
      </c>
      <c r="F112" s="622">
        <v>1</v>
      </c>
      <c r="G112" s="622">
        <v>2</v>
      </c>
      <c r="H112" s="625">
        <v>6</v>
      </c>
      <c r="K112" s="100"/>
      <c r="L112" s="596"/>
      <c r="M112" s="596"/>
      <c r="O112" s="85"/>
      <c r="P112" s="85"/>
    </row>
    <row r="113" spans="1:16" ht="12.75">
      <c r="A113" s="567">
        <v>94</v>
      </c>
      <c r="B113" s="270" t="s">
        <v>35</v>
      </c>
      <c r="C113" s="270" t="s">
        <v>1097</v>
      </c>
      <c r="D113" s="622">
        <v>1</v>
      </c>
      <c r="E113" s="622">
        <v>1</v>
      </c>
      <c r="F113" s="622">
        <v>1</v>
      </c>
      <c r="G113" s="622">
        <v>2</v>
      </c>
      <c r="H113" s="625">
        <v>5</v>
      </c>
      <c r="K113" s="100"/>
      <c r="L113" s="596"/>
      <c r="M113" s="596"/>
      <c r="O113" s="85"/>
      <c r="P113" s="85"/>
    </row>
    <row r="114" spans="1:16" ht="12.75">
      <c r="A114" s="567">
        <v>95</v>
      </c>
      <c r="B114" s="270" t="s">
        <v>35</v>
      </c>
      <c r="C114" s="270" t="s">
        <v>1098</v>
      </c>
      <c r="D114" s="622">
        <v>153</v>
      </c>
      <c r="E114" s="622">
        <v>88</v>
      </c>
      <c r="F114" s="622">
        <v>99</v>
      </c>
      <c r="G114" s="622">
        <v>262</v>
      </c>
      <c r="H114" s="625">
        <v>602</v>
      </c>
      <c r="K114" s="100"/>
      <c r="L114" s="596"/>
      <c r="M114" s="596"/>
      <c r="O114" s="85"/>
      <c r="P114" s="85"/>
    </row>
    <row r="115" spans="1:16" ht="12.75">
      <c r="A115" s="567">
        <v>96</v>
      </c>
      <c r="B115" s="270" t="s">
        <v>35</v>
      </c>
      <c r="C115" s="270" t="s">
        <v>1099</v>
      </c>
      <c r="D115" s="622">
        <v>121</v>
      </c>
      <c r="E115" s="622">
        <v>72</v>
      </c>
      <c r="F115" s="622">
        <v>77</v>
      </c>
      <c r="G115" s="622">
        <v>193</v>
      </c>
      <c r="H115" s="625">
        <v>463</v>
      </c>
      <c r="K115" s="100"/>
      <c r="L115" s="596"/>
      <c r="M115" s="596"/>
      <c r="O115" s="85"/>
      <c r="P115" s="85"/>
    </row>
    <row r="116" spans="1:16" ht="12.75">
      <c r="A116" s="567">
        <v>97</v>
      </c>
      <c r="B116" s="270" t="s">
        <v>35</v>
      </c>
      <c r="C116" s="270" t="s">
        <v>1100</v>
      </c>
      <c r="D116" s="622">
        <v>55</v>
      </c>
      <c r="E116" s="622">
        <v>32</v>
      </c>
      <c r="F116" s="622">
        <v>35</v>
      </c>
      <c r="G116" s="622">
        <v>95</v>
      </c>
      <c r="H116" s="625">
        <v>217</v>
      </c>
      <c r="K116" s="100"/>
      <c r="L116" s="596"/>
      <c r="M116" s="596"/>
      <c r="O116" s="85"/>
      <c r="P116" s="85"/>
    </row>
    <row r="117" spans="1:16" ht="12.75">
      <c r="A117" s="567">
        <v>98</v>
      </c>
      <c r="B117" s="270" t="s">
        <v>35</v>
      </c>
      <c r="C117" s="270" t="s">
        <v>1101</v>
      </c>
      <c r="D117" s="622">
        <v>236</v>
      </c>
      <c r="E117" s="622">
        <v>142</v>
      </c>
      <c r="F117" s="622">
        <v>154</v>
      </c>
      <c r="G117" s="622">
        <v>398</v>
      </c>
      <c r="H117" s="625">
        <v>930</v>
      </c>
      <c r="K117" s="100"/>
      <c r="L117" s="596"/>
      <c r="M117" s="596"/>
      <c r="O117" s="85"/>
      <c r="P117" s="85"/>
    </row>
    <row r="118" spans="1:16" ht="12.75">
      <c r="A118" s="567">
        <v>99</v>
      </c>
      <c r="B118" s="270" t="s">
        <v>35</v>
      </c>
      <c r="C118" s="270" t="s">
        <v>1102</v>
      </c>
      <c r="D118" s="622">
        <v>1</v>
      </c>
      <c r="E118" s="622">
        <v>1</v>
      </c>
      <c r="F118" s="622" t="s">
        <v>1041</v>
      </c>
      <c r="G118" s="622" t="s">
        <v>1041</v>
      </c>
      <c r="H118" s="625">
        <v>2</v>
      </c>
      <c r="K118" s="100"/>
      <c r="L118" s="596"/>
      <c r="M118" s="596"/>
      <c r="O118" s="85"/>
      <c r="P118" s="85"/>
    </row>
    <row r="119" spans="1:16" ht="12.75">
      <c r="A119" s="567">
        <v>100</v>
      </c>
      <c r="B119" s="270" t="s">
        <v>35</v>
      </c>
      <c r="C119" s="270" t="s">
        <v>1103</v>
      </c>
      <c r="D119" s="594">
        <v>2208</v>
      </c>
      <c r="E119" s="594">
        <v>1315</v>
      </c>
      <c r="F119" s="594">
        <v>1410</v>
      </c>
      <c r="G119" s="594">
        <v>3389</v>
      </c>
      <c r="H119" s="624">
        <v>8322</v>
      </c>
      <c r="K119" s="100"/>
      <c r="L119" s="596"/>
      <c r="M119" s="596"/>
      <c r="O119" s="85"/>
      <c r="P119" s="85"/>
    </row>
    <row r="120" spans="1:16" ht="12.75">
      <c r="A120" s="567">
        <v>101</v>
      </c>
      <c r="B120" s="270" t="s">
        <v>35</v>
      </c>
      <c r="C120" s="270" t="s">
        <v>1104</v>
      </c>
      <c r="D120" s="622">
        <v>82</v>
      </c>
      <c r="E120" s="622">
        <v>50</v>
      </c>
      <c r="F120" s="622">
        <v>53</v>
      </c>
      <c r="G120" s="622">
        <v>139</v>
      </c>
      <c r="H120" s="625">
        <v>324</v>
      </c>
      <c r="K120" s="100"/>
      <c r="L120" s="596"/>
      <c r="M120" s="596"/>
      <c r="O120" s="85"/>
      <c r="P120" s="85"/>
    </row>
    <row r="121" spans="1:16" ht="12.75">
      <c r="A121" s="567">
        <v>102</v>
      </c>
      <c r="B121" s="270" t="s">
        <v>35</v>
      </c>
      <c r="C121" s="270" t="s">
        <v>1105</v>
      </c>
      <c r="D121" s="622">
        <v>428</v>
      </c>
      <c r="E121" s="622">
        <v>263</v>
      </c>
      <c r="F121" s="622">
        <v>283</v>
      </c>
      <c r="G121" s="622">
        <v>700</v>
      </c>
      <c r="H121" s="624">
        <v>1674</v>
      </c>
      <c r="K121" s="100"/>
      <c r="L121" s="596"/>
      <c r="M121" s="596"/>
      <c r="O121" s="85"/>
      <c r="P121" s="85"/>
    </row>
    <row r="122" spans="1:16" ht="12.75">
      <c r="A122" s="567">
        <v>103</v>
      </c>
      <c r="B122" s="270" t="s">
        <v>35</v>
      </c>
      <c r="C122" s="270" t="s">
        <v>1106</v>
      </c>
      <c r="D122" s="622">
        <v>14</v>
      </c>
      <c r="E122" s="622">
        <v>9</v>
      </c>
      <c r="F122" s="622">
        <v>9</v>
      </c>
      <c r="G122" s="622">
        <v>23</v>
      </c>
      <c r="H122" s="625">
        <v>55</v>
      </c>
      <c r="K122" s="100"/>
      <c r="L122" s="596"/>
      <c r="M122" s="596"/>
      <c r="O122" s="85"/>
      <c r="P122" s="85"/>
    </row>
    <row r="123" spans="1:16" ht="12.75">
      <c r="A123" s="567">
        <v>104</v>
      </c>
      <c r="B123" s="270" t="s">
        <v>35</v>
      </c>
      <c r="C123" s="270" t="s">
        <v>1107</v>
      </c>
      <c r="D123" s="622">
        <v>44</v>
      </c>
      <c r="E123" s="622">
        <v>27</v>
      </c>
      <c r="F123" s="622">
        <v>28</v>
      </c>
      <c r="G123" s="622">
        <v>70</v>
      </c>
      <c r="H123" s="625">
        <v>169</v>
      </c>
      <c r="K123" s="100"/>
      <c r="L123" s="596"/>
      <c r="M123" s="596"/>
      <c r="O123" s="85"/>
      <c r="P123" s="85"/>
    </row>
    <row r="124" spans="1:16" ht="12.75">
      <c r="A124" s="567">
        <v>105</v>
      </c>
      <c r="B124" s="270" t="s">
        <v>35</v>
      </c>
      <c r="C124" s="270" t="s">
        <v>1108</v>
      </c>
      <c r="D124" s="622">
        <v>43</v>
      </c>
      <c r="E124" s="622">
        <v>25</v>
      </c>
      <c r="F124" s="622">
        <v>28</v>
      </c>
      <c r="G124" s="622">
        <v>76</v>
      </c>
      <c r="H124" s="625">
        <v>172</v>
      </c>
      <c r="K124" s="100"/>
      <c r="L124" s="596"/>
      <c r="M124" s="596"/>
      <c r="O124" s="85"/>
      <c r="P124" s="85"/>
    </row>
    <row r="125" spans="1:16" ht="12.75">
      <c r="A125" s="567">
        <v>106</v>
      </c>
      <c r="B125" s="270" t="s">
        <v>35</v>
      </c>
      <c r="C125" s="270" t="s">
        <v>1109</v>
      </c>
      <c r="D125" s="622">
        <v>314</v>
      </c>
      <c r="E125" s="622">
        <v>185</v>
      </c>
      <c r="F125" s="622">
        <v>205</v>
      </c>
      <c r="G125" s="622">
        <v>558</v>
      </c>
      <c r="H125" s="624">
        <v>1262</v>
      </c>
      <c r="K125" s="100"/>
      <c r="L125" s="596"/>
      <c r="M125" s="596"/>
      <c r="O125" s="85"/>
      <c r="P125" s="85"/>
    </row>
    <row r="126" spans="1:16" ht="12.75">
      <c r="A126" s="567">
        <v>107</v>
      </c>
      <c r="B126" s="270" t="s">
        <v>35</v>
      </c>
      <c r="C126" s="270" t="s">
        <v>1110</v>
      </c>
      <c r="D126" s="622">
        <v>17</v>
      </c>
      <c r="E126" s="622">
        <v>10</v>
      </c>
      <c r="F126" s="622">
        <v>11</v>
      </c>
      <c r="G126" s="622">
        <v>25</v>
      </c>
      <c r="H126" s="625">
        <v>63</v>
      </c>
      <c r="K126" s="100"/>
      <c r="L126" s="596"/>
      <c r="M126" s="596"/>
      <c r="O126" s="85"/>
      <c r="P126" s="85"/>
    </row>
    <row r="127" spans="1:16" ht="12.75">
      <c r="A127" s="567">
        <v>108</v>
      </c>
      <c r="B127" s="270" t="s">
        <v>35</v>
      </c>
      <c r="C127" s="270" t="s">
        <v>1111</v>
      </c>
      <c r="D127" s="622">
        <v>159</v>
      </c>
      <c r="E127" s="622">
        <v>93</v>
      </c>
      <c r="F127" s="622">
        <v>99</v>
      </c>
      <c r="G127" s="622">
        <v>252</v>
      </c>
      <c r="H127" s="625">
        <v>603</v>
      </c>
      <c r="K127" s="100"/>
      <c r="L127" s="596"/>
      <c r="M127" s="596"/>
      <c r="O127" s="85"/>
      <c r="P127" s="85"/>
    </row>
    <row r="128" spans="1:16" ht="12.75">
      <c r="A128" s="567">
        <v>109</v>
      </c>
      <c r="B128" s="270" t="s">
        <v>35</v>
      </c>
      <c r="C128" s="270" t="s">
        <v>1112</v>
      </c>
      <c r="D128" s="622">
        <v>380</v>
      </c>
      <c r="E128" s="622">
        <v>227</v>
      </c>
      <c r="F128" s="622">
        <v>243</v>
      </c>
      <c r="G128" s="622">
        <v>600</v>
      </c>
      <c r="H128" s="624">
        <v>1450</v>
      </c>
      <c r="K128" s="100"/>
      <c r="L128" s="596"/>
      <c r="M128" s="596"/>
      <c r="O128" s="85"/>
      <c r="P128" s="85"/>
    </row>
    <row r="129" spans="1:16" ht="12.75">
      <c r="A129" s="567">
        <v>110</v>
      </c>
      <c r="B129" s="270" t="s">
        <v>35</v>
      </c>
      <c r="C129" s="270" t="s">
        <v>1113</v>
      </c>
      <c r="D129" s="622">
        <v>1</v>
      </c>
      <c r="E129" s="622">
        <v>1</v>
      </c>
      <c r="F129" s="622" t="s">
        <v>1041</v>
      </c>
      <c r="G129" s="622" t="s">
        <v>1041</v>
      </c>
      <c r="H129" s="625">
        <v>2</v>
      </c>
      <c r="K129" s="100"/>
      <c r="L129" s="596"/>
      <c r="M129" s="596"/>
      <c r="O129" s="85"/>
      <c r="P129" s="85"/>
    </row>
    <row r="130" spans="1:16" ht="12.75">
      <c r="A130" s="567">
        <v>111</v>
      </c>
      <c r="B130" s="270" t="s">
        <v>35</v>
      </c>
      <c r="C130" s="270" t="s">
        <v>1114</v>
      </c>
      <c r="D130" s="622">
        <v>246</v>
      </c>
      <c r="E130" s="622">
        <v>144</v>
      </c>
      <c r="F130" s="622">
        <v>155</v>
      </c>
      <c r="G130" s="622">
        <v>363</v>
      </c>
      <c r="H130" s="625">
        <v>908</v>
      </c>
      <c r="K130" s="100"/>
      <c r="L130" s="596"/>
      <c r="M130" s="596"/>
      <c r="O130" s="85"/>
      <c r="P130" s="85"/>
    </row>
    <row r="131" spans="1:16" ht="12.75">
      <c r="A131" s="567">
        <v>112</v>
      </c>
      <c r="B131" s="270" t="s">
        <v>35</v>
      </c>
      <c r="C131" s="270" t="s">
        <v>1115</v>
      </c>
      <c r="D131" s="622">
        <v>217</v>
      </c>
      <c r="E131" s="622">
        <v>129</v>
      </c>
      <c r="F131" s="622">
        <v>138</v>
      </c>
      <c r="G131" s="622">
        <v>347</v>
      </c>
      <c r="H131" s="625">
        <v>831</v>
      </c>
      <c r="K131" s="100"/>
      <c r="L131" s="596"/>
      <c r="M131" s="596"/>
      <c r="O131" s="85"/>
      <c r="P131" s="85"/>
    </row>
    <row r="132" spans="1:16" ht="12.75">
      <c r="A132" s="567">
        <v>113</v>
      </c>
      <c r="B132" s="270" t="s">
        <v>35</v>
      </c>
      <c r="C132" s="270" t="s">
        <v>1116</v>
      </c>
      <c r="D132" s="622">
        <v>19</v>
      </c>
      <c r="E132" s="622">
        <v>12</v>
      </c>
      <c r="F132" s="622">
        <v>13</v>
      </c>
      <c r="G132" s="622">
        <v>33</v>
      </c>
      <c r="H132" s="625">
        <v>77</v>
      </c>
      <c r="K132" s="100"/>
      <c r="L132" s="596"/>
      <c r="M132" s="596"/>
      <c r="O132" s="85"/>
      <c r="P132" s="85"/>
    </row>
    <row r="133" spans="1:16" ht="12.75">
      <c r="A133" s="567">
        <v>114</v>
      </c>
      <c r="B133" s="270" t="s">
        <v>35</v>
      </c>
      <c r="C133" s="270" t="s">
        <v>1117</v>
      </c>
      <c r="D133" s="622">
        <v>12</v>
      </c>
      <c r="E133" s="622">
        <v>7</v>
      </c>
      <c r="F133" s="622">
        <v>8</v>
      </c>
      <c r="G133" s="622">
        <v>18</v>
      </c>
      <c r="H133" s="625">
        <v>45</v>
      </c>
      <c r="K133" s="100"/>
      <c r="L133" s="596"/>
      <c r="M133" s="596"/>
      <c r="O133" s="85"/>
      <c r="P133" s="85"/>
    </row>
    <row r="134" spans="1:16" ht="12.75">
      <c r="A134" s="567">
        <v>115</v>
      </c>
      <c r="B134" s="270" t="s">
        <v>35</v>
      </c>
      <c r="C134" s="270" t="s">
        <v>1118</v>
      </c>
      <c r="D134" s="622">
        <v>228</v>
      </c>
      <c r="E134" s="622">
        <v>135</v>
      </c>
      <c r="F134" s="622">
        <v>146</v>
      </c>
      <c r="G134" s="622">
        <v>369</v>
      </c>
      <c r="H134" s="625">
        <v>878</v>
      </c>
      <c r="K134" s="100"/>
      <c r="L134" s="596"/>
      <c r="M134" s="596"/>
      <c r="O134" s="85"/>
      <c r="P134" s="85"/>
    </row>
    <row r="135" spans="1:16" ht="12.75">
      <c r="A135" s="567">
        <v>116</v>
      </c>
      <c r="B135" s="270" t="s">
        <v>35</v>
      </c>
      <c r="C135" s="270" t="s">
        <v>1017</v>
      </c>
      <c r="D135" s="594">
        <v>7854</v>
      </c>
      <c r="E135" s="594">
        <v>4650</v>
      </c>
      <c r="F135" s="594">
        <v>5060</v>
      </c>
      <c r="G135" s="594">
        <v>12581</v>
      </c>
      <c r="H135" s="624">
        <v>30145</v>
      </c>
      <c r="K135" s="100"/>
      <c r="L135" s="596"/>
      <c r="M135" s="596"/>
      <c r="O135" s="85"/>
      <c r="P135" s="85"/>
    </row>
    <row r="136" spans="1:16" ht="12.75">
      <c r="A136" s="599"/>
      <c r="B136" s="619" t="s">
        <v>42</v>
      </c>
      <c r="C136" s="620"/>
      <c r="D136" s="618">
        <v>8734</v>
      </c>
      <c r="E136" s="618">
        <v>6246</v>
      </c>
      <c r="F136" s="618">
        <v>6971</v>
      </c>
      <c r="G136" s="618">
        <v>16015</v>
      </c>
      <c r="H136" s="618">
        <v>37966</v>
      </c>
      <c r="K136" s="100"/>
      <c r="L136" s="596"/>
      <c r="M136" s="596"/>
      <c r="O136" s="85"/>
      <c r="P136" s="85"/>
    </row>
    <row r="137" spans="1:16" ht="12.75">
      <c r="A137" s="567">
        <v>117</v>
      </c>
      <c r="B137" s="270" t="s">
        <v>42</v>
      </c>
      <c r="C137" s="270" t="s">
        <v>1119</v>
      </c>
      <c r="D137" s="622">
        <v>9</v>
      </c>
      <c r="E137" s="622">
        <v>7</v>
      </c>
      <c r="F137" s="622">
        <v>7</v>
      </c>
      <c r="G137" s="622">
        <v>16</v>
      </c>
      <c r="H137" s="625">
        <v>39</v>
      </c>
      <c r="K137" s="100"/>
      <c r="L137" s="596"/>
      <c r="M137" s="596"/>
      <c r="O137" s="85"/>
      <c r="P137" s="85"/>
    </row>
    <row r="138" spans="1:16" ht="12.75">
      <c r="A138" s="567">
        <v>118</v>
      </c>
      <c r="B138" s="270" t="s">
        <v>42</v>
      </c>
      <c r="C138" s="270" t="s">
        <v>1120</v>
      </c>
      <c r="D138" s="623">
        <v>1256</v>
      </c>
      <c r="E138" s="622">
        <v>907</v>
      </c>
      <c r="F138" s="623">
        <v>1038</v>
      </c>
      <c r="G138" s="623">
        <v>2501</v>
      </c>
      <c r="H138" s="624">
        <v>5702</v>
      </c>
      <c r="K138" s="100"/>
      <c r="L138" s="596"/>
      <c r="M138" s="596"/>
      <c r="O138" s="85"/>
      <c r="P138" s="85"/>
    </row>
    <row r="139" spans="1:16" ht="12.75">
      <c r="A139" s="567">
        <v>119</v>
      </c>
      <c r="B139" s="270" t="s">
        <v>42</v>
      </c>
      <c r="C139" s="270" t="s">
        <v>1121</v>
      </c>
      <c r="D139" s="622">
        <v>426</v>
      </c>
      <c r="E139" s="622">
        <v>305</v>
      </c>
      <c r="F139" s="622">
        <v>335</v>
      </c>
      <c r="G139" s="622">
        <v>785</v>
      </c>
      <c r="H139" s="624">
        <v>1851</v>
      </c>
      <c r="K139" s="100"/>
      <c r="L139" s="596"/>
      <c r="M139" s="596"/>
      <c r="O139" s="85"/>
      <c r="P139" s="85"/>
    </row>
    <row r="140" spans="1:16" ht="12.75">
      <c r="A140" s="567">
        <v>120</v>
      </c>
      <c r="B140" s="270" t="s">
        <v>42</v>
      </c>
      <c r="C140" s="270" t="s">
        <v>1122</v>
      </c>
      <c r="D140" s="622">
        <v>76</v>
      </c>
      <c r="E140" s="622">
        <v>53</v>
      </c>
      <c r="F140" s="622">
        <v>62</v>
      </c>
      <c r="G140" s="622">
        <v>148</v>
      </c>
      <c r="H140" s="625">
        <v>339</v>
      </c>
      <c r="K140" s="100"/>
      <c r="L140" s="596"/>
      <c r="M140" s="596"/>
      <c r="O140" s="85"/>
      <c r="P140" s="85"/>
    </row>
    <row r="141" spans="1:16" ht="12.75">
      <c r="A141" s="567">
        <v>121</v>
      </c>
      <c r="B141" s="270" t="s">
        <v>42</v>
      </c>
      <c r="C141" s="270" t="s">
        <v>1123</v>
      </c>
      <c r="D141" s="622">
        <v>1</v>
      </c>
      <c r="E141" s="622">
        <v>1</v>
      </c>
      <c r="F141" s="622" t="s">
        <v>1041</v>
      </c>
      <c r="G141" s="622" t="s">
        <v>1041</v>
      </c>
      <c r="H141" s="625">
        <v>2</v>
      </c>
      <c r="K141" s="100"/>
      <c r="L141" s="596"/>
      <c r="M141" s="596"/>
      <c r="O141" s="85"/>
      <c r="P141" s="85"/>
    </row>
    <row r="142" spans="1:16" ht="12.75">
      <c r="A142" s="567">
        <v>122</v>
      </c>
      <c r="B142" s="270" t="s">
        <v>42</v>
      </c>
      <c r="C142" s="270" t="s">
        <v>1124</v>
      </c>
      <c r="D142" s="622">
        <v>71</v>
      </c>
      <c r="E142" s="622">
        <v>50</v>
      </c>
      <c r="F142" s="622">
        <v>56</v>
      </c>
      <c r="G142" s="622">
        <v>131</v>
      </c>
      <c r="H142" s="625">
        <v>308</v>
      </c>
      <c r="K142" s="100"/>
      <c r="L142" s="596"/>
      <c r="M142" s="596"/>
      <c r="O142" s="85"/>
      <c r="P142" s="85"/>
    </row>
    <row r="143" spans="1:16" ht="12.75">
      <c r="A143" s="567">
        <v>123</v>
      </c>
      <c r="B143" s="270" t="s">
        <v>42</v>
      </c>
      <c r="C143" s="270" t="s">
        <v>1125</v>
      </c>
      <c r="D143" s="622">
        <v>76</v>
      </c>
      <c r="E143" s="622">
        <v>53</v>
      </c>
      <c r="F143" s="622">
        <v>61</v>
      </c>
      <c r="G143" s="622">
        <v>137</v>
      </c>
      <c r="H143" s="625">
        <v>327</v>
      </c>
      <c r="K143" s="100"/>
      <c r="L143" s="596"/>
      <c r="M143" s="596"/>
      <c r="O143" s="85"/>
      <c r="P143" s="85"/>
    </row>
    <row r="144" spans="1:16" ht="12.75">
      <c r="A144" s="567">
        <v>124</v>
      </c>
      <c r="B144" s="270" t="s">
        <v>42</v>
      </c>
      <c r="C144" s="270" t="s">
        <v>1126</v>
      </c>
      <c r="D144" s="622">
        <v>83</v>
      </c>
      <c r="E144" s="622">
        <v>59</v>
      </c>
      <c r="F144" s="622">
        <v>65</v>
      </c>
      <c r="G144" s="622">
        <v>151</v>
      </c>
      <c r="H144" s="625">
        <v>358</v>
      </c>
      <c r="K144" s="100"/>
      <c r="L144" s="596"/>
      <c r="M144" s="596"/>
      <c r="O144" s="85"/>
      <c r="P144" s="85"/>
    </row>
    <row r="145" spans="1:16" ht="12.75">
      <c r="A145" s="567">
        <v>125</v>
      </c>
      <c r="B145" s="270" t="s">
        <v>42</v>
      </c>
      <c r="C145" s="270" t="s">
        <v>1127</v>
      </c>
      <c r="D145" s="622">
        <v>411</v>
      </c>
      <c r="E145" s="622">
        <v>299</v>
      </c>
      <c r="F145" s="622">
        <v>337</v>
      </c>
      <c r="G145" s="622">
        <v>794</v>
      </c>
      <c r="H145" s="624">
        <v>1841</v>
      </c>
      <c r="K145" s="100"/>
      <c r="L145" s="596"/>
      <c r="M145" s="596"/>
      <c r="O145" s="85"/>
      <c r="P145" s="85"/>
    </row>
    <row r="146" spans="1:16" ht="12.75">
      <c r="A146" s="567">
        <v>126</v>
      </c>
      <c r="B146" s="270" t="s">
        <v>42</v>
      </c>
      <c r="C146" s="270" t="s">
        <v>1128</v>
      </c>
      <c r="D146" s="622">
        <v>164</v>
      </c>
      <c r="E146" s="622">
        <v>120</v>
      </c>
      <c r="F146" s="622">
        <v>135</v>
      </c>
      <c r="G146" s="622">
        <v>328</v>
      </c>
      <c r="H146" s="625">
        <v>747</v>
      </c>
      <c r="K146" s="100"/>
      <c r="L146" s="596"/>
      <c r="M146" s="596"/>
      <c r="O146" s="85"/>
      <c r="P146" s="85"/>
    </row>
    <row r="147" spans="1:16" ht="12.75">
      <c r="A147" s="567">
        <v>127</v>
      </c>
      <c r="B147" s="270" t="s">
        <v>42</v>
      </c>
      <c r="C147" s="270" t="s">
        <v>1129</v>
      </c>
      <c r="D147" s="622">
        <v>313</v>
      </c>
      <c r="E147" s="622">
        <v>220</v>
      </c>
      <c r="F147" s="622">
        <v>248</v>
      </c>
      <c r="G147" s="622">
        <v>572</v>
      </c>
      <c r="H147" s="624">
        <v>1353</v>
      </c>
      <c r="K147" s="100"/>
      <c r="L147" s="596"/>
      <c r="M147" s="596"/>
      <c r="O147" s="85"/>
      <c r="P147" s="85"/>
    </row>
    <row r="148" spans="1:16" ht="12.75">
      <c r="A148" s="567">
        <v>128</v>
      </c>
      <c r="B148" s="270" t="s">
        <v>42</v>
      </c>
      <c r="C148" s="270" t="s">
        <v>1130</v>
      </c>
      <c r="D148" s="623">
        <v>2817</v>
      </c>
      <c r="E148" s="623">
        <v>2034</v>
      </c>
      <c r="F148" s="623">
        <v>2239</v>
      </c>
      <c r="G148" s="623">
        <v>5059</v>
      </c>
      <c r="H148" s="624">
        <v>12149</v>
      </c>
      <c r="K148" s="100"/>
      <c r="L148" s="596"/>
      <c r="M148" s="596"/>
      <c r="O148" s="85"/>
      <c r="P148" s="85"/>
    </row>
    <row r="149" spans="1:16" ht="12.75">
      <c r="A149" s="567">
        <v>129</v>
      </c>
      <c r="B149" s="270" t="s">
        <v>42</v>
      </c>
      <c r="C149" s="270" t="s">
        <v>1131</v>
      </c>
      <c r="D149" s="622">
        <v>1</v>
      </c>
      <c r="E149" s="622">
        <v>1</v>
      </c>
      <c r="F149" s="622">
        <v>1</v>
      </c>
      <c r="G149" s="622">
        <v>1</v>
      </c>
      <c r="H149" s="625">
        <v>4</v>
      </c>
      <c r="K149" s="100"/>
      <c r="L149" s="596"/>
      <c r="M149" s="596"/>
      <c r="O149" s="85"/>
      <c r="P149" s="85"/>
    </row>
    <row r="150" spans="1:16" ht="12.75">
      <c r="A150" s="567">
        <v>130</v>
      </c>
      <c r="B150" s="270" t="s">
        <v>42</v>
      </c>
      <c r="C150" s="270" t="s">
        <v>1132</v>
      </c>
      <c r="D150" s="622">
        <v>2</v>
      </c>
      <c r="E150" s="622">
        <v>2</v>
      </c>
      <c r="F150" s="622">
        <v>2</v>
      </c>
      <c r="G150" s="622">
        <v>3</v>
      </c>
      <c r="H150" s="625">
        <v>9</v>
      </c>
      <c r="K150" s="100"/>
      <c r="L150" s="596"/>
      <c r="M150" s="596"/>
      <c r="O150" s="85"/>
      <c r="P150" s="85"/>
    </row>
    <row r="151" spans="1:16" ht="12.75">
      <c r="A151" s="567">
        <v>131</v>
      </c>
      <c r="B151" s="270" t="s">
        <v>42</v>
      </c>
      <c r="C151" s="270" t="s">
        <v>1133</v>
      </c>
      <c r="D151" s="622">
        <v>1</v>
      </c>
      <c r="E151" s="622">
        <v>1</v>
      </c>
      <c r="F151" s="622" t="s">
        <v>1041</v>
      </c>
      <c r="G151" s="622" t="s">
        <v>1041</v>
      </c>
      <c r="H151" s="625">
        <v>2</v>
      </c>
      <c r="K151" s="100"/>
      <c r="L151" s="596"/>
      <c r="M151" s="596"/>
      <c r="O151" s="85"/>
      <c r="P151" s="85"/>
    </row>
    <row r="152" spans="1:16" ht="12.75">
      <c r="A152" s="567">
        <v>132</v>
      </c>
      <c r="B152" s="270" t="s">
        <v>42</v>
      </c>
      <c r="C152" s="270" t="s">
        <v>1134</v>
      </c>
      <c r="D152" s="622">
        <v>1</v>
      </c>
      <c r="E152" s="622">
        <v>1</v>
      </c>
      <c r="F152" s="622" t="s">
        <v>1041</v>
      </c>
      <c r="G152" s="622" t="s">
        <v>1041</v>
      </c>
      <c r="H152" s="625">
        <v>2</v>
      </c>
      <c r="K152" s="100"/>
      <c r="L152" s="596"/>
      <c r="M152" s="596"/>
      <c r="O152" s="85"/>
      <c r="P152" s="85"/>
    </row>
    <row r="153" spans="1:16" ht="12.75">
      <c r="A153" s="567">
        <v>133</v>
      </c>
      <c r="B153" s="270" t="s">
        <v>42</v>
      </c>
      <c r="C153" s="270" t="s">
        <v>1135</v>
      </c>
      <c r="D153" s="622">
        <v>43</v>
      </c>
      <c r="E153" s="622">
        <v>30</v>
      </c>
      <c r="F153" s="622">
        <v>34</v>
      </c>
      <c r="G153" s="622">
        <v>75</v>
      </c>
      <c r="H153" s="625">
        <v>182</v>
      </c>
      <c r="K153" s="100"/>
      <c r="L153" s="596"/>
      <c r="M153" s="596"/>
      <c r="O153" s="85"/>
      <c r="P153" s="85"/>
    </row>
    <row r="154" spans="1:16" ht="12.75">
      <c r="A154" s="567">
        <v>134</v>
      </c>
      <c r="B154" s="270" t="s">
        <v>42</v>
      </c>
      <c r="C154" s="270" t="s">
        <v>1136</v>
      </c>
      <c r="D154" s="622">
        <v>1</v>
      </c>
      <c r="E154" s="622">
        <v>1</v>
      </c>
      <c r="F154" s="622" t="s">
        <v>1041</v>
      </c>
      <c r="G154" s="622" t="s">
        <v>1041</v>
      </c>
      <c r="H154" s="625">
        <v>2</v>
      </c>
      <c r="K154" s="100"/>
      <c r="L154" s="596"/>
      <c r="M154" s="596"/>
      <c r="O154" s="85"/>
      <c r="P154" s="85"/>
    </row>
    <row r="155" spans="1:16" ht="12.75">
      <c r="A155" s="567">
        <v>135</v>
      </c>
      <c r="B155" s="270" t="s">
        <v>42</v>
      </c>
      <c r="C155" s="270" t="s">
        <v>1137</v>
      </c>
      <c r="D155" s="622">
        <v>647</v>
      </c>
      <c r="E155" s="622">
        <v>450</v>
      </c>
      <c r="F155" s="622">
        <v>497</v>
      </c>
      <c r="G155" s="623">
        <v>1133</v>
      </c>
      <c r="H155" s="624">
        <v>2727</v>
      </c>
      <c r="K155" s="100"/>
      <c r="L155" s="596"/>
      <c r="M155" s="596"/>
      <c r="O155" s="85"/>
      <c r="P155" s="85"/>
    </row>
    <row r="156" spans="1:16" ht="12.75">
      <c r="A156" s="567">
        <v>136</v>
      </c>
      <c r="B156" s="270" t="s">
        <v>42</v>
      </c>
      <c r="C156" s="270" t="s">
        <v>1138</v>
      </c>
      <c r="D156" s="622">
        <v>14</v>
      </c>
      <c r="E156" s="622">
        <v>10</v>
      </c>
      <c r="F156" s="622">
        <v>11</v>
      </c>
      <c r="G156" s="622">
        <v>26</v>
      </c>
      <c r="H156" s="625">
        <v>61</v>
      </c>
      <c r="K156" s="100"/>
      <c r="L156" s="596"/>
      <c r="M156" s="596"/>
      <c r="O156" s="85"/>
      <c r="P156" s="85"/>
    </row>
    <row r="157" spans="1:16" ht="12.75">
      <c r="A157" s="567">
        <v>137</v>
      </c>
      <c r="B157" s="270" t="s">
        <v>42</v>
      </c>
      <c r="C157" s="270" t="s">
        <v>1139</v>
      </c>
      <c r="D157" s="622">
        <v>42</v>
      </c>
      <c r="E157" s="622">
        <v>29</v>
      </c>
      <c r="F157" s="622">
        <v>33</v>
      </c>
      <c r="G157" s="622">
        <v>73</v>
      </c>
      <c r="H157" s="625">
        <v>177</v>
      </c>
      <c r="K157" s="100"/>
      <c r="L157" s="596"/>
      <c r="M157" s="596"/>
      <c r="O157" s="85"/>
      <c r="P157" s="85"/>
    </row>
    <row r="158" spans="1:16" ht="12.75">
      <c r="A158" s="567">
        <v>138</v>
      </c>
      <c r="B158" s="270" t="s">
        <v>42</v>
      </c>
      <c r="C158" s="270" t="s">
        <v>1140</v>
      </c>
      <c r="D158" s="622">
        <v>1</v>
      </c>
      <c r="E158" s="622">
        <v>1</v>
      </c>
      <c r="F158" s="622">
        <v>1</v>
      </c>
      <c r="G158" s="622">
        <v>2</v>
      </c>
      <c r="H158" s="625">
        <v>5</v>
      </c>
      <c r="K158" s="100"/>
      <c r="L158" s="596"/>
      <c r="M158" s="596"/>
      <c r="O158" s="85"/>
      <c r="P158" s="85"/>
    </row>
    <row r="159" spans="1:16" ht="12.75">
      <c r="A159" s="567">
        <v>139</v>
      </c>
      <c r="B159" s="270" t="s">
        <v>42</v>
      </c>
      <c r="C159" s="270" t="s">
        <v>42</v>
      </c>
      <c r="D159" s="622">
        <v>83</v>
      </c>
      <c r="E159" s="622">
        <v>59</v>
      </c>
      <c r="F159" s="622">
        <v>66</v>
      </c>
      <c r="G159" s="622">
        <v>155</v>
      </c>
      <c r="H159" s="625">
        <v>363</v>
      </c>
      <c r="K159" s="100"/>
      <c r="L159" s="596"/>
      <c r="M159" s="596"/>
      <c r="O159" s="85"/>
      <c r="P159" s="85"/>
    </row>
    <row r="160" spans="1:16" ht="12.75">
      <c r="A160" s="567">
        <v>140</v>
      </c>
      <c r="B160" s="270" t="s">
        <v>42</v>
      </c>
      <c r="C160" s="270" t="s">
        <v>1141</v>
      </c>
      <c r="D160" s="622">
        <v>112</v>
      </c>
      <c r="E160" s="622">
        <v>81</v>
      </c>
      <c r="F160" s="622">
        <v>90</v>
      </c>
      <c r="G160" s="622">
        <v>209</v>
      </c>
      <c r="H160" s="625">
        <v>492</v>
      </c>
      <c r="K160" s="100"/>
      <c r="L160" s="596"/>
      <c r="M160" s="596"/>
      <c r="O160" s="85"/>
      <c r="P160" s="85"/>
    </row>
    <row r="161" spans="1:16" ht="12.75">
      <c r="A161" s="567">
        <v>141</v>
      </c>
      <c r="B161" s="270" t="s">
        <v>42</v>
      </c>
      <c r="C161" s="270" t="s">
        <v>1142</v>
      </c>
      <c r="D161" s="622">
        <v>1</v>
      </c>
      <c r="E161" s="622">
        <v>1</v>
      </c>
      <c r="F161" s="622" t="s">
        <v>1041</v>
      </c>
      <c r="G161" s="622" t="s">
        <v>1041</v>
      </c>
      <c r="H161" s="625">
        <v>2</v>
      </c>
      <c r="K161" s="100"/>
      <c r="L161" s="596"/>
      <c r="M161" s="596"/>
      <c r="O161" s="85"/>
      <c r="P161" s="85"/>
    </row>
    <row r="162" spans="1:16" ht="12.75">
      <c r="A162" s="567">
        <v>142</v>
      </c>
      <c r="B162" s="270" t="s">
        <v>42</v>
      </c>
      <c r="C162" s="270" t="s">
        <v>1143</v>
      </c>
      <c r="D162" s="622">
        <v>134</v>
      </c>
      <c r="E162" s="622">
        <v>95</v>
      </c>
      <c r="F162" s="622">
        <v>108</v>
      </c>
      <c r="G162" s="622">
        <v>244</v>
      </c>
      <c r="H162" s="625">
        <v>581</v>
      </c>
      <c r="K162" s="100"/>
      <c r="L162" s="596"/>
      <c r="M162" s="596"/>
      <c r="O162" s="85"/>
      <c r="P162" s="85"/>
    </row>
    <row r="163" spans="1:16" ht="12.75">
      <c r="A163" s="567">
        <v>143</v>
      </c>
      <c r="B163" s="270" t="s">
        <v>42</v>
      </c>
      <c r="C163" s="270" t="s">
        <v>1144</v>
      </c>
      <c r="D163" s="622">
        <v>147</v>
      </c>
      <c r="E163" s="622">
        <v>104</v>
      </c>
      <c r="F163" s="622">
        <v>120</v>
      </c>
      <c r="G163" s="622">
        <v>267</v>
      </c>
      <c r="H163" s="625">
        <v>638</v>
      </c>
      <c r="K163" s="100"/>
      <c r="L163" s="596"/>
      <c r="M163" s="596"/>
      <c r="O163" s="85"/>
      <c r="P163" s="85"/>
    </row>
    <row r="164" spans="1:16" ht="12.75">
      <c r="A164" s="567">
        <v>144</v>
      </c>
      <c r="B164" s="270" t="s">
        <v>42</v>
      </c>
      <c r="C164" s="270" t="s">
        <v>1145</v>
      </c>
      <c r="D164" s="622">
        <v>45</v>
      </c>
      <c r="E164" s="622">
        <v>32</v>
      </c>
      <c r="F164" s="622">
        <v>37</v>
      </c>
      <c r="G164" s="622">
        <v>90</v>
      </c>
      <c r="H164" s="625">
        <v>204</v>
      </c>
      <c r="K164" s="100"/>
      <c r="L164" s="596"/>
      <c r="M164" s="596"/>
      <c r="O164" s="85"/>
      <c r="P164" s="85"/>
    </row>
    <row r="165" spans="1:16" ht="12.75">
      <c r="A165" s="567">
        <v>145</v>
      </c>
      <c r="B165" s="270" t="s">
        <v>42</v>
      </c>
      <c r="C165" s="270" t="s">
        <v>1146</v>
      </c>
      <c r="D165" s="622">
        <v>1</v>
      </c>
      <c r="E165" s="622">
        <v>1</v>
      </c>
      <c r="F165" s="622" t="s">
        <v>1041</v>
      </c>
      <c r="G165" s="622" t="s">
        <v>1041</v>
      </c>
      <c r="H165" s="625">
        <v>2</v>
      </c>
      <c r="K165" s="100"/>
      <c r="L165" s="596"/>
      <c r="M165" s="596"/>
      <c r="O165" s="85"/>
      <c r="P165" s="85"/>
    </row>
    <row r="166" spans="1:16" ht="12.75">
      <c r="A166" s="567">
        <v>146</v>
      </c>
      <c r="B166" s="270" t="s">
        <v>42</v>
      </c>
      <c r="C166" s="270" t="s">
        <v>1147</v>
      </c>
      <c r="D166" s="622">
        <v>68</v>
      </c>
      <c r="E166" s="622">
        <v>49</v>
      </c>
      <c r="F166" s="622">
        <v>56</v>
      </c>
      <c r="G166" s="622">
        <v>140</v>
      </c>
      <c r="H166" s="625">
        <v>313</v>
      </c>
      <c r="K166" s="100"/>
      <c r="L166" s="596"/>
      <c r="M166" s="596"/>
      <c r="O166" s="85"/>
      <c r="P166" s="85"/>
    </row>
    <row r="167" spans="1:16" ht="12.75">
      <c r="A167" s="567">
        <v>147</v>
      </c>
      <c r="B167" s="270" t="s">
        <v>42</v>
      </c>
      <c r="C167" s="270" t="s">
        <v>1148</v>
      </c>
      <c r="D167" s="622">
        <v>283</v>
      </c>
      <c r="E167" s="622">
        <v>195</v>
      </c>
      <c r="F167" s="622">
        <v>224</v>
      </c>
      <c r="G167" s="622">
        <v>525</v>
      </c>
      <c r="H167" s="624">
        <v>1227</v>
      </c>
      <c r="K167" s="100"/>
      <c r="L167" s="596"/>
      <c r="M167" s="596"/>
      <c r="O167" s="85"/>
      <c r="P167" s="85"/>
    </row>
    <row r="168" spans="1:16" ht="12.75">
      <c r="A168" s="567">
        <v>148</v>
      </c>
      <c r="B168" s="270" t="s">
        <v>42</v>
      </c>
      <c r="C168" s="270" t="s">
        <v>1149</v>
      </c>
      <c r="D168" s="622">
        <v>3</v>
      </c>
      <c r="E168" s="622">
        <v>2</v>
      </c>
      <c r="F168" s="622">
        <v>3</v>
      </c>
      <c r="G168" s="622">
        <v>6</v>
      </c>
      <c r="H168" s="625">
        <v>14</v>
      </c>
      <c r="K168" s="100"/>
      <c r="L168" s="596"/>
      <c r="M168" s="596"/>
      <c r="O168" s="85"/>
      <c r="P168" s="85"/>
    </row>
    <row r="169" spans="1:16" ht="12.75">
      <c r="A169" s="567">
        <v>149</v>
      </c>
      <c r="B169" s="270" t="s">
        <v>42</v>
      </c>
      <c r="C169" s="270" t="s">
        <v>1150</v>
      </c>
      <c r="D169" s="622">
        <v>1</v>
      </c>
      <c r="E169" s="622">
        <v>1</v>
      </c>
      <c r="F169" s="622" t="s">
        <v>1041</v>
      </c>
      <c r="G169" s="622" t="s">
        <v>1041</v>
      </c>
      <c r="H169" s="625">
        <v>2</v>
      </c>
      <c r="K169" s="100"/>
      <c r="L169" s="596"/>
      <c r="M169" s="596"/>
      <c r="O169" s="85"/>
      <c r="P169" s="85"/>
    </row>
    <row r="170" spans="1:16" ht="12.75">
      <c r="A170" s="567">
        <v>150</v>
      </c>
      <c r="B170" s="270" t="s">
        <v>42</v>
      </c>
      <c r="C170" s="270" t="s">
        <v>1151</v>
      </c>
      <c r="D170" s="622">
        <v>160</v>
      </c>
      <c r="E170" s="622">
        <v>113</v>
      </c>
      <c r="F170" s="622">
        <v>126</v>
      </c>
      <c r="G170" s="622">
        <v>270</v>
      </c>
      <c r="H170" s="625">
        <v>669</v>
      </c>
      <c r="K170" s="100"/>
      <c r="L170" s="596"/>
      <c r="M170" s="596"/>
      <c r="O170" s="85"/>
      <c r="P170" s="85"/>
    </row>
    <row r="171" spans="1:16" ht="12.75">
      <c r="A171" s="567">
        <v>151</v>
      </c>
      <c r="B171" s="270" t="s">
        <v>42</v>
      </c>
      <c r="C171" s="270" t="s">
        <v>1017</v>
      </c>
      <c r="D171" s="623">
        <v>1240</v>
      </c>
      <c r="E171" s="622">
        <v>879</v>
      </c>
      <c r="F171" s="622">
        <v>979</v>
      </c>
      <c r="G171" s="623">
        <v>2174</v>
      </c>
      <c r="H171" s="624">
        <v>5272</v>
      </c>
      <c r="K171" s="100"/>
      <c r="L171" s="596"/>
      <c r="M171" s="596"/>
      <c r="O171" s="85"/>
      <c r="P171" s="85"/>
    </row>
    <row r="172" spans="1:16" ht="12.75">
      <c r="A172" s="599"/>
      <c r="B172" s="619" t="s">
        <v>37</v>
      </c>
      <c r="C172" s="620"/>
      <c r="D172" s="618">
        <v>24117</v>
      </c>
      <c r="E172" s="618">
        <v>16319</v>
      </c>
      <c r="F172" s="618">
        <v>18459</v>
      </c>
      <c r="G172" s="618">
        <v>42479</v>
      </c>
      <c r="H172" s="618">
        <v>101374</v>
      </c>
      <c r="K172" s="100"/>
      <c r="L172" s="596"/>
      <c r="M172" s="596"/>
      <c r="O172" s="85"/>
      <c r="P172" s="85"/>
    </row>
    <row r="173" spans="1:16" ht="12.75">
      <c r="A173" s="567">
        <v>152</v>
      </c>
      <c r="B173" s="270" t="s">
        <v>37</v>
      </c>
      <c r="C173" s="270" t="s">
        <v>1152</v>
      </c>
      <c r="D173" s="622">
        <v>872</v>
      </c>
      <c r="E173" s="622">
        <v>593</v>
      </c>
      <c r="F173" s="622">
        <v>685</v>
      </c>
      <c r="G173" s="623">
        <v>1642</v>
      </c>
      <c r="H173" s="624">
        <v>3792</v>
      </c>
      <c r="K173" s="100"/>
      <c r="L173" s="596"/>
      <c r="M173" s="596"/>
      <c r="O173" s="85"/>
      <c r="P173" s="85"/>
    </row>
    <row r="174" spans="1:16" ht="12.75">
      <c r="A174" s="567">
        <v>153</v>
      </c>
      <c r="B174" s="270" t="s">
        <v>37</v>
      </c>
      <c r="C174" s="270" t="s">
        <v>1153</v>
      </c>
      <c r="D174" s="623">
        <v>1267</v>
      </c>
      <c r="E174" s="622">
        <v>854</v>
      </c>
      <c r="F174" s="622">
        <v>969</v>
      </c>
      <c r="G174" s="623">
        <v>2160</v>
      </c>
      <c r="H174" s="624">
        <v>5250</v>
      </c>
      <c r="K174" s="100"/>
      <c r="L174" s="596"/>
      <c r="M174" s="596"/>
      <c r="O174" s="85"/>
      <c r="P174" s="85"/>
    </row>
    <row r="175" spans="1:16" ht="12.75">
      <c r="A175" s="567">
        <v>154</v>
      </c>
      <c r="B175" s="270" t="s">
        <v>37</v>
      </c>
      <c r="C175" s="270" t="s">
        <v>1154</v>
      </c>
      <c r="D175" s="622">
        <v>91</v>
      </c>
      <c r="E175" s="622">
        <v>64</v>
      </c>
      <c r="F175" s="622">
        <v>75</v>
      </c>
      <c r="G175" s="622">
        <v>172</v>
      </c>
      <c r="H175" s="625">
        <v>402</v>
      </c>
      <c r="K175" s="100"/>
      <c r="L175" s="596"/>
      <c r="M175" s="596"/>
      <c r="O175" s="85"/>
      <c r="P175" s="85"/>
    </row>
    <row r="176" spans="1:16" ht="12.75">
      <c r="A176" s="567">
        <v>155</v>
      </c>
      <c r="B176" s="270" t="s">
        <v>37</v>
      </c>
      <c r="C176" s="270" t="s">
        <v>1155</v>
      </c>
      <c r="D176" s="622">
        <v>543</v>
      </c>
      <c r="E176" s="622">
        <v>383</v>
      </c>
      <c r="F176" s="622">
        <v>433</v>
      </c>
      <c r="G176" s="622">
        <v>982</v>
      </c>
      <c r="H176" s="624">
        <v>2341</v>
      </c>
      <c r="K176" s="100"/>
      <c r="L176" s="596"/>
      <c r="M176" s="596"/>
      <c r="O176" s="85"/>
      <c r="P176" s="85"/>
    </row>
    <row r="177" spans="1:16" ht="12.75">
      <c r="A177" s="567">
        <v>156</v>
      </c>
      <c r="B177" s="270" t="s">
        <v>37</v>
      </c>
      <c r="C177" s="270" t="s">
        <v>1156</v>
      </c>
      <c r="D177" s="622">
        <v>21</v>
      </c>
      <c r="E177" s="622">
        <v>14</v>
      </c>
      <c r="F177" s="622">
        <v>16</v>
      </c>
      <c r="G177" s="622">
        <v>32</v>
      </c>
      <c r="H177" s="625">
        <v>83</v>
      </c>
      <c r="K177" s="100"/>
      <c r="L177" s="596"/>
      <c r="M177" s="596"/>
      <c r="O177" s="85"/>
      <c r="P177" s="85"/>
    </row>
    <row r="178" spans="1:16" ht="12.75">
      <c r="A178" s="567">
        <v>157</v>
      </c>
      <c r="B178" s="270" t="s">
        <v>37</v>
      </c>
      <c r="C178" s="270" t="s">
        <v>1157</v>
      </c>
      <c r="D178" s="622">
        <v>141</v>
      </c>
      <c r="E178" s="622">
        <v>95</v>
      </c>
      <c r="F178" s="622">
        <v>110</v>
      </c>
      <c r="G178" s="622">
        <v>254</v>
      </c>
      <c r="H178" s="625">
        <v>600</v>
      </c>
      <c r="K178" s="100"/>
      <c r="L178" s="596"/>
      <c r="M178" s="596"/>
      <c r="O178" s="85"/>
      <c r="P178" s="85"/>
    </row>
    <row r="179" spans="1:16" ht="12.75">
      <c r="A179" s="567">
        <v>158</v>
      </c>
      <c r="B179" s="270" t="s">
        <v>37</v>
      </c>
      <c r="C179" s="270" t="s">
        <v>1158</v>
      </c>
      <c r="D179" s="623">
        <v>1555</v>
      </c>
      <c r="E179" s="623">
        <v>1059</v>
      </c>
      <c r="F179" s="623">
        <v>1212</v>
      </c>
      <c r="G179" s="623">
        <v>2945</v>
      </c>
      <c r="H179" s="624">
        <v>6771</v>
      </c>
      <c r="K179" s="100"/>
      <c r="L179" s="596"/>
      <c r="M179" s="596"/>
      <c r="O179" s="85"/>
      <c r="P179" s="85"/>
    </row>
    <row r="180" spans="1:16" ht="12.75">
      <c r="A180" s="567">
        <v>159</v>
      </c>
      <c r="B180" s="270" t="s">
        <v>37</v>
      </c>
      <c r="C180" s="270" t="s">
        <v>1159</v>
      </c>
      <c r="D180" s="622">
        <v>192</v>
      </c>
      <c r="E180" s="622">
        <v>128</v>
      </c>
      <c r="F180" s="622">
        <v>142</v>
      </c>
      <c r="G180" s="622">
        <v>308</v>
      </c>
      <c r="H180" s="625">
        <v>770</v>
      </c>
      <c r="K180" s="100"/>
      <c r="L180" s="596"/>
      <c r="M180" s="596"/>
      <c r="O180" s="85"/>
      <c r="P180" s="85"/>
    </row>
    <row r="181" spans="1:16" ht="12.75">
      <c r="A181" s="567">
        <v>160</v>
      </c>
      <c r="B181" s="270" t="s">
        <v>37</v>
      </c>
      <c r="C181" s="270" t="s">
        <v>1160</v>
      </c>
      <c r="D181" s="622">
        <v>946</v>
      </c>
      <c r="E181" s="622">
        <v>661</v>
      </c>
      <c r="F181" s="622">
        <v>772</v>
      </c>
      <c r="G181" s="623">
        <v>1817</v>
      </c>
      <c r="H181" s="624">
        <v>4196</v>
      </c>
      <c r="K181" s="100"/>
      <c r="L181" s="596"/>
      <c r="M181" s="596"/>
      <c r="O181" s="85"/>
      <c r="P181" s="85"/>
    </row>
    <row r="182" spans="1:16" ht="12.75">
      <c r="A182" s="567">
        <v>161</v>
      </c>
      <c r="B182" s="270" t="s">
        <v>37</v>
      </c>
      <c r="C182" s="400" t="s">
        <v>1161</v>
      </c>
      <c r="D182" s="622">
        <v>374</v>
      </c>
      <c r="E182" s="622">
        <v>250</v>
      </c>
      <c r="F182" s="622">
        <v>274</v>
      </c>
      <c r="G182" s="622">
        <v>565</v>
      </c>
      <c r="H182" s="624">
        <v>1463</v>
      </c>
      <c r="K182" s="100"/>
      <c r="L182" s="596"/>
      <c r="M182" s="596"/>
      <c r="O182" s="85"/>
      <c r="P182" s="85"/>
    </row>
    <row r="183" spans="1:16" ht="12.75">
      <c r="A183" s="567">
        <v>162</v>
      </c>
      <c r="B183" s="270" t="s">
        <v>37</v>
      </c>
      <c r="C183" s="270" t="s">
        <v>1162</v>
      </c>
      <c r="D183" s="622">
        <v>134</v>
      </c>
      <c r="E183" s="622">
        <v>96</v>
      </c>
      <c r="F183" s="622">
        <v>112</v>
      </c>
      <c r="G183" s="622">
        <v>262</v>
      </c>
      <c r="H183" s="625">
        <v>604</v>
      </c>
      <c r="K183" s="100"/>
      <c r="L183" s="596"/>
      <c r="M183" s="596"/>
      <c r="O183" s="85"/>
      <c r="P183" s="85"/>
    </row>
    <row r="184" spans="1:16" ht="12.75">
      <c r="A184" s="567">
        <v>163</v>
      </c>
      <c r="B184" s="270" t="s">
        <v>37</v>
      </c>
      <c r="C184" s="270" t="s">
        <v>1163</v>
      </c>
      <c r="D184" s="622">
        <v>40</v>
      </c>
      <c r="E184" s="622">
        <v>27</v>
      </c>
      <c r="F184" s="622">
        <v>31</v>
      </c>
      <c r="G184" s="622">
        <v>62</v>
      </c>
      <c r="H184" s="625">
        <v>160</v>
      </c>
      <c r="K184" s="100"/>
      <c r="L184" s="596"/>
      <c r="M184" s="596"/>
      <c r="O184" s="85"/>
      <c r="P184" s="85"/>
    </row>
    <row r="185" spans="1:16" ht="12.75">
      <c r="A185" s="567">
        <v>164</v>
      </c>
      <c r="B185" s="270" t="s">
        <v>37</v>
      </c>
      <c r="C185" s="270" t="s">
        <v>1164</v>
      </c>
      <c r="D185" s="622">
        <v>714</v>
      </c>
      <c r="E185" s="622">
        <v>487</v>
      </c>
      <c r="F185" s="622">
        <v>553</v>
      </c>
      <c r="G185" s="623">
        <v>1271</v>
      </c>
      <c r="H185" s="624">
        <v>3025</v>
      </c>
      <c r="K185" s="100"/>
      <c r="L185" s="596"/>
      <c r="M185" s="596"/>
      <c r="O185" s="85"/>
      <c r="P185" s="85"/>
    </row>
    <row r="186" spans="1:16" ht="12.75">
      <c r="A186" s="567">
        <v>165</v>
      </c>
      <c r="B186" s="270" t="s">
        <v>37</v>
      </c>
      <c r="C186" s="270" t="s">
        <v>1165</v>
      </c>
      <c r="D186" s="622">
        <v>409</v>
      </c>
      <c r="E186" s="622">
        <v>275</v>
      </c>
      <c r="F186" s="622">
        <v>307</v>
      </c>
      <c r="G186" s="622">
        <v>721</v>
      </c>
      <c r="H186" s="624">
        <v>1712</v>
      </c>
      <c r="K186" s="100"/>
      <c r="L186" s="596"/>
      <c r="M186" s="596"/>
      <c r="O186" s="85"/>
      <c r="P186" s="85"/>
    </row>
    <row r="187" spans="1:16" ht="12.75">
      <c r="A187" s="567">
        <v>166</v>
      </c>
      <c r="B187" s="270" t="s">
        <v>37</v>
      </c>
      <c r="C187" s="270" t="s">
        <v>1166</v>
      </c>
      <c r="D187" s="622">
        <v>91</v>
      </c>
      <c r="E187" s="622">
        <v>61</v>
      </c>
      <c r="F187" s="622">
        <v>66</v>
      </c>
      <c r="G187" s="622">
        <v>146</v>
      </c>
      <c r="H187" s="625">
        <v>364</v>
      </c>
      <c r="K187" s="100"/>
      <c r="L187" s="596"/>
      <c r="M187" s="596"/>
      <c r="O187" s="85"/>
      <c r="P187" s="85"/>
    </row>
    <row r="188" spans="1:16" ht="12.75">
      <c r="A188" s="567">
        <v>167</v>
      </c>
      <c r="B188" s="270" t="s">
        <v>37</v>
      </c>
      <c r="C188" s="270" t="s">
        <v>1167</v>
      </c>
      <c r="D188" s="623">
        <v>1196</v>
      </c>
      <c r="E188" s="622">
        <v>801</v>
      </c>
      <c r="F188" s="622">
        <v>897</v>
      </c>
      <c r="G188" s="623">
        <v>2035</v>
      </c>
      <c r="H188" s="624">
        <v>4929</v>
      </c>
      <c r="K188" s="100"/>
      <c r="L188" s="596"/>
      <c r="M188" s="596"/>
      <c r="O188" s="85"/>
      <c r="P188" s="85"/>
    </row>
    <row r="189" spans="1:16" ht="12.75">
      <c r="A189" s="567">
        <v>168</v>
      </c>
      <c r="B189" s="270" t="s">
        <v>37</v>
      </c>
      <c r="C189" s="270" t="s">
        <v>1168</v>
      </c>
      <c r="D189" s="623">
        <v>1488</v>
      </c>
      <c r="E189" s="623">
        <v>1007</v>
      </c>
      <c r="F189" s="623">
        <v>1140</v>
      </c>
      <c r="G189" s="623">
        <v>2610</v>
      </c>
      <c r="H189" s="624">
        <v>6245</v>
      </c>
      <c r="K189" s="100"/>
      <c r="L189" s="596"/>
      <c r="M189" s="596"/>
      <c r="O189" s="85"/>
      <c r="P189" s="85"/>
    </row>
    <row r="190" spans="1:16" ht="12.75">
      <c r="A190" s="567">
        <v>169</v>
      </c>
      <c r="B190" s="270" t="s">
        <v>37</v>
      </c>
      <c r="C190" s="270" t="s">
        <v>1169</v>
      </c>
      <c r="D190" s="623">
        <v>1500</v>
      </c>
      <c r="E190" s="622">
        <v>993</v>
      </c>
      <c r="F190" s="623">
        <v>1112</v>
      </c>
      <c r="G190" s="623">
        <v>2564</v>
      </c>
      <c r="H190" s="624">
        <v>6169</v>
      </c>
      <c r="K190" s="100"/>
      <c r="L190" s="596"/>
      <c r="M190" s="596"/>
      <c r="O190" s="85"/>
      <c r="P190" s="85"/>
    </row>
    <row r="191" spans="1:16" ht="12.75">
      <c r="A191" s="567">
        <v>170</v>
      </c>
      <c r="B191" s="270" t="s">
        <v>37</v>
      </c>
      <c r="C191" s="270" t="s">
        <v>1170</v>
      </c>
      <c r="D191" s="622">
        <v>395</v>
      </c>
      <c r="E191" s="622">
        <v>262</v>
      </c>
      <c r="F191" s="622">
        <v>289</v>
      </c>
      <c r="G191" s="622">
        <v>627</v>
      </c>
      <c r="H191" s="624">
        <v>1573</v>
      </c>
      <c r="K191" s="100"/>
      <c r="L191" s="596"/>
      <c r="M191" s="596"/>
      <c r="O191" s="85"/>
      <c r="P191" s="85"/>
    </row>
    <row r="192" spans="1:16" ht="12.75">
      <c r="A192" s="567">
        <v>171</v>
      </c>
      <c r="B192" s="270" t="s">
        <v>37</v>
      </c>
      <c r="C192" s="270" t="s">
        <v>1171</v>
      </c>
      <c r="D192" s="622">
        <v>205</v>
      </c>
      <c r="E192" s="622">
        <v>136</v>
      </c>
      <c r="F192" s="622">
        <v>151</v>
      </c>
      <c r="G192" s="622">
        <v>326</v>
      </c>
      <c r="H192" s="625">
        <v>818</v>
      </c>
      <c r="K192" s="100"/>
      <c r="L192" s="596"/>
      <c r="M192" s="596"/>
      <c r="O192" s="85"/>
      <c r="P192" s="85"/>
    </row>
    <row r="193" spans="1:16" ht="12.75">
      <c r="A193" s="567">
        <v>172</v>
      </c>
      <c r="B193" s="270" t="s">
        <v>37</v>
      </c>
      <c r="C193" s="270" t="s">
        <v>1172</v>
      </c>
      <c r="D193" s="622">
        <v>98</v>
      </c>
      <c r="E193" s="622">
        <v>67</v>
      </c>
      <c r="F193" s="622">
        <v>76</v>
      </c>
      <c r="G193" s="622">
        <v>172</v>
      </c>
      <c r="H193" s="625">
        <v>413</v>
      </c>
      <c r="K193" s="100"/>
      <c r="L193" s="596"/>
      <c r="M193" s="596"/>
      <c r="O193" s="85"/>
      <c r="P193" s="85"/>
    </row>
    <row r="194" spans="1:16" ht="12.75">
      <c r="A194" s="567">
        <v>173</v>
      </c>
      <c r="B194" s="270" t="s">
        <v>37</v>
      </c>
      <c r="C194" s="270" t="s">
        <v>1173</v>
      </c>
      <c r="D194" s="622">
        <v>63</v>
      </c>
      <c r="E194" s="622">
        <v>43</v>
      </c>
      <c r="F194" s="622">
        <v>50</v>
      </c>
      <c r="G194" s="622">
        <v>116</v>
      </c>
      <c r="H194" s="625">
        <v>272</v>
      </c>
      <c r="K194" s="100"/>
      <c r="L194" s="596"/>
      <c r="M194" s="596"/>
      <c r="O194" s="85"/>
      <c r="P194" s="85"/>
    </row>
    <row r="195" spans="1:16" ht="12.75">
      <c r="A195" s="567">
        <v>174</v>
      </c>
      <c r="B195" s="270" t="s">
        <v>37</v>
      </c>
      <c r="C195" s="270" t="s">
        <v>1174</v>
      </c>
      <c r="D195" s="623">
        <v>1026</v>
      </c>
      <c r="E195" s="622">
        <v>681</v>
      </c>
      <c r="F195" s="622">
        <v>759</v>
      </c>
      <c r="G195" s="623">
        <v>1814</v>
      </c>
      <c r="H195" s="624">
        <v>4280</v>
      </c>
      <c r="K195" s="100"/>
      <c r="L195" s="596"/>
      <c r="M195" s="596"/>
      <c r="O195" s="85"/>
      <c r="P195" s="85"/>
    </row>
    <row r="196" spans="1:16" ht="12.75">
      <c r="A196" s="567">
        <v>175</v>
      </c>
      <c r="B196" s="270" t="s">
        <v>37</v>
      </c>
      <c r="C196" s="270" t="s">
        <v>1175</v>
      </c>
      <c r="D196" s="622">
        <v>23</v>
      </c>
      <c r="E196" s="622">
        <v>15</v>
      </c>
      <c r="F196" s="622">
        <v>18</v>
      </c>
      <c r="G196" s="622">
        <v>39</v>
      </c>
      <c r="H196" s="625">
        <v>95</v>
      </c>
      <c r="K196" s="100"/>
      <c r="L196" s="596"/>
      <c r="M196" s="596"/>
      <c r="O196" s="85"/>
      <c r="P196" s="85"/>
    </row>
    <row r="197" spans="1:16" ht="12.75">
      <c r="A197" s="567">
        <v>176</v>
      </c>
      <c r="B197" s="270" t="s">
        <v>37</v>
      </c>
      <c r="C197" s="270" t="s">
        <v>37</v>
      </c>
      <c r="D197" s="623">
        <v>2002</v>
      </c>
      <c r="E197" s="623">
        <v>1336</v>
      </c>
      <c r="F197" s="623">
        <v>1503</v>
      </c>
      <c r="G197" s="623">
        <v>3442</v>
      </c>
      <c r="H197" s="624">
        <v>8283</v>
      </c>
      <c r="K197" s="100"/>
      <c r="L197" s="596"/>
      <c r="M197" s="596"/>
      <c r="O197" s="85"/>
      <c r="P197" s="85"/>
    </row>
    <row r="198" spans="1:16" ht="12.75">
      <c r="A198" s="567">
        <v>177</v>
      </c>
      <c r="B198" s="270" t="s">
        <v>37</v>
      </c>
      <c r="C198" s="270" t="s">
        <v>1176</v>
      </c>
      <c r="D198" s="622">
        <v>562</v>
      </c>
      <c r="E198" s="622">
        <v>394</v>
      </c>
      <c r="F198" s="622">
        <v>441</v>
      </c>
      <c r="G198" s="623">
        <v>1036</v>
      </c>
      <c r="H198" s="624">
        <v>2433</v>
      </c>
      <c r="K198" s="100"/>
      <c r="L198" s="596"/>
      <c r="M198" s="596"/>
      <c r="O198" s="85"/>
      <c r="P198" s="85"/>
    </row>
    <row r="199" spans="1:16" ht="12.75">
      <c r="A199" s="567">
        <v>178</v>
      </c>
      <c r="B199" s="270" t="s">
        <v>37</v>
      </c>
      <c r="C199" s="270" t="s">
        <v>1177</v>
      </c>
      <c r="D199" s="622">
        <v>375</v>
      </c>
      <c r="E199" s="622">
        <v>251</v>
      </c>
      <c r="F199" s="622">
        <v>271</v>
      </c>
      <c r="G199" s="622">
        <v>596</v>
      </c>
      <c r="H199" s="624">
        <v>1493</v>
      </c>
      <c r="K199" s="100"/>
      <c r="L199" s="596"/>
      <c r="M199" s="596"/>
      <c r="O199" s="85"/>
      <c r="P199" s="85"/>
    </row>
    <row r="200" spans="1:16" ht="12.75">
      <c r="A200" s="567">
        <v>179</v>
      </c>
      <c r="B200" s="270" t="s">
        <v>37</v>
      </c>
      <c r="C200" s="270" t="s">
        <v>1178</v>
      </c>
      <c r="D200" s="622">
        <v>621</v>
      </c>
      <c r="E200" s="622">
        <v>415</v>
      </c>
      <c r="F200" s="622">
        <v>461</v>
      </c>
      <c r="G200" s="623">
        <v>1038</v>
      </c>
      <c r="H200" s="624">
        <v>2535</v>
      </c>
      <c r="K200" s="100"/>
      <c r="L200" s="596"/>
      <c r="M200" s="596"/>
      <c r="O200" s="85"/>
      <c r="P200" s="85"/>
    </row>
    <row r="201" spans="1:16" ht="12.75">
      <c r="A201" s="567">
        <v>180</v>
      </c>
      <c r="B201" s="270" t="s">
        <v>37</v>
      </c>
      <c r="C201" s="270" t="s">
        <v>1017</v>
      </c>
      <c r="D201" s="623">
        <v>7173</v>
      </c>
      <c r="E201" s="623">
        <v>4871</v>
      </c>
      <c r="F201" s="623">
        <v>5534</v>
      </c>
      <c r="G201" s="623">
        <v>12725</v>
      </c>
      <c r="H201" s="624">
        <v>30303</v>
      </c>
      <c r="K201" s="100"/>
      <c r="L201" s="596"/>
      <c r="M201" s="596"/>
      <c r="O201" s="85"/>
      <c r="P201" s="85"/>
    </row>
    <row r="202" spans="1:16" ht="12.75">
      <c r="A202" s="599"/>
      <c r="B202" s="619" t="s">
        <v>43</v>
      </c>
      <c r="C202" s="620"/>
      <c r="D202" s="618">
        <v>13399</v>
      </c>
      <c r="E202" s="618">
        <v>9265</v>
      </c>
      <c r="F202" s="618">
        <v>10490</v>
      </c>
      <c r="G202" s="618">
        <v>24053</v>
      </c>
      <c r="H202" s="618">
        <v>57207</v>
      </c>
      <c r="K202" s="100"/>
      <c r="L202" s="596"/>
      <c r="M202" s="596"/>
      <c r="O202" s="85"/>
      <c r="P202" s="85"/>
    </row>
    <row r="203" spans="1:16" ht="12.75">
      <c r="A203" s="567">
        <v>181</v>
      </c>
      <c r="B203" s="270" t="s">
        <v>43</v>
      </c>
      <c r="C203" s="270" t="s">
        <v>1179</v>
      </c>
      <c r="D203" s="622">
        <v>633</v>
      </c>
      <c r="E203" s="622">
        <v>459</v>
      </c>
      <c r="F203" s="622">
        <v>513</v>
      </c>
      <c r="G203" s="623">
        <v>1236</v>
      </c>
      <c r="H203" s="624">
        <v>2841</v>
      </c>
      <c r="K203" s="100"/>
      <c r="L203" s="596"/>
      <c r="M203" s="596"/>
      <c r="O203" s="85"/>
      <c r="P203" s="85"/>
    </row>
    <row r="204" spans="1:16" ht="12.75">
      <c r="A204" s="567">
        <v>182</v>
      </c>
      <c r="B204" s="270" t="s">
        <v>43</v>
      </c>
      <c r="C204" s="270" t="s">
        <v>1180</v>
      </c>
      <c r="D204" s="622">
        <v>764</v>
      </c>
      <c r="E204" s="622">
        <v>541</v>
      </c>
      <c r="F204" s="622">
        <v>622</v>
      </c>
      <c r="G204" s="623">
        <v>1407</v>
      </c>
      <c r="H204" s="624">
        <v>3334</v>
      </c>
      <c r="K204" s="100"/>
      <c r="L204" s="596"/>
      <c r="M204" s="596"/>
      <c r="O204" s="85"/>
      <c r="P204" s="85"/>
    </row>
    <row r="205" spans="1:16" ht="12.75">
      <c r="A205" s="567">
        <v>183</v>
      </c>
      <c r="B205" s="270" t="s">
        <v>43</v>
      </c>
      <c r="C205" s="270" t="s">
        <v>1181</v>
      </c>
      <c r="D205" s="622">
        <v>188</v>
      </c>
      <c r="E205" s="622">
        <v>138</v>
      </c>
      <c r="F205" s="622">
        <v>154</v>
      </c>
      <c r="G205" s="622">
        <v>363</v>
      </c>
      <c r="H205" s="625">
        <v>843</v>
      </c>
      <c r="K205" s="100"/>
      <c r="L205" s="596"/>
      <c r="M205" s="596"/>
      <c r="O205" s="85"/>
      <c r="P205" s="85"/>
    </row>
    <row r="206" spans="1:16" ht="12.75">
      <c r="A206" s="567">
        <v>184</v>
      </c>
      <c r="B206" s="270" t="s">
        <v>43</v>
      </c>
      <c r="C206" s="270" t="s">
        <v>1182</v>
      </c>
      <c r="D206" s="622">
        <v>1</v>
      </c>
      <c r="E206" s="622">
        <v>1</v>
      </c>
      <c r="F206" s="622" t="s">
        <v>1041</v>
      </c>
      <c r="G206" s="622" t="s">
        <v>1041</v>
      </c>
      <c r="H206" s="625">
        <v>2</v>
      </c>
      <c r="K206" s="100"/>
      <c r="L206" s="596"/>
      <c r="M206" s="596"/>
      <c r="O206" s="85"/>
      <c r="P206" s="85"/>
    </row>
    <row r="207" spans="1:16" ht="12.75">
      <c r="A207" s="567">
        <v>185</v>
      </c>
      <c r="B207" s="270" t="s">
        <v>43</v>
      </c>
      <c r="C207" s="270" t="s">
        <v>1183</v>
      </c>
      <c r="D207" s="622">
        <v>707</v>
      </c>
      <c r="E207" s="622">
        <v>478</v>
      </c>
      <c r="F207" s="622">
        <v>533</v>
      </c>
      <c r="G207" s="623">
        <v>1176</v>
      </c>
      <c r="H207" s="624">
        <v>2894</v>
      </c>
      <c r="K207" s="100"/>
      <c r="L207" s="596"/>
      <c r="M207" s="596"/>
      <c r="O207" s="85"/>
      <c r="P207" s="85"/>
    </row>
    <row r="208" spans="1:16" ht="12.75">
      <c r="A208" s="567">
        <v>186</v>
      </c>
      <c r="B208" s="270" t="s">
        <v>43</v>
      </c>
      <c r="C208" s="270" t="s">
        <v>1184</v>
      </c>
      <c r="D208" s="622">
        <v>217</v>
      </c>
      <c r="E208" s="622">
        <v>148</v>
      </c>
      <c r="F208" s="622">
        <v>164</v>
      </c>
      <c r="G208" s="622">
        <v>333</v>
      </c>
      <c r="H208" s="625">
        <v>862</v>
      </c>
      <c r="K208" s="100"/>
      <c r="L208" s="596"/>
      <c r="M208" s="596"/>
      <c r="O208" s="85"/>
      <c r="P208" s="85"/>
    </row>
    <row r="209" spans="1:16" ht="12.75">
      <c r="A209" s="567">
        <v>187</v>
      </c>
      <c r="B209" s="270" t="s">
        <v>43</v>
      </c>
      <c r="C209" s="270" t="s">
        <v>1185</v>
      </c>
      <c r="D209" s="622">
        <v>443</v>
      </c>
      <c r="E209" s="622">
        <v>302</v>
      </c>
      <c r="F209" s="622">
        <v>347</v>
      </c>
      <c r="G209" s="622">
        <v>831</v>
      </c>
      <c r="H209" s="624">
        <v>1923</v>
      </c>
      <c r="K209" s="100"/>
      <c r="L209" s="596"/>
      <c r="M209" s="596"/>
      <c r="O209" s="85"/>
      <c r="P209" s="85"/>
    </row>
    <row r="210" spans="1:16" ht="12.75">
      <c r="A210" s="567">
        <v>188</v>
      </c>
      <c r="B210" s="270" t="s">
        <v>43</v>
      </c>
      <c r="C210" s="270" t="s">
        <v>1186</v>
      </c>
      <c r="D210" s="623">
        <v>1442</v>
      </c>
      <c r="E210" s="622">
        <v>974</v>
      </c>
      <c r="F210" s="623">
        <v>1090</v>
      </c>
      <c r="G210" s="623">
        <v>2471</v>
      </c>
      <c r="H210" s="624">
        <v>5977</v>
      </c>
      <c r="K210" s="100"/>
      <c r="L210" s="596"/>
      <c r="M210" s="596"/>
      <c r="O210" s="85"/>
      <c r="P210" s="85"/>
    </row>
    <row r="211" spans="1:16" ht="12.75">
      <c r="A211" s="567">
        <v>189</v>
      </c>
      <c r="B211" s="270" t="s">
        <v>43</v>
      </c>
      <c r="C211" s="270" t="s">
        <v>1187</v>
      </c>
      <c r="D211" s="622">
        <v>28</v>
      </c>
      <c r="E211" s="622">
        <v>19</v>
      </c>
      <c r="F211" s="622">
        <v>22</v>
      </c>
      <c r="G211" s="622">
        <v>49</v>
      </c>
      <c r="H211" s="625">
        <v>118</v>
      </c>
      <c r="K211" s="100"/>
      <c r="L211" s="596"/>
      <c r="M211" s="596"/>
      <c r="O211" s="85"/>
      <c r="P211" s="85"/>
    </row>
    <row r="212" spans="1:16" ht="12.75">
      <c r="A212" s="567">
        <v>190</v>
      </c>
      <c r="B212" s="270" t="s">
        <v>43</v>
      </c>
      <c r="C212" s="270" t="s">
        <v>1188</v>
      </c>
      <c r="D212" s="622">
        <v>398</v>
      </c>
      <c r="E212" s="622">
        <v>274</v>
      </c>
      <c r="F212" s="622">
        <v>314</v>
      </c>
      <c r="G212" s="622">
        <v>729</v>
      </c>
      <c r="H212" s="624">
        <v>1715</v>
      </c>
      <c r="K212" s="100"/>
      <c r="L212" s="596"/>
      <c r="M212" s="596"/>
      <c r="O212" s="85"/>
      <c r="P212" s="85"/>
    </row>
    <row r="213" spans="1:16" ht="12.75">
      <c r="A213" s="567">
        <v>191</v>
      </c>
      <c r="B213" s="270" t="s">
        <v>43</v>
      </c>
      <c r="C213" s="270" t="s">
        <v>1189</v>
      </c>
      <c r="D213" s="622">
        <v>349</v>
      </c>
      <c r="E213" s="622">
        <v>246</v>
      </c>
      <c r="F213" s="622">
        <v>280</v>
      </c>
      <c r="G213" s="622">
        <v>625</v>
      </c>
      <c r="H213" s="624">
        <v>1500</v>
      </c>
      <c r="K213" s="100"/>
      <c r="L213" s="596"/>
      <c r="M213" s="596"/>
      <c r="O213" s="85"/>
      <c r="P213" s="85"/>
    </row>
    <row r="214" spans="1:16" ht="12.75">
      <c r="A214" s="567">
        <v>192</v>
      </c>
      <c r="B214" s="270" t="s">
        <v>43</v>
      </c>
      <c r="C214" s="270" t="s">
        <v>1190</v>
      </c>
      <c r="D214" s="622">
        <v>254</v>
      </c>
      <c r="E214" s="622">
        <v>177</v>
      </c>
      <c r="F214" s="622">
        <v>202</v>
      </c>
      <c r="G214" s="622">
        <v>462</v>
      </c>
      <c r="H214" s="624">
        <v>1095</v>
      </c>
      <c r="K214" s="100"/>
      <c r="L214" s="596"/>
      <c r="M214" s="596"/>
      <c r="O214" s="85"/>
      <c r="P214" s="85"/>
    </row>
    <row r="215" spans="1:16" ht="12.75">
      <c r="A215" s="567">
        <v>193</v>
      </c>
      <c r="B215" s="270" t="s">
        <v>43</v>
      </c>
      <c r="C215" s="270" t="s">
        <v>1191</v>
      </c>
      <c r="D215" s="622">
        <v>164</v>
      </c>
      <c r="E215" s="622">
        <v>114</v>
      </c>
      <c r="F215" s="622">
        <v>125</v>
      </c>
      <c r="G215" s="622">
        <v>294</v>
      </c>
      <c r="H215" s="625">
        <v>697</v>
      </c>
      <c r="K215" s="100"/>
      <c r="L215" s="596"/>
      <c r="M215" s="596"/>
      <c r="O215" s="85"/>
      <c r="P215" s="85"/>
    </row>
    <row r="216" spans="1:16" ht="12.75">
      <c r="A216" s="567">
        <v>194</v>
      </c>
      <c r="B216" s="270" t="s">
        <v>43</v>
      </c>
      <c r="C216" s="270" t="s">
        <v>1192</v>
      </c>
      <c r="D216" s="622">
        <v>38</v>
      </c>
      <c r="E216" s="622">
        <v>29</v>
      </c>
      <c r="F216" s="622">
        <v>34</v>
      </c>
      <c r="G216" s="622">
        <v>80</v>
      </c>
      <c r="H216" s="625">
        <v>181</v>
      </c>
      <c r="K216" s="100"/>
      <c r="L216" s="596"/>
      <c r="M216" s="596"/>
      <c r="O216" s="85"/>
      <c r="P216" s="85"/>
    </row>
    <row r="217" spans="1:16" ht="12.75">
      <c r="A217" s="567">
        <v>195</v>
      </c>
      <c r="B217" s="270" t="s">
        <v>43</v>
      </c>
      <c r="C217" s="270" t="s">
        <v>1193</v>
      </c>
      <c r="D217" s="623">
        <v>2592</v>
      </c>
      <c r="E217" s="623">
        <v>1745</v>
      </c>
      <c r="F217" s="623">
        <v>1977</v>
      </c>
      <c r="G217" s="623">
        <v>4547</v>
      </c>
      <c r="H217" s="624">
        <v>10861</v>
      </c>
      <c r="K217" s="100"/>
      <c r="L217" s="596"/>
      <c r="M217" s="596"/>
      <c r="O217" s="85"/>
      <c r="P217" s="85"/>
    </row>
    <row r="218" spans="1:16" ht="12.75">
      <c r="A218" s="567">
        <v>196</v>
      </c>
      <c r="B218" s="270" t="s">
        <v>43</v>
      </c>
      <c r="C218" s="270" t="s">
        <v>1194</v>
      </c>
      <c r="D218" s="622">
        <v>209</v>
      </c>
      <c r="E218" s="622">
        <v>141</v>
      </c>
      <c r="F218" s="622">
        <v>158</v>
      </c>
      <c r="G218" s="622">
        <v>340</v>
      </c>
      <c r="H218" s="625">
        <v>848</v>
      </c>
      <c r="K218" s="100"/>
      <c r="L218" s="596"/>
      <c r="M218" s="596"/>
      <c r="O218" s="85"/>
      <c r="P218" s="85"/>
    </row>
    <row r="219" spans="1:16" ht="12.75">
      <c r="A219" s="567">
        <v>197</v>
      </c>
      <c r="B219" s="270" t="s">
        <v>43</v>
      </c>
      <c r="C219" s="270" t="s">
        <v>1195</v>
      </c>
      <c r="D219" s="622">
        <v>579</v>
      </c>
      <c r="E219" s="622">
        <v>396</v>
      </c>
      <c r="F219" s="622">
        <v>453</v>
      </c>
      <c r="G219" s="623">
        <v>1001</v>
      </c>
      <c r="H219" s="624">
        <v>2429</v>
      </c>
      <c r="K219" s="100"/>
      <c r="L219" s="596"/>
      <c r="M219" s="596"/>
      <c r="O219" s="85"/>
      <c r="P219" s="85"/>
    </row>
    <row r="220" spans="1:16" ht="12.75">
      <c r="A220" s="567">
        <v>198</v>
      </c>
      <c r="B220" s="270" t="s">
        <v>43</v>
      </c>
      <c r="C220" s="270" t="s">
        <v>1196</v>
      </c>
      <c r="D220" s="622">
        <v>636</v>
      </c>
      <c r="E220" s="622">
        <v>432</v>
      </c>
      <c r="F220" s="622">
        <v>496</v>
      </c>
      <c r="G220" s="623">
        <v>1151</v>
      </c>
      <c r="H220" s="624">
        <v>2715</v>
      </c>
      <c r="K220" s="100"/>
      <c r="L220" s="596"/>
      <c r="M220" s="596"/>
      <c r="O220" s="85"/>
      <c r="P220" s="85"/>
    </row>
    <row r="221" spans="1:16" ht="12.75">
      <c r="A221" s="567">
        <v>199</v>
      </c>
      <c r="B221" s="270" t="s">
        <v>43</v>
      </c>
      <c r="C221" s="270" t="s">
        <v>43</v>
      </c>
      <c r="D221" s="622">
        <v>980</v>
      </c>
      <c r="E221" s="622">
        <v>696</v>
      </c>
      <c r="F221" s="622">
        <v>808</v>
      </c>
      <c r="G221" s="623">
        <v>1900</v>
      </c>
      <c r="H221" s="624">
        <v>4384</v>
      </c>
      <c r="K221" s="100"/>
      <c r="L221" s="596"/>
      <c r="M221" s="596"/>
      <c r="O221" s="85"/>
      <c r="P221" s="85"/>
    </row>
    <row r="222" spans="1:16" ht="12.75">
      <c r="A222" s="567">
        <v>200</v>
      </c>
      <c r="B222" s="270" t="s">
        <v>43</v>
      </c>
      <c r="C222" s="270" t="s">
        <v>1197</v>
      </c>
      <c r="D222" s="622">
        <v>103</v>
      </c>
      <c r="E222" s="622">
        <v>72</v>
      </c>
      <c r="F222" s="622">
        <v>84</v>
      </c>
      <c r="G222" s="622">
        <v>195</v>
      </c>
      <c r="H222" s="625">
        <v>454</v>
      </c>
      <c r="K222" s="100"/>
      <c r="L222" s="596"/>
      <c r="M222" s="596"/>
      <c r="O222" s="85"/>
      <c r="P222" s="85"/>
    </row>
    <row r="223" spans="1:16" ht="12.75">
      <c r="A223" s="567">
        <v>201</v>
      </c>
      <c r="B223" s="270" t="s">
        <v>43</v>
      </c>
      <c r="C223" s="270" t="s">
        <v>1198</v>
      </c>
      <c r="D223" s="622">
        <v>382</v>
      </c>
      <c r="E223" s="622">
        <v>260</v>
      </c>
      <c r="F223" s="622">
        <v>294</v>
      </c>
      <c r="G223" s="622">
        <v>653</v>
      </c>
      <c r="H223" s="624">
        <v>1589</v>
      </c>
      <c r="K223" s="100"/>
      <c r="L223" s="596"/>
      <c r="M223" s="596"/>
      <c r="O223" s="85"/>
      <c r="P223" s="85"/>
    </row>
    <row r="224" spans="1:16" ht="12.75">
      <c r="A224" s="567">
        <v>202</v>
      </c>
      <c r="B224" s="270" t="s">
        <v>43</v>
      </c>
      <c r="C224" s="270" t="s">
        <v>1199</v>
      </c>
      <c r="D224" s="623">
        <v>1698</v>
      </c>
      <c r="E224" s="623">
        <v>1207</v>
      </c>
      <c r="F224" s="623">
        <v>1342</v>
      </c>
      <c r="G224" s="623">
        <v>3124</v>
      </c>
      <c r="H224" s="624">
        <v>7371</v>
      </c>
      <c r="K224" s="100"/>
      <c r="L224" s="596"/>
      <c r="M224" s="596"/>
      <c r="O224" s="85"/>
      <c r="P224" s="85"/>
    </row>
    <row r="225" spans="1:16" ht="12.75">
      <c r="A225" s="567">
        <v>203</v>
      </c>
      <c r="B225" s="270" t="s">
        <v>43</v>
      </c>
      <c r="C225" s="270" t="s">
        <v>1200</v>
      </c>
      <c r="D225" s="622">
        <v>376</v>
      </c>
      <c r="E225" s="622">
        <v>261</v>
      </c>
      <c r="F225" s="622">
        <v>299</v>
      </c>
      <c r="G225" s="622">
        <v>669</v>
      </c>
      <c r="H225" s="624">
        <v>1605</v>
      </c>
      <c r="K225" s="100"/>
      <c r="L225" s="596"/>
      <c r="M225" s="596"/>
      <c r="O225" s="85"/>
      <c r="P225" s="85"/>
    </row>
    <row r="226" spans="1:16" ht="12.75">
      <c r="A226" s="567">
        <v>204</v>
      </c>
      <c r="B226" s="270" t="s">
        <v>43</v>
      </c>
      <c r="C226" s="270" t="s">
        <v>1201</v>
      </c>
      <c r="D226" s="622">
        <v>209</v>
      </c>
      <c r="E226" s="622">
        <v>149</v>
      </c>
      <c r="F226" s="622">
        <v>172</v>
      </c>
      <c r="G226" s="622">
        <v>400</v>
      </c>
      <c r="H226" s="625">
        <v>930</v>
      </c>
      <c r="K226" s="100"/>
      <c r="L226" s="596"/>
      <c r="M226" s="596"/>
      <c r="O226" s="85"/>
      <c r="P226" s="85"/>
    </row>
    <row r="227" spans="1:16" ht="12.75">
      <c r="A227" s="567">
        <v>205</v>
      </c>
      <c r="B227" s="270" t="s">
        <v>43</v>
      </c>
      <c r="C227" s="270" t="s">
        <v>1017</v>
      </c>
      <c r="D227" s="622">
        <v>9</v>
      </c>
      <c r="E227" s="622">
        <v>6</v>
      </c>
      <c r="F227" s="622">
        <v>7</v>
      </c>
      <c r="G227" s="622">
        <v>17</v>
      </c>
      <c r="H227" s="625">
        <v>39</v>
      </c>
      <c r="K227" s="100"/>
      <c r="L227" s="596"/>
      <c r="M227" s="596"/>
      <c r="O227" s="85"/>
      <c r="P227" s="85"/>
    </row>
    <row r="228" spans="1:16" ht="12.75">
      <c r="A228" s="599"/>
      <c r="B228" s="619" t="s">
        <v>53</v>
      </c>
      <c r="C228" s="620"/>
      <c r="D228" s="618">
        <v>4516</v>
      </c>
      <c r="E228" s="618">
        <v>3095</v>
      </c>
      <c r="F228" s="618">
        <v>3544</v>
      </c>
      <c r="G228" s="618">
        <v>8003</v>
      </c>
      <c r="H228" s="618">
        <v>19158</v>
      </c>
      <c r="K228" s="100"/>
      <c r="L228" s="596"/>
      <c r="M228" s="596"/>
      <c r="O228" s="85"/>
      <c r="P228" s="85"/>
    </row>
    <row r="229" spans="1:16" ht="12.75">
      <c r="A229" s="567">
        <v>206</v>
      </c>
      <c r="B229" s="270" t="s">
        <v>53</v>
      </c>
      <c r="C229" s="270" t="s">
        <v>1202</v>
      </c>
      <c r="D229" s="622">
        <v>539</v>
      </c>
      <c r="E229" s="622">
        <v>366</v>
      </c>
      <c r="F229" s="622">
        <v>411</v>
      </c>
      <c r="G229" s="622">
        <v>908</v>
      </c>
      <c r="H229" s="624">
        <v>2224</v>
      </c>
      <c r="K229" s="100"/>
      <c r="L229" s="596"/>
      <c r="M229" s="596"/>
      <c r="O229" s="85"/>
      <c r="P229" s="85"/>
    </row>
    <row r="230" spans="1:16" ht="12.75">
      <c r="A230" s="567">
        <v>207</v>
      </c>
      <c r="B230" s="270" t="s">
        <v>53</v>
      </c>
      <c r="C230" s="270" t="s">
        <v>1203</v>
      </c>
      <c r="D230" s="622">
        <v>160</v>
      </c>
      <c r="E230" s="622">
        <v>112</v>
      </c>
      <c r="F230" s="622">
        <v>128</v>
      </c>
      <c r="G230" s="622">
        <v>294</v>
      </c>
      <c r="H230" s="625">
        <v>694</v>
      </c>
      <c r="K230" s="100"/>
      <c r="L230" s="596"/>
      <c r="M230" s="596"/>
      <c r="O230" s="85"/>
      <c r="P230" s="85"/>
    </row>
    <row r="231" spans="1:16" ht="12.75">
      <c r="A231" s="567">
        <v>208</v>
      </c>
      <c r="B231" s="270" t="s">
        <v>53</v>
      </c>
      <c r="C231" s="270" t="s">
        <v>1204</v>
      </c>
      <c r="D231" s="622">
        <v>289</v>
      </c>
      <c r="E231" s="622">
        <v>197</v>
      </c>
      <c r="F231" s="622">
        <v>216</v>
      </c>
      <c r="G231" s="622">
        <v>462</v>
      </c>
      <c r="H231" s="624">
        <v>1164</v>
      </c>
      <c r="K231" s="100"/>
      <c r="L231" s="596"/>
      <c r="M231" s="596"/>
      <c r="O231" s="85"/>
      <c r="P231" s="85"/>
    </row>
    <row r="232" spans="1:16" ht="12.75">
      <c r="A232" s="567">
        <v>209</v>
      </c>
      <c r="B232" s="270" t="s">
        <v>53</v>
      </c>
      <c r="C232" s="270" t="s">
        <v>1205</v>
      </c>
      <c r="D232" s="622">
        <v>87</v>
      </c>
      <c r="E232" s="622">
        <v>59</v>
      </c>
      <c r="F232" s="622">
        <v>70</v>
      </c>
      <c r="G232" s="622">
        <v>155</v>
      </c>
      <c r="H232" s="625">
        <v>371</v>
      </c>
      <c r="K232" s="100"/>
      <c r="L232" s="596"/>
      <c r="M232" s="596"/>
      <c r="O232" s="85"/>
      <c r="P232" s="85"/>
    </row>
    <row r="233" spans="1:16" ht="12.75">
      <c r="A233" s="567">
        <v>210</v>
      </c>
      <c r="B233" s="270" t="s">
        <v>53</v>
      </c>
      <c r="C233" s="270" t="s">
        <v>1206</v>
      </c>
      <c r="D233" s="623">
        <v>1688</v>
      </c>
      <c r="E233" s="623">
        <v>1160</v>
      </c>
      <c r="F233" s="623">
        <v>1351</v>
      </c>
      <c r="G233" s="623">
        <v>3102</v>
      </c>
      <c r="H233" s="624">
        <v>7301</v>
      </c>
      <c r="K233" s="100"/>
      <c r="L233" s="596"/>
      <c r="M233" s="596"/>
      <c r="O233" s="85"/>
      <c r="P233" s="85"/>
    </row>
    <row r="234" spans="1:16" ht="12.75">
      <c r="A234" s="567">
        <v>211</v>
      </c>
      <c r="B234" s="270" t="s">
        <v>53</v>
      </c>
      <c r="C234" s="270" t="s">
        <v>1207</v>
      </c>
      <c r="D234" s="622">
        <v>1</v>
      </c>
      <c r="E234" s="622">
        <v>1</v>
      </c>
      <c r="F234" s="622" t="s">
        <v>1041</v>
      </c>
      <c r="G234" s="622" t="s">
        <v>1041</v>
      </c>
      <c r="H234" s="625">
        <v>2</v>
      </c>
      <c r="K234" s="100"/>
      <c r="L234" s="596"/>
      <c r="M234" s="596"/>
      <c r="O234" s="85"/>
      <c r="P234" s="85"/>
    </row>
    <row r="235" spans="1:16" ht="12.75">
      <c r="A235" s="567">
        <v>212</v>
      </c>
      <c r="B235" s="270" t="s">
        <v>53</v>
      </c>
      <c r="C235" s="270" t="s">
        <v>1208</v>
      </c>
      <c r="D235" s="622">
        <v>861</v>
      </c>
      <c r="E235" s="622">
        <v>591</v>
      </c>
      <c r="F235" s="622">
        <v>673</v>
      </c>
      <c r="G235" s="623">
        <v>1529</v>
      </c>
      <c r="H235" s="624">
        <v>3654</v>
      </c>
      <c r="K235" s="100"/>
      <c r="L235" s="596"/>
      <c r="M235" s="596"/>
      <c r="O235" s="85"/>
      <c r="P235" s="85"/>
    </row>
    <row r="236" spans="1:16" ht="12.75">
      <c r="A236" s="567">
        <v>213</v>
      </c>
      <c r="B236" s="270" t="s">
        <v>53</v>
      </c>
      <c r="C236" s="270" t="s">
        <v>1209</v>
      </c>
      <c r="D236" s="622">
        <v>288</v>
      </c>
      <c r="E236" s="622">
        <v>201</v>
      </c>
      <c r="F236" s="622">
        <v>241</v>
      </c>
      <c r="G236" s="622">
        <v>555</v>
      </c>
      <c r="H236" s="624">
        <v>1285</v>
      </c>
      <c r="K236" s="100"/>
      <c r="L236" s="596"/>
      <c r="M236" s="596"/>
      <c r="O236" s="85"/>
      <c r="P236" s="85"/>
    </row>
    <row r="237" spans="1:16" ht="12.75">
      <c r="A237" s="567">
        <v>214</v>
      </c>
      <c r="B237" s="270" t="s">
        <v>53</v>
      </c>
      <c r="C237" s="270" t="s">
        <v>1210</v>
      </c>
      <c r="D237" s="622">
        <v>310</v>
      </c>
      <c r="E237" s="622">
        <v>208</v>
      </c>
      <c r="F237" s="622">
        <v>229</v>
      </c>
      <c r="G237" s="622">
        <v>509</v>
      </c>
      <c r="H237" s="624">
        <v>1256</v>
      </c>
      <c r="K237" s="100"/>
      <c r="L237" s="596"/>
      <c r="M237" s="596"/>
      <c r="O237" s="85"/>
      <c r="P237" s="85"/>
    </row>
    <row r="238" spans="1:16" ht="12.75">
      <c r="A238" s="567">
        <v>215</v>
      </c>
      <c r="B238" s="270" t="s">
        <v>53</v>
      </c>
      <c r="C238" s="270" t="s">
        <v>1211</v>
      </c>
      <c r="D238" s="622">
        <v>47</v>
      </c>
      <c r="E238" s="622">
        <v>32</v>
      </c>
      <c r="F238" s="622">
        <v>36</v>
      </c>
      <c r="G238" s="622">
        <v>77</v>
      </c>
      <c r="H238" s="625">
        <v>192</v>
      </c>
      <c r="K238" s="100"/>
      <c r="L238" s="596"/>
      <c r="M238" s="596"/>
      <c r="O238" s="85"/>
      <c r="P238" s="85"/>
    </row>
    <row r="239" spans="1:16" ht="12.75">
      <c r="A239" s="567">
        <v>216</v>
      </c>
      <c r="B239" s="270" t="s">
        <v>53</v>
      </c>
      <c r="C239" s="270" t="s">
        <v>1017</v>
      </c>
      <c r="D239" s="622">
        <v>246</v>
      </c>
      <c r="E239" s="622">
        <v>168</v>
      </c>
      <c r="F239" s="622">
        <v>189</v>
      </c>
      <c r="G239" s="622">
        <v>412</v>
      </c>
      <c r="H239" s="624">
        <v>1015</v>
      </c>
      <c r="K239" s="100"/>
      <c r="L239" s="596"/>
      <c r="M239" s="596"/>
      <c r="O239" s="85"/>
      <c r="P239" s="85"/>
    </row>
    <row r="240" spans="1:16" ht="15">
      <c r="A240" s="599"/>
      <c r="B240" s="626" t="s">
        <v>41</v>
      </c>
      <c r="C240" s="638"/>
      <c r="D240" s="639">
        <v>46680</v>
      </c>
      <c r="E240" s="639">
        <v>28940</v>
      </c>
      <c r="F240" s="639">
        <v>33420</v>
      </c>
      <c r="G240" s="639">
        <v>78950</v>
      </c>
      <c r="H240" s="639">
        <v>187990</v>
      </c>
      <c r="K240" s="100"/>
      <c r="L240" s="596"/>
      <c r="M240" s="596"/>
      <c r="O240" s="85"/>
      <c r="P240" s="85"/>
    </row>
    <row r="241" spans="1:16">
      <c r="A241" s="599"/>
      <c r="B241" s="640"/>
      <c r="C241" s="629" t="s">
        <v>1212</v>
      </c>
      <c r="D241" s="630">
        <v>9912</v>
      </c>
      <c r="E241" s="630">
        <v>6604</v>
      </c>
      <c r="F241" s="630">
        <v>7924</v>
      </c>
      <c r="G241" s="630">
        <v>19596</v>
      </c>
      <c r="H241" s="630">
        <v>44036</v>
      </c>
      <c r="K241" s="100"/>
      <c r="L241" s="596"/>
      <c r="M241" s="596"/>
      <c r="O241" s="85"/>
      <c r="P241" s="85"/>
    </row>
    <row r="242" spans="1:16">
      <c r="A242" s="599"/>
      <c r="B242" s="640"/>
      <c r="C242" s="629" t="s">
        <v>1213</v>
      </c>
      <c r="D242" s="630">
        <v>5264</v>
      </c>
      <c r="E242" s="630">
        <v>3086</v>
      </c>
      <c r="F242" s="630">
        <v>3496</v>
      </c>
      <c r="G242" s="630">
        <v>8784</v>
      </c>
      <c r="H242" s="630">
        <v>20630</v>
      </c>
      <c r="K242" s="100"/>
      <c r="L242" s="596"/>
      <c r="M242" s="596"/>
      <c r="O242" s="85"/>
      <c r="P242" s="85"/>
    </row>
    <row r="243" spans="1:16">
      <c r="A243" s="599"/>
      <c r="B243" s="640"/>
      <c r="C243" s="629" t="s">
        <v>1214</v>
      </c>
      <c r="D243" s="641">
        <v>618</v>
      </c>
      <c r="E243" s="641">
        <v>367</v>
      </c>
      <c r="F243" s="641">
        <v>423</v>
      </c>
      <c r="G243" s="641">
        <v>890</v>
      </c>
      <c r="H243" s="630">
        <v>2298</v>
      </c>
      <c r="K243" s="100"/>
      <c r="L243" s="596"/>
      <c r="M243" s="596"/>
      <c r="O243" s="85"/>
      <c r="P243" s="85"/>
    </row>
    <row r="244" spans="1:16">
      <c r="A244" s="599"/>
      <c r="B244" s="640"/>
      <c r="C244" s="629" t="s">
        <v>1215</v>
      </c>
      <c r="D244" s="641">
        <v>370</v>
      </c>
      <c r="E244" s="641">
        <v>199</v>
      </c>
      <c r="F244" s="641">
        <v>243</v>
      </c>
      <c r="G244" s="641">
        <v>670</v>
      </c>
      <c r="H244" s="630">
        <v>1482</v>
      </c>
      <c r="K244" s="100"/>
      <c r="L244" s="596"/>
      <c r="M244" s="596"/>
      <c r="O244" s="85"/>
      <c r="P244" s="85"/>
    </row>
    <row r="245" spans="1:16">
      <c r="A245" s="599"/>
      <c r="B245" s="640"/>
      <c r="C245" s="629" t="s">
        <v>1216</v>
      </c>
      <c r="D245" s="630">
        <v>6234</v>
      </c>
      <c r="E245" s="630">
        <v>4639</v>
      </c>
      <c r="F245" s="630">
        <v>5460</v>
      </c>
      <c r="G245" s="630">
        <v>12536</v>
      </c>
      <c r="H245" s="630">
        <v>28869</v>
      </c>
      <c r="K245" s="100"/>
      <c r="L245" s="596"/>
      <c r="M245" s="596"/>
      <c r="O245" s="85"/>
      <c r="P245" s="85"/>
    </row>
    <row r="246" spans="1:16">
      <c r="A246" s="599"/>
      <c r="B246" s="640"/>
      <c r="C246" s="629" t="s">
        <v>1217</v>
      </c>
      <c r="D246" s="630">
        <v>4595</v>
      </c>
      <c r="E246" s="630">
        <v>2507</v>
      </c>
      <c r="F246" s="630">
        <v>2830</v>
      </c>
      <c r="G246" s="630">
        <v>6486</v>
      </c>
      <c r="H246" s="630">
        <v>16418</v>
      </c>
      <c r="K246" s="100"/>
      <c r="L246" s="596"/>
      <c r="M246" s="596"/>
      <c r="O246" s="85"/>
      <c r="P246" s="85"/>
    </row>
    <row r="247" spans="1:16">
      <c r="A247" s="599"/>
      <c r="B247" s="640"/>
      <c r="C247" s="629" t="s">
        <v>1218</v>
      </c>
      <c r="D247" s="630">
        <v>16158</v>
      </c>
      <c r="E247" s="630">
        <v>9542</v>
      </c>
      <c r="F247" s="630">
        <v>10636</v>
      </c>
      <c r="G247" s="630">
        <v>22500</v>
      </c>
      <c r="H247" s="630">
        <v>58836</v>
      </c>
      <c r="K247" s="100"/>
      <c r="L247" s="596"/>
      <c r="M247" s="596"/>
      <c r="O247" s="85"/>
      <c r="P247" s="85"/>
    </row>
    <row r="248" spans="1:16">
      <c r="A248" s="599"/>
      <c r="B248" s="640"/>
      <c r="C248" s="629" t="s">
        <v>1219</v>
      </c>
      <c r="D248" s="630">
        <v>1711</v>
      </c>
      <c r="E248" s="641">
        <v>902</v>
      </c>
      <c r="F248" s="630">
        <v>1053</v>
      </c>
      <c r="G248" s="630">
        <v>3311</v>
      </c>
      <c r="H248" s="630">
        <v>6977</v>
      </c>
      <c r="K248" s="100"/>
      <c r="L248" s="596"/>
      <c r="M248" s="596"/>
      <c r="O248" s="85"/>
      <c r="P248" s="85"/>
    </row>
    <row r="249" spans="1:16">
      <c r="A249" s="599"/>
      <c r="B249" s="642"/>
      <c r="C249" s="632" t="s">
        <v>1220</v>
      </c>
      <c r="D249" s="630">
        <v>1818</v>
      </c>
      <c r="E249" s="630">
        <v>1094</v>
      </c>
      <c r="F249" s="630">
        <v>1355</v>
      </c>
      <c r="G249" s="630">
        <v>4177</v>
      </c>
      <c r="H249" s="630">
        <v>8444</v>
      </c>
      <c r="K249" s="100"/>
      <c r="L249" s="596"/>
      <c r="M249" s="596"/>
      <c r="O249" s="85"/>
      <c r="P249" s="85"/>
    </row>
    <row r="250" spans="1:16" ht="12.75">
      <c r="A250" s="643"/>
      <c r="B250" s="619" t="s">
        <v>45</v>
      </c>
      <c r="C250" s="620"/>
      <c r="D250" s="618">
        <v>9912</v>
      </c>
      <c r="E250" s="618">
        <v>6604</v>
      </c>
      <c r="F250" s="618">
        <v>7924</v>
      </c>
      <c r="G250" s="618">
        <v>19596</v>
      </c>
      <c r="H250" s="618">
        <v>44036</v>
      </c>
      <c r="K250" s="100"/>
      <c r="L250" s="596"/>
      <c r="M250" s="596"/>
      <c r="O250" s="85"/>
      <c r="P250" s="85"/>
    </row>
    <row r="251" spans="1:16" ht="12.75">
      <c r="A251" s="567">
        <v>217</v>
      </c>
      <c r="B251" s="270" t="s">
        <v>45</v>
      </c>
      <c r="C251" s="270" t="s">
        <v>45</v>
      </c>
      <c r="D251" s="622">
        <v>444</v>
      </c>
      <c r="E251" s="622">
        <v>248</v>
      </c>
      <c r="F251" s="622">
        <v>283</v>
      </c>
      <c r="G251" s="622">
        <v>748</v>
      </c>
      <c r="H251" s="624">
        <v>1723</v>
      </c>
      <c r="K251" s="100"/>
      <c r="L251" s="596"/>
      <c r="M251" s="596"/>
      <c r="O251" s="85"/>
      <c r="P251" s="85"/>
    </row>
    <row r="252" spans="1:16" ht="12.75">
      <c r="A252" s="567">
        <v>218</v>
      </c>
      <c r="B252" s="270" t="s">
        <v>45</v>
      </c>
      <c r="C252" s="270" t="s">
        <v>1221</v>
      </c>
      <c r="D252" s="622">
        <v>80</v>
      </c>
      <c r="E252" s="622">
        <v>53</v>
      </c>
      <c r="F252" s="622">
        <v>57</v>
      </c>
      <c r="G252" s="622">
        <v>145</v>
      </c>
      <c r="H252" s="625">
        <v>335</v>
      </c>
      <c r="K252" s="100"/>
      <c r="L252" s="596"/>
      <c r="M252" s="596"/>
      <c r="O252" s="85"/>
      <c r="P252" s="85"/>
    </row>
    <row r="253" spans="1:16" ht="12.75">
      <c r="A253" s="567">
        <v>219</v>
      </c>
      <c r="B253" s="270" t="s">
        <v>45</v>
      </c>
      <c r="C253" s="270" t="s">
        <v>1222</v>
      </c>
      <c r="D253" s="622">
        <v>532</v>
      </c>
      <c r="E253" s="622">
        <v>442</v>
      </c>
      <c r="F253" s="622">
        <v>584</v>
      </c>
      <c r="G253" s="623">
        <v>1401</v>
      </c>
      <c r="H253" s="624">
        <v>2959</v>
      </c>
      <c r="K253" s="100"/>
      <c r="L253" s="596"/>
      <c r="M253" s="596"/>
      <c r="O253" s="85"/>
      <c r="P253" s="85"/>
    </row>
    <row r="254" spans="1:16" ht="12.75">
      <c r="A254" s="567">
        <v>220</v>
      </c>
      <c r="B254" s="270" t="s">
        <v>45</v>
      </c>
      <c r="C254" s="270" t="s">
        <v>1223</v>
      </c>
      <c r="D254" s="622">
        <v>796</v>
      </c>
      <c r="E254" s="622">
        <v>446</v>
      </c>
      <c r="F254" s="622">
        <v>425</v>
      </c>
      <c r="G254" s="622">
        <v>618</v>
      </c>
      <c r="H254" s="624">
        <v>2285</v>
      </c>
      <c r="K254" s="100"/>
      <c r="L254" s="596"/>
      <c r="M254" s="596"/>
      <c r="O254" s="85"/>
      <c r="P254" s="85"/>
    </row>
    <row r="255" spans="1:16" ht="12.75">
      <c r="A255" s="567">
        <v>221</v>
      </c>
      <c r="B255" s="270" t="s">
        <v>45</v>
      </c>
      <c r="C255" s="270" t="s">
        <v>1224</v>
      </c>
      <c r="D255" s="622">
        <v>276</v>
      </c>
      <c r="E255" s="622">
        <v>211</v>
      </c>
      <c r="F255" s="622">
        <v>259</v>
      </c>
      <c r="G255" s="622">
        <v>752</v>
      </c>
      <c r="H255" s="624">
        <v>1498</v>
      </c>
      <c r="K255" s="100"/>
      <c r="L255" s="596"/>
      <c r="M255" s="596"/>
      <c r="O255" s="85"/>
      <c r="P255" s="85"/>
    </row>
    <row r="256" spans="1:16" ht="12.75">
      <c r="A256" s="567">
        <v>222</v>
      </c>
      <c r="B256" s="270" t="s">
        <v>45</v>
      </c>
      <c r="C256" s="270" t="s">
        <v>1225</v>
      </c>
      <c r="D256" s="623">
        <v>1714</v>
      </c>
      <c r="E256" s="622">
        <v>926</v>
      </c>
      <c r="F256" s="622">
        <v>978</v>
      </c>
      <c r="G256" s="623">
        <v>1837</v>
      </c>
      <c r="H256" s="624">
        <v>5455</v>
      </c>
      <c r="K256" s="100"/>
      <c r="L256" s="596"/>
      <c r="M256" s="596"/>
      <c r="O256" s="85"/>
      <c r="P256" s="85"/>
    </row>
    <row r="257" spans="1:16" ht="12.75">
      <c r="A257" s="567">
        <v>223</v>
      </c>
      <c r="B257" s="270" t="s">
        <v>45</v>
      </c>
      <c r="C257" s="270" t="s">
        <v>1226</v>
      </c>
      <c r="D257" s="622">
        <v>851</v>
      </c>
      <c r="E257" s="622">
        <v>480</v>
      </c>
      <c r="F257" s="622">
        <v>608</v>
      </c>
      <c r="G257" s="623">
        <v>1981</v>
      </c>
      <c r="H257" s="624">
        <v>3920</v>
      </c>
      <c r="K257" s="100"/>
      <c r="L257" s="596"/>
      <c r="M257" s="596"/>
      <c r="O257" s="85"/>
      <c r="P257" s="85"/>
    </row>
    <row r="258" spans="1:16" ht="12.75">
      <c r="A258" s="567">
        <v>224</v>
      </c>
      <c r="B258" s="270" t="s">
        <v>45</v>
      </c>
      <c r="C258" s="270" t="s">
        <v>1227</v>
      </c>
      <c r="D258" s="622">
        <v>839</v>
      </c>
      <c r="E258" s="622">
        <v>474</v>
      </c>
      <c r="F258" s="622">
        <v>496</v>
      </c>
      <c r="G258" s="622">
        <v>920</v>
      </c>
      <c r="H258" s="624">
        <v>2729</v>
      </c>
      <c r="K258" s="100"/>
      <c r="L258" s="596"/>
      <c r="M258" s="596"/>
      <c r="O258" s="85"/>
      <c r="P258" s="85"/>
    </row>
    <row r="259" spans="1:16" ht="12.75">
      <c r="A259" s="567">
        <v>225</v>
      </c>
      <c r="B259" s="270" t="s">
        <v>45</v>
      </c>
      <c r="C259" s="270" t="s">
        <v>1228</v>
      </c>
      <c r="D259" s="622">
        <v>330</v>
      </c>
      <c r="E259" s="622">
        <v>167</v>
      </c>
      <c r="F259" s="622">
        <v>158</v>
      </c>
      <c r="G259" s="622">
        <v>423</v>
      </c>
      <c r="H259" s="624">
        <v>1078</v>
      </c>
      <c r="K259" s="100"/>
      <c r="L259" s="596"/>
      <c r="M259" s="596"/>
      <c r="O259" s="85"/>
      <c r="P259" s="85"/>
    </row>
    <row r="260" spans="1:16" ht="12.75">
      <c r="A260" s="567">
        <v>226</v>
      </c>
      <c r="B260" s="270" t="s">
        <v>45</v>
      </c>
      <c r="C260" s="270" t="s">
        <v>1229</v>
      </c>
      <c r="D260" s="623">
        <v>2059</v>
      </c>
      <c r="E260" s="623">
        <v>2075</v>
      </c>
      <c r="F260" s="623">
        <v>2815</v>
      </c>
      <c r="G260" s="623">
        <v>7816</v>
      </c>
      <c r="H260" s="624">
        <v>14765</v>
      </c>
      <c r="K260" s="100"/>
      <c r="L260" s="596"/>
      <c r="M260" s="596"/>
      <c r="O260" s="85"/>
      <c r="P260" s="85"/>
    </row>
    <row r="261" spans="1:16" ht="12.75">
      <c r="A261" s="567">
        <v>227</v>
      </c>
      <c r="B261" s="270" t="s">
        <v>45</v>
      </c>
      <c r="C261" s="270" t="s">
        <v>1230</v>
      </c>
      <c r="D261" s="622">
        <v>24</v>
      </c>
      <c r="E261" s="622">
        <v>14</v>
      </c>
      <c r="F261" s="622">
        <v>15</v>
      </c>
      <c r="G261" s="622">
        <v>7</v>
      </c>
      <c r="H261" s="625">
        <v>60</v>
      </c>
      <c r="K261" s="100"/>
      <c r="L261" s="596"/>
      <c r="M261" s="596"/>
      <c r="O261" s="85"/>
      <c r="P261" s="85"/>
    </row>
    <row r="262" spans="1:16" ht="12.75">
      <c r="A262" s="567">
        <v>228</v>
      </c>
      <c r="B262" s="270" t="s">
        <v>45</v>
      </c>
      <c r="C262" s="270" t="s">
        <v>1231</v>
      </c>
      <c r="D262" s="622">
        <v>716</v>
      </c>
      <c r="E262" s="622">
        <v>391</v>
      </c>
      <c r="F262" s="622">
        <v>407</v>
      </c>
      <c r="G262" s="622">
        <v>553</v>
      </c>
      <c r="H262" s="624">
        <v>2067</v>
      </c>
      <c r="K262" s="100"/>
      <c r="L262" s="596"/>
      <c r="M262" s="596"/>
      <c r="O262" s="85"/>
      <c r="P262" s="85"/>
    </row>
    <row r="263" spans="1:16" ht="12.75">
      <c r="A263" s="567">
        <v>229</v>
      </c>
      <c r="B263" s="270" t="s">
        <v>45</v>
      </c>
      <c r="C263" s="270" t="s">
        <v>1232</v>
      </c>
      <c r="D263" s="622">
        <v>504</v>
      </c>
      <c r="E263" s="622">
        <v>270</v>
      </c>
      <c r="F263" s="622">
        <v>352</v>
      </c>
      <c r="G263" s="623">
        <v>1161</v>
      </c>
      <c r="H263" s="624">
        <v>2287</v>
      </c>
      <c r="K263" s="100"/>
      <c r="L263" s="596"/>
      <c r="M263" s="596"/>
      <c r="O263" s="85"/>
      <c r="P263" s="85"/>
    </row>
    <row r="264" spans="1:16" ht="12.75">
      <c r="A264" s="567">
        <v>230</v>
      </c>
      <c r="B264" s="270" t="s">
        <v>45</v>
      </c>
      <c r="C264" s="270" t="s">
        <v>1233</v>
      </c>
      <c r="D264" s="622">
        <v>317</v>
      </c>
      <c r="E264" s="622">
        <v>180</v>
      </c>
      <c r="F264" s="622">
        <v>192</v>
      </c>
      <c r="G264" s="622">
        <v>417</v>
      </c>
      <c r="H264" s="624">
        <v>1106</v>
      </c>
      <c r="K264" s="100"/>
      <c r="L264" s="596"/>
      <c r="M264" s="596"/>
      <c r="O264" s="85"/>
      <c r="P264" s="85"/>
    </row>
    <row r="265" spans="1:16" ht="12.75">
      <c r="A265" s="567">
        <v>231</v>
      </c>
      <c r="B265" s="270" t="s">
        <v>45</v>
      </c>
      <c r="C265" s="270" t="s">
        <v>1017</v>
      </c>
      <c r="D265" s="622">
        <v>430</v>
      </c>
      <c r="E265" s="622">
        <v>227</v>
      </c>
      <c r="F265" s="622">
        <v>295</v>
      </c>
      <c r="G265" s="622">
        <v>817</v>
      </c>
      <c r="H265" s="624">
        <v>1769</v>
      </c>
      <c r="K265" s="100"/>
      <c r="L265" s="596"/>
      <c r="M265" s="596"/>
      <c r="O265" s="85"/>
      <c r="P265" s="85"/>
    </row>
    <row r="266" spans="1:16" ht="12.75">
      <c r="A266" s="599"/>
      <c r="B266" s="619" t="s">
        <v>56</v>
      </c>
      <c r="C266" s="620"/>
      <c r="D266" s="618">
        <v>5264</v>
      </c>
      <c r="E266" s="618">
        <v>3086</v>
      </c>
      <c r="F266" s="618">
        <v>3496</v>
      </c>
      <c r="G266" s="618">
        <v>8784</v>
      </c>
      <c r="H266" s="618">
        <v>20630</v>
      </c>
      <c r="K266" s="100"/>
      <c r="L266" s="596"/>
      <c r="M266" s="596"/>
      <c r="O266" s="85"/>
      <c r="P266" s="85"/>
    </row>
    <row r="267" spans="1:16" ht="12.75">
      <c r="A267" s="567">
        <v>232</v>
      </c>
      <c r="B267" s="270" t="s">
        <v>56</v>
      </c>
      <c r="C267" s="270" t="s">
        <v>1234</v>
      </c>
      <c r="D267" s="622">
        <v>349</v>
      </c>
      <c r="E267" s="622">
        <v>205</v>
      </c>
      <c r="F267" s="622">
        <v>214</v>
      </c>
      <c r="G267" s="622">
        <v>680</v>
      </c>
      <c r="H267" s="624">
        <v>1448</v>
      </c>
      <c r="K267" s="100"/>
      <c r="L267" s="596"/>
      <c r="M267" s="596"/>
      <c r="O267" s="85"/>
      <c r="P267" s="85"/>
    </row>
    <row r="268" spans="1:16" ht="12.75">
      <c r="A268" s="567">
        <v>233</v>
      </c>
      <c r="B268" s="270" t="s">
        <v>56</v>
      </c>
      <c r="C268" s="270" t="s">
        <v>1235</v>
      </c>
      <c r="D268" s="622">
        <v>234</v>
      </c>
      <c r="E268" s="622">
        <v>124</v>
      </c>
      <c r="F268" s="622">
        <v>123</v>
      </c>
      <c r="G268" s="622">
        <v>279</v>
      </c>
      <c r="H268" s="625">
        <v>760</v>
      </c>
      <c r="K268" s="100"/>
      <c r="L268" s="596"/>
      <c r="M268" s="596"/>
      <c r="O268" s="85"/>
      <c r="P268" s="85"/>
    </row>
    <row r="269" spans="1:16" ht="12.75">
      <c r="A269" s="567">
        <v>234</v>
      </c>
      <c r="B269" s="270" t="s">
        <v>56</v>
      </c>
      <c r="C269" s="270" t="s">
        <v>1236</v>
      </c>
      <c r="D269" s="622">
        <v>51</v>
      </c>
      <c r="E269" s="622">
        <v>25</v>
      </c>
      <c r="F269" s="622">
        <v>31</v>
      </c>
      <c r="G269" s="622">
        <v>34</v>
      </c>
      <c r="H269" s="625">
        <v>141</v>
      </c>
      <c r="K269" s="100"/>
      <c r="L269" s="596"/>
      <c r="M269" s="596"/>
      <c r="O269" s="85"/>
      <c r="P269" s="85"/>
    </row>
    <row r="270" spans="1:16" ht="12.75">
      <c r="A270" s="567">
        <v>235</v>
      </c>
      <c r="B270" s="270" t="s">
        <v>56</v>
      </c>
      <c r="C270" s="270" t="s">
        <v>1237</v>
      </c>
      <c r="D270" s="622">
        <v>798</v>
      </c>
      <c r="E270" s="622">
        <v>444</v>
      </c>
      <c r="F270" s="622">
        <v>559</v>
      </c>
      <c r="G270" s="623">
        <v>1677</v>
      </c>
      <c r="H270" s="624">
        <v>3478</v>
      </c>
      <c r="K270" s="100"/>
      <c r="L270" s="596"/>
      <c r="M270" s="596"/>
      <c r="O270" s="85"/>
      <c r="P270" s="85"/>
    </row>
    <row r="271" spans="1:16" ht="12.75">
      <c r="A271" s="567">
        <v>236</v>
      </c>
      <c r="B271" s="270" t="s">
        <v>56</v>
      </c>
      <c r="C271" s="270" t="s">
        <v>1238</v>
      </c>
      <c r="D271" s="622">
        <v>196</v>
      </c>
      <c r="E271" s="622">
        <v>111</v>
      </c>
      <c r="F271" s="622">
        <v>124</v>
      </c>
      <c r="G271" s="622">
        <v>126</v>
      </c>
      <c r="H271" s="625">
        <v>557</v>
      </c>
      <c r="K271" s="100"/>
      <c r="L271" s="596"/>
      <c r="M271" s="596"/>
      <c r="O271" s="85"/>
      <c r="P271" s="85"/>
    </row>
    <row r="272" spans="1:16" ht="12.75">
      <c r="A272" s="567">
        <v>237</v>
      </c>
      <c r="B272" s="270" t="s">
        <v>56</v>
      </c>
      <c r="C272" s="270" t="s">
        <v>1239</v>
      </c>
      <c r="D272" s="622">
        <v>100</v>
      </c>
      <c r="E272" s="622">
        <v>63</v>
      </c>
      <c r="F272" s="622">
        <v>69</v>
      </c>
      <c r="G272" s="622">
        <v>166</v>
      </c>
      <c r="H272" s="625">
        <v>398</v>
      </c>
      <c r="K272" s="100"/>
      <c r="L272" s="596"/>
      <c r="M272" s="596"/>
      <c r="O272" s="85"/>
      <c r="P272" s="85"/>
    </row>
    <row r="273" spans="1:16" ht="12.75">
      <c r="A273" s="567">
        <v>238</v>
      </c>
      <c r="B273" s="270" t="s">
        <v>56</v>
      </c>
      <c r="C273" s="270" t="s">
        <v>1240</v>
      </c>
      <c r="D273" s="622">
        <v>220</v>
      </c>
      <c r="E273" s="622">
        <v>118</v>
      </c>
      <c r="F273" s="622">
        <v>100</v>
      </c>
      <c r="G273" s="622">
        <v>244</v>
      </c>
      <c r="H273" s="625">
        <v>682</v>
      </c>
      <c r="K273" s="100"/>
      <c r="L273" s="596"/>
      <c r="M273" s="596"/>
      <c r="O273" s="85"/>
      <c r="P273" s="85"/>
    </row>
    <row r="274" spans="1:16" ht="12.75">
      <c r="A274" s="567">
        <v>239</v>
      </c>
      <c r="B274" s="270" t="s">
        <v>56</v>
      </c>
      <c r="C274" s="270" t="s">
        <v>1241</v>
      </c>
      <c r="D274" s="622">
        <v>138</v>
      </c>
      <c r="E274" s="622">
        <v>78</v>
      </c>
      <c r="F274" s="622">
        <v>85</v>
      </c>
      <c r="G274" s="622">
        <v>99</v>
      </c>
      <c r="H274" s="625">
        <v>400</v>
      </c>
      <c r="K274" s="100"/>
      <c r="L274" s="596"/>
      <c r="M274" s="596"/>
      <c r="O274" s="85"/>
      <c r="P274" s="85"/>
    </row>
    <row r="275" spans="1:16" ht="12.75">
      <c r="A275" s="567">
        <v>240</v>
      </c>
      <c r="B275" s="270" t="s">
        <v>56</v>
      </c>
      <c r="C275" s="270" t="s">
        <v>1242</v>
      </c>
      <c r="D275" s="622">
        <v>124</v>
      </c>
      <c r="E275" s="622">
        <v>72</v>
      </c>
      <c r="F275" s="622">
        <v>78</v>
      </c>
      <c r="G275" s="622">
        <v>195</v>
      </c>
      <c r="H275" s="625">
        <v>469</v>
      </c>
      <c r="K275" s="100"/>
      <c r="L275" s="596"/>
      <c r="M275" s="596"/>
      <c r="O275" s="85"/>
      <c r="P275" s="85"/>
    </row>
    <row r="276" spans="1:16" ht="12.75">
      <c r="A276" s="567">
        <v>241</v>
      </c>
      <c r="B276" s="270" t="s">
        <v>56</v>
      </c>
      <c r="C276" s="270" t="s">
        <v>1243</v>
      </c>
      <c r="D276" s="622">
        <v>75</v>
      </c>
      <c r="E276" s="622">
        <v>44</v>
      </c>
      <c r="F276" s="622">
        <v>50</v>
      </c>
      <c r="G276" s="622">
        <v>60</v>
      </c>
      <c r="H276" s="625">
        <v>229</v>
      </c>
      <c r="K276" s="100"/>
      <c r="L276" s="596"/>
      <c r="M276" s="596"/>
      <c r="O276" s="85"/>
      <c r="P276" s="85"/>
    </row>
    <row r="277" spans="1:16" ht="12.75">
      <c r="A277" s="567">
        <v>242</v>
      </c>
      <c r="B277" s="270" t="s">
        <v>56</v>
      </c>
      <c r="C277" s="270" t="s">
        <v>1244</v>
      </c>
      <c r="D277" s="622">
        <v>317</v>
      </c>
      <c r="E277" s="622">
        <v>174</v>
      </c>
      <c r="F277" s="622">
        <v>175</v>
      </c>
      <c r="G277" s="622">
        <v>502</v>
      </c>
      <c r="H277" s="624">
        <v>1168</v>
      </c>
      <c r="K277" s="100"/>
      <c r="L277" s="596"/>
      <c r="M277" s="596"/>
      <c r="O277" s="85"/>
      <c r="P277" s="85"/>
    </row>
    <row r="278" spans="1:16" ht="12.75">
      <c r="A278" s="567">
        <v>243</v>
      </c>
      <c r="B278" s="270" t="s">
        <v>56</v>
      </c>
      <c r="C278" s="270" t="s">
        <v>1245</v>
      </c>
      <c r="D278" s="622">
        <v>84</v>
      </c>
      <c r="E278" s="622">
        <v>47</v>
      </c>
      <c r="F278" s="622">
        <v>54</v>
      </c>
      <c r="G278" s="622">
        <v>42</v>
      </c>
      <c r="H278" s="625">
        <v>227</v>
      </c>
      <c r="K278" s="100"/>
      <c r="L278" s="596"/>
      <c r="M278" s="596"/>
      <c r="O278" s="85"/>
      <c r="P278" s="85"/>
    </row>
    <row r="279" spans="1:16" ht="12.75">
      <c r="A279" s="567">
        <v>244</v>
      </c>
      <c r="B279" s="270" t="s">
        <v>56</v>
      </c>
      <c r="C279" s="270" t="s">
        <v>1246</v>
      </c>
      <c r="D279" s="622">
        <v>80</v>
      </c>
      <c r="E279" s="622">
        <v>48</v>
      </c>
      <c r="F279" s="622">
        <v>43</v>
      </c>
      <c r="G279" s="622">
        <v>126</v>
      </c>
      <c r="H279" s="625">
        <v>297</v>
      </c>
      <c r="K279" s="100"/>
      <c r="L279" s="596"/>
      <c r="M279" s="596"/>
      <c r="O279" s="85"/>
      <c r="P279" s="85"/>
    </row>
    <row r="280" spans="1:16" ht="12.75">
      <c r="A280" s="567">
        <v>245</v>
      </c>
      <c r="B280" s="270" t="s">
        <v>56</v>
      </c>
      <c r="C280" s="270" t="s">
        <v>1247</v>
      </c>
      <c r="D280" s="622">
        <v>392</v>
      </c>
      <c r="E280" s="622">
        <v>254</v>
      </c>
      <c r="F280" s="622">
        <v>316</v>
      </c>
      <c r="G280" s="623">
        <v>1063</v>
      </c>
      <c r="H280" s="624">
        <v>2025</v>
      </c>
      <c r="K280" s="100"/>
      <c r="L280" s="596"/>
      <c r="M280" s="596"/>
      <c r="O280" s="85"/>
      <c r="P280" s="85"/>
    </row>
    <row r="281" spans="1:16" ht="12.75">
      <c r="A281" s="567">
        <v>246</v>
      </c>
      <c r="B281" s="270" t="s">
        <v>56</v>
      </c>
      <c r="C281" s="270" t="s">
        <v>1248</v>
      </c>
      <c r="D281" s="622">
        <v>118</v>
      </c>
      <c r="E281" s="622">
        <v>69</v>
      </c>
      <c r="F281" s="622">
        <v>84</v>
      </c>
      <c r="G281" s="622">
        <v>177</v>
      </c>
      <c r="H281" s="625">
        <v>448</v>
      </c>
      <c r="K281" s="100"/>
      <c r="L281" s="596"/>
      <c r="M281" s="596"/>
      <c r="O281" s="85"/>
      <c r="P281" s="85"/>
    </row>
    <row r="282" spans="1:16" ht="12.75">
      <c r="A282" s="567">
        <v>247</v>
      </c>
      <c r="B282" s="270" t="s">
        <v>56</v>
      </c>
      <c r="C282" s="270" t="s">
        <v>1249</v>
      </c>
      <c r="D282" s="622">
        <v>438</v>
      </c>
      <c r="E282" s="622">
        <v>305</v>
      </c>
      <c r="F282" s="622">
        <v>410</v>
      </c>
      <c r="G282" s="623">
        <v>1282</v>
      </c>
      <c r="H282" s="624">
        <v>2435</v>
      </c>
      <c r="K282" s="100"/>
      <c r="L282" s="596"/>
      <c r="M282" s="596"/>
      <c r="O282" s="85"/>
      <c r="P282" s="85"/>
    </row>
    <row r="283" spans="1:16" ht="12.75">
      <c r="A283" s="567">
        <v>248</v>
      </c>
      <c r="B283" s="270" t="s">
        <v>56</v>
      </c>
      <c r="C283" s="270" t="s">
        <v>1250</v>
      </c>
      <c r="D283" s="622">
        <v>56</v>
      </c>
      <c r="E283" s="622">
        <v>53</v>
      </c>
      <c r="F283" s="622">
        <v>75</v>
      </c>
      <c r="G283" s="622">
        <v>265</v>
      </c>
      <c r="H283" s="625">
        <v>449</v>
      </c>
      <c r="K283" s="100"/>
      <c r="L283" s="596"/>
      <c r="M283" s="596"/>
      <c r="O283" s="85"/>
      <c r="P283" s="85"/>
    </row>
    <row r="284" spans="1:16" ht="12.75">
      <c r="A284" s="567">
        <v>249</v>
      </c>
      <c r="B284" s="270" t="s">
        <v>56</v>
      </c>
      <c r="C284" s="270" t="s">
        <v>1251</v>
      </c>
      <c r="D284" s="622">
        <v>516</v>
      </c>
      <c r="E284" s="622">
        <v>279</v>
      </c>
      <c r="F284" s="622">
        <v>282</v>
      </c>
      <c r="G284" s="622">
        <v>340</v>
      </c>
      <c r="H284" s="624">
        <v>1417</v>
      </c>
      <c r="K284" s="100"/>
      <c r="L284" s="596"/>
      <c r="M284" s="596"/>
      <c r="O284" s="85"/>
      <c r="P284" s="85"/>
    </row>
    <row r="285" spans="1:16" ht="12.75">
      <c r="A285" s="567">
        <v>250</v>
      </c>
      <c r="B285" s="270" t="s">
        <v>56</v>
      </c>
      <c r="C285" s="270" t="s">
        <v>1252</v>
      </c>
      <c r="D285" s="622">
        <v>604</v>
      </c>
      <c r="E285" s="622">
        <v>355</v>
      </c>
      <c r="F285" s="622">
        <v>381</v>
      </c>
      <c r="G285" s="622">
        <v>895</v>
      </c>
      <c r="H285" s="624">
        <v>2235</v>
      </c>
      <c r="K285" s="100"/>
      <c r="L285" s="596"/>
      <c r="M285" s="596"/>
      <c r="O285" s="85"/>
      <c r="P285" s="85"/>
    </row>
    <row r="286" spans="1:16" ht="12.75">
      <c r="A286" s="567">
        <v>251</v>
      </c>
      <c r="B286" s="270" t="s">
        <v>56</v>
      </c>
      <c r="C286" s="270" t="s">
        <v>1017</v>
      </c>
      <c r="D286" s="622">
        <v>374</v>
      </c>
      <c r="E286" s="622">
        <v>218</v>
      </c>
      <c r="F286" s="622">
        <v>243</v>
      </c>
      <c r="G286" s="622">
        <v>532</v>
      </c>
      <c r="H286" s="624">
        <v>1367</v>
      </c>
      <c r="K286" s="100"/>
      <c r="L286" s="596"/>
      <c r="M286" s="596"/>
      <c r="O286" s="85"/>
      <c r="P286" s="85"/>
    </row>
    <row r="287" spans="1:16" ht="12.75">
      <c r="A287" s="599"/>
      <c r="B287" s="619" t="s">
        <v>86</v>
      </c>
      <c r="C287" s="620"/>
      <c r="D287" s="644">
        <v>618</v>
      </c>
      <c r="E287" s="644">
        <v>367</v>
      </c>
      <c r="F287" s="644">
        <v>423</v>
      </c>
      <c r="G287" s="644">
        <v>890</v>
      </c>
      <c r="H287" s="618">
        <v>2298</v>
      </c>
      <c r="K287" s="100"/>
      <c r="L287" s="596"/>
      <c r="M287" s="596"/>
      <c r="O287" s="85"/>
      <c r="P287" s="85"/>
    </row>
    <row r="288" spans="1:16" ht="12.75">
      <c r="A288" s="567">
        <v>252</v>
      </c>
      <c r="B288" s="270" t="s">
        <v>86</v>
      </c>
      <c r="C288" s="270" t="s">
        <v>1253</v>
      </c>
      <c r="D288" s="622">
        <v>4</v>
      </c>
      <c r="E288" s="622">
        <v>3</v>
      </c>
      <c r="F288" s="622">
        <v>4</v>
      </c>
      <c r="G288" s="622">
        <v>5</v>
      </c>
      <c r="H288" s="625">
        <v>16</v>
      </c>
      <c r="K288" s="100"/>
      <c r="L288" s="596"/>
      <c r="M288" s="596"/>
      <c r="O288" s="85"/>
      <c r="P288" s="85"/>
    </row>
    <row r="289" spans="1:16" ht="12.75">
      <c r="A289" s="567">
        <v>253</v>
      </c>
      <c r="B289" s="270" t="s">
        <v>86</v>
      </c>
      <c r="C289" s="270" t="s">
        <v>1254</v>
      </c>
      <c r="D289" s="622">
        <v>22</v>
      </c>
      <c r="E289" s="622">
        <v>13</v>
      </c>
      <c r="F289" s="622">
        <v>13</v>
      </c>
      <c r="G289" s="622">
        <v>24</v>
      </c>
      <c r="H289" s="625">
        <v>72</v>
      </c>
      <c r="K289" s="100"/>
      <c r="L289" s="596"/>
      <c r="M289" s="596"/>
      <c r="O289" s="85"/>
      <c r="P289" s="85"/>
    </row>
    <row r="290" spans="1:16" ht="12.75">
      <c r="A290" s="567">
        <v>254</v>
      </c>
      <c r="B290" s="270" t="s">
        <v>86</v>
      </c>
      <c r="C290" s="270" t="s">
        <v>1255</v>
      </c>
      <c r="D290" s="622">
        <v>16</v>
      </c>
      <c r="E290" s="622">
        <v>11</v>
      </c>
      <c r="F290" s="622">
        <v>11</v>
      </c>
      <c r="G290" s="622">
        <v>23</v>
      </c>
      <c r="H290" s="625">
        <v>61</v>
      </c>
      <c r="K290" s="100"/>
      <c r="L290" s="596"/>
      <c r="M290" s="596"/>
      <c r="O290" s="85"/>
      <c r="P290" s="85"/>
    </row>
    <row r="291" spans="1:16" ht="12.75">
      <c r="A291" s="567">
        <v>255</v>
      </c>
      <c r="B291" s="270" t="s">
        <v>86</v>
      </c>
      <c r="C291" s="270" t="s">
        <v>1256</v>
      </c>
      <c r="D291" s="622">
        <v>40</v>
      </c>
      <c r="E291" s="622">
        <v>20</v>
      </c>
      <c r="F291" s="622">
        <v>21</v>
      </c>
      <c r="G291" s="622">
        <v>51</v>
      </c>
      <c r="H291" s="625">
        <v>132</v>
      </c>
      <c r="K291" s="100"/>
      <c r="L291" s="596"/>
      <c r="M291" s="596"/>
      <c r="O291" s="85"/>
      <c r="P291" s="85"/>
    </row>
    <row r="292" spans="1:16" ht="12.75">
      <c r="A292" s="567">
        <v>256</v>
      </c>
      <c r="B292" s="270" t="s">
        <v>86</v>
      </c>
      <c r="C292" s="270" t="s">
        <v>1257</v>
      </c>
      <c r="D292" s="622">
        <v>41</v>
      </c>
      <c r="E292" s="622">
        <v>24</v>
      </c>
      <c r="F292" s="622">
        <v>26</v>
      </c>
      <c r="G292" s="622">
        <v>38</v>
      </c>
      <c r="H292" s="625">
        <v>129</v>
      </c>
      <c r="K292" s="100"/>
      <c r="L292" s="596"/>
      <c r="M292" s="596"/>
      <c r="O292" s="85"/>
      <c r="P292" s="85"/>
    </row>
    <row r="293" spans="1:16" ht="12.75">
      <c r="A293" s="567">
        <v>257</v>
      </c>
      <c r="B293" s="270" t="s">
        <v>86</v>
      </c>
      <c r="C293" s="270" t="s">
        <v>1258</v>
      </c>
      <c r="D293" s="622">
        <v>111</v>
      </c>
      <c r="E293" s="622">
        <v>65</v>
      </c>
      <c r="F293" s="622">
        <v>72</v>
      </c>
      <c r="G293" s="622">
        <v>167</v>
      </c>
      <c r="H293" s="625">
        <v>415</v>
      </c>
      <c r="K293" s="100"/>
      <c r="L293" s="596"/>
      <c r="M293" s="596"/>
      <c r="O293" s="85"/>
      <c r="P293" s="85"/>
    </row>
    <row r="294" spans="1:16" ht="12.75">
      <c r="A294" s="567">
        <v>258</v>
      </c>
      <c r="B294" s="270" t="s">
        <v>86</v>
      </c>
      <c r="C294" s="270" t="s">
        <v>1259</v>
      </c>
      <c r="D294" s="622">
        <v>6</v>
      </c>
      <c r="E294" s="622">
        <v>4</v>
      </c>
      <c r="F294" s="622">
        <v>4</v>
      </c>
      <c r="G294" s="622">
        <v>4</v>
      </c>
      <c r="H294" s="625">
        <v>18</v>
      </c>
      <c r="K294" s="100"/>
      <c r="L294" s="596"/>
      <c r="M294" s="596"/>
      <c r="O294" s="85"/>
      <c r="P294" s="85"/>
    </row>
    <row r="295" spans="1:16" ht="12.75">
      <c r="A295" s="567">
        <v>259</v>
      </c>
      <c r="B295" s="270" t="s">
        <v>86</v>
      </c>
      <c r="C295" s="270" t="s">
        <v>1260</v>
      </c>
      <c r="D295" s="622">
        <v>33</v>
      </c>
      <c r="E295" s="622">
        <v>17</v>
      </c>
      <c r="F295" s="622">
        <v>19</v>
      </c>
      <c r="G295" s="622">
        <v>37</v>
      </c>
      <c r="H295" s="625">
        <v>106</v>
      </c>
      <c r="K295" s="100"/>
      <c r="L295" s="596"/>
      <c r="M295" s="596"/>
      <c r="O295" s="85"/>
      <c r="P295" s="85"/>
    </row>
    <row r="296" spans="1:16" ht="12.75">
      <c r="A296" s="567">
        <v>260</v>
      </c>
      <c r="B296" s="270" t="s">
        <v>86</v>
      </c>
      <c r="C296" s="270" t="s">
        <v>1261</v>
      </c>
      <c r="D296" s="622">
        <v>240</v>
      </c>
      <c r="E296" s="622">
        <v>148</v>
      </c>
      <c r="F296" s="622">
        <v>181</v>
      </c>
      <c r="G296" s="622">
        <v>438</v>
      </c>
      <c r="H296" s="624">
        <v>1007</v>
      </c>
      <c r="K296" s="100"/>
      <c r="L296" s="596"/>
      <c r="M296" s="596"/>
      <c r="O296" s="85"/>
      <c r="P296" s="85"/>
    </row>
    <row r="297" spans="1:16" ht="12.75">
      <c r="A297" s="567">
        <v>261</v>
      </c>
      <c r="B297" s="270" t="s">
        <v>86</v>
      </c>
      <c r="C297" s="270" t="s">
        <v>1262</v>
      </c>
      <c r="D297" s="622">
        <v>26</v>
      </c>
      <c r="E297" s="622">
        <v>14</v>
      </c>
      <c r="F297" s="622">
        <v>16</v>
      </c>
      <c r="G297" s="622">
        <v>23</v>
      </c>
      <c r="H297" s="625">
        <v>79</v>
      </c>
      <c r="K297" s="100"/>
      <c r="L297" s="596"/>
      <c r="M297" s="596"/>
      <c r="O297" s="85"/>
      <c r="P297" s="85"/>
    </row>
    <row r="298" spans="1:16" ht="12.75">
      <c r="A298" s="567">
        <v>262</v>
      </c>
      <c r="B298" s="270" t="s">
        <v>86</v>
      </c>
      <c r="C298" s="270" t="s">
        <v>1263</v>
      </c>
      <c r="D298" s="622">
        <v>24</v>
      </c>
      <c r="E298" s="622">
        <v>16</v>
      </c>
      <c r="F298" s="622">
        <v>19</v>
      </c>
      <c r="G298" s="622">
        <v>19</v>
      </c>
      <c r="H298" s="625">
        <v>78</v>
      </c>
      <c r="K298" s="100"/>
      <c r="L298" s="596"/>
      <c r="M298" s="596"/>
      <c r="O298" s="85"/>
      <c r="P298" s="85"/>
    </row>
    <row r="299" spans="1:16" ht="12.75">
      <c r="A299" s="567">
        <v>263</v>
      </c>
      <c r="B299" s="270" t="s">
        <v>86</v>
      </c>
      <c r="C299" s="270" t="s">
        <v>1017</v>
      </c>
      <c r="D299" s="622">
        <v>55</v>
      </c>
      <c r="E299" s="622">
        <v>32</v>
      </c>
      <c r="F299" s="622">
        <v>37</v>
      </c>
      <c r="G299" s="622">
        <v>61</v>
      </c>
      <c r="H299" s="625">
        <v>185</v>
      </c>
      <c r="K299" s="100"/>
      <c r="L299" s="596"/>
      <c r="M299" s="596"/>
      <c r="O299" s="85"/>
      <c r="P299" s="85"/>
    </row>
    <row r="300" spans="1:16" ht="12.75">
      <c r="A300" s="599"/>
      <c r="B300" s="619" t="s">
        <v>84</v>
      </c>
      <c r="C300" s="620"/>
      <c r="D300" s="644">
        <v>370</v>
      </c>
      <c r="E300" s="644">
        <v>199</v>
      </c>
      <c r="F300" s="644">
        <v>243</v>
      </c>
      <c r="G300" s="644">
        <v>670</v>
      </c>
      <c r="H300" s="618">
        <v>1482</v>
      </c>
      <c r="K300" s="100"/>
      <c r="L300" s="596"/>
      <c r="M300" s="596"/>
      <c r="O300" s="85"/>
      <c r="P300" s="85"/>
    </row>
    <row r="301" spans="1:16" ht="12.75">
      <c r="A301" s="567">
        <v>264</v>
      </c>
      <c r="B301" s="270" t="s">
        <v>84</v>
      </c>
      <c r="C301" s="270" t="s">
        <v>1264</v>
      </c>
      <c r="D301" s="622">
        <v>116</v>
      </c>
      <c r="E301" s="622">
        <v>54</v>
      </c>
      <c r="F301" s="622">
        <v>58</v>
      </c>
      <c r="G301" s="622">
        <v>164</v>
      </c>
      <c r="H301" s="625">
        <v>392</v>
      </c>
      <c r="K301" s="100"/>
      <c r="L301" s="596"/>
      <c r="M301" s="596"/>
      <c r="O301" s="85"/>
      <c r="P301" s="85"/>
    </row>
    <row r="302" spans="1:16" ht="12.75">
      <c r="A302" s="567">
        <v>265</v>
      </c>
      <c r="B302" s="270" t="s">
        <v>84</v>
      </c>
      <c r="C302" s="270" t="s">
        <v>1265</v>
      </c>
      <c r="D302" s="622">
        <v>6</v>
      </c>
      <c r="E302" s="622">
        <v>2</v>
      </c>
      <c r="F302" s="622">
        <v>4</v>
      </c>
      <c r="G302" s="622">
        <v>15</v>
      </c>
      <c r="H302" s="625">
        <v>27</v>
      </c>
      <c r="K302" s="100"/>
      <c r="L302" s="596"/>
      <c r="M302" s="596"/>
      <c r="O302" s="85"/>
      <c r="P302" s="85"/>
    </row>
    <row r="303" spans="1:16" ht="12.75">
      <c r="A303" s="567">
        <v>266</v>
      </c>
      <c r="B303" s="270" t="s">
        <v>84</v>
      </c>
      <c r="C303" s="270" t="s">
        <v>84</v>
      </c>
      <c r="D303" s="622">
        <v>185</v>
      </c>
      <c r="E303" s="622">
        <v>106</v>
      </c>
      <c r="F303" s="622">
        <v>141</v>
      </c>
      <c r="G303" s="622">
        <v>403</v>
      </c>
      <c r="H303" s="625">
        <v>835</v>
      </c>
      <c r="K303" s="100"/>
      <c r="L303" s="596"/>
      <c r="M303" s="596"/>
      <c r="O303" s="85"/>
      <c r="P303" s="85"/>
    </row>
    <row r="304" spans="1:16" ht="12.75">
      <c r="A304" s="567">
        <v>267</v>
      </c>
      <c r="B304" s="270" t="s">
        <v>84</v>
      </c>
      <c r="C304" s="270" t="s">
        <v>1266</v>
      </c>
      <c r="D304" s="622">
        <v>8</v>
      </c>
      <c r="E304" s="622">
        <v>5</v>
      </c>
      <c r="F304" s="622">
        <v>5</v>
      </c>
      <c r="G304" s="622">
        <v>13</v>
      </c>
      <c r="H304" s="625">
        <v>31</v>
      </c>
      <c r="K304" s="100"/>
      <c r="L304" s="596"/>
      <c r="M304" s="596"/>
      <c r="O304" s="85"/>
      <c r="P304" s="85"/>
    </row>
    <row r="305" spans="1:16" ht="12.75">
      <c r="A305" s="567">
        <v>268</v>
      </c>
      <c r="B305" s="270" t="s">
        <v>84</v>
      </c>
      <c r="C305" s="270" t="s">
        <v>1267</v>
      </c>
      <c r="D305" s="622">
        <v>4</v>
      </c>
      <c r="E305" s="622">
        <v>2</v>
      </c>
      <c r="F305" s="622">
        <v>3</v>
      </c>
      <c r="G305" s="622">
        <v>8</v>
      </c>
      <c r="H305" s="625">
        <v>17</v>
      </c>
      <c r="K305" s="100"/>
      <c r="L305" s="596"/>
      <c r="M305" s="596"/>
      <c r="O305" s="85"/>
      <c r="P305" s="85"/>
    </row>
    <row r="306" spans="1:16" ht="12.75">
      <c r="A306" s="567">
        <v>269</v>
      </c>
      <c r="B306" s="270" t="s">
        <v>84</v>
      </c>
      <c r="C306" s="270" t="s">
        <v>1017</v>
      </c>
      <c r="D306" s="622">
        <v>51</v>
      </c>
      <c r="E306" s="622">
        <v>30</v>
      </c>
      <c r="F306" s="622">
        <v>32</v>
      </c>
      <c r="G306" s="622">
        <v>67</v>
      </c>
      <c r="H306" s="625">
        <v>180</v>
      </c>
      <c r="K306" s="100"/>
      <c r="L306" s="596"/>
      <c r="M306" s="596"/>
      <c r="O306" s="85"/>
      <c r="P306" s="85"/>
    </row>
    <row r="307" spans="1:16" ht="12.75">
      <c r="A307" s="567">
        <v>270</v>
      </c>
      <c r="B307" s="619" t="s">
        <v>49</v>
      </c>
      <c r="C307" s="620"/>
      <c r="D307" s="645">
        <v>6234</v>
      </c>
      <c r="E307" s="645">
        <v>4639</v>
      </c>
      <c r="F307" s="645">
        <v>5460</v>
      </c>
      <c r="G307" s="645">
        <v>12536</v>
      </c>
      <c r="H307" s="618">
        <v>28869</v>
      </c>
      <c r="K307" s="100"/>
      <c r="L307" s="596"/>
      <c r="M307" s="596"/>
      <c r="O307" s="85"/>
      <c r="P307" s="85"/>
    </row>
    <row r="308" spans="1:16" ht="12.75">
      <c r="A308" s="599"/>
      <c r="B308" s="619" t="s">
        <v>59</v>
      </c>
      <c r="C308" s="620"/>
      <c r="D308" s="618">
        <v>4595</v>
      </c>
      <c r="E308" s="618">
        <v>2507</v>
      </c>
      <c r="F308" s="618">
        <v>2830</v>
      </c>
      <c r="G308" s="618">
        <v>6486</v>
      </c>
      <c r="H308" s="618">
        <v>16418</v>
      </c>
      <c r="K308" s="100"/>
      <c r="L308" s="596"/>
      <c r="M308" s="596"/>
      <c r="O308" s="85"/>
      <c r="P308" s="85"/>
    </row>
    <row r="309" spans="1:16" ht="12.75">
      <c r="A309" s="567">
        <v>271</v>
      </c>
      <c r="B309" s="270" t="s">
        <v>59</v>
      </c>
      <c r="C309" s="270" t="s">
        <v>1268</v>
      </c>
      <c r="D309" s="622">
        <v>35</v>
      </c>
      <c r="E309" s="622">
        <v>26</v>
      </c>
      <c r="F309" s="622">
        <v>29</v>
      </c>
      <c r="G309" s="622">
        <v>3</v>
      </c>
      <c r="H309" s="625">
        <v>93</v>
      </c>
      <c r="K309" s="100"/>
      <c r="L309" s="596"/>
      <c r="M309" s="596"/>
      <c r="O309" s="85"/>
      <c r="P309" s="85"/>
    </row>
    <row r="310" spans="1:16" ht="12.75">
      <c r="A310" s="567">
        <v>272</v>
      </c>
      <c r="B310" s="270" t="s">
        <v>59</v>
      </c>
      <c r="C310" s="270" t="s">
        <v>1269</v>
      </c>
      <c r="D310" s="622">
        <v>116</v>
      </c>
      <c r="E310" s="622">
        <v>63</v>
      </c>
      <c r="F310" s="622">
        <v>67</v>
      </c>
      <c r="G310" s="622">
        <v>222</v>
      </c>
      <c r="H310" s="625">
        <v>468</v>
      </c>
      <c r="K310" s="100"/>
      <c r="L310" s="596"/>
      <c r="M310" s="596"/>
      <c r="O310" s="85"/>
      <c r="P310" s="85"/>
    </row>
    <row r="311" spans="1:16" ht="12.75">
      <c r="A311" s="567">
        <v>273</v>
      </c>
      <c r="B311" s="270" t="s">
        <v>59</v>
      </c>
      <c r="C311" s="270" t="s">
        <v>1270</v>
      </c>
      <c r="D311" s="622">
        <v>25</v>
      </c>
      <c r="E311" s="622">
        <v>13</v>
      </c>
      <c r="F311" s="622">
        <v>15</v>
      </c>
      <c r="G311" s="622">
        <v>30</v>
      </c>
      <c r="H311" s="625">
        <v>83</v>
      </c>
      <c r="K311" s="100"/>
      <c r="L311" s="596"/>
      <c r="M311" s="596"/>
      <c r="O311" s="85"/>
      <c r="P311" s="85"/>
    </row>
    <row r="312" spans="1:16" ht="12.75">
      <c r="A312" s="567">
        <v>274</v>
      </c>
      <c r="B312" s="270" t="s">
        <v>59</v>
      </c>
      <c r="C312" s="270" t="s">
        <v>1271</v>
      </c>
      <c r="D312" s="622">
        <v>276</v>
      </c>
      <c r="E312" s="622">
        <v>144</v>
      </c>
      <c r="F312" s="622">
        <v>155</v>
      </c>
      <c r="G312" s="622">
        <v>288</v>
      </c>
      <c r="H312" s="625">
        <v>863</v>
      </c>
      <c r="K312" s="100"/>
      <c r="L312" s="596"/>
      <c r="M312" s="596"/>
      <c r="O312" s="85"/>
      <c r="P312" s="85"/>
    </row>
    <row r="313" spans="1:16" ht="12.75">
      <c r="A313" s="567">
        <v>275</v>
      </c>
      <c r="B313" s="270" t="s">
        <v>59</v>
      </c>
      <c r="C313" s="270" t="s">
        <v>1272</v>
      </c>
      <c r="D313" s="622">
        <v>20</v>
      </c>
      <c r="E313" s="622">
        <v>8</v>
      </c>
      <c r="F313" s="622">
        <v>9</v>
      </c>
      <c r="G313" s="622">
        <v>22</v>
      </c>
      <c r="H313" s="625">
        <v>59</v>
      </c>
      <c r="K313" s="100"/>
      <c r="L313" s="596"/>
      <c r="M313" s="596"/>
      <c r="O313" s="85"/>
      <c r="P313" s="85"/>
    </row>
    <row r="314" spans="1:16" ht="12.75">
      <c r="A314" s="567">
        <v>276</v>
      </c>
      <c r="B314" s="270" t="s">
        <v>59</v>
      </c>
      <c r="C314" s="270" t="s">
        <v>1273</v>
      </c>
      <c r="D314" s="622">
        <v>400</v>
      </c>
      <c r="E314" s="622">
        <v>188</v>
      </c>
      <c r="F314" s="622">
        <v>221</v>
      </c>
      <c r="G314" s="622">
        <v>541</v>
      </c>
      <c r="H314" s="624">
        <v>1350</v>
      </c>
      <c r="K314" s="100"/>
      <c r="L314" s="596"/>
      <c r="M314" s="596"/>
      <c r="O314" s="85"/>
      <c r="P314" s="85"/>
    </row>
    <row r="315" spans="1:16" ht="12.75">
      <c r="A315" s="567">
        <v>277</v>
      </c>
      <c r="B315" s="270" t="s">
        <v>59</v>
      </c>
      <c r="C315" s="270" t="s">
        <v>1274</v>
      </c>
      <c r="D315" s="622">
        <v>64</v>
      </c>
      <c r="E315" s="622">
        <v>54</v>
      </c>
      <c r="F315" s="622">
        <v>83</v>
      </c>
      <c r="G315" s="622">
        <v>266</v>
      </c>
      <c r="H315" s="625">
        <v>467</v>
      </c>
      <c r="K315" s="100"/>
      <c r="L315" s="596"/>
      <c r="M315" s="596"/>
      <c r="O315" s="85"/>
      <c r="P315" s="85"/>
    </row>
    <row r="316" spans="1:16" ht="12.75">
      <c r="A316" s="567">
        <v>278</v>
      </c>
      <c r="B316" s="270" t="s">
        <v>59</v>
      </c>
      <c r="C316" s="270" t="s">
        <v>1275</v>
      </c>
      <c r="D316" s="622">
        <v>148</v>
      </c>
      <c r="E316" s="622">
        <v>87</v>
      </c>
      <c r="F316" s="622">
        <v>76</v>
      </c>
      <c r="G316" s="622">
        <v>119</v>
      </c>
      <c r="H316" s="625">
        <v>430</v>
      </c>
      <c r="K316" s="100"/>
      <c r="L316" s="596"/>
      <c r="M316" s="596"/>
      <c r="O316" s="85"/>
      <c r="P316" s="85"/>
    </row>
    <row r="317" spans="1:16" ht="12.75">
      <c r="A317" s="567">
        <v>279</v>
      </c>
      <c r="B317" s="270" t="s">
        <v>59</v>
      </c>
      <c r="C317" s="270" t="s">
        <v>1276</v>
      </c>
      <c r="D317" s="622">
        <v>52</v>
      </c>
      <c r="E317" s="622">
        <v>31</v>
      </c>
      <c r="F317" s="622">
        <v>36</v>
      </c>
      <c r="G317" s="622">
        <v>121</v>
      </c>
      <c r="H317" s="625">
        <v>240</v>
      </c>
      <c r="K317" s="100"/>
      <c r="L317" s="596"/>
      <c r="M317" s="596"/>
      <c r="O317" s="85"/>
      <c r="P317" s="85"/>
    </row>
    <row r="318" spans="1:16" ht="12.75">
      <c r="A318" s="567">
        <v>280</v>
      </c>
      <c r="B318" s="270" t="s">
        <v>59</v>
      </c>
      <c r="C318" s="270" t="s">
        <v>1277</v>
      </c>
      <c r="D318" s="622">
        <v>32</v>
      </c>
      <c r="E318" s="622">
        <v>17</v>
      </c>
      <c r="F318" s="622">
        <v>21</v>
      </c>
      <c r="G318" s="622">
        <v>21</v>
      </c>
      <c r="H318" s="625">
        <v>91</v>
      </c>
      <c r="K318" s="100"/>
      <c r="L318" s="596"/>
      <c r="M318" s="596"/>
      <c r="O318" s="85"/>
      <c r="P318" s="85"/>
    </row>
    <row r="319" spans="1:16" ht="12.75">
      <c r="A319" s="567">
        <v>281</v>
      </c>
      <c r="B319" s="270" t="s">
        <v>59</v>
      </c>
      <c r="C319" s="270" t="s">
        <v>1278</v>
      </c>
      <c r="D319" s="622">
        <v>233</v>
      </c>
      <c r="E319" s="622">
        <v>129</v>
      </c>
      <c r="F319" s="622">
        <v>143</v>
      </c>
      <c r="G319" s="622">
        <v>150</v>
      </c>
      <c r="H319" s="625">
        <v>655</v>
      </c>
      <c r="K319" s="100"/>
      <c r="L319" s="596"/>
      <c r="M319" s="596"/>
      <c r="O319" s="85"/>
      <c r="P319" s="85"/>
    </row>
    <row r="320" spans="1:16" ht="12.75">
      <c r="A320" s="567">
        <v>282</v>
      </c>
      <c r="B320" s="270" t="s">
        <v>59</v>
      </c>
      <c r="C320" s="270" t="s">
        <v>1279</v>
      </c>
      <c r="D320" s="622">
        <v>193</v>
      </c>
      <c r="E320" s="622">
        <v>101</v>
      </c>
      <c r="F320" s="622">
        <v>112</v>
      </c>
      <c r="G320" s="622">
        <v>257</v>
      </c>
      <c r="H320" s="625">
        <v>663</v>
      </c>
      <c r="K320" s="100"/>
      <c r="L320" s="596"/>
      <c r="M320" s="596"/>
      <c r="O320" s="85"/>
      <c r="P320" s="85"/>
    </row>
    <row r="321" spans="1:16" ht="12.75">
      <c r="A321" s="567">
        <v>283</v>
      </c>
      <c r="B321" s="270" t="s">
        <v>59</v>
      </c>
      <c r="C321" s="270" t="s">
        <v>1280</v>
      </c>
      <c r="D321" s="622">
        <v>121</v>
      </c>
      <c r="E321" s="622">
        <v>68</v>
      </c>
      <c r="F321" s="622">
        <v>70</v>
      </c>
      <c r="G321" s="622">
        <v>154</v>
      </c>
      <c r="H321" s="625">
        <v>413</v>
      </c>
      <c r="K321" s="100"/>
      <c r="L321" s="596"/>
      <c r="M321" s="596"/>
      <c r="O321" s="85"/>
      <c r="P321" s="85"/>
    </row>
    <row r="322" spans="1:16" ht="12.75">
      <c r="A322" s="567">
        <v>284</v>
      </c>
      <c r="B322" s="270" t="s">
        <v>59</v>
      </c>
      <c r="C322" s="270" t="s">
        <v>1281</v>
      </c>
      <c r="D322" s="622">
        <v>21</v>
      </c>
      <c r="E322" s="622">
        <v>15</v>
      </c>
      <c r="F322" s="622">
        <v>15</v>
      </c>
      <c r="G322" s="622">
        <v>13</v>
      </c>
      <c r="H322" s="625">
        <v>64</v>
      </c>
      <c r="K322" s="100"/>
      <c r="L322" s="596"/>
      <c r="M322" s="596"/>
      <c r="O322" s="85"/>
      <c r="P322" s="85"/>
    </row>
    <row r="323" spans="1:16" ht="12.75">
      <c r="A323" s="567">
        <v>285</v>
      </c>
      <c r="B323" s="270" t="s">
        <v>59</v>
      </c>
      <c r="C323" s="270" t="s">
        <v>1282</v>
      </c>
      <c r="D323" s="622">
        <v>706</v>
      </c>
      <c r="E323" s="622">
        <v>429</v>
      </c>
      <c r="F323" s="622">
        <v>502</v>
      </c>
      <c r="G323" s="623">
        <v>1152</v>
      </c>
      <c r="H323" s="624">
        <v>2789</v>
      </c>
      <c r="K323" s="100"/>
      <c r="L323" s="596"/>
      <c r="M323" s="596"/>
      <c r="O323" s="85"/>
      <c r="P323" s="85"/>
    </row>
    <row r="324" spans="1:16" ht="12.75">
      <c r="A324" s="567">
        <v>286</v>
      </c>
      <c r="B324" s="270" t="s">
        <v>59</v>
      </c>
      <c r="C324" s="270" t="s">
        <v>1283</v>
      </c>
      <c r="D324" s="622">
        <v>358</v>
      </c>
      <c r="E324" s="622">
        <v>161</v>
      </c>
      <c r="F324" s="622">
        <v>205</v>
      </c>
      <c r="G324" s="622">
        <v>431</v>
      </c>
      <c r="H324" s="624">
        <v>1155</v>
      </c>
      <c r="K324" s="100"/>
      <c r="L324" s="596"/>
      <c r="M324" s="596"/>
      <c r="O324" s="85"/>
      <c r="P324" s="85"/>
    </row>
    <row r="325" spans="1:16" ht="12.75">
      <c r="A325" s="567">
        <v>287</v>
      </c>
      <c r="B325" s="270" t="s">
        <v>59</v>
      </c>
      <c r="C325" s="270" t="s">
        <v>1284</v>
      </c>
      <c r="D325" s="622">
        <v>195</v>
      </c>
      <c r="E325" s="622">
        <v>107</v>
      </c>
      <c r="F325" s="622">
        <v>111</v>
      </c>
      <c r="G325" s="622">
        <v>183</v>
      </c>
      <c r="H325" s="625">
        <v>596</v>
      </c>
      <c r="K325" s="100"/>
      <c r="L325" s="596"/>
      <c r="M325" s="596"/>
      <c r="O325" s="85"/>
      <c r="P325" s="85"/>
    </row>
    <row r="326" spans="1:16" ht="12.75">
      <c r="A326" s="567">
        <v>288</v>
      </c>
      <c r="B326" s="270" t="s">
        <v>59</v>
      </c>
      <c r="C326" s="270" t="s">
        <v>59</v>
      </c>
      <c r="D326" s="622">
        <v>859</v>
      </c>
      <c r="E326" s="622">
        <v>469</v>
      </c>
      <c r="F326" s="622">
        <v>530</v>
      </c>
      <c r="G326" s="623">
        <v>1242</v>
      </c>
      <c r="H326" s="624">
        <v>3100</v>
      </c>
      <c r="K326" s="100"/>
      <c r="L326" s="596"/>
      <c r="M326" s="596"/>
      <c r="O326" s="85"/>
      <c r="P326" s="85"/>
    </row>
    <row r="327" spans="1:16" ht="12.75">
      <c r="A327" s="567">
        <v>289</v>
      </c>
      <c r="B327" s="270" t="s">
        <v>59</v>
      </c>
      <c r="C327" s="270" t="s">
        <v>1285</v>
      </c>
      <c r="D327" s="622">
        <v>565</v>
      </c>
      <c r="E327" s="622">
        <v>281</v>
      </c>
      <c r="F327" s="622">
        <v>313</v>
      </c>
      <c r="G327" s="622">
        <v>705</v>
      </c>
      <c r="H327" s="624">
        <v>1864</v>
      </c>
      <c r="K327" s="100"/>
      <c r="L327" s="596"/>
      <c r="M327" s="596"/>
      <c r="O327" s="85"/>
      <c r="P327" s="85"/>
    </row>
    <row r="328" spans="1:16" ht="12.75">
      <c r="A328" s="567">
        <v>290</v>
      </c>
      <c r="B328" s="270" t="s">
        <v>59</v>
      </c>
      <c r="C328" s="270" t="s">
        <v>1286</v>
      </c>
      <c r="D328" s="622">
        <v>23</v>
      </c>
      <c r="E328" s="622">
        <v>13</v>
      </c>
      <c r="F328" s="622">
        <v>15</v>
      </c>
      <c r="G328" s="622">
        <v>11</v>
      </c>
      <c r="H328" s="625">
        <v>62</v>
      </c>
      <c r="K328" s="100"/>
      <c r="L328" s="596"/>
      <c r="M328" s="596"/>
      <c r="O328" s="85"/>
      <c r="P328" s="85"/>
    </row>
    <row r="329" spans="1:16" ht="12.75">
      <c r="A329" s="567">
        <v>291</v>
      </c>
      <c r="B329" s="270" t="s">
        <v>59</v>
      </c>
      <c r="C329" s="270" t="s">
        <v>1017</v>
      </c>
      <c r="D329" s="622">
        <v>153</v>
      </c>
      <c r="E329" s="622">
        <v>103</v>
      </c>
      <c r="F329" s="622">
        <v>102</v>
      </c>
      <c r="G329" s="622">
        <v>555</v>
      </c>
      <c r="H329" s="625">
        <v>913</v>
      </c>
      <c r="K329" s="100"/>
      <c r="L329" s="596"/>
      <c r="M329" s="596"/>
      <c r="O329" s="85"/>
      <c r="P329" s="85"/>
    </row>
    <row r="330" spans="1:16" ht="12.75">
      <c r="A330" s="599"/>
      <c r="B330" s="619" t="s">
        <v>38</v>
      </c>
      <c r="C330" s="620"/>
      <c r="D330" s="618">
        <v>16158</v>
      </c>
      <c r="E330" s="618">
        <v>9542</v>
      </c>
      <c r="F330" s="618">
        <v>10636</v>
      </c>
      <c r="G330" s="618">
        <v>22500</v>
      </c>
      <c r="H330" s="618">
        <v>58836</v>
      </c>
      <c r="K330" s="100"/>
      <c r="L330" s="596"/>
      <c r="M330" s="596"/>
      <c r="O330" s="85"/>
      <c r="P330" s="85"/>
    </row>
    <row r="331" spans="1:16" ht="12.75">
      <c r="A331" s="567">
        <v>292</v>
      </c>
      <c r="B331" s="270" t="s">
        <v>38</v>
      </c>
      <c r="C331" s="270" t="s">
        <v>1287</v>
      </c>
      <c r="D331" s="622">
        <v>253</v>
      </c>
      <c r="E331" s="622">
        <v>138</v>
      </c>
      <c r="F331" s="622">
        <v>151</v>
      </c>
      <c r="G331" s="622">
        <v>391</v>
      </c>
      <c r="H331" s="625">
        <v>933</v>
      </c>
      <c r="K331" s="100"/>
      <c r="L331" s="596"/>
      <c r="M331" s="596"/>
      <c r="O331" s="85"/>
      <c r="P331" s="85"/>
    </row>
    <row r="332" spans="1:16" ht="12.75">
      <c r="A332" s="567">
        <v>293</v>
      </c>
      <c r="B332" s="270" t="s">
        <v>38</v>
      </c>
      <c r="C332" s="270" t="s">
        <v>1288</v>
      </c>
      <c r="D332" s="622">
        <v>356</v>
      </c>
      <c r="E332" s="622">
        <v>207</v>
      </c>
      <c r="F332" s="622">
        <v>231</v>
      </c>
      <c r="G332" s="622">
        <v>270</v>
      </c>
      <c r="H332" s="624">
        <v>1064</v>
      </c>
      <c r="K332" s="100"/>
      <c r="L332" s="596"/>
      <c r="M332" s="596"/>
      <c r="O332" s="85"/>
      <c r="P332" s="85"/>
    </row>
    <row r="333" spans="1:16" ht="12.75">
      <c r="A333" s="567">
        <v>294</v>
      </c>
      <c r="B333" s="270" t="s">
        <v>38</v>
      </c>
      <c r="C333" s="270" t="s">
        <v>1289</v>
      </c>
      <c r="D333" s="622">
        <v>236</v>
      </c>
      <c r="E333" s="622">
        <v>160</v>
      </c>
      <c r="F333" s="622">
        <v>217</v>
      </c>
      <c r="G333" s="622">
        <v>475</v>
      </c>
      <c r="H333" s="624">
        <v>1088</v>
      </c>
      <c r="K333" s="100"/>
      <c r="L333" s="596"/>
      <c r="M333" s="596"/>
      <c r="O333" s="85"/>
      <c r="P333" s="85"/>
    </row>
    <row r="334" spans="1:16" ht="12.75">
      <c r="A334" s="567">
        <v>295</v>
      </c>
      <c r="B334" s="270" t="s">
        <v>38</v>
      </c>
      <c r="C334" s="270" t="s">
        <v>1290</v>
      </c>
      <c r="D334" s="622">
        <v>169</v>
      </c>
      <c r="E334" s="622">
        <v>99</v>
      </c>
      <c r="F334" s="622">
        <v>112</v>
      </c>
      <c r="G334" s="622">
        <v>97</v>
      </c>
      <c r="H334" s="625">
        <v>477</v>
      </c>
      <c r="K334" s="100"/>
      <c r="L334" s="596"/>
      <c r="M334" s="596"/>
      <c r="O334" s="85"/>
      <c r="P334" s="85"/>
    </row>
    <row r="335" spans="1:16" ht="12.75">
      <c r="A335" s="567">
        <v>296</v>
      </c>
      <c r="B335" s="270" t="s">
        <v>38</v>
      </c>
      <c r="C335" s="270" t="s">
        <v>1291</v>
      </c>
      <c r="D335" s="622">
        <v>46</v>
      </c>
      <c r="E335" s="622">
        <v>28</v>
      </c>
      <c r="F335" s="622">
        <v>32</v>
      </c>
      <c r="G335" s="622">
        <v>15</v>
      </c>
      <c r="H335" s="625">
        <v>121</v>
      </c>
      <c r="K335" s="100"/>
      <c r="L335" s="596"/>
      <c r="M335" s="596"/>
      <c r="O335" s="85"/>
      <c r="P335" s="85"/>
    </row>
    <row r="336" spans="1:16" ht="12.75">
      <c r="A336" s="567">
        <v>297</v>
      </c>
      <c r="B336" s="270" t="s">
        <v>38</v>
      </c>
      <c r="C336" s="270" t="s">
        <v>1292</v>
      </c>
      <c r="D336" s="622">
        <v>201</v>
      </c>
      <c r="E336" s="622">
        <v>112</v>
      </c>
      <c r="F336" s="622">
        <v>132</v>
      </c>
      <c r="G336" s="622">
        <v>174</v>
      </c>
      <c r="H336" s="625">
        <v>619</v>
      </c>
      <c r="K336" s="100"/>
      <c r="L336" s="596"/>
      <c r="M336" s="596"/>
      <c r="O336" s="85"/>
      <c r="P336" s="85"/>
    </row>
    <row r="337" spans="1:16" ht="12.75">
      <c r="A337" s="567">
        <v>298</v>
      </c>
      <c r="B337" s="270" t="s">
        <v>38</v>
      </c>
      <c r="C337" s="270" t="s">
        <v>1293</v>
      </c>
      <c r="D337" s="623">
        <v>1004</v>
      </c>
      <c r="E337" s="622">
        <v>570</v>
      </c>
      <c r="F337" s="622">
        <v>565</v>
      </c>
      <c r="G337" s="623">
        <v>1151</v>
      </c>
      <c r="H337" s="624">
        <v>3290</v>
      </c>
      <c r="K337" s="100"/>
      <c r="L337" s="596"/>
      <c r="M337" s="596"/>
      <c r="O337" s="85"/>
      <c r="P337" s="85"/>
    </row>
    <row r="338" spans="1:16" ht="12.75">
      <c r="A338" s="567">
        <v>299</v>
      </c>
      <c r="B338" s="270" t="s">
        <v>38</v>
      </c>
      <c r="C338" s="270" t="s">
        <v>1294</v>
      </c>
      <c r="D338" s="622">
        <v>23</v>
      </c>
      <c r="E338" s="622">
        <v>13</v>
      </c>
      <c r="F338" s="622">
        <v>13</v>
      </c>
      <c r="G338" s="622">
        <v>12</v>
      </c>
      <c r="H338" s="625">
        <v>61</v>
      </c>
      <c r="K338" s="100"/>
      <c r="L338" s="596"/>
      <c r="M338" s="596"/>
      <c r="O338" s="85"/>
      <c r="P338" s="85"/>
    </row>
    <row r="339" spans="1:16" ht="12.75">
      <c r="A339" s="567">
        <v>300</v>
      </c>
      <c r="B339" s="270" t="s">
        <v>38</v>
      </c>
      <c r="C339" s="270" t="s">
        <v>1295</v>
      </c>
      <c r="D339" s="622">
        <v>273</v>
      </c>
      <c r="E339" s="622">
        <v>154</v>
      </c>
      <c r="F339" s="622">
        <v>185</v>
      </c>
      <c r="G339" s="622">
        <v>316</v>
      </c>
      <c r="H339" s="625">
        <v>928</v>
      </c>
      <c r="K339" s="100"/>
      <c r="L339" s="596"/>
      <c r="M339" s="596"/>
      <c r="O339" s="85"/>
      <c r="P339" s="85"/>
    </row>
    <row r="340" spans="1:16" ht="12.75">
      <c r="A340" s="567">
        <v>301</v>
      </c>
      <c r="B340" s="270" t="s">
        <v>38</v>
      </c>
      <c r="C340" s="270" t="s">
        <v>1296</v>
      </c>
      <c r="D340" s="622">
        <v>814</v>
      </c>
      <c r="E340" s="622">
        <v>492</v>
      </c>
      <c r="F340" s="622">
        <v>527</v>
      </c>
      <c r="G340" s="623">
        <v>1093</v>
      </c>
      <c r="H340" s="624">
        <v>2926</v>
      </c>
      <c r="K340" s="100"/>
      <c r="L340" s="596"/>
      <c r="M340" s="596"/>
      <c r="O340" s="85"/>
      <c r="P340" s="85"/>
    </row>
    <row r="341" spans="1:16" ht="12.75">
      <c r="A341" s="567">
        <v>302</v>
      </c>
      <c r="B341" s="270" t="s">
        <v>38</v>
      </c>
      <c r="C341" s="270" t="s">
        <v>1297</v>
      </c>
      <c r="D341" s="622">
        <v>691</v>
      </c>
      <c r="E341" s="622">
        <v>432</v>
      </c>
      <c r="F341" s="622">
        <v>278</v>
      </c>
      <c r="G341" s="622">
        <v>587</v>
      </c>
      <c r="H341" s="624">
        <v>1988</v>
      </c>
      <c r="K341" s="100"/>
      <c r="L341" s="596"/>
      <c r="M341" s="596"/>
      <c r="O341" s="85"/>
      <c r="P341" s="85"/>
    </row>
    <row r="342" spans="1:16" ht="12.75">
      <c r="A342" s="567">
        <v>303</v>
      </c>
      <c r="B342" s="270" t="s">
        <v>38</v>
      </c>
      <c r="C342" s="270" t="s">
        <v>1298</v>
      </c>
      <c r="D342" s="623">
        <v>9233</v>
      </c>
      <c r="E342" s="623">
        <v>5428</v>
      </c>
      <c r="F342" s="623">
        <v>6188</v>
      </c>
      <c r="G342" s="623">
        <v>14231</v>
      </c>
      <c r="H342" s="624">
        <v>35080</v>
      </c>
      <c r="K342" s="100"/>
      <c r="L342" s="596"/>
      <c r="M342" s="596"/>
      <c r="O342" s="85"/>
      <c r="P342" s="85"/>
    </row>
    <row r="343" spans="1:16" ht="12.75">
      <c r="A343" s="567">
        <v>304</v>
      </c>
      <c r="B343" s="270" t="s">
        <v>38</v>
      </c>
      <c r="C343" s="270" t="s">
        <v>38</v>
      </c>
      <c r="D343" s="623">
        <v>1050</v>
      </c>
      <c r="E343" s="622">
        <v>695</v>
      </c>
      <c r="F343" s="622">
        <v>755</v>
      </c>
      <c r="G343" s="623">
        <v>1593</v>
      </c>
      <c r="H343" s="624">
        <v>4093</v>
      </c>
      <c r="K343" s="100"/>
      <c r="L343" s="596"/>
      <c r="M343" s="596"/>
      <c r="O343" s="85"/>
      <c r="P343" s="85"/>
    </row>
    <row r="344" spans="1:16" ht="12.75">
      <c r="A344" s="567">
        <v>305</v>
      </c>
      <c r="B344" s="270" t="s">
        <v>38</v>
      </c>
      <c r="C344" s="270" t="s">
        <v>1299</v>
      </c>
      <c r="D344" s="622">
        <v>147</v>
      </c>
      <c r="E344" s="622">
        <v>95</v>
      </c>
      <c r="F344" s="622">
        <v>104</v>
      </c>
      <c r="G344" s="622">
        <v>93</v>
      </c>
      <c r="H344" s="625">
        <v>439</v>
      </c>
      <c r="K344" s="100"/>
      <c r="L344" s="596"/>
      <c r="M344" s="596"/>
      <c r="O344" s="85"/>
      <c r="P344" s="85"/>
    </row>
    <row r="345" spans="1:16" ht="12.75">
      <c r="A345" s="567">
        <v>306</v>
      </c>
      <c r="B345" s="270" t="s">
        <v>38</v>
      </c>
      <c r="C345" s="270" t="s">
        <v>1300</v>
      </c>
      <c r="D345" s="623">
        <v>1640</v>
      </c>
      <c r="E345" s="622">
        <v>906</v>
      </c>
      <c r="F345" s="622">
        <v>932</v>
      </c>
      <c r="G345" s="623">
        <v>1974</v>
      </c>
      <c r="H345" s="624">
        <v>5452</v>
      </c>
      <c r="K345" s="100"/>
      <c r="L345" s="596"/>
      <c r="M345" s="596"/>
      <c r="O345" s="85"/>
      <c r="P345" s="85"/>
    </row>
    <row r="346" spans="1:16" ht="12.75">
      <c r="A346" s="567">
        <v>307</v>
      </c>
      <c r="B346" s="270" t="s">
        <v>38</v>
      </c>
      <c r="C346" s="270" t="s">
        <v>1017</v>
      </c>
      <c r="D346" s="622">
        <v>22</v>
      </c>
      <c r="E346" s="622">
        <v>13</v>
      </c>
      <c r="F346" s="622">
        <v>214</v>
      </c>
      <c r="G346" s="622">
        <v>28</v>
      </c>
      <c r="H346" s="625">
        <v>277</v>
      </c>
      <c r="K346" s="100"/>
      <c r="L346" s="596"/>
      <c r="M346" s="596"/>
      <c r="O346" s="85"/>
      <c r="P346" s="85"/>
    </row>
    <row r="347" spans="1:16" ht="12.75">
      <c r="A347" s="599"/>
      <c r="B347" s="619" t="s">
        <v>66</v>
      </c>
      <c r="C347" s="620"/>
      <c r="D347" s="618">
        <v>1711</v>
      </c>
      <c r="E347" s="644">
        <v>902</v>
      </c>
      <c r="F347" s="618">
        <v>1053</v>
      </c>
      <c r="G347" s="618">
        <v>3311</v>
      </c>
      <c r="H347" s="618">
        <v>6977</v>
      </c>
      <c r="K347" s="100"/>
      <c r="L347" s="596"/>
      <c r="M347" s="596"/>
      <c r="O347" s="85"/>
      <c r="P347" s="85"/>
    </row>
    <row r="348" spans="1:16" ht="12.75">
      <c r="A348" s="567">
        <v>308</v>
      </c>
      <c r="B348" s="270" t="s">
        <v>66</v>
      </c>
      <c r="C348" s="270" t="s">
        <v>1301</v>
      </c>
      <c r="D348" s="622">
        <v>94</v>
      </c>
      <c r="E348" s="622">
        <v>54</v>
      </c>
      <c r="F348" s="622">
        <v>56</v>
      </c>
      <c r="G348" s="622">
        <v>123</v>
      </c>
      <c r="H348" s="625">
        <v>327</v>
      </c>
      <c r="K348" s="100"/>
      <c r="L348" s="596"/>
      <c r="M348" s="596"/>
      <c r="O348" s="85"/>
      <c r="P348" s="85"/>
    </row>
    <row r="349" spans="1:16" ht="12.75">
      <c r="A349" s="567">
        <v>309</v>
      </c>
      <c r="B349" s="270" t="s">
        <v>66</v>
      </c>
      <c r="C349" s="270" t="s">
        <v>1302</v>
      </c>
      <c r="D349" s="622">
        <v>50</v>
      </c>
      <c r="E349" s="622">
        <v>24</v>
      </c>
      <c r="F349" s="622">
        <v>30</v>
      </c>
      <c r="G349" s="622">
        <v>93</v>
      </c>
      <c r="H349" s="625">
        <v>197</v>
      </c>
      <c r="K349" s="100"/>
      <c r="L349" s="596"/>
      <c r="M349" s="596"/>
      <c r="O349" s="85"/>
      <c r="P349" s="85"/>
    </row>
    <row r="350" spans="1:16" ht="12.75">
      <c r="A350" s="567">
        <v>310</v>
      </c>
      <c r="B350" s="270" t="s">
        <v>66</v>
      </c>
      <c r="C350" s="270" t="s">
        <v>1303</v>
      </c>
      <c r="D350" s="622">
        <v>779</v>
      </c>
      <c r="E350" s="622">
        <v>404</v>
      </c>
      <c r="F350" s="622">
        <v>456</v>
      </c>
      <c r="G350" s="623">
        <v>1461</v>
      </c>
      <c r="H350" s="624">
        <v>3100</v>
      </c>
      <c r="K350" s="100"/>
      <c r="L350" s="596"/>
      <c r="M350" s="596"/>
      <c r="O350" s="85"/>
      <c r="P350" s="85"/>
    </row>
    <row r="351" spans="1:16" ht="12.75">
      <c r="A351" s="567">
        <v>311</v>
      </c>
      <c r="B351" s="270" t="s">
        <v>66</v>
      </c>
      <c r="C351" s="270" t="s">
        <v>1304</v>
      </c>
      <c r="D351" s="622">
        <v>45</v>
      </c>
      <c r="E351" s="622">
        <v>36</v>
      </c>
      <c r="F351" s="622">
        <v>48</v>
      </c>
      <c r="G351" s="622">
        <v>170</v>
      </c>
      <c r="H351" s="625">
        <v>299</v>
      </c>
      <c r="K351" s="100"/>
      <c r="L351" s="596"/>
      <c r="M351" s="596"/>
      <c r="O351" s="85"/>
      <c r="P351" s="85"/>
    </row>
    <row r="352" spans="1:16" ht="12.75">
      <c r="A352" s="567">
        <v>312</v>
      </c>
      <c r="B352" s="270" t="s">
        <v>66</v>
      </c>
      <c r="C352" s="270" t="s">
        <v>1305</v>
      </c>
      <c r="D352" s="622">
        <v>147</v>
      </c>
      <c r="E352" s="622">
        <v>57</v>
      </c>
      <c r="F352" s="622">
        <v>60</v>
      </c>
      <c r="G352" s="622">
        <v>241</v>
      </c>
      <c r="H352" s="625">
        <v>505</v>
      </c>
      <c r="K352" s="100"/>
      <c r="L352" s="596"/>
      <c r="M352" s="596"/>
      <c r="O352" s="85"/>
      <c r="P352" s="85"/>
    </row>
    <row r="353" spans="1:16" ht="12.75">
      <c r="A353" s="567">
        <v>313</v>
      </c>
      <c r="B353" s="270" t="s">
        <v>66</v>
      </c>
      <c r="C353" s="270" t="s">
        <v>1306</v>
      </c>
      <c r="D353" s="622">
        <v>287</v>
      </c>
      <c r="E353" s="622">
        <v>134</v>
      </c>
      <c r="F353" s="622">
        <v>173</v>
      </c>
      <c r="G353" s="622">
        <v>490</v>
      </c>
      <c r="H353" s="624">
        <v>1084</v>
      </c>
      <c r="K353" s="100"/>
      <c r="L353" s="596"/>
      <c r="M353" s="596"/>
      <c r="O353" s="85"/>
      <c r="P353" s="85"/>
    </row>
    <row r="354" spans="1:16" ht="12.75">
      <c r="A354" s="567">
        <v>314</v>
      </c>
      <c r="B354" s="270" t="s">
        <v>66</v>
      </c>
      <c r="C354" s="270" t="s">
        <v>1307</v>
      </c>
      <c r="D354" s="622">
        <v>283</v>
      </c>
      <c r="E354" s="622">
        <v>178</v>
      </c>
      <c r="F354" s="622">
        <v>211</v>
      </c>
      <c r="G354" s="622">
        <v>690</v>
      </c>
      <c r="H354" s="624">
        <v>1362</v>
      </c>
      <c r="K354" s="100"/>
      <c r="L354" s="596"/>
      <c r="M354" s="596"/>
      <c r="O354" s="85"/>
      <c r="P354" s="85"/>
    </row>
    <row r="355" spans="1:16" ht="12.75">
      <c r="A355" s="567">
        <v>315</v>
      </c>
      <c r="B355" s="270" t="s">
        <v>66</v>
      </c>
      <c r="C355" s="270" t="s">
        <v>1017</v>
      </c>
      <c r="D355" s="622">
        <v>26</v>
      </c>
      <c r="E355" s="622">
        <v>15</v>
      </c>
      <c r="F355" s="622">
        <v>19</v>
      </c>
      <c r="G355" s="622">
        <v>43</v>
      </c>
      <c r="H355" s="625">
        <v>103</v>
      </c>
      <c r="K355" s="100"/>
      <c r="L355" s="596"/>
      <c r="M355" s="596"/>
      <c r="O355" s="85"/>
      <c r="P355" s="85"/>
    </row>
    <row r="356" spans="1:16" ht="12.75">
      <c r="A356" s="599"/>
      <c r="B356" s="619" t="s">
        <v>63</v>
      </c>
      <c r="C356" s="620"/>
      <c r="D356" s="618">
        <v>1818</v>
      </c>
      <c r="E356" s="618">
        <v>1094</v>
      </c>
      <c r="F356" s="618">
        <v>1355</v>
      </c>
      <c r="G356" s="618">
        <v>4177</v>
      </c>
      <c r="H356" s="618">
        <v>8444</v>
      </c>
      <c r="K356" s="100"/>
      <c r="L356" s="596"/>
      <c r="M356" s="596"/>
      <c r="O356" s="85"/>
      <c r="P356" s="85"/>
    </row>
    <row r="357" spans="1:16" ht="12.75">
      <c r="A357" s="567">
        <v>316</v>
      </c>
      <c r="B357" s="270" t="s">
        <v>63</v>
      </c>
      <c r="C357" s="270" t="s">
        <v>1308</v>
      </c>
      <c r="D357" s="622">
        <v>39</v>
      </c>
      <c r="E357" s="622">
        <v>29</v>
      </c>
      <c r="F357" s="622">
        <v>31</v>
      </c>
      <c r="G357" s="622">
        <v>112</v>
      </c>
      <c r="H357" s="625">
        <v>211</v>
      </c>
      <c r="K357" s="100"/>
      <c r="L357" s="596"/>
      <c r="M357" s="596"/>
      <c r="O357" s="85"/>
      <c r="P357" s="85"/>
    </row>
    <row r="358" spans="1:16" ht="12.75">
      <c r="A358" s="567">
        <v>317</v>
      </c>
      <c r="B358" s="270" t="s">
        <v>63</v>
      </c>
      <c r="C358" s="270" t="s">
        <v>1309</v>
      </c>
      <c r="D358" s="622">
        <v>35</v>
      </c>
      <c r="E358" s="622">
        <v>18</v>
      </c>
      <c r="F358" s="622">
        <v>18</v>
      </c>
      <c r="G358" s="622">
        <v>66</v>
      </c>
      <c r="H358" s="625">
        <v>137</v>
      </c>
      <c r="K358" s="100"/>
      <c r="L358" s="596"/>
      <c r="M358" s="596"/>
      <c r="O358" s="85"/>
      <c r="P358" s="85"/>
    </row>
    <row r="359" spans="1:16" ht="12.75">
      <c r="A359" s="567">
        <v>318</v>
      </c>
      <c r="B359" s="270" t="s">
        <v>63</v>
      </c>
      <c r="C359" s="270" t="s">
        <v>1310</v>
      </c>
      <c r="D359" s="622">
        <v>31</v>
      </c>
      <c r="E359" s="622">
        <v>24</v>
      </c>
      <c r="F359" s="622">
        <v>26</v>
      </c>
      <c r="G359" s="622">
        <v>76</v>
      </c>
      <c r="H359" s="625">
        <v>157</v>
      </c>
      <c r="K359" s="100"/>
      <c r="L359" s="596"/>
      <c r="M359" s="596"/>
      <c r="O359" s="85"/>
      <c r="P359" s="85"/>
    </row>
    <row r="360" spans="1:16" ht="12.75">
      <c r="A360" s="567">
        <v>319</v>
      </c>
      <c r="B360" s="270" t="s">
        <v>63</v>
      </c>
      <c r="C360" s="270" t="s">
        <v>1311</v>
      </c>
      <c r="D360" s="622">
        <v>199</v>
      </c>
      <c r="E360" s="622">
        <v>103</v>
      </c>
      <c r="F360" s="622">
        <v>121</v>
      </c>
      <c r="G360" s="622">
        <v>322</v>
      </c>
      <c r="H360" s="625">
        <v>745</v>
      </c>
      <c r="K360" s="100"/>
      <c r="L360" s="596"/>
      <c r="M360" s="596"/>
      <c r="O360" s="85"/>
      <c r="P360" s="85"/>
    </row>
    <row r="361" spans="1:16" ht="12.75">
      <c r="A361" s="567">
        <v>320</v>
      </c>
      <c r="B361" s="270" t="s">
        <v>63</v>
      </c>
      <c r="C361" s="270" t="s">
        <v>1312</v>
      </c>
      <c r="D361" s="622">
        <v>181</v>
      </c>
      <c r="E361" s="622">
        <v>107</v>
      </c>
      <c r="F361" s="622">
        <v>127</v>
      </c>
      <c r="G361" s="622">
        <v>484</v>
      </c>
      <c r="H361" s="625">
        <v>899</v>
      </c>
      <c r="K361" s="100"/>
      <c r="L361" s="596"/>
      <c r="M361" s="596"/>
      <c r="O361" s="85"/>
      <c r="P361" s="85"/>
    </row>
    <row r="362" spans="1:16" ht="12.75">
      <c r="A362" s="567">
        <v>321</v>
      </c>
      <c r="B362" s="270" t="s">
        <v>63</v>
      </c>
      <c r="C362" s="270" t="s">
        <v>1313</v>
      </c>
      <c r="D362" s="623">
        <v>1041</v>
      </c>
      <c r="E362" s="622">
        <v>671</v>
      </c>
      <c r="F362" s="622">
        <v>759</v>
      </c>
      <c r="G362" s="623">
        <v>2612</v>
      </c>
      <c r="H362" s="624">
        <v>5083</v>
      </c>
      <c r="K362" s="100"/>
      <c r="L362" s="596"/>
      <c r="M362" s="596"/>
      <c r="O362" s="85"/>
      <c r="P362" s="85"/>
    </row>
    <row r="363" spans="1:16" ht="12.75">
      <c r="A363" s="567">
        <v>322</v>
      </c>
      <c r="B363" s="270" t="s">
        <v>63</v>
      </c>
      <c r="C363" s="270" t="s">
        <v>1314</v>
      </c>
      <c r="D363" s="622">
        <v>22</v>
      </c>
      <c r="E363" s="622">
        <v>17</v>
      </c>
      <c r="F363" s="622">
        <v>19</v>
      </c>
      <c r="G363" s="622">
        <v>62</v>
      </c>
      <c r="H363" s="625">
        <v>120</v>
      </c>
      <c r="K363" s="100"/>
      <c r="L363" s="596"/>
      <c r="M363" s="596"/>
      <c r="O363" s="85"/>
      <c r="P363" s="85"/>
    </row>
    <row r="364" spans="1:16" ht="12.75">
      <c r="A364" s="567">
        <v>323</v>
      </c>
      <c r="B364" s="270" t="s">
        <v>63</v>
      </c>
      <c r="C364" s="270" t="s">
        <v>63</v>
      </c>
      <c r="D364" s="622">
        <v>24</v>
      </c>
      <c r="E364" s="622">
        <v>23</v>
      </c>
      <c r="F364" s="622">
        <v>27</v>
      </c>
      <c r="G364" s="622">
        <v>63</v>
      </c>
      <c r="H364" s="625">
        <v>137</v>
      </c>
      <c r="K364" s="100"/>
      <c r="L364" s="596"/>
      <c r="M364" s="596"/>
      <c r="O364" s="85"/>
      <c r="P364" s="85"/>
    </row>
    <row r="365" spans="1:16" ht="12.75">
      <c r="A365" s="567">
        <v>324</v>
      </c>
      <c r="B365" s="270" t="s">
        <v>63</v>
      </c>
      <c r="C365" s="270" t="s">
        <v>1315</v>
      </c>
      <c r="D365" s="622">
        <v>120</v>
      </c>
      <c r="E365" s="622">
        <v>65</v>
      </c>
      <c r="F365" s="622">
        <v>67</v>
      </c>
      <c r="G365" s="622">
        <v>188</v>
      </c>
      <c r="H365" s="625">
        <v>440</v>
      </c>
      <c r="K365" s="100"/>
      <c r="L365" s="596"/>
      <c r="M365" s="596"/>
      <c r="O365" s="85"/>
      <c r="P365" s="85"/>
    </row>
    <row r="366" spans="1:16" ht="12.75">
      <c r="A366" s="567">
        <v>325</v>
      </c>
      <c r="B366" s="270" t="s">
        <v>63</v>
      </c>
      <c r="C366" s="270" t="s">
        <v>1017</v>
      </c>
      <c r="D366" s="622">
        <v>126</v>
      </c>
      <c r="E366" s="622">
        <v>37</v>
      </c>
      <c r="F366" s="622">
        <v>160</v>
      </c>
      <c r="G366" s="622">
        <v>192</v>
      </c>
      <c r="H366" s="625">
        <v>515</v>
      </c>
      <c r="K366" s="100"/>
      <c r="L366" s="596"/>
      <c r="M366" s="596"/>
      <c r="O366" s="85"/>
      <c r="P366" s="85"/>
    </row>
    <row r="367" spans="1:16" ht="15">
      <c r="A367" s="599"/>
      <c r="B367" s="626" t="s">
        <v>62</v>
      </c>
      <c r="C367" s="627"/>
      <c r="D367" s="639">
        <v>24560</v>
      </c>
      <c r="E367" s="639">
        <v>17220</v>
      </c>
      <c r="F367" s="639">
        <v>19520</v>
      </c>
      <c r="G367" s="639">
        <v>43670</v>
      </c>
      <c r="H367" s="639">
        <v>104970</v>
      </c>
      <c r="K367" s="100"/>
      <c r="L367" s="596"/>
      <c r="M367" s="596"/>
      <c r="O367" s="85"/>
      <c r="P367" s="85"/>
    </row>
    <row r="368" spans="1:16" ht="12.75">
      <c r="A368" s="599"/>
      <c r="B368" s="646"/>
      <c r="C368" s="629" t="s">
        <v>1316</v>
      </c>
      <c r="D368" s="630">
        <v>1218</v>
      </c>
      <c r="E368" s="641">
        <v>855</v>
      </c>
      <c r="F368" s="641">
        <v>955</v>
      </c>
      <c r="G368" s="630">
        <v>2108</v>
      </c>
      <c r="H368" s="630">
        <v>5136</v>
      </c>
      <c r="K368" s="100"/>
      <c r="L368" s="596"/>
      <c r="M368" s="596"/>
      <c r="O368" s="85"/>
      <c r="P368" s="85"/>
    </row>
    <row r="369" spans="1:16" ht="12.75">
      <c r="A369" s="599"/>
      <c r="B369" s="646"/>
      <c r="C369" s="629" t="s">
        <v>1317</v>
      </c>
      <c r="D369" s="630">
        <v>5749</v>
      </c>
      <c r="E369" s="630">
        <v>4030</v>
      </c>
      <c r="F369" s="630">
        <v>4023</v>
      </c>
      <c r="G369" s="630">
        <v>7823</v>
      </c>
      <c r="H369" s="630">
        <v>21625</v>
      </c>
      <c r="K369" s="100"/>
      <c r="L369" s="596"/>
      <c r="M369" s="596"/>
      <c r="O369" s="85"/>
      <c r="P369" s="85"/>
    </row>
    <row r="370" spans="1:16" ht="12.75">
      <c r="A370" s="599"/>
      <c r="B370" s="646"/>
      <c r="C370" s="629" t="s">
        <v>1318</v>
      </c>
      <c r="D370" s="630">
        <v>13166</v>
      </c>
      <c r="E370" s="630">
        <v>9231</v>
      </c>
      <c r="F370" s="630">
        <v>10858</v>
      </c>
      <c r="G370" s="630">
        <v>25131</v>
      </c>
      <c r="H370" s="630">
        <v>58386</v>
      </c>
      <c r="K370" s="100"/>
      <c r="L370" s="596"/>
      <c r="M370" s="596"/>
      <c r="O370" s="85"/>
      <c r="P370" s="85"/>
    </row>
    <row r="371" spans="1:16" ht="12.75">
      <c r="A371" s="599"/>
      <c r="B371" s="646"/>
      <c r="C371" s="629" t="s">
        <v>1319</v>
      </c>
      <c r="D371" s="641">
        <v>813</v>
      </c>
      <c r="E371" s="641">
        <v>569</v>
      </c>
      <c r="F371" s="641">
        <v>643</v>
      </c>
      <c r="G371" s="630">
        <v>1438</v>
      </c>
      <c r="H371" s="630">
        <v>3463</v>
      </c>
      <c r="K371" s="100"/>
      <c r="L371" s="596"/>
      <c r="M371" s="596"/>
      <c r="O371" s="85"/>
      <c r="P371" s="85"/>
    </row>
    <row r="372" spans="1:16" ht="12.75">
      <c r="A372" s="599"/>
      <c r="B372" s="646"/>
      <c r="C372" s="629" t="s">
        <v>1320</v>
      </c>
      <c r="D372" s="630">
        <v>2457</v>
      </c>
      <c r="E372" s="630">
        <v>1724</v>
      </c>
      <c r="F372" s="630">
        <v>2068</v>
      </c>
      <c r="G372" s="630">
        <v>4880</v>
      </c>
      <c r="H372" s="630">
        <v>11129</v>
      </c>
      <c r="K372" s="100"/>
      <c r="L372" s="596"/>
      <c r="M372" s="596"/>
      <c r="O372" s="85"/>
      <c r="P372" s="85"/>
    </row>
    <row r="373" spans="1:16" ht="12.75">
      <c r="A373" s="599"/>
      <c r="B373" s="647"/>
      <c r="C373" s="632" t="s">
        <v>1321</v>
      </c>
      <c r="D373" s="630">
        <v>1157</v>
      </c>
      <c r="E373" s="641">
        <v>811</v>
      </c>
      <c r="F373" s="641">
        <v>973</v>
      </c>
      <c r="G373" s="630">
        <v>2290</v>
      </c>
      <c r="H373" s="630">
        <v>5231</v>
      </c>
      <c r="K373" s="100"/>
      <c r="L373" s="596"/>
      <c r="M373" s="596"/>
      <c r="O373" s="85"/>
      <c r="P373" s="85"/>
    </row>
    <row r="374" spans="1:16" ht="12.75">
      <c r="A374" s="599"/>
      <c r="B374" s="619" t="s">
        <v>77</v>
      </c>
      <c r="C374" s="620"/>
      <c r="D374" s="618">
        <v>1218</v>
      </c>
      <c r="E374" s="644">
        <v>855</v>
      </c>
      <c r="F374" s="644">
        <v>955</v>
      </c>
      <c r="G374" s="618">
        <v>2108</v>
      </c>
      <c r="H374" s="618">
        <v>5136</v>
      </c>
      <c r="K374" s="100"/>
      <c r="L374" s="596"/>
      <c r="M374" s="596"/>
      <c r="O374" s="85"/>
      <c r="P374" s="85"/>
    </row>
    <row r="375" spans="1:16" ht="12.75">
      <c r="A375" s="567">
        <v>326</v>
      </c>
      <c r="B375" s="270" t="s">
        <v>77</v>
      </c>
      <c r="C375" s="270" t="s">
        <v>1322</v>
      </c>
      <c r="D375" s="622">
        <v>78</v>
      </c>
      <c r="E375" s="622">
        <v>55</v>
      </c>
      <c r="F375" s="622">
        <v>69</v>
      </c>
      <c r="G375" s="622">
        <v>170</v>
      </c>
      <c r="H375" s="625">
        <v>372</v>
      </c>
      <c r="K375" s="100"/>
      <c r="L375" s="596"/>
      <c r="M375" s="596"/>
      <c r="O375" s="85"/>
      <c r="P375" s="85"/>
    </row>
    <row r="376" spans="1:16" ht="12.75">
      <c r="A376" s="567">
        <v>327</v>
      </c>
      <c r="B376" s="270" t="s">
        <v>77</v>
      </c>
      <c r="C376" s="270" t="s">
        <v>1323</v>
      </c>
      <c r="D376" s="622">
        <v>54</v>
      </c>
      <c r="E376" s="622">
        <v>38</v>
      </c>
      <c r="F376" s="622">
        <v>63</v>
      </c>
      <c r="G376" s="622">
        <v>181</v>
      </c>
      <c r="H376" s="625">
        <v>336</v>
      </c>
      <c r="K376" s="100"/>
      <c r="L376" s="596"/>
      <c r="M376" s="596"/>
      <c r="O376" s="85"/>
      <c r="P376" s="85"/>
    </row>
    <row r="377" spans="1:16" ht="12.75">
      <c r="A377" s="567">
        <v>328</v>
      </c>
      <c r="B377" s="270" t="s">
        <v>77</v>
      </c>
      <c r="C377" s="270" t="s">
        <v>1017</v>
      </c>
      <c r="D377" s="623">
        <v>1086</v>
      </c>
      <c r="E377" s="622">
        <v>762</v>
      </c>
      <c r="F377" s="622">
        <v>823</v>
      </c>
      <c r="G377" s="623">
        <v>1757</v>
      </c>
      <c r="H377" s="624">
        <v>4428</v>
      </c>
      <c r="K377" s="100"/>
      <c r="L377" s="596"/>
      <c r="M377" s="596"/>
      <c r="O377" s="85"/>
      <c r="P377" s="85"/>
    </row>
    <row r="378" spans="1:16" ht="12.75">
      <c r="A378" s="599"/>
      <c r="B378" s="619" t="s">
        <v>52</v>
      </c>
      <c r="C378" s="620"/>
      <c r="D378" s="618">
        <v>5749</v>
      </c>
      <c r="E378" s="618">
        <v>4030</v>
      </c>
      <c r="F378" s="618">
        <v>4023</v>
      </c>
      <c r="G378" s="618">
        <v>7823</v>
      </c>
      <c r="H378" s="618">
        <v>21625</v>
      </c>
      <c r="K378" s="100"/>
      <c r="L378" s="596"/>
      <c r="M378" s="596"/>
      <c r="O378" s="85"/>
      <c r="P378" s="85"/>
    </row>
    <row r="379" spans="1:16" ht="12.75">
      <c r="A379" s="567">
        <v>329</v>
      </c>
      <c r="B379" s="270" t="s">
        <v>52</v>
      </c>
      <c r="C379" s="270" t="s">
        <v>1324</v>
      </c>
      <c r="D379" s="622">
        <v>74</v>
      </c>
      <c r="E379" s="622">
        <v>52</v>
      </c>
      <c r="F379" s="622">
        <v>57</v>
      </c>
      <c r="G379" s="622">
        <v>125</v>
      </c>
      <c r="H379" s="625">
        <v>308</v>
      </c>
      <c r="K379" s="100"/>
      <c r="L379" s="596"/>
      <c r="M379" s="596"/>
      <c r="O379" s="85"/>
      <c r="P379" s="85"/>
    </row>
    <row r="380" spans="1:16" ht="12.75">
      <c r="A380" s="567">
        <v>330</v>
      </c>
      <c r="B380" s="270" t="s">
        <v>52</v>
      </c>
      <c r="C380" s="270" t="s">
        <v>1325</v>
      </c>
      <c r="D380" s="622">
        <v>10</v>
      </c>
      <c r="E380" s="622">
        <v>7</v>
      </c>
      <c r="F380" s="622">
        <v>10</v>
      </c>
      <c r="G380" s="622">
        <v>24</v>
      </c>
      <c r="H380" s="625">
        <v>51</v>
      </c>
      <c r="K380" s="100"/>
      <c r="L380" s="596"/>
      <c r="M380" s="596"/>
      <c r="O380" s="85"/>
      <c r="P380" s="85"/>
    </row>
    <row r="381" spans="1:16" ht="12.75">
      <c r="A381" s="567">
        <v>331</v>
      </c>
      <c r="B381" s="270" t="s">
        <v>52</v>
      </c>
      <c r="C381" s="270" t="s">
        <v>1326</v>
      </c>
      <c r="D381" s="622">
        <v>953</v>
      </c>
      <c r="E381" s="622">
        <v>668</v>
      </c>
      <c r="F381" s="622">
        <v>705</v>
      </c>
      <c r="G381" s="623">
        <v>1464</v>
      </c>
      <c r="H381" s="624">
        <v>3790</v>
      </c>
      <c r="K381" s="100"/>
      <c r="L381" s="596"/>
      <c r="M381" s="596"/>
      <c r="O381" s="85"/>
      <c r="P381" s="85"/>
    </row>
    <row r="382" spans="1:16" ht="12.75">
      <c r="A382" s="567">
        <v>332</v>
      </c>
      <c r="B382" s="270" t="s">
        <v>52</v>
      </c>
      <c r="C382" s="270" t="s">
        <v>1327</v>
      </c>
      <c r="D382" s="622">
        <v>39</v>
      </c>
      <c r="E382" s="622">
        <v>27</v>
      </c>
      <c r="F382" s="622">
        <v>29</v>
      </c>
      <c r="G382" s="622">
        <v>59</v>
      </c>
      <c r="H382" s="625">
        <v>154</v>
      </c>
      <c r="K382" s="100"/>
      <c r="L382" s="596"/>
      <c r="M382" s="596"/>
      <c r="O382" s="85"/>
      <c r="P382" s="85"/>
    </row>
    <row r="383" spans="1:16" ht="12.75">
      <c r="A383" s="567">
        <v>333</v>
      </c>
      <c r="B383" s="270" t="s">
        <v>52</v>
      </c>
      <c r="C383" s="270" t="s">
        <v>1328</v>
      </c>
      <c r="D383" s="623">
        <v>1040</v>
      </c>
      <c r="E383" s="622">
        <v>729</v>
      </c>
      <c r="F383" s="622">
        <v>709</v>
      </c>
      <c r="G383" s="623">
        <v>1335</v>
      </c>
      <c r="H383" s="624">
        <v>3813</v>
      </c>
      <c r="K383" s="100"/>
      <c r="L383" s="596"/>
      <c r="M383" s="596"/>
      <c r="O383" s="85"/>
      <c r="P383" s="85"/>
    </row>
    <row r="384" spans="1:16" ht="12.75">
      <c r="A384" s="567">
        <v>334</v>
      </c>
      <c r="B384" s="270" t="s">
        <v>52</v>
      </c>
      <c r="C384" s="270" t="s">
        <v>1329</v>
      </c>
      <c r="D384" s="623">
        <v>2268</v>
      </c>
      <c r="E384" s="623">
        <v>1590</v>
      </c>
      <c r="F384" s="623">
        <v>1577</v>
      </c>
      <c r="G384" s="623">
        <v>3043</v>
      </c>
      <c r="H384" s="624">
        <v>8478</v>
      </c>
      <c r="K384" s="100"/>
      <c r="L384" s="596"/>
      <c r="M384" s="596"/>
      <c r="O384" s="85"/>
      <c r="P384" s="85"/>
    </row>
    <row r="385" spans="1:16" ht="12.75">
      <c r="A385" s="567">
        <v>335</v>
      </c>
      <c r="B385" s="270" t="s">
        <v>52</v>
      </c>
      <c r="C385" s="270" t="s">
        <v>1017</v>
      </c>
      <c r="D385" s="623">
        <v>1365</v>
      </c>
      <c r="E385" s="622">
        <v>957</v>
      </c>
      <c r="F385" s="622">
        <v>936</v>
      </c>
      <c r="G385" s="623">
        <v>1773</v>
      </c>
      <c r="H385" s="624">
        <v>5031</v>
      </c>
      <c r="K385" s="100"/>
      <c r="L385" s="596"/>
      <c r="M385" s="596"/>
      <c r="O385" s="85"/>
      <c r="P385" s="85"/>
    </row>
    <row r="386" spans="1:16" ht="12.75">
      <c r="A386" s="599"/>
      <c r="B386" s="619" t="s">
        <v>39</v>
      </c>
      <c r="C386" s="620"/>
      <c r="D386" s="618">
        <v>13166</v>
      </c>
      <c r="E386" s="618">
        <v>9231</v>
      </c>
      <c r="F386" s="618">
        <v>10858</v>
      </c>
      <c r="G386" s="618">
        <v>25131</v>
      </c>
      <c r="H386" s="618">
        <v>58386</v>
      </c>
      <c r="K386" s="100"/>
      <c r="L386" s="596"/>
      <c r="M386" s="596"/>
      <c r="O386" s="85"/>
      <c r="P386" s="85"/>
    </row>
    <row r="387" spans="1:16" ht="12.75">
      <c r="A387" s="567">
        <v>336</v>
      </c>
      <c r="B387" s="270" t="s">
        <v>39</v>
      </c>
      <c r="C387" s="270" t="s">
        <v>1330</v>
      </c>
      <c r="D387" s="622">
        <v>146</v>
      </c>
      <c r="E387" s="622">
        <v>102</v>
      </c>
      <c r="F387" s="622">
        <v>130</v>
      </c>
      <c r="G387" s="622">
        <v>318</v>
      </c>
      <c r="H387" s="625">
        <v>696</v>
      </c>
      <c r="K387" s="100"/>
      <c r="L387" s="596"/>
      <c r="M387" s="596"/>
      <c r="O387" s="85"/>
      <c r="P387" s="85"/>
    </row>
    <row r="388" spans="1:16" ht="12.75">
      <c r="A388" s="567">
        <v>337</v>
      </c>
      <c r="B388" s="270" t="s">
        <v>39</v>
      </c>
      <c r="C388" s="270" t="s">
        <v>1331</v>
      </c>
      <c r="D388" s="623">
        <v>2035</v>
      </c>
      <c r="E388" s="623">
        <v>1427</v>
      </c>
      <c r="F388" s="623">
        <v>1377</v>
      </c>
      <c r="G388" s="623">
        <v>2563</v>
      </c>
      <c r="H388" s="624">
        <v>7402</v>
      </c>
      <c r="K388" s="100"/>
      <c r="L388" s="596"/>
      <c r="M388" s="596"/>
      <c r="O388" s="85"/>
      <c r="P388" s="85"/>
    </row>
    <row r="389" spans="1:16" ht="12.75">
      <c r="A389" s="567">
        <v>338</v>
      </c>
      <c r="B389" s="270" t="s">
        <v>39</v>
      </c>
      <c r="C389" s="270" t="s">
        <v>1332</v>
      </c>
      <c r="D389" s="623">
        <v>1218</v>
      </c>
      <c r="E389" s="622">
        <v>854</v>
      </c>
      <c r="F389" s="622">
        <v>862</v>
      </c>
      <c r="G389" s="623">
        <v>1699</v>
      </c>
      <c r="H389" s="624">
        <v>4633</v>
      </c>
      <c r="K389" s="100"/>
      <c r="L389" s="596"/>
      <c r="M389" s="596"/>
      <c r="O389" s="85"/>
      <c r="P389" s="85"/>
    </row>
    <row r="390" spans="1:16" ht="12.75">
      <c r="A390" s="567">
        <v>339</v>
      </c>
      <c r="B390" s="270" t="s">
        <v>39</v>
      </c>
      <c r="C390" s="270" t="s">
        <v>1333</v>
      </c>
      <c r="D390" s="622">
        <v>131</v>
      </c>
      <c r="E390" s="622">
        <v>91</v>
      </c>
      <c r="F390" s="622">
        <v>126</v>
      </c>
      <c r="G390" s="622">
        <v>331</v>
      </c>
      <c r="H390" s="625">
        <v>679</v>
      </c>
      <c r="K390" s="100"/>
      <c r="L390" s="596"/>
      <c r="M390" s="596"/>
      <c r="O390" s="85"/>
      <c r="P390" s="85"/>
    </row>
    <row r="391" spans="1:16" ht="12.75">
      <c r="A391" s="567">
        <v>340</v>
      </c>
      <c r="B391" s="270" t="s">
        <v>39</v>
      </c>
      <c r="C391" s="270" t="s">
        <v>1334</v>
      </c>
      <c r="D391" s="622">
        <v>4</v>
      </c>
      <c r="E391" s="622">
        <v>3</v>
      </c>
      <c r="F391" s="622">
        <v>4</v>
      </c>
      <c r="G391" s="622">
        <v>12</v>
      </c>
      <c r="H391" s="625">
        <v>23</v>
      </c>
      <c r="K391" s="100"/>
      <c r="L391" s="596"/>
      <c r="M391" s="596"/>
      <c r="O391" s="85"/>
      <c r="P391" s="85"/>
    </row>
    <row r="392" spans="1:16" ht="12.75">
      <c r="A392" s="567">
        <v>341</v>
      </c>
      <c r="B392" s="270" t="s">
        <v>39</v>
      </c>
      <c r="C392" s="270" t="s">
        <v>1335</v>
      </c>
      <c r="D392" s="623">
        <v>1539</v>
      </c>
      <c r="E392" s="623">
        <v>1079</v>
      </c>
      <c r="F392" s="623">
        <v>1303</v>
      </c>
      <c r="G392" s="623">
        <v>3087</v>
      </c>
      <c r="H392" s="624">
        <v>7008</v>
      </c>
      <c r="K392" s="100"/>
      <c r="L392" s="596"/>
      <c r="M392" s="596"/>
      <c r="O392" s="85"/>
      <c r="P392" s="85"/>
    </row>
    <row r="393" spans="1:16" ht="12.75">
      <c r="A393" s="567">
        <v>342</v>
      </c>
      <c r="B393" s="270" t="s">
        <v>39</v>
      </c>
      <c r="C393" s="270" t="s">
        <v>39</v>
      </c>
      <c r="D393" s="623">
        <v>4944</v>
      </c>
      <c r="E393" s="623">
        <v>3467</v>
      </c>
      <c r="F393" s="623">
        <v>4482</v>
      </c>
      <c r="G393" s="623">
        <v>11208</v>
      </c>
      <c r="H393" s="624">
        <v>24101</v>
      </c>
      <c r="K393" s="100"/>
      <c r="L393" s="596"/>
      <c r="M393" s="596"/>
      <c r="O393" s="85"/>
      <c r="P393" s="85"/>
    </row>
    <row r="394" spans="1:16" ht="12.75">
      <c r="A394" s="567">
        <v>343</v>
      </c>
      <c r="B394" s="270" t="s">
        <v>39</v>
      </c>
      <c r="C394" s="270" t="s">
        <v>1017</v>
      </c>
      <c r="D394" s="623">
        <v>3149</v>
      </c>
      <c r="E394" s="623">
        <v>2208</v>
      </c>
      <c r="F394" s="623">
        <v>2574</v>
      </c>
      <c r="G394" s="623">
        <v>5913</v>
      </c>
      <c r="H394" s="624">
        <v>13844</v>
      </c>
      <c r="K394" s="100"/>
      <c r="L394" s="596"/>
      <c r="M394" s="596"/>
      <c r="O394" s="85"/>
      <c r="P394" s="85"/>
    </row>
    <row r="395" spans="1:16" ht="12.75">
      <c r="A395" s="599"/>
      <c r="B395" s="619" t="s">
        <v>68</v>
      </c>
      <c r="C395" s="620"/>
      <c r="D395" s="644">
        <v>813</v>
      </c>
      <c r="E395" s="644">
        <v>569</v>
      </c>
      <c r="F395" s="644">
        <v>643</v>
      </c>
      <c r="G395" s="618">
        <v>1438</v>
      </c>
      <c r="H395" s="618">
        <v>3463</v>
      </c>
      <c r="K395" s="100"/>
      <c r="L395" s="596"/>
      <c r="M395" s="596"/>
      <c r="O395" s="85"/>
      <c r="P395" s="85"/>
    </row>
    <row r="396" spans="1:16" ht="12.75">
      <c r="A396" s="567">
        <v>344</v>
      </c>
      <c r="B396" s="270" t="s">
        <v>68</v>
      </c>
      <c r="C396" s="270" t="s">
        <v>1336</v>
      </c>
      <c r="D396" s="622">
        <v>104</v>
      </c>
      <c r="E396" s="622">
        <v>72</v>
      </c>
      <c r="F396" s="622">
        <v>83</v>
      </c>
      <c r="G396" s="622">
        <v>190</v>
      </c>
      <c r="H396" s="625">
        <v>449</v>
      </c>
      <c r="K396" s="100"/>
      <c r="L396" s="596"/>
      <c r="M396" s="596"/>
      <c r="O396" s="85"/>
      <c r="P396" s="85"/>
    </row>
    <row r="397" spans="1:16" ht="12.75">
      <c r="A397" s="567">
        <v>345</v>
      </c>
      <c r="B397" s="270" t="s">
        <v>68</v>
      </c>
      <c r="C397" s="270" t="s">
        <v>1337</v>
      </c>
      <c r="D397" s="622">
        <v>624</v>
      </c>
      <c r="E397" s="622">
        <v>437</v>
      </c>
      <c r="F397" s="622">
        <v>498</v>
      </c>
      <c r="G397" s="623">
        <v>1120</v>
      </c>
      <c r="H397" s="624">
        <v>2679</v>
      </c>
      <c r="K397" s="100"/>
      <c r="L397" s="596"/>
      <c r="M397" s="596"/>
      <c r="O397" s="85"/>
      <c r="P397" s="85"/>
    </row>
    <row r="398" spans="1:16" ht="12.75">
      <c r="A398" s="567">
        <v>346</v>
      </c>
      <c r="B398" s="270" t="s">
        <v>68</v>
      </c>
      <c r="C398" s="270" t="s">
        <v>1017</v>
      </c>
      <c r="D398" s="622">
        <v>85</v>
      </c>
      <c r="E398" s="622">
        <v>60</v>
      </c>
      <c r="F398" s="622">
        <v>62</v>
      </c>
      <c r="G398" s="622">
        <v>128</v>
      </c>
      <c r="H398" s="625">
        <v>335</v>
      </c>
      <c r="K398" s="100"/>
      <c r="L398" s="596"/>
      <c r="M398" s="596"/>
      <c r="O398" s="85"/>
      <c r="P398" s="85"/>
    </row>
    <row r="399" spans="1:16" ht="12.75">
      <c r="A399" s="599"/>
      <c r="B399" s="619" t="s">
        <v>57</v>
      </c>
      <c r="C399" s="620"/>
      <c r="D399" s="618">
        <v>2457</v>
      </c>
      <c r="E399" s="618">
        <v>1724</v>
      </c>
      <c r="F399" s="618">
        <v>2068</v>
      </c>
      <c r="G399" s="618">
        <v>4880</v>
      </c>
      <c r="H399" s="618">
        <v>11129</v>
      </c>
      <c r="K399" s="100"/>
      <c r="L399" s="596"/>
      <c r="M399" s="596"/>
      <c r="O399" s="85"/>
      <c r="P399" s="85"/>
    </row>
    <row r="400" spans="1:16" ht="12.75">
      <c r="A400" s="567">
        <v>347</v>
      </c>
      <c r="B400" s="270" t="s">
        <v>57</v>
      </c>
      <c r="C400" s="270" t="s">
        <v>1338</v>
      </c>
      <c r="D400" s="622">
        <v>248</v>
      </c>
      <c r="E400" s="622">
        <v>174</v>
      </c>
      <c r="F400" s="622">
        <v>198</v>
      </c>
      <c r="G400" s="622">
        <v>446</v>
      </c>
      <c r="H400" s="624">
        <v>1066</v>
      </c>
      <c r="K400" s="100"/>
      <c r="L400" s="596"/>
      <c r="M400" s="596"/>
      <c r="O400" s="85"/>
      <c r="P400" s="85"/>
    </row>
    <row r="401" spans="1:16" ht="12.75">
      <c r="A401" s="567">
        <v>348</v>
      </c>
      <c r="B401" s="270" t="s">
        <v>57</v>
      </c>
      <c r="C401" s="270" t="s">
        <v>1339</v>
      </c>
      <c r="D401" s="623">
        <v>1316</v>
      </c>
      <c r="E401" s="622">
        <v>923</v>
      </c>
      <c r="F401" s="623">
        <v>1111</v>
      </c>
      <c r="G401" s="623">
        <v>2627</v>
      </c>
      <c r="H401" s="624">
        <v>5977</v>
      </c>
      <c r="K401" s="100"/>
      <c r="L401" s="596"/>
      <c r="M401" s="596"/>
      <c r="O401" s="85"/>
      <c r="P401" s="85"/>
    </row>
    <row r="402" spans="1:16" ht="12.75">
      <c r="A402" s="567">
        <v>349</v>
      </c>
      <c r="B402" s="270" t="s">
        <v>57</v>
      </c>
      <c r="C402" s="270" t="s">
        <v>1340</v>
      </c>
      <c r="D402" s="622">
        <v>76</v>
      </c>
      <c r="E402" s="622">
        <v>54</v>
      </c>
      <c r="F402" s="622">
        <v>59</v>
      </c>
      <c r="G402" s="622">
        <v>130</v>
      </c>
      <c r="H402" s="625">
        <v>319</v>
      </c>
      <c r="K402" s="100"/>
      <c r="L402" s="596"/>
      <c r="M402" s="596"/>
      <c r="O402" s="85"/>
      <c r="P402" s="85"/>
    </row>
    <row r="403" spans="1:16" ht="12.75">
      <c r="A403" s="567">
        <v>350</v>
      </c>
      <c r="B403" s="270" t="s">
        <v>57</v>
      </c>
      <c r="C403" s="270" t="s">
        <v>1341</v>
      </c>
      <c r="D403" s="622">
        <v>390</v>
      </c>
      <c r="E403" s="622">
        <v>274</v>
      </c>
      <c r="F403" s="622">
        <v>349</v>
      </c>
      <c r="G403" s="622">
        <v>864</v>
      </c>
      <c r="H403" s="624">
        <v>1877</v>
      </c>
      <c r="K403" s="100"/>
      <c r="L403" s="596"/>
      <c r="M403" s="596"/>
      <c r="O403" s="85"/>
      <c r="P403" s="85"/>
    </row>
    <row r="404" spans="1:16" ht="12.75">
      <c r="A404" s="567">
        <v>351</v>
      </c>
      <c r="B404" s="270" t="s">
        <v>57</v>
      </c>
      <c r="C404" s="270" t="s">
        <v>1017</v>
      </c>
      <c r="D404" s="622">
        <v>427</v>
      </c>
      <c r="E404" s="622">
        <v>299</v>
      </c>
      <c r="F404" s="622">
        <v>351</v>
      </c>
      <c r="G404" s="622">
        <v>813</v>
      </c>
      <c r="H404" s="624">
        <v>1890</v>
      </c>
      <c r="K404" s="100"/>
      <c r="L404" s="596"/>
      <c r="M404" s="596"/>
      <c r="O404" s="85"/>
      <c r="P404" s="85"/>
    </row>
    <row r="405" spans="1:16" ht="12.75">
      <c r="A405" s="599"/>
      <c r="B405" s="619" t="s">
        <v>61</v>
      </c>
      <c r="C405" s="620"/>
      <c r="D405" s="618">
        <v>1157</v>
      </c>
      <c r="E405" s="644">
        <v>811</v>
      </c>
      <c r="F405" s="644">
        <v>973</v>
      </c>
      <c r="G405" s="618">
        <v>2290</v>
      </c>
      <c r="H405" s="618">
        <v>5231</v>
      </c>
      <c r="K405" s="100"/>
      <c r="L405" s="596"/>
      <c r="M405" s="596"/>
      <c r="O405" s="85"/>
      <c r="P405" s="85"/>
    </row>
    <row r="406" spans="1:16" ht="12.75">
      <c r="A406" s="567">
        <v>352</v>
      </c>
      <c r="B406" s="270" t="s">
        <v>61</v>
      </c>
      <c r="C406" s="270" t="s">
        <v>1342</v>
      </c>
      <c r="D406" s="622">
        <v>12</v>
      </c>
      <c r="E406" s="622">
        <v>8</v>
      </c>
      <c r="F406" s="622">
        <v>13</v>
      </c>
      <c r="G406" s="622">
        <v>39</v>
      </c>
      <c r="H406" s="625">
        <v>72</v>
      </c>
      <c r="K406" s="100"/>
      <c r="L406" s="596"/>
      <c r="M406" s="596"/>
      <c r="O406" s="85"/>
      <c r="P406" s="85"/>
    </row>
    <row r="407" spans="1:16" ht="12.75">
      <c r="A407" s="567">
        <v>353</v>
      </c>
      <c r="B407" s="270" t="s">
        <v>61</v>
      </c>
      <c r="C407" s="270" t="s">
        <v>1343</v>
      </c>
      <c r="D407" s="622">
        <v>109</v>
      </c>
      <c r="E407" s="622">
        <v>76</v>
      </c>
      <c r="F407" s="622">
        <v>90</v>
      </c>
      <c r="G407" s="622">
        <v>208</v>
      </c>
      <c r="H407" s="625">
        <v>483</v>
      </c>
      <c r="K407" s="100"/>
      <c r="L407" s="596"/>
      <c r="M407" s="596"/>
      <c r="O407" s="85"/>
      <c r="P407" s="85"/>
    </row>
    <row r="408" spans="1:16" ht="12.75">
      <c r="A408" s="567">
        <v>354</v>
      </c>
      <c r="B408" s="270" t="s">
        <v>61</v>
      </c>
      <c r="C408" s="270" t="s">
        <v>1017</v>
      </c>
      <c r="D408" s="623">
        <v>1036</v>
      </c>
      <c r="E408" s="622">
        <v>727</v>
      </c>
      <c r="F408" s="622">
        <v>870</v>
      </c>
      <c r="G408" s="623">
        <v>2043</v>
      </c>
      <c r="H408" s="624">
        <v>4676</v>
      </c>
      <c r="K408" s="100"/>
      <c r="L408" s="596"/>
      <c r="M408" s="596"/>
      <c r="O408" s="85"/>
      <c r="P408" s="85"/>
    </row>
    <row r="409" spans="1:16" ht="15">
      <c r="A409" s="599"/>
      <c r="B409" s="626" t="s">
        <v>985</v>
      </c>
      <c r="C409" s="627"/>
      <c r="D409" s="639">
        <v>2514</v>
      </c>
      <c r="E409" s="639">
        <v>1642</v>
      </c>
      <c r="F409" s="639">
        <v>1903</v>
      </c>
      <c r="G409" s="639">
        <v>4371</v>
      </c>
      <c r="H409" s="639">
        <v>10430</v>
      </c>
      <c r="K409" s="100"/>
      <c r="L409" s="596"/>
      <c r="M409" s="596"/>
      <c r="O409" s="85"/>
      <c r="P409" s="85"/>
    </row>
    <row r="410" spans="1:16" ht="12.75">
      <c r="A410" s="599"/>
      <c r="B410" s="648"/>
      <c r="C410" s="629" t="s">
        <v>1344</v>
      </c>
      <c r="D410" s="630">
        <v>1780</v>
      </c>
      <c r="E410" s="630">
        <v>1162</v>
      </c>
      <c r="F410" s="630">
        <v>1348</v>
      </c>
      <c r="G410" s="630">
        <v>3096</v>
      </c>
      <c r="H410" s="630">
        <v>7386</v>
      </c>
      <c r="K410" s="100"/>
      <c r="L410" s="596"/>
      <c r="M410" s="596"/>
      <c r="O410" s="85"/>
      <c r="P410" s="85"/>
    </row>
    <row r="411" spans="1:16" ht="12.75">
      <c r="A411" s="599"/>
      <c r="B411" s="649"/>
      <c r="C411" s="632" t="s">
        <v>1345</v>
      </c>
      <c r="D411" s="641">
        <v>734</v>
      </c>
      <c r="E411" s="641">
        <v>480</v>
      </c>
      <c r="F411" s="641">
        <v>555</v>
      </c>
      <c r="G411" s="630">
        <v>1275</v>
      </c>
      <c r="H411" s="630">
        <v>3044</v>
      </c>
      <c r="K411" s="100"/>
      <c r="L411" s="596"/>
      <c r="M411" s="596"/>
      <c r="O411" s="85"/>
      <c r="P411" s="85"/>
    </row>
    <row r="412" spans="1:16" ht="12.75">
      <c r="A412" s="599"/>
      <c r="B412" s="619" t="s">
        <v>60</v>
      </c>
      <c r="C412" s="620"/>
      <c r="D412" s="618">
        <v>1780</v>
      </c>
      <c r="E412" s="618">
        <v>1162</v>
      </c>
      <c r="F412" s="618">
        <v>1348</v>
      </c>
      <c r="G412" s="618">
        <v>3096</v>
      </c>
      <c r="H412" s="618">
        <v>7386</v>
      </c>
      <c r="K412" s="100"/>
      <c r="L412" s="596"/>
      <c r="M412" s="596"/>
      <c r="O412" s="85"/>
      <c r="P412" s="85"/>
    </row>
    <row r="413" spans="1:16" ht="12.75">
      <c r="A413" s="567">
        <v>355</v>
      </c>
      <c r="B413" s="270" t="s">
        <v>60</v>
      </c>
      <c r="C413" s="270" t="s">
        <v>1346</v>
      </c>
      <c r="D413" s="650">
        <v>7</v>
      </c>
      <c r="E413" s="650">
        <v>5</v>
      </c>
      <c r="F413" s="650">
        <v>6</v>
      </c>
      <c r="G413" s="650">
        <v>13</v>
      </c>
      <c r="H413" s="651">
        <v>31</v>
      </c>
      <c r="K413" s="100"/>
      <c r="L413" s="596"/>
      <c r="M413" s="596"/>
      <c r="O413" s="85"/>
      <c r="P413" s="85"/>
    </row>
    <row r="414" spans="1:16" ht="12.75">
      <c r="A414" s="567">
        <v>356</v>
      </c>
      <c r="B414" s="270" t="s">
        <v>60</v>
      </c>
      <c r="C414" s="270" t="s">
        <v>1347</v>
      </c>
      <c r="D414" s="650">
        <v>7</v>
      </c>
      <c r="E414" s="650">
        <v>4</v>
      </c>
      <c r="F414" s="650">
        <v>5</v>
      </c>
      <c r="G414" s="650">
        <v>11</v>
      </c>
      <c r="H414" s="651">
        <v>27</v>
      </c>
      <c r="K414" s="100"/>
      <c r="L414" s="596"/>
      <c r="M414" s="596"/>
      <c r="O414" s="85"/>
      <c r="P414" s="85"/>
    </row>
    <row r="415" spans="1:16" ht="12.75">
      <c r="A415" s="567">
        <v>357</v>
      </c>
      <c r="B415" s="270" t="s">
        <v>60</v>
      </c>
      <c r="C415" s="270" t="s">
        <v>1348</v>
      </c>
      <c r="D415" s="650">
        <v>71</v>
      </c>
      <c r="E415" s="650">
        <v>46</v>
      </c>
      <c r="F415" s="650">
        <v>53</v>
      </c>
      <c r="G415" s="650">
        <v>123</v>
      </c>
      <c r="H415" s="651">
        <v>293</v>
      </c>
      <c r="K415" s="100"/>
      <c r="L415" s="596"/>
      <c r="M415" s="596"/>
      <c r="O415" s="85"/>
      <c r="P415" s="85"/>
    </row>
    <row r="416" spans="1:16" ht="12.75">
      <c r="A416" s="567">
        <v>358</v>
      </c>
      <c r="B416" s="270" t="s">
        <v>60</v>
      </c>
      <c r="C416" s="270" t="s">
        <v>1349</v>
      </c>
      <c r="D416" s="650">
        <v>87</v>
      </c>
      <c r="E416" s="650">
        <v>57</v>
      </c>
      <c r="F416" s="650">
        <v>66</v>
      </c>
      <c r="G416" s="650">
        <v>153</v>
      </c>
      <c r="H416" s="651">
        <v>363</v>
      </c>
      <c r="K416" s="100"/>
      <c r="L416" s="596"/>
      <c r="M416" s="596"/>
      <c r="O416" s="85"/>
      <c r="P416" s="85"/>
    </row>
    <row r="417" spans="1:16" ht="12.75">
      <c r="A417" s="567">
        <v>359</v>
      </c>
      <c r="B417" s="270" t="s">
        <v>60</v>
      </c>
      <c r="C417" s="270" t="s">
        <v>1350</v>
      </c>
      <c r="D417" s="650">
        <v>43</v>
      </c>
      <c r="E417" s="650">
        <v>28</v>
      </c>
      <c r="F417" s="650">
        <v>33</v>
      </c>
      <c r="G417" s="650">
        <v>76</v>
      </c>
      <c r="H417" s="651">
        <v>180</v>
      </c>
      <c r="K417" s="100"/>
      <c r="L417" s="596"/>
      <c r="M417" s="596"/>
      <c r="O417" s="85"/>
      <c r="P417" s="85"/>
    </row>
    <row r="418" spans="1:16" ht="12.75">
      <c r="A418" s="567">
        <v>360</v>
      </c>
      <c r="B418" s="270" t="s">
        <v>60</v>
      </c>
      <c r="C418" s="270" t="s">
        <v>1351</v>
      </c>
      <c r="D418" s="650">
        <v>315</v>
      </c>
      <c r="E418" s="650">
        <v>206</v>
      </c>
      <c r="F418" s="650">
        <v>239</v>
      </c>
      <c r="G418" s="650">
        <v>548</v>
      </c>
      <c r="H418" s="651">
        <v>1308</v>
      </c>
      <c r="K418" s="100"/>
      <c r="L418" s="596"/>
      <c r="M418" s="596"/>
      <c r="O418" s="85"/>
      <c r="P418" s="85"/>
    </row>
    <row r="419" spans="1:16" ht="12.75">
      <c r="A419" s="567">
        <v>361</v>
      </c>
      <c r="B419" s="270" t="s">
        <v>60</v>
      </c>
      <c r="C419" s="270" t="s">
        <v>60</v>
      </c>
      <c r="D419" s="650">
        <v>157</v>
      </c>
      <c r="E419" s="650">
        <v>102</v>
      </c>
      <c r="F419" s="650">
        <v>119</v>
      </c>
      <c r="G419" s="650">
        <v>272</v>
      </c>
      <c r="H419" s="651">
        <v>650</v>
      </c>
      <c r="K419" s="100"/>
      <c r="L419" s="596"/>
      <c r="M419" s="596"/>
      <c r="O419" s="85"/>
      <c r="P419" s="85"/>
    </row>
    <row r="420" spans="1:16" ht="12.75">
      <c r="A420" s="567">
        <v>362</v>
      </c>
      <c r="B420" s="270" t="s">
        <v>60</v>
      </c>
      <c r="C420" s="270" t="s">
        <v>1352</v>
      </c>
      <c r="D420" s="650">
        <v>28</v>
      </c>
      <c r="E420" s="650">
        <v>18</v>
      </c>
      <c r="F420" s="650">
        <v>21</v>
      </c>
      <c r="G420" s="650">
        <v>48</v>
      </c>
      <c r="H420" s="651">
        <v>115</v>
      </c>
      <c r="K420" s="100"/>
      <c r="L420" s="596"/>
      <c r="M420" s="596"/>
      <c r="O420" s="85"/>
      <c r="P420" s="85"/>
    </row>
    <row r="421" spans="1:16" ht="12.75">
      <c r="A421" s="567">
        <v>363</v>
      </c>
      <c r="B421" s="270" t="s">
        <v>60</v>
      </c>
      <c r="C421" s="270" t="s">
        <v>1353</v>
      </c>
      <c r="D421" s="650">
        <v>537</v>
      </c>
      <c r="E421" s="650">
        <v>351</v>
      </c>
      <c r="F421" s="650">
        <v>407</v>
      </c>
      <c r="G421" s="650">
        <v>934</v>
      </c>
      <c r="H421" s="651">
        <v>2229</v>
      </c>
      <c r="K421" s="100"/>
      <c r="L421" s="596"/>
      <c r="M421" s="596"/>
      <c r="O421" s="85"/>
      <c r="P421" s="85"/>
    </row>
    <row r="422" spans="1:16" ht="12.75">
      <c r="A422" s="567">
        <v>364</v>
      </c>
      <c r="B422" s="270" t="s">
        <v>60</v>
      </c>
      <c r="C422" s="270" t="s">
        <v>1354</v>
      </c>
      <c r="D422" s="650">
        <v>13</v>
      </c>
      <c r="E422" s="650">
        <v>9</v>
      </c>
      <c r="F422" s="650">
        <v>10</v>
      </c>
      <c r="G422" s="650">
        <v>23</v>
      </c>
      <c r="H422" s="651">
        <v>55</v>
      </c>
      <c r="K422" s="100"/>
      <c r="L422" s="596"/>
      <c r="M422" s="596"/>
      <c r="O422" s="85"/>
      <c r="P422" s="85"/>
    </row>
    <row r="423" spans="1:16" ht="12.75">
      <c r="A423" s="567">
        <v>365</v>
      </c>
      <c r="B423" s="270" t="s">
        <v>60</v>
      </c>
      <c r="C423" s="270" t="s">
        <v>1355</v>
      </c>
      <c r="D423" s="650">
        <v>95</v>
      </c>
      <c r="E423" s="650">
        <v>62</v>
      </c>
      <c r="F423" s="650">
        <v>72</v>
      </c>
      <c r="G423" s="650">
        <v>164</v>
      </c>
      <c r="H423" s="651">
        <v>393</v>
      </c>
      <c r="K423" s="100"/>
      <c r="L423" s="596"/>
      <c r="M423" s="596"/>
      <c r="O423" s="85"/>
      <c r="P423" s="85"/>
    </row>
    <row r="424" spans="1:16" ht="12.75">
      <c r="A424" s="567">
        <v>366</v>
      </c>
      <c r="B424" s="270" t="s">
        <v>60</v>
      </c>
      <c r="C424" s="270" t="s">
        <v>1356</v>
      </c>
      <c r="D424" s="650">
        <v>46</v>
      </c>
      <c r="E424" s="650">
        <v>30</v>
      </c>
      <c r="F424" s="650">
        <v>35</v>
      </c>
      <c r="G424" s="650">
        <v>80</v>
      </c>
      <c r="H424" s="651">
        <v>191</v>
      </c>
      <c r="K424" s="100"/>
      <c r="L424" s="596"/>
      <c r="M424" s="596"/>
      <c r="O424" s="85"/>
      <c r="P424" s="85"/>
    </row>
    <row r="425" spans="1:16" ht="12.75">
      <c r="A425" s="567">
        <v>367</v>
      </c>
      <c r="B425" s="270" t="s">
        <v>60</v>
      </c>
      <c r="C425" s="270" t="s">
        <v>1017</v>
      </c>
      <c r="D425" s="650">
        <v>374</v>
      </c>
      <c r="E425" s="650">
        <v>244</v>
      </c>
      <c r="F425" s="650">
        <v>282</v>
      </c>
      <c r="G425" s="650">
        <v>651</v>
      </c>
      <c r="H425" s="651">
        <v>1551</v>
      </c>
      <c r="K425" s="100"/>
      <c r="L425" s="596"/>
      <c r="M425" s="596"/>
      <c r="O425" s="85"/>
      <c r="P425" s="85"/>
    </row>
    <row r="426" spans="1:16" ht="12.75">
      <c r="A426" s="599"/>
      <c r="B426" s="619" t="s">
        <v>82</v>
      </c>
      <c r="C426" s="620"/>
      <c r="D426" s="644">
        <v>734</v>
      </c>
      <c r="E426" s="644">
        <v>480</v>
      </c>
      <c r="F426" s="644">
        <v>555</v>
      </c>
      <c r="G426" s="618">
        <v>1275</v>
      </c>
      <c r="H426" s="618">
        <v>3044</v>
      </c>
      <c r="K426" s="100"/>
      <c r="L426" s="596"/>
      <c r="M426" s="596"/>
      <c r="O426" s="85"/>
      <c r="P426" s="85"/>
    </row>
    <row r="427" spans="1:16" ht="12.75">
      <c r="A427" s="567">
        <v>368</v>
      </c>
      <c r="B427" s="270" t="s">
        <v>82</v>
      </c>
      <c r="C427" s="270" t="s">
        <v>1357</v>
      </c>
      <c r="D427" s="650">
        <v>34</v>
      </c>
      <c r="E427" s="650">
        <v>23</v>
      </c>
      <c r="F427" s="650">
        <v>26</v>
      </c>
      <c r="G427" s="650">
        <v>60</v>
      </c>
      <c r="H427" s="625">
        <v>143</v>
      </c>
      <c r="K427" s="100"/>
      <c r="L427" s="596"/>
      <c r="M427" s="596"/>
      <c r="O427" s="85"/>
      <c r="P427" s="85"/>
    </row>
    <row r="428" spans="1:16" ht="12.75">
      <c r="A428" s="567">
        <v>369</v>
      </c>
      <c r="B428" s="270" t="s">
        <v>82</v>
      </c>
      <c r="C428" s="270" t="s">
        <v>82</v>
      </c>
      <c r="D428" s="650">
        <v>180</v>
      </c>
      <c r="E428" s="650">
        <v>118</v>
      </c>
      <c r="F428" s="650">
        <v>136</v>
      </c>
      <c r="G428" s="650">
        <v>313</v>
      </c>
      <c r="H428" s="625">
        <v>747</v>
      </c>
      <c r="K428" s="100"/>
      <c r="L428" s="596"/>
      <c r="M428" s="596"/>
      <c r="O428" s="85"/>
      <c r="P428" s="85"/>
    </row>
    <row r="429" spans="1:16" ht="12.75">
      <c r="A429" s="567">
        <v>370</v>
      </c>
      <c r="B429" s="270" t="s">
        <v>82</v>
      </c>
      <c r="C429" s="270" t="s">
        <v>1358</v>
      </c>
      <c r="D429" s="650">
        <v>34</v>
      </c>
      <c r="E429" s="650">
        <v>22</v>
      </c>
      <c r="F429" s="650">
        <v>26</v>
      </c>
      <c r="G429" s="650">
        <v>58</v>
      </c>
      <c r="H429" s="625">
        <v>140</v>
      </c>
      <c r="K429" s="100"/>
      <c r="L429" s="596"/>
      <c r="M429" s="596"/>
      <c r="O429" s="85"/>
      <c r="P429" s="85"/>
    </row>
    <row r="430" spans="1:16" ht="12.75">
      <c r="A430" s="567">
        <v>371</v>
      </c>
      <c r="B430" s="270" t="s">
        <v>82</v>
      </c>
      <c r="C430" s="270" t="s">
        <v>1359</v>
      </c>
      <c r="D430" s="650">
        <v>169</v>
      </c>
      <c r="E430" s="650">
        <v>110</v>
      </c>
      <c r="F430" s="650">
        <v>128</v>
      </c>
      <c r="G430" s="650">
        <v>293</v>
      </c>
      <c r="H430" s="625">
        <v>700</v>
      </c>
      <c r="K430" s="100"/>
      <c r="L430" s="596"/>
      <c r="M430" s="596"/>
      <c r="O430" s="85"/>
      <c r="P430" s="85"/>
    </row>
    <row r="431" spans="1:16" ht="12.75">
      <c r="A431" s="567">
        <v>372</v>
      </c>
      <c r="B431" s="270" t="s">
        <v>82</v>
      </c>
      <c r="C431" s="270" t="s">
        <v>1017</v>
      </c>
      <c r="D431" s="650">
        <v>317</v>
      </c>
      <c r="E431" s="650">
        <v>207</v>
      </c>
      <c r="F431" s="650">
        <v>239</v>
      </c>
      <c r="G431" s="650">
        <v>551</v>
      </c>
      <c r="H431" s="624">
        <v>1314</v>
      </c>
      <c r="K431" s="100"/>
      <c r="L431" s="596"/>
      <c r="M431" s="596"/>
      <c r="O431" s="85"/>
      <c r="P431" s="85"/>
    </row>
    <row r="432" spans="1:16" ht="12.75">
      <c r="A432" s="599"/>
      <c r="B432" s="652" t="s">
        <v>1360</v>
      </c>
      <c r="C432" s="627"/>
      <c r="D432" s="644">
        <v>520</v>
      </c>
      <c r="E432" s="644">
        <v>315</v>
      </c>
      <c r="F432" s="644">
        <v>430</v>
      </c>
      <c r="G432" s="644">
        <v>929</v>
      </c>
      <c r="H432" s="618">
        <v>2194</v>
      </c>
      <c r="K432" s="100"/>
      <c r="L432" s="596"/>
      <c r="M432" s="596"/>
      <c r="O432" s="85"/>
      <c r="P432" s="85"/>
    </row>
    <row r="433" spans="1:16" ht="12.75">
      <c r="A433" s="567">
        <v>373</v>
      </c>
      <c r="B433" s="270" t="s">
        <v>88</v>
      </c>
      <c r="C433" s="270" t="s">
        <v>1361</v>
      </c>
      <c r="D433" s="650">
        <v>312</v>
      </c>
      <c r="E433" s="650">
        <v>189</v>
      </c>
      <c r="F433" s="650">
        <v>258</v>
      </c>
      <c r="G433" s="650">
        <v>557</v>
      </c>
      <c r="H433" s="624">
        <v>1316</v>
      </c>
      <c r="K433" s="100"/>
      <c r="L433" s="596"/>
      <c r="M433" s="596"/>
      <c r="O433" s="85"/>
      <c r="P433" s="85"/>
    </row>
    <row r="434" spans="1:16" ht="12.75">
      <c r="A434" s="567">
        <v>374</v>
      </c>
      <c r="B434" s="270" t="s">
        <v>88</v>
      </c>
      <c r="C434" s="270" t="s">
        <v>1362</v>
      </c>
      <c r="D434" s="650">
        <v>198</v>
      </c>
      <c r="E434" s="650">
        <v>120</v>
      </c>
      <c r="F434" s="650">
        <v>164</v>
      </c>
      <c r="G434" s="650">
        <v>355</v>
      </c>
      <c r="H434" s="625">
        <v>837</v>
      </c>
      <c r="K434" s="100"/>
      <c r="L434" s="596"/>
      <c r="M434" s="596"/>
      <c r="O434" s="85"/>
      <c r="P434" s="85"/>
    </row>
    <row r="435" spans="1:16" ht="12.75">
      <c r="A435" s="567">
        <v>375</v>
      </c>
      <c r="B435" s="270" t="s">
        <v>88</v>
      </c>
      <c r="C435" s="270" t="s">
        <v>1017</v>
      </c>
      <c r="D435" s="650">
        <v>10</v>
      </c>
      <c r="E435" s="650">
        <v>6</v>
      </c>
      <c r="F435" s="650">
        <v>8</v>
      </c>
      <c r="G435" s="650">
        <v>17</v>
      </c>
      <c r="H435" s="625">
        <v>41</v>
      </c>
      <c r="K435" s="100"/>
      <c r="L435" s="596"/>
      <c r="M435" s="596"/>
      <c r="O435" s="85"/>
      <c r="P435" s="85"/>
    </row>
    <row r="436" spans="1:16" ht="12.75">
      <c r="A436" s="599"/>
      <c r="B436" s="652" t="s">
        <v>1363</v>
      </c>
      <c r="C436" s="607"/>
      <c r="D436" s="618">
        <v>10535</v>
      </c>
      <c r="E436" s="618">
        <v>6470</v>
      </c>
      <c r="F436" s="618">
        <v>6635</v>
      </c>
      <c r="G436" s="618">
        <v>17830</v>
      </c>
      <c r="H436" s="618">
        <v>41470</v>
      </c>
      <c r="K436" s="100"/>
      <c r="L436" s="596"/>
      <c r="M436" s="596"/>
      <c r="O436" s="85"/>
      <c r="P436" s="85"/>
    </row>
    <row r="437" spans="1:16" ht="12.75">
      <c r="A437" s="567">
        <v>376</v>
      </c>
      <c r="B437" s="270" t="s">
        <v>46</v>
      </c>
      <c r="C437" s="270" t="s">
        <v>1364</v>
      </c>
      <c r="D437" s="650">
        <v>2321</v>
      </c>
      <c r="E437" s="650">
        <v>1145</v>
      </c>
      <c r="F437" s="650">
        <v>1018</v>
      </c>
      <c r="G437" s="650">
        <v>1844</v>
      </c>
      <c r="H437" s="624">
        <v>6328</v>
      </c>
      <c r="K437" s="100"/>
      <c r="L437" s="596"/>
      <c r="M437" s="596"/>
      <c r="O437" s="85"/>
      <c r="P437" s="85"/>
    </row>
    <row r="438" spans="1:16" ht="12.75">
      <c r="A438" s="567">
        <v>377</v>
      </c>
      <c r="B438" s="270" t="s">
        <v>46</v>
      </c>
      <c r="C438" s="270" t="s">
        <v>1365</v>
      </c>
      <c r="D438" s="650">
        <v>150</v>
      </c>
      <c r="E438" s="650">
        <v>115</v>
      </c>
      <c r="F438" s="650">
        <v>123</v>
      </c>
      <c r="G438" s="650">
        <v>201</v>
      </c>
      <c r="H438" s="625">
        <v>589</v>
      </c>
      <c r="K438" s="100"/>
      <c r="L438" s="596"/>
      <c r="M438" s="596"/>
      <c r="O438" s="85"/>
      <c r="P438" s="85"/>
    </row>
    <row r="439" spans="1:16" ht="12.75">
      <c r="A439" s="567">
        <v>378</v>
      </c>
      <c r="B439" s="270" t="s">
        <v>46</v>
      </c>
      <c r="C439" s="270" t="s">
        <v>1366</v>
      </c>
      <c r="D439" s="650">
        <v>128</v>
      </c>
      <c r="E439" s="650">
        <v>169</v>
      </c>
      <c r="F439" s="650">
        <v>204</v>
      </c>
      <c r="G439" s="650">
        <v>211</v>
      </c>
      <c r="H439" s="625">
        <v>712</v>
      </c>
      <c r="K439" s="100"/>
      <c r="L439" s="596"/>
      <c r="M439" s="596"/>
      <c r="O439" s="85"/>
      <c r="P439" s="85"/>
    </row>
    <row r="440" spans="1:16" ht="12.75">
      <c r="A440" s="567">
        <v>379</v>
      </c>
      <c r="B440" s="270" t="s">
        <v>46</v>
      </c>
      <c r="C440" s="270" t="s">
        <v>1367</v>
      </c>
      <c r="D440" s="650">
        <v>123</v>
      </c>
      <c r="E440" s="650">
        <v>83</v>
      </c>
      <c r="F440" s="650">
        <v>75</v>
      </c>
      <c r="G440" s="650">
        <v>243</v>
      </c>
      <c r="H440" s="625">
        <v>524</v>
      </c>
      <c r="K440" s="100"/>
      <c r="L440" s="596"/>
      <c r="M440" s="596"/>
      <c r="O440" s="85"/>
      <c r="P440" s="85"/>
    </row>
    <row r="441" spans="1:16" ht="12.75">
      <c r="A441" s="567">
        <v>380</v>
      </c>
      <c r="B441" s="270" t="s">
        <v>46</v>
      </c>
      <c r="C441" s="270" t="s">
        <v>46</v>
      </c>
      <c r="D441" s="650">
        <v>5666</v>
      </c>
      <c r="E441" s="650">
        <v>3289</v>
      </c>
      <c r="F441" s="650">
        <v>3571</v>
      </c>
      <c r="G441" s="650">
        <v>11039</v>
      </c>
      <c r="H441" s="624">
        <v>23565</v>
      </c>
      <c r="K441" s="100"/>
      <c r="L441" s="596"/>
      <c r="M441" s="596"/>
      <c r="O441" s="85"/>
      <c r="P441" s="85"/>
    </row>
    <row r="442" spans="1:16" ht="12.75">
      <c r="A442" s="567">
        <v>381</v>
      </c>
      <c r="B442" s="270" t="s">
        <v>46</v>
      </c>
      <c r="C442" s="270" t="s">
        <v>1368</v>
      </c>
      <c r="D442" s="650">
        <v>87</v>
      </c>
      <c r="E442" s="650">
        <v>107</v>
      </c>
      <c r="F442" s="650">
        <v>106</v>
      </c>
      <c r="G442" s="650">
        <v>124</v>
      </c>
      <c r="H442" s="625">
        <v>424</v>
      </c>
      <c r="K442" s="100"/>
      <c r="L442" s="596"/>
      <c r="M442" s="596"/>
      <c r="O442" s="85"/>
      <c r="P442" s="85"/>
    </row>
    <row r="443" spans="1:16" ht="12.75">
      <c r="A443" s="567">
        <v>382</v>
      </c>
      <c r="B443" s="270" t="s">
        <v>46</v>
      </c>
      <c r="C443" s="270" t="s">
        <v>1369</v>
      </c>
      <c r="D443" s="650">
        <v>238</v>
      </c>
      <c r="E443" s="650">
        <v>211</v>
      </c>
      <c r="F443" s="650">
        <v>202</v>
      </c>
      <c r="G443" s="650">
        <v>258</v>
      </c>
      <c r="H443" s="625">
        <v>909</v>
      </c>
      <c r="K443" s="100"/>
      <c r="L443" s="596"/>
      <c r="M443" s="596"/>
      <c r="O443" s="85"/>
      <c r="P443" s="85"/>
    </row>
    <row r="444" spans="1:16" ht="12.75">
      <c r="A444" s="567">
        <v>383</v>
      </c>
      <c r="B444" s="270" t="s">
        <v>46</v>
      </c>
      <c r="C444" s="270" t="s">
        <v>1370</v>
      </c>
      <c r="D444" s="650">
        <v>113</v>
      </c>
      <c r="E444" s="650">
        <v>70</v>
      </c>
      <c r="F444" s="650">
        <v>60</v>
      </c>
      <c r="G444" s="650">
        <v>131</v>
      </c>
      <c r="H444" s="625">
        <v>374</v>
      </c>
      <c r="K444" s="100"/>
      <c r="L444" s="596"/>
      <c r="M444" s="596"/>
      <c r="O444" s="85"/>
      <c r="P444" s="85"/>
    </row>
    <row r="445" spans="1:16" ht="12.75">
      <c r="A445" s="567">
        <v>384</v>
      </c>
      <c r="B445" s="270" t="s">
        <v>46</v>
      </c>
      <c r="C445" s="270" t="s">
        <v>1371</v>
      </c>
      <c r="D445" s="650">
        <v>80</v>
      </c>
      <c r="E445" s="650">
        <v>56</v>
      </c>
      <c r="F445" s="650">
        <v>77</v>
      </c>
      <c r="G445" s="650">
        <v>341</v>
      </c>
      <c r="H445" s="625">
        <v>554</v>
      </c>
      <c r="K445" s="100"/>
      <c r="L445" s="596"/>
      <c r="M445" s="596"/>
      <c r="O445" s="85"/>
      <c r="P445" s="85"/>
    </row>
    <row r="446" spans="1:16" ht="12.75">
      <c r="A446" s="567">
        <v>385</v>
      </c>
      <c r="B446" s="270" t="s">
        <v>46</v>
      </c>
      <c r="C446" s="270" t="s">
        <v>1372</v>
      </c>
      <c r="D446" s="650">
        <v>111</v>
      </c>
      <c r="E446" s="650">
        <v>86</v>
      </c>
      <c r="F446" s="650">
        <v>105</v>
      </c>
      <c r="G446" s="650">
        <v>367</v>
      </c>
      <c r="H446" s="625">
        <v>669</v>
      </c>
      <c r="K446" s="100"/>
      <c r="L446" s="596"/>
      <c r="M446" s="596"/>
      <c r="O446" s="85"/>
      <c r="P446" s="85"/>
    </row>
    <row r="447" spans="1:16" ht="12.75">
      <c r="A447" s="567">
        <v>386</v>
      </c>
      <c r="B447" s="270" t="s">
        <v>46</v>
      </c>
      <c r="C447" s="270" t="s">
        <v>1373</v>
      </c>
      <c r="D447" s="650">
        <v>110</v>
      </c>
      <c r="E447" s="650">
        <v>82</v>
      </c>
      <c r="F447" s="650">
        <v>77</v>
      </c>
      <c r="G447" s="650">
        <v>319</v>
      </c>
      <c r="H447" s="625">
        <v>588</v>
      </c>
      <c r="K447" s="100"/>
      <c r="L447" s="596"/>
      <c r="M447" s="596"/>
      <c r="O447" s="85"/>
      <c r="P447" s="85"/>
    </row>
    <row r="448" spans="1:16" ht="12.75">
      <c r="A448" s="567">
        <v>387</v>
      </c>
      <c r="B448" s="270" t="s">
        <v>46</v>
      </c>
      <c r="C448" s="270" t="s">
        <v>1374</v>
      </c>
      <c r="D448" s="650">
        <v>393</v>
      </c>
      <c r="E448" s="650">
        <v>204</v>
      </c>
      <c r="F448" s="650">
        <v>161</v>
      </c>
      <c r="G448" s="650">
        <v>553</v>
      </c>
      <c r="H448" s="624">
        <v>1311</v>
      </c>
      <c r="K448" s="100"/>
      <c r="L448" s="596"/>
      <c r="M448" s="596"/>
      <c r="O448" s="85"/>
      <c r="P448" s="85"/>
    </row>
    <row r="449" spans="1:16" ht="12.75">
      <c r="A449" s="567">
        <v>388</v>
      </c>
      <c r="B449" s="270" t="s">
        <v>46</v>
      </c>
      <c r="C449" s="270" t="s">
        <v>44</v>
      </c>
      <c r="D449" s="650">
        <v>103</v>
      </c>
      <c r="E449" s="650">
        <v>36</v>
      </c>
      <c r="F449" s="650">
        <v>35</v>
      </c>
      <c r="G449" s="650">
        <v>204</v>
      </c>
      <c r="H449" s="625">
        <v>378</v>
      </c>
      <c r="K449" s="100"/>
      <c r="L449" s="596"/>
      <c r="M449" s="596"/>
      <c r="O449" s="85"/>
      <c r="P449" s="85"/>
    </row>
    <row r="450" spans="1:16" ht="12.75">
      <c r="A450" s="567">
        <v>389</v>
      </c>
      <c r="B450" s="270" t="s">
        <v>46</v>
      </c>
      <c r="C450" s="270" t="s">
        <v>1375</v>
      </c>
      <c r="D450" s="650">
        <v>312</v>
      </c>
      <c r="E450" s="650">
        <v>175</v>
      </c>
      <c r="F450" s="650">
        <v>163</v>
      </c>
      <c r="G450" s="650">
        <v>568</v>
      </c>
      <c r="H450" s="624">
        <v>1218</v>
      </c>
      <c r="K450" s="100"/>
      <c r="L450" s="596"/>
      <c r="M450" s="596"/>
      <c r="O450" s="85"/>
      <c r="P450" s="85"/>
    </row>
    <row r="451" spans="1:16" ht="12.75">
      <c r="A451" s="567">
        <v>390</v>
      </c>
      <c r="B451" s="270" t="s">
        <v>46</v>
      </c>
      <c r="C451" s="270" t="s">
        <v>1376</v>
      </c>
      <c r="D451" s="650">
        <v>140</v>
      </c>
      <c r="E451" s="650">
        <v>115</v>
      </c>
      <c r="F451" s="650">
        <v>69</v>
      </c>
      <c r="G451" s="650">
        <v>281</v>
      </c>
      <c r="H451" s="625">
        <v>605</v>
      </c>
      <c r="K451" s="100"/>
      <c r="L451" s="596"/>
      <c r="M451" s="596"/>
      <c r="O451" s="85"/>
      <c r="P451" s="85"/>
    </row>
    <row r="452" spans="1:16" ht="12.75">
      <c r="A452" s="567">
        <v>391</v>
      </c>
      <c r="B452" s="270" t="s">
        <v>46</v>
      </c>
      <c r="C452" s="270" t="s">
        <v>1017</v>
      </c>
      <c r="D452" s="650">
        <v>460</v>
      </c>
      <c r="E452" s="650">
        <v>527</v>
      </c>
      <c r="F452" s="650">
        <v>589</v>
      </c>
      <c r="G452" s="650">
        <v>1146</v>
      </c>
      <c r="H452" s="624">
        <v>2722</v>
      </c>
      <c r="K452" s="100"/>
      <c r="L452" s="596"/>
      <c r="M452" s="596"/>
      <c r="O452" s="85"/>
      <c r="P452" s="85"/>
    </row>
    <row r="453" spans="1:16" ht="12.75">
      <c r="A453" s="599"/>
      <c r="B453" s="652" t="s">
        <v>1377</v>
      </c>
      <c r="C453" s="607"/>
      <c r="D453" s="618">
        <v>16851</v>
      </c>
      <c r="E453" s="618">
        <v>10554</v>
      </c>
      <c r="F453" s="618">
        <v>11234</v>
      </c>
      <c r="G453" s="618">
        <v>29034</v>
      </c>
      <c r="H453" s="618">
        <v>67673</v>
      </c>
      <c r="K453" s="100"/>
      <c r="L453" s="596"/>
      <c r="M453" s="596"/>
      <c r="O453" s="85"/>
      <c r="P453" s="85"/>
    </row>
    <row r="454" spans="1:16" ht="12.75">
      <c r="A454" s="567">
        <v>392</v>
      </c>
      <c r="B454" s="270" t="s">
        <v>40</v>
      </c>
      <c r="C454" s="270" t="s">
        <v>1378</v>
      </c>
      <c r="D454" s="650">
        <v>398</v>
      </c>
      <c r="E454" s="650">
        <v>239</v>
      </c>
      <c r="F454" s="650">
        <v>183</v>
      </c>
      <c r="G454" s="650">
        <v>349</v>
      </c>
      <c r="H454" s="624">
        <v>1169</v>
      </c>
      <c r="K454" s="100"/>
      <c r="L454" s="596"/>
      <c r="M454" s="596"/>
      <c r="O454" s="85"/>
      <c r="P454" s="85"/>
    </row>
    <row r="455" spans="1:16" ht="12.75">
      <c r="A455" s="567">
        <v>393</v>
      </c>
      <c r="B455" s="270" t="s">
        <v>40</v>
      </c>
      <c r="C455" s="270" t="s">
        <v>1379</v>
      </c>
      <c r="D455" s="650">
        <v>9706</v>
      </c>
      <c r="E455" s="650">
        <v>5800</v>
      </c>
      <c r="F455" s="650">
        <v>6453</v>
      </c>
      <c r="G455" s="650">
        <v>14331</v>
      </c>
      <c r="H455" s="624">
        <v>36290</v>
      </c>
      <c r="K455" s="100"/>
      <c r="L455" s="596"/>
      <c r="M455" s="596"/>
      <c r="O455" s="85"/>
      <c r="P455" s="85"/>
    </row>
    <row r="456" spans="1:16" ht="12.75">
      <c r="A456" s="567">
        <v>394</v>
      </c>
      <c r="B456" s="270" t="s">
        <v>40</v>
      </c>
      <c r="C456" s="270" t="s">
        <v>1380</v>
      </c>
      <c r="D456" s="650">
        <v>254</v>
      </c>
      <c r="E456" s="650">
        <v>131</v>
      </c>
      <c r="F456" s="650">
        <v>155</v>
      </c>
      <c r="G456" s="650">
        <v>726</v>
      </c>
      <c r="H456" s="624">
        <v>1266</v>
      </c>
      <c r="K456" s="100"/>
      <c r="L456" s="596"/>
      <c r="M456" s="596"/>
      <c r="O456" s="85"/>
      <c r="P456" s="85"/>
    </row>
    <row r="457" spans="1:16" ht="12.75">
      <c r="A457" s="567">
        <v>395</v>
      </c>
      <c r="B457" s="270" t="s">
        <v>40</v>
      </c>
      <c r="C457" s="270" t="s">
        <v>1381</v>
      </c>
      <c r="D457" s="650">
        <v>396</v>
      </c>
      <c r="E457" s="650">
        <v>277</v>
      </c>
      <c r="F457" s="650">
        <v>243</v>
      </c>
      <c r="G457" s="650">
        <v>546</v>
      </c>
      <c r="H457" s="624">
        <v>1462</v>
      </c>
      <c r="K457" s="100"/>
      <c r="L457" s="596"/>
      <c r="M457" s="596"/>
      <c r="O457" s="85"/>
      <c r="P457" s="85"/>
    </row>
    <row r="458" spans="1:16" ht="12.75">
      <c r="A458" s="567">
        <v>396</v>
      </c>
      <c r="B458" s="270" t="s">
        <v>40</v>
      </c>
      <c r="C458" s="270" t="s">
        <v>1382</v>
      </c>
      <c r="D458" s="650">
        <v>11</v>
      </c>
      <c r="E458" s="650">
        <v>5</v>
      </c>
      <c r="F458" s="650">
        <v>6</v>
      </c>
      <c r="G458" s="650">
        <v>14</v>
      </c>
      <c r="H458" s="625">
        <v>36</v>
      </c>
      <c r="K458" s="100"/>
      <c r="L458" s="596"/>
      <c r="M458" s="596"/>
      <c r="O458" s="85"/>
      <c r="P458" s="85"/>
    </row>
    <row r="459" spans="1:16" ht="12.75">
      <c r="A459" s="567">
        <v>397</v>
      </c>
      <c r="B459" s="270" t="s">
        <v>40</v>
      </c>
      <c r="C459" s="270" t="s">
        <v>1383</v>
      </c>
      <c r="D459" s="650">
        <v>93</v>
      </c>
      <c r="E459" s="650">
        <v>73</v>
      </c>
      <c r="F459" s="650">
        <v>66</v>
      </c>
      <c r="G459" s="650">
        <v>79</v>
      </c>
      <c r="H459" s="625">
        <v>311</v>
      </c>
      <c r="K459" s="100"/>
      <c r="L459" s="596"/>
      <c r="M459" s="596"/>
      <c r="O459" s="85"/>
      <c r="P459" s="85"/>
    </row>
    <row r="460" spans="1:16" ht="12.75">
      <c r="A460" s="567">
        <v>398</v>
      </c>
      <c r="B460" s="270" t="s">
        <v>40</v>
      </c>
      <c r="C460" s="270" t="s">
        <v>1384</v>
      </c>
      <c r="D460" s="650">
        <v>159</v>
      </c>
      <c r="E460" s="650">
        <v>131</v>
      </c>
      <c r="F460" s="650">
        <v>207</v>
      </c>
      <c r="G460" s="650">
        <v>848</v>
      </c>
      <c r="H460" s="624">
        <v>1345</v>
      </c>
      <c r="K460" s="100"/>
      <c r="L460" s="596"/>
      <c r="M460" s="596"/>
      <c r="O460" s="85"/>
      <c r="P460" s="85"/>
    </row>
    <row r="461" spans="1:16" ht="12.75">
      <c r="A461" s="567">
        <v>399</v>
      </c>
      <c r="B461" s="270" t="s">
        <v>40</v>
      </c>
      <c r="C461" s="270" t="s">
        <v>1385</v>
      </c>
      <c r="D461" s="650">
        <v>417</v>
      </c>
      <c r="E461" s="650">
        <v>426</v>
      </c>
      <c r="F461" s="650">
        <v>397</v>
      </c>
      <c r="G461" s="650">
        <v>796</v>
      </c>
      <c r="H461" s="624">
        <v>2036</v>
      </c>
      <c r="K461" s="100"/>
      <c r="L461" s="596"/>
      <c r="M461" s="596"/>
      <c r="O461" s="85"/>
      <c r="P461" s="85"/>
    </row>
    <row r="462" spans="1:16" ht="12.75">
      <c r="A462" s="567">
        <v>400</v>
      </c>
      <c r="B462" s="270" t="s">
        <v>40</v>
      </c>
      <c r="C462" s="270" t="s">
        <v>1386</v>
      </c>
      <c r="D462" s="650">
        <v>52</v>
      </c>
      <c r="E462" s="650">
        <v>26</v>
      </c>
      <c r="F462" s="650">
        <v>30</v>
      </c>
      <c r="G462" s="650">
        <v>146</v>
      </c>
      <c r="H462" s="625">
        <v>254</v>
      </c>
      <c r="K462" s="100"/>
      <c r="L462" s="596"/>
      <c r="M462" s="596"/>
      <c r="O462" s="85"/>
      <c r="P462" s="85"/>
    </row>
    <row r="463" spans="1:16" ht="12.75">
      <c r="A463" s="567">
        <v>401</v>
      </c>
      <c r="B463" s="270" t="s">
        <v>40</v>
      </c>
      <c r="C463" s="270" t="s">
        <v>1387</v>
      </c>
      <c r="D463" s="650">
        <v>127</v>
      </c>
      <c r="E463" s="650">
        <v>64</v>
      </c>
      <c r="F463" s="650">
        <v>88</v>
      </c>
      <c r="G463" s="650">
        <v>216</v>
      </c>
      <c r="H463" s="625">
        <v>495</v>
      </c>
      <c r="K463" s="100"/>
      <c r="L463" s="596"/>
      <c r="M463" s="596"/>
      <c r="O463" s="85"/>
      <c r="P463" s="85"/>
    </row>
    <row r="464" spans="1:16" ht="12.75">
      <c r="A464" s="567">
        <v>402</v>
      </c>
      <c r="B464" s="270" t="s">
        <v>40</v>
      </c>
      <c r="C464" s="270" t="s">
        <v>1388</v>
      </c>
      <c r="D464" s="650">
        <v>350</v>
      </c>
      <c r="E464" s="650">
        <v>275</v>
      </c>
      <c r="F464" s="650">
        <v>280</v>
      </c>
      <c r="G464" s="650">
        <v>521</v>
      </c>
      <c r="H464" s="624">
        <v>1426</v>
      </c>
      <c r="K464" s="100"/>
      <c r="L464" s="596"/>
      <c r="M464" s="596"/>
      <c r="O464" s="85"/>
      <c r="P464" s="85"/>
    </row>
    <row r="465" spans="1:16" ht="12.75">
      <c r="A465" s="567">
        <v>403</v>
      </c>
      <c r="B465" s="270" t="s">
        <v>40</v>
      </c>
      <c r="C465" s="270" t="s">
        <v>1017</v>
      </c>
      <c r="D465" s="650">
        <v>4888</v>
      </c>
      <c r="E465" s="650">
        <v>3107</v>
      </c>
      <c r="F465" s="650">
        <v>3126</v>
      </c>
      <c r="G465" s="650">
        <v>10462</v>
      </c>
      <c r="H465" s="624">
        <v>21583</v>
      </c>
      <c r="K465" s="100"/>
      <c r="L465" s="596"/>
      <c r="M465" s="596"/>
      <c r="O465" s="85"/>
      <c r="P465" s="85"/>
    </row>
    <row r="466" spans="1:16" ht="12.75">
      <c r="A466" s="599"/>
      <c r="B466" s="652" t="s">
        <v>1389</v>
      </c>
      <c r="C466" s="607"/>
      <c r="D466" s="618">
        <v>2495</v>
      </c>
      <c r="E466" s="618">
        <v>1720</v>
      </c>
      <c r="F466" s="618">
        <v>1710</v>
      </c>
      <c r="G466" s="618">
        <v>4395</v>
      </c>
      <c r="H466" s="618">
        <v>10320</v>
      </c>
      <c r="K466" s="100"/>
      <c r="L466" s="596"/>
      <c r="M466" s="596"/>
      <c r="O466" s="85"/>
      <c r="P466" s="85"/>
    </row>
    <row r="467" spans="1:16" ht="12.75">
      <c r="A467" s="567">
        <v>404</v>
      </c>
      <c r="B467" s="270" t="s">
        <v>51</v>
      </c>
      <c r="C467" s="270" t="s">
        <v>1390</v>
      </c>
      <c r="D467" s="650">
        <v>48</v>
      </c>
      <c r="E467" s="650">
        <v>30</v>
      </c>
      <c r="F467" s="650">
        <v>24</v>
      </c>
      <c r="G467" s="650">
        <v>82</v>
      </c>
      <c r="H467" s="625">
        <v>184</v>
      </c>
      <c r="K467" s="100"/>
      <c r="L467" s="596"/>
      <c r="M467" s="596"/>
      <c r="O467" s="85"/>
      <c r="P467" s="85"/>
    </row>
    <row r="468" spans="1:16" ht="12.75">
      <c r="A468" s="567">
        <v>405</v>
      </c>
      <c r="B468" s="270" t="s">
        <v>51</v>
      </c>
      <c r="C468" s="270" t="s">
        <v>1391</v>
      </c>
      <c r="D468" s="622">
        <v>974</v>
      </c>
      <c r="E468" s="622">
        <v>643</v>
      </c>
      <c r="F468" s="622">
        <v>708</v>
      </c>
      <c r="G468" s="623">
        <v>1638</v>
      </c>
      <c r="H468" s="624">
        <v>3963</v>
      </c>
      <c r="K468" s="100"/>
      <c r="L468" s="596"/>
      <c r="M468" s="596"/>
      <c r="O468" s="85"/>
      <c r="P468" s="85"/>
    </row>
    <row r="469" spans="1:16" ht="12.75">
      <c r="A469" s="567">
        <v>406</v>
      </c>
      <c r="B469" s="270" t="s">
        <v>51</v>
      </c>
      <c r="C469" s="270" t="s">
        <v>1392</v>
      </c>
      <c r="D469" s="622">
        <v>231</v>
      </c>
      <c r="E469" s="622">
        <v>118</v>
      </c>
      <c r="F469" s="622">
        <v>99</v>
      </c>
      <c r="G469" s="622">
        <v>321</v>
      </c>
      <c r="H469" s="625">
        <v>769</v>
      </c>
      <c r="K469" s="100"/>
      <c r="L469" s="596"/>
      <c r="M469" s="596"/>
      <c r="O469" s="85"/>
      <c r="P469" s="85"/>
    </row>
    <row r="470" spans="1:16" ht="12.75">
      <c r="A470" s="567">
        <v>407</v>
      </c>
      <c r="B470" s="270" t="s">
        <v>51</v>
      </c>
      <c r="C470" s="270" t="s">
        <v>1393</v>
      </c>
      <c r="D470" s="622">
        <v>419</v>
      </c>
      <c r="E470" s="622">
        <v>284</v>
      </c>
      <c r="F470" s="622">
        <v>306</v>
      </c>
      <c r="G470" s="622">
        <v>784</v>
      </c>
      <c r="H470" s="624">
        <v>1793</v>
      </c>
      <c r="K470" s="100"/>
      <c r="L470" s="596"/>
      <c r="M470" s="596"/>
      <c r="O470" s="85"/>
      <c r="P470" s="85"/>
    </row>
    <row r="471" spans="1:16" ht="12.75">
      <c r="A471" s="567">
        <v>408</v>
      </c>
      <c r="B471" s="270" t="s">
        <v>51</v>
      </c>
      <c r="C471" s="270" t="s">
        <v>1394</v>
      </c>
      <c r="D471" s="622">
        <v>141</v>
      </c>
      <c r="E471" s="622">
        <v>100</v>
      </c>
      <c r="F471" s="622">
        <v>93</v>
      </c>
      <c r="G471" s="622">
        <v>303</v>
      </c>
      <c r="H471" s="625">
        <v>637</v>
      </c>
      <c r="K471" s="100"/>
      <c r="L471" s="596"/>
      <c r="M471" s="596"/>
      <c r="O471" s="85"/>
      <c r="P471" s="85"/>
    </row>
    <row r="472" spans="1:16" ht="12.75">
      <c r="A472" s="567">
        <v>409</v>
      </c>
      <c r="B472" s="270" t="s">
        <v>51</v>
      </c>
      <c r="C472" s="270" t="s">
        <v>1017</v>
      </c>
      <c r="D472" s="622">
        <v>682</v>
      </c>
      <c r="E472" s="622">
        <v>545</v>
      </c>
      <c r="F472" s="622">
        <v>480</v>
      </c>
      <c r="G472" s="623">
        <v>1267</v>
      </c>
      <c r="H472" s="624">
        <v>2974</v>
      </c>
      <c r="K472" s="100"/>
      <c r="L472" s="596"/>
      <c r="M472" s="596"/>
      <c r="O472" s="85"/>
      <c r="P472" s="85"/>
    </row>
    <row r="473" spans="1:16" ht="12.75">
      <c r="A473" s="599"/>
      <c r="B473" s="652" t="s">
        <v>1395</v>
      </c>
      <c r="C473" s="607"/>
      <c r="D473" s="644">
        <v>500</v>
      </c>
      <c r="E473" s="644">
        <v>320</v>
      </c>
      <c r="F473" s="644">
        <v>350</v>
      </c>
      <c r="G473" s="644">
        <v>890</v>
      </c>
      <c r="H473" s="618">
        <v>2060</v>
      </c>
      <c r="K473" s="100"/>
      <c r="L473" s="596"/>
      <c r="M473" s="596"/>
      <c r="O473" s="85"/>
      <c r="P473" s="85"/>
    </row>
    <row r="474" spans="1:16" ht="12.75">
      <c r="A474" s="567">
        <v>410</v>
      </c>
      <c r="B474" s="270" t="s">
        <v>67</v>
      </c>
      <c r="C474" s="270" t="s">
        <v>1396</v>
      </c>
      <c r="D474" s="622">
        <v>85</v>
      </c>
      <c r="E474" s="622">
        <v>56</v>
      </c>
      <c r="F474" s="622">
        <v>62</v>
      </c>
      <c r="G474" s="622">
        <v>160</v>
      </c>
      <c r="H474" s="625">
        <v>363</v>
      </c>
      <c r="K474" s="100"/>
      <c r="L474" s="596"/>
      <c r="M474" s="596"/>
      <c r="O474" s="85"/>
      <c r="P474" s="85"/>
    </row>
    <row r="475" spans="1:16" ht="12.75">
      <c r="A475" s="567">
        <v>411</v>
      </c>
      <c r="B475" s="270" t="s">
        <v>67</v>
      </c>
      <c r="C475" s="270" t="s">
        <v>1397</v>
      </c>
      <c r="D475" s="622">
        <v>4</v>
      </c>
      <c r="E475" s="622">
        <v>1</v>
      </c>
      <c r="F475" s="622">
        <v>2</v>
      </c>
      <c r="G475" s="622">
        <v>4</v>
      </c>
      <c r="H475" s="625">
        <v>11</v>
      </c>
      <c r="K475" s="100"/>
      <c r="L475" s="596"/>
      <c r="M475" s="596"/>
      <c r="O475" s="85"/>
      <c r="P475" s="85"/>
    </row>
    <row r="476" spans="1:16" ht="12.75">
      <c r="A476" s="567">
        <v>412</v>
      </c>
      <c r="B476" s="270" t="s">
        <v>67</v>
      </c>
      <c r="C476" s="270" t="s">
        <v>1398</v>
      </c>
      <c r="D476" s="622">
        <v>145</v>
      </c>
      <c r="E476" s="622">
        <v>96</v>
      </c>
      <c r="F476" s="622">
        <v>104</v>
      </c>
      <c r="G476" s="622">
        <v>264</v>
      </c>
      <c r="H476" s="625">
        <v>609</v>
      </c>
      <c r="K476" s="100"/>
      <c r="L476" s="596"/>
      <c r="M476" s="596"/>
      <c r="O476" s="85"/>
      <c r="P476" s="85"/>
    </row>
    <row r="477" spans="1:16" ht="12.75">
      <c r="A477" s="567">
        <v>413</v>
      </c>
      <c r="B477" s="270" t="s">
        <v>67</v>
      </c>
      <c r="C477" s="270" t="s">
        <v>1399</v>
      </c>
      <c r="D477" s="622">
        <v>6</v>
      </c>
      <c r="E477" s="622">
        <v>3</v>
      </c>
      <c r="F477" s="622">
        <v>4</v>
      </c>
      <c r="G477" s="622">
        <v>8</v>
      </c>
      <c r="H477" s="625">
        <v>21</v>
      </c>
      <c r="K477" s="100"/>
      <c r="L477" s="596"/>
      <c r="M477" s="596"/>
      <c r="O477" s="85"/>
      <c r="P477" s="85"/>
    </row>
    <row r="478" spans="1:16" ht="12.75">
      <c r="A478" s="567">
        <v>414</v>
      </c>
      <c r="B478" s="270" t="s">
        <v>67</v>
      </c>
      <c r="C478" s="270" t="s">
        <v>1400</v>
      </c>
      <c r="D478" s="622">
        <v>39</v>
      </c>
      <c r="E478" s="622">
        <v>24</v>
      </c>
      <c r="F478" s="622">
        <v>27</v>
      </c>
      <c r="G478" s="622">
        <v>71</v>
      </c>
      <c r="H478" s="625">
        <v>161</v>
      </c>
      <c r="K478" s="100"/>
      <c r="L478" s="596"/>
      <c r="M478" s="596"/>
      <c r="O478" s="85"/>
      <c r="P478" s="85"/>
    </row>
    <row r="479" spans="1:16" ht="12.75">
      <c r="A479" s="567">
        <v>415</v>
      </c>
      <c r="B479" s="270" t="s">
        <v>67</v>
      </c>
      <c r="C479" s="270" t="s">
        <v>1401</v>
      </c>
      <c r="D479" s="622">
        <v>8</v>
      </c>
      <c r="E479" s="622">
        <v>4</v>
      </c>
      <c r="F479" s="622">
        <v>4</v>
      </c>
      <c r="G479" s="622">
        <v>15</v>
      </c>
      <c r="H479" s="625">
        <v>31</v>
      </c>
      <c r="K479" s="100"/>
      <c r="L479" s="596"/>
      <c r="M479" s="596"/>
      <c r="O479" s="85"/>
      <c r="P479" s="85"/>
    </row>
    <row r="480" spans="1:16" ht="12.75">
      <c r="A480" s="567">
        <v>416</v>
      </c>
      <c r="B480" s="270" t="s">
        <v>67</v>
      </c>
      <c r="C480" s="270" t="s">
        <v>1402</v>
      </c>
      <c r="D480" s="622">
        <v>1</v>
      </c>
      <c r="E480" s="622">
        <v>1</v>
      </c>
      <c r="F480" s="622">
        <v>1</v>
      </c>
      <c r="G480" s="622">
        <v>2</v>
      </c>
      <c r="H480" s="625">
        <v>5</v>
      </c>
      <c r="K480" s="100"/>
      <c r="L480" s="596"/>
      <c r="M480" s="596"/>
      <c r="O480" s="85"/>
      <c r="P480" s="85"/>
    </row>
    <row r="481" spans="1:16" ht="12.75">
      <c r="A481" s="567">
        <v>417</v>
      </c>
      <c r="B481" s="270" t="s">
        <v>67</v>
      </c>
      <c r="C481" s="270" t="s">
        <v>1017</v>
      </c>
      <c r="D481" s="622">
        <v>212</v>
      </c>
      <c r="E481" s="622">
        <v>135</v>
      </c>
      <c r="F481" s="622">
        <v>146</v>
      </c>
      <c r="G481" s="622">
        <v>366</v>
      </c>
      <c r="H481" s="625">
        <v>859</v>
      </c>
      <c r="K481" s="100"/>
      <c r="L481" s="596"/>
      <c r="M481" s="596"/>
      <c r="O481" s="85"/>
      <c r="P481" s="85"/>
    </row>
    <row r="482" spans="1:16" ht="12.75">
      <c r="A482" s="599"/>
      <c r="B482" s="652" t="s">
        <v>1403</v>
      </c>
      <c r="C482" s="607"/>
      <c r="D482" s="618">
        <v>2320</v>
      </c>
      <c r="E482" s="618">
        <v>1735</v>
      </c>
      <c r="F482" s="618">
        <v>1830</v>
      </c>
      <c r="G482" s="618">
        <v>4335</v>
      </c>
      <c r="H482" s="618">
        <v>10220</v>
      </c>
      <c r="K482" s="100"/>
      <c r="L482" s="596"/>
      <c r="M482" s="596"/>
      <c r="O482" s="85"/>
      <c r="P482" s="85"/>
    </row>
    <row r="483" spans="1:16" ht="12.75">
      <c r="A483" s="567">
        <v>418</v>
      </c>
      <c r="B483" s="270" t="s">
        <v>65</v>
      </c>
      <c r="C483" s="270" t="s">
        <v>1404</v>
      </c>
      <c r="D483" s="650">
        <v>145</v>
      </c>
      <c r="E483" s="650">
        <v>108</v>
      </c>
      <c r="F483" s="650">
        <v>115</v>
      </c>
      <c r="G483" s="650">
        <v>271</v>
      </c>
      <c r="H483" s="625">
        <v>639</v>
      </c>
      <c r="K483" s="100"/>
      <c r="L483" s="596"/>
      <c r="M483" s="596"/>
      <c r="O483" s="85"/>
      <c r="P483" s="85"/>
    </row>
    <row r="484" spans="1:16" ht="12.75">
      <c r="A484" s="567">
        <v>419</v>
      </c>
      <c r="B484" s="270" t="s">
        <v>65</v>
      </c>
      <c r="C484" s="270" t="s">
        <v>1405</v>
      </c>
      <c r="D484" s="650">
        <v>215</v>
      </c>
      <c r="E484" s="650">
        <v>161</v>
      </c>
      <c r="F484" s="650">
        <v>169</v>
      </c>
      <c r="G484" s="650">
        <v>401</v>
      </c>
      <c r="H484" s="625">
        <v>946</v>
      </c>
      <c r="K484" s="100"/>
      <c r="L484" s="596"/>
      <c r="M484" s="596"/>
      <c r="O484" s="85"/>
      <c r="P484" s="85"/>
    </row>
    <row r="485" spans="1:16" ht="12.75">
      <c r="A485" s="567">
        <v>420</v>
      </c>
      <c r="B485" s="270" t="s">
        <v>65</v>
      </c>
      <c r="C485" s="270" t="s">
        <v>1406</v>
      </c>
      <c r="D485" s="653">
        <v>1097</v>
      </c>
      <c r="E485" s="650">
        <v>821</v>
      </c>
      <c r="F485" s="650">
        <v>865</v>
      </c>
      <c r="G485" s="653">
        <v>2049</v>
      </c>
      <c r="H485" s="624">
        <v>4832</v>
      </c>
      <c r="K485" s="100"/>
      <c r="L485" s="596"/>
      <c r="M485" s="596"/>
      <c r="O485" s="85"/>
      <c r="P485" s="85"/>
    </row>
    <row r="486" spans="1:16" ht="12.75">
      <c r="A486" s="567">
        <v>421</v>
      </c>
      <c r="B486" s="270" t="s">
        <v>65</v>
      </c>
      <c r="C486" s="270" t="s">
        <v>1407</v>
      </c>
      <c r="D486" s="650">
        <v>677</v>
      </c>
      <c r="E486" s="650">
        <v>507</v>
      </c>
      <c r="F486" s="650">
        <v>534</v>
      </c>
      <c r="G486" s="653">
        <v>1267</v>
      </c>
      <c r="H486" s="624">
        <v>2985</v>
      </c>
      <c r="K486" s="100"/>
      <c r="L486" s="596"/>
      <c r="M486" s="596"/>
      <c r="O486" s="85"/>
      <c r="P486" s="85"/>
    </row>
    <row r="487" spans="1:16" ht="12.75">
      <c r="A487" s="567">
        <v>422</v>
      </c>
      <c r="B487" s="270" t="s">
        <v>65</v>
      </c>
      <c r="C487" s="270" t="s">
        <v>1017</v>
      </c>
      <c r="D487" s="650">
        <v>186</v>
      </c>
      <c r="E487" s="650">
        <v>138</v>
      </c>
      <c r="F487" s="650">
        <v>147</v>
      </c>
      <c r="G487" s="650">
        <v>347</v>
      </c>
      <c r="H487" s="625">
        <v>818</v>
      </c>
      <c r="K487" s="100"/>
      <c r="L487" s="596"/>
      <c r="M487" s="596"/>
      <c r="O487" s="85"/>
      <c r="P487" s="85"/>
    </row>
    <row r="488" spans="1:16" ht="12.75">
      <c r="A488" s="599"/>
      <c r="B488" s="652" t="s">
        <v>1408</v>
      </c>
      <c r="C488" s="607"/>
      <c r="D488" s="644">
        <v>510</v>
      </c>
      <c r="E488" s="644">
        <v>320</v>
      </c>
      <c r="F488" s="644">
        <v>370</v>
      </c>
      <c r="G488" s="644">
        <v>870</v>
      </c>
      <c r="H488" s="618">
        <v>2070</v>
      </c>
      <c r="K488" s="100"/>
      <c r="L488" s="596"/>
      <c r="M488" s="596"/>
      <c r="O488" s="85"/>
      <c r="P488" s="85"/>
    </row>
    <row r="489" spans="1:16" ht="12.75">
      <c r="A489" s="567">
        <v>423</v>
      </c>
      <c r="B489" s="270" t="s">
        <v>1409</v>
      </c>
      <c r="C489" s="270" t="s">
        <v>1410</v>
      </c>
      <c r="D489" s="622">
        <v>108</v>
      </c>
      <c r="E489" s="622">
        <v>67</v>
      </c>
      <c r="F489" s="622">
        <v>87</v>
      </c>
      <c r="G489" s="622">
        <v>205</v>
      </c>
      <c r="H489" s="625">
        <v>467</v>
      </c>
      <c r="K489" s="100"/>
      <c r="L489" s="596"/>
      <c r="M489" s="596"/>
      <c r="O489" s="85"/>
      <c r="P489" s="85"/>
    </row>
    <row r="490" spans="1:16" ht="12.75">
      <c r="A490" s="567">
        <v>424</v>
      </c>
      <c r="B490" s="270" t="s">
        <v>1409</v>
      </c>
      <c r="C490" s="270" t="s">
        <v>1411</v>
      </c>
      <c r="D490" s="622">
        <v>34</v>
      </c>
      <c r="E490" s="622">
        <v>22</v>
      </c>
      <c r="F490" s="622">
        <v>27</v>
      </c>
      <c r="G490" s="622">
        <v>64</v>
      </c>
      <c r="H490" s="625">
        <v>147</v>
      </c>
      <c r="K490" s="100"/>
      <c r="L490" s="596"/>
      <c r="M490" s="596"/>
      <c r="O490" s="85"/>
      <c r="P490" s="85"/>
    </row>
    <row r="491" spans="1:16" ht="12.75">
      <c r="A491" s="567">
        <v>425</v>
      </c>
      <c r="B491" s="270" t="s">
        <v>1409</v>
      </c>
      <c r="C491" s="270" t="s">
        <v>1017</v>
      </c>
      <c r="D491" s="622">
        <v>368</v>
      </c>
      <c r="E491" s="622">
        <v>231</v>
      </c>
      <c r="F491" s="622">
        <v>256</v>
      </c>
      <c r="G491" s="622">
        <v>601</v>
      </c>
      <c r="H491" s="624">
        <v>1456</v>
      </c>
      <c r="K491" s="100"/>
      <c r="L491" s="596"/>
      <c r="M491" s="596"/>
      <c r="O491" s="85"/>
      <c r="P491" s="85"/>
    </row>
    <row r="492" spans="1:16" ht="12.75">
      <c r="A492" s="599"/>
      <c r="B492" s="652" t="s">
        <v>1412</v>
      </c>
      <c r="C492" s="607"/>
      <c r="D492" s="644">
        <v>60</v>
      </c>
      <c r="E492" s="644">
        <v>40</v>
      </c>
      <c r="F492" s="644">
        <v>40</v>
      </c>
      <c r="G492" s="644">
        <v>110</v>
      </c>
      <c r="H492" s="644">
        <v>250</v>
      </c>
      <c r="K492" s="100"/>
      <c r="L492" s="596"/>
      <c r="M492" s="596"/>
      <c r="O492" s="85"/>
      <c r="P492" s="85"/>
    </row>
    <row r="493" spans="1:16" ht="12.75">
      <c r="A493" s="567">
        <v>426</v>
      </c>
      <c r="B493" s="270" t="s">
        <v>92</v>
      </c>
      <c r="C493" s="270" t="s">
        <v>1413</v>
      </c>
      <c r="D493" s="622">
        <v>5</v>
      </c>
      <c r="E493" s="622">
        <v>3</v>
      </c>
      <c r="F493" s="622">
        <v>3</v>
      </c>
      <c r="G493" s="622">
        <v>9</v>
      </c>
      <c r="H493" s="625">
        <v>20</v>
      </c>
      <c r="K493" s="100"/>
      <c r="L493" s="596"/>
      <c r="M493" s="596"/>
      <c r="O493" s="85"/>
      <c r="P493" s="85"/>
    </row>
    <row r="494" spans="1:16" ht="12.75">
      <c r="A494" s="567">
        <v>427</v>
      </c>
      <c r="B494" s="270" t="s">
        <v>92</v>
      </c>
      <c r="C494" s="270" t="s">
        <v>1414</v>
      </c>
      <c r="D494" s="622">
        <v>1</v>
      </c>
      <c r="E494" s="622">
        <v>1</v>
      </c>
      <c r="F494" s="622">
        <v>1</v>
      </c>
      <c r="G494" s="622">
        <v>1</v>
      </c>
      <c r="H494" s="625">
        <v>4</v>
      </c>
      <c r="K494" s="100"/>
      <c r="L494" s="596"/>
      <c r="M494" s="596"/>
      <c r="O494" s="85"/>
      <c r="P494" s="85"/>
    </row>
    <row r="495" spans="1:16" ht="12.75">
      <c r="A495" s="567">
        <v>428</v>
      </c>
      <c r="B495" s="270" t="s">
        <v>92</v>
      </c>
      <c r="C495" s="270" t="s">
        <v>1415</v>
      </c>
      <c r="D495" s="622">
        <v>11</v>
      </c>
      <c r="E495" s="622">
        <v>7</v>
      </c>
      <c r="F495" s="622">
        <v>7</v>
      </c>
      <c r="G495" s="622">
        <v>20</v>
      </c>
      <c r="H495" s="625">
        <v>45</v>
      </c>
      <c r="K495" s="100"/>
      <c r="L495" s="596"/>
      <c r="M495" s="596"/>
      <c r="O495" s="85"/>
      <c r="P495" s="85"/>
    </row>
    <row r="496" spans="1:16" ht="12.75">
      <c r="A496" s="567">
        <v>429</v>
      </c>
      <c r="B496" s="270" t="s">
        <v>92</v>
      </c>
      <c r="C496" s="270" t="s">
        <v>1416</v>
      </c>
      <c r="D496" s="622">
        <v>3</v>
      </c>
      <c r="E496" s="622">
        <v>2</v>
      </c>
      <c r="F496" s="622">
        <v>2</v>
      </c>
      <c r="G496" s="622">
        <v>6</v>
      </c>
      <c r="H496" s="625">
        <v>13</v>
      </c>
      <c r="K496" s="100"/>
      <c r="L496" s="596"/>
      <c r="M496" s="596"/>
      <c r="O496" s="85"/>
      <c r="P496" s="85"/>
    </row>
    <row r="497" spans="1:16" ht="12.75">
      <c r="A497" s="567">
        <v>430</v>
      </c>
      <c r="B497" s="270" t="s">
        <v>92</v>
      </c>
      <c r="C497" s="270" t="s">
        <v>1017</v>
      </c>
      <c r="D497" s="622">
        <v>40</v>
      </c>
      <c r="E497" s="622">
        <v>27</v>
      </c>
      <c r="F497" s="622">
        <v>27</v>
      </c>
      <c r="G497" s="622">
        <v>74</v>
      </c>
      <c r="H497" s="625">
        <v>168</v>
      </c>
      <c r="K497" s="100"/>
      <c r="L497" s="596"/>
      <c r="M497" s="596"/>
      <c r="O497" s="85"/>
      <c r="P497" s="85"/>
    </row>
    <row r="498" spans="1:16" ht="12.75">
      <c r="A498" s="599"/>
      <c r="B498" s="652" t="s">
        <v>1417</v>
      </c>
      <c r="C498" s="607"/>
      <c r="D498" s="618">
        <v>3850</v>
      </c>
      <c r="E498" s="618">
        <v>2740</v>
      </c>
      <c r="F498" s="618">
        <v>2535</v>
      </c>
      <c r="G498" s="618">
        <v>6725</v>
      </c>
      <c r="H498" s="618">
        <v>15850</v>
      </c>
      <c r="K498" s="100"/>
      <c r="L498" s="596"/>
      <c r="M498" s="596"/>
      <c r="O498" s="85"/>
      <c r="P498" s="85"/>
    </row>
    <row r="499" spans="1:16" ht="12.75">
      <c r="A499" s="567">
        <v>431</v>
      </c>
      <c r="B499" s="270" t="s">
        <v>47</v>
      </c>
      <c r="C499" s="270" t="s">
        <v>1418</v>
      </c>
      <c r="D499" s="654">
        <v>429</v>
      </c>
      <c r="E499" s="654">
        <v>307</v>
      </c>
      <c r="F499" s="654">
        <v>281</v>
      </c>
      <c r="G499" s="654">
        <v>748</v>
      </c>
      <c r="H499" s="624">
        <v>1765</v>
      </c>
      <c r="K499" s="100"/>
      <c r="L499" s="596"/>
      <c r="M499" s="596"/>
      <c r="O499" s="85"/>
      <c r="P499" s="85"/>
    </row>
    <row r="500" spans="1:16" ht="12.75">
      <c r="A500" s="567">
        <v>432</v>
      </c>
      <c r="B500" s="270" t="s">
        <v>47</v>
      </c>
      <c r="C500" s="270" t="s">
        <v>1419</v>
      </c>
      <c r="D500" s="654">
        <v>71</v>
      </c>
      <c r="E500" s="654">
        <v>27</v>
      </c>
      <c r="F500" s="654">
        <v>47</v>
      </c>
      <c r="G500" s="654">
        <v>124</v>
      </c>
      <c r="H500" s="625">
        <v>269</v>
      </c>
      <c r="K500" s="100"/>
      <c r="L500" s="596"/>
      <c r="M500" s="596"/>
      <c r="O500" s="85"/>
      <c r="P500" s="85"/>
    </row>
    <row r="501" spans="1:16" ht="12.75">
      <c r="A501" s="567">
        <v>433</v>
      </c>
      <c r="B501" s="270" t="s">
        <v>47</v>
      </c>
      <c r="C501" s="270" t="s">
        <v>1420</v>
      </c>
      <c r="D501" s="654">
        <v>61</v>
      </c>
      <c r="E501" s="654">
        <v>56</v>
      </c>
      <c r="F501" s="654">
        <v>51</v>
      </c>
      <c r="G501" s="654">
        <v>136</v>
      </c>
      <c r="H501" s="625">
        <v>304</v>
      </c>
      <c r="K501" s="100"/>
      <c r="L501" s="596"/>
      <c r="M501" s="596"/>
      <c r="O501" s="85"/>
      <c r="P501" s="85"/>
    </row>
    <row r="502" spans="1:16" ht="12.75">
      <c r="A502" s="567">
        <v>434</v>
      </c>
      <c r="B502" s="270" t="s">
        <v>47</v>
      </c>
      <c r="C502" s="270" t="s">
        <v>1421</v>
      </c>
      <c r="D502" s="654">
        <v>249</v>
      </c>
      <c r="E502" s="654">
        <v>178</v>
      </c>
      <c r="F502" s="654">
        <v>163</v>
      </c>
      <c r="G502" s="654">
        <v>435</v>
      </c>
      <c r="H502" s="624">
        <v>1025</v>
      </c>
      <c r="K502" s="100"/>
      <c r="L502" s="596"/>
      <c r="M502" s="596"/>
      <c r="O502" s="85"/>
      <c r="P502" s="85"/>
    </row>
    <row r="503" spans="1:16" ht="12.75">
      <c r="A503" s="567">
        <v>435</v>
      </c>
      <c r="B503" s="270" t="s">
        <v>47</v>
      </c>
      <c r="C503" s="270" t="s">
        <v>1422</v>
      </c>
      <c r="D503" s="654">
        <v>604</v>
      </c>
      <c r="E503" s="654">
        <v>431</v>
      </c>
      <c r="F503" s="654">
        <v>396</v>
      </c>
      <c r="G503" s="655">
        <v>1049</v>
      </c>
      <c r="H503" s="624">
        <v>2480</v>
      </c>
      <c r="K503" s="100"/>
      <c r="L503" s="596"/>
      <c r="M503" s="596"/>
      <c r="O503" s="85"/>
      <c r="P503" s="85"/>
    </row>
    <row r="504" spans="1:16" ht="12.75">
      <c r="A504" s="567">
        <v>436</v>
      </c>
      <c r="B504" s="270" t="s">
        <v>47</v>
      </c>
      <c r="C504" s="270" t="s">
        <v>47</v>
      </c>
      <c r="D504" s="655">
        <v>1351</v>
      </c>
      <c r="E504" s="654">
        <v>966</v>
      </c>
      <c r="F504" s="654">
        <v>886</v>
      </c>
      <c r="G504" s="655">
        <v>2348</v>
      </c>
      <c r="H504" s="624">
        <v>5551</v>
      </c>
      <c r="K504" s="100"/>
      <c r="L504" s="596"/>
      <c r="M504" s="596"/>
      <c r="O504" s="85"/>
      <c r="P504" s="85"/>
    </row>
    <row r="505" spans="1:16" ht="12.75">
      <c r="A505" s="567">
        <v>437</v>
      </c>
      <c r="B505" s="270" t="s">
        <v>47</v>
      </c>
      <c r="C505" s="270" t="s">
        <v>1017</v>
      </c>
      <c r="D505" s="655">
        <v>1085</v>
      </c>
      <c r="E505" s="654">
        <v>775</v>
      </c>
      <c r="F505" s="654">
        <v>711</v>
      </c>
      <c r="G505" s="655">
        <v>1885</v>
      </c>
      <c r="H505" s="624">
        <v>4456</v>
      </c>
      <c r="K505" s="100"/>
      <c r="L505" s="596"/>
      <c r="M505" s="596"/>
      <c r="O505" s="85"/>
      <c r="P505" s="85"/>
    </row>
    <row r="506" spans="1:16" ht="12.75">
      <c r="A506" s="599"/>
      <c r="B506" s="652" t="s">
        <v>1423</v>
      </c>
      <c r="C506" s="607"/>
      <c r="D506" s="618">
        <v>9485</v>
      </c>
      <c r="E506" s="618">
        <v>6500</v>
      </c>
      <c r="F506" s="618">
        <v>7065</v>
      </c>
      <c r="G506" s="618">
        <v>17310</v>
      </c>
      <c r="H506" s="618">
        <v>40360</v>
      </c>
      <c r="K506" s="100"/>
      <c r="L506" s="596"/>
      <c r="M506" s="596"/>
      <c r="O506" s="85"/>
      <c r="P506" s="85"/>
    </row>
    <row r="507" spans="1:16" ht="12.75">
      <c r="A507" s="567">
        <v>438</v>
      </c>
      <c r="B507" s="270" t="s">
        <v>44</v>
      </c>
      <c r="C507" s="270" t="s">
        <v>1424</v>
      </c>
      <c r="D507" s="654">
        <v>103</v>
      </c>
      <c r="E507" s="654">
        <v>66</v>
      </c>
      <c r="F507" s="654">
        <v>64</v>
      </c>
      <c r="G507" s="654">
        <v>192</v>
      </c>
      <c r="H507" s="625">
        <v>425</v>
      </c>
      <c r="K507" s="100"/>
      <c r="L507" s="596"/>
      <c r="M507" s="596"/>
      <c r="O507" s="85"/>
      <c r="P507" s="85"/>
    </row>
    <row r="508" spans="1:16" ht="12.75">
      <c r="A508" s="567">
        <v>439</v>
      </c>
      <c r="B508" s="270" t="s">
        <v>44</v>
      </c>
      <c r="C508" s="270" t="s">
        <v>1425</v>
      </c>
      <c r="D508" s="655">
        <v>1019</v>
      </c>
      <c r="E508" s="654">
        <v>759</v>
      </c>
      <c r="F508" s="654">
        <v>957</v>
      </c>
      <c r="G508" s="655">
        <v>2421</v>
      </c>
      <c r="H508" s="624">
        <v>5156</v>
      </c>
      <c r="K508" s="100"/>
      <c r="L508" s="596"/>
      <c r="M508" s="596"/>
      <c r="O508" s="85"/>
      <c r="P508" s="85"/>
    </row>
    <row r="509" spans="1:16" ht="12.75">
      <c r="A509" s="567">
        <v>440</v>
      </c>
      <c r="B509" s="270" t="s">
        <v>44</v>
      </c>
      <c r="C509" s="270" t="s">
        <v>1426</v>
      </c>
      <c r="D509" s="654">
        <v>497</v>
      </c>
      <c r="E509" s="654">
        <v>331</v>
      </c>
      <c r="F509" s="654">
        <v>333</v>
      </c>
      <c r="G509" s="654">
        <v>770</v>
      </c>
      <c r="H509" s="624">
        <v>1931</v>
      </c>
      <c r="K509" s="100"/>
      <c r="L509" s="596"/>
      <c r="M509" s="596"/>
      <c r="O509" s="85"/>
      <c r="P509" s="85"/>
    </row>
    <row r="510" spans="1:16" ht="12.75">
      <c r="A510" s="567">
        <v>441</v>
      </c>
      <c r="B510" s="270" t="s">
        <v>44</v>
      </c>
      <c r="C510" s="270" t="s">
        <v>1427</v>
      </c>
      <c r="D510" s="654">
        <v>925</v>
      </c>
      <c r="E510" s="654">
        <v>693</v>
      </c>
      <c r="F510" s="654">
        <v>825</v>
      </c>
      <c r="G510" s="655">
        <v>1958</v>
      </c>
      <c r="H510" s="624">
        <v>4401</v>
      </c>
      <c r="K510" s="100"/>
      <c r="L510" s="596"/>
      <c r="M510" s="596"/>
      <c r="O510" s="85"/>
      <c r="P510" s="85"/>
    </row>
    <row r="511" spans="1:16" ht="12.75">
      <c r="A511" s="567">
        <v>442</v>
      </c>
      <c r="B511" s="270" t="s">
        <v>44</v>
      </c>
      <c r="C511" s="270" t="s">
        <v>1428</v>
      </c>
      <c r="D511" s="654">
        <v>308</v>
      </c>
      <c r="E511" s="654">
        <v>215</v>
      </c>
      <c r="F511" s="654">
        <v>231</v>
      </c>
      <c r="G511" s="654">
        <v>726</v>
      </c>
      <c r="H511" s="624">
        <v>1480</v>
      </c>
      <c r="K511" s="100"/>
      <c r="L511" s="596"/>
      <c r="M511" s="596"/>
      <c r="O511" s="85"/>
      <c r="P511" s="85"/>
    </row>
    <row r="512" spans="1:16" ht="12.75">
      <c r="A512" s="567">
        <v>443</v>
      </c>
      <c r="B512" s="270" t="s">
        <v>44</v>
      </c>
      <c r="C512" s="270" t="s">
        <v>1429</v>
      </c>
      <c r="D512" s="655">
        <v>3157</v>
      </c>
      <c r="E512" s="655">
        <v>2004</v>
      </c>
      <c r="F512" s="655">
        <v>2103</v>
      </c>
      <c r="G512" s="655">
        <v>4560</v>
      </c>
      <c r="H512" s="624">
        <v>11824</v>
      </c>
      <c r="K512" s="100"/>
      <c r="L512" s="596"/>
      <c r="M512" s="596"/>
      <c r="O512" s="85"/>
      <c r="P512" s="85"/>
    </row>
    <row r="513" spans="1:16" ht="12.75">
      <c r="A513" s="567">
        <v>444</v>
      </c>
      <c r="B513" s="270" t="s">
        <v>44</v>
      </c>
      <c r="C513" s="270" t="s">
        <v>1430</v>
      </c>
      <c r="D513" s="654">
        <v>980</v>
      </c>
      <c r="E513" s="654">
        <v>705</v>
      </c>
      <c r="F513" s="654">
        <v>828</v>
      </c>
      <c r="G513" s="655">
        <v>2463</v>
      </c>
      <c r="H513" s="624">
        <v>4976</v>
      </c>
      <c r="K513" s="100"/>
      <c r="L513" s="596"/>
      <c r="M513" s="596"/>
      <c r="O513" s="85"/>
      <c r="P513" s="85"/>
    </row>
    <row r="514" spans="1:16" ht="12.75">
      <c r="A514" s="567">
        <v>445</v>
      </c>
      <c r="B514" s="270" t="s">
        <v>44</v>
      </c>
      <c r="C514" s="270" t="s">
        <v>1017</v>
      </c>
      <c r="D514" s="655">
        <v>2496</v>
      </c>
      <c r="E514" s="655">
        <v>1727</v>
      </c>
      <c r="F514" s="655">
        <v>1724</v>
      </c>
      <c r="G514" s="655">
        <v>4220</v>
      </c>
      <c r="H514" s="624">
        <v>10167</v>
      </c>
      <c r="K514" s="100"/>
      <c r="L514" s="596"/>
      <c r="M514" s="596"/>
      <c r="O514" s="85"/>
      <c r="P514" s="85"/>
    </row>
    <row r="515" spans="1:16" ht="12.75">
      <c r="A515" s="599"/>
      <c r="B515" s="652" t="s">
        <v>1431</v>
      </c>
      <c r="C515" s="607"/>
      <c r="D515" s="618">
        <v>1020</v>
      </c>
      <c r="E515" s="644">
        <v>641</v>
      </c>
      <c r="F515" s="644">
        <v>720</v>
      </c>
      <c r="G515" s="618">
        <v>1710</v>
      </c>
      <c r="H515" s="618">
        <v>4091</v>
      </c>
      <c r="K515" s="100"/>
      <c r="L515" s="596"/>
      <c r="M515" s="596"/>
      <c r="O515" s="85"/>
      <c r="P515" s="85"/>
    </row>
    <row r="516" spans="1:16" ht="12.75">
      <c r="A516" s="567">
        <v>446</v>
      </c>
      <c r="B516" s="270" t="s">
        <v>73</v>
      </c>
      <c r="C516" s="270" t="s">
        <v>1432</v>
      </c>
      <c r="D516" s="622">
        <v>60</v>
      </c>
      <c r="E516" s="622">
        <v>38</v>
      </c>
      <c r="F516" s="622">
        <v>43</v>
      </c>
      <c r="G516" s="622">
        <v>101</v>
      </c>
      <c r="H516" s="625">
        <v>242</v>
      </c>
      <c r="K516" s="100"/>
      <c r="L516" s="596"/>
      <c r="M516" s="596"/>
      <c r="O516" s="85"/>
      <c r="P516" s="85"/>
    </row>
    <row r="517" spans="1:16" ht="12.75">
      <c r="A517" s="567">
        <v>447</v>
      </c>
      <c r="B517" s="270" t="s">
        <v>73</v>
      </c>
      <c r="C517" s="270" t="s">
        <v>1433</v>
      </c>
      <c r="D517" s="622">
        <v>98</v>
      </c>
      <c r="E517" s="622">
        <v>62</v>
      </c>
      <c r="F517" s="622">
        <v>69</v>
      </c>
      <c r="G517" s="622">
        <v>164</v>
      </c>
      <c r="H517" s="625">
        <v>393</v>
      </c>
      <c r="K517" s="100"/>
      <c r="L517" s="596"/>
      <c r="M517" s="596"/>
      <c r="O517" s="85"/>
      <c r="P517" s="85"/>
    </row>
    <row r="518" spans="1:16" ht="12.75">
      <c r="A518" s="567">
        <v>448</v>
      </c>
      <c r="B518" s="270" t="s">
        <v>73</v>
      </c>
      <c r="C518" s="270" t="s">
        <v>1434</v>
      </c>
      <c r="D518" s="622">
        <v>41</v>
      </c>
      <c r="E518" s="622">
        <v>26</v>
      </c>
      <c r="F518" s="622">
        <v>29</v>
      </c>
      <c r="G518" s="622">
        <v>69</v>
      </c>
      <c r="H518" s="625">
        <v>165</v>
      </c>
      <c r="K518" s="100"/>
      <c r="L518" s="596"/>
      <c r="M518" s="596"/>
      <c r="O518" s="85"/>
      <c r="P518" s="85"/>
    </row>
    <row r="519" spans="1:16" ht="12.75">
      <c r="A519" s="567">
        <v>449</v>
      </c>
      <c r="B519" s="270" t="s">
        <v>73</v>
      </c>
      <c r="C519" s="270" t="s">
        <v>1435</v>
      </c>
      <c r="D519" s="622">
        <v>39</v>
      </c>
      <c r="E519" s="622">
        <v>24</v>
      </c>
      <c r="F519" s="622">
        <v>27</v>
      </c>
      <c r="G519" s="622">
        <v>65</v>
      </c>
      <c r="H519" s="625">
        <v>155</v>
      </c>
      <c r="K519" s="100"/>
      <c r="L519" s="596"/>
      <c r="M519" s="596"/>
      <c r="O519" s="85"/>
      <c r="P519" s="85"/>
    </row>
    <row r="520" spans="1:16" ht="12.75">
      <c r="A520" s="567">
        <v>450</v>
      </c>
      <c r="B520" s="270" t="s">
        <v>73</v>
      </c>
      <c r="C520" s="270" t="s">
        <v>1436</v>
      </c>
      <c r="D520" s="622">
        <v>123</v>
      </c>
      <c r="E520" s="622">
        <v>77</v>
      </c>
      <c r="F520" s="622">
        <v>87</v>
      </c>
      <c r="G520" s="622">
        <v>206</v>
      </c>
      <c r="H520" s="625">
        <v>493</v>
      </c>
      <c r="K520" s="100"/>
      <c r="L520" s="596"/>
      <c r="M520" s="596"/>
      <c r="O520" s="85"/>
      <c r="P520" s="85"/>
    </row>
    <row r="521" spans="1:16" ht="12.75">
      <c r="A521" s="567">
        <v>451</v>
      </c>
      <c r="B521" s="270" t="s">
        <v>73</v>
      </c>
      <c r="C521" s="270" t="s">
        <v>1437</v>
      </c>
      <c r="D521" s="622">
        <v>38</v>
      </c>
      <c r="E521" s="622">
        <v>24</v>
      </c>
      <c r="F521" s="622">
        <v>27</v>
      </c>
      <c r="G521" s="622">
        <v>64</v>
      </c>
      <c r="H521" s="625">
        <v>153</v>
      </c>
      <c r="K521" s="100"/>
      <c r="L521" s="596"/>
      <c r="M521" s="596"/>
      <c r="O521" s="85"/>
      <c r="P521" s="85"/>
    </row>
    <row r="522" spans="1:16" ht="12.75">
      <c r="A522" s="567">
        <v>452</v>
      </c>
      <c r="B522" s="270" t="s">
        <v>73</v>
      </c>
      <c r="C522" s="270" t="s">
        <v>73</v>
      </c>
      <c r="D522" s="622">
        <v>285</v>
      </c>
      <c r="E522" s="622">
        <v>179</v>
      </c>
      <c r="F522" s="622">
        <v>201</v>
      </c>
      <c r="G522" s="622">
        <v>478</v>
      </c>
      <c r="H522" s="624">
        <v>1143</v>
      </c>
      <c r="K522" s="100"/>
      <c r="L522" s="596"/>
      <c r="M522" s="596"/>
      <c r="O522" s="85"/>
      <c r="P522" s="85"/>
    </row>
    <row r="523" spans="1:16" ht="12.75">
      <c r="A523" s="567">
        <v>453</v>
      </c>
      <c r="B523" s="270" t="s">
        <v>73</v>
      </c>
      <c r="C523" s="270" t="s">
        <v>1017</v>
      </c>
      <c r="D523" s="622">
        <v>336</v>
      </c>
      <c r="E523" s="622">
        <v>211</v>
      </c>
      <c r="F523" s="622">
        <v>237</v>
      </c>
      <c r="G523" s="622">
        <v>563</v>
      </c>
      <c r="H523" s="624">
        <v>1347</v>
      </c>
      <c r="K523" s="100"/>
      <c r="L523" s="596"/>
      <c r="M523" s="596"/>
      <c r="O523" s="85"/>
      <c r="P523" s="85"/>
    </row>
    <row r="524" spans="1:16" ht="12.75">
      <c r="A524" s="599"/>
      <c r="B524" s="612" t="s">
        <v>1438</v>
      </c>
      <c r="C524" s="607"/>
      <c r="D524" s="618">
        <v>2626</v>
      </c>
      <c r="E524" s="618">
        <v>1810</v>
      </c>
      <c r="F524" s="618">
        <v>2049</v>
      </c>
      <c r="G524" s="618">
        <v>4545</v>
      </c>
      <c r="H524" s="618">
        <v>11030</v>
      </c>
      <c r="K524" s="100"/>
      <c r="L524" s="596"/>
      <c r="M524" s="596"/>
      <c r="O524" s="85"/>
      <c r="P524" s="85"/>
    </row>
    <row r="525" spans="1:16" ht="12.75">
      <c r="A525" s="567">
        <v>454</v>
      </c>
      <c r="B525" s="270" t="s">
        <v>69</v>
      </c>
      <c r="C525" s="270" t="s">
        <v>1439</v>
      </c>
      <c r="D525" s="656">
        <v>66</v>
      </c>
      <c r="E525" s="656">
        <v>44</v>
      </c>
      <c r="F525" s="656">
        <v>41</v>
      </c>
      <c r="G525" s="656">
        <v>124</v>
      </c>
      <c r="H525" s="625">
        <v>275</v>
      </c>
      <c r="K525" s="100"/>
      <c r="L525" s="596"/>
      <c r="M525" s="596"/>
      <c r="O525" s="85"/>
      <c r="P525" s="85"/>
    </row>
    <row r="526" spans="1:16" ht="12.75">
      <c r="A526" s="567">
        <v>455</v>
      </c>
      <c r="B526" s="270" t="s">
        <v>69</v>
      </c>
      <c r="C526" s="270" t="s">
        <v>1440</v>
      </c>
      <c r="D526" s="656">
        <v>39</v>
      </c>
      <c r="E526" s="656">
        <v>26</v>
      </c>
      <c r="F526" s="656">
        <v>34</v>
      </c>
      <c r="G526" s="656">
        <v>64</v>
      </c>
      <c r="H526" s="625">
        <v>163</v>
      </c>
      <c r="K526" s="100"/>
      <c r="L526" s="596"/>
      <c r="M526" s="596"/>
      <c r="O526" s="85"/>
      <c r="P526" s="85"/>
    </row>
    <row r="527" spans="1:16" ht="12.75">
      <c r="A527" s="567">
        <v>456</v>
      </c>
      <c r="B527" s="270" t="s">
        <v>69</v>
      </c>
      <c r="C527" s="270" t="s">
        <v>1441</v>
      </c>
      <c r="D527" s="656">
        <v>235</v>
      </c>
      <c r="E527" s="656">
        <v>157</v>
      </c>
      <c r="F527" s="656">
        <v>174</v>
      </c>
      <c r="G527" s="656">
        <v>413</v>
      </c>
      <c r="H527" s="625">
        <v>979</v>
      </c>
      <c r="K527" s="100"/>
      <c r="L527" s="596"/>
      <c r="M527" s="596"/>
      <c r="O527" s="85"/>
      <c r="P527" s="85"/>
    </row>
    <row r="528" spans="1:16" ht="12.75">
      <c r="A528" s="567">
        <v>457</v>
      </c>
      <c r="B528" s="270" t="s">
        <v>69</v>
      </c>
      <c r="C528" s="270" t="s">
        <v>1442</v>
      </c>
      <c r="D528" s="656">
        <v>12</v>
      </c>
      <c r="E528" s="656">
        <v>8</v>
      </c>
      <c r="F528" s="656">
        <v>13</v>
      </c>
      <c r="G528" s="656">
        <v>16</v>
      </c>
      <c r="H528" s="625">
        <v>49</v>
      </c>
      <c r="K528" s="100"/>
      <c r="L528" s="596"/>
      <c r="M528" s="596"/>
      <c r="O528" s="85"/>
      <c r="P528" s="85"/>
    </row>
    <row r="529" spans="1:16" ht="12.75">
      <c r="A529" s="567">
        <v>458</v>
      </c>
      <c r="B529" s="270" t="s">
        <v>69</v>
      </c>
      <c r="C529" s="270" t="s">
        <v>1443</v>
      </c>
      <c r="D529" s="656">
        <v>126</v>
      </c>
      <c r="E529" s="656">
        <v>84</v>
      </c>
      <c r="F529" s="656">
        <v>95</v>
      </c>
      <c r="G529" s="656">
        <v>221</v>
      </c>
      <c r="H529" s="625">
        <v>526</v>
      </c>
      <c r="K529" s="100"/>
      <c r="L529" s="596"/>
      <c r="M529" s="596"/>
      <c r="O529" s="85"/>
      <c r="P529" s="85"/>
    </row>
    <row r="530" spans="1:16" ht="12.75">
      <c r="A530" s="567">
        <v>459</v>
      </c>
      <c r="B530" s="270" t="s">
        <v>69</v>
      </c>
      <c r="C530" s="270" t="s">
        <v>69</v>
      </c>
      <c r="D530" s="656">
        <v>962</v>
      </c>
      <c r="E530" s="656">
        <v>701</v>
      </c>
      <c r="F530" s="656">
        <v>820</v>
      </c>
      <c r="G530" s="657">
        <v>1617</v>
      </c>
      <c r="H530" s="624">
        <v>4100</v>
      </c>
      <c r="K530" s="100"/>
      <c r="L530" s="596"/>
      <c r="M530" s="596"/>
      <c r="O530" s="85"/>
      <c r="P530" s="85"/>
    </row>
    <row r="531" spans="1:16" ht="12.75">
      <c r="A531" s="567">
        <v>460</v>
      </c>
      <c r="B531" s="270" t="s">
        <v>69</v>
      </c>
      <c r="C531" s="270" t="s">
        <v>1444</v>
      </c>
      <c r="D531" s="656">
        <v>985</v>
      </c>
      <c r="E531" s="656">
        <v>656</v>
      </c>
      <c r="F531" s="656">
        <v>730</v>
      </c>
      <c r="G531" s="657">
        <v>1731</v>
      </c>
      <c r="H531" s="624">
        <v>4102</v>
      </c>
      <c r="K531" s="100"/>
      <c r="L531" s="596"/>
      <c r="M531" s="596"/>
      <c r="O531" s="85"/>
      <c r="P531" s="85"/>
    </row>
    <row r="532" spans="1:16" ht="12.75">
      <c r="A532" s="567">
        <v>461</v>
      </c>
      <c r="B532" s="400" t="s">
        <v>69</v>
      </c>
      <c r="C532" s="270" t="s">
        <v>1445</v>
      </c>
      <c r="D532" s="656">
        <v>42</v>
      </c>
      <c r="E532" s="656">
        <v>28</v>
      </c>
      <c r="F532" s="656">
        <v>30</v>
      </c>
      <c r="G532" s="656">
        <v>75</v>
      </c>
      <c r="H532" s="625">
        <v>175</v>
      </c>
      <c r="K532" s="100"/>
      <c r="L532" s="596"/>
      <c r="M532" s="596"/>
      <c r="O532" s="85"/>
      <c r="P532" s="85"/>
    </row>
    <row r="533" spans="1:16" ht="12.75">
      <c r="A533" s="567">
        <v>462</v>
      </c>
      <c r="B533" s="270" t="s">
        <v>69</v>
      </c>
      <c r="C533" s="270" t="s">
        <v>1017</v>
      </c>
      <c r="D533" s="656">
        <v>159</v>
      </c>
      <c r="E533" s="656">
        <v>106</v>
      </c>
      <c r="F533" s="656">
        <v>112</v>
      </c>
      <c r="G533" s="656">
        <v>284</v>
      </c>
      <c r="H533" s="625">
        <v>661</v>
      </c>
      <c r="K533" s="100"/>
      <c r="L533" s="596"/>
      <c r="M533" s="596"/>
      <c r="O533" s="85"/>
      <c r="P533" s="85"/>
    </row>
    <row r="534" spans="1:16" ht="12.75">
      <c r="A534" s="599"/>
      <c r="B534" s="652" t="s">
        <v>1446</v>
      </c>
      <c r="C534" s="607"/>
      <c r="D534" s="618">
        <v>5225</v>
      </c>
      <c r="E534" s="618">
        <v>3350</v>
      </c>
      <c r="F534" s="618">
        <v>3670</v>
      </c>
      <c r="G534" s="618">
        <v>9085</v>
      </c>
      <c r="H534" s="618">
        <v>21330</v>
      </c>
      <c r="K534" s="100"/>
      <c r="L534" s="596"/>
      <c r="M534" s="596"/>
      <c r="O534" s="85"/>
      <c r="P534" s="85"/>
    </row>
    <row r="535" spans="1:16" ht="12.75">
      <c r="A535" s="567">
        <v>463</v>
      </c>
      <c r="B535" s="270" t="s">
        <v>54</v>
      </c>
      <c r="C535" s="270" t="s">
        <v>1447</v>
      </c>
      <c r="D535" s="658">
        <v>622</v>
      </c>
      <c r="E535" s="658">
        <v>399</v>
      </c>
      <c r="F535" s="658">
        <v>446</v>
      </c>
      <c r="G535" s="658">
        <v>1104</v>
      </c>
      <c r="H535" s="624">
        <v>2571</v>
      </c>
      <c r="K535" s="100"/>
      <c r="L535" s="596"/>
      <c r="M535" s="596"/>
      <c r="O535" s="85"/>
      <c r="P535" s="85"/>
    </row>
    <row r="536" spans="1:16" ht="12.75">
      <c r="A536" s="567">
        <v>464</v>
      </c>
      <c r="B536" s="270" t="s">
        <v>54</v>
      </c>
      <c r="C536" s="270" t="s">
        <v>1448</v>
      </c>
      <c r="D536" s="658">
        <v>53</v>
      </c>
      <c r="E536" s="658">
        <v>34</v>
      </c>
      <c r="F536" s="658">
        <v>38</v>
      </c>
      <c r="G536" s="658">
        <v>93</v>
      </c>
      <c r="H536" s="625">
        <v>218</v>
      </c>
      <c r="K536" s="100"/>
      <c r="L536" s="596"/>
      <c r="M536" s="596"/>
      <c r="O536" s="85"/>
      <c r="P536" s="85"/>
    </row>
    <row r="537" spans="1:16" ht="12.75">
      <c r="A537" s="567">
        <v>465</v>
      </c>
      <c r="B537" s="270" t="s">
        <v>54</v>
      </c>
      <c r="C537" s="270" t="s">
        <v>1449</v>
      </c>
      <c r="D537" s="658">
        <v>1546</v>
      </c>
      <c r="E537" s="658">
        <v>991</v>
      </c>
      <c r="F537" s="658">
        <v>1100</v>
      </c>
      <c r="G537" s="658">
        <v>2724</v>
      </c>
      <c r="H537" s="624">
        <v>6361</v>
      </c>
      <c r="K537" s="100"/>
      <c r="L537" s="596"/>
      <c r="M537" s="596"/>
      <c r="O537" s="85"/>
      <c r="P537" s="85"/>
    </row>
    <row r="538" spans="1:16" ht="12.75">
      <c r="A538" s="567">
        <v>466</v>
      </c>
      <c r="B538" s="270" t="s">
        <v>54</v>
      </c>
      <c r="C538" s="270" t="s">
        <v>1450</v>
      </c>
      <c r="D538" s="658">
        <v>186</v>
      </c>
      <c r="E538" s="658">
        <v>119</v>
      </c>
      <c r="F538" s="658">
        <v>136</v>
      </c>
      <c r="G538" s="658">
        <v>337</v>
      </c>
      <c r="H538" s="625">
        <v>778</v>
      </c>
      <c r="K538" s="100"/>
      <c r="L538" s="596"/>
      <c r="M538" s="596"/>
      <c r="O538" s="85"/>
      <c r="P538" s="85"/>
    </row>
    <row r="539" spans="1:16" ht="12.75">
      <c r="A539" s="567">
        <v>467</v>
      </c>
      <c r="B539" s="270" t="s">
        <v>54</v>
      </c>
      <c r="C539" s="270" t="s">
        <v>1451</v>
      </c>
      <c r="D539" s="658">
        <v>315</v>
      </c>
      <c r="E539" s="658">
        <v>202</v>
      </c>
      <c r="F539" s="658">
        <v>210</v>
      </c>
      <c r="G539" s="658">
        <v>520</v>
      </c>
      <c r="H539" s="624">
        <v>1247</v>
      </c>
      <c r="K539" s="100"/>
      <c r="L539" s="596"/>
      <c r="M539" s="596"/>
      <c r="O539" s="85"/>
      <c r="P539" s="85"/>
    </row>
    <row r="540" spans="1:16" ht="12.75">
      <c r="A540" s="567">
        <v>468</v>
      </c>
      <c r="B540" s="270" t="s">
        <v>54</v>
      </c>
      <c r="C540" s="270" t="s">
        <v>1452</v>
      </c>
      <c r="D540" s="658">
        <v>636</v>
      </c>
      <c r="E540" s="658">
        <v>408</v>
      </c>
      <c r="F540" s="658">
        <v>416</v>
      </c>
      <c r="G540" s="658">
        <v>1031</v>
      </c>
      <c r="H540" s="624">
        <v>2491</v>
      </c>
      <c r="K540" s="100"/>
      <c r="L540" s="596"/>
      <c r="M540" s="596"/>
      <c r="O540" s="85"/>
      <c r="P540" s="85"/>
    </row>
    <row r="541" spans="1:16" ht="12.75">
      <c r="A541" s="567">
        <v>469</v>
      </c>
      <c r="B541" s="270" t="s">
        <v>54</v>
      </c>
      <c r="C541" s="270" t="s">
        <v>1453</v>
      </c>
      <c r="D541" s="658">
        <v>321</v>
      </c>
      <c r="E541" s="658">
        <v>206</v>
      </c>
      <c r="F541" s="658">
        <v>217</v>
      </c>
      <c r="G541" s="658">
        <v>536</v>
      </c>
      <c r="H541" s="624">
        <v>1280</v>
      </c>
      <c r="K541" s="100"/>
      <c r="L541" s="596"/>
      <c r="M541" s="596"/>
      <c r="O541" s="85"/>
      <c r="P541" s="85"/>
    </row>
    <row r="542" spans="1:16" ht="12.75">
      <c r="A542" s="567">
        <v>470</v>
      </c>
      <c r="B542" s="270" t="s">
        <v>54</v>
      </c>
      <c r="C542" s="270" t="s">
        <v>1454</v>
      </c>
      <c r="D542" s="658">
        <v>877</v>
      </c>
      <c r="E542" s="658">
        <v>562</v>
      </c>
      <c r="F542" s="658">
        <v>627</v>
      </c>
      <c r="G542" s="658">
        <v>1552</v>
      </c>
      <c r="H542" s="624">
        <v>3618</v>
      </c>
      <c r="K542" s="100"/>
      <c r="L542" s="596"/>
      <c r="M542" s="596"/>
      <c r="O542" s="85"/>
      <c r="P542" s="85"/>
    </row>
    <row r="543" spans="1:16" ht="12.75">
      <c r="A543" s="567">
        <v>471</v>
      </c>
      <c r="B543" s="270" t="s">
        <v>54</v>
      </c>
      <c r="C543" s="270" t="s">
        <v>1455</v>
      </c>
      <c r="D543" s="658">
        <v>131</v>
      </c>
      <c r="E543" s="658">
        <v>84</v>
      </c>
      <c r="F543" s="658">
        <v>89</v>
      </c>
      <c r="G543" s="658">
        <v>221</v>
      </c>
      <c r="H543" s="625">
        <v>525</v>
      </c>
      <c r="K543" s="100"/>
      <c r="L543" s="596"/>
      <c r="M543" s="596"/>
      <c r="O543" s="85"/>
      <c r="P543" s="85"/>
    </row>
    <row r="544" spans="1:16" ht="12.75">
      <c r="A544" s="567">
        <v>472</v>
      </c>
      <c r="B544" s="270" t="s">
        <v>54</v>
      </c>
      <c r="C544" s="270" t="s">
        <v>1017</v>
      </c>
      <c r="D544" s="658">
        <v>538</v>
      </c>
      <c r="E544" s="658">
        <v>345</v>
      </c>
      <c r="F544" s="658">
        <v>391</v>
      </c>
      <c r="G544" s="658">
        <v>967</v>
      </c>
      <c r="H544" s="624">
        <v>2241</v>
      </c>
      <c r="K544" s="100"/>
      <c r="L544" s="596"/>
      <c r="M544" s="596"/>
      <c r="O544" s="85"/>
      <c r="P544" s="85"/>
    </row>
    <row r="545" spans="1:16" ht="12.75">
      <c r="A545" s="599"/>
      <c r="B545" s="652" t="s">
        <v>1456</v>
      </c>
      <c r="C545" s="607"/>
      <c r="D545" s="618">
        <v>6215</v>
      </c>
      <c r="E545" s="618">
        <v>4655</v>
      </c>
      <c r="F545" s="618">
        <v>4575</v>
      </c>
      <c r="G545" s="618">
        <v>11465</v>
      </c>
      <c r="H545" s="618">
        <v>26910</v>
      </c>
      <c r="K545" s="100"/>
      <c r="L545" s="596"/>
      <c r="M545" s="596"/>
      <c r="O545" s="85"/>
      <c r="P545" s="85"/>
    </row>
    <row r="546" spans="1:16" ht="12.75">
      <c r="A546" s="567">
        <v>473</v>
      </c>
      <c r="B546" s="270" t="s">
        <v>50</v>
      </c>
      <c r="C546" s="270" t="s">
        <v>1457</v>
      </c>
      <c r="D546" s="658">
        <v>211</v>
      </c>
      <c r="E546" s="658">
        <v>163</v>
      </c>
      <c r="F546" s="658">
        <v>121</v>
      </c>
      <c r="G546" s="658">
        <v>470</v>
      </c>
      <c r="H546" s="625">
        <v>965</v>
      </c>
      <c r="K546" s="100"/>
      <c r="L546" s="596"/>
      <c r="M546" s="596"/>
      <c r="O546" s="85"/>
      <c r="P546" s="85"/>
    </row>
    <row r="547" spans="1:16" ht="12.75">
      <c r="A547" s="567">
        <v>474</v>
      </c>
      <c r="B547" s="270" t="s">
        <v>50</v>
      </c>
      <c r="C547" s="270" t="s">
        <v>1458</v>
      </c>
      <c r="D547" s="658">
        <v>143</v>
      </c>
      <c r="E547" s="658">
        <v>125</v>
      </c>
      <c r="F547" s="658">
        <v>85</v>
      </c>
      <c r="G547" s="658">
        <v>272</v>
      </c>
      <c r="H547" s="625">
        <v>625</v>
      </c>
      <c r="K547" s="100"/>
      <c r="L547" s="596"/>
      <c r="M547" s="596"/>
      <c r="O547" s="85"/>
      <c r="P547" s="85"/>
    </row>
    <row r="548" spans="1:16" ht="12.75">
      <c r="A548" s="567">
        <v>475</v>
      </c>
      <c r="B548" s="270" t="s">
        <v>50</v>
      </c>
      <c r="C548" s="270" t="s">
        <v>1459</v>
      </c>
      <c r="D548" s="658">
        <v>74</v>
      </c>
      <c r="E548" s="658">
        <v>65</v>
      </c>
      <c r="F548" s="658">
        <v>68</v>
      </c>
      <c r="G548" s="658">
        <v>259</v>
      </c>
      <c r="H548" s="625">
        <v>466</v>
      </c>
      <c r="K548" s="100"/>
      <c r="L548" s="596"/>
      <c r="M548" s="596"/>
      <c r="O548" s="85"/>
      <c r="P548" s="85"/>
    </row>
    <row r="549" spans="1:16" ht="12.75">
      <c r="A549" s="567">
        <v>476</v>
      </c>
      <c r="B549" s="270" t="s">
        <v>50</v>
      </c>
      <c r="C549" s="270" t="s">
        <v>1460</v>
      </c>
      <c r="D549" s="658">
        <v>80</v>
      </c>
      <c r="E549" s="658">
        <v>80</v>
      </c>
      <c r="F549" s="658">
        <v>82</v>
      </c>
      <c r="G549" s="658">
        <v>348</v>
      </c>
      <c r="H549" s="625">
        <v>590</v>
      </c>
      <c r="K549" s="100"/>
      <c r="L549" s="596"/>
      <c r="M549" s="596"/>
      <c r="O549" s="85"/>
      <c r="P549" s="85"/>
    </row>
    <row r="550" spans="1:16" ht="12.75">
      <c r="A550" s="567">
        <v>477</v>
      </c>
      <c r="B550" s="270" t="s">
        <v>50</v>
      </c>
      <c r="C550" s="270" t="s">
        <v>1461</v>
      </c>
      <c r="D550" s="658">
        <v>623</v>
      </c>
      <c r="E550" s="658">
        <v>576</v>
      </c>
      <c r="F550" s="658">
        <v>566</v>
      </c>
      <c r="G550" s="658">
        <v>1431</v>
      </c>
      <c r="H550" s="624">
        <v>3196</v>
      </c>
      <c r="K550" s="100"/>
      <c r="L550" s="596"/>
      <c r="M550" s="596"/>
      <c r="O550" s="85"/>
      <c r="P550" s="85"/>
    </row>
    <row r="551" spans="1:16" ht="12.75">
      <c r="A551" s="567">
        <v>478</v>
      </c>
      <c r="B551" s="270" t="s">
        <v>50</v>
      </c>
      <c r="C551" s="270" t="s">
        <v>50</v>
      </c>
      <c r="D551" s="658">
        <v>920</v>
      </c>
      <c r="E551" s="658">
        <v>609</v>
      </c>
      <c r="F551" s="658">
        <v>613</v>
      </c>
      <c r="G551" s="658">
        <v>1452</v>
      </c>
      <c r="H551" s="624">
        <v>3594</v>
      </c>
      <c r="K551" s="100"/>
      <c r="L551" s="596"/>
      <c r="M551" s="596"/>
      <c r="O551" s="85"/>
      <c r="P551" s="85"/>
    </row>
    <row r="552" spans="1:16" ht="12.75">
      <c r="A552" s="567">
        <v>479</v>
      </c>
      <c r="B552" s="270" t="s">
        <v>50</v>
      </c>
      <c r="C552" s="270" t="s">
        <v>1462</v>
      </c>
      <c r="D552" s="658">
        <v>2616</v>
      </c>
      <c r="E552" s="658">
        <v>1931</v>
      </c>
      <c r="F552" s="658">
        <v>1802</v>
      </c>
      <c r="G552" s="658">
        <v>3672</v>
      </c>
      <c r="H552" s="624">
        <v>10021</v>
      </c>
      <c r="K552" s="100"/>
      <c r="L552" s="596"/>
      <c r="M552" s="596"/>
      <c r="O552" s="85"/>
      <c r="P552" s="85"/>
    </row>
    <row r="553" spans="1:16" ht="12.75">
      <c r="A553" s="567">
        <v>480</v>
      </c>
      <c r="B553" s="270" t="s">
        <v>50</v>
      </c>
      <c r="C553" s="270" t="s">
        <v>1463</v>
      </c>
      <c r="D553" s="658">
        <v>71</v>
      </c>
      <c r="E553" s="658">
        <v>41</v>
      </c>
      <c r="F553" s="658">
        <v>69</v>
      </c>
      <c r="G553" s="658">
        <v>191</v>
      </c>
      <c r="H553" s="625">
        <v>372</v>
      </c>
      <c r="K553" s="100"/>
      <c r="L553" s="596"/>
      <c r="M553" s="596"/>
      <c r="O553" s="85"/>
      <c r="P553" s="85"/>
    </row>
    <row r="554" spans="1:16" ht="12.75">
      <c r="A554" s="567">
        <v>481</v>
      </c>
      <c r="B554" s="270" t="s">
        <v>50</v>
      </c>
      <c r="C554" s="270" t="s">
        <v>1017</v>
      </c>
      <c r="D554" s="658">
        <v>1477</v>
      </c>
      <c r="E554" s="658">
        <v>1065</v>
      </c>
      <c r="F554" s="658">
        <v>1169</v>
      </c>
      <c r="G554" s="658">
        <v>3370</v>
      </c>
      <c r="H554" s="624">
        <v>7081</v>
      </c>
      <c r="K554" s="100"/>
      <c r="L554" s="596"/>
      <c r="M554" s="596"/>
      <c r="O554" s="85"/>
      <c r="P554" s="85"/>
    </row>
    <row r="555" spans="1:16" ht="12.75">
      <c r="A555" s="599"/>
      <c r="B555" s="659"/>
      <c r="C555" s="660"/>
      <c r="D555" s="661"/>
      <c r="E555" s="661"/>
      <c r="F555" s="661"/>
      <c r="G555" s="661"/>
      <c r="H555" s="662"/>
      <c r="K555" s="100"/>
      <c r="L555" s="596"/>
      <c r="M555" s="596"/>
      <c r="O555" s="85"/>
      <c r="P555" s="85"/>
    </row>
    <row r="556" spans="1:16" ht="12.75">
      <c r="A556" s="599"/>
      <c r="B556" s="718" t="s">
        <v>1464</v>
      </c>
      <c r="C556" s="688"/>
      <c r="D556" s="663"/>
      <c r="E556" s="663"/>
      <c r="F556" s="663"/>
      <c r="G556" s="663"/>
      <c r="H556" s="663"/>
      <c r="K556" s="100"/>
      <c r="L556" s="596"/>
      <c r="M556" s="596"/>
      <c r="O556" s="85"/>
      <c r="P556" s="85"/>
    </row>
    <row r="557" spans="1:16" ht="12.75">
      <c r="A557" s="567">
        <v>482</v>
      </c>
      <c r="B557" s="619" t="s">
        <v>1465</v>
      </c>
      <c r="C557" s="607"/>
      <c r="D557" s="664">
        <v>7</v>
      </c>
      <c r="E557" s="664">
        <v>6</v>
      </c>
      <c r="F557" s="664">
        <v>6</v>
      </c>
      <c r="G557" s="664">
        <v>11</v>
      </c>
      <c r="H557" s="644">
        <v>30</v>
      </c>
      <c r="K557" s="100"/>
      <c r="L557" s="596"/>
      <c r="M557" s="596"/>
      <c r="O557" s="85"/>
      <c r="P557" s="85"/>
    </row>
    <row r="558" spans="1:16" ht="12.75">
      <c r="A558" s="599"/>
      <c r="B558" s="619" t="s">
        <v>90</v>
      </c>
      <c r="C558" s="607"/>
      <c r="D558" s="644">
        <v>21</v>
      </c>
      <c r="E558" s="644">
        <v>17</v>
      </c>
      <c r="F558" s="644">
        <v>19</v>
      </c>
      <c r="G558" s="644">
        <v>43</v>
      </c>
      <c r="H558" s="644">
        <v>100</v>
      </c>
      <c r="K558" s="100"/>
      <c r="L558" s="596"/>
      <c r="M558" s="596"/>
      <c r="O558" s="85"/>
      <c r="P558" s="85"/>
    </row>
    <row r="559" spans="1:16" ht="12.75">
      <c r="A559" s="567">
        <v>483</v>
      </c>
      <c r="B559" s="270" t="s">
        <v>90</v>
      </c>
      <c r="C559" s="270" t="s">
        <v>1466</v>
      </c>
      <c r="D559" s="622">
        <v>1</v>
      </c>
      <c r="E559" s="622">
        <v>1</v>
      </c>
      <c r="F559" s="622" t="s">
        <v>1041</v>
      </c>
      <c r="G559" s="622" t="s">
        <v>1041</v>
      </c>
      <c r="H559" s="625">
        <v>2</v>
      </c>
      <c r="K559" s="100"/>
      <c r="L559" s="596"/>
      <c r="M559" s="596"/>
      <c r="O559" s="85"/>
      <c r="P559" s="85"/>
    </row>
    <row r="560" spans="1:16" ht="12.75">
      <c r="A560" s="567">
        <v>484</v>
      </c>
      <c r="B560" s="270" t="s">
        <v>90</v>
      </c>
      <c r="C560" s="270" t="s">
        <v>1467</v>
      </c>
      <c r="D560" s="622">
        <v>3</v>
      </c>
      <c r="E560" s="622">
        <v>3</v>
      </c>
      <c r="F560" s="622">
        <v>3</v>
      </c>
      <c r="G560" s="622">
        <v>7</v>
      </c>
      <c r="H560" s="625">
        <v>16</v>
      </c>
      <c r="K560" s="100"/>
      <c r="L560" s="596"/>
      <c r="M560" s="596"/>
      <c r="O560" s="85"/>
      <c r="P560" s="85"/>
    </row>
    <row r="561" spans="1:16" ht="12.75">
      <c r="A561" s="567">
        <v>485</v>
      </c>
      <c r="B561" s="270" t="s">
        <v>90</v>
      </c>
      <c r="C561" s="270" t="s">
        <v>1468</v>
      </c>
      <c r="D561" s="622">
        <v>4</v>
      </c>
      <c r="E561" s="622">
        <v>3</v>
      </c>
      <c r="F561" s="622">
        <v>4</v>
      </c>
      <c r="G561" s="622">
        <v>8</v>
      </c>
      <c r="H561" s="625">
        <v>19</v>
      </c>
      <c r="K561" s="100"/>
      <c r="L561" s="596"/>
      <c r="M561" s="596"/>
      <c r="O561" s="85"/>
      <c r="P561" s="85"/>
    </row>
    <row r="562" spans="1:16" ht="12.75">
      <c r="A562" s="567">
        <v>486</v>
      </c>
      <c r="B562" s="270" t="s">
        <v>90</v>
      </c>
      <c r="C562" s="270" t="s">
        <v>1469</v>
      </c>
      <c r="D562" s="622">
        <v>1</v>
      </c>
      <c r="E562" s="622">
        <v>1</v>
      </c>
      <c r="F562" s="622">
        <v>1</v>
      </c>
      <c r="G562" s="622">
        <v>1</v>
      </c>
      <c r="H562" s="625">
        <v>4</v>
      </c>
      <c r="K562" s="100"/>
      <c r="L562" s="596"/>
      <c r="M562" s="596"/>
      <c r="O562" s="85"/>
      <c r="P562" s="85"/>
    </row>
    <row r="563" spans="1:16" ht="12.75">
      <c r="A563" s="567">
        <v>487</v>
      </c>
      <c r="B563" s="270" t="s">
        <v>90</v>
      </c>
      <c r="C563" s="270" t="s">
        <v>1470</v>
      </c>
      <c r="D563" s="622">
        <v>2</v>
      </c>
      <c r="E563" s="622">
        <v>2</v>
      </c>
      <c r="F563" s="622">
        <v>2</v>
      </c>
      <c r="G563" s="622">
        <v>4</v>
      </c>
      <c r="H563" s="625">
        <v>10</v>
      </c>
      <c r="K563" s="100"/>
      <c r="L563" s="596"/>
      <c r="M563" s="596"/>
      <c r="O563" s="85"/>
      <c r="P563" s="85"/>
    </row>
    <row r="564" spans="1:16" ht="12.75">
      <c r="A564" s="567">
        <v>488</v>
      </c>
      <c r="B564" s="270" t="s">
        <v>90</v>
      </c>
      <c r="C564" s="270" t="s">
        <v>1017</v>
      </c>
      <c r="D564" s="622">
        <v>10</v>
      </c>
      <c r="E564" s="622">
        <v>7</v>
      </c>
      <c r="F564" s="622">
        <v>9</v>
      </c>
      <c r="G564" s="622">
        <v>23</v>
      </c>
      <c r="H564" s="625">
        <v>49</v>
      </c>
      <c r="K564" s="100"/>
      <c r="L564" s="596"/>
      <c r="M564" s="596"/>
      <c r="O564" s="85"/>
      <c r="P564" s="85"/>
    </row>
    <row r="565" spans="1:16" ht="12.75">
      <c r="A565" s="599"/>
      <c r="B565" s="619" t="s">
        <v>70</v>
      </c>
      <c r="C565" s="607"/>
      <c r="D565" s="641">
        <v>280</v>
      </c>
      <c r="E565" s="641">
        <v>200</v>
      </c>
      <c r="F565" s="641">
        <v>220</v>
      </c>
      <c r="G565" s="641">
        <v>540</v>
      </c>
      <c r="H565" s="618">
        <v>1240</v>
      </c>
      <c r="K565" s="100"/>
      <c r="L565" s="596"/>
      <c r="M565" s="596"/>
      <c r="O565" s="85"/>
      <c r="P565" s="85"/>
    </row>
    <row r="566" spans="1:16" ht="12.75">
      <c r="A566" s="567">
        <v>489</v>
      </c>
      <c r="B566" s="270" t="s">
        <v>70</v>
      </c>
      <c r="C566" s="270" t="s">
        <v>1471</v>
      </c>
      <c r="D566" s="622">
        <v>39</v>
      </c>
      <c r="E566" s="622">
        <v>25</v>
      </c>
      <c r="F566" s="622">
        <v>28</v>
      </c>
      <c r="G566" s="622">
        <v>69</v>
      </c>
      <c r="H566" s="625">
        <v>161</v>
      </c>
      <c r="K566" s="100"/>
      <c r="L566" s="596"/>
      <c r="M566" s="596"/>
      <c r="O566" s="85"/>
      <c r="P566" s="85"/>
    </row>
    <row r="567" spans="1:16" ht="12.75">
      <c r="A567" s="567">
        <v>490</v>
      </c>
      <c r="B567" s="270" t="s">
        <v>70</v>
      </c>
      <c r="C567" s="270" t="s">
        <v>1017</v>
      </c>
      <c r="D567" s="622">
        <v>241</v>
      </c>
      <c r="E567" s="622">
        <v>175</v>
      </c>
      <c r="F567" s="622">
        <v>192</v>
      </c>
      <c r="G567" s="622">
        <v>471</v>
      </c>
      <c r="H567" s="624">
        <v>1079</v>
      </c>
      <c r="K567" s="100"/>
      <c r="L567" s="596"/>
      <c r="M567" s="596"/>
      <c r="O567" s="85"/>
      <c r="P567" s="85"/>
    </row>
    <row r="568" spans="1:16" ht="12.75">
      <c r="A568" s="599"/>
      <c r="B568" s="665" t="s">
        <v>81</v>
      </c>
      <c r="C568" s="607"/>
      <c r="D568" s="644">
        <v>255</v>
      </c>
      <c r="E568" s="644">
        <v>205</v>
      </c>
      <c r="F568" s="644">
        <v>210</v>
      </c>
      <c r="G568" s="644">
        <v>490</v>
      </c>
      <c r="H568" s="618">
        <v>1160</v>
      </c>
      <c r="K568" s="100"/>
      <c r="L568" s="596"/>
      <c r="M568" s="596"/>
      <c r="O568" s="85"/>
      <c r="P568" s="85"/>
    </row>
    <row r="569" spans="1:16" ht="12.75">
      <c r="A569" s="567">
        <v>491</v>
      </c>
      <c r="B569" s="270" t="s">
        <v>81</v>
      </c>
      <c r="C569" s="270" t="s">
        <v>81</v>
      </c>
      <c r="D569" s="622">
        <v>79</v>
      </c>
      <c r="E569" s="622">
        <v>64</v>
      </c>
      <c r="F569" s="622">
        <v>61</v>
      </c>
      <c r="G569" s="622">
        <v>150</v>
      </c>
      <c r="H569" s="625">
        <v>354</v>
      </c>
      <c r="K569" s="100"/>
      <c r="L569" s="596"/>
      <c r="M569" s="596"/>
      <c r="O569" s="85"/>
      <c r="P569" s="85"/>
    </row>
    <row r="570" spans="1:16" ht="12.75">
      <c r="A570" s="567">
        <v>492</v>
      </c>
      <c r="B570" s="270" t="s">
        <v>81</v>
      </c>
      <c r="C570" s="270" t="s">
        <v>1472</v>
      </c>
      <c r="D570" s="622">
        <v>69</v>
      </c>
      <c r="E570" s="622">
        <v>50</v>
      </c>
      <c r="F570" s="622">
        <v>58</v>
      </c>
      <c r="G570" s="622">
        <v>130</v>
      </c>
      <c r="H570" s="625">
        <v>307</v>
      </c>
      <c r="K570" s="100"/>
      <c r="L570" s="596"/>
      <c r="M570" s="596"/>
      <c r="O570" s="85"/>
      <c r="P570" s="85"/>
    </row>
    <row r="571" spans="1:16" ht="12.75">
      <c r="A571" s="567">
        <v>493</v>
      </c>
      <c r="B571" s="270" t="s">
        <v>81</v>
      </c>
      <c r="C571" s="270" t="s">
        <v>1017</v>
      </c>
      <c r="D571" s="622">
        <v>107</v>
      </c>
      <c r="E571" s="622">
        <v>91</v>
      </c>
      <c r="F571" s="622">
        <v>91</v>
      </c>
      <c r="G571" s="622">
        <v>210</v>
      </c>
      <c r="H571" s="625">
        <v>499</v>
      </c>
      <c r="K571" s="100"/>
      <c r="L571" s="596"/>
      <c r="M571" s="596"/>
      <c r="O571" s="85"/>
      <c r="P571" s="85"/>
    </row>
    <row r="572" spans="1:16" ht="12.75">
      <c r="A572" s="599"/>
      <c r="B572" s="619" t="s">
        <v>74</v>
      </c>
      <c r="C572" s="607"/>
      <c r="D572" s="644">
        <v>80</v>
      </c>
      <c r="E572" s="644">
        <v>50</v>
      </c>
      <c r="F572" s="644">
        <v>40</v>
      </c>
      <c r="G572" s="644">
        <v>140</v>
      </c>
      <c r="H572" s="644">
        <v>310</v>
      </c>
      <c r="K572" s="100"/>
      <c r="L572" s="596"/>
      <c r="M572" s="596"/>
      <c r="O572" s="85"/>
      <c r="P572" s="85"/>
    </row>
    <row r="573" spans="1:16" ht="12.75">
      <c r="A573" s="567">
        <v>494</v>
      </c>
      <c r="B573" s="270" t="s">
        <v>74</v>
      </c>
      <c r="C573" s="270" t="s">
        <v>1473</v>
      </c>
      <c r="D573" s="622">
        <v>20</v>
      </c>
      <c r="E573" s="622">
        <v>13</v>
      </c>
      <c r="F573" s="622">
        <v>10</v>
      </c>
      <c r="G573" s="622">
        <v>34</v>
      </c>
      <c r="H573" s="625">
        <v>77</v>
      </c>
      <c r="K573" s="100"/>
      <c r="L573" s="596"/>
      <c r="M573" s="596"/>
      <c r="O573" s="85"/>
      <c r="P573" s="85"/>
    </row>
    <row r="574" spans="1:16" ht="12.75">
      <c r="A574" s="567">
        <v>495</v>
      </c>
      <c r="B574" s="270" t="s">
        <v>74</v>
      </c>
      <c r="C574" s="270" t="s">
        <v>1017</v>
      </c>
      <c r="D574" s="622">
        <v>60</v>
      </c>
      <c r="E574" s="622">
        <v>37</v>
      </c>
      <c r="F574" s="622">
        <v>30</v>
      </c>
      <c r="G574" s="622">
        <v>106</v>
      </c>
      <c r="H574" s="625">
        <v>233</v>
      </c>
      <c r="K574" s="100"/>
      <c r="L574" s="596"/>
      <c r="M574" s="596"/>
      <c r="O574" s="85"/>
      <c r="P574" s="85"/>
    </row>
    <row r="575" spans="1:16" ht="12.75">
      <c r="A575" s="599"/>
      <c r="B575" s="619" t="s">
        <v>95</v>
      </c>
      <c r="C575" s="607"/>
      <c r="D575" s="644">
        <v>60</v>
      </c>
      <c r="E575" s="644">
        <v>40</v>
      </c>
      <c r="F575" s="644">
        <v>50</v>
      </c>
      <c r="G575" s="644">
        <v>110</v>
      </c>
      <c r="H575" s="644">
        <v>260</v>
      </c>
      <c r="K575" s="100"/>
      <c r="L575" s="596"/>
      <c r="M575" s="596"/>
      <c r="O575" s="85"/>
      <c r="P575" s="85"/>
    </row>
    <row r="576" spans="1:16" ht="12.75">
      <c r="A576" s="567">
        <v>496</v>
      </c>
      <c r="B576" s="270" t="s">
        <v>95</v>
      </c>
      <c r="C576" s="270" t="s">
        <v>1474</v>
      </c>
      <c r="D576" s="622">
        <v>20</v>
      </c>
      <c r="E576" s="622">
        <v>10</v>
      </c>
      <c r="F576" s="622">
        <v>14</v>
      </c>
      <c r="G576" s="622">
        <v>36</v>
      </c>
      <c r="H576" s="625">
        <v>80</v>
      </c>
      <c r="K576" s="100"/>
      <c r="L576" s="596"/>
      <c r="M576" s="596"/>
      <c r="O576" s="85"/>
      <c r="P576" s="85"/>
    </row>
    <row r="577" spans="1:16" ht="12.75">
      <c r="A577" s="567">
        <v>497</v>
      </c>
      <c r="B577" s="270" t="s">
        <v>95</v>
      </c>
      <c r="C577" s="270" t="s">
        <v>1475</v>
      </c>
      <c r="D577" s="622">
        <v>15</v>
      </c>
      <c r="E577" s="622">
        <v>11</v>
      </c>
      <c r="F577" s="622">
        <v>11</v>
      </c>
      <c r="G577" s="622">
        <v>26</v>
      </c>
      <c r="H577" s="625">
        <v>63</v>
      </c>
      <c r="K577" s="100"/>
      <c r="L577" s="596"/>
      <c r="M577" s="596"/>
      <c r="O577" s="85"/>
      <c r="P577" s="85"/>
    </row>
    <row r="578" spans="1:16" ht="12.75">
      <c r="A578" s="567">
        <v>498</v>
      </c>
      <c r="B578" s="270" t="s">
        <v>95</v>
      </c>
      <c r="C578" s="270" t="s">
        <v>1017</v>
      </c>
      <c r="D578" s="622">
        <v>25</v>
      </c>
      <c r="E578" s="622">
        <v>19</v>
      </c>
      <c r="F578" s="622">
        <v>25</v>
      </c>
      <c r="G578" s="622">
        <v>48</v>
      </c>
      <c r="H578" s="625">
        <v>117</v>
      </c>
      <c r="K578" s="100"/>
      <c r="L578" s="596"/>
      <c r="M578" s="596"/>
      <c r="O578" s="85"/>
      <c r="P578" s="85"/>
    </row>
    <row r="579" spans="1:16" ht="12.75">
      <c r="A579" s="599"/>
      <c r="B579" s="619" t="s">
        <v>83</v>
      </c>
      <c r="C579" s="607"/>
      <c r="D579" s="644">
        <v>50</v>
      </c>
      <c r="E579" s="644">
        <v>35</v>
      </c>
      <c r="F579" s="644">
        <v>40</v>
      </c>
      <c r="G579" s="644">
        <v>100</v>
      </c>
      <c r="H579" s="644">
        <v>225</v>
      </c>
      <c r="K579" s="100"/>
      <c r="L579" s="596"/>
      <c r="M579" s="596"/>
      <c r="O579" s="85"/>
      <c r="P579" s="85"/>
    </row>
    <row r="580" spans="1:16" ht="12.75">
      <c r="A580" s="567">
        <v>499</v>
      </c>
      <c r="B580" s="270" t="s">
        <v>83</v>
      </c>
      <c r="C580" s="270" t="s">
        <v>1476</v>
      </c>
      <c r="D580" s="622">
        <v>15</v>
      </c>
      <c r="E580" s="622">
        <v>10</v>
      </c>
      <c r="F580" s="622">
        <v>12</v>
      </c>
      <c r="G580" s="622">
        <v>28</v>
      </c>
      <c r="H580" s="625">
        <v>65</v>
      </c>
      <c r="K580" s="100"/>
      <c r="L580" s="596"/>
      <c r="M580" s="596"/>
      <c r="O580" s="85"/>
      <c r="P580" s="85"/>
    </row>
    <row r="581" spans="1:16" ht="12.75">
      <c r="A581" s="567">
        <v>500</v>
      </c>
      <c r="B581" s="270" t="s">
        <v>83</v>
      </c>
      <c r="C581" s="270" t="s">
        <v>1017</v>
      </c>
      <c r="D581" s="622">
        <v>35</v>
      </c>
      <c r="E581" s="622">
        <v>25</v>
      </c>
      <c r="F581" s="622">
        <v>28</v>
      </c>
      <c r="G581" s="622">
        <v>72</v>
      </c>
      <c r="H581" s="625">
        <v>160</v>
      </c>
      <c r="K581" s="100"/>
      <c r="L581" s="596"/>
      <c r="M581" s="596"/>
      <c r="O581" s="85"/>
      <c r="P581" s="85"/>
    </row>
    <row r="582" spans="1:16" ht="12.75">
      <c r="A582" s="599"/>
      <c r="B582" s="619" t="s">
        <v>87</v>
      </c>
      <c r="C582" s="607"/>
      <c r="D582" s="644">
        <v>18</v>
      </c>
      <c r="E582" s="644">
        <v>9</v>
      </c>
      <c r="F582" s="644">
        <v>13</v>
      </c>
      <c r="G582" s="644">
        <v>30</v>
      </c>
      <c r="H582" s="644">
        <v>70</v>
      </c>
      <c r="K582" s="100"/>
      <c r="L582" s="596"/>
      <c r="M582" s="596"/>
      <c r="O582" s="85"/>
      <c r="P582" s="85"/>
    </row>
    <row r="583" spans="1:16" ht="12.75">
      <c r="A583" s="567">
        <v>501</v>
      </c>
      <c r="B583" s="270" t="s">
        <v>87</v>
      </c>
      <c r="C583" s="270" t="s">
        <v>1477</v>
      </c>
      <c r="D583" s="622">
        <v>8</v>
      </c>
      <c r="E583" s="622">
        <v>4</v>
      </c>
      <c r="F583" s="622">
        <v>6</v>
      </c>
      <c r="G583" s="622">
        <v>12</v>
      </c>
      <c r="H583" s="625">
        <v>30</v>
      </c>
      <c r="K583" s="100"/>
      <c r="L583" s="596"/>
      <c r="M583" s="596"/>
      <c r="O583" s="85"/>
      <c r="P583" s="85"/>
    </row>
    <row r="584" spans="1:16" ht="12.75">
      <c r="A584" s="567">
        <v>502</v>
      </c>
      <c r="B584" s="270" t="s">
        <v>87</v>
      </c>
      <c r="C584" s="270" t="s">
        <v>1017</v>
      </c>
      <c r="D584" s="622">
        <v>10</v>
      </c>
      <c r="E584" s="622">
        <v>5</v>
      </c>
      <c r="F584" s="622">
        <v>7</v>
      </c>
      <c r="G584" s="622">
        <v>18</v>
      </c>
      <c r="H584" s="625">
        <v>40</v>
      </c>
      <c r="K584" s="100"/>
      <c r="L584" s="596"/>
      <c r="M584" s="596"/>
      <c r="O584" s="85"/>
      <c r="P584" s="85"/>
    </row>
    <row r="585" spans="1:16" ht="12.75">
      <c r="A585" s="599"/>
      <c r="B585" s="619" t="s">
        <v>1021</v>
      </c>
      <c r="C585" s="607"/>
      <c r="D585" s="618">
        <v>2890</v>
      </c>
      <c r="E585" s="618">
        <v>2230</v>
      </c>
      <c r="F585" s="618">
        <v>2310</v>
      </c>
      <c r="G585" s="618">
        <v>5465</v>
      </c>
      <c r="H585" s="618">
        <v>12895</v>
      </c>
      <c r="K585" s="100"/>
      <c r="L585" s="596"/>
      <c r="M585" s="596"/>
      <c r="O585" s="85"/>
      <c r="P585" s="85"/>
    </row>
    <row r="586" spans="1:16" ht="12.75">
      <c r="A586" s="567">
        <v>503</v>
      </c>
      <c r="B586" s="270" t="s">
        <v>1021</v>
      </c>
      <c r="C586" s="270" t="s">
        <v>1478</v>
      </c>
      <c r="D586" s="666">
        <v>253</v>
      </c>
      <c r="E586" s="666">
        <v>190</v>
      </c>
      <c r="F586" s="666">
        <v>204</v>
      </c>
      <c r="G586" s="666">
        <v>467</v>
      </c>
      <c r="H586" s="624">
        <v>1114</v>
      </c>
      <c r="K586" s="100"/>
      <c r="L586" s="596"/>
      <c r="M586" s="596"/>
      <c r="O586" s="85"/>
      <c r="P586" s="85"/>
    </row>
    <row r="587" spans="1:16" ht="12.75">
      <c r="A587" s="567">
        <v>504</v>
      </c>
      <c r="B587" s="270" t="s">
        <v>1021</v>
      </c>
      <c r="C587" s="270" t="s">
        <v>1021</v>
      </c>
      <c r="D587" s="667">
        <v>1352</v>
      </c>
      <c r="E587" s="667">
        <v>1056</v>
      </c>
      <c r="F587" s="667">
        <v>1091</v>
      </c>
      <c r="G587" s="667">
        <v>2600</v>
      </c>
      <c r="H587" s="624">
        <v>6099</v>
      </c>
      <c r="K587" s="100"/>
      <c r="L587" s="596"/>
      <c r="M587" s="596"/>
      <c r="O587" s="85"/>
      <c r="P587" s="85"/>
    </row>
    <row r="588" spans="1:16" ht="12.75">
      <c r="A588" s="567">
        <v>505</v>
      </c>
      <c r="B588" s="270" t="s">
        <v>1021</v>
      </c>
      <c r="C588" s="270" t="s">
        <v>1017</v>
      </c>
      <c r="D588" s="667">
        <v>1285</v>
      </c>
      <c r="E588" s="666">
        <v>984</v>
      </c>
      <c r="F588" s="667">
        <v>1015</v>
      </c>
      <c r="G588" s="667">
        <v>2398</v>
      </c>
      <c r="H588" s="624">
        <v>5682</v>
      </c>
      <c r="K588" s="100"/>
      <c r="L588" s="596"/>
      <c r="M588" s="596"/>
      <c r="O588" s="85"/>
      <c r="P588" s="85"/>
    </row>
    <row r="589" spans="1:16" ht="12.75">
      <c r="A589" s="567">
        <v>506</v>
      </c>
      <c r="B589" s="619" t="s">
        <v>1479</v>
      </c>
      <c r="C589" s="607"/>
      <c r="D589" s="668">
        <v>265</v>
      </c>
      <c r="E589" s="668">
        <v>130</v>
      </c>
      <c r="F589" s="668">
        <v>180</v>
      </c>
      <c r="G589" s="668">
        <v>420</v>
      </c>
      <c r="H589" s="644">
        <v>995</v>
      </c>
      <c r="K589" s="100"/>
      <c r="L589" s="596"/>
      <c r="M589" s="596"/>
      <c r="O589" s="85"/>
      <c r="P589" s="85"/>
    </row>
    <row r="590" spans="1:16" ht="12.75">
      <c r="A590" s="599"/>
      <c r="B590" s="619" t="s">
        <v>89</v>
      </c>
      <c r="C590" s="607"/>
      <c r="D590" s="644">
        <v>3</v>
      </c>
      <c r="E590" s="644">
        <v>3</v>
      </c>
      <c r="F590" s="644">
        <v>2</v>
      </c>
      <c r="G590" s="644">
        <v>7</v>
      </c>
      <c r="H590" s="644">
        <v>15</v>
      </c>
      <c r="K590" s="100"/>
      <c r="L590" s="596"/>
      <c r="M590" s="596"/>
      <c r="O590" s="85"/>
      <c r="P590" s="85"/>
    </row>
    <row r="591" spans="1:16" ht="12.75">
      <c r="A591" s="567">
        <v>507</v>
      </c>
      <c r="B591" s="270" t="s">
        <v>89</v>
      </c>
      <c r="C591" s="270" t="s">
        <v>1480</v>
      </c>
      <c r="D591" s="622">
        <v>1</v>
      </c>
      <c r="E591" s="622">
        <v>1</v>
      </c>
      <c r="F591" s="622">
        <v>1</v>
      </c>
      <c r="G591" s="622">
        <v>2</v>
      </c>
      <c r="H591" s="625">
        <v>5</v>
      </c>
      <c r="K591" s="100"/>
      <c r="L591" s="596"/>
      <c r="M591" s="596"/>
      <c r="O591" s="85"/>
      <c r="P591" s="85"/>
    </row>
    <row r="592" spans="1:16" ht="12.75">
      <c r="A592" s="567">
        <v>508</v>
      </c>
      <c r="B592" s="270" t="s">
        <v>89</v>
      </c>
      <c r="C592" s="270" t="s">
        <v>1017</v>
      </c>
      <c r="D592" s="622">
        <v>2</v>
      </c>
      <c r="E592" s="622">
        <v>2</v>
      </c>
      <c r="F592" s="622">
        <v>1</v>
      </c>
      <c r="G592" s="622">
        <v>5</v>
      </c>
      <c r="H592" s="625">
        <v>10</v>
      </c>
      <c r="K592" s="100"/>
      <c r="L592" s="596"/>
      <c r="M592" s="596"/>
      <c r="O592" s="85"/>
      <c r="P592" s="85"/>
    </row>
    <row r="593" spans="1:16" ht="12.75">
      <c r="A593" s="599"/>
      <c r="B593" s="619" t="s">
        <v>94</v>
      </c>
      <c r="C593" s="607"/>
      <c r="D593" s="644">
        <v>28</v>
      </c>
      <c r="E593" s="644">
        <v>19</v>
      </c>
      <c r="F593" s="644">
        <v>23</v>
      </c>
      <c r="G593" s="644">
        <v>50</v>
      </c>
      <c r="H593" s="644">
        <v>120</v>
      </c>
      <c r="K593" s="100"/>
      <c r="L593" s="596"/>
      <c r="M593" s="596"/>
      <c r="O593" s="85"/>
      <c r="P593" s="85"/>
    </row>
    <row r="594" spans="1:16" ht="12.75">
      <c r="A594" s="567">
        <v>509</v>
      </c>
      <c r="B594" s="270" t="s">
        <v>94</v>
      </c>
      <c r="C594" s="270" t="s">
        <v>1481</v>
      </c>
      <c r="D594" s="622">
        <v>17</v>
      </c>
      <c r="E594" s="622">
        <v>12</v>
      </c>
      <c r="F594" s="622">
        <v>14</v>
      </c>
      <c r="G594" s="622">
        <v>31</v>
      </c>
      <c r="H594" s="625">
        <v>74</v>
      </c>
      <c r="K594" s="100"/>
      <c r="L594" s="596"/>
      <c r="M594" s="596"/>
      <c r="O594" s="85"/>
      <c r="P594" s="85"/>
    </row>
    <row r="595" spans="1:16" ht="12.75">
      <c r="A595" s="567">
        <v>510</v>
      </c>
      <c r="B595" s="270" t="s">
        <v>94</v>
      </c>
      <c r="C595" s="270" t="s">
        <v>1017</v>
      </c>
      <c r="D595" s="622">
        <v>11</v>
      </c>
      <c r="E595" s="622">
        <v>7</v>
      </c>
      <c r="F595" s="622">
        <v>9</v>
      </c>
      <c r="G595" s="622">
        <v>19</v>
      </c>
      <c r="H595" s="625">
        <v>46</v>
      </c>
      <c r="K595" s="100"/>
      <c r="L595" s="596"/>
      <c r="M595" s="596"/>
      <c r="O595" s="85"/>
      <c r="P595" s="85"/>
    </row>
    <row r="596" spans="1:16" ht="12.75">
      <c r="A596" s="599"/>
      <c r="B596" s="619" t="s">
        <v>64</v>
      </c>
      <c r="C596" s="607"/>
      <c r="D596" s="644">
        <v>423</v>
      </c>
      <c r="E596" s="644">
        <v>303</v>
      </c>
      <c r="F596" s="644">
        <v>344</v>
      </c>
      <c r="G596" s="644">
        <v>769</v>
      </c>
      <c r="H596" s="618">
        <v>1839</v>
      </c>
      <c r="K596" s="100"/>
      <c r="L596" s="596"/>
      <c r="M596" s="596"/>
      <c r="O596" s="85"/>
      <c r="P596" s="85"/>
    </row>
    <row r="597" spans="1:16" ht="12.75">
      <c r="A597" s="567">
        <v>511</v>
      </c>
      <c r="B597" s="270" t="s">
        <v>64</v>
      </c>
      <c r="C597" s="270" t="s">
        <v>1482</v>
      </c>
      <c r="D597" s="622">
        <v>122</v>
      </c>
      <c r="E597" s="622">
        <v>88</v>
      </c>
      <c r="F597" s="622">
        <v>100</v>
      </c>
      <c r="G597" s="622">
        <v>220</v>
      </c>
      <c r="H597" s="625">
        <v>530</v>
      </c>
      <c r="K597" s="100"/>
      <c r="L597" s="596"/>
      <c r="M597" s="596"/>
      <c r="O597" s="85"/>
      <c r="P597" s="85"/>
    </row>
    <row r="598" spans="1:16" ht="12.75">
      <c r="A598" s="567">
        <v>512</v>
      </c>
      <c r="B598" s="270" t="s">
        <v>64</v>
      </c>
      <c r="C598" s="270" t="s">
        <v>1483</v>
      </c>
      <c r="D598" s="622">
        <v>19</v>
      </c>
      <c r="E598" s="622">
        <v>14</v>
      </c>
      <c r="F598" s="622">
        <v>16</v>
      </c>
      <c r="G598" s="622">
        <v>36</v>
      </c>
      <c r="H598" s="625">
        <v>85</v>
      </c>
      <c r="K598" s="100"/>
      <c r="L598" s="596"/>
      <c r="M598" s="596"/>
      <c r="O598" s="85"/>
      <c r="P598" s="85"/>
    </row>
    <row r="599" spans="1:16" ht="12.75">
      <c r="A599" s="567">
        <v>513</v>
      </c>
      <c r="B599" s="270" t="s">
        <v>64</v>
      </c>
      <c r="C599" s="270" t="s">
        <v>1484</v>
      </c>
      <c r="D599" s="622">
        <v>108</v>
      </c>
      <c r="E599" s="622">
        <v>75</v>
      </c>
      <c r="F599" s="622">
        <v>78</v>
      </c>
      <c r="G599" s="622">
        <v>199</v>
      </c>
      <c r="H599" s="625">
        <v>460</v>
      </c>
      <c r="K599" s="100"/>
      <c r="L599" s="596"/>
      <c r="M599" s="596"/>
      <c r="O599" s="85"/>
      <c r="P599" s="85"/>
    </row>
    <row r="600" spans="1:16" ht="12.75">
      <c r="A600" s="567">
        <v>514</v>
      </c>
      <c r="B600" s="270" t="s">
        <v>64</v>
      </c>
      <c r="C600" s="270" t="s">
        <v>1017</v>
      </c>
      <c r="D600" s="622">
        <v>174</v>
      </c>
      <c r="E600" s="622">
        <v>126</v>
      </c>
      <c r="F600" s="622">
        <v>150</v>
      </c>
      <c r="G600" s="622">
        <v>314</v>
      </c>
      <c r="H600" s="625">
        <v>764</v>
      </c>
      <c r="K600" s="100"/>
      <c r="L600" s="596"/>
      <c r="M600" s="596"/>
      <c r="O600" s="85"/>
      <c r="P600" s="85"/>
    </row>
    <row r="601" spans="1:16" ht="12.75">
      <c r="A601" s="599"/>
      <c r="B601" s="619" t="s">
        <v>96</v>
      </c>
      <c r="C601" s="607"/>
      <c r="D601" s="644">
        <v>15</v>
      </c>
      <c r="E601" s="644">
        <v>10</v>
      </c>
      <c r="F601" s="644">
        <v>15</v>
      </c>
      <c r="G601" s="644">
        <v>30</v>
      </c>
      <c r="H601" s="644">
        <v>70</v>
      </c>
      <c r="K601" s="100"/>
      <c r="L601" s="596"/>
      <c r="M601" s="596"/>
      <c r="O601" s="85"/>
      <c r="P601" s="85"/>
    </row>
    <row r="602" spans="1:16" ht="12.75">
      <c r="A602" s="567">
        <v>515</v>
      </c>
      <c r="B602" s="270" t="s">
        <v>96</v>
      </c>
      <c r="C602" s="270" t="s">
        <v>1485</v>
      </c>
      <c r="D602" s="622">
        <v>3</v>
      </c>
      <c r="E602" s="622">
        <v>2</v>
      </c>
      <c r="F602" s="622">
        <v>3</v>
      </c>
      <c r="G602" s="622">
        <v>5</v>
      </c>
      <c r="H602" s="625">
        <v>13</v>
      </c>
      <c r="K602" s="100"/>
      <c r="L602" s="596"/>
      <c r="M602" s="596"/>
      <c r="O602" s="85"/>
      <c r="P602" s="85"/>
    </row>
    <row r="603" spans="1:16" ht="12.75">
      <c r="A603" s="567">
        <v>516</v>
      </c>
      <c r="B603" s="270" t="s">
        <v>96</v>
      </c>
      <c r="C603" s="270" t="s">
        <v>1017</v>
      </c>
      <c r="D603" s="622">
        <v>12</v>
      </c>
      <c r="E603" s="622">
        <v>8</v>
      </c>
      <c r="F603" s="622">
        <v>12</v>
      </c>
      <c r="G603" s="622">
        <v>25</v>
      </c>
      <c r="H603" s="625">
        <v>57</v>
      </c>
      <c r="K603" s="100"/>
      <c r="L603" s="596"/>
      <c r="M603" s="596"/>
      <c r="O603" s="85"/>
      <c r="P603" s="85"/>
    </row>
    <row r="604" spans="1:16" ht="12.75">
      <c r="A604" s="599"/>
      <c r="B604" s="619" t="s">
        <v>80</v>
      </c>
      <c r="C604" s="607"/>
      <c r="D604" s="644">
        <v>540</v>
      </c>
      <c r="E604" s="644">
        <v>340</v>
      </c>
      <c r="F604" s="644">
        <v>380</v>
      </c>
      <c r="G604" s="644">
        <v>940</v>
      </c>
      <c r="H604" s="618">
        <v>2200</v>
      </c>
      <c r="K604" s="100"/>
      <c r="L604" s="596"/>
      <c r="M604" s="596"/>
      <c r="O604" s="85"/>
      <c r="P604" s="85"/>
    </row>
    <row r="605" spans="1:16" ht="12.75">
      <c r="A605" s="567">
        <v>517</v>
      </c>
      <c r="B605" s="270" t="s">
        <v>80</v>
      </c>
      <c r="C605" s="270" t="s">
        <v>1486</v>
      </c>
      <c r="D605" s="622">
        <v>32</v>
      </c>
      <c r="E605" s="622">
        <v>21</v>
      </c>
      <c r="F605" s="622">
        <v>24</v>
      </c>
      <c r="G605" s="622">
        <v>59</v>
      </c>
      <c r="H605" s="625">
        <v>136</v>
      </c>
      <c r="K605" s="100"/>
      <c r="L605" s="596"/>
      <c r="M605" s="596"/>
      <c r="O605" s="85"/>
      <c r="P605" s="85"/>
    </row>
    <row r="606" spans="1:16" ht="12.75">
      <c r="A606" s="567">
        <v>518</v>
      </c>
      <c r="B606" s="270" t="s">
        <v>80</v>
      </c>
      <c r="C606" s="270" t="s">
        <v>1487</v>
      </c>
      <c r="D606" s="622">
        <v>287</v>
      </c>
      <c r="E606" s="622">
        <v>181</v>
      </c>
      <c r="F606" s="622">
        <v>205</v>
      </c>
      <c r="G606" s="622">
        <v>502</v>
      </c>
      <c r="H606" s="624">
        <v>1175</v>
      </c>
      <c r="K606" s="100"/>
      <c r="L606" s="596"/>
      <c r="M606" s="596"/>
      <c r="O606" s="85"/>
      <c r="P606" s="85"/>
    </row>
    <row r="607" spans="1:16" ht="12.75">
      <c r="A607" s="567">
        <v>519</v>
      </c>
      <c r="B607" s="270" t="s">
        <v>80</v>
      </c>
      <c r="C607" s="270" t="s">
        <v>1488</v>
      </c>
      <c r="D607" s="622">
        <v>32</v>
      </c>
      <c r="E607" s="622">
        <v>21</v>
      </c>
      <c r="F607" s="622">
        <v>23</v>
      </c>
      <c r="G607" s="622">
        <v>58</v>
      </c>
      <c r="H607" s="625">
        <v>134</v>
      </c>
      <c r="K607" s="100"/>
      <c r="L607" s="596"/>
      <c r="M607" s="596"/>
      <c r="O607" s="85"/>
      <c r="P607" s="85"/>
    </row>
    <row r="608" spans="1:16" ht="12.75">
      <c r="A608" s="567">
        <v>520</v>
      </c>
      <c r="B608" s="270" t="s">
        <v>80</v>
      </c>
      <c r="C608" s="270" t="s">
        <v>1017</v>
      </c>
      <c r="D608" s="622">
        <v>189</v>
      </c>
      <c r="E608" s="622">
        <v>117</v>
      </c>
      <c r="F608" s="622">
        <v>128</v>
      </c>
      <c r="G608" s="622">
        <v>321</v>
      </c>
      <c r="H608" s="625">
        <v>755</v>
      </c>
      <c r="K608" s="100"/>
      <c r="L608" s="596"/>
      <c r="M608" s="596"/>
      <c r="O608" s="85"/>
      <c r="P608" s="85"/>
    </row>
    <row r="609" spans="1:16" ht="12.75">
      <c r="A609" s="599"/>
      <c r="B609" s="619" t="s">
        <v>93</v>
      </c>
      <c r="C609" s="607"/>
      <c r="D609" s="644">
        <v>2</v>
      </c>
      <c r="E609" s="644">
        <v>2</v>
      </c>
      <c r="F609" s="644">
        <v>1</v>
      </c>
      <c r="G609" s="644">
        <v>1</v>
      </c>
      <c r="H609" s="644">
        <v>6</v>
      </c>
      <c r="K609" s="100"/>
      <c r="L609" s="596"/>
      <c r="M609" s="596"/>
      <c r="O609" s="85"/>
      <c r="P609" s="85"/>
    </row>
    <row r="610" spans="1:16" ht="12.75">
      <c r="A610" s="567">
        <v>521</v>
      </c>
      <c r="B610" s="270" t="s">
        <v>93</v>
      </c>
      <c r="C610" s="270" t="s">
        <v>1489</v>
      </c>
      <c r="D610" s="622">
        <v>1</v>
      </c>
      <c r="E610" s="622">
        <v>1</v>
      </c>
      <c r="F610" s="622">
        <v>1</v>
      </c>
      <c r="G610" s="622">
        <v>1</v>
      </c>
      <c r="H610" s="625">
        <v>4</v>
      </c>
      <c r="K610" s="100"/>
      <c r="L610" s="596"/>
      <c r="M610" s="596"/>
      <c r="O610" s="85"/>
      <c r="P610" s="85"/>
    </row>
    <row r="611" spans="1:16" ht="12.75">
      <c r="A611" s="567">
        <v>522</v>
      </c>
      <c r="B611" s="270" t="s">
        <v>93</v>
      </c>
      <c r="C611" s="270" t="s">
        <v>1017</v>
      </c>
      <c r="D611" s="622">
        <v>1</v>
      </c>
      <c r="E611" s="622">
        <v>1</v>
      </c>
      <c r="F611" s="622" t="s">
        <v>1041</v>
      </c>
      <c r="G611" s="622" t="s">
        <v>1041</v>
      </c>
      <c r="H611" s="625">
        <v>2</v>
      </c>
      <c r="K611" s="100"/>
      <c r="L611" s="596"/>
      <c r="M611" s="596"/>
      <c r="O611" s="85"/>
      <c r="P611" s="85"/>
    </row>
    <row r="612" spans="1:16" ht="12.75">
      <c r="A612" s="599"/>
      <c r="B612" s="619" t="s">
        <v>85</v>
      </c>
      <c r="C612" s="607"/>
      <c r="D612" s="644">
        <v>133</v>
      </c>
      <c r="E612" s="644">
        <v>84</v>
      </c>
      <c r="F612" s="644">
        <v>90</v>
      </c>
      <c r="G612" s="644">
        <v>223</v>
      </c>
      <c r="H612" s="644">
        <v>530</v>
      </c>
      <c r="K612" s="100"/>
      <c r="L612" s="596"/>
      <c r="M612" s="596"/>
      <c r="O612" s="85"/>
      <c r="P612" s="85"/>
    </row>
    <row r="613" spans="1:16" ht="12.75">
      <c r="A613" s="567">
        <v>523</v>
      </c>
      <c r="B613" s="270" t="s">
        <v>85</v>
      </c>
      <c r="C613" s="270" t="s">
        <v>1490</v>
      </c>
      <c r="D613" s="622">
        <v>3</v>
      </c>
      <c r="E613" s="622">
        <v>2</v>
      </c>
      <c r="F613" s="622">
        <v>2</v>
      </c>
      <c r="G613" s="622">
        <v>5</v>
      </c>
      <c r="H613" s="625">
        <v>12</v>
      </c>
      <c r="K613" s="100"/>
      <c r="L613" s="596"/>
      <c r="M613" s="596"/>
      <c r="O613" s="85"/>
      <c r="P613" s="85"/>
    </row>
    <row r="614" spans="1:16" ht="12.75">
      <c r="A614" s="567">
        <v>524</v>
      </c>
      <c r="B614" s="270" t="s">
        <v>85</v>
      </c>
      <c r="C614" s="270" t="s">
        <v>1491</v>
      </c>
      <c r="D614" s="622">
        <v>6</v>
      </c>
      <c r="E614" s="622">
        <v>4</v>
      </c>
      <c r="F614" s="622">
        <v>4</v>
      </c>
      <c r="G614" s="622">
        <v>9</v>
      </c>
      <c r="H614" s="625">
        <v>23</v>
      </c>
      <c r="K614" s="100"/>
      <c r="L614" s="596"/>
      <c r="M614" s="596"/>
      <c r="O614" s="85"/>
      <c r="P614" s="85"/>
    </row>
    <row r="615" spans="1:16" ht="12.75">
      <c r="A615" s="567">
        <v>525</v>
      </c>
      <c r="B615" s="270" t="s">
        <v>85</v>
      </c>
      <c r="C615" s="270" t="s">
        <v>1492</v>
      </c>
      <c r="D615" s="622">
        <v>3</v>
      </c>
      <c r="E615" s="622">
        <v>2</v>
      </c>
      <c r="F615" s="622">
        <v>2</v>
      </c>
      <c r="G615" s="622">
        <v>3</v>
      </c>
      <c r="H615" s="625">
        <v>10</v>
      </c>
      <c r="K615" s="100"/>
      <c r="L615" s="596"/>
      <c r="M615" s="596"/>
      <c r="O615" s="85"/>
      <c r="P615" s="85"/>
    </row>
    <row r="616" spans="1:16" ht="12.75">
      <c r="A616" s="567">
        <v>526</v>
      </c>
      <c r="B616" s="270" t="s">
        <v>85</v>
      </c>
      <c r="C616" s="270" t="s">
        <v>1493</v>
      </c>
      <c r="D616" s="622">
        <v>2</v>
      </c>
      <c r="E616" s="622">
        <v>1</v>
      </c>
      <c r="F616" s="622">
        <v>2</v>
      </c>
      <c r="G616" s="622">
        <v>4</v>
      </c>
      <c r="H616" s="625">
        <v>9</v>
      </c>
      <c r="K616" s="100"/>
      <c r="L616" s="596"/>
      <c r="M616" s="596"/>
      <c r="O616" s="85"/>
      <c r="P616" s="85"/>
    </row>
    <row r="617" spans="1:16" ht="12.75">
      <c r="A617" s="567">
        <v>527</v>
      </c>
      <c r="B617" s="270" t="s">
        <v>85</v>
      </c>
      <c r="C617" s="270" t="s">
        <v>1494</v>
      </c>
      <c r="D617" s="622">
        <v>5</v>
      </c>
      <c r="E617" s="622">
        <v>3</v>
      </c>
      <c r="F617" s="622">
        <v>3</v>
      </c>
      <c r="G617" s="622">
        <v>8</v>
      </c>
      <c r="H617" s="625">
        <v>19</v>
      </c>
      <c r="K617" s="100"/>
      <c r="L617" s="596"/>
      <c r="M617" s="596"/>
      <c r="O617" s="85"/>
      <c r="P617" s="85"/>
    </row>
    <row r="618" spans="1:16" ht="12.75">
      <c r="A618" s="567">
        <v>528</v>
      </c>
      <c r="B618" s="270" t="s">
        <v>85</v>
      </c>
      <c r="C618" s="270" t="s">
        <v>1495</v>
      </c>
      <c r="D618" s="622">
        <v>11</v>
      </c>
      <c r="E618" s="622">
        <v>7</v>
      </c>
      <c r="F618" s="622">
        <v>8</v>
      </c>
      <c r="G618" s="622">
        <v>19</v>
      </c>
      <c r="H618" s="625">
        <v>45</v>
      </c>
      <c r="K618" s="100"/>
      <c r="L618" s="596"/>
      <c r="M618" s="596"/>
      <c r="O618" s="85"/>
      <c r="P618" s="85"/>
    </row>
    <row r="619" spans="1:16" ht="12.75">
      <c r="A619" s="567">
        <v>529</v>
      </c>
      <c r="B619" s="270" t="s">
        <v>85</v>
      </c>
      <c r="C619" s="270" t="s">
        <v>1496</v>
      </c>
      <c r="D619" s="622">
        <v>3</v>
      </c>
      <c r="E619" s="622">
        <v>2</v>
      </c>
      <c r="F619" s="622">
        <v>2</v>
      </c>
      <c r="G619" s="622">
        <v>6</v>
      </c>
      <c r="H619" s="625">
        <v>13</v>
      </c>
      <c r="K619" s="100"/>
      <c r="L619" s="596"/>
      <c r="M619" s="596"/>
      <c r="O619" s="85"/>
      <c r="P619" s="85"/>
    </row>
    <row r="620" spans="1:16" ht="12.75">
      <c r="A620" s="567">
        <v>530</v>
      </c>
      <c r="B620" s="270" t="s">
        <v>85</v>
      </c>
      <c r="C620" s="270" t="s">
        <v>1497</v>
      </c>
      <c r="D620" s="622">
        <v>10</v>
      </c>
      <c r="E620" s="622">
        <v>6</v>
      </c>
      <c r="F620" s="622">
        <v>6</v>
      </c>
      <c r="G620" s="622">
        <v>16</v>
      </c>
      <c r="H620" s="625">
        <v>38</v>
      </c>
      <c r="K620" s="100"/>
      <c r="L620" s="596"/>
      <c r="M620" s="596"/>
      <c r="O620" s="85"/>
      <c r="P620" s="85"/>
    </row>
    <row r="621" spans="1:16" ht="12.75">
      <c r="A621" s="567">
        <v>531</v>
      </c>
      <c r="B621" s="270" t="s">
        <v>85</v>
      </c>
      <c r="C621" s="270" t="s">
        <v>1498</v>
      </c>
      <c r="D621" s="622">
        <v>25</v>
      </c>
      <c r="E621" s="622">
        <v>17</v>
      </c>
      <c r="F621" s="622">
        <v>18</v>
      </c>
      <c r="G621" s="622">
        <v>43</v>
      </c>
      <c r="H621" s="625">
        <v>103</v>
      </c>
      <c r="K621" s="100"/>
      <c r="L621" s="596"/>
      <c r="M621" s="596"/>
      <c r="O621" s="85"/>
      <c r="P621" s="85"/>
    </row>
    <row r="622" spans="1:16" ht="12.75">
      <c r="A622" s="567">
        <v>532</v>
      </c>
      <c r="B622" s="270" t="s">
        <v>85</v>
      </c>
      <c r="C622" s="270" t="s">
        <v>1017</v>
      </c>
      <c r="D622" s="622">
        <v>65</v>
      </c>
      <c r="E622" s="622">
        <v>40</v>
      </c>
      <c r="F622" s="622">
        <v>43</v>
      </c>
      <c r="G622" s="622">
        <v>110</v>
      </c>
      <c r="H622" s="625">
        <v>258</v>
      </c>
      <c r="K622" s="100"/>
      <c r="L622" s="596"/>
      <c r="M622" s="596"/>
      <c r="O622" s="85"/>
      <c r="P622" s="85"/>
    </row>
    <row r="623" spans="1:16" ht="12.75">
      <c r="A623" s="599"/>
      <c r="B623" s="619" t="s">
        <v>71</v>
      </c>
      <c r="C623" s="607"/>
      <c r="D623" s="644">
        <v>225</v>
      </c>
      <c r="E623" s="644">
        <v>160</v>
      </c>
      <c r="F623" s="644">
        <v>185</v>
      </c>
      <c r="G623" s="644">
        <v>425</v>
      </c>
      <c r="H623" s="644">
        <v>995</v>
      </c>
      <c r="K623" s="100"/>
      <c r="L623" s="596"/>
      <c r="M623" s="596"/>
      <c r="O623" s="85"/>
      <c r="P623" s="85"/>
    </row>
    <row r="624" spans="1:16" ht="12.75">
      <c r="A624" s="567">
        <v>533</v>
      </c>
      <c r="B624" s="270" t="s">
        <v>71</v>
      </c>
      <c r="C624" s="270" t="s">
        <v>1499</v>
      </c>
      <c r="D624" s="622">
        <v>38</v>
      </c>
      <c r="E624" s="622">
        <v>30</v>
      </c>
      <c r="F624" s="622">
        <v>33</v>
      </c>
      <c r="G624" s="622">
        <v>75</v>
      </c>
      <c r="H624" s="625">
        <v>176</v>
      </c>
      <c r="K624" s="100"/>
      <c r="L624" s="596"/>
      <c r="M624" s="596"/>
      <c r="O624" s="85"/>
      <c r="P624" s="85"/>
    </row>
    <row r="625" spans="1:16" ht="12.75">
      <c r="A625" s="567">
        <v>534</v>
      </c>
      <c r="B625" s="270" t="s">
        <v>71</v>
      </c>
      <c r="C625" s="270" t="s">
        <v>1500</v>
      </c>
      <c r="D625" s="622">
        <v>73</v>
      </c>
      <c r="E625" s="622">
        <v>52</v>
      </c>
      <c r="F625" s="622">
        <v>61</v>
      </c>
      <c r="G625" s="622">
        <v>137</v>
      </c>
      <c r="H625" s="625">
        <v>323</v>
      </c>
      <c r="K625" s="100"/>
      <c r="L625" s="596"/>
      <c r="M625" s="596"/>
      <c r="O625" s="85"/>
      <c r="P625" s="85"/>
    </row>
    <row r="626" spans="1:16" ht="12.75">
      <c r="A626" s="567">
        <v>535</v>
      </c>
      <c r="B626" s="270" t="s">
        <v>71</v>
      </c>
      <c r="C626" s="270" t="s">
        <v>71</v>
      </c>
      <c r="D626" s="622">
        <v>2</v>
      </c>
      <c r="E626" s="622">
        <v>2</v>
      </c>
      <c r="F626" s="622">
        <v>2</v>
      </c>
      <c r="G626" s="622">
        <v>4</v>
      </c>
      <c r="H626" s="625">
        <v>10</v>
      </c>
      <c r="K626" s="100"/>
      <c r="L626" s="596"/>
      <c r="M626" s="596"/>
      <c r="O626" s="85"/>
      <c r="P626" s="85"/>
    </row>
    <row r="627" spans="1:16" ht="12.75">
      <c r="A627" s="567">
        <v>536</v>
      </c>
      <c r="B627" s="270" t="s">
        <v>71</v>
      </c>
      <c r="C627" s="270" t="s">
        <v>1017</v>
      </c>
      <c r="D627" s="622">
        <v>112</v>
      </c>
      <c r="E627" s="622">
        <v>76</v>
      </c>
      <c r="F627" s="622">
        <v>89</v>
      </c>
      <c r="G627" s="622">
        <v>209</v>
      </c>
      <c r="H627" s="625">
        <v>486</v>
      </c>
      <c r="K627" s="100"/>
      <c r="L627" s="596"/>
      <c r="M627" s="596"/>
      <c r="O627" s="85"/>
      <c r="P627" s="85"/>
    </row>
    <row r="628" spans="1:16" ht="12.75">
      <c r="A628" s="567">
        <v>537</v>
      </c>
      <c r="B628" s="619" t="s">
        <v>1501</v>
      </c>
      <c r="C628" s="607"/>
      <c r="D628" s="664">
        <v>2</v>
      </c>
      <c r="E628" s="664">
        <v>2</v>
      </c>
      <c r="F628" s="664">
        <v>2</v>
      </c>
      <c r="G628" s="664">
        <v>4</v>
      </c>
      <c r="H628" s="644">
        <v>10</v>
      </c>
      <c r="K628" s="100"/>
      <c r="L628" s="596"/>
      <c r="M628" s="596"/>
      <c r="O628" s="85"/>
      <c r="P628" s="85"/>
    </row>
    <row r="629" spans="1:16" ht="12.75">
      <c r="A629" s="599"/>
      <c r="B629" s="619" t="s">
        <v>79</v>
      </c>
      <c r="C629" s="607"/>
      <c r="D629" s="644">
        <v>125</v>
      </c>
      <c r="E629" s="644">
        <v>90</v>
      </c>
      <c r="F629" s="644">
        <v>100</v>
      </c>
      <c r="G629" s="644">
        <v>235</v>
      </c>
      <c r="H629" s="644">
        <v>550</v>
      </c>
      <c r="K629" s="100"/>
      <c r="L629" s="596"/>
      <c r="M629" s="596"/>
      <c r="O629" s="85"/>
      <c r="P629" s="85"/>
    </row>
    <row r="630" spans="1:16" ht="12.75">
      <c r="A630" s="567">
        <v>538</v>
      </c>
      <c r="B630" s="270" t="s">
        <v>79</v>
      </c>
      <c r="C630" s="270" t="s">
        <v>1502</v>
      </c>
      <c r="D630" s="622">
        <v>23</v>
      </c>
      <c r="E630" s="622">
        <v>16</v>
      </c>
      <c r="F630" s="622">
        <v>19</v>
      </c>
      <c r="G630" s="622">
        <v>42</v>
      </c>
      <c r="H630" s="625">
        <v>100</v>
      </c>
      <c r="K630" s="100"/>
      <c r="L630" s="596"/>
      <c r="M630" s="596"/>
      <c r="O630" s="85"/>
      <c r="P630" s="85"/>
    </row>
    <row r="631" spans="1:16" ht="12.75">
      <c r="A631" s="567">
        <v>539</v>
      </c>
      <c r="B631" s="270" t="s">
        <v>79</v>
      </c>
      <c r="C631" s="270" t="s">
        <v>1017</v>
      </c>
      <c r="D631" s="622">
        <v>102</v>
      </c>
      <c r="E631" s="622">
        <v>74</v>
      </c>
      <c r="F631" s="622">
        <v>81</v>
      </c>
      <c r="G631" s="622">
        <v>193</v>
      </c>
      <c r="H631" s="625">
        <v>450</v>
      </c>
      <c r="K631" s="100"/>
      <c r="L631" s="596"/>
      <c r="M631" s="596"/>
      <c r="O631" s="85"/>
      <c r="P631" s="85"/>
    </row>
    <row r="632" spans="1:16" ht="12.75">
      <c r="A632" s="599"/>
      <c r="B632" s="606"/>
      <c r="C632" s="669" t="s">
        <v>1503</v>
      </c>
      <c r="D632" s="613">
        <v>5422</v>
      </c>
      <c r="E632" s="613">
        <v>3935</v>
      </c>
      <c r="F632" s="613">
        <v>4230</v>
      </c>
      <c r="G632" s="613">
        <v>10033</v>
      </c>
      <c r="H632" s="613">
        <v>23620</v>
      </c>
      <c r="K632" s="100"/>
      <c r="L632" s="596"/>
      <c r="M632" s="596"/>
      <c r="O632" s="85"/>
      <c r="P632" s="85"/>
    </row>
    <row r="633" spans="1:16" ht="12.75">
      <c r="A633" s="599"/>
      <c r="B633" s="718" t="s">
        <v>1504</v>
      </c>
      <c r="C633" s="688"/>
      <c r="D633" s="670">
        <v>276837</v>
      </c>
      <c r="E633" s="671">
        <v>184553</v>
      </c>
      <c r="F633" s="671">
        <v>203948</v>
      </c>
      <c r="G633" s="671">
        <v>485143</v>
      </c>
      <c r="H633" s="671">
        <v>1150481</v>
      </c>
      <c r="K633" s="100"/>
      <c r="L633" s="596"/>
      <c r="M633" s="596"/>
      <c r="O633" s="85"/>
      <c r="P633" s="85"/>
    </row>
    <row r="634" spans="1:16" ht="12.75">
      <c r="K634" s="611"/>
      <c r="L634" s="596"/>
      <c r="M634" s="596"/>
      <c r="O634" s="85"/>
      <c r="P634" s="85"/>
    </row>
    <row r="635" spans="1:16" ht="12.75">
      <c r="K635" s="100"/>
      <c r="L635" s="596"/>
      <c r="M635" s="596"/>
      <c r="O635" s="85"/>
      <c r="P635" s="85"/>
    </row>
    <row r="636" spans="1:16" ht="12.75">
      <c r="K636" s="100"/>
      <c r="L636" s="596"/>
      <c r="M636" s="596"/>
      <c r="O636" s="85"/>
      <c r="P636" s="85"/>
    </row>
    <row r="637" spans="1:16" ht="12.75">
      <c r="K637" s="100"/>
      <c r="L637" s="596"/>
      <c r="M637" s="596"/>
      <c r="O637" s="85"/>
      <c r="P637" s="85"/>
    </row>
    <row r="638" spans="1:16" ht="12.75">
      <c r="K638" s="100"/>
      <c r="L638" s="596"/>
      <c r="M638" s="596"/>
      <c r="O638" s="85"/>
      <c r="P638" s="85"/>
    </row>
    <row r="639" spans="1:16" ht="12.75">
      <c r="K639" s="100"/>
      <c r="L639" s="596"/>
      <c r="M639" s="596"/>
      <c r="O639" s="85"/>
      <c r="P639" s="85"/>
    </row>
    <row r="640" spans="1:16" ht="12.75">
      <c r="K640" s="100"/>
      <c r="L640" s="596"/>
      <c r="M640" s="596"/>
      <c r="O640" s="85"/>
      <c r="P640" s="85"/>
    </row>
    <row r="641" spans="11:16" ht="12.75">
      <c r="K641" s="100"/>
      <c r="L641" s="596"/>
      <c r="M641" s="596"/>
      <c r="O641" s="85"/>
      <c r="P641" s="85"/>
    </row>
    <row r="642" spans="11:16" ht="12.75">
      <c r="K642" s="100"/>
      <c r="L642" s="596"/>
      <c r="M642" s="596"/>
      <c r="O642" s="85"/>
      <c r="P642" s="85"/>
    </row>
    <row r="643" spans="11:16" ht="12.75">
      <c r="K643" s="100"/>
      <c r="L643" s="596"/>
      <c r="M643" s="596"/>
      <c r="O643" s="85"/>
      <c r="P643" s="85"/>
    </row>
    <row r="644" spans="11:16" ht="12.75">
      <c r="K644" s="100"/>
      <c r="L644" s="596"/>
      <c r="M644" s="596"/>
      <c r="O644" s="85"/>
      <c r="P644" s="85"/>
    </row>
    <row r="645" spans="11:16" ht="12.75">
      <c r="K645" s="100"/>
      <c r="L645" s="596"/>
      <c r="M645" s="596"/>
      <c r="O645" s="85"/>
      <c r="P645" s="85"/>
    </row>
    <row r="646" spans="11:16" ht="12.75">
      <c r="K646" s="100"/>
      <c r="L646" s="596"/>
      <c r="M646" s="596"/>
      <c r="O646" s="85"/>
      <c r="P646" s="85"/>
    </row>
    <row r="647" spans="11:16" ht="12.75">
      <c r="K647" s="100"/>
      <c r="L647" s="596"/>
      <c r="M647" s="596"/>
      <c r="O647" s="85"/>
      <c r="P647" s="85"/>
    </row>
    <row r="648" spans="11:16" ht="12.75">
      <c r="K648" s="100"/>
      <c r="L648" s="596"/>
      <c r="M648" s="596"/>
      <c r="O648" s="85"/>
      <c r="P648" s="85"/>
    </row>
    <row r="649" spans="11:16" ht="12.75">
      <c r="K649" s="100"/>
      <c r="L649" s="596"/>
      <c r="M649" s="596"/>
      <c r="O649" s="85"/>
      <c r="P649" s="85"/>
    </row>
    <row r="650" spans="11:16" ht="12.75">
      <c r="K650" s="100"/>
      <c r="L650" s="596"/>
      <c r="M650" s="596"/>
      <c r="O650" s="85"/>
      <c r="P650" s="85"/>
    </row>
    <row r="651" spans="11:16" ht="12.75">
      <c r="K651" s="100"/>
      <c r="L651" s="596"/>
      <c r="M651" s="596"/>
      <c r="O651" s="85"/>
      <c r="P651" s="85"/>
    </row>
    <row r="652" spans="11:16" ht="12.75">
      <c r="K652" s="100"/>
      <c r="L652" s="596"/>
      <c r="M652" s="596"/>
      <c r="O652" s="85"/>
      <c r="P652" s="85"/>
    </row>
    <row r="653" spans="11:16" ht="12.75">
      <c r="K653" s="100"/>
      <c r="L653" s="596"/>
      <c r="M653" s="596"/>
      <c r="O653" s="85"/>
      <c r="P653" s="85"/>
    </row>
    <row r="654" spans="11:16" ht="12.75">
      <c r="K654" s="100"/>
      <c r="L654" s="596"/>
      <c r="M654" s="596"/>
      <c r="O654" s="85"/>
      <c r="P654" s="85"/>
    </row>
    <row r="655" spans="11:16" ht="12.75">
      <c r="K655" s="100"/>
      <c r="L655" s="596"/>
      <c r="M655" s="596"/>
      <c r="O655" s="85"/>
      <c r="P655" s="85"/>
    </row>
    <row r="656" spans="11:16" ht="12.75">
      <c r="K656" s="100"/>
      <c r="L656" s="596"/>
      <c r="M656" s="596"/>
      <c r="O656" s="85"/>
      <c r="P656" s="85"/>
    </row>
    <row r="657" spans="11:16" ht="12.75">
      <c r="K657" s="100"/>
      <c r="L657" s="596"/>
      <c r="M657" s="596"/>
      <c r="O657" s="85"/>
      <c r="P657" s="85"/>
    </row>
    <row r="658" spans="11:16" ht="12.75">
      <c r="K658" s="100"/>
      <c r="L658" s="596"/>
      <c r="M658" s="596"/>
      <c r="O658" s="85"/>
      <c r="P658" s="85"/>
    </row>
    <row r="659" spans="11:16" ht="12.75">
      <c r="K659" s="100"/>
      <c r="L659" s="596"/>
      <c r="M659" s="596"/>
      <c r="O659" s="85"/>
      <c r="P659" s="85"/>
    </row>
    <row r="660" spans="11:16" ht="12.75">
      <c r="K660" s="100"/>
      <c r="L660" s="596"/>
      <c r="M660" s="596"/>
      <c r="O660" s="85"/>
      <c r="P660" s="85"/>
    </row>
    <row r="661" spans="11:16" ht="12.75">
      <c r="K661" s="100"/>
      <c r="L661" s="596"/>
      <c r="M661" s="596"/>
      <c r="O661" s="85"/>
      <c r="P661" s="85"/>
    </row>
    <row r="662" spans="11:16" ht="12.75">
      <c r="K662" s="100"/>
      <c r="L662" s="596"/>
      <c r="M662" s="596"/>
      <c r="O662" s="85"/>
      <c r="P662" s="85"/>
    </row>
    <row r="663" spans="11:16" ht="12.75">
      <c r="K663" s="100"/>
      <c r="L663" s="596"/>
      <c r="M663" s="596"/>
      <c r="O663" s="85"/>
      <c r="P663" s="85"/>
    </row>
    <row r="664" spans="11:16" ht="12.75">
      <c r="K664" s="100"/>
      <c r="L664" s="596"/>
      <c r="M664" s="596"/>
      <c r="O664" s="85"/>
      <c r="P664" s="85"/>
    </row>
    <row r="665" spans="11:16" ht="12.75">
      <c r="K665" s="100"/>
      <c r="L665" s="596"/>
      <c r="M665" s="596"/>
      <c r="O665" s="85"/>
      <c r="P665" s="85"/>
    </row>
    <row r="666" spans="11:16" ht="12.75">
      <c r="K666" s="100"/>
      <c r="L666" s="596"/>
      <c r="M666" s="596"/>
      <c r="O666" s="85"/>
      <c r="P666" s="85"/>
    </row>
    <row r="667" spans="11:16" ht="12.75">
      <c r="K667" s="100"/>
      <c r="L667" s="596"/>
      <c r="M667" s="596"/>
      <c r="O667" s="85"/>
      <c r="P667" s="85"/>
    </row>
    <row r="668" spans="11:16" ht="12.75">
      <c r="K668" s="100"/>
      <c r="L668" s="596"/>
      <c r="M668" s="596"/>
      <c r="O668" s="85"/>
      <c r="P668" s="85"/>
    </row>
    <row r="669" spans="11:16" ht="12.75">
      <c r="K669" s="100"/>
      <c r="L669" s="596"/>
      <c r="M669" s="596"/>
      <c r="O669" s="85"/>
      <c r="P669" s="85"/>
    </row>
    <row r="670" spans="11:16" ht="12.75">
      <c r="K670" s="100"/>
      <c r="L670" s="596"/>
      <c r="M670" s="596"/>
      <c r="O670" s="85"/>
      <c r="P670" s="85"/>
    </row>
    <row r="671" spans="11:16" ht="12.75">
      <c r="K671" s="100"/>
      <c r="L671" s="596"/>
      <c r="M671" s="596"/>
      <c r="O671" s="85"/>
      <c r="P671" s="85"/>
    </row>
    <row r="672" spans="11:16" ht="12.75">
      <c r="K672" s="100"/>
      <c r="L672" s="596"/>
      <c r="M672" s="596"/>
      <c r="O672" s="85"/>
      <c r="P672" s="85"/>
    </row>
    <row r="673" spans="11:16" ht="12.75">
      <c r="K673" s="100"/>
      <c r="L673" s="596"/>
      <c r="M673" s="596"/>
      <c r="O673" s="85"/>
      <c r="P673" s="85"/>
    </row>
    <row r="674" spans="11:16" ht="12.75">
      <c r="K674" s="100"/>
      <c r="L674" s="596"/>
      <c r="M674" s="596"/>
      <c r="O674" s="85"/>
      <c r="P674" s="85"/>
    </row>
    <row r="675" spans="11:16" ht="12.75">
      <c r="K675" s="100"/>
      <c r="L675" s="596"/>
      <c r="M675" s="596"/>
      <c r="O675" s="85"/>
      <c r="P675" s="85"/>
    </row>
    <row r="676" spans="11:16" ht="12.75">
      <c r="K676" s="100"/>
      <c r="L676" s="596"/>
      <c r="M676" s="596"/>
      <c r="O676" s="85"/>
      <c r="P676" s="85"/>
    </row>
    <row r="677" spans="11:16" ht="12.75">
      <c r="K677" s="100"/>
      <c r="L677" s="596"/>
      <c r="M677" s="596"/>
      <c r="O677" s="85"/>
      <c r="P677" s="85"/>
    </row>
    <row r="678" spans="11:16" ht="12.75">
      <c r="K678" s="100"/>
      <c r="L678" s="596"/>
      <c r="M678" s="596"/>
      <c r="O678" s="85"/>
      <c r="P678" s="85"/>
    </row>
    <row r="679" spans="11:16" ht="12.75">
      <c r="K679" s="100"/>
      <c r="L679" s="596"/>
      <c r="M679" s="596"/>
      <c r="O679" s="85"/>
      <c r="P679" s="85"/>
    </row>
    <row r="680" spans="11:16" ht="12.75">
      <c r="K680" s="100"/>
      <c r="L680" s="596"/>
      <c r="M680" s="596"/>
      <c r="O680" s="85"/>
      <c r="P680" s="85"/>
    </row>
    <row r="681" spans="11:16" ht="12.75">
      <c r="K681" s="100"/>
      <c r="L681" s="596"/>
      <c r="M681" s="596"/>
      <c r="O681" s="85"/>
      <c r="P681" s="85"/>
    </row>
    <row r="682" spans="11:16" ht="12.75">
      <c r="K682" s="100"/>
      <c r="L682" s="596"/>
      <c r="M682" s="596"/>
      <c r="O682" s="85"/>
      <c r="P682" s="85"/>
    </row>
    <row r="683" spans="11:16" ht="12.75">
      <c r="K683" s="100"/>
      <c r="L683" s="596"/>
      <c r="M683" s="596"/>
      <c r="O683" s="85"/>
      <c r="P683" s="85"/>
    </row>
    <row r="684" spans="11:16" ht="12.75">
      <c r="K684" s="100"/>
      <c r="L684" s="596"/>
      <c r="M684" s="596"/>
      <c r="O684" s="85"/>
      <c r="P684" s="85"/>
    </row>
    <row r="685" spans="11:16" ht="12.75">
      <c r="K685" s="100"/>
      <c r="L685" s="596"/>
      <c r="M685" s="596"/>
      <c r="O685" s="85"/>
      <c r="P685" s="85"/>
    </row>
    <row r="686" spans="11:16" ht="12.75">
      <c r="K686" s="100"/>
      <c r="L686" s="596"/>
      <c r="M686" s="596"/>
      <c r="O686" s="85"/>
      <c r="P686" s="85"/>
    </row>
    <row r="687" spans="11:16" ht="12.75">
      <c r="K687" s="100"/>
      <c r="L687" s="596"/>
      <c r="M687" s="596"/>
      <c r="O687" s="85"/>
      <c r="P687" s="85"/>
    </row>
    <row r="688" spans="11:16" ht="12.75">
      <c r="K688" s="100"/>
      <c r="L688" s="596"/>
      <c r="M688" s="596"/>
      <c r="O688" s="85"/>
      <c r="P688" s="85"/>
    </row>
    <row r="689" spans="11:16" ht="12.75">
      <c r="K689" s="100"/>
      <c r="L689" s="596"/>
      <c r="M689" s="596"/>
      <c r="O689" s="85"/>
      <c r="P689" s="85"/>
    </row>
    <row r="690" spans="11:16" ht="12.75">
      <c r="K690" s="100"/>
      <c r="L690" s="596"/>
      <c r="M690" s="596"/>
      <c r="O690" s="85"/>
      <c r="P690" s="85"/>
    </row>
    <row r="691" spans="11:16" ht="12.75">
      <c r="K691" s="100"/>
      <c r="L691" s="596"/>
      <c r="M691" s="596"/>
      <c r="O691" s="85"/>
      <c r="P691" s="85"/>
    </row>
    <row r="692" spans="11:16" ht="12.75">
      <c r="K692" s="100"/>
      <c r="L692" s="596"/>
      <c r="M692" s="596"/>
      <c r="O692" s="85"/>
      <c r="P692" s="85"/>
    </row>
    <row r="693" spans="11:16" ht="12.75">
      <c r="K693" s="100"/>
      <c r="L693" s="596"/>
      <c r="M693" s="596"/>
      <c r="O693" s="85"/>
      <c r="P693" s="85"/>
    </row>
    <row r="694" spans="11:16" ht="12.75">
      <c r="K694" s="100"/>
      <c r="L694" s="596"/>
      <c r="M694" s="596"/>
      <c r="O694" s="85"/>
      <c r="P694" s="85"/>
    </row>
    <row r="695" spans="11:16" ht="12.75">
      <c r="K695" s="100"/>
      <c r="L695" s="596"/>
      <c r="M695" s="596"/>
      <c r="O695" s="85"/>
      <c r="P695" s="85"/>
    </row>
    <row r="696" spans="11:16" ht="12.75">
      <c r="K696" s="100"/>
      <c r="L696" s="596"/>
      <c r="M696" s="596"/>
      <c r="O696" s="85"/>
      <c r="P696" s="85"/>
    </row>
    <row r="697" spans="11:16" ht="12.75">
      <c r="K697" s="100"/>
      <c r="L697" s="596"/>
      <c r="M697" s="596"/>
      <c r="O697" s="85"/>
      <c r="P697" s="85"/>
    </row>
    <row r="698" spans="11:16" ht="12.75">
      <c r="K698" s="100"/>
      <c r="L698" s="596"/>
      <c r="M698" s="596"/>
      <c r="O698" s="85"/>
      <c r="P698" s="85"/>
    </row>
    <row r="699" spans="11:16" ht="12.75">
      <c r="K699" s="100"/>
      <c r="L699" s="596"/>
      <c r="M699" s="596"/>
      <c r="O699" s="85"/>
      <c r="P699" s="85"/>
    </row>
    <row r="700" spans="11:16" ht="12.75">
      <c r="K700" s="100"/>
      <c r="L700" s="596"/>
      <c r="M700" s="596"/>
      <c r="O700" s="85"/>
      <c r="P700" s="85"/>
    </row>
    <row r="701" spans="11:16" ht="12.75">
      <c r="K701" s="100"/>
      <c r="L701" s="596"/>
      <c r="M701" s="596"/>
      <c r="O701" s="85"/>
      <c r="P701" s="85"/>
    </row>
    <row r="702" spans="11:16" ht="12.75">
      <c r="K702" s="100"/>
      <c r="L702" s="596"/>
      <c r="M702" s="596"/>
      <c r="O702" s="85"/>
      <c r="P702" s="85"/>
    </row>
    <row r="703" spans="11:16" ht="12.75">
      <c r="K703" s="100"/>
      <c r="L703" s="596"/>
      <c r="M703" s="596"/>
      <c r="O703" s="85"/>
      <c r="P703" s="85"/>
    </row>
    <row r="704" spans="11:16" ht="12.75">
      <c r="K704" s="100"/>
      <c r="L704" s="596"/>
      <c r="M704" s="596"/>
      <c r="O704" s="85"/>
      <c r="P704" s="85"/>
    </row>
    <row r="705" spans="11:16" ht="12.75">
      <c r="K705" s="100"/>
      <c r="L705" s="596"/>
      <c r="M705" s="596"/>
      <c r="O705" s="85"/>
      <c r="P705" s="85"/>
    </row>
    <row r="706" spans="11:16" ht="12.75">
      <c r="K706" s="100"/>
      <c r="L706" s="596"/>
      <c r="M706" s="596"/>
      <c r="O706" s="85"/>
      <c r="P706" s="85"/>
    </row>
    <row r="707" spans="11:16" ht="12.75">
      <c r="K707" s="100"/>
      <c r="L707" s="596"/>
      <c r="M707" s="596"/>
      <c r="O707" s="85"/>
      <c r="P707" s="85"/>
    </row>
    <row r="708" spans="11:16" ht="12.75">
      <c r="K708" s="100"/>
      <c r="L708" s="596"/>
      <c r="M708" s="596"/>
      <c r="O708" s="85"/>
      <c r="P708" s="85"/>
    </row>
    <row r="709" spans="11:16" ht="12.75">
      <c r="K709" s="100"/>
      <c r="L709" s="596"/>
      <c r="M709" s="596"/>
      <c r="O709" s="85"/>
      <c r="P709" s="85"/>
    </row>
    <row r="710" spans="11:16" ht="12.75">
      <c r="K710" s="100"/>
      <c r="L710" s="596"/>
      <c r="M710" s="596"/>
      <c r="O710" s="85"/>
      <c r="P710" s="85"/>
    </row>
    <row r="711" spans="11:16" ht="12.75">
      <c r="K711" s="100"/>
      <c r="L711" s="596"/>
      <c r="M711" s="596"/>
      <c r="O711" s="85"/>
      <c r="P711" s="85"/>
    </row>
    <row r="712" spans="11:16" ht="12.75">
      <c r="K712" s="100"/>
      <c r="L712" s="596"/>
      <c r="M712" s="596"/>
      <c r="O712" s="85"/>
      <c r="P712" s="85"/>
    </row>
    <row r="713" spans="11:16" ht="12.75">
      <c r="K713" s="100"/>
      <c r="L713" s="596"/>
      <c r="M713" s="596"/>
      <c r="O713" s="85"/>
      <c r="P713" s="85"/>
    </row>
    <row r="714" spans="11:16" ht="12.75">
      <c r="K714" s="100"/>
      <c r="L714" s="596"/>
      <c r="M714" s="596"/>
      <c r="O714" s="85"/>
      <c r="P714" s="85"/>
    </row>
    <row r="715" spans="11:16" ht="12.75">
      <c r="K715" s="100"/>
      <c r="L715" s="596"/>
      <c r="M715" s="596"/>
      <c r="O715" s="85"/>
      <c r="P715" s="85"/>
    </row>
    <row r="716" spans="11:16" ht="12.75">
      <c r="K716" s="100"/>
      <c r="L716" s="596"/>
      <c r="M716" s="596"/>
      <c r="O716" s="85"/>
      <c r="P716" s="85"/>
    </row>
    <row r="717" spans="11:16" ht="12.75">
      <c r="K717" s="100"/>
      <c r="L717" s="596"/>
      <c r="M717" s="596"/>
      <c r="O717" s="85"/>
      <c r="P717" s="85"/>
    </row>
    <row r="718" spans="11:16" ht="12.75">
      <c r="K718" s="100"/>
      <c r="L718" s="596"/>
      <c r="M718" s="596"/>
      <c r="O718" s="85"/>
      <c r="P718" s="85"/>
    </row>
    <row r="719" spans="11:16" ht="12.75">
      <c r="K719" s="100"/>
      <c r="L719" s="596"/>
      <c r="M719" s="596"/>
      <c r="O719" s="85"/>
      <c r="P719" s="85"/>
    </row>
    <row r="720" spans="11:16" ht="12.75">
      <c r="K720" s="100"/>
      <c r="L720" s="596"/>
      <c r="M720" s="596"/>
      <c r="O720" s="85"/>
      <c r="P720" s="85"/>
    </row>
    <row r="721" spans="11:16" ht="12.75">
      <c r="K721" s="100"/>
      <c r="L721" s="596"/>
      <c r="M721" s="596"/>
      <c r="O721" s="85"/>
      <c r="P721" s="85"/>
    </row>
    <row r="722" spans="11:16" ht="12.75">
      <c r="K722" s="100"/>
      <c r="L722" s="596"/>
      <c r="M722" s="596"/>
      <c r="O722" s="85"/>
      <c r="P722" s="85"/>
    </row>
    <row r="723" spans="11:16" ht="12.75">
      <c r="K723" s="100"/>
      <c r="L723" s="596"/>
      <c r="M723" s="596"/>
      <c r="O723" s="85"/>
      <c r="P723" s="85"/>
    </row>
    <row r="724" spans="11:16" ht="12.75">
      <c r="K724" s="100"/>
      <c r="L724" s="596"/>
      <c r="M724" s="596"/>
      <c r="O724" s="85"/>
      <c r="P724" s="85"/>
    </row>
    <row r="725" spans="11:16" ht="12.75">
      <c r="K725" s="100"/>
      <c r="L725" s="596"/>
      <c r="M725" s="596"/>
      <c r="O725" s="85"/>
      <c r="P725" s="85"/>
    </row>
    <row r="726" spans="11:16" ht="12.75">
      <c r="K726" s="100"/>
      <c r="L726" s="596"/>
      <c r="M726" s="596"/>
      <c r="O726" s="85"/>
      <c r="P726" s="85"/>
    </row>
    <row r="727" spans="11:16" ht="12.75">
      <c r="K727" s="100"/>
      <c r="L727" s="596"/>
      <c r="M727" s="596"/>
      <c r="O727" s="85"/>
      <c r="P727" s="85"/>
    </row>
    <row r="728" spans="11:16" ht="12.75">
      <c r="K728" s="100"/>
      <c r="L728" s="596"/>
      <c r="M728" s="596"/>
      <c r="O728" s="85"/>
      <c r="P728" s="85"/>
    </row>
    <row r="729" spans="11:16" ht="12.75">
      <c r="K729" s="100"/>
      <c r="L729" s="596"/>
      <c r="M729" s="596"/>
      <c r="O729" s="85"/>
      <c r="P729" s="85"/>
    </row>
    <row r="730" spans="11:16" ht="12.75">
      <c r="K730" s="100"/>
      <c r="L730" s="596"/>
      <c r="M730" s="596"/>
      <c r="O730" s="85"/>
      <c r="P730" s="85"/>
    </row>
    <row r="731" spans="11:16" ht="12.75">
      <c r="K731" s="100"/>
      <c r="L731" s="596"/>
      <c r="M731" s="596"/>
      <c r="O731" s="85"/>
      <c r="P731" s="85"/>
    </row>
    <row r="732" spans="11:16" ht="12.75">
      <c r="K732" s="100"/>
      <c r="L732" s="596"/>
      <c r="M732" s="596"/>
      <c r="O732" s="85"/>
      <c r="P732" s="85"/>
    </row>
    <row r="733" spans="11:16" ht="12.75">
      <c r="K733" s="100"/>
      <c r="L733" s="596"/>
      <c r="M733" s="596"/>
      <c r="O733" s="85"/>
      <c r="P733" s="85"/>
    </row>
    <row r="734" spans="11:16" ht="12.75">
      <c r="K734" s="100"/>
      <c r="L734" s="596"/>
      <c r="M734" s="596"/>
      <c r="O734" s="85"/>
      <c r="P734" s="85"/>
    </row>
    <row r="735" spans="11:16" ht="12.75">
      <c r="K735" s="100"/>
      <c r="L735" s="596"/>
      <c r="M735" s="596"/>
      <c r="O735" s="85"/>
      <c r="P735" s="85"/>
    </row>
    <row r="736" spans="11:16" ht="12.75">
      <c r="K736" s="100"/>
      <c r="L736" s="596"/>
      <c r="M736" s="596"/>
      <c r="O736" s="85"/>
      <c r="P736" s="85"/>
    </row>
    <row r="737" spans="11:16" ht="12.75">
      <c r="K737" s="100"/>
      <c r="L737" s="596"/>
      <c r="M737" s="596"/>
      <c r="O737" s="85"/>
      <c r="P737" s="85"/>
    </row>
    <row r="738" spans="11:16" ht="12.75">
      <c r="K738" s="100"/>
      <c r="L738" s="596"/>
      <c r="M738" s="596"/>
      <c r="O738" s="85"/>
      <c r="P738" s="85"/>
    </row>
    <row r="739" spans="11:16" ht="12.75">
      <c r="K739" s="100"/>
      <c r="L739" s="596"/>
      <c r="M739" s="596"/>
      <c r="O739" s="85"/>
      <c r="P739" s="85"/>
    </row>
    <row r="740" spans="11:16" ht="12.75">
      <c r="K740" s="100"/>
      <c r="L740" s="596"/>
      <c r="M740" s="596"/>
      <c r="O740" s="85"/>
      <c r="P740" s="85"/>
    </row>
    <row r="741" spans="11:16" ht="12.75">
      <c r="K741" s="100"/>
      <c r="L741" s="596"/>
      <c r="M741" s="596"/>
      <c r="O741" s="85"/>
      <c r="P741" s="85"/>
    </row>
    <row r="742" spans="11:16" ht="12.75">
      <c r="K742" s="100"/>
      <c r="L742" s="596"/>
      <c r="M742" s="596"/>
      <c r="O742" s="85"/>
      <c r="P742" s="85"/>
    </row>
    <row r="743" spans="11:16" ht="12.75">
      <c r="K743" s="100"/>
      <c r="L743" s="596"/>
      <c r="M743" s="596"/>
      <c r="O743" s="85"/>
      <c r="P743" s="85"/>
    </row>
    <row r="744" spans="11:16" ht="12.75">
      <c r="K744" s="100"/>
      <c r="L744" s="596"/>
      <c r="M744" s="596"/>
      <c r="O744" s="85"/>
      <c r="P744" s="85"/>
    </row>
    <row r="745" spans="11:16" ht="12.75">
      <c r="K745" s="100"/>
      <c r="L745" s="596"/>
      <c r="M745" s="596"/>
      <c r="O745" s="85"/>
      <c r="P745" s="85"/>
    </row>
    <row r="746" spans="11:16" ht="12.75">
      <c r="K746" s="100"/>
      <c r="L746" s="596"/>
      <c r="M746" s="596"/>
      <c r="O746" s="85"/>
      <c r="P746" s="85"/>
    </row>
    <row r="747" spans="11:16" ht="12.75">
      <c r="K747" s="100"/>
      <c r="L747" s="596"/>
      <c r="M747" s="596"/>
      <c r="O747" s="85"/>
      <c r="P747" s="85"/>
    </row>
    <row r="748" spans="11:16" ht="12.75">
      <c r="K748" s="100"/>
      <c r="L748" s="596"/>
      <c r="M748" s="596"/>
      <c r="O748" s="85"/>
      <c r="P748" s="85"/>
    </row>
    <row r="749" spans="11:16" ht="12.75">
      <c r="K749" s="100"/>
      <c r="L749" s="596"/>
      <c r="M749" s="596"/>
      <c r="O749" s="85"/>
      <c r="P749" s="85"/>
    </row>
    <row r="750" spans="11:16" ht="12.75">
      <c r="K750" s="100"/>
      <c r="L750" s="596"/>
      <c r="M750" s="596"/>
      <c r="O750" s="85"/>
      <c r="P750" s="85"/>
    </row>
    <row r="751" spans="11:16" ht="12.75">
      <c r="K751" s="100"/>
      <c r="L751" s="596"/>
      <c r="M751" s="596"/>
      <c r="O751" s="85"/>
      <c r="P751" s="85"/>
    </row>
    <row r="752" spans="11:16" ht="12.75">
      <c r="K752" s="100"/>
      <c r="L752" s="596"/>
      <c r="M752" s="596"/>
      <c r="O752" s="85"/>
      <c r="P752" s="85"/>
    </row>
    <row r="753" spans="11:16" ht="12.75">
      <c r="K753" s="100"/>
      <c r="L753" s="596"/>
      <c r="M753" s="596"/>
      <c r="O753" s="85"/>
      <c r="P753" s="85"/>
    </row>
    <row r="754" spans="11:16" ht="12.75">
      <c r="K754" s="100"/>
      <c r="L754" s="596"/>
      <c r="M754" s="596"/>
      <c r="O754" s="85"/>
      <c r="P754" s="85"/>
    </row>
    <row r="755" spans="11:16" ht="12.75">
      <c r="K755" s="100"/>
      <c r="L755" s="596"/>
      <c r="M755" s="596"/>
      <c r="O755" s="85"/>
      <c r="P755" s="85"/>
    </row>
    <row r="756" spans="11:16" ht="12.75">
      <c r="K756" s="100"/>
      <c r="L756" s="596"/>
      <c r="M756" s="596"/>
      <c r="O756" s="85"/>
      <c r="P756" s="85"/>
    </row>
    <row r="757" spans="11:16" ht="12.75">
      <c r="K757" s="100"/>
      <c r="L757" s="596"/>
      <c r="M757" s="596"/>
      <c r="O757" s="85"/>
      <c r="P757" s="85"/>
    </row>
    <row r="758" spans="11:16" ht="12.75">
      <c r="K758" s="100"/>
      <c r="L758" s="596"/>
      <c r="M758" s="596"/>
      <c r="O758" s="85"/>
      <c r="P758" s="85"/>
    </row>
    <row r="759" spans="11:16" ht="12.75">
      <c r="K759" s="100"/>
      <c r="L759" s="596"/>
      <c r="M759" s="596"/>
      <c r="O759" s="85"/>
      <c r="P759" s="85"/>
    </row>
    <row r="760" spans="11:16" ht="12.75">
      <c r="K760" s="100"/>
      <c r="L760" s="596"/>
      <c r="M760" s="596"/>
      <c r="O760" s="85"/>
      <c r="P760" s="85"/>
    </row>
    <row r="761" spans="11:16" ht="12.75">
      <c r="K761" s="100"/>
      <c r="L761" s="596"/>
      <c r="M761" s="596"/>
      <c r="O761" s="85"/>
      <c r="P761" s="85"/>
    </row>
    <row r="762" spans="11:16" ht="12.75">
      <c r="K762" s="100"/>
      <c r="L762" s="596"/>
      <c r="M762" s="596"/>
      <c r="O762" s="85"/>
      <c r="P762" s="85"/>
    </row>
    <row r="763" spans="11:16" ht="12.75">
      <c r="K763" s="100"/>
      <c r="L763" s="596"/>
      <c r="M763" s="596"/>
      <c r="O763" s="85"/>
      <c r="P763" s="85"/>
    </row>
    <row r="764" spans="11:16" ht="12.75">
      <c r="K764" s="100"/>
      <c r="L764" s="596"/>
      <c r="M764" s="596"/>
      <c r="O764" s="85"/>
      <c r="P764" s="85"/>
    </row>
    <row r="765" spans="11:16" ht="12.75">
      <c r="K765" s="100"/>
      <c r="L765" s="596"/>
      <c r="M765" s="596"/>
      <c r="O765" s="85"/>
      <c r="P765" s="85"/>
    </row>
    <row r="766" spans="11:16" ht="12.75">
      <c r="K766" s="100"/>
      <c r="L766" s="596"/>
      <c r="M766" s="596"/>
      <c r="O766" s="85"/>
      <c r="P766" s="85"/>
    </row>
    <row r="767" spans="11:16" ht="12.75">
      <c r="K767" s="100"/>
      <c r="L767" s="596"/>
      <c r="M767" s="596"/>
      <c r="O767" s="85"/>
      <c r="P767" s="85"/>
    </row>
    <row r="768" spans="11:16" ht="12.75">
      <c r="K768" s="100"/>
      <c r="L768" s="596"/>
      <c r="M768" s="596"/>
      <c r="O768" s="85"/>
      <c r="P768" s="85"/>
    </row>
    <row r="769" spans="11:16" ht="12.75">
      <c r="K769" s="100"/>
      <c r="L769" s="596"/>
      <c r="M769" s="596"/>
      <c r="O769" s="85"/>
      <c r="P769" s="85"/>
    </row>
    <row r="770" spans="11:16" ht="12.75">
      <c r="K770" s="100"/>
      <c r="L770" s="596"/>
      <c r="M770" s="596"/>
      <c r="O770" s="85"/>
      <c r="P770" s="85"/>
    </row>
    <row r="771" spans="11:16" ht="12.75">
      <c r="K771" s="100"/>
      <c r="L771" s="596"/>
      <c r="M771" s="596"/>
      <c r="O771" s="85"/>
      <c r="P771" s="85"/>
    </row>
    <row r="772" spans="11:16" ht="12.75">
      <c r="K772" s="100"/>
      <c r="L772" s="596"/>
      <c r="M772" s="596"/>
      <c r="O772" s="85"/>
      <c r="P772" s="85"/>
    </row>
    <row r="773" spans="11:16" ht="12.75">
      <c r="K773" s="100"/>
      <c r="L773" s="596"/>
      <c r="M773" s="596"/>
      <c r="O773" s="85"/>
      <c r="P773" s="85"/>
    </row>
    <row r="774" spans="11:16" ht="12.75">
      <c r="K774" s="100"/>
      <c r="L774" s="596"/>
      <c r="M774" s="596"/>
      <c r="O774" s="85"/>
      <c r="P774" s="85"/>
    </row>
    <row r="775" spans="11:16" ht="12.75">
      <c r="K775" s="100"/>
      <c r="L775" s="596"/>
      <c r="M775" s="596"/>
      <c r="O775" s="85"/>
      <c r="P775" s="85"/>
    </row>
    <row r="776" spans="11:16" ht="12.75">
      <c r="K776" s="100"/>
      <c r="L776" s="596"/>
      <c r="M776" s="596"/>
      <c r="O776" s="85"/>
      <c r="P776" s="85"/>
    </row>
    <row r="777" spans="11:16" ht="12.75">
      <c r="K777" s="100"/>
      <c r="L777" s="596"/>
      <c r="M777" s="596"/>
      <c r="O777" s="85"/>
      <c r="P777" s="85"/>
    </row>
    <row r="778" spans="11:16" ht="12.75">
      <c r="K778" s="100"/>
      <c r="L778" s="596"/>
      <c r="M778" s="596"/>
      <c r="O778" s="85"/>
      <c r="P778" s="85"/>
    </row>
    <row r="779" spans="11:16" ht="12.75">
      <c r="K779" s="100"/>
      <c r="L779" s="596"/>
      <c r="M779" s="596"/>
      <c r="O779" s="85"/>
      <c r="P779" s="85"/>
    </row>
    <row r="780" spans="11:16" ht="12.75">
      <c r="K780" s="100"/>
      <c r="L780" s="596"/>
      <c r="M780" s="596"/>
      <c r="O780" s="85"/>
      <c r="P780" s="85"/>
    </row>
    <row r="781" spans="11:16" ht="12.75">
      <c r="K781" s="100"/>
      <c r="L781" s="596"/>
      <c r="M781" s="596"/>
      <c r="O781" s="85"/>
      <c r="P781" s="85"/>
    </row>
    <row r="782" spans="11:16" ht="12.75">
      <c r="K782" s="100"/>
      <c r="L782" s="596"/>
      <c r="M782" s="596"/>
      <c r="O782" s="85"/>
      <c r="P782" s="85"/>
    </row>
    <row r="783" spans="11:16" ht="12.75">
      <c r="K783" s="100"/>
      <c r="L783" s="596"/>
      <c r="M783" s="596"/>
      <c r="O783" s="85"/>
      <c r="P783" s="85"/>
    </row>
    <row r="784" spans="11:16" ht="12.75">
      <c r="K784" s="100"/>
      <c r="L784" s="596"/>
      <c r="M784" s="596"/>
      <c r="O784" s="85"/>
      <c r="P784" s="85"/>
    </row>
    <row r="785" spans="11:16" ht="12.75">
      <c r="K785" s="100"/>
      <c r="L785" s="596"/>
      <c r="M785" s="596"/>
      <c r="O785" s="85"/>
      <c r="P785" s="85"/>
    </row>
    <row r="786" spans="11:16" ht="12.75">
      <c r="K786" s="100"/>
      <c r="L786" s="596"/>
      <c r="M786" s="596"/>
      <c r="O786" s="85"/>
      <c r="P786" s="85"/>
    </row>
    <row r="787" spans="11:16" ht="12.75">
      <c r="K787" s="100"/>
      <c r="L787" s="596"/>
      <c r="M787" s="596"/>
      <c r="O787" s="85"/>
      <c r="P787" s="85"/>
    </row>
    <row r="788" spans="11:16" ht="12.75">
      <c r="K788" s="100"/>
      <c r="L788" s="596"/>
      <c r="M788" s="596"/>
      <c r="O788" s="85"/>
      <c r="P788" s="85"/>
    </row>
    <row r="789" spans="11:16" ht="12.75">
      <c r="K789" s="100"/>
      <c r="L789" s="596"/>
      <c r="M789" s="596"/>
      <c r="O789" s="85"/>
      <c r="P789" s="85"/>
    </row>
    <row r="790" spans="11:16" ht="12.75">
      <c r="K790" s="100"/>
      <c r="L790" s="596"/>
      <c r="M790" s="596"/>
      <c r="O790" s="85"/>
      <c r="P790" s="85"/>
    </row>
    <row r="791" spans="11:16" ht="12.75">
      <c r="K791" s="100"/>
      <c r="L791" s="596"/>
      <c r="M791" s="596"/>
      <c r="O791" s="85"/>
      <c r="P791" s="85"/>
    </row>
    <row r="792" spans="11:16" ht="12.75">
      <c r="K792" s="100"/>
      <c r="L792" s="596"/>
      <c r="M792" s="596"/>
      <c r="O792" s="85"/>
      <c r="P792" s="85"/>
    </row>
    <row r="793" spans="11:16" ht="12.75">
      <c r="K793" s="100"/>
      <c r="L793" s="596"/>
      <c r="M793" s="596"/>
      <c r="O793" s="85"/>
      <c r="P793" s="85"/>
    </row>
    <row r="794" spans="11:16" ht="12.75">
      <c r="K794" s="100"/>
      <c r="L794" s="596"/>
      <c r="M794" s="596"/>
      <c r="O794" s="85"/>
      <c r="P794" s="85"/>
    </row>
    <row r="795" spans="11:16" ht="12.75">
      <c r="K795" s="100"/>
      <c r="L795" s="596"/>
      <c r="M795" s="596"/>
      <c r="O795" s="85"/>
      <c r="P795" s="85"/>
    </row>
    <row r="796" spans="11:16" ht="12.75">
      <c r="K796" s="100"/>
      <c r="L796" s="596"/>
      <c r="M796" s="596"/>
      <c r="O796" s="85"/>
      <c r="P796" s="85"/>
    </row>
    <row r="797" spans="11:16" ht="12.75">
      <c r="K797" s="100"/>
      <c r="L797" s="596"/>
      <c r="M797" s="596"/>
      <c r="O797" s="85"/>
      <c r="P797" s="85"/>
    </row>
    <row r="798" spans="11:16" ht="12.75">
      <c r="K798" s="100"/>
      <c r="L798" s="596"/>
      <c r="M798" s="596"/>
      <c r="O798" s="85"/>
      <c r="P798" s="85"/>
    </row>
    <row r="799" spans="11:16" ht="12.75">
      <c r="K799" s="100"/>
      <c r="L799" s="596"/>
      <c r="M799" s="596"/>
      <c r="O799" s="85"/>
      <c r="P799" s="85"/>
    </row>
    <row r="800" spans="11:16" ht="12.75">
      <c r="K800" s="100"/>
      <c r="L800" s="596"/>
      <c r="M800" s="596"/>
      <c r="O800" s="85"/>
      <c r="P800" s="85"/>
    </row>
    <row r="801" spans="11:16" ht="12.75">
      <c r="K801" s="100"/>
      <c r="L801" s="596"/>
      <c r="M801" s="596"/>
      <c r="O801" s="85"/>
      <c r="P801" s="85"/>
    </row>
    <row r="802" spans="11:16" ht="12.75">
      <c r="K802" s="100"/>
      <c r="L802" s="596"/>
      <c r="M802" s="596"/>
      <c r="O802" s="85"/>
      <c r="P802" s="85"/>
    </row>
    <row r="803" spans="11:16" ht="12.75">
      <c r="K803" s="100"/>
      <c r="L803" s="596"/>
      <c r="M803" s="596"/>
      <c r="O803" s="85"/>
      <c r="P803" s="85"/>
    </row>
    <row r="804" spans="11:16" ht="12.75">
      <c r="K804" s="100"/>
      <c r="L804" s="596"/>
      <c r="M804" s="596"/>
      <c r="O804" s="85"/>
      <c r="P804" s="85"/>
    </row>
    <row r="805" spans="11:16" ht="12.75">
      <c r="K805" s="100"/>
      <c r="L805" s="596"/>
      <c r="M805" s="596"/>
      <c r="O805" s="85"/>
      <c r="P805" s="85"/>
    </row>
    <row r="806" spans="11:16" ht="12.75">
      <c r="K806" s="100"/>
      <c r="L806" s="596"/>
      <c r="M806" s="596"/>
      <c r="O806" s="85"/>
      <c r="P806" s="85"/>
    </row>
    <row r="807" spans="11:16" ht="12.75">
      <c r="K807" s="100"/>
      <c r="L807" s="596"/>
      <c r="M807" s="596"/>
      <c r="O807" s="85"/>
      <c r="P807" s="85"/>
    </row>
    <row r="808" spans="11:16" ht="12.75">
      <c r="K808" s="100"/>
      <c r="L808" s="596"/>
      <c r="M808" s="596"/>
      <c r="O808" s="85"/>
      <c r="P808" s="85"/>
    </row>
    <row r="809" spans="11:16" ht="12.75">
      <c r="K809" s="100"/>
      <c r="L809" s="596"/>
      <c r="M809" s="596"/>
      <c r="O809" s="85"/>
      <c r="P809" s="85"/>
    </row>
    <row r="810" spans="11:16" ht="12.75">
      <c r="K810" s="100"/>
      <c r="L810" s="596"/>
      <c r="M810" s="596"/>
      <c r="O810" s="85"/>
      <c r="P810" s="85"/>
    </row>
    <row r="811" spans="11:16" ht="12.75">
      <c r="K811" s="100"/>
      <c r="L811" s="596"/>
      <c r="M811" s="596"/>
      <c r="O811" s="85"/>
      <c r="P811" s="85"/>
    </row>
    <row r="812" spans="11:16" ht="12.75">
      <c r="K812" s="100"/>
      <c r="L812" s="596"/>
      <c r="M812" s="596"/>
      <c r="O812" s="85"/>
      <c r="P812" s="85"/>
    </row>
    <row r="813" spans="11:16" ht="12.75">
      <c r="K813" s="100"/>
      <c r="L813" s="596"/>
      <c r="M813" s="596"/>
      <c r="O813" s="85"/>
      <c r="P813" s="85"/>
    </row>
    <row r="814" spans="11:16" ht="12.75">
      <c r="K814" s="100"/>
      <c r="L814" s="596"/>
      <c r="M814" s="596"/>
      <c r="O814" s="85"/>
      <c r="P814" s="85"/>
    </row>
    <row r="815" spans="11:16" ht="12.75">
      <c r="K815" s="100"/>
      <c r="L815" s="596"/>
      <c r="M815" s="596"/>
      <c r="O815" s="85"/>
      <c r="P815" s="85"/>
    </row>
    <row r="816" spans="11:16" ht="12.75">
      <c r="K816" s="100"/>
      <c r="L816" s="596"/>
      <c r="M816" s="596"/>
      <c r="O816" s="85"/>
      <c r="P816" s="85"/>
    </row>
    <row r="817" spans="11:16" ht="12.75">
      <c r="K817" s="100"/>
      <c r="L817" s="596"/>
      <c r="M817" s="596"/>
      <c r="O817" s="85"/>
      <c r="P817" s="85"/>
    </row>
    <row r="818" spans="11:16" ht="12.75">
      <c r="K818" s="100"/>
      <c r="L818" s="596"/>
      <c r="M818" s="596"/>
      <c r="O818" s="85"/>
      <c r="P818" s="85"/>
    </row>
    <row r="819" spans="11:16" ht="12.75">
      <c r="K819" s="100"/>
      <c r="L819" s="596"/>
      <c r="M819" s="596"/>
      <c r="O819" s="85"/>
      <c r="P819" s="85"/>
    </row>
    <row r="820" spans="11:16" ht="12.75">
      <c r="K820" s="100"/>
      <c r="L820" s="596"/>
      <c r="M820" s="596"/>
      <c r="O820" s="85"/>
      <c r="P820" s="85"/>
    </row>
    <row r="821" spans="11:16" ht="12.75">
      <c r="K821" s="100"/>
      <c r="L821" s="596"/>
      <c r="M821" s="596"/>
      <c r="O821" s="85"/>
      <c r="P821" s="85"/>
    </row>
    <row r="822" spans="11:16" ht="12.75">
      <c r="K822" s="100"/>
      <c r="L822" s="596"/>
      <c r="M822" s="596"/>
      <c r="O822" s="85"/>
      <c r="P822" s="85"/>
    </row>
    <row r="823" spans="11:16" ht="12.75">
      <c r="K823" s="100"/>
      <c r="L823" s="596"/>
      <c r="M823" s="596"/>
      <c r="O823" s="85"/>
      <c r="P823" s="85"/>
    </row>
    <row r="824" spans="11:16" ht="12.75">
      <c r="K824" s="100"/>
      <c r="L824" s="596"/>
      <c r="M824" s="596"/>
      <c r="O824" s="85"/>
      <c r="P824" s="85"/>
    </row>
    <row r="825" spans="11:16" ht="12.75">
      <c r="K825" s="100"/>
      <c r="L825" s="596"/>
      <c r="M825" s="596"/>
      <c r="O825" s="85"/>
      <c r="P825" s="85"/>
    </row>
    <row r="826" spans="11:16" ht="12.75">
      <c r="K826" s="100"/>
      <c r="L826" s="596"/>
      <c r="M826" s="596"/>
      <c r="O826" s="85"/>
      <c r="P826" s="85"/>
    </row>
    <row r="827" spans="11:16" ht="12.75">
      <c r="K827" s="100"/>
      <c r="L827" s="596"/>
      <c r="M827" s="596"/>
      <c r="O827" s="85"/>
      <c r="P827" s="85"/>
    </row>
    <row r="828" spans="11:16" ht="12.75">
      <c r="K828" s="100"/>
      <c r="L828" s="596"/>
      <c r="M828" s="596"/>
      <c r="O828" s="85"/>
      <c r="P828" s="85"/>
    </row>
    <row r="829" spans="11:16" ht="12.75">
      <c r="K829" s="100"/>
      <c r="L829" s="596"/>
      <c r="M829" s="596"/>
      <c r="O829" s="85"/>
      <c r="P829" s="85"/>
    </row>
    <row r="830" spans="11:16" ht="12.75">
      <c r="K830" s="100"/>
      <c r="L830" s="596"/>
      <c r="M830" s="596"/>
      <c r="O830" s="85"/>
      <c r="P830" s="85"/>
    </row>
    <row r="831" spans="11:16" ht="12.75">
      <c r="K831" s="100"/>
      <c r="L831" s="596"/>
      <c r="M831" s="596"/>
      <c r="O831" s="85"/>
      <c r="P831" s="85"/>
    </row>
    <row r="832" spans="11:16" ht="12.75">
      <c r="K832" s="100"/>
      <c r="L832" s="596"/>
      <c r="M832" s="596"/>
      <c r="O832" s="85"/>
      <c r="P832" s="85"/>
    </row>
    <row r="833" spans="11:16" ht="12.75">
      <c r="K833" s="100"/>
      <c r="L833" s="596"/>
      <c r="M833" s="596"/>
      <c r="O833" s="85"/>
      <c r="P833" s="85"/>
    </row>
    <row r="834" spans="11:16" ht="12.75">
      <c r="K834" s="100"/>
      <c r="L834" s="596"/>
      <c r="M834" s="596"/>
      <c r="O834" s="85"/>
      <c r="P834" s="85"/>
    </row>
    <row r="835" spans="11:16" ht="12.75">
      <c r="K835" s="100"/>
      <c r="L835" s="596"/>
      <c r="M835" s="596"/>
      <c r="O835" s="85"/>
      <c r="P835" s="85"/>
    </row>
    <row r="836" spans="11:16" ht="12.75">
      <c r="K836" s="100"/>
      <c r="L836" s="596"/>
      <c r="M836" s="596"/>
      <c r="O836" s="85"/>
      <c r="P836" s="85"/>
    </row>
    <row r="837" spans="11:16" ht="12.75">
      <c r="K837" s="100"/>
      <c r="L837" s="596"/>
      <c r="M837" s="596"/>
      <c r="O837" s="85"/>
      <c r="P837" s="85"/>
    </row>
    <row r="838" spans="11:16" ht="12.75">
      <c r="K838" s="100"/>
      <c r="L838" s="596"/>
      <c r="M838" s="596"/>
      <c r="O838" s="85"/>
      <c r="P838" s="85"/>
    </row>
    <row r="839" spans="11:16" ht="12.75">
      <c r="K839" s="100"/>
      <c r="L839" s="596"/>
      <c r="M839" s="596"/>
      <c r="O839" s="85"/>
      <c r="P839" s="85"/>
    </row>
    <row r="840" spans="11:16" ht="12.75">
      <c r="K840" s="100"/>
      <c r="L840" s="596"/>
      <c r="M840" s="596"/>
      <c r="O840" s="85"/>
      <c r="P840" s="85"/>
    </row>
    <row r="841" spans="11:16" ht="12.75">
      <c r="K841" s="100"/>
      <c r="L841" s="596"/>
      <c r="M841" s="596"/>
      <c r="O841" s="85"/>
      <c r="P841" s="85"/>
    </row>
    <row r="842" spans="11:16" ht="12.75">
      <c r="K842" s="100"/>
      <c r="L842" s="596"/>
      <c r="M842" s="596"/>
      <c r="O842" s="85"/>
      <c r="P842" s="85"/>
    </row>
    <row r="843" spans="11:16" ht="12.75">
      <c r="K843" s="100"/>
      <c r="L843" s="596"/>
      <c r="M843" s="596"/>
      <c r="O843" s="85"/>
      <c r="P843" s="85"/>
    </row>
    <row r="844" spans="11:16" ht="12.75">
      <c r="K844" s="100"/>
      <c r="L844" s="596"/>
      <c r="M844" s="596"/>
      <c r="O844" s="85"/>
      <c r="P844" s="85"/>
    </row>
    <row r="845" spans="11:16" ht="12.75">
      <c r="K845" s="100"/>
      <c r="L845" s="596"/>
      <c r="M845" s="596"/>
      <c r="O845" s="85"/>
      <c r="P845" s="85"/>
    </row>
    <row r="846" spans="11:16" ht="12.75">
      <c r="K846" s="100"/>
      <c r="L846" s="596"/>
      <c r="M846" s="596"/>
      <c r="O846" s="85"/>
      <c r="P846" s="85"/>
    </row>
    <row r="847" spans="11:16" ht="12.75">
      <c r="K847" s="100"/>
      <c r="L847" s="596"/>
      <c r="M847" s="596"/>
      <c r="O847" s="85"/>
      <c r="P847" s="85"/>
    </row>
    <row r="848" spans="11:16" ht="12.75">
      <c r="K848" s="100"/>
      <c r="L848" s="596"/>
      <c r="M848" s="596"/>
      <c r="O848" s="85"/>
      <c r="P848" s="85"/>
    </row>
    <row r="849" spans="11:16" ht="12.75">
      <c r="K849" s="100"/>
      <c r="L849" s="596"/>
      <c r="M849" s="596"/>
      <c r="O849" s="85"/>
      <c r="P849" s="85"/>
    </row>
    <row r="850" spans="11:16" ht="12.75">
      <c r="K850" s="100"/>
      <c r="L850" s="596"/>
      <c r="M850" s="596"/>
      <c r="O850" s="85"/>
      <c r="P850" s="85"/>
    </row>
    <row r="851" spans="11:16" ht="12.75">
      <c r="K851" s="100"/>
      <c r="L851" s="596"/>
      <c r="M851" s="596"/>
      <c r="O851" s="85"/>
      <c r="P851" s="85"/>
    </row>
    <row r="852" spans="11:16" ht="12.75">
      <c r="K852" s="100"/>
      <c r="L852" s="596"/>
      <c r="M852" s="596"/>
      <c r="O852" s="85"/>
      <c r="P852" s="85"/>
    </row>
    <row r="853" spans="11:16" ht="12.75">
      <c r="K853" s="100"/>
      <c r="L853" s="596"/>
      <c r="M853" s="596"/>
      <c r="O853" s="85"/>
      <c r="P853" s="85"/>
    </row>
    <row r="854" spans="11:16" ht="12.75">
      <c r="K854" s="100"/>
      <c r="L854" s="596"/>
      <c r="M854" s="596"/>
      <c r="O854" s="85"/>
      <c r="P854" s="85"/>
    </row>
    <row r="855" spans="11:16" ht="12.75">
      <c r="K855" s="100"/>
      <c r="L855" s="596"/>
      <c r="M855" s="596"/>
      <c r="O855" s="85"/>
      <c r="P855" s="85"/>
    </row>
    <row r="856" spans="11:16" ht="12.75">
      <c r="K856" s="100"/>
      <c r="L856" s="596"/>
      <c r="M856" s="596"/>
      <c r="O856" s="85"/>
      <c r="P856" s="85"/>
    </row>
    <row r="857" spans="11:16" ht="12.75">
      <c r="K857" s="100"/>
      <c r="L857" s="596"/>
      <c r="M857" s="596"/>
      <c r="O857" s="85"/>
      <c r="P857" s="85"/>
    </row>
    <row r="858" spans="11:16" ht="12.75">
      <c r="K858" s="100"/>
      <c r="L858" s="596"/>
      <c r="M858" s="596"/>
      <c r="O858" s="85"/>
      <c r="P858" s="85"/>
    </row>
    <row r="859" spans="11:16" ht="12.75">
      <c r="K859" s="100"/>
      <c r="L859" s="596"/>
      <c r="M859" s="596"/>
      <c r="O859" s="85"/>
      <c r="P859" s="85"/>
    </row>
    <row r="860" spans="11:16" ht="12.75">
      <c r="K860" s="100"/>
      <c r="L860" s="596"/>
      <c r="M860" s="596"/>
      <c r="O860" s="85"/>
      <c r="P860" s="85"/>
    </row>
    <row r="861" spans="11:16" ht="12.75">
      <c r="K861" s="100"/>
      <c r="L861" s="596"/>
      <c r="M861" s="596"/>
      <c r="O861" s="85"/>
      <c r="P861" s="85"/>
    </row>
    <row r="862" spans="11:16" ht="12.75">
      <c r="K862" s="100"/>
      <c r="L862" s="596"/>
      <c r="M862" s="596"/>
      <c r="O862" s="85"/>
      <c r="P862" s="85"/>
    </row>
    <row r="863" spans="11:16" ht="12.75">
      <c r="K863" s="100"/>
      <c r="L863" s="596"/>
      <c r="M863" s="596"/>
      <c r="O863" s="85"/>
      <c r="P863" s="85"/>
    </row>
    <row r="864" spans="11:16" ht="12.75">
      <c r="K864" s="100"/>
      <c r="L864" s="596"/>
      <c r="M864" s="596"/>
      <c r="O864" s="85"/>
      <c r="P864" s="85"/>
    </row>
    <row r="865" spans="11:16" ht="12.75">
      <c r="K865" s="100"/>
      <c r="L865" s="596"/>
      <c r="M865" s="596"/>
      <c r="O865" s="85"/>
      <c r="P865" s="85"/>
    </row>
    <row r="866" spans="11:16" ht="12.75">
      <c r="K866" s="100"/>
      <c r="L866" s="596"/>
      <c r="M866" s="596"/>
      <c r="O866" s="85"/>
      <c r="P866" s="85"/>
    </row>
    <row r="867" spans="11:16" ht="12.75">
      <c r="K867" s="100"/>
      <c r="L867" s="596"/>
      <c r="M867" s="596"/>
      <c r="O867" s="85"/>
      <c r="P867" s="85"/>
    </row>
    <row r="868" spans="11:16" ht="12.75">
      <c r="K868" s="100"/>
      <c r="L868" s="596"/>
      <c r="M868" s="596"/>
      <c r="O868" s="85"/>
      <c r="P868" s="85"/>
    </row>
    <row r="869" spans="11:16" ht="12.75">
      <c r="K869" s="100"/>
      <c r="L869" s="596"/>
      <c r="M869" s="596"/>
      <c r="O869" s="85"/>
      <c r="P869" s="85"/>
    </row>
    <row r="870" spans="11:16" ht="12.75">
      <c r="K870" s="100"/>
      <c r="L870" s="596"/>
      <c r="M870" s="596"/>
      <c r="O870" s="85"/>
      <c r="P870" s="85"/>
    </row>
    <row r="871" spans="11:16" ht="12.75">
      <c r="K871" s="100"/>
      <c r="L871" s="596"/>
      <c r="M871" s="596"/>
      <c r="O871" s="85"/>
      <c r="P871" s="85"/>
    </row>
    <row r="872" spans="11:16" ht="12.75">
      <c r="K872" s="100"/>
      <c r="L872" s="596"/>
      <c r="M872" s="596"/>
      <c r="O872" s="85"/>
      <c r="P872" s="85"/>
    </row>
    <row r="873" spans="11:16" ht="12.75">
      <c r="K873" s="100"/>
      <c r="L873" s="596"/>
      <c r="M873" s="596"/>
      <c r="O873" s="85"/>
      <c r="P873" s="85"/>
    </row>
    <row r="874" spans="11:16" ht="12.75">
      <c r="K874" s="100"/>
      <c r="L874" s="596"/>
      <c r="M874" s="596"/>
      <c r="O874" s="85"/>
      <c r="P874" s="85"/>
    </row>
    <row r="875" spans="11:16" ht="12.75">
      <c r="K875" s="100"/>
      <c r="L875" s="596"/>
      <c r="M875" s="596"/>
      <c r="O875" s="85"/>
      <c r="P875" s="85"/>
    </row>
    <row r="876" spans="11:16" ht="12.75">
      <c r="K876" s="100"/>
      <c r="L876" s="596"/>
      <c r="M876" s="596"/>
      <c r="O876" s="85"/>
      <c r="P876" s="85"/>
    </row>
    <row r="877" spans="11:16" ht="12.75">
      <c r="K877" s="100"/>
      <c r="L877" s="596"/>
      <c r="M877" s="596"/>
      <c r="O877" s="85"/>
      <c r="P877" s="85"/>
    </row>
    <row r="878" spans="11:16" ht="12.75">
      <c r="K878" s="100"/>
      <c r="L878" s="596"/>
      <c r="M878" s="596"/>
      <c r="O878" s="85"/>
      <c r="P878" s="85"/>
    </row>
    <row r="879" spans="11:16" ht="12.75">
      <c r="K879" s="100"/>
      <c r="L879" s="596"/>
      <c r="M879" s="596"/>
      <c r="O879" s="85"/>
      <c r="P879" s="85"/>
    </row>
    <row r="880" spans="11:16" ht="12.75">
      <c r="K880" s="100"/>
      <c r="L880" s="596"/>
      <c r="M880" s="596"/>
      <c r="O880" s="85"/>
      <c r="P880" s="85"/>
    </row>
    <row r="881" spans="11:16" ht="12.75">
      <c r="K881" s="100"/>
      <c r="L881" s="596"/>
      <c r="M881" s="596"/>
      <c r="O881" s="85"/>
      <c r="P881" s="85"/>
    </row>
    <row r="882" spans="11:16" ht="12.75">
      <c r="K882" s="100"/>
      <c r="L882" s="596"/>
      <c r="M882" s="596"/>
      <c r="O882" s="85"/>
      <c r="P882" s="85"/>
    </row>
    <row r="883" spans="11:16" ht="12.75">
      <c r="K883" s="100"/>
      <c r="L883" s="596"/>
      <c r="M883" s="596"/>
      <c r="O883" s="85"/>
      <c r="P883" s="85"/>
    </row>
    <row r="884" spans="11:16" ht="12.75">
      <c r="K884" s="100"/>
      <c r="L884" s="596"/>
      <c r="M884" s="596"/>
      <c r="O884" s="85"/>
      <c r="P884" s="85"/>
    </row>
    <row r="885" spans="11:16" ht="12.75">
      <c r="K885" s="100"/>
      <c r="L885" s="596"/>
      <c r="M885" s="596"/>
      <c r="O885" s="85"/>
      <c r="P885" s="85"/>
    </row>
    <row r="886" spans="11:16" ht="12.75">
      <c r="K886" s="100"/>
      <c r="L886" s="596"/>
      <c r="M886" s="596"/>
      <c r="O886" s="85"/>
      <c r="P886" s="85"/>
    </row>
    <row r="887" spans="11:16" ht="12.75">
      <c r="K887" s="100"/>
      <c r="L887" s="596"/>
      <c r="M887" s="596"/>
      <c r="O887" s="85"/>
      <c r="P887" s="85"/>
    </row>
    <row r="888" spans="11:16" ht="12.75">
      <c r="K888" s="100"/>
      <c r="L888" s="596"/>
      <c r="M888" s="596"/>
      <c r="O888" s="85"/>
      <c r="P888" s="85"/>
    </row>
    <row r="889" spans="11:16" ht="12.75">
      <c r="K889" s="100"/>
      <c r="L889" s="596"/>
      <c r="M889" s="596"/>
      <c r="O889" s="85"/>
      <c r="P889" s="85"/>
    </row>
    <row r="890" spans="11:16" ht="12.75">
      <c r="K890" s="100"/>
      <c r="L890" s="596"/>
      <c r="M890" s="596"/>
      <c r="O890" s="85"/>
      <c r="P890" s="85"/>
    </row>
    <row r="891" spans="11:16" ht="12.75">
      <c r="K891" s="100"/>
      <c r="L891" s="596"/>
      <c r="M891" s="596"/>
      <c r="O891" s="85"/>
      <c r="P891" s="85"/>
    </row>
    <row r="892" spans="11:16" ht="12.75">
      <c r="K892" s="100"/>
      <c r="L892" s="596"/>
      <c r="M892" s="596"/>
      <c r="O892" s="85"/>
      <c r="P892" s="85"/>
    </row>
    <row r="893" spans="11:16" ht="12.75">
      <c r="K893" s="100"/>
      <c r="L893" s="596"/>
      <c r="M893" s="596"/>
      <c r="O893" s="85"/>
      <c r="P893" s="85"/>
    </row>
    <row r="894" spans="11:16" ht="12.75">
      <c r="K894" s="100"/>
      <c r="L894" s="596"/>
      <c r="M894" s="596"/>
      <c r="O894" s="85"/>
      <c r="P894" s="85"/>
    </row>
    <row r="895" spans="11:16" ht="12.75">
      <c r="K895" s="100"/>
      <c r="L895" s="596"/>
      <c r="M895" s="596"/>
      <c r="O895" s="85"/>
      <c r="P895" s="85"/>
    </row>
    <row r="896" spans="11:16" ht="12.75">
      <c r="K896" s="100"/>
      <c r="L896" s="596"/>
      <c r="M896" s="596"/>
      <c r="O896" s="85"/>
      <c r="P896" s="85"/>
    </row>
    <row r="897" spans="11:16" ht="12.75">
      <c r="K897" s="100"/>
      <c r="L897" s="596"/>
      <c r="M897" s="596"/>
      <c r="O897" s="85"/>
      <c r="P897" s="85"/>
    </row>
    <row r="898" spans="11:16" ht="12.75">
      <c r="K898" s="100"/>
      <c r="L898" s="596"/>
      <c r="M898" s="596"/>
      <c r="O898" s="85"/>
      <c r="P898" s="85"/>
    </row>
    <row r="899" spans="11:16" ht="12.75">
      <c r="K899" s="100"/>
      <c r="L899" s="596"/>
      <c r="M899" s="596"/>
      <c r="O899" s="85"/>
      <c r="P899" s="85"/>
    </row>
    <row r="900" spans="11:16" ht="12.75">
      <c r="K900" s="100"/>
      <c r="L900" s="596"/>
      <c r="M900" s="596"/>
      <c r="O900" s="85"/>
      <c r="P900" s="85"/>
    </row>
    <row r="901" spans="11:16" ht="12.75">
      <c r="K901" s="100"/>
      <c r="L901" s="596"/>
      <c r="M901" s="596"/>
      <c r="O901" s="85"/>
      <c r="P901" s="85"/>
    </row>
    <row r="902" spans="11:16" ht="12.75">
      <c r="K902" s="100"/>
      <c r="L902" s="596"/>
      <c r="M902" s="596"/>
      <c r="O902" s="85"/>
      <c r="P902" s="85"/>
    </row>
    <row r="903" spans="11:16" ht="12.75">
      <c r="K903" s="100"/>
      <c r="L903" s="596"/>
      <c r="M903" s="596"/>
      <c r="O903" s="85"/>
      <c r="P903" s="85"/>
    </row>
    <row r="904" spans="11:16" ht="12.75">
      <c r="K904" s="100"/>
      <c r="L904" s="596"/>
      <c r="M904" s="596"/>
      <c r="O904" s="85"/>
      <c r="P904" s="85"/>
    </row>
    <row r="905" spans="11:16" ht="12.75">
      <c r="K905" s="100"/>
      <c r="L905" s="596"/>
      <c r="M905" s="596"/>
      <c r="O905" s="85"/>
      <c r="P905" s="85"/>
    </row>
    <row r="906" spans="11:16" ht="12.75">
      <c r="K906" s="100"/>
      <c r="L906" s="596"/>
      <c r="M906" s="596"/>
      <c r="O906" s="85"/>
      <c r="P906" s="85"/>
    </row>
    <row r="907" spans="11:16" ht="12.75">
      <c r="K907" s="100"/>
      <c r="L907" s="596"/>
      <c r="M907" s="596"/>
      <c r="O907" s="85"/>
      <c r="P907" s="85"/>
    </row>
    <row r="908" spans="11:16" ht="12.75">
      <c r="K908" s="100"/>
      <c r="L908" s="596"/>
      <c r="M908" s="596"/>
      <c r="O908" s="85"/>
      <c r="P908" s="85"/>
    </row>
    <row r="909" spans="11:16" ht="12.75">
      <c r="K909" s="100"/>
      <c r="L909" s="596"/>
      <c r="M909" s="596"/>
      <c r="O909" s="85"/>
      <c r="P909" s="85"/>
    </row>
    <row r="910" spans="11:16" ht="12.75">
      <c r="K910" s="100"/>
      <c r="L910" s="596"/>
      <c r="M910" s="596"/>
      <c r="O910" s="85"/>
      <c r="P910" s="85"/>
    </row>
    <row r="911" spans="11:16" ht="12.75">
      <c r="K911" s="100"/>
      <c r="L911" s="596"/>
      <c r="M911" s="596"/>
      <c r="O911" s="85"/>
      <c r="P911" s="85"/>
    </row>
    <row r="912" spans="11:16" ht="12.75">
      <c r="K912" s="100"/>
      <c r="L912" s="596"/>
      <c r="M912" s="596"/>
      <c r="O912" s="85"/>
      <c r="P912" s="85"/>
    </row>
    <row r="913" spans="11:16" ht="12.75">
      <c r="K913" s="100"/>
      <c r="L913" s="596"/>
      <c r="M913" s="596"/>
      <c r="O913" s="85"/>
      <c r="P913" s="85"/>
    </row>
    <row r="914" spans="11:16" ht="12.75">
      <c r="K914" s="100"/>
      <c r="L914" s="596"/>
      <c r="M914" s="596"/>
      <c r="O914" s="85"/>
      <c r="P914" s="85"/>
    </row>
    <row r="915" spans="11:16" ht="12.75">
      <c r="K915" s="100"/>
      <c r="L915" s="596"/>
      <c r="M915" s="596"/>
      <c r="O915" s="85"/>
      <c r="P915" s="85"/>
    </row>
    <row r="916" spans="11:16" ht="12.75">
      <c r="K916" s="100"/>
      <c r="L916" s="596"/>
      <c r="M916" s="596"/>
      <c r="O916" s="85"/>
      <c r="P916" s="85"/>
    </row>
    <row r="917" spans="11:16" ht="12.75">
      <c r="K917" s="100"/>
      <c r="L917" s="596"/>
      <c r="M917" s="596"/>
      <c r="O917" s="85"/>
      <c r="P917" s="85"/>
    </row>
    <row r="918" spans="11:16" ht="12.75">
      <c r="K918" s="100"/>
      <c r="L918" s="596"/>
      <c r="M918" s="596"/>
      <c r="O918" s="85"/>
      <c r="P918" s="85"/>
    </row>
    <row r="919" spans="11:16" ht="12.75">
      <c r="K919" s="100"/>
      <c r="L919" s="596"/>
      <c r="M919" s="596"/>
      <c r="O919" s="85"/>
      <c r="P919" s="85"/>
    </row>
    <row r="920" spans="11:16" ht="12.75">
      <c r="K920" s="100"/>
      <c r="L920" s="596"/>
      <c r="M920" s="596"/>
      <c r="O920" s="85"/>
      <c r="P920" s="85"/>
    </row>
    <row r="921" spans="11:16" ht="12.75">
      <c r="K921" s="100"/>
      <c r="L921" s="596"/>
      <c r="M921" s="596"/>
      <c r="O921" s="85"/>
      <c r="P921" s="85"/>
    </row>
    <row r="922" spans="11:16" ht="12.75">
      <c r="K922" s="100"/>
      <c r="L922" s="596"/>
      <c r="M922" s="596"/>
      <c r="O922" s="85"/>
      <c r="P922" s="85"/>
    </row>
    <row r="923" spans="11:16" ht="12.75">
      <c r="K923" s="100"/>
      <c r="L923" s="596"/>
      <c r="M923" s="596"/>
      <c r="O923" s="85"/>
      <c r="P923" s="85"/>
    </row>
    <row r="924" spans="11:16" ht="12.75">
      <c r="K924" s="100"/>
      <c r="L924" s="596"/>
      <c r="M924" s="596"/>
      <c r="O924" s="85"/>
      <c r="P924" s="85"/>
    </row>
    <row r="925" spans="11:16" ht="12.75">
      <c r="K925" s="100"/>
      <c r="L925" s="596"/>
      <c r="M925" s="596"/>
      <c r="O925" s="85"/>
      <c r="P925" s="85"/>
    </row>
    <row r="926" spans="11:16" ht="12.75">
      <c r="K926" s="100"/>
      <c r="L926" s="596"/>
      <c r="M926" s="596"/>
      <c r="O926" s="85"/>
      <c r="P926" s="85"/>
    </row>
    <row r="927" spans="11:16" ht="12.75">
      <c r="K927" s="100"/>
      <c r="L927" s="596"/>
      <c r="M927" s="596"/>
      <c r="O927" s="85"/>
      <c r="P927" s="85"/>
    </row>
    <row r="928" spans="11:16" ht="12.75">
      <c r="K928" s="100"/>
      <c r="L928" s="596"/>
      <c r="M928" s="596"/>
      <c r="O928" s="85"/>
      <c r="P928" s="85"/>
    </row>
    <row r="929" spans="11:16" ht="12.75">
      <c r="K929" s="100"/>
      <c r="L929" s="596"/>
      <c r="M929" s="596"/>
      <c r="O929" s="85"/>
      <c r="P929" s="85"/>
    </row>
    <row r="930" spans="11:16" ht="12.75">
      <c r="K930" s="100"/>
      <c r="L930" s="596"/>
      <c r="M930" s="596"/>
      <c r="O930" s="85"/>
      <c r="P930" s="85"/>
    </row>
    <row r="931" spans="11:16" ht="12.75">
      <c r="K931" s="100"/>
      <c r="L931" s="596"/>
      <c r="M931" s="596"/>
      <c r="O931" s="85"/>
      <c r="P931" s="85"/>
    </row>
    <row r="932" spans="11:16" ht="12.75">
      <c r="K932" s="100"/>
      <c r="L932" s="596"/>
      <c r="M932" s="596"/>
      <c r="O932" s="85"/>
      <c r="P932" s="85"/>
    </row>
    <row r="933" spans="11:16" ht="12.75">
      <c r="K933" s="100"/>
      <c r="L933" s="596"/>
      <c r="M933" s="596"/>
      <c r="O933" s="85"/>
      <c r="P933" s="85"/>
    </row>
    <row r="934" spans="11:16" ht="12.75">
      <c r="K934" s="100"/>
      <c r="L934" s="596"/>
      <c r="M934" s="596"/>
      <c r="O934" s="85"/>
      <c r="P934" s="85"/>
    </row>
    <row r="935" spans="11:16" ht="12.75">
      <c r="K935" s="100"/>
      <c r="L935" s="596"/>
      <c r="M935" s="596"/>
      <c r="O935" s="85"/>
      <c r="P935" s="85"/>
    </row>
    <row r="936" spans="11:16" ht="12.75">
      <c r="K936" s="100"/>
      <c r="L936" s="596"/>
      <c r="M936" s="596"/>
      <c r="O936" s="85"/>
      <c r="P936" s="85"/>
    </row>
    <row r="937" spans="11:16" ht="12.75">
      <c r="K937" s="100"/>
      <c r="L937" s="596"/>
      <c r="M937" s="596"/>
      <c r="O937" s="85"/>
      <c r="P937" s="85"/>
    </row>
    <row r="938" spans="11:16" ht="12.75">
      <c r="K938" s="100"/>
      <c r="L938" s="596"/>
      <c r="M938" s="596"/>
      <c r="O938" s="85"/>
      <c r="P938" s="85"/>
    </row>
    <row r="939" spans="11:16" ht="12.75">
      <c r="K939" s="100"/>
      <c r="L939" s="596"/>
      <c r="M939" s="596"/>
      <c r="O939" s="85"/>
      <c r="P939" s="85"/>
    </row>
    <row r="940" spans="11:16" ht="12.75">
      <c r="K940" s="100"/>
      <c r="L940" s="596"/>
      <c r="M940" s="596"/>
      <c r="O940" s="85"/>
      <c r="P940" s="85"/>
    </row>
    <row r="941" spans="11:16" ht="12.75">
      <c r="K941" s="100"/>
      <c r="L941" s="596"/>
      <c r="M941" s="596"/>
      <c r="O941" s="85"/>
      <c r="P941" s="85"/>
    </row>
    <row r="942" spans="11:16" ht="12.75">
      <c r="K942" s="100"/>
      <c r="L942" s="596"/>
      <c r="M942" s="596"/>
      <c r="O942" s="85"/>
      <c r="P942" s="85"/>
    </row>
    <row r="943" spans="11:16" ht="12.75">
      <c r="K943" s="100"/>
      <c r="L943" s="596"/>
      <c r="M943" s="596"/>
      <c r="O943" s="85"/>
      <c r="P943" s="85"/>
    </row>
    <row r="944" spans="11:16" ht="12.75">
      <c r="K944" s="100"/>
      <c r="L944" s="596"/>
      <c r="M944" s="596"/>
      <c r="O944" s="85"/>
      <c r="P944" s="85"/>
    </row>
    <row r="945" spans="11:16" ht="12.75">
      <c r="K945" s="100"/>
      <c r="L945" s="596"/>
      <c r="M945" s="596"/>
      <c r="O945" s="85"/>
      <c r="P945" s="85"/>
    </row>
    <row r="946" spans="11:16" ht="12.75">
      <c r="K946" s="100"/>
      <c r="L946" s="596"/>
      <c r="M946" s="596"/>
      <c r="O946" s="85"/>
      <c r="P946" s="85"/>
    </row>
    <row r="947" spans="11:16" ht="12.75">
      <c r="K947" s="100"/>
      <c r="L947" s="596"/>
      <c r="M947" s="596"/>
      <c r="O947" s="85"/>
      <c r="P947" s="85"/>
    </row>
    <row r="948" spans="11:16" ht="12.75">
      <c r="K948" s="100"/>
      <c r="L948" s="596"/>
      <c r="M948" s="596"/>
      <c r="O948" s="85"/>
      <c r="P948" s="85"/>
    </row>
    <row r="949" spans="11:16" ht="12.75">
      <c r="K949" s="100"/>
      <c r="L949" s="596"/>
      <c r="M949" s="596"/>
      <c r="O949" s="85"/>
      <c r="P949" s="85"/>
    </row>
    <row r="950" spans="11:16" ht="12.75">
      <c r="K950" s="100"/>
      <c r="L950" s="596"/>
      <c r="M950" s="596"/>
      <c r="O950" s="85"/>
      <c r="P950" s="85"/>
    </row>
    <row r="951" spans="11:16" ht="12.75">
      <c r="K951" s="100"/>
      <c r="L951" s="596"/>
      <c r="M951" s="596"/>
      <c r="O951" s="85"/>
      <c r="P951" s="85"/>
    </row>
    <row r="952" spans="11:16" ht="12.75">
      <c r="K952" s="100"/>
      <c r="L952" s="596"/>
      <c r="M952" s="596"/>
      <c r="O952" s="85"/>
      <c r="P952" s="85"/>
    </row>
    <row r="953" spans="11:16" ht="12.75">
      <c r="K953" s="100"/>
      <c r="L953" s="596"/>
      <c r="M953" s="596"/>
      <c r="O953" s="85"/>
      <c r="P953" s="85"/>
    </row>
    <row r="954" spans="11:16" ht="12.75">
      <c r="K954" s="100"/>
      <c r="L954" s="596"/>
      <c r="M954" s="596"/>
      <c r="O954" s="85"/>
      <c r="P954" s="85"/>
    </row>
    <row r="955" spans="11:16" ht="12.75">
      <c r="K955" s="100"/>
      <c r="L955" s="596"/>
      <c r="M955" s="596"/>
      <c r="O955" s="85"/>
      <c r="P955" s="85"/>
    </row>
    <row r="956" spans="11:16" ht="12.75">
      <c r="K956" s="100"/>
      <c r="L956" s="596"/>
      <c r="M956" s="596"/>
      <c r="O956" s="85"/>
      <c r="P956" s="85"/>
    </row>
    <row r="957" spans="11:16" ht="12.75">
      <c r="K957" s="100"/>
      <c r="L957" s="596"/>
      <c r="M957" s="596"/>
      <c r="O957" s="85"/>
      <c r="P957" s="85"/>
    </row>
    <row r="958" spans="11:16" ht="12.75">
      <c r="K958" s="100"/>
      <c r="L958" s="596"/>
      <c r="M958" s="596"/>
      <c r="O958" s="85"/>
      <c r="P958" s="85"/>
    </row>
    <row r="959" spans="11:16" ht="12.75">
      <c r="K959" s="100"/>
      <c r="L959" s="596"/>
      <c r="M959" s="596"/>
      <c r="O959" s="85"/>
      <c r="P959" s="85"/>
    </row>
    <row r="960" spans="11:16" ht="12.75">
      <c r="K960" s="100"/>
      <c r="L960" s="596"/>
      <c r="M960" s="596"/>
      <c r="O960" s="85"/>
      <c r="P960" s="85"/>
    </row>
    <row r="961" spans="11:16" ht="12.75">
      <c r="K961" s="100"/>
      <c r="L961" s="596"/>
      <c r="M961" s="596"/>
      <c r="O961" s="85"/>
      <c r="P961" s="85"/>
    </row>
    <row r="962" spans="11:16" ht="12.75">
      <c r="K962" s="100"/>
      <c r="L962" s="596"/>
      <c r="M962" s="596"/>
      <c r="O962" s="85"/>
      <c r="P962" s="85"/>
    </row>
    <row r="963" spans="11:16" ht="12.75">
      <c r="K963" s="100"/>
      <c r="L963" s="596"/>
      <c r="M963" s="596"/>
      <c r="O963" s="85"/>
      <c r="P963" s="85"/>
    </row>
    <row r="964" spans="11:16" ht="12.75">
      <c r="K964" s="100"/>
      <c r="L964" s="596"/>
      <c r="M964" s="596"/>
      <c r="O964" s="85"/>
      <c r="P964" s="85"/>
    </row>
    <row r="965" spans="11:16" ht="12.75">
      <c r="K965" s="100"/>
      <c r="L965" s="596"/>
      <c r="M965" s="596"/>
      <c r="O965" s="85"/>
      <c r="P965" s="85"/>
    </row>
    <row r="966" spans="11:16" ht="12.75">
      <c r="K966" s="100"/>
      <c r="L966" s="596"/>
      <c r="M966" s="596"/>
      <c r="O966" s="85"/>
      <c r="P966" s="85"/>
    </row>
    <row r="967" spans="11:16" ht="12.75">
      <c r="K967" s="100"/>
      <c r="L967" s="596"/>
      <c r="M967" s="596"/>
      <c r="O967" s="85"/>
      <c r="P967" s="85"/>
    </row>
    <row r="968" spans="11:16" ht="12.75">
      <c r="K968" s="100"/>
      <c r="L968" s="596"/>
      <c r="M968" s="596"/>
      <c r="O968" s="85"/>
      <c r="P968" s="85"/>
    </row>
    <row r="969" spans="11:16" ht="12.75">
      <c r="K969" s="100"/>
      <c r="L969" s="596"/>
      <c r="M969" s="596"/>
      <c r="O969" s="85"/>
      <c r="P969" s="85"/>
    </row>
    <row r="970" spans="11:16" ht="12.75">
      <c r="K970" s="100"/>
      <c r="L970" s="596"/>
      <c r="M970" s="596"/>
      <c r="O970" s="85"/>
      <c r="P970" s="85"/>
    </row>
    <row r="971" spans="11:16" ht="12.75">
      <c r="K971" s="100"/>
      <c r="L971" s="596"/>
      <c r="M971" s="596"/>
      <c r="O971" s="85"/>
      <c r="P971" s="85"/>
    </row>
    <row r="972" spans="11:16" ht="12.75">
      <c r="K972" s="100"/>
      <c r="L972" s="596"/>
      <c r="M972" s="596"/>
      <c r="O972" s="85"/>
      <c r="P972" s="85"/>
    </row>
    <row r="973" spans="11:16" ht="12.75">
      <c r="K973" s="100"/>
      <c r="L973" s="596"/>
      <c r="M973" s="596"/>
      <c r="O973" s="85"/>
      <c r="P973" s="85"/>
    </row>
    <row r="974" spans="11:16" ht="12.75">
      <c r="K974" s="100"/>
      <c r="L974" s="596"/>
      <c r="M974" s="596"/>
      <c r="O974" s="85"/>
      <c r="P974" s="85"/>
    </row>
    <row r="975" spans="11:16" ht="12.75">
      <c r="K975" s="100"/>
      <c r="L975" s="596"/>
      <c r="M975" s="596"/>
      <c r="O975" s="85"/>
      <c r="P975" s="85"/>
    </row>
    <row r="976" spans="11:16" ht="12.75">
      <c r="K976" s="100"/>
      <c r="L976" s="596"/>
      <c r="M976" s="596"/>
      <c r="O976" s="85"/>
      <c r="P976" s="85"/>
    </row>
    <row r="977" spans="11:16" ht="12.75">
      <c r="K977" s="100"/>
      <c r="L977" s="596"/>
      <c r="M977" s="596"/>
      <c r="O977" s="85"/>
      <c r="P977" s="85"/>
    </row>
    <row r="978" spans="11:16" ht="12.75">
      <c r="K978" s="100"/>
      <c r="L978" s="596"/>
      <c r="M978" s="596"/>
      <c r="O978" s="85"/>
      <c r="P978" s="85"/>
    </row>
    <row r="979" spans="11:16" ht="12.75">
      <c r="K979" s="100"/>
      <c r="L979" s="596"/>
      <c r="M979" s="596"/>
      <c r="O979" s="85"/>
      <c r="P979" s="85"/>
    </row>
    <row r="980" spans="11:16" ht="12.75">
      <c r="K980" s="100"/>
      <c r="L980" s="596"/>
      <c r="M980" s="596"/>
      <c r="O980" s="85"/>
      <c r="P980" s="85"/>
    </row>
    <row r="981" spans="11:16" ht="12.75">
      <c r="K981" s="100"/>
      <c r="L981" s="596"/>
      <c r="M981" s="596"/>
      <c r="O981" s="85"/>
      <c r="P981" s="85"/>
    </row>
    <row r="982" spans="11:16" ht="12.75">
      <c r="K982" s="100"/>
      <c r="L982" s="596"/>
      <c r="M982" s="596"/>
      <c r="O982" s="85"/>
      <c r="P982" s="85"/>
    </row>
    <row r="983" spans="11:16" ht="12.75">
      <c r="K983" s="100"/>
      <c r="L983" s="596"/>
      <c r="M983" s="596"/>
      <c r="O983" s="85"/>
      <c r="P983" s="85"/>
    </row>
    <row r="984" spans="11:16" ht="12.75">
      <c r="K984" s="100"/>
      <c r="L984" s="596"/>
      <c r="M984" s="596"/>
      <c r="O984" s="85"/>
      <c r="P984" s="85"/>
    </row>
    <row r="985" spans="11:16" ht="12.75">
      <c r="K985" s="100"/>
      <c r="L985" s="596"/>
      <c r="M985" s="596"/>
      <c r="O985" s="85"/>
      <c r="P985" s="85"/>
    </row>
    <row r="986" spans="11:16" ht="12.75">
      <c r="K986" s="100"/>
      <c r="L986" s="596"/>
      <c r="M986" s="596"/>
      <c r="O986" s="85"/>
      <c r="P986" s="85"/>
    </row>
    <row r="987" spans="11:16" ht="12.75">
      <c r="K987" s="100"/>
      <c r="L987" s="596"/>
      <c r="M987" s="596"/>
      <c r="O987" s="85"/>
      <c r="P987" s="85"/>
    </row>
    <row r="988" spans="11:16" ht="12.75">
      <c r="K988" s="100"/>
      <c r="L988" s="596"/>
      <c r="M988" s="596"/>
      <c r="O988" s="85"/>
      <c r="P988" s="85"/>
    </row>
    <row r="989" spans="11:16" ht="12.75">
      <c r="K989" s="100"/>
      <c r="L989" s="596"/>
      <c r="M989" s="596"/>
      <c r="O989" s="85"/>
      <c r="P989" s="85"/>
    </row>
    <row r="990" spans="11:16" ht="12.75">
      <c r="K990" s="100"/>
      <c r="L990" s="596"/>
      <c r="M990" s="596"/>
      <c r="O990" s="85"/>
      <c r="P990" s="85"/>
    </row>
    <row r="991" spans="11:16" ht="12.75">
      <c r="K991" s="100"/>
      <c r="L991" s="596"/>
      <c r="M991" s="596"/>
      <c r="O991" s="85"/>
      <c r="P991" s="85"/>
    </row>
    <row r="992" spans="11:16" ht="12.75">
      <c r="K992" s="100"/>
      <c r="L992" s="596"/>
      <c r="M992" s="596"/>
      <c r="O992" s="85"/>
      <c r="P992" s="85"/>
    </row>
    <row r="993" spans="11:16" ht="12.75">
      <c r="K993" s="100"/>
      <c r="L993" s="596"/>
      <c r="M993" s="596"/>
      <c r="O993" s="85"/>
      <c r="P993" s="85"/>
    </row>
    <row r="994" spans="11:16" ht="12.75">
      <c r="K994" s="100"/>
      <c r="L994" s="596"/>
      <c r="M994" s="596"/>
      <c r="O994" s="85"/>
      <c r="P994" s="85"/>
    </row>
    <row r="995" spans="11:16" ht="12.75">
      <c r="K995" s="100"/>
      <c r="L995" s="596"/>
      <c r="M995" s="596"/>
      <c r="O995" s="85"/>
      <c r="P995" s="85"/>
    </row>
    <row r="996" spans="11:16" ht="12.75">
      <c r="K996" s="100"/>
      <c r="L996" s="596"/>
      <c r="M996" s="596"/>
      <c r="O996" s="85"/>
      <c r="P996" s="85"/>
    </row>
    <row r="997" spans="11:16" ht="12.75">
      <c r="K997" s="100"/>
      <c r="L997" s="596"/>
      <c r="M997" s="596"/>
      <c r="O997" s="85"/>
      <c r="P997" s="85"/>
    </row>
    <row r="998" spans="11:16" ht="12.75">
      <c r="K998" s="100"/>
      <c r="L998" s="596"/>
      <c r="M998" s="596"/>
      <c r="O998" s="85"/>
      <c r="P998" s="85"/>
    </row>
    <row r="999" spans="11:16" ht="12.75">
      <c r="K999" s="100"/>
      <c r="L999" s="596"/>
      <c r="M999" s="596"/>
      <c r="O999" s="85"/>
      <c r="P999" s="85"/>
    </row>
    <row r="1000" spans="11:16" ht="12.75">
      <c r="K1000" s="100"/>
      <c r="L1000" s="596"/>
      <c r="M1000" s="596"/>
      <c r="O1000" s="85"/>
      <c r="P1000" s="85"/>
    </row>
    <row r="1001" spans="11:16" ht="12.75">
      <c r="K1001" s="100"/>
      <c r="L1001" s="596"/>
      <c r="M1001" s="596"/>
      <c r="O1001" s="85"/>
      <c r="P1001" s="85"/>
    </row>
    <row r="1002" spans="11:16" ht="12.75">
      <c r="K1002" s="100"/>
      <c r="L1002" s="596"/>
      <c r="M1002" s="596"/>
      <c r="O1002" s="85"/>
      <c r="P1002" s="85"/>
    </row>
  </sheetData>
  <mergeCells count="6">
    <mergeCell ref="B633:C633"/>
    <mergeCell ref="A3:K3"/>
    <mergeCell ref="B5:C5"/>
    <mergeCell ref="D5:H5"/>
    <mergeCell ref="A7:B7"/>
    <mergeCell ref="B556:C556"/>
  </mergeCells>
  <printOptions horizontalCentered="1" gridLines="1"/>
  <pageMargins left="0.7" right="0.7" top="0.75" bottom="0.75" header="0" footer="0"/>
  <pageSetup fitToHeight="0" pageOrder="overThenDown" orientation="landscape" cellComments="atEnd"/>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DDEBF7"/>
    <outlinePr summaryBelow="0" summaryRight="0"/>
  </sheetPr>
  <dimension ref="A1:T66"/>
  <sheetViews>
    <sheetView workbookViewId="0"/>
  </sheetViews>
  <sheetFormatPr defaultColWidth="14.42578125" defaultRowHeight="15.75" customHeight="1"/>
  <sheetData>
    <row r="1" spans="1:20">
      <c r="A1" s="719" t="s">
        <v>1505</v>
      </c>
      <c r="B1" s="688"/>
      <c r="C1" s="688"/>
      <c r="D1" s="688"/>
      <c r="E1" s="688"/>
      <c r="F1" s="688"/>
      <c r="G1" s="688"/>
      <c r="H1" s="672"/>
      <c r="I1" s="672"/>
      <c r="J1" s="672"/>
      <c r="K1" s="672"/>
      <c r="L1" s="672"/>
      <c r="M1" s="672"/>
      <c r="N1" s="672"/>
      <c r="O1" s="672"/>
      <c r="P1" s="672"/>
      <c r="Q1" s="672"/>
    </row>
    <row r="2" spans="1:20" ht="15.75" customHeight="1">
      <c r="A2" s="673"/>
      <c r="B2" s="720" t="s">
        <v>1506</v>
      </c>
      <c r="C2" s="712"/>
      <c r="D2" s="712"/>
      <c r="E2" s="712"/>
      <c r="F2" s="712"/>
      <c r="G2" s="712"/>
      <c r="H2" s="712"/>
      <c r="I2" s="712"/>
      <c r="J2" s="712"/>
      <c r="K2" s="693"/>
      <c r="L2" s="721" t="s">
        <v>1507</v>
      </c>
      <c r="M2" s="712"/>
      <c r="N2" s="712"/>
      <c r="O2" s="712"/>
      <c r="P2" s="712"/>
      <c r="Q2" s="712"/>
    </row>
    <row r="3" spans="1:20" ht="15.75" customHeight="1">
      <c r="A3" s="674" t="s">
        <v>1508</v>
      </c>
      <c r="B3" s="675">
        <v>2010</v>
      </c>
      <c r="C3" s="676">
        <v>2011</v>
      </c>
      <c r="D3" s="676">
        <v>2012</v>
      </c>
      <c r="E3" s="676">
        <v>2013</v>
      </c>
      <c r="F3" s="676">
        <v>2014</v>
      </c>
      <c r="G3" s="676">
        <v>2015</v>
      </c>
      <c r="H3" s="676">
        <v>2016</v>
      </c>
      <c r="I3" s="676">
        <v>2017</v>
      </c>
      <c r="J3" s="676">
        <v>2018</v>
      </c>
      <c r="K3" s="675">
        <v>2019</v>
      </c>
      <c r="L3" s="675">
        <v>2020</v>
      </c>
      <c r="M3" s="676">
        <v>2021</v>
      </c>
      <c r="N3" s="676">
        <v>2022</v>
      </c>
      <c r="O3" s="676">
        <v>2023</v>
      </c>
      <c r="P3" s="676">
        <v>2024</v>
      </c>
      <c r="Q3" s="676">
        <v>2025</v>
      </c>
    </row>
    <row r="4" spans="1:20" ht="15.75" customHeight="1">
      <c r="A4" s="677" t="s">
        <v>1509</v>
      </c>
      <c r="B4" s="678">
        <v>37367579</v>
      </c>
      <c r="C4" s="679">
        <v>37729544</v>
      </c>
      <c r="D4" s="679">
        <v>38101155</v>
      </c>
      <c r="E4" s="679">
        <v>38410053</v>
      </c>
      <c r="F4" s="679">
        <v>38742595</v>
      </c>
      <c r="G4" s="679">
        <v>39055383</v>
      </c>
      <c r="H4" s="679">
        <v>39308636</v>
      </c>
      <c r="I4" s="679">
        <v>39590613</v>
      </c>
      <c r="J4" s="679">
        <v>39817785</v>
      </c>
      <c r="K4" s="678">
        <v>39959095</v>
      </c>
      <c r="L4" s="678">
        <v>40129160</v>
      </c>
      <c r="M4" s="679">
        <v>40311230</v>
      </c>
      <c r="N4" s="679">
        <v>40507293</v>
      </c>
      <c r="O4" s="679">
        <v>40716512</v>
      </c>
      <c r="P4" s="679">
        <v>40938929</v>
      </c>
      <c r="Q4" s="679">
        <v>41176614</v>
      </c>
    </row>
    <row r="5" spans="1:20" ht="15.75" customHeight="1">
      <c r="A5" s="680" t="s">
        <v>1510</v>
      </c>
      <c r="B5" s="681">
        <v>1516357</v>
      </c>
      <c r="C5" s="681">
        <v>1534536</v>
      </c>
      <c r="D5" s="681">
        <v>1557085</v>
      </c>
      <c r="E5" s="681">
        <v>1577934</v>
      </c>
      <c r="F5" s="681">
        <v>1601017</v>
      </c>
      <c r="G5" s="681">
        <v>1621520</v>
      </c>
      <c r="H5" s="681">
        <v>1637792</v>
      </c>
      <c r="I5" s="681">
        <v>1651559</v>
      </c>
      <c r="J5" s="681">
        <v>1662730</v>
      </c>
      <c r="K5" s="681">
        <v>1674115</v>
      </c>
      <c r="L5" s="681">
        <v>1685886</v>
      </c>
      <c r="M5" s="681">
        <v>1698350</v>
      </c>
      <c r="N5" s="681">
        <v>1711617</v>
      </c>
      <c r="O5" s="681">
        <v>1725728</v>
      </c>
      <c r="P5" s="681">
        <v>1740631</v>
      </c>
      <c r="Q5" s="681">
        <v>1756709</v>
      </c>
      <c r="S5" s="682"/>
    </row>
    <row r="6" spans="1:20" ht="15.75" customHeight="1">
      <c r="A6" s="680" t="s">
        <v>1465</v>
      </c>
      <c r="B6" s="681">
        <v>1175</v>
      </c>
      <c r="C6" s="681">
        <v>1170</v>
      </c>
      <c r="D6" s="681">
        <v>1166</v>
      </c>
      <c r="E6" s="681">
        <v>1164</v>
      </c>
      <c r="F6" s="681">
        <v>1161</v>
      </c>
      <c r="G6" s="681">
        <v>1154</v>
      </c>
      <c r="H6" s="681">
        <v>1151</v>
      </c>
      <c r="I6" s="681">
        <v>1146</v>
      </c>
      <c r="J6" s="681">
        <v>1134</v>
      </c>
      <c r="K6" s="681">
        <v>1128</v>
      </c>
      <c r="L6" s="681">
        <v>1117</v>
      </c>
      <c r="M6" s="681">
        <v>1108</v>
      </c>
      <c r="N6" s="681">
        <v>1098</v>
      </c>
      <c r="O6" s="681">
        <v>1090</v>
      </c>
      <c r="P6" s="681">
        <v>1084</v>
      </c>
      <c r="Q6" s="681">
        <v>1080</v>
      </c>
      <c r="S6" s="682"/>
      <c r="T6" s="683">
        <f>S4/1800000</f>
        <v>0</v>
      </c>
    </row>
    <row r="7" spans="1:20" ht="15.75" customHeight="1">
      <c r="A7" s="680" t="s">
        <v>1511</v>
      </c>
      <c r="B7" s="681">
        <v>37682</v>
      </c>
      <c r="C7" s="681">
        <v>37007</v>
      </c>
      <c r="D7" s="681">
        <v>36631</v>
      </c>
      <c r="E7" s="681">
        <v>36167</v>
      </c>
      <c r="F7" s="681">
        <v>36403</v>
      </c>
      <c r="G7" s="681">
        <v>36385</v>
      </c>
      <c r="H7" s="681">
        <v>36843</v>
      </c>
      <c r="I7" s="681">
        <v>37391</v>
      </c>
      <c r="J7" s="681">
        <v>38146</v>
      </c>
      <c r="K7" s="681">
        <v>38223</v>
      </c>
      <c r="L7" s="681">
        <v>38531</v>
      </c>
      <c r="M7" s="681">
        <v>38818</v>
      </c>
      <c r="N7" s="681">
        <v>39069</v>
      </c>
      <c r="O7" s="681">
        <v>39283</v>
      </c>
      <c r="P7" s="681">
        <v>39469</v>
      </c>
      <c r="Q7" s="681">
        <v>39613</v>
      </c>
    </row>
    <row r="8" spans="1:20" ht="15.75" customHeight="1">
      <c r="A8" s="674" t="s">
        <v>1512</v>
      </c>
      <c r="B8" s="678">
        <v>220377</v>
      </c>
      <c r="C8" s="678">
        <v>220988</v>
      </c>
      <c r="D8" s="678">
        <v>222159</v>
      </c>
      <c r="E8" s="678">
        <v>222374</v>
      </c>
      <c r="F8" s="678">
        <v>223743</v>
      </c>
      <c r="G8" s="678">
        <v>224301</v>
      </c>
      <c r="H8" s="678">
        <v>224785</v>
      </c>
      <c r="I8" s="678">
        <v>226421</v>
      </c>
      <c r="J8" s="678">
        <v>227353</v>
      </c>
      <c r="K8" s="678">
        <v>216965</v>
      </c>
      <c r="L8" s="678">
        <v>217769</v>
      </c>
      <c r="M8" s="678">
        <v>219725</v>
      </c>
      <c r="N8" s="678">
        <v>222303</v>
      </c>
      <c r="O8" s="678">
        <v>225571</v>
      </c>
      <c r="P8" s="678">
        <v>228109</v>
      </c>
      <c r="Q8" s="678">
        <v>230003</v>
      </c>
    </row>
    <row r="9" spans="1:20" ht="15.75" customHeight="1">
      <c r="A9" s="684" t="s">
        <v>1513</v>
      </c>
      <c r="B9" s="681">
        <v>45542</v>
      </c>
      <c r="C9" s="681">
        <v>45399</v>
      </c>
      <c r="D9" s="681">
        <v>45296</v>
      </c>
      <c r="E9" s="681">
        <v>45117</v>
      </c>
      <c r="F9" s="681">
        <v>45014</v>
      </c>
      <c r="G9" s="681">
        <v>44907</v>
      </c>
      <c r="H9" s="681">
        <v>44763</v>
      </c>
      <c r="I9" s="681">
        <v>44656</v>
      </c>
      <c r="J9" s="681">
        <v>44572</v>
      </c>
      <c r="K9" s="681">
        <v>44394</v>
      </c>
      <c r="L9" s="681">
        <v>44289</v>
      </c>
      <c r="M9" s="681">
        <v>44182</v>
      </c>
      <c r="N9" s="681">
        <v>44065</v>
      </c>
      <c r="O9" s="681">
        <v>43932</v>
      </c>
      <c r="P9" s="681">
        <v>43801</v>
      </c>
      <c r="Q9" s="681">
        <v>43648</v>
      </c>
    </row>
    <row r="10" spans="1:20" ht="15.75" customHeight="1">
      <c r="A10" s="680" t="s">
        <v>1514</v>
      </c>
      <c r="B10" s="681">
        <v>21322</v>
      </c>
      <c r="C10" s="681">
        <v>21414</v>
      </c>
      <c r="D10" s="681">
        <v>21492</v>
      </c>
      <c r="E10" s="681">
        <v>21590</v>
      </c>
      <c r="F10" s="681">
        <v>21626</v>
      </c>
      <c r="G10" s="681">
        <v>21814</v>
      </c>
      <c r="H10" s="681">
        <v>22069</v>
      </c>
      <c r="I10" s="681">
        <v>22253</v>
      </c>
      <c r="J10" s="681">
        <v>22260</v>
      </c>
      <c r="K10" s="681">
        <v>22483</v>
      </c>
      <c r="L10" s="681">
        <v>22593</v>
      </c>
      <c r="M10" s="681">
        <v>22690</v>
      </c>
      <c r="N10" s="681">
        <v>22795</v>
      </c>
      <c r="O10" s="681">
        <v>22891</v>
      </c>
      <c r="P10" s="681">
        <v>22992</v>
      </c>
      <c r="Q10" s="681">
        <v>23093</v>
      </c>
    </row>
    <row r="11" spans="1:20" ht="15.75" customHeight="1">
      <c r="A11" s="680" t="s">
        <v>1515</v>
      </c>
      <c r="B11" s="681">
        <v>1052613</v>
      </c>
      <c r="C11" s="681">
        <v>1065963</v>
      </c>
      <c r="D11" s="681">
        <v>1077943</v>
      </c>
      <c r="E11" s="681">
        <v>1091492</v>
      </c>
      <c r="F11" s="681">
        <v>1103981</v>
      </c>
      <c r="G11" s="681">
        <v>1118070</v>
      </c>
      <c r="H11" s="681">
        <v>1129996</v>
      </c>
      <c r="I11" s="681">
        <v>1138191</v>
      </c>
      <c r="J11" s="681">
        <v>1147327</v>
      </c>
      <c r="K11" s="681">
        <v>1153077</v>
      </c>
      <c r="L11" s="681">
        <v>1160099</v>
      </c>
      <c r="M11" s="681">
        <v>1167551</v>
      </c>
      <c r="N11" s="681">
        <v>1175500</v>
      </c>
      <c r="O11" s="681">
        <v>1184244</v>
      </c>
      <c r="P11" s="681">
        <v>1193653</v>
      </c>
      <c r="Q11" s="681">
        <v>1203635</v>
      </c>
    </row>
    <row r="12" spans="1:20" ht="15.75" customHeight="1">
      <c r="A12" s="680" t="s">
        <v>1516</v>
      </c>
      <c r="B12" s="681">
        <v>28403</v>
      </c>
      <c r="C12" s="681">
        <v>28257</v>
      </c>
      <c r="D12" s="681">
        <v>28040</v>
      </c>
      <c r="E12" s="681">
        <v>27564</v>
      </c>
      <c r="F12" s="681">
        <v>27212</v>
      </c>
      <c r="G12" s="681">
        <v>27076</v>
      </c>
      <c r="H12" s="681">
        <v>26961</v>
      </c>
      <c r="I12" s="681">
        <v>26764</v>
      </c>
      <c r="J12" s="681">
        <v>27419</v>
      </c>
      <c r="K12" s="681">
        <v>27520</v>
      </c>
      <c r="L12" s="681">
        <v>27558</v>
      </c>
      <c r="M12" s="681">
        <v>27566</v>
      </c>
      <c r="N12" s="681">
        <v>27569</v>
      </c>
      <c r="O12" s="681">
        <v>27552</v>
      </c>
      <c r="P12" s="681">
        <v>27521</v>
      </c>
      <c r="Q12" s="681">
        <v>27471</v>
      </c>
    </row>
    <row r="13" spans="1:20" ht="15.75" customHeight="1">
      <c r="A13" s="674" t="s">
        <v>1517</v>
      </c>
      <c r="B13" s="678">
        <v>181191</v>
      </c>
      <c r="C13" s="678">
        <v>181209</v>
      </c>
      <c r="D13" s="678">
        <v>181448</v>
      </c>
      <c r="E13" s="678">
        <v>182612</v>
      </c>
      <c r="F13" s="678">
        <v>182701</v>
      </c>
      <c r="G13" s="678">
        <v>183269</v>
      </c>
      <c r="H13" s="678">
        <v>184232</v>
      </c>
      <c r="I13" s="678">
        <v>186531</v>
      </c>
      <c r="J13" s="678">
        <v>189360</v>
      </c>
      <c r="K13" s="678">
        <v>191210</v>
      </c>
      <c r="L13" s="678">
        <v>193098</v>
      </c>
      <c r="M13" s="678">
        <v>194934</v>
      </c>
      <c r="N13" s="678">
        <v>196587</v>
      </c>
      <c r="O13" s="678">
        <v>198159</v>
      </c>
      <c r="P13" s="678">
        <v>199594</v>
      </c>
      <c r="Q13" s="678">
        <v>201041</v>
      </c>
    </row>
    <row r="14" spans="1:20" ht="15.75" customHeight="1">
      <c r="A14" s="684" t="s">
        <v>1518</v>
      </c>
      <c r="B14" s="681">
        <v>933238</v>
      </c>
      <c r="C14" s="681">
        <v>943968</v>
      </c>
      <c r="D14" s="681">
        <v>952866</v>
      </c>
      <c r="E14" s="681">
        <v>960412</v>
      </c>
      <c r="F14" s="681">
        <v>969682</v>
      </c>
      <c r="G14" s="681">
        <v>979827</v>
      </c>
      <c r="H14" s="681">
        <v>988682</v>
      </c>
      <c r="I14" s="681">
        <v>999423</v>
      </c>
      <c r="J14" s="681">
        <v>1010837</v>
      </c>
      <c r="K14" s="681">
        <v>1021960</v>
      </c>
      <c r="L14" s="681">
        <v>1032227</v>
      </c>
      <c r="M14" s="681">
        <v>1042157</v>
      </c>
      <c r="N14" s="681">
        <v>1051954</v>
      </c>
      <c r="O14" s="681">
        <v>1061253</v>
      </c>
      <c r="P14" s="681">
        <v>1070321</v>
      </c>
      <c r="Q14" s="681">
        <v>1079082</v>
      </c>
    </row>
    <row r="15" spans="1:20" ht="15.75" customHeight="1">
      <c r="A15" s="680" t="s">
        <v>1519</v>
      </c>
      <c r="B15" s="681">
        <v>28229</v>
      </c>
      <c r="C15" s="681">
        <v>28300</v>
      </c>
      <c r="D15" s="681">
        <v>28156</v>
      </c>
      <c r="E15" s="681">
        <v>28214</v>
      </c>
      <c r="F15" s="681">
        <v>28345</v>
      </c>
      <c r="G15" s="681">
        <v>28361</v>
      </c>
      <c r="H15" s="681">
        <v>28449</v>
      </c>
      <c r="I15" s="681">
        <v>28619</v>
      </c>
      <c r="J15" s="681">
        <v>28755</v>
      </c>
      <c r="K15" s="681">
        <v>29197</v>
      </c>
      <c r="L15" s="681">
        <v>29348</v>
      </c>
      <c r="M15" s="681">
        <v>29494</v>
      </c>
      <c r="N15" s="681">
        <v>29624</v>
      </c>
      <c r="O15" s="681">
        <v>29750</v>
      </c>
      <c r="P15" s="681">
        <v>29859</v>
      </c>
      <c r="Q15" s="681">
        <v>29969</v>
      </c>
    </row>
    <row r="16" spans="1:20" ht="15.75" customHeight="1">
      <c r="A16" s="680" t="s">
        <v>1520</v>
      </c>
      <c r="B16" s="681">
        <v>135094</v>
      </c>
      <c r="C16" s="681">
        <v>135542</v>
      </c>
      <c r="D16" s="681">
        <v>135014</v>
      </c>
      <c r="E16" s="681">
        <v>134962</v>
      </c>
      <c r="F16" s="681">
        <v>134664</v>
      </c>
      <c r="G16" s="681">
        <v>135050</v>
      </c>
      <c r="H16" s="681">
        <v>135784</v>
      </c>
      <c r="I16" s="681">
        <v>135798</v>
      </c>
      <c r="J16" s="681">
        <v>135765</v>
      </c>
      <c r="K16" s="681">
        <v>134909</v>
      </c>
      <c r="L16" s="681">
        <v>134098</v>
      </c>
      <c r="M16" s="681">
        <v>133316</v>
      </c>
      <c r="N16" s="681">
        <v>132600</v>
      </c>
      <c r="O16" s="681">
        <v>132026</v>
      </c>
      <c r="P16" s="681">
        <v>131563</v>
      </c>
      <c r="Q16" s="681">
        <v>131184</v>
      </c>
    </row>
    <row r="17" spans="1:17" ht="15.75" customHeight="1">
      <c r="A17" s="680" t="s">
        <v>1521</v>
      </c>
      <c r="B17" s="681">
        <v>175404</v>
      </c>
      <c r="C17" s="681">
        <v>177992</v>
      </c>
      <c r="D17" s="681">
        <v>179431</v>
      </c>
      <c r="E17" s="681">
        <v>180240</v>
      </c>
      <c r="F17" s="681">
        <v>182809</v>
      </c>
      <c r="G17" s="681">
        <v>184931</v>
      </c>
      <c r="H17" s="681">
        <v>186292</v>
      </c>
      <c r="I17" s="681">
        <v>187792</v>
      </c>
      <c r="J17" s="681">
        <v>188948</v>
      </c>
      <c r="K17" s="681">
        <v>190025</v>
      </c>
      <c r="L17" s="681">
        <v>191649</v>
      </c>
      <c r="M17" s="681">
        <v>193269</v>
      </c>
      <c r="N17" s="681">
        <v>194950</v>
      </c>
      <c r="O17" s="681">
        <v>196481</v>
      </c>
      <c r="P17" s="681">
        <v>198108</v>
      </c>
      <c r="Q17" s="681">
        <v>199680</v>
      </c>
    </row>
    <row r="18" spans="1:17" ht="15.75" customHeight="1">
      <c r="A18" s="674" t="s">
        <v>1522</v>
      </c>
      <c r="B18" s="678">
        <v>18547</v>
      </c>
      <c r="C18" s="678">
        <v>18559</v>
      </c>
      <c r="D18" s="678">
        <v>18584</v>
      </c>
      <c r="E18" s="678">
        <v>18591</v>
      </c>
      <c r="F18" s="678">
        <v>18650</v>
      </c>
      <c r="G18" s="678">
        <v>18635</v>
      </c>
      <c r="H18" s="678">
        <v>18628</v>
      </c>
      <c r="I18" s="678">
        <v>18565</v>
      </c>
      <c r="J18" s="678">
        <v>18522</v>
      </c>
      <c r="K18" s="678">
        <v>18462</v>
      </c>
      <c r="L18" s="678">
        <v>18453</v>
      </c>
      <c r="M18" s="678">
        <v>18436</v>
      </c>
      <c r="N18" s="678">
        <v>18415</v>
      </c>
      <c r="O18" s="678">
        <v>18387</v>
      </c>
      <c r="P18" s="678">
        <v>18363</v>
      </c>
      <c r="Q18" s="678">
        <v>18328</v>
      </c>
    </row>
    <row r="19" spans="1:17" ht="15.75" customHeight="1">
      <c r="A19" s="684" t="s">
        <v>1523</v>
      </c>
      <c r="B19" s="681">
        <v>842063</v>
      </c>
      <c r="C19" s="681">
        <v>850970</v>
      </c>
      <c r="D19" s="681">
        <v>859797</v>
      </c>
      <c r="E19" s="681">
        <v>869447</v>
      </c>
      <c r="F19" s="681">
        <v>876536</v>
      </c>
      <c r="G19" s="681">
        <v>883202</v>
      </c>
      <c r="H19" s="681">
        <v>887433</v>
      </c>
      <c r="I19" s="681">
        <v>897416</v>
      </c>
      <c r="J19" s="681">
        <v>907055</v>
      </c>
      <c r="K19" s="681">
        <v>917379</v>
      </c>
      <c r="L19" s="681">
        <v>927251</v>
      </c>
      <c r="M19" s="681">
        <v>937037</v>
      </c>
      <c r="N19" s="681">
        <v>946724</v>
      </c>
      <c r="O19" s="681">
        <v>956336</v>
      </c>
      <c r="P19" s="681">
        <v>965740</v>
      </c>
      <c r="Q19" s="681">
        <v>974972</v>
      </c>
    </row>
    <row r="20" spans="1:17" ht="15.75" customHeight="1">
      <c r="A20" s="680" t="s">
        <v>1524</v>
      </c>
      <c r="B20" s="681">
        <v>152407</v>
      </c>
      <c r="C20" s="681">
        <v>151756</v>
      </c>
      <c r="D20" s="681">
        <v>150376</v>
      </c>
      <c r="E20" s="681">
        <v>150522</v>
      </c>
      <c r="F20" s="681">
        <v>149566</v>
      </c>
      <c r="G20" s="681">
        <v>149887</v>
      </c>
      <c r="H20" s="681">
        <v>149274</v>
      </c>
      <c r="I20" s="681">
        <v>150929</v>
      </c>
      <c r="J20" s="681">
        <v>153318</v>
      </c>
      <c r="K20" s="681">
        <v>154446</v>
      </c>
      <c r="L20" s="681">
        <v>156444</v>
      </c>
      <c r="M20" s="681">
        <v>158332</v>
      </c>
      <c r="N20" s="681">
        <v>160090</v>
      </c>
      <c r="O20" s="681">
        <v>161763</v>
      </c>
      <c r="P20" s="681">
        <v>163250</v>
      </c>
      <c r="Q20" s="681">
        <v>164684</v>
      </c>
    </row>
    <row r="21" spans="1:17" ht="15.75" customHeight="1">
      <c r="A21" s="680" t="s">
        <v>1525</v>
      </c>
      <c r="B21" s="681">
        <v>65048</v>
      </c>
      <c r="C21" s="681">
        <v>64916</v>
      </c>
      <c r="D21" s="681">
        <v>65014</v>
      </c>
      <c r="E21" s="681">
        <v>64905</v>
      </c>
      <c r="F21" s="681">
        <v>65131</v>
      </c>
      <c r="G21" s="681">
        <v>64785</v>
      </c>
      <c r="H21" s="681">
        <v>64468</v>
      </c>
      <c r="I21" s="681">
        <v>64864</v>
      </c>
      <c r="J21" s="681">
        <v>65020</v>
      </c>
      <c r="K21" s="681">
        <v>64889</v>
      </c>
      <c r="L21" s="681">
        <v>64871</v>
      </c>
      <c r="M21" s="681">
        <v>64884</v>
      </c>
      <c r="N21" s="681">
        <v>64938</v>
      </c>
      <c r="O21" s="681">
        <v>65010</v>
      </c>
      <c r="P21" s="681">
        <v>65101</v>
      </c>
      <c r="Q21" s="681">
        <v>65208</v>
      </c>
    </row>
    <row r="22" spans="1:17" ht="15.75" customHeight="1">
      <c r="A22" s="680" t="s">
        <v>1526</v>
      </c>
      <c r="B22" s="681">
        <v>34809</v>
      </c>
      <c r="C22" s="681">
        <v>34541</v>
      </c>
      <c r="D22" s="681">
        <v>33025</v>
      </c>
      <c r="E22" s="681">
        <v>32317</v>
      </c>
      <c r="F22" s="681">
        <v>31834</v>
      </c>
      <c r="G22" s="681">
        <v>30912</v>
      </c>
      <c r="H22" s="681">
        <v>30494</v>
      </c>
      <c r="I22" s="681">
        <v>30543</v>
      </c>
      <c r="J22" s="681">
        <v>30527</v>
      </c>
      <c r="K22" s="681">
        <v>29880</v>
      </c>
      <c r="L22" s="681">
        <v>30065</v>
      </c>
      <c r="M22" s="681">
        <v>30194</v>
      </c>
      <c r="N22" s="681">
        <v>30272</v>
      </c>
      <c r="O22" s="681">
        <v>30284</v>
      </c>
      <c r="P22" s="681">
        <v>30235</v>
      </c>
      <c r="Q22" s="681">
        <v>30135</v>
      </c>
    </row>
    <row r="23" spans="1:17" ht="15.75" customHeight="1">
      <c r="A23" s="674" t="s">
        <v>1527</v>
      </c>
      <c r="B23" s="678">
        <v>9846651</v>
      </c>
      <c r="C23" s="678">
        <v>9913481</v>
      </c>
      <c r="D23" s="678">
        <v>10006227</v>
      </c>
      <c r="E23" s="678">
        <v>10064909</v>
      </c>
      <c r="F23" s="678">
        <v>10124206</v>
      </c>
      <c r="G23" s="678">
        <v>10176031</v>
      </c>
      <c r="H23" s="678">
        <v>10211351</v>
      </c>
      <c r="I23" s="678">
        <v>10255733</v>
      </c>
      <c r="J23" s="678">
        <v>10269935</v>
      </c>
      <c r="K23" s="678">
        <v>10260237</v>
      </c>
      <c r="L23" s="678">
        <v>10257557</v>
      </c>
      <c r="M23" s="678">
        <v>10259169</v>
      </c>
      <c r="N23" s="678">
        <v>10265369</v>
      </c>
      <c r="O23" s="678">
        <v>10276394</v>
      </c>
      <c r="P23" s="678">
        <v>10292478</v>
      </c>
      <c r="Q23" s="678">
        <v>10314467</v>
      </c>
    </row>
    <row r="24" spans="1:17" ht="15.75" customHeight="1">
      <c r="A24" s="684" t="s">
        <v>1528</v>
      </c>
      <c r="B24" s="681">
        <v>150175</v>
      </c>
      <c r="C24" s="681">
        <v>151688</v>
      </c>
      <c r="D24" s="681">
        <v>150910</v>
      </c>
      <c r="E24" s="681">
        <v>152175</v>
      </c>
      <c r="F24" s="681">
        <v>153907</v>
      </c>
      <c r="G24" s="681">
        <v>154548</v>
      </c>
      <c r="H24" s="681">
        <v>155148</v>
      </c>
      <c r="I24" s="681">
        <v>156733</v>
      </c>
      <c r="J24" s="681">
        <v>158511</v>
      </c>
      <c r="K24" s="681">
        <v>158940</v>
      </c>
      <c r="L24" s="681">
        <v>160089</v>
      </c>
      <c r="M24" s="681">
        <v>161177</v>
      </c>
      <c r="N24" s="681">
        <v>162321</v>
      </c>
      <c r="O24" s="681">
        <v>163393</v>
      </c>
      <c r="P24" s="681">
        <v>164358</v>
      </c>
      <c r="Q24" s="681">
        <v>165308</v>
      </c>
    </row>
    <row r="25" spans="1:17" ht="15.75" customHeight="1">
      <c r="A25" s="680" t="s">
        <v>1529</v>
      </c>
      <c r="B25" s="681">
        <v>252640</v>
      </c>
      <c r="C25" s="681">
        <v>254831</v>
      </c>
      <c r="D25" s="681">
        <v>256389</v>
      </c>
      <c r="E25" s="681">
        <v>259073</v>
      </c>
      <c r="F25" s="681">
        <v>261243</v>
      </c>
      <c r="G25" s="681">
        <v>261605</v>
      </c>
      <c r="H25" s="681">
        <v>262494</v>
      </c>
      <c r="I25" s="681">
        <v>262047</v>
      </c>
      <c r="J25" s="681">
        <v>262326</v>
      </c>
      <c r="K25" s="681">
        <v>261627</v>
      </c>
      <c r="L25" s="681">
        <v>260800</v>
      </c>
      <c r="M25" s="681">
        <v>260068</v>
      </c>
      <c r="N25" s="681">
        <v>259587</v>
      </c>
      <c r="O25" s="681">
        <v>259345</v>
      </c>
      <c r="P25" s="681">
        <v>259362</v>
      </c>
      <c r="Q25" s="681">
        <v>259607</v>
      </c>
    </row>
    <row r="26" spans="1:17" ht="15.75" customHeight="1">
      <c r="A26" s="680" t="s">
        <v>1479</v>
      </c>
      <c r="B26" s="681">
        <v>18245</v>
      </c>
      <c r="C26" s="681">
        <v>18241</v>
      </c>
      <c r="D26" s="681">
        <v>18224</v>
      </c>
      <c r="E26" s="681">
        <v>18157</v>
      </c>
      <c r="F26" s="681">
        <v>18135</v>
      </c>
      <c r="G26" s="681">
        <v>18086</v>
      </c>
      <c r="H26" s="681">
        <v>18066</v>
      </c>
      <c r="I26" s="681">
        <v>17992</v>
      </c>
      <c r="J26" s="681">
        <v>17904</v>
      </c>
      <c r="K26" s="681">
        <v>17860</v>
      </c>
      <c r="L26" s="681">
        <v>17795</v>
      </c>
      <c r="M26" s="681">
        <v>17727</v>
      </c>
      <c r="N26" s="681">
        <v>17656</v>
      </c>
      <c r="O26" s="681">
        <v>17586</v>
      </c>
      <c r="P26" s="681">
        <v>17507</v>
      </c>
      <c r="Q26" s="681">
        <v>17435</v>
      </c>
    </row>
    <row r="27" spans="1:17" ht="15.75" customHeight="1">
      <c r="A27" s="680" t="s">
        <v>1530</v>
      </c>
      <c r="B27" s="681">
        <v>87765</v>
      </c>
      <c r="C27" s="681">
        <v>87388</v>
      </c>
      <c r="D27" s="681">
        <v>88128</v>
      </c>
      <c r="E27" s="681">
        <v>88127</v>
      </c>
      <c r="F27" s="681">
        <v>88450</v>
      </c>
      <c r="G27" s="681">
        <v>88222</v>
      </c>
      <c r="H27" s="681">
        <v>88689</v>
      </c>
      <c r="I27" s="681">
        <v>88993</v>
      </c>
      <c r="J27" s="681">
        <v>88875</v>
      </c>
      <c r="K27" s="681">
        <v>88590</v>
      </c>
      <c r="L27" s="681">
        <v>88439</v>
      </c>
      <c r="M27" s="681">
        <v>88330</v>
      </c>
      <c r="N27" s="681">
        <v>88245</v>
      </c>
      <c r="O27" s="681">
        <v>88196</v>
      </c>
      <c r="P27" s="681">
        <v>88167</v>
      </c>
      <c r="Q27" s="681">
        <v>88184</v>
      </c>
    </row>
    <row r="28" spans="1:17" ht="15.75" customHeight="1">
      <c r="A28" s="674" t="s">
        <v>1531</v>
      </c>
      <c r="B28" s="678">
        <v>256779</v>
      </c>
      <c r="C28" s="678">
        <v>260216</v>
      </c>
      <c r="D28" s="678">
        <v>263182</v>
      </c>
      <c r="E28" s="678">
        <v>264703</v>
      </c>
      <c r="F28" s="678">
        <v>267373</v>
      </c>
      <c r="G28" s="678">
        <v>269522</v>
      </c>
      <c r="H28" s="678">
        <v>271767</v>
      </c>
      <c r="I28" s="678">
        <v>276449</v>
      </c>
      <c r="J28" s="678">
        <v>279433</v>
      </c>
      <c r="K28" s="678">
        <v>283408</v>
      </c>
      <c r="L28" s="678">
        <v>287420</v>
      </c>
      <c r="M28" s="678">
        <v>291426</v>
      </c>
      <c r="N28" s="678">
        <v>295439</v>
      </c>
      <c r="O28" s="678">
        <v>299575</v>
      </c>
      <c r="P28" s="678">
        <v>303794</v>
      </c>
      <c r="Q28" s="678">
        <v>307981</v>
      </c>
    </row>
    <row r="29" spans="1:17" ht="15.75" customHeight="1">
      <c r="A29" s="684" t="s">
        <v>1532</v>
      </c>
      <c r="B29" s="681">
        <v>9688</v>
      </c>
      <c r="C29" s="681">
        <v>9682</v>
      </c>
      <c r="D29" s="681">
        <v>9633</v>
      </c>
      <c r="E29" s="681">
        <v>9610</v>
      </c>
      <c r="F29" s="681">
        <v>9585</v>
      </c>
      <c r="G29" s="681">
        <v>9542</v>
      </c>
      <c r="H29" s="681">
        <v>9502</v>
      </c>
      <c r="I29" s="681">
        <v>9480</v>
      </c>
      <c r="J29" s="681">
        <v>9487</v>
      </c>
      <c r="K29" s="681">
        <v>9486</v>
      </c>
      <c r="L29" s="681">
        <v>9475</v>
      </c>
      <c r="M29" s="681">
        <v>9468</v>
      </c>
      <c r="N29" s="681">
        <v>9462</v>
      </c>
      <c r="O29" s="681">
        <v>9452</v>
      </c>
      <c r="P29" s="681">
        <v>9439</v>
      </c>
      <c r="Q29" s="681">
        <v>9430</v>
      </c>
    </row>
    <row r="30" spans="1:17" ht="15.75" customHeight="1">
      <c r="A30" s="680" t="s">
        <v>1533</v>
      </c>
      <c r="B30" s="681">
        <v>14030</v>
      </c>
      <c r="C30" s="681">
        <v>14301</v>
      </c>
      <c r="D30" s="681">
        <v>14147</v>
      </c>
      <c r="E30" s="681">
        <v>13961</v>
      </c>
      <c r="F30" s="681">
        <v>13994</v>
      </c>
      <c r="G30" s="681">
        <v>13913</v>
      </c>
      <c r="H30" s="681">
        <v>13834</v>
      </c>
      <c r="I30" s="681">
        <v>13885</v>
      </c>
      <c r="J30" s="681">
        <v>13827</v>
      </c>
      <c r="K30" s="681">
        <v>13881</v>
      </c>
      <c r="L30" s="681">
        <v>13961</v>
      </c>
      <c r="M30" s="681">
        <v>14045</v>
      </c>
      <c r="N30" s="681">
        <v>14125</v>
      </c>
      <c r="O30" s="681">
        <v>14203</v>
      </c>
      <c r="P30" s="681">
        <v>14277</v>
      </c>
      <c r="Q30" s="681">
        <v>14363</v>
      </c>
    </row>
    <row r="31" spans="1:17" ht="15.75" customHeight="1">
      <c r="A31" s="680" t="s">
        <v>1534</v>
      </c>
      <c r="B31" s="681">
        <v>416018</v>
      </c>
      <c r="C31" s="681">
        <v>420579</v>
      </c>
      <c r="D31" s="681">
        <v>425133</v>
      </c>
      <c r="E31" s="681">
        <v>427403</v>
      </c>
      <c r="F31" s="681">
        <v>430287</v>
      </c>
      <c r="G31" s="681">
        <v>435805</v>
      </c>
      <c r="H31" s="681">
        <v>440020</v>
      </c>
      <c r="I31" s="681">
        <v>441892</v>
      </c>
      <c r="J31" s="681">
        <v>444252</v>
      </c>
      <c r="K31" s="681">
        <v>446539</v>
      </c>
      <c r="L31" s="681">
        <v>448732</v>
      </c>
      <c r="M31" s="681">
        <v>451008</v>
      </c>
      <c r="N31" s="681">
        <v>453448</v>
      </c>
      <c r="O31" s="681">
        <v>455863</v>
      </c>
      <c r="P31" s="681">
        <v>458496</v>
      </c>
      <c r="Q31" s="681">
        <v>461159</v>
      </c>
    </row>
    <row r="32" spans="1:17" ht="15.75" customHeight="1">
      <c r="A32" s="680" t="s">
        <v>1535</v>
      </c>
      <c r="B32" s="681">
        <v>136585</v>
      </c>
      <c r="C32" s="681">
        <v>137499</v>
      </c>
      <c r="D32" s="681">
        <v>138931</v>
      </c>
      <c r="E32" s="681">
        <v>139453</v>
      </c>
      <c r="F32" s="681">
        <v>140602</v>
      </c>
      <c r="G32" s="681">
        <v>141205</v>
      </c>
      <c r="H32" s="681">
        <v>141466</v>
      </c>
      <c r="I32" s="681">
        <v>140978</v>
      </c>
      <c r="J32" s="681">
        <v>140573</v>
      </c>
      <c r="K32" s="681">
        <v>140062</v>
      </c>
      <c r="L32" s="681">
        <v>139652</v>
      </c>
      <c r="M32" s="681">
        <v>139353</v>
      </c>
      <c r="N32" s="681">
        <v>139217</v>
      </c>
      <c r="O32" s="681">
        <v>139292</v>
      </c>
      <c r="P32" s="681">
        <v>139496</v>
      </c>
      <c r="Q32" s="681">
        <v>139913</v>
      </c>
    </row>
    <row r="33" spans="1:17" ht="15.75" customHeight="1">
      <c r="A33" s="674" t="s">
        <v>1536</v>
      </c>
      <c r="B33" s="678">
        <v>98711</v>
      </c>
      <c r="C33" s="678">
        <v>98643</v>
      </c>
      <c r="D33" s="678">
        <v>98213</v>
      </c>
      <c r="E33" s="678">
        <v>97860</v>
      </c>
      <c r="F33" s="678">
        <v>98387</v>
      </c>
      <c r="G33" s="678">
        <v>98137</v>
      </c>
      <c r="H33" s="678">
        <v>98271</v>
      </c>
      <c r="I33" s="678">
        <v>98443</v>
      </c>
      <c r="J33" s="678">
        <v>98626</v>
      </c>
      <c r="K33" s="678">
        <v>98613</v>
      </c>
      <c r="L33" s="678">
        <v>98710</v>
      </c>
      <c r="M33" s="678">
        <v>98812</v>
      </c>
      <c r="N33" s="678">
        <v>98910</v>
      </c>
      <c r="O33" s="678">
        <v>99018</v>
      </c>
      <c r="P33" s="678">
        <v>99131</v>
      </c>
      <c r="Q33" s="678">
        <v>99302</v>
      </c>
    </row>
    <row r="34" spans="1:17" ht="15.75" customHeight="1">
      <c r="A34" s="684" t="s">
        <v>1537</v>
      </c>
      <c r="B34" s="681">
        <v>3017084</v>
      </c>
      <c r="C34" s="681">
        <v>3053238</v>
      </c>
      <c r="D34" s="681">
        <v>3088572</v>
      </c>
      <c r="E34" s="681">
        <v>3114327</v>
      </c>
      <c r="F34" s="681">
        <v>3138545</v>
      </c>
      <c r="G34" s="681">
        <v>3162354</v>
      </c>
      <c r="H34" s="681">
        <v>3179394</v>
      </c>
      <c r="I34" s="681">
        <v>3203517</v>
      </c>
      <c r="J34" s="681">
        <v>3215372</v>
      </c>
      <c r="K34" s="681">
        <v>3220987</v>
      </c>
      <c r="L34" s="681">
        <v>3228519</v>
      </c>
      <c r="M34" s="681">
        <v>3237560</v>
      </c>
      <c r="N34" s="681">
        <v>3248780</v>
      </c>
      <c r="O34" s="681">
        <v>3262218</v>
      </c>
      <c r="P34" s="681">
        <v>3277920</v>
      </c>
      <c r="Q34" s="681">
        <v>3296312</v>
      </c>
    </row>
    <row r="35" spans="1:17" ht="15.75" customHeight="1">
      <c r="A35" s="680" t="s">
        <v>1538</v>
      </c>
      <c r="B35" s="681">
        <v>350629</v>
      </c>
      <c r="C35" s="681">
        <v>356233</v>
      </c>
      <c r="D35" s="681">
        <v>360566</v>
      </c>
      <c r="E35" s="681">
        <v>364778</v>
      </c>
      <c r="F35" s="681">
        <v>368318</v>
      </c>
      <c r="G35" s="681">
        <v>371414</v>
      </c>
      <c r="H35" s="681">
        <v>376486</v>
      </c>
      <c r="I35" s="681">
        <v>382748</v>
      </c>
      <c r="J35" s="681">
        <v>389278</v>
      </c>
      <c r="K35" s="681">
        <v>394737</v>
      </c>
      <c r="L35" s="681">
        <v>400434</v>
      </c>
      <c r="M35" s="681">
        <v>406169</v>
      </c>
      <c r="N35" s="681">
        <v>411694</v>
      </c>
      <c r="O35" s="681">
        <v>417327</v>
      </c>
      <c r="P35" s="681">
        <v>422921</v>
      </c>
      <c r="Q35" s="681">
        <v>428394</v>
      </c>
    </row>
    <row r="36" spans="1:17" ht="15.75" customHeight="1">
      <c r="A36" s="680" t="s">
        <v>1539</v>
      </c>
      <c r="B36" s="681">
        <v>19974</v>
      </c>
      <c r="C36" s="681">
        <v>19865</v>
      </c>
      <c r="D36" s="681">
        <v>19471</v>
      </c>
      <c r="E36" s="681">
        <v>18996</v>
      </c>
      <c r="F36" s="681">
        <v>18783</v>
      </c>
      <c r="G36" s="681">
        <v>18626</v>
      </c>
      <c r="H36" s="681">
        <v>18771</v>
      </c>
      <c r="I36" s="681">
        <v>18738</v>
      </c>
      <c r="J36" s="681">
        <v>18702</v>
      </c>
      <c r="K36" s="681">
        <v>18858</v>
      </c>
      <c r="L36" s="681">
        <v>18997</v>
      </c>
      <c r="M36" s="681">
        <v>19086</v>
      </c>
      <c r="N36" s="681">
        <v>19126</v>
      </c>
      <c r="O36" s="681">
        <v>19144</v>
      </c>
      <c r="P36" s="681">
        <v>19122</v>
      </c>
      <c r="Q36" s="681">
        <v>19057</v>
      </c>
    </row>
    <row r="37" spans="1:17" ht="15.75" customHeight="1">
      <c r="A37" s="680" t="s">
        <v>1540</v>
      </c>
      <c r="B37" s="681">
        <v>2198503</v>
      </c>
      <c r="C37" s="681">
        <v>2231909</v>
      </c>
      <c r="D37" s="681">
        <v>2256447</v>
      </c>
      <c r="E37" s="681">
        <v>2278999</v>
      </c>
      <c r="F37" s="681">
        <v>2306216</v>
      </c>
      <c r="G37" s="681">
        <v>2332491</v>
      </c>
      <c r="H37" s="681">
        <v>2360984</v>
      </c>
      <c r="I37" s="681">
        <v>2392055</v>
      </c>
      <c r="J37" s="681">
        <v>2420714</v>
      </c>
      <c r="K37" s="681">
        <v>2443454</v>
      </c>
      <c r="L37" s="681">
        <v>2468145</v>
      </c>
      <c r="M37" s="681">
        <v>2493228</v>
      </c>
      <c r="N37" s="681">
        <v>2518930</v>
      </c>
      <c r="O37" s="681">
        <v>2544885</v>
      </c>
      <c r="P37" s="681">
        <v>2571016</v>
      </c>
      <c r="Q37" s="681">
        <v>2597656</v>
      </c>
    </row>
    <row r="38" spans="1:17" ht="15">
      <c r="A38" s="674" t="s">
        <v>1541</v>
      </c>
      <c r="B38" s="678">
        <v>1423068</v>
      </c>
      <c r="C38" s="678">
        <v>1436178</v>
      </c>
      <c r="D38" s="678">
        <v>1447653</v>
      </c>
      <c r="E38" s="678">
        <v>1457395</v>
      </c>
      <c r="F38" s="678">
        <v>1474321</v>
      </c>
      <c r="G38" s="678">
        <v>1489712</v>
      </c>
      <c r="H38" s="678">
        <v>1504939</v>
      </c>
      <c r="I38" s="678">
        <v>1520121</v>
      </c>
      <c r="J38" s="678">
        <v>1537386</v>
      </c>
      <c r="K38" s="678">
        <v>1553253</v>
      </c>
      <c r="L38" s="678">
        <v>1567975</v>
      </c>
      <c r="M38" s="678">
        <v>1582418</v>
      </c>
      <c r="N38" s="678">
        <v>1596476</v>
      </c>
      <c r="O38" s="678">
        <v>1610158</v>
      </c>
      <c r="P38" s="678">
        <v>1623707</v>
      </c>
      <c r="Q38" s="678">
        <v>1637045</v>
      </c>
    </row>
    <row r="39" spans="1:17" ht="15">
      <c r="A39" s="684" t="s">
        <v>1542</v>
      </c>
      <c r="B39" s="681">
        <v>55528</v>
      </c>
      <c r="C39" s="681">
        <v>56099</v>
      </c>
      <c r="D39" s="681">
        <v>56765</v>
      </c>
      <c r="E39" s="681">
        <v>57330</v>
      </c>
      <c r="F39" s="681">
        <v>58026</v>
      </c>
      <c r="G39" s="681">
        <v>58713</v>
      </c>
      <c r="H39" s="681">
        <v>59608</v>
      </c>
      <c r="I39" s="681">
        <v>60331</v>
      </c>
      <c r="J39" s="681">
        <v>61437</v>
      </c>
      <c r="K39" s="681">
        <v>62782</v>
      </c>
      <c r="L39" s="681">
        <v>64022</v>
      </c>
      <c r="M39" s="681">
        <v>65213</v>
      </c>
      <c r="N39" s="681">
        <v>66339</v>
      </c>
      <c r="O39" s="681">
        <v>67390</v>
      </c>
      <c r="P39" s="681">
        <v>68393</v>
      </c>
      <c r="Q39" s="681">
        <v>69324</v>
      </c>
    </row>
    <row r="40" spans="1:17" ht="15">
      <c r="A40" s="680" t="s">
        <v>1543</v>
      </c>
      <c r="B40" s="681">
        <v>2045118</v>
      </c>
      <c r="C40" s="681">
        <v>2067552</v>
      </c>
      <c r="D40" s="681">
        <v>2079655</v>
      </c>
      <c r="E40" s="681">
        <v>2093255</v>
      </c>
      <c r="F40" s="681">
        <v>2111045</v>
      </c>
      <c r="G40" s="681">
        <v>2128386</v>
      </c>
      <c r="H40" s="681">
        <v>2143033</v>
      </c>
      <c r="I40" s="681">
        <v>2162347</v>
      </c>
      <c r="J40" s="681">
        <v>2178940</v>
      </c>
      <c r="K40" s="681">
        <v>2197650</v>
      </c>
      <c r="L40" s="681">
        <v>2217398</v>
      </c>
      <c r="M40" s="681">
        <v>2236900</v>
      </c>
      <c r="N40" s="681">
        <v>2255986</v>
      </c>
      <c r="O40" s="681">
        <v>2274547</v>
      </c>
      <c r="P40" s="681">
        <v>2292740</v>
      </c>
      <c r="Q40" s="681">
        <v>2310552</v>
      </c>
    </row>
    <row r="41" spans="1:17" ht="15">
      <c r="A41" s="680" t="s">
        <v>1544</v>
      </c>
      <c r="B41" s="681">
        <v>3104286</v>
      </c>
      <c r="C41" s="681">
        <v>3140394</v>
      </c>
      <c r="D41" s="681">
        <v>3179295</v>
      </c>
      <c r="E41" s="681">
        <v>3212089</v>
      </c>
      <c r="F41" s="681">
        <v>3248693</v>
      </c>
      <c r="G41" s="681">
        <v>3274586</v>
      </c>
      <c r="H41" s="681">
        <v>3295583</v>
      </c>
      <c r="I41" s="681">
        <v>3318132</v>
      </c>
      <c r="J41" s="681">
        <v>3344438</v>
      </c>
      <c r="K41" s="681">
        <v>3357442</v>
      </c>
      <c r="L41" s="681">
        <v>3370418</v>
      </c>
      <c r="M41" s="681">
        <v>3384144</v>
      </c>
      <c r="N41" s="681">
        <v>3399033</v>
      </c>
      <c r="O41" s="681">
        <v>3414900</v>
      </c>
      <c r="P41" s="681">
        <v>3431809</v>
      </c>
      <c r="Q41" s="681">
        <v>3449997</v>
      </c>
    </row>
    <row r="42" spans="1:17" ht="15">
      <c r="A42" s="680" t="s">
        <v>1545</v>
      </c>
      <c r="B42" s="681">
        <v>810369</v>
      </c>
      <c r="C42" s="681">
        <v>821235</v>
      </c>
      <c r="D42" s="681">
        <v>834572</v>
      </c>
      <c r="E42" s="681">
        <v>845063</v>
      </c>
      <c r="F42" s="681">
        <v>854587</v>
      </c>
      <c r="G42" s="681">
        <v>864405</v>
      </c>
      <c r="H42" s="681">
        <v>872281</v>
      </c>
      <c r="I42" s="681">
        <v>880343</v>
      </c>
      <c r="J42" s="681">
        <v>886618</v>
      </c>
      <c r="K42" s="681">
        <v>889360</v>
      </c>
      <c r="L42" s="681">
        <v>892280</v>
      </c>
      <c r="M42" s="681">
        <v>895861</v>
      </c>
      <c r="N42" s="681">
        <v>900047</v>
      </c>
      <c r="O42" s="681">
        <v>904920</v>
      </c>
      <c r="P42" s="681">
        <v>910574</v>
      </c>
      <c r="Q42" s="681">
        <v>916935</v>
      </c>
    </row>
    <row r="43" spans="1:17" ht="15">
      <c r="A43" s="674" t="s">
        <v>1546</v>
      </c>
      <c r="B43" s="678">
        <v>688495</v>
      </c>
      <c r="C43" s="678">
        <v>695441</v>
      </c>
      <c r="D43" s="678">
        <v>701484</v>
      </c>
      <c r="E43" s="678">
        <v>706919</v>
      </c>
      <c r="F43" s="678">
        <v>717649</v>
      </c>
      <c r="G43" s="678">
        <v>728423</v>
      </c>
      <c r="H43" s="678">
        <v>738792</v>
      </c>
      <c r="I43" s="678">
        <v>750119</v>
      </c>
      <c r="J43" s="678">
        <v>760310</v>
      </c>
      <c r="K43" s="678">
        <v>771700</v>
      </c>
      <c r="L43" s="678">
        <v>782545</v>
      </c>
      <c r="M43" s="678">
        <v>793097</v>
      </c>
      <c r="N43" s="678">
        <v>803415</v>
      </c>
      <c r="O43" s="678">
        <v>813318</v>
      </c>
      <c r="P43" s="678">
        <v>823081</v>
      </c>
      <c r="Q43" s="678">
        <v>832480</v>
      </c>
    </row>
    <row r="44" spans="1:17" ht="15">
      <c r="A44" s="684" t="s">
        <v>1547</v>
      </c>
      <c r="B44" s="681">
        <v>269453</v>
      </c>
      <c r="C44" s="681">
        <v>270964</v>
      </c>
      <c r="D44" s="681">
        <v>273233</v>
      </c>
      <c r="E44" s="681">
        <v>273874</v>
      </c>
      <c r="F44" s="681">
        <v>276192</v>
      </c>
      <c r="G44" s="681">
        <v>276640</v>
      </c>
      <c r="H44" s="681">
        <v>278122</v>
      </c>
      <c r="I44" s="681">
        <v>278497</v>
      </c>
      <c r="J44" s="681">
        <v>279321</v>
      </c>
      <c r="K44" s="681">
        <v>278902</v>
      </c>
      <c r="L44" s="681">
        <v>278862</v>
      </c>
      <c r="M44" s="681">
        <v>278984</v>
      </c>
      <c r="N44" s="681">
        <v>279191</v>
      </c>
      <c r="O44" s="681">
        <v>279595</v>
      </c>
      <c r="P44" s="681">
        <v>280133</v>
      </c>
      <c r="Q44" s="681">
        <v>280873</v>
      </c>
    </row>
    <row r="45" spans="1:17" ht="15">
      <c r="A45" s="680" t="s">
        <v>1548</v>
      </c>
      <c r="B45" s="681">
        <v>721358</v>
      </c>
      <c r="C45" s="681">
        <v>730344</v>
      </c>
      <c r="D45" s="681">
        <v>741927</v>
      </c>
      <c r="E45" s="681">
        <v>749819</v>
      </c>
      <c r="F45" s="681">
        <v>757082</v>
      </c>
      <c r="G45" s="681">
        <v>764577</v>
      </c>
      <c r="H45" s="681">
        <v>768147</v>
      </c>
      <c r="I45" s="681">
        <v>771514</v>
      </c>
      <c r="J45" s="681">
        <v>774570</v>
      </c>
      <c r="K45" s="681">
        <v>776252</v>
      </c>
      <c r="L45" s="681">
        <v>778001</v>
      </c>
      <c r="M45" s="681">
        <v>780273</v>
      </c>
      <c r="N45" s="681">
        <v>782942</v>
      </c>
      <c r="O45" s="681">
        <v>785921</v>
      </c>
      <c r="P45" s="681">
        <v>789515</v>
      </c>
      <c r="Q45" s="681">
        <v>793671</v>
      </c>
    </row>
    <row r="46" spans="1:17" ht="15">
      <c r="A46" s="680" t="s">
        <v>1549</v>
      </c>
      <c r="B46" s="681">
        <v>424137</v>
      </c>
      <c r="C46" s="681">
        <v>426201</v>
      </c>
      <c r="D46" s="681">
        <v>431116</v>
      </c>
      <c r="E46" s="681">
        <v>435662</v>
      </c>
      <c r="F46" s="681">
        <v>440042</v>
      </c>
      <c r="G46" s="681">
        <v>444421</v>
      </c>
      <c r="H46" s="681">
        <v>447267</v>
      </c>
      <c r="I46" s="681">
        <v>449950</v>
      </c>
      <c r="J46" s="681">
        <v>452953</v>
      </c>
      <c r="K46" s="681">
        <v>454529</v>
      </c>
      <c r="L46" s="681">
        <v>456373</v>
      </c>
      <c r="M46" s="681">
        <v>458407</v>
      </c>
      <c r="N46" s="681">
        <v>460901</v>
      </c>
      <c r="O46" s="681">
        <v>463679</v>
      </c>
      <c r="P46" s="681">
        <v>466817</v>
      </c>
      <c r="Q46" s="681">
        <v>470188</v>
      </c>
    </row>
    <row r="47" spans="1:17" ht="15">
      <c r="A47" s="680" t="s">
        <v>1550</v>
      </c>
      <c r="B47" s="681">
        <v>1791120</v>
      </c>
      <c r="C47" s="681">
        <v>1816276</v>
      </c>
      <c r="D47" s="681">
        <v>1843534</v>
      </c>
      <c r="E47" s="681">
        <v>1868779</v>
      </c>
      <c r="F47" s="681">
        <v>1893217</v>
      </c>
      <c r="G47" s="681">
        <v>1919736</v>
      </c>
      <c r="H47" s="681">
        <v>1933839</v>
      </c>
      <c r="I47" s="681">
        <v>1945829</v>
      </c>
      <c r="J47" s="681">
        <v>1955946</v>
      </c>
      <c r="K47" s="681">
        <v>1961117</v>
      </c>
      <c r="L47" s="681">
        <v>1967585</v>
      </c>
      <c r="M47" s="681">
        <v>1975375</v>
      </c>
      <c r="N47" s="681">
        <v>1984762</v>
      </c>
      <c r="O47" s="681">
        <v>1995880</v>
      </c>
      <c r="P47" s="681">
        <v>2008704</v>
      </c>
      <c r="Q47" s="681">
        <v>2023194</v>
      </c>
    </row>
    <row r="48" spans="1:17" ht="15">
      <c r="A48" s="674" t="s">
        <v>1551</v>
      </c>
      <c r="B48" s="678">
        <v>262804</v>
      </c>
      <c r="C48" s="678">
        <v>265890</v>
      </c>
      <c r="D48" s="678">
        <v>268361</v>
      </c>
      <c r="E48" s="678">
        <v>271067</v>
      </c>
      <c r="F48" s="678">
        <v>272134</v>
      </c>
      <c r="G48" s="678">
        <v>274749</v>
      </c>
      <c r="H48" s="678">
        <v>275776</v>
      </c>
      <c r="I48" s="678">
        <v>275729</v>
      </c>
      <c r="J48" s="678">
        <v>275168</v>
      </c>
      <c r="K48" s="678">
        <v>274545</v>
      </c>
      <c r="L48" s="678">
        <v>273999</v>
      </c>
      <c r="M48" s="678">
        <v>273675</v>
      </c>
      <c r="N48" s="678">
        <v>273539</v>
      </c>
      <c r="O48" s="678">
        <v>273599</v>
      </c>
      <c r="P48" s="678">
        <v>273849</v>
      </c>
      <c r="Q48" s="678">
        <v>274294</v>
      </c>
    </row>
    <row r="49" spans="1:17" ht="15">
      <c r="A49" s="684" t="s">
        <v>1552</v>
      </c>
      <c r="B49" s="681">
        <v>177376</v>
      </c>
      <c r="C49" s="681">
        <v>177749</v>
      </c>
      <c r="D49" s="681">
        <v>178288</v>
      </c>
      <c r="E49" s="681">
        <v>178740</v>
      </c>
      <c r="F49" s="681">
        <v>179008</v>
      </c>
      <c r="G49" s="681">
        <v>178422</v>
      </c>
      <c r="H49" s="681">
        <v>177592</v>
      </c>
      <c r="I49" s="681">
        <v>178154</v>
      </c>
      <c r="J49" s="681">
        <v>178239</v>
      </c>
      <c r="K49" s="681">
        <v>178029</v>
      </c>
      <c r="L49" s="681">
        <v>177925</v>
      </c>
      <c r="M49" s="681">
        <v>177841</v>
      </c>
      <c r="N49" s="681">
        <v>177877</v>
      </c>
      <c r="O49" s="681">
        <v>177967</v>
      </c>
      <c r="P49" s="681">
        <v>178143</v>
      </c>
      <c r="Q49" s="681">
        <v>178494</v>
      </c>
    </row>
    <row r="50" spans="1:17" ht="15">
      <c r="A50" s="680" t="s">
        <v>1553</v>
      </c>
      <c r="B50" s="681">
        <v>3233</v>
      </c>
      <c r="C50" s="681">
        <v>3223</v>
      </c>
      <c r="D50" s="681">
        <v>3208</v>
      </c>
      <c r="E50" s="681">
        <v>3192</v>
      </c>
      <c r="F50" s="681">
        <v>3171</v>
      </c>
      <c r="G50" s="681">
        <v>3152</v>
      </c>
      <c r="H50" s="681">
        <v>3147</v>
      </c>
      <c r="I50" s="681">
        <v>3149</v>
      </c>
      <c r="J50" s="681">
        <v>3136</v>
      </c>
      <c r="K50" s="681">
        <v>3121</v>
      </c>
      <c r="L50" s="681">
        <v>3115</v>
      </c>
      <c r="M50" s="681">
        <v>3110</v>
      </c>
      <c r="N50" s="681">
        <v>3100</v>
      </c>
      <c r="O50" s="681">
        <v>3091</v>
      </c>
      <c r="P50" s="681">
        <v>3081</v>
      </c>
      <c r="Q50" s="681">
        <v>3073</v>
      </c>
    </row>
    <row r="51" spans="1:17" ht="15">
      <c r="A51" s="680" t="s">
        <v>1554</v>
      </c>
      <c r="B51" s="681">
        <v>44855</v>
      </c>
      <c r="C51" s="681">
        <v>44885</v>
      </c>
      <c r="D51" s="681">
        <v>44861</v>
      </c>
      <c r="E51" s="681">
        <v>44750</v>
      </c>
      <c r="F51" s="681">
        <v>44709</v>
      </c>
      <c r="G51" s="681">
        <v>44540</v>
      </c>
      <c r="H51" s="681">
        <v>44418</v>
      </c>
      <c r="I51" s="681">
        <v>44233</v>
      </c>
      <c r="J51" s="681">
        <v>44128</v>
      </c>
      <c r="K51" s="681">
        <v>44060</v>
      </c>
      <c r="L51" s="681">
        <v>43956</v>
      </c>
      <c r="M51" s="681">
        <v>43849</v>
      </c>
      <c r="N51" s="681">
        <v>43758</v>
      </c>
      <c r="O51" s="681">
        <v>43659</v>
      </c>
      <c r="P51" s="681">
        <v>43560</v>
      </c>
      <c r="Q51" s="681">
        <v>43464</v>
      </c>
    </row>
    <row r="52" spans="1:17" ht="15">
      <c r="A52" s="680" t="s">
        <v>1555</v>
      </c>
      <c r="B52" s="681">
        <v>412873</v>
      </c>
      <c r="C52" s="681">
        <v>415307</v>
      </c>
      <c r="D52" s="681">
        <v>418117</v>
      </c>
      <c r="E52" s="681">
        <v>421344</v>
      </c>
      <c r="F52" s="681">
        <v>425664</v>
      </c>
      <c r="G52" s="681">
        <v>429256</v>
      </c>
      <c r="H52" s="681">
        <v>433395</v>
      </c>
      <c r="I52" s="681">
        <v>437294</v>
      </c>
      <c r="J52" s="681">
        <v>439975</v>
      </c>
      <c r="K52" s="681">
        <v>442145</v>
      </c>
      <c r="L52" s="681">
        <v>444255</v>
      </c>
      <c r="M52" s="681">
        <v>446633</v>
      </c>
      <c r="N52" s="681">
        <v>449201</v>
      </c>
      <c r="O52" s="681">
        <v>451927</v>
      </c>
      <c r="P52" s="681">
        <v>454795</v>
      </c>
      <c r="Q52" s="681">
        <v>457887</v>
      </c>
    </row>
    <row r="53" spans="1:17" ht="15">
      <c r="A53" s="674" t="s">
        <v>1556</v>
      </c>
      <c r="B53" s="678">
        <v>484055</v>
      </c>
      <c r="C53" s="678">
        <v>487677</v>
      </c>
      <c r="D53" s="678">
        <v>490588</v>
      </c>
      <c r="E53" s="678">
        <v>494985</v>
      </c>
      <c r="F53" s="678">
        <v>498358</v>
      </c>
      <c r="G53" s="678">
        <v>501142</v>
      </c>
      <c r="H53" s="678">
        <v>503109</v>
      </c>
      <c r="I53" s="678">
        <v>503181</v>
      </c>
      <c r="J53" s="678">
        <v>500499</v>
      </c>
      <c r="K53" s="678">
        <v>498480</v>
      </c>
      <c r="L53" s="678">
        <v>496668</v>
      </c>
      <c r="M53" s="678">
        <v>495273</v>
      </c>
      <c r="N53" s="678">
        <v>494308</v>
      </c>
      <c r="O53" s="678">
        <v>493744</v>
      </c>
      <c r="P53" s="678">
        <v>493638</v>
      </c>
      <c r="Q53" s="678">
        <v>494017</v>
      </c>
    </row>
    <row r="54" spans="1:17" ht="15">
      <c r="A54" s="684" t="s">
        <v>1557</v>
      </c>
      <c r="B54" s="681">
        <v>516648</v>
      </c>
      <c r="C54" s="681">
        <v>519887</v>
      </c>
      <c r="D54" s="681">
        <v>524730</v>
      </c>
      <c r="E54" s="681">
        <v>528323</v>
      </c>
      <c r="F54" s="681">
        <v>531979</v>
      </c>
      <c r="G54" s="681">
        <v>537658</v>
      </c>
      <c r="H54" s="681">
        <v>543509</v>
      </c>
      <c r="I54" s="681">
        <v>550324</v>
      </c>
      <c r="J54" s="681">
        <v>554616</v>
      </c>
      <c r="K54" s="681">
        <v>558395</v>
      </c>
      <c r="L54" s="681">
        <v>562303</v>
      </c>
      <c r="M54" s="681">
        <v>566399</v>
      </c>
      <c r="N54" s="681">
        <v>570756</v>
      </c>
      <c r="O54" s="681">
        <v>575044</v>
      </c>
      <c r="P54" s="681">
        <v>579488</v>
      </c>
      <c r="Q54" s="681">
        <v>584055</v>
      </c>
    </row>
    <row r="55" spans="1:17" ht="15">
      <c r="A55" s="680" t="s">
        <v>1558</v>
      </c>
      <c r="B55" s="681">
        <v>94898</v>
      </c>
      <c r="C55" s="681">
        <v>94855</v>
      </c>
      <c r="D55" s="681">
        <v>95362</v>
      </c>
      <c r="E55" s="681">
        <v>96699</v>
      </c>
      <c r="F55" s="681">
        <v>96197</v>
      </c>
      <c r="G55" s="681">
        <v>96976</v>
      </c>
      <c r="H55" s="681">
        <v>97871</v>
      </c>
      <c r="I55" s="681">
        <v>99465</v>
      </c>
      <c r="J55" s="681">
        <v>101337</v>
      </c>
      <c r="K55" s="681">
        <v>103580</v>
      </c>
      <c r="L55" s="681">
        <v>105747</v>
      </c>
      <c r="M55" s="681">
        <v>107747</v>
      </c>
      <c r="N55" s="681">
        <v>109656</v>
      </c>
      <c r="O55" s="681">
        <v>111392</v>
      </c>
      <c r="P55" s="681">
        <v>112971</v>
      </c>
      <c r="Q55" s="681">
        <v>114346</v>
      </c>
    </row>
    <row r="56" spans="1:17" ht="15">
      <c r="A56" s="680" t="s">
        <v>1559</v>
      </c>
      <c r="B56" s="681">
        <v>63381</v>
      </c>
      <c r="C56" s="681">
        <v>63252</v>
      </c>
      <c r="D56" s="681">
        <v>63232</v>
      </c>
      <c r="E56" s="681">
        <v>63077</v>
      </c>
      <c r="F56" s="681">
        <v>63210</v>
      </c>
      <c r="G56" s="681">
        <v>63551</v>
      </c>
      <c r="H56" s="681">
        <v>63983</v>
      </c>
      <c r="I56" s="681">
        <v>64176</v>
      </c>
      <c r="J56" s="681">
        <v>64703</v>
      </c>
      <c r="K56" s="681">
        <v>65428</v>
      </c>
      <c r="L56" s="681">
        <v>65885</v>
      </c>
      <c r="M56" s="681">
        <v>66284</v>
      </c>
      <c r="N56" s="681">
        <v>66637</v>
      </c>
      <c r="O56" s="681">
        <v>66967</v>
      </c>
      <c r="P56" s="681">
        <v>67240</v>
      </c>
      <c r="Q56" s="681">
        <v>67470</v>
      </c>
    </row>
    <row r="57" spans="1:17" ht="15">
      <c r="A57" s="680" t="s">
        <v>1501</v>
      </c>
      <c r="B57" s="681">
        <v>13798</v>
      </c>
      <c r="C57" s="681">
        <v>13732</v>
      </c>
      <c r="D57" s="681">
        <v>13731</v>
      </c>
      <c r="E57" s="681">
        <v>13685</v>
      </c>
      <c r="F57" s="681">
        <v>13626</v>
      </c>
      <c r="G57" s="681">
        <v>13556</v>
      </c>
      <c r="H57" s="681">
        <v>13489</v>
      </c>
      <c r="I57" s="681">
        <v>13454</v>
      </c>
      <c r="J57" s="681">
        <v>13385</v>
      </c>
      <c r="K57" s="681">
        <v>13385</v>
      </c>
      <c r="L57" s="681">
        <v>13354</v>
      </c>
      <c r="M57" s="681">
        <v>13326</v>
      </c>
      <c r="N57" s="681">
        <v>13289</v>
      </c>
      <c r="O57" s="681">
        <v>13246</v>
      </c>
      <c r="P57" s="681">
        <v>13196</v>
      </c>
      <c r="Q57" s="681">
        <v>13150</v>
      </c>
    </row>
    <row r="58" spans="1:17" ht="15">
      <c r="A58" s="674" t="s">
        <v>1560</v>
      </c>
      <c r="B58" s="678">
        <v>442517</v>
      </c>
      <c r="C58" s="678">
        <v>448157</v>
      </c>
      <c r="D58" s="678">
        <v>452745</v>
      </c>
      <c r="E58" s="678">
        <v>456160</v>
      </c>
      <c r="F58" s="678">
        <v>459862</v>
      </c>
      <c r="G58" s="678">
        <v>464357</v>
      </c>
      <c r="H58" s="678">
        <v>467742</v>
      </c>
      <c r="I58" s="678">
        <v>472147</v>
      </c>
      <c r="J58" s="678">
        <v>475781</v>
      </c>
      <c r="K58" s="678">
        <v>479924</v>
      </c>
      <c r="L58" s="678">
        <v>484423</v>
      </c>
      <c r="M58" s="678">
        <v>488782</v>
      </c>
      <c r="N58" s="678">
        <v>492944</v>
      </c>
      <c r="O58" s="678">
        <v>496943</v>
      </c>
      <c r="P58" s="678">
        <v>500595</v>
      </c>
      <c r="Q58" s="678">
        <v>504166</v>
      </c>
    </row>
    <row r="59" spans="1:17" ht="15">
      <c r="A59" s="680" t="s">
        <v>1561</v>
      </c>
      <c r="B59" s="681">
        <v>55240</v>
      </c>
      <c r="C59" s="681">
        <v>54980</v>
      </c>
      <c r="D59" s="681">
        <v>53965</v>
      </c>
      <c r="E59" s="681">
        <v>54349</v>
      </c>
      <c r="F59" s="681">
        <v>53823</v>
      </c>
      <c r="G59" s="681">
        <v>53531</v>
      </c>
      <c r="H59" s="681">
        <v>53291</v>
      </c>
      <c r="I59" s="681">
        <v>52862</v>
      </c>
      <c r="J59" s="681">
        <v>52843</v>
      </c>
      <c r="K59" s="681">
        <v>52568</v>
      </c>
      <c r="L59" s="681">
        <v>52351</v>
      </c>
      <c r="M59" s="681">
        <v>52121</v>
      </c>
      <c r="N59" s="681">
        <v>51882</v>
      </c>
      <c r="O59" s="681">
        <v>51641</v>
      </c>
      <c r="P59" s="681">
        <v>51395</v>
      </c>
      <c r="Q59" s="681">
        <v>51149</v>
      </c>
    </row>
    <row r="60" spans="1:17" ht="15">
      <c r="A60" s="680" t="s">
        <v>1562</v>
      </c>
      <c r="B60" s="681">
        <v>825004</v>
      </c>
      <c r="C60" s="681">
        <v>832732</v>
      </c>
      <c r="D60" s="681">
        <v>837818</v>
      </c>
      <c r="E60" s="681">
        <v>843511</v>
      </c>
      <c r="F60" s="681">
        <v>847976</v>
      </c>
      <c r="G60" s="681">
        <v>851843</v>
      </c>
      <c r="H60" s="681">
        <v>853006</v>
      </c>
      <c r="I60" s="681">
        <v>854309</v>
      </c>
      <c r="J60" s="681">
        <v>855713</v>
      </c>
      <c r="K60" s="681">
        <v>853747</v>
      </c>
      <c r="L60" s="681">
        <v>852747</v>
      </c>
      <c r="M60" s="681">
        <v>852040</v>
      </c>
      <c r="N60" s="681">
        <v>851997</v>
      </c>
      <c r="O60" s="681">
        <v>852470</v>
      </c>
      <c r="P60" s="681">
        <v>853397</v>
      </c>
      <c r="Q60" s="681">
        <v>854868</v>
      </c>
    </row>
    <row r="61" spans="1:17" ht="15">
      <c r="A61" s="680" t="s">
        <v>1563</v>
      </c>
      <c r="B61" s="681">
        <v>202634</v>
      </c>
      <c r="C61" s="681">
        <v>203430</v>
      </c>
      <c r="D61" s="681">
        <v>206079</v>
      </c>
      <c r="E61" s="681">
        <v>208528</v>
      </c>
      <c r="F61" s="681">
        <v>210110</v>
      </c>
      <c r="G61" s="681">
        <v>212992</v>
      </c>
      <c r="H61" s="681">
        <v>216980</v>
      </c>
      <c r="I61" s="681">
        <v>219697</v>
      </c>
      <c r="J61" s="681">
        <v>222054</v>
      </c>
      <c r="K61" s="681">
        <v>222868</v>
      </c>
      <c r="L61" s="681">
        <v>223612</v>
      </c>
      <c r="M61" s="681">
        <v>224524</v>
      </c>
      <c r="N61" s="681">
        <v>225511</v>
      </c>
      <c r="O61" s="681">
        <v>226626</v>
      </c>
      <c r="P61" s="681">
        <v>228007</v>
      </c>
      <c r="Q61" s="681">
        <v>229613</v>
      </c>
    </row>
    <row r="62" spans="1:17" ht="15">
      <c r="A62" s="674" t="s">
        <v>1564</v>
      </c>
      <c r="B62" s="678">
        <v>72353</v>
      </c>
      <c r="C62" s="678">
        <v>72823</v>
      </c>
      <c r="D62" s="678">
        <v>73140</v>
      </c>
      <c r="E62" s="678">
        <v>73303</v>
      </c>
      <c r="F62" s="678">
        <v>73808</v>
      </c>
      <c r="G62" s="678">
        <v>74472</v>
      </c>
      <c r="H62" s="678">
        <v>75378</v>
      </c>
      <c r="I62" s="678">
        <v>76712</v>
      </c>
      <c r="J62" s="678">
        <v>77426</v>
      </c>
      <c r="K62" s="678">
        <v>78292</v>
      </c>
      <c r="L62" s="678">
        <v>79290</v>
      </c>
      <c r="M62" s="678">
        <v>80285</v>
      </c>
      <c r="N62" s="678">
        <v>81267</v>
      </c>
      <c r="O62" s="678">
        <v>82257</v>
      </c>
      <c r="P62" s="678">
        <v>83223</v>
      </c>
      <c r="Q62" s="678">
        <v>84206</v>
      </c>
    </row>
    <row r="63" spans="1:17" ht="14.25">
      <c r="A63" s="722" t="s">
        <v>1565</v>
      </c>
      <c r="B63" s="688"/>
      <c r="C63" s="688"/>
      <c r="D63" s="688"/>
      <c r="E63" s="688"/>
      <c r="F63" s="688"/>
      <c r="G63" s="685"/>
      <c r="H63" s="685"/>
      <c r="I63" s="685"/>
      <c r="J63" s="685"/>
      <c r="K63" s="685"/>
      <c r="L63" s="685"/>
      <c r="M63" s="685"/>
      <c r="N63" s="686"/>
      <c r="O63" s="686"/>
      <c r="P63" s="686"/>
      <c r="Q63" s="686"/>
    </row>
    <row r="66" spans="1:1" ht="12.75">
      <c r="A66" s="24"/>
    </row>
  </sheetData>
  <mergeCells count="4">
    <mergeCell ref="A1:G1"/>
    <mergeCell ref="B2:K2"/>
    <mergeCell ref="L2:Q2"/>
    <mergeCell ref="A63:F6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Contents</vt:lpstr>
      <vt:lpstr>Summary of County Progress re H</vt:lpstr>
      <vt:lpstr>Prorated Housing Progress by Co</vt:lpstr>
      <vt:lpstr>Prorated Housing Progress by Ci</vt:lpstr>
      <vt:lpstr>5th Cycle Permits thru 2019 by </vt:lpstr>
      <vt:lpstr>HCD permit data thru 2019 - cle</vt:lpstr>
      <vt:lpstr>HCD 5th Cycle Raw Permit Data t</vt:lpstr>
      <vt:lpstr>HCD Assigned 5th Cycle RHNA</vt:lpstr>
      <vt:lpstr>Department of Finance Projected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james</cp:lastModifiedBy>
  <dcterms:created xsi:type="dcterms:W3CDTF">2020-09-19T00:56:08Z</dcterms:created>
  <dcterms:modified xsi:type="dcterms:W3CDTF">2020-09-19T00:56:08Z</dcterms:modified>
</cp:coreProperties>
</file>